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設定" sheetId="1" r:id="rId5"/>
    <sheet state="visible" name="概観" sheetId="2" r:id="rId6"/>
    <sheet state="visible" name="概観_履歴" sheetId="3" r:id="rId7"/>
    <sheet state="visible" name="概観_未分類" sheetId="4" r:id="rId8"/>
    <sheet state="visible" name="TPのみ" sheetId="5" r:id="rId9"/>
    <sheet state="visible" name="SPのみ" sheetId="6" r:id="rId10"/>
    <sheet state="visible" name="natsui-sansu-juku.com" sheetId="7" r:id="rId11"/>
    <sheet state="visible" name="dokkai-labo.tokyo" sheetId="8" r:id="rId12"/>
    <sheet state="visible" name="juku-escot.com" sheetId="9" r:id="rId13"/>
    <sheet state="visible" name="jukureiwa.com" sheetId="10" r:id="rId14"/>
    <sheet state="visible" name="koten-kakitsubata.jp" sheetId="11" r:id="rId15"/>
    <sheet state="visible" name="eigo-rewrite.com" sheetId="12" r:id="rId16"/>
    <sheet state="visible" name="eng-support.com" sheetId="13" r:id="rId17"/>
    <sheet state="visible" name="rika-quest.com" sheetId="14" r:id="rId18"/>
    <sheet state="visible" name="kokugo-trigger.com" sheetId="15" r:id="rId19"/>
  </sheets>
  <definedNames>
    <definedName hidden="1" localSheetId="2" name="_xlnm._FilterDatabase">'概観_履歴'!$A$1:$Z$1121</definedName>
    <definedName hidden="1" localSheetId="4" name="_xlnm._FilterDatabase">'TPのみ'!$A$1:$AL$188</definedName>
    <definedName hidden="1" localSheetId="5" name="_xlnm._FilterDatabase">'SPのみ'!$A$1:$AL$64</definedName>
    <definedName hidden="1" localSheetId="6" name="_xlnm._FilterDatabase">'natsui-sansu-juku.com'!$A$1:$AL$198</definedName>
    <definedName hidden="1" localSheetId="7" name="_xlnm._FilterDatabase">'dokkai-labo.tokyo'!$A$1:$AL$254</definedName>
    <definedName hidden="1" localSheetId="8" name="_xlnm._FilterDatabase">'juku-escot.com'!$A$1:$AL$146</definedName>
    <definedName hidden="1" localSheetId="9" name="_xlnm._FilterDatabase">jukureiwa.com!$A$1:$AL$77</definedName>
    <definedName hidden="1" localSheetId="11" name="_xlnm._FilterDatabase">'eigo-rewrite.com'!$A$1:$AL$156</definedName>
    <definedName hidden="1" localSheetId="12" name="_xlnm._FilterDatabase">'eng-support.com'!$A$1:$AL$143</definedName>
    <definedName hidden="1" localSheetId="13" name="_xlnm._FilterDatabase">'rika-quest.com'!$A$1:$Q$98</definedName>
  </definedNames>
  <calcPr/>
</workbook>
</file>

<file path=xl/sharedStrings.xml><?xml version="1.0" encoding="utf-8"?>
<sst xmlns="http://schemas.openxmlformats.org/spreadsheetml/2006/main" count="4256" uniqueCount="1353">
  <si>
    <t>ドメイン名</t>
  </si>
  <si>
    <t>サイトマップ</t>
  </si>
  <si>
    <t>natsui-sansu-juku.com</t>
  </si>
  <si>
    <t>dokkai-labo.tokyo</t>
  </si>
  <si>
    <t>juku-escot.com</t>
  </si>
  <si>
    <t>jukureiwa.com</t>
  </si>
  <si>
    <t>koten-kakitsubata.jp</t>
  </si>
  <si>
    <t>eigo-rewrite.com</t>
  </si>
  <si>
    <t>eng-support.com</t>
  </si>
  <si>
    <t>kokugo-trigger.com</t>
  </si>
  <si>
    <t>rika-quest.com</t>
  </si>
  <si>
    <t>概観ダッシュボード</t>
  </si>
  <si>
    <t>更新: 2026/03/03 07:15:46</t>
  </si>
  <si>
    <t>■全体サマリー</t>
  </si>
  <si>
    <t>対象</t>
  </si>
  <si>
    <t>ページ</t>
  </si>
  <si>
    <t>クリック</t>
  </si>
  <si>
    <t>表示</t>
  </si>
  <si>
    <t>CTR</t>
  </si>
  <si>
    <t>平均順位</t>
  </si>
  <si>
    <t>Δクリック</t>
  </si>
  <si>
    <t>Δ表示</t>
  </si>
  <si>
    <t>0クリック率</t>
  </si>
  <si>
    <t>低CTR率</t>
  </si>
  <si>
    <t>持ち直し率</t>
  </si>
  <si>
    <t>悪化率</t>
  </si>
  <si>
    <t>全ページ</t>
  </si>
  <si>
    <t>SEO対象</t>
  </si>
  <si>
    <t>■分類別（SEO対象）</t>
  </si>
  <si>
    <t>分類</t>
  </si>
  <si>
    <t>TP</t>
  </si>
  <si>
    <t>SP</t>
  </si>
  <si>
    <t>MC</t>
  </si>
  <si>
    <t>SC</t>
  </si>
  <si>
    <t>未分類</t>
  </si>
  <si>
    <t>■ブランド別（SEO対象）</t>
  </si>
  <si>
    <t>ドメイン</t>
  </si>
  <si>
    <t>■ブランド×分類（ページ数 / SEO対象）</t>
  </si>
  <si>
    <t>【凡例】</t>
  </si>
  <si>
    <t>クリック/表示：直近1か月（GSC）</t>
  </si>
  <si>
    <t>CTR：クリック ÷ 表示</t>
  </si>
  <si>
    <t>平均順位：IMP加重平均</t>
  </si>
  <si>
    <t>Δクリック：前年比（1M ÷ LY1）</t>
  </si>
  <si>
    <t>Δ表示：前年比（1M ÷ LY1）</t>
  </si>
  <si>
    <t>0クリック率：表示≥30 かつ クリック=0 の割合</t>
  </si>
  <si>
    <t>低CTR率：表示≥30 かつ CTR≤0.5% の割合</t>
  </si>
  <si>
    <t>持ち直し：出現(click&gt;0&amp;LY=0)を優先。次にΔ1M&gt;Δ3M</t>
  </si>
  <si>
    <t>悪化：消失(click=0&amp;LY&gt;0)を優先。次にΔ1M&lt;Δ3M</t>
  </si>
  <si>
    <t>※ NW / ST はSEO対象外</t>
  </si>
  <si>
    <t>日付</t>
  </si>
  <si>
    <t>粒度</t>
  </si>
  <si>
    <t>ページ数</t>
  </si>
  <si>
    <t>クリック(1M)</t>
  </si>
  <si>
    <t>表示(1M)</t>
  </si>
  <si>
    <t>Δクリック(1M)</t>
  </si>
  <si>
    <t>Δ表示(1M)</t>
  </si>
  <si>
    <t>更新タイムスタンプ</t>
  </si>
  <si>
    <t>ALL</t>
  </si>
  <si>
    <t>SEO</t>
  </si>
  <si>
    <t>DOMAIN_SEO</t>
  </si>
  <si>
    <t>CLASS_SEO</t>
  </si>
  <si>
    <t>URL</t>
  </si>
  <si>
    <t>分類(元データ)</t>
  </si>
  <si>
    <t>タイトル</t>
  </si>
  <si>
    <t>IMP_1M</t>
  </si>
  <si>
    <t>CLI_1M</t>
  </si>
  <si>
    <t>https://natsui-sansu-juku.com/ct/sapix-15/</t>
  </si>
  <si>
    <t>-</t>
  </si>
  <si>
    <t>サピックスの算数を15分で講義してみた｜小5頻出単元をサクッと復習できる動画・解説まとめ - 中学受験専門 夏井算数塾</t>
  </si>
  <si>
    <t>https://natsui-sansu-juku.com/代表挨拶/</t>
  </si>
  <si>
    <t>夏井算数塾代表が語る教育理念と指導方針</t>
  </si>
  <si>
    <t>https://natsui-sansu-juku.com/2025/09/14/japan-and-singapore-two-paths-to-logical-thinking-in-elementary-math/</t>
  </si>
  <si>
    <t>Japan and Singapore: Two Paths to Logical Thinking in Elementary Math - 中学受験専門 夏井算数塾</t>
  </si>
  <si>
    <t>https://natsui-sansu-juku.com/ct/kakomon/</t>
  </si>
  <si>
    <t>過去問 - 中学受験専門 夏井算数塾</t>
  </si>
  <si>
    <t>https://natsui-sansu-juku.com/info/</t>
  </si>
  <si>
    <t>お知らせ - 中学受験専門 夏井算数塾</t>
  </si>
  <si>
    <t>https://natsui-sansu-juku.com/column/</t>
  </si>
  <si>
    <t>コラム - 中学受験専門 夏井算数塾</t>
  </si>
  <si>
    <t>https://natsui-sansu-juku.com/ct/jyukubetsu/</t>
  </si>
  <si>
    <t>塾別対策 - 中学受験専門 夏井算数塾</t>
  </si>
  <si>
    <t>https://natsui-sansu-juku.com/2025/09/06/japans-tokushu-san-vs-the-world-why-no-other-country-teaches-math-this-way/</t>
  </si>
  <si>
    <t>Japan’s Tokushu-san vs. the World: Why No Other Country Teaches Math This Way - 中学受験専門 夏井算数塾</t>
  </si>
  <si>
    <t>https://natsui-sansu-juku.com/ct/tips/</t>
  </si>
  <si>
    <t>Tips - 中学受験専門 夏井算数塾</t>
  </si>
  <si>
    <t>https://natsui-sansu-juku.com/ct/q＆ａ/</t>
  </si>
  <si>
    <t>中学受験Q＆Ａ - 中学受験専門 夏井算数塾</t>
  </si>
  <si>
    <t>https://natsui-sansu-juku.com/ct/zikibetsu/</t>
  </si>
  <si>
    <t>時期別対策 - 中学受験専門 夏井算数塾</t>
  </si>
  <si>
    <t>https://natsui-sansu-juku.com/ct/intro/</t>
  </si>
  <si>
    <t>当塾のご紹介 - 中学受験専門 夏井算数塾</t>
  </si>
  <si>
    <t>https://natsui-sansu-juku.com/2025/11/08/tsurukamezanbanshover/</t>
  </si>
  <si>
    <t>つるかめ算(板書Ver) - 中学受験専門 夏井算数塾</t>
  </si>
  <si>
    <t>https://natsui-sansu-juku.com/category/未分類/</t>
  </si>
  <si>
    <t>未分類 - 中学受験専門 夏井算数塾</t>
  </si>
  <si>
    <t>https://natsui-sansu-juku.com/col_blog/</t>
  </si>
  <si>
    <t>ブログ - 中学受験専門 夏井算数塾</t>
  </si>
  <si>
    <t>https://natsui-sansu-juku.com/ct/tokutenlive/</t>
  </si>
  <si>
    <t>得点力向上LIVE - 中学受験専門 夏井算数塾</t>
  </si>
  <si>
    <t>https://natsui-sansu-juku.com/keisantesuto/</t>
  </si>
  <si>
    <t>中学受験算数 計算テスト対策｜基礎力を確実に身につける練習法</t>
  </si>
  <si>
    <t>https://natsui-sansu-juku.com/lp1701/</t>
  </si>
  <si>
    <t>2017年度募集開始のお知らせ - 中学受験専門 夏井算数塾</t>
  </si>
  <si>
    <t>https://natsui-sansu-juku.com/lp1801/</t>
  </si>
  <si>
    <t>2018年度募集開始のお知らせ - 中学受験専門 夏井算数塾</t>
  </si>
  <si>
    <t>https://natsui-sansu-juku.com/notice_start/</t>
  </si>
  <si>
    <t>入塾手続きについてのご案内 - 中学受験専門 夏井算数塾</t>
  </si>
  <si>
    <t>https://natsui-sansu-juku.com/sample-page/</t>
  </si>
  <si>
    <t>サンプルページ - 中学受験専門 夏井算数塾</t>
  </si>
  <si>
    <t>https://natsui-sansu-juku.com/tsurukamezan/</t>
  </si>
  <si>
    <t>つるかめざん - 中学受験専門 夏井算数塾</t>
  </si>
  <si>
    <t>https://dokkai-labo.tokyo/ct/examovie/</t>
  </si>
  <si>
    <t>読解ラボ東京の過去問解説 - 受験国語専門 読解ラボ東京 | 中学受験・大学受験対応の個別指導国語専門塾（オンライン・教室対応）</t>
  </si>
  <si>
    <t>https://dokkai-labo.tokyo/lpjh_online/</t>
  </si>
  <si>
    <t>中学受験 国語の個別指導なら｜完全１対１オンライン国語塾 - 受験国語専門 読解ラボ東京 | 中学受験・大学受験対応の個別指導国語専門塾（オンライン・教室対応）</t>
  </si>
  <si>
    <t>https://dokkai-labo.tokyo/grade/elem-high/</t>
  </si>
  <si>
    <t>小４～小６ - 受験国語専門 読解ラボ東京 | 中学受験・大学受験対応の個別指導国語専門塾（オンライン・教室対応）</t>
  </si>
  <si>
    <t>https://dokkai-labo.tokyo/style/lec/</t>
  </si>
  <si>
    <t>講義 - 受験国語専門 読解ラボ東京 | 中学受験・大学受験対応の個別指導国語専門塾（オンライン・教室対応）</t>
  </si>
  <si>
    <t>https://dokkai-labo.tokyo/ct/column/</t>
  </si>
  <si>
    <t>コラム - 受験国語専門 読解ラボ東京 | 中学受験・大学受験対応の個別指導国語専門塾（オンライン・教室対応）</t>
  </si>
  <si>
    <t>https://dokkai-labo.tokyo/ct/publish/</t>
  </si>
  <si>
    <t>出版 - 受験国語専門 読解ラボ東京 | 中学受験・大学受験対応の個別指導国語専門塾（オンライン・教室対応）</t>
  </si>
  <si>
    <t>https://dokkai-labo.tokyo/ct/strategy/</t>
  </si>
  <si>
    <t>指導指針 - 受験国語専門 読解ラボ東京 | 中学受験・大学受験対応の個別指導国語専門塾（オンライン・教室対応）</t>
  </si>
  <si>
    <t>https://dokkai-labo.tokyo/grade/elem-all/</t>
  </si>
  <si>
    <t>小３～小６ - 受験国語専門 読解ラボ東京 | 中学受験・大学受験対応の個別指導国語専門塾（オンライン・教室対応）</t>
  </si>
  <si>
    <t>https://dokkai-labo.tokyo/grade/高１～高卒/</t>
  </si>
  <si>
    <t>高１～高卒 - 受験国語専門 読解ラボ東京 | 中学受験・大学受験対応の個別指導国語専門塾（オンライン・教室対応）</t>
  </si>
  <si>
    <t>https://dokkai-labo.tokyo/grade/中１～高３/</t>
  </si>
  <si>
    <t>中１～高３ - 受験国語専門 読解ラボ東京 | 中学受験・大学受験対応の個別指導国語専門塾（オンライン・教室対応）</t>
  </si>
  <si>
    <t>https://dokkai-labo.tokyo/lp1701/</t>
  </si>
  <si>
    <t>2017年度募集開始のお知らせ - 受験国語専門 読解ラボ東京 | 中学受験・大学受験対応の個別指導国語専門塾（オンライン・教室対応）</t>
  </si>
  <si>
    <t>https://dokkai-labo.tokyo/lp1801/</t>
  </si>
  <si>
    <t>2018年度募集開始のお知らせ - 受験国語専門 読解ラボ東京 | 中学受験・大学受験対応の個別指導国語専門塾（オンライン・教室対応）</t>
  </si>
  <si>
    <t>https://dokkai-labo.tokyo/publish_movie01/</t>
  </si>
  <si>
    <t>購入特典 - 受験国語専門 読解ラボ東京 | 中学受験・大学受験対応の個別指導国語専門塾（オンライン・教室対応）</t>
  </si>
  <si>
    <t>https://dokkai-labo.tokyo/scale/group/</t>
  </si>
  <si>
    <t>集団授業 - 受験国語専門 読解ラボ東京 | 中学受験・大学受験対応の個別指導国語専門塾（オンライン・教室対応）</t>
  </si>
  <si>
    <t>https://dokkai-labo.tokyo/scale/mantoman/</t>
  </si>
  <si>
    <t>１対１個別 - 受験国語専門 読解ラボ東京 | 中学受験・大学受験対応の個別指導国語専門塾（オンライン・教室対応）</t>
  </si>
  <si>
    <t>https://dokkai-labo.tokyo/tag_ori/sapix/</t>
  </si>
  <si>
    <t>SAPIX - 受験国語専門 読解ラボ東京 | 中学受験・大学受験対応の個別指導国語専門塾（オンライン・教室対応）</t>
  </si>
  <si>
    <t>https://dokkai-labo.tokyo/tag_ori/サピックス/</t>
  </si>
  <si>
    <t>サピックス - 受験国語専門 読解ラボ東京 | 中学受験・大学受験対応の個別指導国語専門塾（オンライン・教室対応）</t>
  </si>
  <si>
    <t>https://dokkai-labo.tokyo/tag_ori/テスト/</t>
  </si>
  <si>
    <t>テスト - 受験国語専門 読解ラボ東京 | 中学受験・大学受験対応の個別指導国語専門塾（オンライン・教室対応）</t>
  </si>
  <si>
    <t>https://dokkai-labo.tokyo/tag_ori/過去問/</t>
  </si>
  <si>
    <t>過去問 - 受験国語専門 読解ラボ東京 | 中学受験・大学受験対応の個別指導国語専門塾（オンライン・教室対応）</t>
  </si>
  <si>
    <t>https://dokkai-labo.tokyo/tag_ori/過去問解説　早稲田/</t>
  </si>
  <si>
    <t>過去問解説 早稲田 - 受験国語専門 読解ラボ東京 | 中学受験・大学受験対応の個別指導国語専門塾（オンライン・教室対応）</t>
  </si>
  <si>
    <t>https://dokkai-labo.tokyo/tag_ori/過去問解説　豊島岡女子/</t>
  </si>
  <si>
    <t>過去問解説 豊島岡女子 - 受験国語専門 読解ラボ東京 | 中学受験・大学受験対応の個別指導国語専門塾（オンライン・教室対応）</t>
  </si>
  <si>
    <t>https://dokkai-labo.tokyo/tag_ori/現代文　指導方針/</t>
  </si>
  <si>
    <t>現代文 指導方針 - 受験国語専門 読解ラボ東京 | 中学受験・大学受験対応の個別指導国語専門塾（オンライン・教室対応）</t>
  </si>
  <si>
    <t>https://dokkai-labo.tokyo/tag_ori/効率的/</t>
  </si>
  <si>
    <t>効率的 - 受験国語専門 読解ラボ東京 | 中学受験・大学受験対応の個別指導国語専門塾（オンライン・教室対応）</t>
  </si>
  <si>
    <t>https://dokkai-labo.tokyo/tag_ori/国語　テスト　心構え/</t>
  </si>
  <si>
    <t>国語 テスト 心構え - 受験国語専門 読解ラボ東京 | 中学受験・大学受験対応の個別指導国語専門塾（オンライン・教室対応）</t>
  </si>
  <si>
    <t>https://dokkai-labo.tokyo/tag_ori/国語　苦手　学習法/</t>
  </si>
  <si>
    <t>国語 苦手 学習法 - 受験国語専門 読解ラボ東京 | 中学受験・大学受験対応の個別指導国語専門塾（オンライン・教室対応）</t>
  </si>
  <si>
    <t>https://dokkai-labo.tokyo/tag_ori/国語/</t>
  </si>
  <si>
    <t>国語 - 受験国語専門 読解ラボ東京 | 中学受験・大学受験対応の個別指導国語専門塾（オンライン・教室対応）</t>
  </si>
  <si>
    <t>https://dokkai-labo.tokyo/tag_ori/時間が足りない/</t>
  </si>
  <si>
    <t>時間が足りない - 受験国語専門 読解ラボ東京 | 中学受験・大学受験対応の個別指導国語専門塾（オンライン・教室対応）</t>
  </si>
  <si>
    <t>https://dokkai-labo.tokyo/tag_ori/出版　学習法　偏差値/</t>
  </si>
  <si>
    <t>出版 学習法 偏差値 - 受験国語専門 読解ラボ東京 | 中学受験・大学受験対応の個別指導国語専門塾（オンライン・教室対応）</t>
  </si>
  <si>
    <t>https://dokkai-labo.tokyo/tag_ori/小学生/</t>
  </si>
  <si>
    <t>小学生 - 受験国語専門 読解ラボ東京 | 中学受験・大学受験対応の個別指導国語専門塾（オンライン・教室対応）</t>
  </si>
  <si>
    <t>https://dokkai-labo.tokyo/tag_ori/中学受験/</t>
  </si>
  <si>
    <t>中学受験 - 受験国語専門 読解ラボ東京 | 中学受験・大学受験対応の個別指導国語専門塾（オンライン・教室対応）</t>
  </si>
  <si>
    <t>https://dokkai-labo.tokyo/tag_ori/長文読解/</t>
  </si>
  <si>
    <t>長文読解 - 受験国語専門 読解ラボ東京 | 中学受験・大学受験対応の個別指導国語専門塾（オンライン・教室対応）</t>
  </si>
  <si>
    <t>https://dokkai-labo.tokyo/tag_ori/文法/</t>
  </si>
  <si>
    <t>文法 - 受験国語専門 読解ラボ東京 | 中学受験・大学受験対応の個別指導国語専門塾（オンライン・教室対応）</t>
  </si>
  <si>
    <t>https://dokkai-labo.tokyo/tag_ori/偏差値/</t>
  </si>
  <si>
    <t>偏差値 - 受験国語専門 読解ラボ東京 | 中学受験・大学受験対応の個別指導国語専門塾（オンライン・教室対応）</t>
  </si>
  <si>
    <t>https://juku-escot.com/lp_eng01/</t>
  </si>
  <si>
    <t>中高一貫校の英語教科書対策｜定期試験・授業フォローを完全1対1で｜中高一貫生</t>
  </si>
  <si>
    <t>https://juku-escot.com/subject/janpanese/</t>
  </si>
  <si>
    <t>国語 - 中高一貫校専門塾エスコット(Escot)～定期試験対策から大学受験指導まで～</t>
  </si>
  <si>
    <t>https://juku-escot.com/kouza/</t>
  </si>
  <si>
    <t>開講講座 - 中高一貫校専門塾エスコット(Escot)～定期試験対策から大学受験指導まで～</t>
  </si>
  <si>
    <t>https://juku-escot.com/grade/exam/</t>
  </si>
  <si>
    <t>受験 - 中高一貫校専門塾エスコット(Escot)～定期試験対策から大学受験指導まで～</t>
  </si>
  <si>
    <t>https://juku-escot.com/subject/english/</t>
  </si>
  <si>
    <t>英語 - 中高一貫校専門塾エスコット(Escot)～定期試験対策から大学受験指導まで～</t>
  </si>
  <si>
    <t>https://juku-escot.com/subject/math/</t>
  </si>
  <si>
    <t>数学 - 中高一貫校専門塾エスコット(Escot)～定期試験対策から大学受験指導まで～</t>
  </si>
  <si>
    <t>https://juku-escot.com/c_blogs/</t>
  </si>
  <si>
    <t>ブログ - 中高一貫校専門塾エスコット(Escot)～定期試験対策から大学受験指導まで～</t>
  </si>
  <si>
    <t>https://juku-escot.com/grade/jh2/</t>
  </si>
  <si>
    <t>中２ - 中高一貫校専門塾エスコット(Escot)～定期試験対策から大学受験指導まで～</t>
  </si>
  <si>
    <t>https://juku-escot.com/column/</t>
  </si>
  <si>
    <t>コラム - 中高一貫校専門塾エスコット(Escot)～定期試験対策から大学受験指導まで～</t>
  </si>
  <si>
    <t>https://juku-escot.com/grade/h1/</t>
  </si>
  <si>
    <t>高１ - 中高一貫校専門塾エスコット(Escot)～定期試験対策から大学受験指導まで～</t>
  </si>
  <si>
    <t>https://juku-escot.com/grade/jh3/</t>
  </si>
  <si>
    <t>中３ - 中高一貫校専門塾エスコット(Escot)～定期試験対策から大学受験指導まで～</t>
  </si>
  <si>
    <t>https://juku-escot.com/grade/jh1/</t>
  </si>
  <si>
    <t>中１ - 中高一貫校専門塾エスコット(Escot)～定期試験対策から大学受験指導まで～</t>
  </si>
  <si>
    <t>https://juku-escot.com/ct/コラム/</t>
  </si>
  <si>
    <t>https://juku-escot.com/sample-page/</t>
  </si>
  <si>
    <t>サンプルページ - 中高一貫校専門塾エスコット(Escot)～定期試験対策から大学受験指導まで～</t>
  </si>
  <si>
    <t>https://juku-escot.com/top/</t>
  </si>
  <si>
    <t>top - 中高一貫校専門塾エスコット(Escot)～定期試験対策から大学受験指導まで～</t>
  </si>
  <si>
    <t>https://jukureiwa.com/tips/</t>
  </si>
  <si>
    <t>コラム - 受験社会専門塾「令和」</t>
  </si>
  <si>
    <t>https://jukureiwa.com/info/</t>
  </si>
  <si>
    <t>お知らせ - 受験社会専門塾「令和」</t>
  </si>
  <si>
    <t>https://jukureiwa.com/ct/コラム/</t>
  </si>
  <si>
    <t>https://jukureiwa.com/sample-page/</t>
  </si>
  <si>
    <t>サンプルページ - 受験社会専門塾「令和」</t>
  </si>
  <si>
    <t>https://jukureiwa.com/info/20200713/</t>
  </si>
  <si>
    <t>2020年度夏期講習会開催のお知らせ - 受験社会専門塾「令和」</t>
  </si>
  <si>
    <t>https://koten-kakitsubata.jp/blog/</t>
  </si>
  <si>
    <t>代表ブログ - 古典専門塾 かきつばた</t>
  </si>
  <si>
    <t>https://koten-kakitsubata.jp/info/</t>
  </si>
  <si>
    <t>お知らせ - 古典専門塾 かきつばた</t>
  </si>
  <si>
    <t>https://eigo-rewrite.com/column/</t>
  </si>
  <si>
    <t>コラム - 受験英語専門ゼミ「Re-Write」(リライト)</t>
  </si>
  <si>
    <t>https://eigo-rewrite.com/ct/ニュートレジャーの道案内/</t>
  </si>
  <si>
    <t>ニュートレジャーの道案内 - 受験英語専門ゼミ「Re-Write」(リライト)</t>
  </si>
  <si>
    <t>https://eigo-rewrite.com/ct/高校受験対策/</t>
  </si>
  <si>
    <t>高校受験対策 - 受験英語専門ゼミ「Re-Write」(リライト)</t>
  </si>
  <si>
    <t>https://eigo-rewrite.com/info/</t>
  </si>
  <si>
    <t>お知らせ - 受験英語専門ゼミ「Re-Write」(リライト)</t>
  </si>
  <si>
    <t>https://eng-support.com/column/</t>
  </si>
  <si>
    <t>コラム - 新宿区四谷の英語専門塾「英語教室『サポート』」～英語は別に怖くない！～</t>
  </si>
  <si>
    <t>https://eng-support.com/ct/今さら聞けない？英語の基礎/</t>
  </si>
  <si>
    <t>今さら聞けない？英語の基礎 - 新宿区四谷の英語専門塾「英語教室『サポート』」～英語は別に怖くない！～</t>
  </si>
  <si>
    <t>https://eng-support.com/info/</t>
  </si>
  <si>
    <t>お知らせ - 新宿区四谷の英語専門塾「英語教室『サポート』」～英語は別に怖くない！～</t>
  </si>
  <si>
    <t>https://www.kokugo-trigger.com/column/</t>
  </si>
  <si>
    <t>コラム - 基礎力Stadium「国語のトリガー」</t>
  </si>
  <si>
    <t>https://rika-quest.com/column/</t>
  </si>
  <si>
    <t>コラム - 中学受験 理科の個別指導 | 受験理科専門塾「しゅん吉クエスト」</t>
  </si>
  <si>
    <t>https://rika-quest.com/sample-page/</t>
  </si>
  <si>
    <t>サンプルページ - 中学受験 理科の個別指導 | 受験理科専門塾「しゅん吉クエスト」</t>
  </si>
  <si>
    <t>https://rika-quest.com/ct/理科のコツ/</t>
  </si>
  <si>
    <t>理科のコツ - 中学受験 理科の個別指導 | 受験理科専門塾「しゅん吉クエスト」</t>
  </si>
  <si>
    <t>https://rika-quest.com/ct/物理/</t>
  </si>
  <si>
    <t>物理 - 中学受験 理科の個別指導 | 受験理科専門塾「しゅん吉クエスト」</t>
  </si>
  <si>
    <t>メタ</t>
  </si>
  <si>
    <t>タイトルLEN</t>
  </si>
  <si>
    <t>メタLEN</t>
  </si>
  <si>
    <t>更新日(lastmod)</t>
  </si>
  <si>
    <t>3M_CLI</t>
  </si>
  <si>
    <t>LY1_CLI</t>
  </si>
  <si>
    <t>LY3_CLI</t>
  </si>
  <si>
    <t>Δ1M_CLI</t>
  </si>
  <si>
    <t>Δ3M_CLI</t>
  </si>
  <si>
    <t>3M_IMP</t>
  </si>
  <si>
    <t>LY1_IMP</t>
  </si>
  <si>
    <t>LY3_IMP</t>
  </si>
  <si>
    <t>Δ1M_IMP</t>
  </si>
  <si>
    <t>Δ3M_IMP</t>
  </si>
  <si>
    <t>CTR_1M</t>
  </si>
  <si>
    <t>3M_CTR</t>
  </si>
  <si>
    <t>LY1_CTR</t>
  </si>
  <si>
    <t>LY3_CTR</t>
  </si>
  <si>
    <t>1M差分_CTR</t>
  </si>
  <si>
    <t>3M差分_CTR</t>
  </si>
  <si>
    <t>POS_1M</t>
  </si>
  <si>
    <t>3M_POS</t>
  </si>
  <si>
    <t>LY1_POS</t>
  </si>
  <si>
    <t>LY3_POS</t>
  </si>
  <si>
    <t>1M差分_POS</t>
  </si>
  <si>
    <t>3M差分_POS</t>
  </si>
  <si>
    <t>GCS基準日</t>
  </si>
  <si>
    <t>H2数</t>
  </si>
  <si>
    <t>H3数</t>
  </si>
  <si>
    <t>本文文字数</t>
  </si>
  <si>
    <t>内部リンク数</t>
  </si>
  <si>
    <t>CTA有無</t>
  </si>
  <si>
    <t>構造化JSON</t>
  </si>
  <si>
    <t>https://natsui-sansu-juku.com/</t>
  </si>
  <si>
    <t>https://dokkai-labo.tokyo/</t>
  </si>
  <si>
    <t>https://koten-kakitsubata.jp/</t>
  </si>
  <si>
    <t>https://jukureiwa.com/</t>
  </si>
  <si>
    <t>https://rika-quest.com/</t>
  </si>
  <si>
    <t>https://juku-escot.com/</t>
  </si>
  <si>
    <t>https://eigo-rewrite.com/</t>
  </si>
  <si>
    <t>https://www.kokugo-trigger.com/</t>
  </si>
  <si>
    <t>https://eng-support.com/</t>
  </si>
  <si>
    <t>https://eigo-rewrite.com/toritsu/</t>
  </si>
  <si>
    <t>https://dokkai-labo.tokyo/hilevel_lec_univ_online/</t>
  </si>
  <si>
    <t>https://natsui-sansu-juku.com/kobetsu_online/</t>
  </si>
  <si>
    <t>https://dokkai-labo.tokyo/kobetsuonline01/</t>
  </si>
  <si>
    <t>https://juku-escot.com/online/</t>
  </si>
  <si>
    <t>https://dokkai-labo.tokyo/kobetsuonline02/</t>
  </si>
  <si>
    <t>https://natsui-sansu-juku.com/web/</t>
  </si>
  <si>
    <t>https://jukureiwa.com/tanpatsu/</t>
  </si>
  <si>
    <t>https://jukureiwa.com/honka/</t>
  </si>
  <si>
    <t>https://dokkai-labo.tokyo/live/</t>
  </si>
  <si>
    <t>https://koten-kakitsubata.jp/spot/</t>
  </si>
  <si>
    <t>https://juku-escot.com/english/</t>
  </si>
  <si>
    <t>https://dokkai-labo.tokyo/basisonline/</t>
  </si>
  <si>
    <t>https://natsui-sansu-juku.com/5master/</t>
  </si>
  <si>
    <t>https://rika-quest.com/kouza/</t>
  </si>
  <si>
    <t>https://jukureiwa.com/kouza/</t>
  </si>
  <si>
    <t>https://eigo-rewrite.com/kobetsueisakubun/</t>
  </si>
  <si>
    <t>https://eigo-rewrite.com/listening/</t>
  </si>
  <si>
    <t>https://koten-kakitsubata.jp/school-exam/</t>
  </si>
  <si>
    <t>https://koten-kakitsubata.jp/enter-exam/</t>
  </si>
  <si>
    <t>https://eigo-rewrite.com/live/</t>
  </si>
  <si>
    <t>https://dokkai-labo.tokyo/onlinetokuten/</t>
  </si>
  <si>
    <t>https://natsui-sansu-juku.com/kobetsu/</t>
  </si>
  <si>
    <t>https://dokkai-labo.tokyo/bootcamp/</t>
  </si>
  <si>
    <t>https://juku-escot.com/japanese/</t>
  </si>
  <si>
    <t>https://dokkai-labo.tokyo/univ01/</t>
  </si>
  <si>
    <t>https://juku-escot.com/kouza/j1-math/</t>
  </si>
  <si>
    <t>https://koten-kakitsubata.jp/kouza/</t>
  </si>
  <si>
    <t>https://dokkai-labo.tokyo/tokuten_fifth/</t>
  </si>
  <si>
    <t>https://eigo-rewrite.com/vocabulary/</t>
  </si>
  <si>
    <t>https://natsui-sansu-juku.com/lastmilers/</t>
  </si>
  <si>
    <t>https://dokkai-labo.tokyo/univ02/</t>
  </si>
  <si>
    <t>https://eigo-rewrite.com/bunpou/</t>
  </si>
  <si>
    <t>https://dokkai-labo.tokyo/lesson/1-1high/</t>
  </si>
  <si>
    <t>https://eng-support.com/kouza/</t>
  </si>
  <si>
    <t>https://juku-escot.com/school_english/</t>
  </si>
  <si>
    <t>https://juku-escot.com/kouza/h1-math/</t>
  </si>
  <si>
    <t>https://juku-escot.com/onepoint/</t>
  </si>
  <si>
    <t>https://www.kokugo-trigger.com/kouza/</t>
  </si>
  <si>
    <t>https://juku-escot.com/kouza/j3-math/</t>
  </si>
  <si>
    <t>https://juku-escot.com/school/</t>
  </si>
  <si>
    <t>https://dokkai-labo.tokyo/basis/</t>
  </si>
  <si>
    <t>https://eigo-rewrite.com/dokkaikyouka/</t>
  </si>
  <si>
    <t>https://juku-escot.com/kouza/j1-english/</t>
  </si>
  <si>
    <t>https://juku-escot.com/mathematics/</t>
  </si>
  <si>
    <t>https://juku-escot.com/school_math/</t>
  </si>
  <si>
    <t>https://dokkai-labo.tokyo/lesson/hilevel_lec_univ/</t>
  </si>
  <si>
    <t>https://dokkai-labo.tokyo/tokuten/</t>
  </si>
  <si>
    <t>https://dokkai-labo.tokyo/lesson/1-1elem/</t>
  </si>
  <si>
    <t>https://juku-escot.com/purpose/</t>
  </si>
  <si>
    <t>https://juku-escot.com/examination/</t>
  </si>
  <si>
    <t>https://dokkai-labo.tokyo/grammer/</t>
  </si>
  <si>
    <t>https://juku-escot.com/kouza/j2-english/</t>
  </si>
  <si>
    <t>https://dokkai-labo.tokyo/summer/</t>
  </si>
  <si>
    <t>https://juku-escot.com/kouza/jyuken-english/</t>
  </si>
  <si>
    <t>https://dokkai-labo.tokyo/lesson/chocolabo/</t>
  </si>
  <si>
    <t>https://juku-escot.com/kouza/jyuken-japanese/</t>
  </si>
  <si>
    <t>https://dokkai-labo.tokyo/summercourse/</t>
  </si>
  <si>
    <t>https://juku-escot.com/kouza/h1-english/</t>
  </si>
  <si>
    <t>https://juku-escot.com/kouza/j2-math/</t>
  </si>
  <si>
    <t>https://juku-escot.com/kouza/j3-english/</t>
  </si>
  <si>
    <t>https://juku-escot.com/kouza/jyuken-math/</t>
  </si>
  <si>
    <t>https://natsui-sansu-juku.com/kouza/</t>
  </si>
  <si>
    <t>https://natsui-sansu-juku.com/column/h51-01/</t>
  </si>
  <si>
    <t>https://natsui-sansu-juku.com/sapix-2/</t>
  </si>
  <si>
    <t>https://natsui-sansu-juku.com/column/baainokazu/</t>
  </si>
  <si>
    <t>https://natsui-sansu-juku.com/column/hayasamondai/</t>
  </si>
  <si>
    <t>https://natsui-sansu-juku.com/column/bunsyoudai/</t>
  </si>
  <si>
    <t>https://natsui-sansu-juku.com/column/rittaizukei/</t>
  </si>
  <si>
    <t>https://natsui-sansu-juku.com/column/510-09/</t>
  </si>
  <si>
    <t>https://natsui-sansu-juku.com/column/510-08/</t>
  </si>
  <si>
    <t>https://natsui-sansu-juku.com/column/200314/</t>
  </si>
  <si>
    <t>https://natsui-sansu-juku.com/column/510-02/</t>
  </si>
  <si>
    <t>https://natsui-sansu-juku.com/column/510-13/</t>
  </si>
  <si>
    <t>https://natsui-sansu-juku.com/column/zukei/</t>
  </si>
  <si>
    <t>https://natsui-sansu-juku.com/column/510-03/</t>
  </si>
  <si>
    <t>https://natsui-sansu-juku.com/column/510-06/</t>
  </si>
  <si>
    <t>https://natsui-sansu-juku.com/column/510-07/</t>
  </si>
  <si>
    <t>https://natsui-sansu-juku.com/nichinoken-2/</t>
  </si>
  <si>
    <t>https://natsui-sansu-juku.com/col_blog/bunsyoudaihi/</t>
  </si>
  <si>
    <t>https://natsui-sansu-juku.com/column/510-04/</t>
  </si>
  <si>
    <t>https://natsui-sansu-juku.com/col_blog/bunsyoudaipurint/</t>
  </si>
  <si>
    <t>https://natsui-sansu-juku.com/access/</t>
  </si>
  <si>
    <t>https://natsui-sansu-juku.com/column/510-12/</t>
  </si>
  <si>
    <t>https://natsui-sansu-juku.com/col_blog/online4merit/</t>
  </si>
  <si>
    <t>https://natsui-sansu-juku.com/column/h51-02/</t>
  </si>
  <si>
    <t>https://natsui-sansu-juku.com/vacant_online/</t>
  </si>
  <si>
    <t>https://natsui-sansu-juku.com/p4/</t>
  </si>
  <si>
    <t>https://natsui-sansu-juku.com/column/hub-bunshodai/</t>
  </si>
  <si>
    <t>https://natsui-sansu-juku.com/sapix/</t>
  </si>
  <si>
    <t>https://natsui-sansu-juku.com/waseaca-2/</t>
  </si>
  <si>
    <t>https://natsui-sansu-juku.com/profile/</t>
  </si>
  <si>
    <t>https://natsui-sansu-juku.com/column/nichinouken/</t>
  </si>
  <si>
    <t>https://natsui-sansu-juku.com/waseda_academy/</t>
  </si>
  <si>
    <t>https://natsui-sansu-juku.com/column/hub-zukei-hayasa/</t>
  </si>
  <si>
    <t>https://natsui-sansu-juku.com/column/kaisei-2/</t>
  </si>
  <si>
    <t>https://natsui-sansu-juku.com/yotsuyaootuka-2/</t>
  </si>
  <si>
    <t>https://natsui-sansu-juku.com/column/hub-juku/</t>
  </si>
  <si>
    <t>https://natsui-sansu-juku.com/column/510-11/</t>
  </si>
  <si>
    <t>https://natsui-sansu-juku.com/column/nanmon/</t>
  </si>
  <si>
    <t>https://natsui-sansu-juku.com/column/waseda-2/</t>
  </si>
  <si>
    <t>https://natsui-sansu-juku.com/col_blog/onlinekoukateki/</t>
  </si>
  <si>
    <t>https://natsui-sansu-juku.com/col_blog/bunsyoudaitaisaku/</t>
  </si>
  <si>
    <t>https://natsui-sansu-juku.com/corporate_data/</t>
  </si>
  <si>
    <t>https://natsui-sansu-juku.com/column/sapix-15/</t>
  </si>
  <si>
    <t>https://natsui-sansu-juku.com/info/iten/</t>
  </si>
  <si>
    <t>https://natsui-sansu-juku.com/col_blog/online-sansu-kobetsu-rittaizukei/</t>
  </si>
  <si>
    <t>https://natsui-sansu-juku.com/column/sapix/</t>
  </si>
  <si>
    <t>https://natsui-sansu-juku.com/column/qa6/</t>
  </si>
  <si>
    <t>https://natsui-sansu-juku.com/col_blog/sansu-nobinai-online/</t>
  </si>
  <si>
    <t>https://natsui-sansu-juku.com/col_blog/online-sansu-kobetsu-baino-kazu/</t>
  </si>
  <si>
    <t>https://natsui-sansu-juku.com/column/qa2/</t>
  </si>
  <si>
    <t>https://natsui-sansu-juku.com/column/jyoshigakuin-2/</t>
  </si>
  <si>
    <t>https://natsui-sansu-juku.com/column/qa5/</t>
  </si>
  <si>
    <t>https://natsui-sansu-juku.com/col_blog/online-math/</t>
  </si>
  <si>
    <t>https://natsui-sansu-juku.com/column/qa4/</t>
  </si>
  <si>
    <t>https://natsui-sansu-juku.com/col_blog/bunsyoudaikotsu/</t>
  </si>
  <si>
    <t>https://natsui-sansu-juku.com/col_blog/kakomon-online-checklist/</t>
  </si>
  <si>
    <t>https://natsui-sansu-juku.com/story001/</t>
  </si>
  <si>
    <t>https://natsui-sansu-juku.com/story002/</t>
  </si>
  <si>
    <t>https://natsui-sansu-juku.com/col_blog/online-sansu-chokuzen/</t>
  </si>
  <si>
    <t>https://natsui-sansu-juku.com/purpose/</t>
  </si>
  <si>
    <t>https://natsui-sansu-juku.com/p5_b/</t>
  </si>
  <si>
    <t>https://natsui-sansu-juku.com/col_blog/onlineryuukou/</t>
  </si>
  <si>
    <t>https://natsui-sansu-juku.com/column/hub-online-guide/</t>
  </si>
  <si>
    <t>https://natsui-sansu-juku.com/column/hub-kakomon/</t>
  </si>
  <si>
    <t>https://natsui-sansu-juku.com/col_blog/online-tutor-math/</t>
  </si>
  <si>
    <t>https://natsui-sansu-juku.com/column/510-10/</t>
  </si>
  <si>
    <t>https://natsui-sansu-juku.com/what_is_asen/</t>
  </si>
  <si>
    <t>https://natsui-sansu-juku.com/col_blog/online-sansu-kobetsu-keisan-miss/</t>
  </si>
  <si>
    <t>https://natsui-sansu-juku.com/column/waseda_academy/</t>
  </si>
  <si>
    <t>https://natsui-sansu-juku.com/column/hub-online-use/</t>
  </si>
  <si>
    <t>https://natsui-sansu-juku.com/col_blog/online-math-juku/</t>
  </si>
  <si>
    <t>https://natsui-sansu-juku.com/col_blog/online4/</t>
  </si>
  <si>
    <t>https://natsui-sansu-juku.com/col_blog/shiko-keisan-online/</t>
  </si>
  <si>
    <t>https://natsui-sansu-juku.com/col_blog/online-sansu-kobetsu-bunshodai/</t>
  </si>
  <si>
    <t>https://natsui-sansu-juku.com/col_blog/onlinerival/</t>
  </si>
  <si>
    <t>https://natsui-sansu-juku.com/col_blog/online-sansu-34/</t>
  </si>
  <si>
    <t>https://natsui-sansu-juku.com/column/withyou/</t>
  </si>
  <si>
    <t>https://natsui-sansu-juku.com/info/2025kakikousixyu/</t>
  </si>
  <si>
    <t>https://natsui-sansu-juku.com/col_blog/online-math-4to6/</t>
  </si>
  <si>
    <t>https://natsui-sansu-juku.com/info/20200204/</t>
  </si>
  <si>
    <t>https://natsui-sansu-juku.com/info/190507-2/</t>
  </si>
  <si>
    <t>https://natsui-sansu-juku.com/school/</t>
  </si>
  <si>
    <t>https://natsui-sansu-juku.com/nichinouken/</t>
  </si>
  <si>
    <t>https://natsui-sansu-juku.com/timetable/</t>
  </si>
  <si>
    <t>https://natsui-sansu-juku.com/col_blog/bunsyoudaikokuhuku/</t>
  </si>
  <si>
    <t>https://natsui-sansu-juku.com/column/h51-03/</t>
  </si>
  <si>
    <t>https://natsui-sansu-juku.com/info/180605/</t>
  </si>
  <si>
    <t>https://natsui-sansu-juku.com/column/510-05/</t>
  </si>
  <si>
    <t>https://natsui-sansu-juku.com/inquiry/</t>
  </si>
  <si>
    <t>https://natsui-sansu-juku.com/col_blog/onlineservice/</t>
  </si>
  <si>
    <t>https://natsui-sansu-juku.com/column/hub-qa-jiki/</t>
  </si>
  <si>
    <t>https://natsui-sansu-juku.com/vacant_online_season/</t>
  </si>
  <si>
    <t>https://natsui-sansu-juku.com/column/kokogachigau/</t>
  </si>
  <si>
    <t>https://natsui-sansu-juku.com/vacant_sum/</t>
  </si>
  <si>
    <t>https://natsui-sansu-juku.com/col_blog/online-sansu-56/</t>
  </si>
  <si>
    <t>https://natsui-sansu-juku.com/timetable_season/</t>
  </si>
  <si>
    <t>https://natsui-sansu-juku.com/info/2026年度生徒募集のお知らせ【個別】/</t>
  </si>
  <si>
    <t>https://natsui-sansu-juku.com/col_blog/onlinerikai/</t>
  </si>
  <si>
    <t>https://natsui-sansu-juku.com/column/syou4/</t>
  </si>
  <si>
    <t>https://natsui-sansu-juku.com/info/481/</t>
  </si>
  <si>
    <t>https://natsui-sansu-juku.com/column/shibushibu-2/</t>
  </si>
  <si>
    <t>https://natsui-sansu-juku.com/info/250215/</t>
  </si>
  <si>
    <t>https://natsui-sansu-juku.com/info/20210921/</t>
  </si>
  <si>
    <t>https://natsui-sansu-juku.com/info/221212/</t>
  </si>
  <si>
    <t>https://natsui-sansu-juku.com/info/20210723/</t>
  </si>
  <si>
    <t>https://natsui-sansu-juku.com/column/q＆a（3）/</t>
  </si>
  <si>
    <t>https://natsui-sansu-juku.com/info/20210101/</t>
  </si>
  <si>
    <t>https://natsui-sansu-juku.com/column/kobetsu_mayoi_judge/</t>
  </si>
  <si>
    <t>https://natsui-sansu-juku.com/column/tokuten_detail/</t>
  </si>
  <si>
    <t>https://natsui-sansu-juku.com/info/190507/</t>
  </si>
  <si>
    <t>https://natsui-sansu-juku.com/info/2025年度冬期講習のお知らせ【個別指導】/</t>
  </si>
  <si>
    <t>https://natsui-sansu-juku.com/info/2024年度夏期講習のお知らせ【個別】/</t>
  </si>
  <si>
    <t>https://natsui-sansu-juku.com/col_blog/bunsyoudaibenkyouhou/</t>
  </si>
  <si>
    <t>https://natsui-sansu-juku.com/col_blog/onlinesansuu/</t>
  </si>
  <si>
    <t>https://natsui-sansu-juku.com/info/190303/</t>
  </si>
  <si>
    <t>https://natsui-sansu-juku.com/info/2024年度冬期講習のお知らせ【個別指導】/</t>
  </si>
  <si>
    <t>https://natsui-sansu-juku.com/p6_a/</t>
  </si>
  <si>
    <t>https://natsui-sansu-juku.com/info/2024年度春期講習のお知らせ【個別】/</t>
  </si>
  <si>
    <t>https://natsui-sansu-juku.com/info/2024年度生徒募集のお知らせ【個別】/</t>
  </si>
  <si>
    <t>https://natsui-sansu-juku.com/info/2025sixyunkikousixyu/</t>
  </si>
  <si>
    <t>https://natsui-sansu-juku.com/era/</t>
  </si>
  <si>
    <t>https://natsui-sansu-juku.com/p6_b/</t>
  </si>
  <si>
    <t>https://natsui-sansu-juku.com/p5_a/</t>
  </si>
  <si>
    <t>https://natsui-sansu-juku.com/column/syou5zenhan/</t>
  </si>
  <si>
    <t>https://natsui-sansu-juku.com/column/onlinekobetsu3/</t>
  </si>
  <si>
    <t>https://natsui-sansu-juku.com/situation/</t>
  </si>
  <si>
    <t>https://natsui-sansu-juku.com/column/routine/</t>
  </si>
  <si>
    <t>https://natsui-sansu-juku.com/col_blog/onlineheigai/</t>
  </si>
  <si>
    <t>https://natsui-sansu-juku.com/col_blog/onlinekouka/</t>
  </si>
  <si>
    <t>https://natsui-sansu-juku.com/col_blog/online-sansu-kobetsu-hayasa-kaizen/</t>
  </si>
  <si>
    <t>https://natsui-sansu-juku.com/col_blog/online-sansu-kobetsu-hi-wariai/</t>
  </si>
  <si>
    <t>https://natsui-sansu-juku.com/col_blog/sapix算数の弱点をオンライン個別で効率よく補強す/</t>
  </si>
  <si>
    <t>https://natsui-sansu-juku.com/info/170101/</t>
  </si>
  <si>
    <t>https://natsui-sansu-juku.com/info/170311/</t>
  </si>
  <si>
    <t>https://natsui-sansu-juku.com/info/170524/</t>
  </si>
  <si>
    <t>https://natsui-sansu-juku.com/info/170611/</t>
  </si>
  <si>
    <t>https://natsui-sansu-juku.com/info/171007/</t>
  </si>
  <si>
    <t>https://natsui-sansu-juku.com/info/171105/</t>
  </si>
  <si>
    <t>https://natsui-sansu-juku.com/info/180101/</t>
  </si>
  <si>
    <t>https://natsui-sansu-juku.com/info/180228/</t>
  </si>
  <si>
    <t>https://natsui-sansu-juku.com/info/180301/</t>
  </si>
  <si>
    <t>https://natsui-sansu-juku.com/info/180617_01/</t>
  </si>
  <si>
    <t>https://natsui-sansu-juku.com/info/200101/</t>
  </si>
  <si>
    <t>https://natsui-sansu-juku.com/info/200708/</t>
  </si>
  <si>
    <t>https://natsui-sansu-juku.com/info/2018winter/</t>
  </si>
  <si>
    <t>https://natsui-sansu-juku.com/info/20190101/</t>
  </si>
  <si>
    <t>https://natsui-sansu-juku.com/info/20190101w/</t>
  </si>
  <si>
    <t>https://natsui-sansu-juku.com/info/20190620/</t>
  </si>
  <si>
    <t>https://natsui-sansu-juku.com/info/2019winter/</t>
  </si>
  <si>
    <t>https://natsui-sansu-juku.com/info/20201022/</t>
  </si>
  <si>
    <t>https://natsui-sansu-juku.com/info/20201119/</t>
  </si>
  <si>
    <t>https://natsui-sansu-juku.com/info/20210308/</t>
  </si>
  <si>
    <t>https://natsui-sansu-juku.com/info/20210406-2/</t>
  </si>
  <si>
    <t>https://natsui-sansu-juku.com/info/20210406/</t>
  </si>
  <si>
    <t>https://natsui-sansu-juku.com/info/20210707/</t>
  </si>
  <si>
    <t>https://natsui-sansu-juku.com/info/2021年度生徒募集のお知らせ【個別】/</t>
  </si>
  <si>
    <t>https://natsui-sansu-juku.com/info/2022年度夏期講習のお知らせ【個別指導】/</t>
  </si>
  <si>
    <t>https://natsui-sansu-juku.com/info/2022年度春期講習のお知らせ【個別】/</t>
  </si>
  <si>
    <t>https://natsui-sansu-juku.com/info/2022年度生徒募集のお知らせ【個別】/</t>
  </si>
  <si>
    <t>https://natsui-sansu-juku.com/info/2022年度冬期講習のお知らせ【個別指導】-2/</t>
  </si>
  <si>
    <t>https://natsui-sansu-juku.com/info/2022年度冬期講習のお知らせ【個別指導】/</t>
  </si>
  <si>
    <t>https://natsui-sansu-juku.com/info/2023年度夏期講習のお知らせ【個別】/</t>
  </si>
  <si>
    <t>https://natsui-sansu-juku.com/info/2023年度春期講習のお知らせ【個別】/</t>
  </si>
  <si>
    <t>https://natsui-sansu-juku.com/info/2023年度生徒募集のお知らせ【個別】/</t>
  </si>
  <si>
    <t>https://natsui-sansu-juku.com/info/2023年度冬期講習のお知らせ【個別指導】/</t>
  </si>
  <si>
    <t>https://natsui-sansu-juku.com/col_blog/nichinoken-online-sansu/</t>
  </si>
  <si>
    <t>https://natsui-sansu-juku.com/col_blog/waseaka-online-sansu/</t>
  </si>
  <si>
    <t>https://natsui-sansu-juku.com/col_blog/yoshu-series-online/</t>
  </si>
  <si>
    <t>https://natsui-sansu-juku.com/column/qa/</t>
  </si>
  <si>
    <t>https://dokkai-labo.tokyo/blog/description-2/</t>
  </si>
  <si>
    <t>https://dokkai-labo.tokyo/blog/yoshu-series-kokugo-review-cycle/</t>
  </si>
  <si>
    <t>https://dokkai-labo.tokyo/blog/ootechuugakuzyukunokokugotekisutohikaku/</t>
  </si>
  <si>
    <t>https://dokkai-labo.tokyo/blog/kokugo-kakomon/</t>
  </si>
  <si>
    <t>https://dokkai-labo.tokyo/setsumeibun/</t>
  </si>
  <si>
    <t>https://dokkai-labo.tokyo/blog/description/</t>
  </si>
  <si>
    <t>https://dokkai-labo.tokyo/blog/kokugobunpouigi/</t>
  </si>
  <si>
    <t>https://dokkai-labo.tokyo/blog/jikanhaibun/</t>
  </si>
  <si>
    <t>https://dokkai-labo.tokyo/kijutsuryoku/</t>
  </si>
  <si>
    <t>https://dokkai-labo.tokyo/monogataribun/</t>
  </si>
  <si>
    <t>https://dokkai-labo.tokyo/profile/</t>
  </si>
  <si>
    <t>https://dokkai-labo.tokyo/blog/kokugotesuto/</t>
  </si>
  <si>
    <t>https://dokkai-labo.tokyo/blog/kijutsu_miss3/</t>
  </si>
  <si>
    <t>https://dokkai-labo.tokyo/blog/gakusyuuhou/</t>
  </si>
  <si>
    <t>https://dokkai-labo.tokyo/blog/shibushibu/</t>
  </si>
  <si>
    <t>https://dokkai-labo.tokyo/blog/17022401/</t>
  </si>
  <si>
    <t>https://dokkai-labo.tokyo/blog/bunpou/</t>
  </si>
  <si>
    <t>https://dokkai-labo.tokyo/blog/essay/</t>
  </si>
  <si>
    <t>https://dokkai-labo.tokyo/blog/kokorogamae/</t>
  </si>
  <si>
    <t>https://dokkai-labo.tokyo/col_blog/balance/</t>
  </si>
  <si>
    <t>https://dokkai-labo.tokyo/blog/181214/</t>
  </si>
  <si>
    <t>https://dokkai-labo.tokyo/blog/poetry/</t>
  </si>
  <si>
    <t>https://dokkai-labo.tokyo/blog/kaisei2021/</t>
  </si>
  <si>
    <t>https://dokkai-labo.tokyo/blog/sapix/</t>
  </si>
  <si>
    <t>https://dokkai-labo.tokyo/blog/20020701/</t>
  </si>
  <si>
    <t>https://dokkai-labo.tokyo/blog/200214/</t>
  </si>
  <si>
    <t>https://dokkai-labo.tokyo/blog/nada2021/</t>
  </si>
  <si>
    <t>https://dokkai-labo.tokyo/blog/souzitsu2021/</t>
  </si>
  <si>
    <t>https://dokkai-labo.tokyo/col_blog/kokugo-speed-up/</t>
  </si>
  <si>
    <t>https://dokkai-labo.tokyo/blog/utokyo/</t>
  </si>
  <si>
    <t>https://dokkai-labo.tokyo/blog/ferisu2021/</t>
  </si>
  <si>
    <t>https://dokkai-labo.tokyo/col_blog/kokugo-online-only/</t>
  </si>
  <si>
    <t>https://dokkai-labo.tokyo/blog/rasa-ru2021/</t>
  </si>
  <si>
    <t>https://dokkai-labo.tokyo/col_blog/yomitobashi-online/</t>
  </si>
  <si>
    <t>https://dokkai-labo.tokyo/access/</t>
  </si>
  <si>
    <t>https://dokkai-labo.tokyo/blog/200301/</t>
  </si>
  <si>
    <t>https://dokkai-labo.tokyo/blog/seikou2021/</t>
  </si>
  <si>
    <t>https://dokkai-labo.tokyo/blog/waseda2021/</t>
  </si>
  <si>
    <t>https://dokkai-labo.tokyo/blog/chobunkotsu/</t>
  </si>
  <si>
    <t>https://dokkai-labo.tokyo/blog/asano2021/</t>
  </si>
  <si>
    <t>https://dokkai-labo.tokyo/blog/jyoshigakuin2021/</t>
  </si>
  <si>
    <t>https://dokkai-labo.tokyo/blog/ouin2021/</t>
  </si>
  <si>
    <t>https://dokkai-labo.tokyo/col_blog/nichinoken-kokugo-latest-gap/</t>
  </si>
  <si>
    <t>https://dokkai-labo.tokyo/blog/200229/</t>
  </si>
  <si>
    <t>https://dokkai-labo.tokyo/blog/tosimagaoka2021/</t>
  </si>
  <si>
    <t>https://dokkai-labo.tokyo/col_blog/goiryoku-kyoka/</t>
  </si>
  <si>
    <t>https://dokkai-labo.tokyo/blog/19052602/</t>
  </si>
  <si>
    <t>https://dokkai-labo.tokyo/blog/200228/</t>
  </si>
  <si>
    <t>https://dokkai-labo.tokyo/blog/kaizyou2021/</t>
  </si>
  <si>
    <t>https://dokkai-labo.tokyo/schedule/</t>
  </si>
  <si>
    <t>https://dokkai-labo.tokyo/blog/20020702/</t>
  </si>
  <si>
    <t>https://dokkai-labo.tokyo/blog/hensachi/</t>
  </si>
  <si>
    <t>https://dokkai-labo.tokyo/blog/musashi2021/</t>
  </si>
  <si>
    <t>https://dokkai-labo.tokyo/blog/shogaku6-kokugo-kakomon-start-timing/</t>
  </si>
  <si>
    <t>https://dokkai-labo.tokyo/col_blog/waseda-academy-kokugo-speed/</t>
  </si>
  <si>
    <t>https://dokkai-labo.tokyo/blog/200212/</t>
  </si>
  <si>
    <t>https://dokkai-labo.tokyo/blog/futaba2021/</t>
  </si>
  <si>
    <t>https://dokkai-labo.tokyo/blog/mogishiken_review/</t>
  </si>
  <si>
    <t>https://dokkai-labo.tokyo/オンライン/</t>
  </si>
  <si>
    <t>https://dokkai-labo.tokyo/blog/17022402/</t>
  </si>
  <si>
    <t>https://dokkai-labo.tokyo/blog/170620/</t>
  </si>
  <si>
    <t>https://dokkai-labo.tokyo/col_blog/katei-kokugo-oshi-enai/</t>
  </si>
  <si>
    <t>https://dokkai-labo.tokyo/blog/komatou2021/</t>
  </si>
  <si>
    <t>https://dokkai-labo.tokyo/blog/sapix_52b_02/</t>
  </si>
  <si>
    <t>https://dokkai-labo.tokyo/blog/shogaku6-kokugo-priority-strategy/</t>
  </si>
  <si>
    <t>https://dokkai-labo.tokyo/blog/tsukukoma2021/</t>
  </si>
  <si>
    <t>https://dokkai-labo.tokyo/col_blog/col_blog-iikae-taibi-inga/</t>
  </si>
  <si>
    <t>https://dokkai-labo.tokyo/col_blog/dokkai-shori-junban/</t>
  </si>
  <si>
    <t>https://dokkai-labo.tokyo/col_blog/monogataribun-online/</t>
  </si>
  <si>
    <t>https://dokkai-labo.tokyo/blog/azabu2021/</t>
  </si>
  <si>
    <t>https://dokkai-labo.tokyo/blog/shouronbunmaster/</t>
  </si>
  <si>
    <t>https://dokkai-labo.tokyo/col_blog/fuan-aseri-shikouteishi/</t>
  </si>
  <si>
    <t>https://dokkai-labo.tokyo/col_blog/home-study-mistakes/</t>
  </si>
  <si>
    <t>https://dokkai-labo.tokyo/col_blog/kokugo-fee/</t>
  </si>
  <si>
    <t>https://dokkai-labo.tokyo/col_blog/sapix-kokugo-kijutsu/</t>
  </si>
  <si>
    <t>https://dokkai-labo.tokyo/corporate_data/</t>
  </si>
  <si>
    <t>https://dokkai-labo.tokyo/info/180726_iten/</t>
  </si>
  <si>
    <t>https://dokkai-labo.tokyo/info/190507-2/</t>
  </si>
  <si>
    <t>https://dokkai-labo.tokyo/info/20200204/</t>
  </si>
  <si>
    <t>https://dokkai-labo.tokyo/info/2025年度冬期講習開講のお知らせ/</t>
  </si>
  <si>
    <t>https://dokkai-labo.tokyo/blog/17022403/</t>
  </si>
  <si>
    <t>https://dokkai-labo.tokyo/blog/approach/</t>
  </si>
  <si>
    <t>https://dokkai-labo.tokyo/blog/difficult-problem/</t>
  </si>
  <si>
    <t>https://dokkai-labo.tokyo/blog/kokugoshidou/</t>
  </si>
  <si>
    <t>https://dokkai-labo.tokyo/blog/sapix_52b_01/</t>
  </si>
  <si>
    <t>https://dokkai-labo.tokyo/blog/yosyu_series_05j012/</t>
  </si>
  <si>
    <t>https://dokkai-labo.tokyo/blog/yosyu_series_05j02/</t>
  </si>
  <si>
    <t>https://dokkai-labo.tokyo/col_blog/evidence-accuracy/</t>
  </si>
  <si>
    <t>https://dokkai-labo.tokyo/col_blog/kakomon-tsumazuki/</t>
  </si>
  <si>
    <t>https://dokkai-labo.tokyo/col_blog/kijutsu-improve-by-type/</t>
  </si>
  <si>
    <t>https://dokkai-labo.tokyo/col_blog/kijutsu-process/</t>
  </si>
  <si>
    <t>https://dokkai-labo.tokyo/col_blog/kijutsu-train/</t>
  </si>
  <si>
    <t>https://dokkai-labo.tokyo/col_blog/monogataribun-choice/</t>
  </si>
  <si>
    <t>https://dokkai-labo.tokyo/col_blog/online-kokugo/</t>
  </si>
  <si>
    <t>https://dokkai-labo.tokyo/col_blog/sentakushi-kijutsu/</t>
  </si>
  <si>
    <t>https://dokkai-labo.tokyo/col_blog/tensaku-guide/</t>
  </si>
  <si>
    <t>https://dokkai-labo.tokyo/info/190507/</t>
  </si>
  <si>
    <t>https://dokkai-labo.tokyo/info/20210723/</t>
  </si>
  <si>
    <t>https://dokkai-labo.tokyo/info/2022年度冬期講習開講のお知らせ/</t>
  </si>
  <si>
    <t>https://dokkai-labo.tokyo/info/2024年度冬期講習開講のお知らせ/</t>
  </si>
  <si>
    <t>https://dokkai-labo.tokyo/timetable/</t>
  </si>
  <si>
    <t>https://dokkai-labo.tokyo/blog/161214/</t>
  </si>
  <si>
    <t>https://dokkai-labo.tokyo/blog/180203/</t>
  </si>
  <si>
    <t>https://dokkai-labo.tokyo/blog/190104/</t>
  </si>
  <si>
    <t>https://dokkai-labo.tokyo/blog/190526/</t>
  </si>
  <si>
    <t>https://dokkai-labo.tokyo/blog/200328/</t>
  </si>
  <si>
    <t>https://dokkai-labo.tokyo/blog/benkyouhou/</t>
  </si>
  <si>
    <t>https://dokkai-labo.tokyo/blog/chujutorisetsu/</t>
  </si>
  <si>
    <t>https://dokkai-labo.tokyo/blog/keiougizyuku2021/</t>
  </si>
  <si>
    <t>https://dokkai-labo.tokyo/blog/kokugo-kijutsu-before-after/</t>
  </si>
  <si>
    <t>https://dokkai-labo.tokyo/blog/note/</t>
  </si>
  <si>
    <t>https://dokkai-labo.tokyo/blog/sapix_52b_03/</t>
  </si>
  <si>
    <t>https://dokkai-labo.tokyo/blog/sapix_52b_04/</t>
  </si>
  <si>
    <t>https://dokkai-labo.tokyo/blog/sapix_52b_05/</t>
  </si>
  <si>
    <t>https://dokkai-labo.tokyo/blog/sapix_52b_06/</t>
  </si>
  <si>
    <t>https://dokkai-labo.tokyo/blog/syougakuseidokkai/</t>
  </si>
  <si>
    <t>https://dokkai-labo.tokyo/blog/test/</t>
  </si>
  <si>
    <t>https://dokkai-labo.tokyo/blog/yosyu_series_05j01/</t>
  </si>
  <si>
    <t>https://dokkai-labo.tokyo/blog/yosyu_series_05j010/</t>
  </si>
  <si>
    <t>https://dokkai-labo.tokyo/blog/yosyu_series_05j011/</t>
  </si>
  <si>
    <t>https://dokkai-labo.tokyo/blog/yosyu_series_05j013/</t>
  </si>
  <si>
    <t>https://dokkai-labo.tokyo/blog/yosyu_series_05j014/</t>
  </si>
  <si>
    <t>https://dokkai-labo.tokyo/blog/yosyu_series_05j015/</t>
  </si>
  <si>
    <t>https://dokkai-labo.tokyo/blog/yosyu_series_05j016/</t>
  </si>
  <si>
    <t>https://dokkai-labo.tokyo/blog/yosyu_series_05j017/</t>
  </si>
  <si>
    <t>https://dokkai-labo.tokyo/blog/yosyu_series_05j03/</t>
  </si>
  <si>
    <t>https://dokkai-labo.tokyo/blog/yosyu_series_05j04/</t>
  </si>
  <si>
    <t>https://dokkai-labo.tokyo/blog/yosyu_series_05j05/</t>
  </si>
  <si>
    <t>https://dokkai-labo.tokyo/blog/yosyu_series_05j06/</t>
  </si>
  <si>
    <t>https://dokkai-labo.tokyo/blog/yosyu_series_05j07/</t>
  </si>
  <si>
    <t>https://dokkai-labo.tokyo/blog/yosyu_series_05j08/</t>
  </si>
  <si>
    <t>https://dokkai-labo.tokyo/blog/yosyu_series_05j09/</t>
  </si>
  <si>
    <t>https://dokkai-labo.tokyo/col_blog/dokkai-online-kobetsu/</t>
  </si>
  <si>
    <t>https://dokkai-labo.tokyo/col_blog/goi-online/</t>
  </si>
  <si>
    <t>https://dokkai-labo.tokyo/col_blog/goku-imi-dokkai/</t>
  </si>
  <si>
    <t>https://dokkai-labo.tokyo/col_blog/kokugo-evidence/</t>
  </si>
  <si>
    <t>https://dokkai-labo.tokyo/col_blog/kokugo-fix/</t>
  </si>
  <si>
    <t>https://dokkai-labo.tokyo/col_blog/kokugo-foundation/</t>
  </si>
  <si>
    <t>https://dokkai-labo.tokyo/col_blog/online-kokugo-home/</t>
  </si>
  <si>
    <t>https://dokkai-labo.tokyo/col_blog/sapix-kokugo-tsumazuki/</t>
  </si>
  <si>
    <t>https://dokkai-labo.tokyo/col_blog/setsumeibun-online/</t>
  </si>
  <si>
    <t>https://dokkai-labo.tokyo/col_blog/setsumon-yomichigai/</t>
  </si>
  <si>
    <t>https://dokkai-labo.tokyo/col_blog/shallow-comprehension/</t>
  </si>
  <si>
    <t>https://dokkai-labo.tokyo/contact/</t>
  </si>
  <si>
    <t>https://dokkai-labo.tokyo/info/161214/</t>
  </si>
  <si>
    <t>https://dokkai-labo.tokyo/info/170529_studyaidbook/</t>
  </si>
  <si>
    <t>https://dokkai-labo.tokyo/info/170624/</t>
  </si>
  <si>
    <t>https://dokkai-labo.tokyo/info/170707/</t>
  </si>
  <si>
    <t>https://dokkai-labo.tokyo/info/180101_02/</t>
  </si>
  <si>
    <t>https://dokkai-labo.tokyo/info/180101/</t>
  </si>
  <si>
    <t>https://dokkai-labo.tokyo/info/180205/</t>
  </si>
  <si>
    <t>https://dokkai-labo.tokyo/info/180208/</t>
  </si>
  <si>
    <t>https://dokkai-labo.tokyo/info/180225/</t>
  </si>
  <si>
    <t>https://dokkai-labo.tokyo/info/180616_01/</t>
  </si>
  <si>
    <t>https://dokkai-labo.tokyo/info/180616_02/</t>
  </si>
  <si>
    <t>https://dokkai-labo.tokyo/info/190303/</t>
  </si>
  <si>
    <t>https://dokkai-labo.tokyo/info/200101_01/</t>
  </si>
  <si>
    <t>https://dokkai-labo.tokyo/info/200101_02/</t>
  </si>
  <si>
    <t>https://dokkai-labo.tokyo/info/200228/</t>
  </si>
  <si>
    <t>https://dokkai-labo.tokyo/info/200229/</t>
  </si>
  <si>
    <t>https://dokkai-labo.tokyo/info/200402/</t>
  </si>
  <si>
    <t>https://dokkai-labo.tokyo/info/200410/</t>
  </si>
  <si>
    <t>https://dokkai-labo.tokyo/info/2018winter/</t>
  </si>
  <si>
    <t>https://dokkai-labo.tokyo/info/20190101/</t>
  </si>
  <si>
    <t>https://dokkai-labo.tokyo/info/20190101b/</t>
  </si>
  <si>
    <t>https://dokkai-labo.tokyo/info/20190101t/</t>
  </si>
  <si>
    <t>https://dokkai-labo.tokyo/info/20190104/</t>
  </si>
  <si>
    <t>https://dokkai-labo.tokyo/info/20190620/</t>
  </si>
  <si>
    <t>https://dokkai-labo.tokyo/info/20190924/</t>
  </si>
  <si>
    <t>https://dokkai-labo.tokyo/info/2019winter/</t>
  </si>
  <si>
    <t>https://dokkai-labo.tokyo/info/20200505/</t>
  </si>
  <si>
    <t>https://dokkai-labo.tokyo/info/20200516/</t>
  </si>
  <si>
    <t>https://dokkai-labo.tokyo/info/20200529/</t>
  </si>
  <si>
    <t>https://dokkai-labo.tokyo/info/20200713/</t>
  </si>
  <si>
    <t>https://dokkai-labo.tokyo/info/20201022/</t>
  </si>
  <si>
    <t>https://dokkai-labo.tokyo/info/20201119/</t>
  </si>
  <si>
    <t>https://dokkai-labo.tokyo/info/20210308/</t>
  </si>
  <si>
    <t>https://dokkai-labo.tokyo/info/20210406-2/</t>
  </si>
  <si>
    <t>https://dokkai-labo.tokyo/info/20210406/</t>
  </si>
  <si>
    <t>https://dokkai-labo.tokyo/info/20210707/</t>
  </si>
  <si>
    <t>https://dokkai-labo.tokyo/info/20210709/</t>
  </si>
  <si>
    <t>https://dokkai-labo.tokyo/info/20210921/</t>
  </si>
  <si>
    <t>https://dokkai-labo.tokyo/info/2022年度夏期講習会のお知らせ/</t>
  </si>
  <si>
    <t>https://dokkai-labo.tokyo/info/2022年度春期講習会のお知らせ/</t>
  </si>
  <si>
    <t>https://dokkai-labo.tokyo/info/2022年度生徒募集のお知らせ【個別】/</t>
  </si>
  <si>
    <t>https://dokkai-labo.tokyo/info/2023年度夏期講習会のお知らせ/</t>
  </si>
  <si>
    <t>https://dokkai-labo.tokyo/info/2023年度生徒募集のお知らせ【個別】/</t>
  </si>
  <si>
    <t>https://dokkai-labo.tokyo/info/2023年度冬期講習開講のお知らせ/</t>
  </si>
  <si>
    <t>https://dokkai-labo.tokyo/info/2024年度夏期講習会のお知らせ/</t>
  </si>
  <si>
    <t>https://dokkai-labo.tokyo/info/2024年度春期講習会のお知らせ/</t>
  </si>
  <si>
    <t>https://dokkai-labo.tokyo/info/2024年度生徒募集のお知らせ【個別】/</t>
  </si>
  <si>
    <t>https://dokkai-labo.tokyo/info/2025年-夏期講習-開講のお知らせ/</t>
  </si>
  <si>
    <t>https://dokkai-labo.tokyo/info/2025年-春期講習-開講のお知らせ/</t>
  </si>
  <si>
    <t>https://dokkai-labo.tokyo/info/202年度春期講習会のお知らせ/</t>
  </si>
  <si>
    <t>https://dokkai-labo.tokyo/intro/</t>
  </si>
  <si>
    <t>https://dokkai-labo.tokyo/publication/</t>
  </si>
  <si>
    <t>https://dokkai-labo.tokyo/timetable_mtg/</t>
  </si>
  <si>
    <t>https://dokkai-labo.tokyo/timetable_season/</t>
  </si>
  <si>
    <t>https://dokkai-labo.tokyo/vacant_sum/</t>
  </si>
  <si>
    <t>https://dokkai-labo.tokyo/webinfomation/</t>
  </si>
  <si>
    <t>https://juku-escot.com/taikeisuugaku/</t>
  </si>
  <si>
    <t>https://juku-escot.com/c_blogs/sakubunanki/</t>
  </si>
  <si>
    <t>https://juku-escot.com/column/suugakukika/</t>
  </si>
  <si>
    <t>https://juku-escot.com/c_blogs/1dayanki/</t>
  </si>
  <si>
    <t>https://juku-escot.com/c_blogs/30minanki/</t>
  </si>
  <si>
    <t>https://juku-escot.com/newtreasure/</t>
  </si>
  <si>
    <t>https://juku-escot.com/c_blogs/j-goukakuritsu/</t>
  </si>
  <si>
    <t>https://juku-escot.com/progress/</t>
  </si>
  <si>
    <t>https://juku-escot.com/column/fuyuyasumi/</t>
  </si>
  <si>
    <t>https://juku-escot.com/birdland/</t>
  </si>
  <si>
    <t>https://juku-escot.com/c_blogs/suugakukyouhu/</t>
  </si>
  <si>
    <t>https://juku-escot.com/column/junnikyuu/</t>
  </si>
  <si>
    <t>https://juku-escot.com/profile/</t>
  </si>
  <si>
    <t>https://juku-escot.com/c_blogs/suugakunaze/</t>
  </si>
  <si>
    <t>https://juku-escot.com/column/daisuubennkyouhou/</t>
  </si>
  <si>
    <t>https://juku-escot.com/c_blogs/suugakusyuusyoku/</t>
  </si>
  <si>
    <t>https://juku-escot.com/column/suugaku_miss/</t>
  </si>
  <si>
    <t>https://juku-escot.com/c_blogs/suugakurikei/</t>
  </si>
  <si>
    <t>https://juku-escot.com/c_blogs/j-goukakusurutameniha/</t>
  </si>
  <si>
    <t>https://juku-escot.com/access/</t>
  </si>
  <si>
    <t>https://juku-escot.com/column/butsurikagaku/</t>
  </si>
  <si>
    <t>https://juku-escot.com/c_blogs/syakaijinbenkyou/</t>
  </si>
  <si>
    <t>https://juku-escot.com/column/anki/</t>
  </si>
  <si>
    <t>https://juku-escot.com/column/keikaku_tatekata/</t>
  </si>
  <si>
    <t>https://juku-escot.com/column/chokuzen/</t>
  </si>
  <si>
    <t>https://juku-escot.com/c_blogs/issyunanki/</t>
  </si>
  <si>
    <t>https://juku-escot.com/column/ochikobore/</t>
  </si>
  <si>
    <t>https://juku-escot.com/c_blogs/image/</t>
  </si>
  <si>
    <t>https://juku-escot.com/company/</t>
  </si>
  <si>
    <t>https://juku-escot.com/column/haruyasumibenkyouhou/</t>
  </si>
  <si>
    <t>https://juku-escot.com/column/suugaku_ouyoumondai/</t>
  </si>
  <si>
    <t>https://juku-escot.com/c_blogs/cyokuzen/</t>
  </si>
  <si>
    <t>https://juku-escot.com/column/nakadarumiochikobore/</t>
  </si>
  <si>
    <t>https://juku-escot.com/c_blogs/yarukihouhou/</t>
  </si>
  <si>
    <t>https://juku-escot.com/column/ryouritsu/</t>
  </si>
  <si>
    <t>https://juku-escot.com/column/merit/</t>
  </si>
  <si>
    <t>https://juku-escot.com/column/suugakudekinai/</t>
  </si>
  <si>
    <t>https://juku-escot.com/c_blogs/suugakutaisaku/</t>
  </si>
  <si>
    <t>https://juku-escot.com/column/eigobenkyouhou/</t>
  </si>
  <si>
    <t>https://juku-escot.com/c_blogs/syakaibenkyouhou/</t>
  </si>
  <si>
    <t>https://juku-escot.com/c_blogs/eigoanki/</t>
  </si>
  <si>
    <t>https://juku-escot.com/column/onlinejuku/</t>
  </si>
  <si>
    <t>https://juku-escot.com/c_blogs/note/</t>
  </si>
  <si>
    <t>https://juku-escot.com/info/20200410/</t>
  </si>
  <si>
    <t>https://juku-escot.com/column/genbun_benkyouhou/</t>
  </si>
  <si>
    <t>https://juku-escot.com/inquiry/</t>
  </si>
  <si>
    <t>https://juku-escot.com/c_blogs/j-eikenbenkyouhou/</t>
  </si>
  <si>
    <t>https://juku-escot.com/column/kobetsuigi_h/</t>
  </si>
  <si>
    <t>https://juku-escot.com/c_blogs/kakujitsunianki/</t>
  </si>
  <si>
    <t>https://juku-escot.com/column/yaruki/</t>
  </si>
  <si>
    <t>https://juku-escot.com/info/20200923/</t>
  </si>
  <si>
    <t>https://juku-escot.com/representative/</t>
  </si>
  <si>
    <t>https://juku-escot.com/info/2024年度生徒募集のお知らせ/</t>
  </si>
  <si>
    <t>https://juku-escot.com/info/2025年-夏期講習-開講のお知らせ/</t>
  </si>
  <si>
    <t>https://juku-escot.com/info/2024年度春期講習のお知らせ/</t>
  </si>
  <si>
    <t>https://juku-escot.com/info/2025年-春期講習のお知らせ/</t>
  </si>
  <si>
    <t>https://juku-escot.com/c_blogs/programming/</t>
  </si>
  <si>
    <t>https://juku-escot.com/column/eitango/</t>
  </si>
  <si>
    <t>https://juku-escot.com/info/20200204/</t>
  </si>
  <si>
    <t>https://juku-escot.com/c_blogs/eikenbenkyouhou/</t>
  </si>
  <si>
    <t>https://juku-escot.com/column/itukara/</t>
  </si>
  <si>
    <t>https://juku-escot.com/c_blogs/yarukipoint/</t>
  </si>
  <si>
    <t>https://juku-escot.com/info/20210707/</t>
  </si>
  <si>
    <t>https://juku-escot.com/2020-2/</t>
  </si>
  <si>
    <t>https://juku-escot.com/timetable/</t>
  </si>
  <si>
    <t>https://juku-escot.com/timetable-e/</t>
  </si>
  <si>
    <t>https://juku-escot.com/timetable-j/</t>
  </si>
  <si>
    <t>https://juku-escot.com/timetable-m/</t>
  </si>
  <si>
    <t>https://juku-escot.com/column/waseda/</t>
  </si>
  <si>
    <t>https://juku-escot.com/c_blogs/oyakokorogamae/</t>
  </si>
  <si>
    <t>https://juku-escot.com/c_blogs/suugakudekinai/</t>
  </si>
  <si>
    <t>https://juku-escot.com/c_blogs/riyuutotaisyohou/</t>
  </si>
  <si>
    <t>https://juku-escot.com/c_blogs/dousuru/</t>
  </si>
  <si>
    <t>https://juku-escot.com/c_blogs/kashikoibenkyou/</t>
  </si>
  <si>
    <t>https://juku-escot.com/c_blogs/suugakubenkyouhou/</t>
  </si>
  <si>
    <t>https://juku-escot.com/c_blogs/jyukenyaruki/</t>
  </si>
  <si>
    <t>https://juku-escot.com/c_blogs/jyukenbenkyouyaruki/</t>
  </si>
  <si>
    <t>https://juku-escot.com/c_blogs/yarukitaisyohou/</t>
  </si>
  <si>
    <t>https://juku-escot.com/column/zaigaku/</t>
  </si>
  <si>
    <t>https://juku-escot.com/c_blogs/suugakuhito/</t>
  </si>
  <si>
    <t>https://juku-escot.com/column/kobetsuigi_j/</t>
  </si>
  <si>
    <t>https://juku-escot.com/c_blogs/taisaku4/</t>
  </si>
  <si>
    <t>https://juku-escot.com/column/syuutyuukankyou/</t>
  </si>
  <si>
    <t>https://juku-escot.com/column/yokunaibenkyouhou/</t>
  </si>
  <si>
    <t>https://juku-escot.com/column/eiken/</t>
  </si>
  <si>
    <t>https://juku-escot.com/info/</t>
  </si>
  <si>
    <t>https://juku-escot.com/info/190507-2/</t>
  </si>
  <si>
    <t>https://juku-escot.com/info/20190620/</t>
  </si>
  <si>
    <t>https://juku-escot.com/info/2019winter/</t>
  </si>
  <si>
    <t>https://juku-escot.com/info/20200101/</t>
  </si>
  <si>
    <t>https://juku-escot.com/info/20200713/</t>
  </si>
  <si>
    <t>https://juku-escot.com/info/20201119/</t>
  </si>
  <si>
    <t>https://juku-escot.com/info/20210308/</t>
  </si>
  <si>
    <t>https://juku-escot.com/info/20210406-2/</t>
  </si>
  <si>
    <t>https://juku-escot.com/info/20210406/</t>
  </si>
  <si>
    <t>https://juku-escot.com/info/20210723/</t>
  </si>
  <si>
    <t>https://juku-escot.com/info/2021年度生徒募集のお知らせ/</t>
  </si>
  <si>
    <t>https://juku-escot.com/info/2021年度冬期講習開講のお知らせ/</t>
  </si>
  <si>
    <t>https://juku-escot.com/info/2022年度夏期講習開催のお知らせ/</t>
  </si>
  <si>
    <t>https://juku-escot.com/info/2022年度春期講習のお知らせ/</t>
  </si>
  <si>
    <t>https://juku-escot.com/info/2022年度生徒募集のお知らせ-2/</t>
  </si>
  <si>
    <t>https://juku-escot.com/info/2022年度冬期講習開講のお知らせ/</t>
  </si>
  <si>
    <t>https://juku-escot.com/info/2023年度夏期講習開催のお知らせ/</t>
  </si>
  <si>
    <t>https://juku-escot.com/info/2023年度春期講習のお知らせ/</t>
  </si>
  <si>
    <t>https://juku-escot.com/info/2023年度生徒募集のお知らせ/</t>
  </si>
  <si>
    <t>https://juku-escot.com/info/2023年度冬期講習開講のお知らせ/</t>
  </si>
  <si>
    <t>https://juku-escot.com/info/2024年度夏期講習開催のお知らせ/</t>
  </si>
  <si>
    <t>https://juku-escot.com/info/2024年度冬期講習開催のお知らせ/</t>
  </si>
  <si>
    <t>https://jukureiwa.com/tips/alphabet/</t>
  </si>
  <si>
    <t>https://jukureiwa.com/tips/machigaeyasui/</t>
  </si>
  <si>
    <t>https://jukureiwa.com/tips/katakana/</t>
  </si>
  <si>
    <t>https://jukureiwa.com/tips/syakai-test-naoshi/</t>
  </si>
  <si>
    <t>https://jukureiwa.com/tips/uonzu/</t>
  </si>
  <si>
    <t>https://jukureiwa.com/tips/syakaianki/</t>
  </si>
  <si>
    <t>https://jukureiwa.com/tips/syakaibenkyou/</t>
  </si>
  <si>
    <t>https://jukureiwa.com/tips/syakaikinkyu/</t>
  </si>
  <si>
    <t>https://jukureiwa.com/company/</t>
  </si>
  <si>
    <t>https://jukureiwa.com/greeting/</t>
  </si>
  <si>
    <t>https://jukureiwa.com/tips/syakai-sho6-april-plan/</t>
  </si>
  <si>
    <t>https://jukureiwa.com/info/20200204/</t>
  </si>
  <si>
    <t>https://jukureiwa.com/tips/rekishi-nagare/</t>
  </si>
  <si>
    <t>https://jukureiwa.com/info/20210723/</t>
  </si>
  <si>
    <t>https://jukureiwa.com/tips/honka_koumin/</t>
  </si>
  <si>
    <t>https://jukureiwa.com/access/</t>
  </si>
  <si>
    <t>https://jukureiwa.com/timetable/</t>
  </si>
  <si>
    <t>https://jukureiwa.com/info/20200410/</t>
  </si>
  <si>
    <t>https://jukureiwa.com/inquiry/</t>
  </si>
  <si>
    <t>https://jukureiwa.com/info/20210406-2/</t>
  </si>
  <si>
    <t>https://jukureiwa.com/info/2024年度春期講習会開催のお知らせ/</t>
  </si>
  <si>
    <t>https://jukureiwa.com/info/2024年度夏期講習会開催のお知らせ/</t>
  </si>
  <si>
    <t>https://jukureiwa.com/info/2024年度生徒募集のお知らせ/</t>
  </si>
  <si>
    <t>https://jukureiwa.com/info/2023年度夏期講習会開催のお知らせ/</t>
  </si>
  <si>
    <t>https://jukureiwa.com/info/20210707/</t>
  </si>
  <si>
    <t>https://jukureiwa.com/info/20210406/</t>
  </si>
  <si>
    <t>https://jukureiwa.com/info/2023年度生徒募集のお知らせ/</t>
  </si>
  <si>
    <t>https://jukureiwa.com/info/2021年度生徒募集のお知らせ/</t>
  </si>
  <si>
    <t>https://jukureiwa.com/info/2022年度生徒募集のお知らせ/</t>
  </si>
  <si>
    <t>https://jukureiwa.com/info/20200101/</t>
  </si>
  <si>
    <t>https://jukureiwa.com/info/2024年度冬期講習会開催のお知らせ/</t>
  </si>
  <si>
    <t>https://jukureiwa.com/info/2023年度冬期講習会開催のお知らせ/</t>
  </si>
  <si>
    <t>https://jukureiwa.com/info/2025年度冬期講習会開催のお知らせ/</t>
  </si>
  <si>
    <t>https://jukureiwa.com/info/2022年度冬期講習会開催のお知らせ/</t>
  </si>
  <si>
    <t>https://jukureiwa.com/info/2019winter/</t>
  </si>
  <si>
    <t>https://jukureiwa.com/info/2023年度春期講習会開催のお知らせ/</t>
  </si>
  <si>
    <t>https://jukureiwa.com/info/2022年度春期講習会開催のお知らせ/</t>
  </si>
  <si>
    <t>https://jukureiwa.com/info/2021年度春期講習会開催のお知らせ/</t>
  </si>
  <si>
    <t>https://jukureiwa.com/info/２０２０/</t>
  </si>
  <si>
    <t>https://jukureiwa.com/info/388/</t>
  </si>
  <si>
    <t>https://jukureiwa.com/info/2025年-春期講習会開催のお知らせ/</t>
  </si>
  <si>
    <t>https://jukureiwa.com/info/2021年度夏期講習会開催のお知らせ/</t>
  </si>
  <si>
    <t>https://jukureiwa.com/info/2025年度-夏期講習会開催のお知らせ/</t>
  </si>
  <si>
    <t>https://jukureiwa.com/info/190507/</t>
  </si>
  <si>
    <t>https://jukureiwa.com/info/2022年度夏期講習会開催のお知らせ/</t>
  </si>
  <si>
    <t>https://jukureiwa.com/info/20190620/</t>
  </si>
  <si>
    <t>https://jukureiwa.com/info/20201022/</t>
  </si>
  <si>
    <t>https://jukureiwa.com/tips/naaymi_hub/</t>
  </si>
  <si>
    <t>https://jukureiwa.com/tips/syakai-atomawashi/</t>
  </si>
  <si>
    <t>https://jukureiwa.com/tips/tips-syakai-note/</t>
  </si>
  <si>
    <t>https://jukureiwa.com/tips/syakai-note/</t>
  </si>
  <si>
    <t>https://jukureiwa.com/tips/tips-koumin-sanken/</t>
  </si>
  <si>
    <t>https://jukureiwa.com/tips/syakai-kirai-start/</t>
  </si>
  <si>
    <t>https://jukureiwa.com/tips/chikeizu/</t>
  </si>
  <si>
    <t>https://jukureiwa.com/tips/syakai-oboeru-tsukau/</t>
  </si>
  <si>
    <t>https://jukureiwa.com/tips/hakuchizu/</t>
  </si>
  <si>
    <t>https://jukureiwa.com/tips/syakai-15min-routine/</t>
  </si>
  <si>
    <t>https://jukureiwa.com/tips/syakai-seiri/</t>
  </si>
  <si>
    <t>https://jukureiwa.com/tips/syakai-hikidashi/</t>
  </si>
  <si>
    <t>https://jukureiwa.com/tips/rekishi-shiryou-mondai/</t>
  </si>
  <si>
    <t>https://jukureiwa.com/tips/chiri-tsunage/</t>
  </si>
  <si>
    <t>https://jukureiwa.com/tips/syakai-hanpuku-system/</t>
  </si>
  <si>
    <t>https://jukureiwa.com/tips/rekishi-meiji-ishin/</t>
  </si>
  <si>
    <t>https://jukureiwa.com/tips/rekishi-kamakura-muromachi/</t>
  </si>
  <si>
    <t>https://jukureiwa.com/tips/chiri-kikou-nougyou/</t>
  </si>
  <si>
    <t>https://jukureiwa.com/tips/honka_rekishi/</t>
  </si>
  <si>
    <t>https://jukureiwa.com/tips/honka_chiri/</t>
  </si>
  <si>
    <t>https://koten-kakitsubata.jp/blog/zyodoushi/</t>
  </si>
  <si>
    <t>https://koten-kakitsubata.jp/blog/times-of-day/</t>
  </si>
  <si>
    <t>https://koten-kakitsubata.jp/blog/direction/</t>
  </si>
  <si>
    <t>https://koten-kakitsubata.jp/blog/2022年共通テスト本文・訳『増鏡』『とはずがたり/</t>
  </si>
  <si>
    <t>https://koten-kakitsubata.jp/blog/jyodoushikatuyouhyou/</t>
  </si>
  <si>
    <t>https://koten-kakitsubata.jp/blog/【読解に役立つ古典常識】月について/</t>
  </si>
  <si>
    <t>https://koten-kakitsubata.jp/blog/isemonogatari/</t>
  </si>
  <si>
    <t>https://koten-kakitsubata.jp/blog/【読解に役立つ古典常識】暦について/</t>
  </si>
  <si>
    <t>https://koten-kakitsubata.jp/blog/2022東京大学本文現代語訳/</t>
  </si>
  <si>
    <t>https://koten-kakitsubata.jp/blog/taketorimonogatari/</t>
  </si>
  <si>
    <t>https://koten-kakitsubata.jp/blog/teikitesuto/</t>
  </si>
  <si>
    <t>https://koten-kakitsubata.jp/blog/2022國學院大学a日程『源氏物語』「浮舟」/</t>
  </si>
  <si>
    <t>https://koten-kakitsubata.jp/blog/imperial-palace/</t>
  </si>
  <si>
    <t>https://koten-kakitsubata.jp/blog/utokyo/</t>
  </si>
  <si>
    <t>https://koten-kakitsubata.jp/blog/kanbunnokotsu/</t>
  </si>
  <si>
    <t>https://koten-kakitsubata.jp/blog/seiryoden/</t>
  </si>
  <si>
    <t>https://koten-kakitsubata.jp/blog/chinese-writing/</t>
  </si>
  <si>
    <t>https://koten-kakitsubata.jp/blog/kansaigakuin2020/</t>
  </si>
  <si>
    <t>https://koten-kakitsubata.jp/blog/daidairi/</t>
  </si>
  <si>
    <t>https://koten-kakitsubata.jp/blog/■大学入試共通テスト対策、を大真面目に考えよ/</t>
  </si>
  <si>
    <t>https://koten-kakitsubata.jp/blog/初見の文章を読めるようにするには？/</t>
  </si>
  <si>
    <t>https://koten-kakitsubata.jp/blog/kotentokui/</t>
  </si>
  <si>
    <t>https://koten-kakitsubata.jp/access/</t>
  </si>
  <si>
    <t>https://koten-kakitsubata.jp/greeting/</t>
  </si>
  <si>
    <t>https://koten-kakitsubata.jp/info/2025年度冬期講習会のお知らせ/</t>
  </si>
  <si>
    <t>https://koten-kakitsubata.jp/info/200201/</t>
  </si>
  <si>
    <t>https://koten-kakitsubata.jp/company/</t>
  </si>
  <si>
    <t>https://koten-kakitsubata.jp/inquiry/</t>
  </si>
  <si>
    <t>https://koten-kakitsubata.jp/info/20210723/</t>
  </si>
  <si>
    <t>https://koten-kakitsubata.jp/info/20210406-2/</t>
  </si>
  <si>
    <t>https://koten-kakitsubata.jp/info/20200410/</t>
  </si>
  <si>
    <t>https://koten-kakitsubata.jp/info/20210308/</t>
  </si>
  <si>
    <t>https://koten-kakitsubata.jp/info/2024年度春期講習のお知らせ/</t>
  </si>
  <si>
    <t>https://koten-kakitsubata.jp/info/2024年度夏期講習開催のお知らせ/</t>
  </si>
  <si>
    <t>https://koten-kakitsubata.jp/info/2023年度春期講習のお知らせ/</t>
  </si>
  <si>
    <t>https://koten-kakitsubata.jp/timetable/</t>
  </si>
  <si>
    <t>https://koten-kakitsubata.jp/info/2023年度冬期講習開講のお知らせ/</t>
  </si>
  <si>
    <t>https://koten-kakitsubata.jp/info/503/</t>
  </si>
  <si>
    <t>https://koten-kakitsubata.jp/info/20210707/</t>
  </si>
  <si>
    <t>https://koten-kakitsubata.jp/info/20210406/</t>
  </si>
  <si>
    <t>https://koten-kakitsubata.jp/info/2023年度夏期講習開催のお知らせ/</t>
  </si>
  <si>
    <t>https://koten-kakitsubata.jp/info/2022年度冬期講習開講のお知らせ/</t>
  </si>
  <si>
    <t>https://koten-kakitsubata.jp/info/2021年度冬期講習開講のお知らせ/</t>
  </si>
  <si>
    <t>https://koten-kakitsubata.jp/info/2024年度生徒募集のお知らせ【個別】/</t>
  </si>
  <si>
    <t>https://koten-kakitsubata.jp/info/20201119/</t>
  </si>
  <si>
    <t>https://koten-kakitsubata.jp/info/2025年度-春期講習会-開催のお知らせ/</t>
  </si>
  <si>
    <t>https://koten-kakitsubata.jp/info/2025年度-夏期講習会-開催のお知らせ/</t>
  </si>
  <si>
    <t>https://koten-kakitsubata.jp/info/2021年度生徒募集のお知らせ【個別】/</t>
  </si>
  <si>
    <t>https://koten-kakitsubata.jp/info/2022年度生徒募集のお知らせ【個別】/</t>
  </si>
  <si>
    <t>https://koten-kakitsubata.jp/info/2023年度生徒募集のお知らせ【個別】/</t>
  </si>
  <si>
    <t>https://koten-kakitsubata.jp/info/2022年度春期講習のお知らせ/</t>
  </si>
  <si>
    <t>https://koten-kakitsubata.jp/info/2022年度夏期講習開催のお知らせ/</t>
  </si>
  <si>
    <t>https://koten-kakitsubata.jp/info/20200713/</t>
  </si>
  <si>
    <t>https://koten-kakitsubata.jp/info/20201022/</t>
  </si>
  <si>
    <t>https://koten-kakitsubata.jp/info/2026/</t>
  </si>
  <si>
    <t>https://eigo-rewrite.com/column/stage1_lesson12-4/</t>
  </si>
  <si>
    <t>https://eigo-rewrite.com/column/stage2-lesson6-2/</t>
  </si>
  <si>
    <t>https://eigo-rewrite.com/column/stage1_lesson8-2/</t>
  </si>
  <si>
    <t>https://eigo-rewrite.com/column/stage2-lesson10-3/</t>
  </si>
  <si>
    <t>https://eigo-rewrite.com/column/stage2-lesson4-3/</t>
  </si>
  <si>
    <t>https://eigo-rewrite.com/column/stage3-lesson2-3/</t>
  </si>
  <si>
    <t>https://eigo-rewrite.com/column/stage1_lesson9-1/</t>
  </si>
  <si>
    <t>https://eigo-rewrite.com/column/stage1_lesson10-1/</t>
  </si>
  <si>
    <t>https://eigo-rewrite.com/column/stage2-lesson11-1/</t>
  </si>
  <si>
    <t>https://eigo-rewrite.com/column/stage1_lesson7-1/</t>
  </si>
  <si>
    <t>https://eigo-rewrite.com/column/stage3-lesson7-2/</t>
  </si>
  <si>
    <t>https://eigo-rewrite.com/column/stage2-lesson11-3/</t>
  </si>
  <si>
    <t>https://eigo-rewrite.com/column/stage2-lesson9-2/</t>
  </si>
  <si>
    <t>https://eigo-rewrite.com/column/stage1_lesson9-2/</t>
  </si>
  <si>
    <t>https://eigo-rewrite.com/column/stage2-lesson8-2/</t>
  </si>
  <si>
    <t>https://eigo-rewrite.com/column/stage1_lesson5-1/</t>
  </si>
  <si>
    <t>https://eigo-rewrite.com/column/stage2-lesson9-1/</t>
  </si>
  <si>
    <t>https://eigo-rewrite.com/column/stage2-lesson12-2/</t>
  </si>
  <si>
    <t>https://eigo-rewrite.com/column/stage2-lesson6-1/</t>
  </si>
  <si>
    <t>https://eigo-rewrite.com/column/stage1/</t>
  </si>
  <si>
    <t>https://eigo-rewrite.com/column/stage1_lesson10-2/</t>
  </si>
  <si>
    <t>https://eigo-rewrite.com/column/stage3-lesson2-2/</t>
  </si>
  <si>
    <t>https://eigo-rewrite.com/column/stage1_lesson7-2/</t>
  </si>
  <si>
    <t>https://eigo-rewrite.com/column/stage1_lesson4-3/</t>
  </si>
  <si>
    <t>https://eigo-rewrite.com/column/stage2-lesson10-1/</t>
  </si>
  <si>
    <t>https://eigo-rewrite.com/column/stage2-lesson8-3/</t>
  </si>
  <si>
    <t>https://eigo-rewrite.com/column/stage2-lesson7-1/</t>
  </si>
  <si>
    <t>https://eigo-rewrite.com/column/stage1_lesson8-3/</t>
  </si>
  <si>
    <t>https://eigo-rewrite.com/column/stage2-lesson12-1/</t>
  </si>
  <si>
    <t>https://eigo-rewrite.com/profile/</t>
  </si>
  <si>
    <t>https://eigo-rewrite.com/column/stage2-lesson6-3/</t>
  </si>
  <si>
    <t>https://eigo-rewrite.com/column/stage2-lesson3-3/</t>
  </si>
  <si>
    <t>https://eigo-rewrite.com/column/stage3-lesson3-4/</t>
  </si>
  <si>
    <t>https://eigo-rewrite.com/column/stage2-lesson7-2/</t>
  </si>
  <si>
    <t>https://eigo-rewrite.com/column/stage1_lesson5-2-2/</t>
  </si>
  <si>
    <t>https://eigo-rewrite.com/column/stage1_lesson9-3/</t>
  </si>
  <si>
    <t>https://eigo-rewrite.com/column/stage1_lesson4-1/</t>
  </si>
  <si>
    <t>https://eigo-rewrite.com/column/stage1_lesson11-3/</t>
  </si>
  <si>
    <t>https://eigo-rewrite.com/column/stage3-lesson4-1/</t>
  </si>
  <si>
    <t>https://eigo-rewrite.com/column/j-eisakubun/</t>
  </si>
  <si>
    <t>https://eigo-rewrite.com/column/stage1_lesson6-2/</t>
  </si>
  <si>
    <t>https://eigo-rewrite.com/column/stage1_lesson12-3/</t>
  </si>
  <si>
    <t>https://eigo-rewrite.com/column/stage2-lesson7-3/</t>
  </si>
  <si>
    <t>https://eigo-rewrite.com/column/stage3-lesson3-3/</t>
  </si>
  <si>
    <t>https://eigo-rewrite.com/column/stage3-lesson4-2/</t>
  </si>
  <si>
    <t>https://eigo-rewrite.com/column/stage3-lesson7-3/</t>
  </si>
  <si>
    <t>https://eigo-rewrite.com/column/stage1_lesson10-4/</t>
  </si>
  <si>
    <t>https://eigo-rewrite.com/column/stage1_lesson11-1/</t>
  </si>
  <si>
    <t>https://eigo-rewrite.com/column/stage1_lesson12-1/</t>
  </si>
  <si>
    <t>https://eigo-rewrite.com/column/reibun/</t>
  </si>
  <si>
    <t>https://eigo-rewrite.com/column/stage3-lesson3-1/</t>
  </si>
  <si>
    <t>https://eigo-rewrite.com/column/stage2-lesson1-3/</t>
  </si>
  <si>
    <t>https://eigo-rewrite.com/column/stage1_lesson12-2/</t>
  </si>
  <si>
    <t>https://eigo-rewrite.com/column/stage2-lesson8-1/</t>
  </si>
  <si>
    <t>https://eigo-rewrite.com/column/stage1_lesson6-3/</t>
  </si>
  <si>
    <t>https://eigo-rewrite.com/column/stage1_lesson6-1/</t>
  </si>
  <si>
    <t>https://eigo-rewrite.com/column/stage3-lesson3-2/</t>
  </si>
  <si>
    <t>https://eigo-rewrite.com/column/stage2-lesson10-2/</t>
  </si>
  <si>
    <t>https://eigo-rewrite.com/column/dokkairyoku/</t>
  </si>
  <si>
    <t>https://eigo-rewrite.com/column/stage3-lesson5-3/</t>
  </si>
  <si>
    <t>https://eigo-rewrite.com/column/stage2-lesson11-2/</t>
  </si>
  <si>
    <t>https://eigo-rewrite.com/column/stage2-lesson5-2/</t>
  </si>
  <si>
    <t>https://eigo-rewrite.com/column/stage2_lesson1-2/</t>
  </si>
  <si>
    <t>https://eigo-rewrite.com/column/stage2-lesson4-1/</t>
  </si>
  <si>
    <t>https://eigo-rewrite.com/column/stage3-lesson7-1/</t>
  </si>
  <si>
    <t>https://eigo-rewrite.com/column/stage1-2-2-2/</t>
  </si>
  <si>
    <t>https://eigo-rewrite.com/column/stage3-lesson1-2/</t>
  </si>
  <si>
    <t>https://eigo-rewrite.com/column/stage1_lesson5-2/</t>
  </si>
  <si>
    <t>https://eigo-rewrite.com/column/stage1_lesson8-1/</t>
  </si>
  <si>
    <t>https://eigo-rewrite.com/column/stage1_lesson10-3/</t>
  </si>
  <si>
    <t>https://eigo-rewrite.com/column/stage2-lesson12-3/</t>
  </si>
  <si>
    <t>https://eigo-rewrite.com/column/stage3-lesson2-1/</t>
  </si>
  <si>
    <t>https://eigo-rewrite.com/column/dokkai/</t>
  </si>
  <si>
    <t>https://eigo-rewrite.com/column/stage1_lesson4-2/</t>
  </si>
  <si>
    <t>https://eigo-rewrite.com/column/new-treasure-stage1-lesson1-1/</t>
  </si>
  <si>
    <t>https://eigo-rewrite.com/column/stage1_lesson11-2/</t>
  </si>
  <si>
    <t>https://eigo-rewrite.com/column/stage3-lesson5-1/</t>
  </si>
  <si>
    <t>https://eigo-rewrite.com/column/stage1-1-2/</t>
  </si>
  <si>
    <t>https://eigo-rewrite.com/column/stage2-lesson2-2/</t>
  </si>
  <si>
    <t>https://eigo-rewrite.com/column/stage2-lesson3-2/</t>
  </si>
  <si>
    <t>https://eigo-rewrite.com/column/stage1_lesson7-3/</t>
  </si>
  <si>
    <t>https://eigo-rewrite.com/column/stage2-lesson7-4/</t>
  </si>
  <si>
    <t>https://eigo-rewrite.com/column/stage1-2-2/</t>
  </si>
  <si>
    <t>https://eigo-rewrite.com/column/stage2-lesson2-1/</t>
  </si>
  <si>
    <t>https://eigo-rewrite.com/column/stage2_lesson1-1/</t>
  </si>
  <si>
    <t>https://eigo-rewrite.com/column/stage2-lesson3-1/</t>
  </si>
  <si>
    <t>https://eigo-rewrite.com/column/sankousyo/</t>
  </si>
  <si>
    <t>https://eigo-rewrite.com/column/stage2-lesson4-2/</t>
  </si>
  <si>
    <t>https://eigo-rewrite.com/column/stage2-lesson5-1/</t>
  </si>
  <si>
    <t>https://eigo-rewrite.com/column/bunpou/</t>
  </si>
  <si>
    <t>https://eigo-rewrite.com/column/zyugyou/</t>
  </si>
  <si>
    <t>https://eigo-rewrite.com/column/stage1-3-1/</t>
  </si>
  <si>
    <t>https://eigo-rewrite.com/column/stage1-2-1/</t>
  </si>
  <si>
    <t>https://eigo-rewrite.com/column/kakomon/</t>
  </si>
  <si>
    <t>https://eigo-rewrite.com/column/eibunpou/</t>
  </si>
  <si>
    <t>https://eigo-rewrite.com/column/stage3-lesson6-1/</t>
  </si>
  <si>
    <t>https://eigo-rewrite.com/column/stage2-lesson2-3/</t>
  </si>
  <si>
    <t>https://eigo-rewrite.com/column/stage3-lesson1-3/</t>
  </si>
  <si>
    <t>https://eigo-rewrite.com/column/stage3-lesson8-2/</t>
  </si>
  <si>
    <t>https://eigo-rewrite.com/column/stage3-lesson8-3/</t>
  </si>
  <si>
    <t>https://eigo-rewrite.com/column/stage2soukatu/</t>
  </si>
  <si>
    <t>https://eigo-rewrite.com/concept/</t>
  </si>
  <si>
    <t>https://eigo-rewrite.com/column/stage3-lesson6-2/</t>
  </si>
  <si>
    <t>https://eigo-rewrite.com/access/</t>
  </si>
  <si>
    <t>https://eigo-rewrite.com/corporate_data/</t>
  </si>
  <si>
    <t>https://eigo-rewrite.com/column/eisakubunmae2/</t>
  </si>
  <si>
    <t>https://eigo-rewrite.com/column/eigotest/</t>
  </si>
  <si>
    <t>https://eigo-rewrite.com/column/tensuu/</t>
  </si>
  <si>
    <t>https://eigo-rewrite.com/column/stage3-lesson6-3/</t>
  </si>
  <si>
    <t>https://eigo-rewrite.com/contact/</t>
  </si>
  <si>
    <t>https://eigo-rewrite.com/info/20210723/</t>
  </si>
  <si>
    <t>https://eigo-rewrite.com/info/2025年度冬期講習会のお知らせ/</t>
  </si>
  <si>
    <t>https://eigo-rewrite.com/info/2025年度-夏期講習-開催のお知らせ/</t>
  </si>
  <si>
    <t>https://eigo-rewrite.com/column/stage3-lesson5-2/</t>
  </si>
  <si>
    <t>https://eigo-rewrite.com/column/torikumimae/</t>
  </si>
  <si>
    <t>https://eigo-rewrite.com/info/2021年度冬期講習開講のお知らせ/</t>
  </si>
  <si>
    <t>https://eigo-rewrite.com/column/nigateup/</t>
  </si>
  <si>
    <t>https://eigo-rewrite.com/info/2025年度-春期講習会-開催のお知らせ/</t>
  </si>
  <si>
    <t>https://eigo-rewrite.com/info/2024年度夏期講習開催のお知らせ/</t>
  </si>
  <si>
    <t>https://eigo-rewrite.com/info/2024年度冬期講習会のお知らせ/</t>
  </si>
  <si>
    <t>https://eigo-rewrite.com/info/2024年度春期講習のお知らせ/</t>
  </si>
  <si>
    <t>https://eigo-rewrite.com/info/「基礎力stadium　国語のトリガー」開校のお知らせ/</t>
  </si>
  <si>
    <t>https://eigo-rewrite.com/info/20210406/</t>
  </si>
  <si>
    <t>https://eigo-rewrite.com/info/20200601/</t>
  </si>
  <si>
    <t>https://eigo-rewrite.com/info/2023年度冬期講習開講のお知らせ/</t>
  </si>
  <si>
    <t>https://eigo-rewrite.com/info/2023年度春期講習のお知らせ/</t>
  </si>
  <si>
    <t>https://eigo-rewrite.com/info/2022年度冬期講習開講のお知らせ/</t>
  </si>
  <si>
    <t>https://eigo-rewrite.com/info/2022年度春期講習のお知らせ/</t>
  </si>
  <si>
    <t>https://eigo-rewrite.com/info/2023年度夏期講習開催のお知らせ/</t>
  </si>
  <si>
    <t>https://eigo-rewrite.com/info/2022年度夏期講習開催のお知らせ/</t>
  </si>
  <si>
    <t>https://eigo-rewrite.com/info/20201119/</t>
  </si>
  <si>
    <t>https://eigo-rewrite.com/info/20210308/</t>
  </si>
  <si>
    <t>https://eigo-rewrite.com/info/20210707/</t>
  </si>
  <si>
    <t>https://eigo-rewrite.com/info/20201022/</t>
  </si>
  <si>
    <t>https://eigo-rewrite.com/column/schedule/</t>
  </si>
  <si>
    <t>https://eigo-rewrite.com/column/eitango/</t>
  </si>
  <si>
    <t>https://eigo-rewrite.com/column/listening/</t>
  </si>
  <si>
    <t>https://eigo-rewrite.com/column/eigobenkyouhou/</t>
  </si>
  <si>
    <t>https://eigo-rewrite.com/column/stage3/</t>
  </si>
  <si>
    <t>https://eigo-rewrite.com/column/hub_stage2/</t>
  </si>
  <si>
    <t>https://eigo-rewrite.com/column/hub_stage1/</t>
  </si>
  <si>
    <t>https://eigo-rewrite.com/column/stage3-lesson8-1/</t>
  </si>
  <si>
    <t>https://eigo-rewrite.com/column/stage1_lesson3-2/</t>
  </si>
  <si>
    <t>https://eng-support.com/column/progress-book1-lesson11-2/</t>
  </si>
  <si>
    <t>https://eng-support.com/column/progress-book1-lesson10-3/</t>
  </si>
  <si>
    <t>https://eng-support.com/column/progressbook1-6-3/</t>
  </si>
  <si>
    <t>https://eng-support.com/column/eigonokiso1/</t>
  </si>
  <si>
    <t>https://eng-support.com/column/book2-lesson1-scene2/</t>
  </si>
  <si>
    <t>https://eng-support.com/column/progress-book1-lesson17-3/</t>
  </si>
  <si>
    <t>https://eng-support.com/column/progress-book1-lesson18-2/</t>
  </si>
  <si>
    <t>https://eng-support.com/column/progressinenglish21/</t>
  </si>
  <si>
    <t>https://eng-support.com/column/progress-book1-lesson14-2/</t>
  </si>
  <si>
    <t>https://eng-support.com/column/progress-book1-lesson15-1/</t>
  </si>
  <si>
    <t>https://eng-support.com/column/progress-book1-lesson18-4/</t>
  </si>
  <si>
    <t>https://eng-support.com/column/book2-lesson4-scene2/</t>
  </si>
  <si>
    <t>https://eng-support.com/column/progress-book1-lesson15-2/</t>
  </si>
  <si>
    <t>https://eng-support.com/column/progress-book1-lesson14-1/</t>
  </si>
  <si>
    <t>https://eng-support.com/column/progress-book1-lesson11-3/</t>
  </si>
  <si>
    <t>https://eng-support.com/column/progressbook1-6-2/</t>
  </si>
  <si>
    <t>https://eng-support.com/column/progress-book1-lesson10-1/</t>
  </si>
  <si>
    <t>https://eng-support.com/column/book2-lesson10-scene3/</t>
  </si>
  <si>
    <t>https://eng-support.com/column/book2-lesson4-scene1/</t>
  </si>
  <si>
    <t>https://eng-support.com/column/book2-lesson11-scene1/</t>
  </si>
  <si>
    <t>https://eng-support.com/column/progressbook1-7-1/</t>
  </si>
  <si>
    <t>https://eng-support.com/column/progressbook1-2-2/</t>
  </si>
  <si>
    <t>https://eng-support.com/column/book2-lesson2-scene2/</t>
  </si>
  <si>
    <t>https://eng-support.com/column/progress-book1-lesson10-2/</t>
  </si>
  <si>
    <t>https://eng-support.com/column/progress-book1-lesson14-4/</t>
  </si>
  <si>
    <t>https://eng-support.com/column/progress-book1-lesson19-4/</t>
  </si>
  <si>
    <t>https://eng-support.com/column/progress-book1-lesson11-1/</t>
  </si>
  <si>
    <t>https://eng-support.com/column/progress-book1-lesson12-1/</t>
  </si>
  <si>
    <t>https://eng-support.com/column/progress-book1-lesson16-3/</t>
  </si>
  <si>
    <t>https://eng-support.com/column/book1-lesson19-scene3/</t>
  </si>
  <si>
    <t>https://eng-support.com/column/progressbook1-5-3/</t>
  </si>
  <si>
    <t>https://eng-support.com/column/book2-lesson9-scene3/</t>
  </si>
  <si>
    <t>https://eng-support.com/column/progress-book1-lesson12-3/</t>
  </si>
  <si>
    <t>https://eng-support.com/column/progress-book1-lesson19-1/</t>
  </si>
  <si>
    <t>https://eng-support.com/column/progress-book1-lesson17-4/</t>
  </si>
  <si>
    <t>https://eng-support.com/column/progressbook1-4-3/</t>
  </si>
  <si>
    <t>https://eng-support.com/column/progress-book1-lesson15-4/</t>
  </si>
  <si>
    <t>https://eng-support.com/column/progressbook1-7-3/</t>
  </si>
  <si>
    <t>https://eng-support.com/column/progress-book1-lesson15-3/</t>
  </si>
  <si>
    <t>https://eng-support.com/column/book2-lesson14-scene1/</t>
  </si>
  <si>
    <t>https://eng-support.com/column/book2-lesson4-scene3/</t>
  </si>
  <si>
    <t>https://eng-support.com/column/book2-lesson6-scene1/</t>
  </si>
  <si>
    <t>https://eng-support.com/column/progress-book1-lesson18-3/</t>
  </si>
  <si>
    <t>https://eng-support.com/column/progressbook1-5-1/</t>
  </si>
  <si>
    <t>https://eng-support.com/column/progress-book1-lesson9-3/</t>
  </si>
  <si>
    <t>https://eng-support.com/column/book2-lesson10-scene2/</t>
  </si>
  <si>
    <t>https://eng-support.com/column/book2-lesson11-scene3/</t>
  </si>
  <si>
    <t>https://eng-support.com/column/progress-book1-lesson20-4/</t>
  </si>
  <si>
    <t>https://eng-support.com/column/book2-lesson12-scene1/</t>
  </si>
  <si>
    <t>https://eng-support.com/column/book2-lesson13-scene3/</t>
  </si>
  <si>
    <t>https://eng-support.com/column/book2-lesson9-scene1/</t>
  </si>
  <si>
    <t>https://eng-support.com/column/eigonokiso5/</t>
  </si>
  <si>
    <t>https://eng-support.com/column/progress-2/</t>
  </si>
  <si>
    <t>https://eng-support.com/column/eigonokiso4/</t>
  </si>
  <si>
    <t>https://eng-support.com/column/book2-lesson6-scene2/</t>
  </si>
  <si>
    <t>https://eng-support.com/column/book2-lesson13-scene1/</t>
  </si>
  <si>
    <t>https://eng-support.com/column/progressbook1-2-1/</t>
  </si>
  <si>
    <t>https://eng-support.com/column/progress-book1-lesson14-3/</t>
  </si>
  <si>
    <t>https://eng-support.com/greeting/</t>
  </si>
  <si>
    <t>https://eng-support.com/column/progress-book1-lesson18-1/</t>
  </si>
  <si>
    <t>https://eng-support.com/column/progress-book1-lesson16-2/</t>
  </si>
  <si>
    <t>https://eng-support.com/column/progress-book1-lesson16-1/</t>
  </si>
  <si>
    <t>https://eng-support.com/column/progressbook1-1-2/</t>
  </si>
  <si>
    <t>https://eng-support.com/column/progress-book1-lesson17-2/</t>
  </si>
  <si>
    <t>https://eng-support.com/column/progressbook1-7-2/</t>
  </si>
  <si>
    <t>https://eng-support.com/column/progress-book2-lesson1-1/</t>
  </si>
  <si>
    <t>https://eng-support.com/column/progress-book1-lesson9-1/</t>
  </si>
  <si>
    <t>https://eng-support.com/column/progress-book1-lesson17-1/</t>
  </si>
  <si>
    <t>https://eng-support.com/column/progress-book1-lesson9-2/</t>
  </si>
  <si>
    <t>https://eng-support.com/column/progress-book1-lesson13-2/</t>
  </si>
  <si>
    <t>https://eng-support.com/column/progressbook1-2-3/</t>
  </si>
  <si>
    <t>https://eng-support.com/column/progress-book1-lesson12-2/</t>
  </si>
  <si>
    <t>https://eng-support.com/column/progressbook1-6-1/</t>
  </si>
  <si>
    <t>https://eng-support.com/column/book2-lesson8-scene1/</t>
  </si>
  <si>
    <t>https://eng-support.com/column/book2-lesson7-scene2/</t>
  </si>
  <si>
    <t>https://eng-support.com/column/book2-lesson2-scene3/</t>
  </si>
  <si>
    <t>https://eng-support.com/column/book2-lesson3-scene2/</t>
  </si>
  <si>
    <t>https://eng-support.com/column/book2-lesson5-scene2/</t>
  </si>
  <si>
    <t>https://eng-support.com/column/progress-book1-lesson16-4/</t>
  </si>
  <si>
    <t>https://eng-support.com/column/book2-lesson2-scene1/</t>
  </si>
  <si>
    <t>https://eng-support.com/column/progressbook1-3-1/</t>
  </si>
  <si>
    <t>https://eng-support.com/column/progress/</t>
  </si>
  <si>
    <t>https://eng-support.com/column/book2-lesson11-scene2/</t>
  </si>
  <si>
    <t>https://eng-support.com/column/progressbook1-4-1/</t>
  </si>
  <si>
    <t>https://eng-support.com/column/book2-lesson8-scene2/</t>
  </si>
  <si>
    <t>https://eng-support.com/column/progress-book1-lesson20-3/</t>
  </si>
  <si>
    <t>https://eng-support.com/column/book2-lesson5-scene3/</t>
  </si>
  <si>
    <t>https://eng-support.com/column/298/</t>
  </si>
  <si>
    <t>https://eng-support.com/column/book2-lesson7-scene1/</t>
  </si>
  <si>
    <t>https://eng-support.com/column/book2-lesson10-scene1/</t>
  </si>
  <si>
    <t>https://eng-support.com/info/2024年度春期講習開催のお知らせ/</t>
  </si>
  <si>
    <t>https://eng-support.com/column/progressbook1-3-3/</t>
  </si>
  <si>
    <t>https://eng-support.com/column/progress-book1-lesson8/</t>
  </si>
  <si>
    <t>https://eng-support.com/column/progressbook1-4-2/</t>
  </si>
  <si>
    <t>https://eng-support.com/strategy/</t>
  </si>
  <si>
    <t>https://eng-support.com/column/book2-lesson12-scene3/</t>
  </si>
  <si>
    <t>https://eng-support.com/column/progressbook1-5-2/</t>
  </si>
  <si>
    <t>https://eng-support.com/access/</t>
  </si>
  <si>
    <t>https://eng-support.com/company/</t>
  </si>
  <si>
    <t>https://eng-support.com/column/progressbook1-3-2/</t>
  </si>
  <si>
    <t>https://eng-support.com/column/book2-lesson5-scene1/</t>
  </si>
  <si>
    <t>https://eng-support.com/column/progressbook1-1-1/</t>
  </si>
  <si>
    <t>https://eng-support.com/column/progress-book1-8-1/</t>
  </si>
  <si>
    <t>https://eng-support.com/info/2025年度-春期講習会のご案内/</t>
  </si>
  <si>
    <t>https://eng-support.com/column/book2-lesson6-scene3/</t>
  </si>
  <si>
    <t>https://eng-support.com/時間割/</t>
  </si>
  <si>
    <t>https://eng-support.com/inquiry/</t>
  </si>
  <si>
    <t>https://eng-support.com/info/2025年度-夏期講習会のご案内/</t>
  </si>
  <si>
    <t>https://eng-support.com/column/book1-lesson19-scene2/</t>
  </si>
  <si>
    <t>https://eng-support.com/column/progress-book1-lesson20-2/</t>
  </si>
  <si>
    <t>https://eng-support.com/column/progress-book1-lesson20-1/</t>
  </si>
  <si>
    <t>https://eng-support.com/info/2025年度冬期講習会のお知らせ/</t>
  </si>
  <si>
    <t>https://eng-support.com/column/book2-lesson1-scene3/</t>
  </si>
  <si>
    <t>https://eng-support.com/column/progress-book1-lesson13-1/</t>
  </si>
  <si>
    <t>https://eng-support.com/info/2023年度夏期講習開催のお知らせ/</t>
  </si>
  <si>
    <t>https://eng-support.com/column/progress-book1-lesson13-3/</t>
  </si>
  <si>
    <t>https://eng-support.com/column/progressbook1-1-3/</t>
  </si>
  <si>
    <t>https://eng-support.com/info/20210406/</t>
  </si>
  <si>
    <t>https://eng-support.com/info/2023年度春期講習開催のお知らせ/</t>
  </si>
  <si>
    <t>https://eng-support.com/info/2022年度春期講習開催のお知らせ/</t>
  </si>
  <si>
    <t>https://eng-support.com/info/20210723/</t>
  </si>
  <si>
    <t>https://eng-support.com/info/2023年度生徒募集のお知らせ【個別】/</t>
  </si>
  <si>
    <t>https://eng-support.com/info/2022年度生徒募集のお知らせ【個別】/</t>
  </si>
  <si>
    <t>https://eng-support.com/info/2021年度冬期講習開催のお知らせ/</t>
  </si>
  <si>
    <t>https://eng-support.com/info/2022年度冬期講習開催のお知らせ/</t>
  </si>
  <si>
    <t>https://eng-support.com/info/2023年度冬期講習開催のお知らせ/</t>
  </si>
  <si>
    <t>https://eng-support.com/info/2024年度冬期講習会のお知らせ/</t>
  </si>
  <si>
    <t>https://eng-support.com/info/2024年度夏期講習開催のお知らせ/</t>
  </si>
  <si>
    <t>https://eng-support.com/info/2022年度夏期講習開催のお知らせ/</t>
  </si>
  <si>
    <t>https://eng-support.com/info/20210707/</t>
  </si>
  <si>
    <t>https://eng-support.com/column/book2-lesson7-scene3/</t>
  </si>
  <si>
    <t>https://eng-support.com/column/book2-lesson3-scene1/</t>
  </si>
  <si>
    <t>https://eng-support.com/column/book2-lesson9-scene2/</t>
  </si>
  <si>
    <t>https://eng-support.com/column/book2-lesson8-scene3/</t>
  </si>
  <si>
    <t>https://eng-support.com/column/book2-lesson3-scene3/</t>
  </si>
  <si>
    <t>https://eng-support.com/column/book2-lesson12-scene2/</t>
  </si>
  <si>
    <t>https://eng-support.com/column/book2-lesson13-scene/</t>
  </si>
  <si>
    <t>https://rika-quest.com/column/south-middle-altitude/</t>
  </si>
  <si>
    <t>https://rika-quest.com/column/plant/</t>
  </si>
  <si>
    <t>https://rika-quest.com/column/seed/</t>
  </si>
  <si>
    <t>https://rika-quest.com/column/nimal/</t>
  </si>
  <si>
    <t>https://rika-quest.com/column/stratum/</t>
  </si>
  <si>
    <t>https://rika-quest.com/column/star/</t>
  </si>
  <si>
    <t>https://rika-quest.com/column/metal/</t>
  </si>
  <si>
    <t>https://rika-quest.com/column/aqueous-solution/</t>
  </si>
  <si>
    <t>https://rika-quest.com/column/water/</t>
  </si>
  <si>
    <t>https://rika-quest.com/column/buoyancy/</t>
  </si>
  <si>
    <t>https://rika-quest.com/column/phases-of-the-moon/</t>
  </si>
  <si>
    <t>https://rika-quest.com/column/blood/</t>
  </si>
  <si>
    <t>https://rika-quest.com/column/pressures/</t>
  </si>
  <si>
    <t>https://rika-quest.com/column/teko_kassya_furiko/</t>
  </si>
  <si>
    <t>https://rika-quest.com/column/plankton/</t>
  </si>
  <si>
    <t>https://rika-quest.com/column/trimorphic_change/</t>
  </si>
  <si>
    <t>https://rika-quest.com/column/terrain/</t>
  </si>
  <si>
    <t>https://rika-quest.com/column/dissolution/</t>
  </si>
  <si>
    <t>https://rika-quest.com/column/rotation/</t>
  </si>
  <si>
    <t>https://rika-quest.com/column/digestion/</t>
  </si>
  <si>
    <t>https://rika-quest.com/column/seasons-and-weather/</t>
  </si>
  <si>
    <t>https://rika-quest.com/column/mamedenkyu/</t>
  </si>
  <si>
    <t>https://rika-quest.com/column/igneous-rock/</t>
  </si>
  <si>
    <t>https://rika-quest.com/column/volume-and-temperature/</t>
  </si>
  <si>
    <t>https://rika-quest.com/column/insect/</t>
  </si>
  <si>
    <t>https://rika-quest.com/column/lung/</t>
  </si>
  <si>
    <t>https://rika-quest.com/column/transpiration/</t>
  </si>
  <si>
    <t>https://rika-quest.com/column/germination/</t>
  </si>
  <si>
    <t>https://rika-quest.com/column/flower/</t>
  </si>
  <si>
    <t>https://rika-quest.com/column/sum/</t>
  </si>
  <si>
    <t>https://rika-quest.com/column/gas_and_aqueous_liquid/</t>
  </si>
  <si>
    <t>https://rika-quest.com/column/how-to-burn/</t>
  </si>
  <si>
    <t>https://rika-quest.com/column/earthquake/</t>
  </si>
  <si>
    <t>https://rika-quest.com/column/reflectionandrefraction/</t>
  </si>
  <si>
    <t>https://rika-quest.com/column/solubility/</t>
  </si>
  <si>
    <t>https://rika-quest.com/column/photosynthesis/</t>
  </si>
  <si>
    <t>https://rika-quest.com/column/weather/</t>
  </si>
  <si>
    <t>https://rika-quest.com/greeting/</t>
  </si>
  <si>
    <t>https://rika-quest.com/column/physics/</t>
  </si>
  <si>
    <t>https://rika-quest.com/column/chemistry/</t>
  </si>
  <si>
    <t>https://rika-quest.com/company/</t>
  </si>
  <si>
    <t>https://rika-quest.com/column/nayami-experiment-reading/</t>
  </si>
  <si>
    <t>https://rika-quest.com/access/</t>
  </si>
  <si>
    <t>https://rika-quest.com/inquiry/</t>
  </si>
  <si>
    <t>https://rika-quest.com/timetable/</t>
  </si>
  <si>
    <t>https://rika-quest.com/column/nayami-writing/</t>
  </si>
  <si>
    <t>https://rika-quest.com/info/2025年度-夏期講習会-開催のお知らせ/</t>
  </si>
  <si>
    <t>https://rika-quest.com/column/nayami-physics-diagram/</t>
  </si>
  <si>
    <t>https://rika-quest.com/info/2025年度冬期講習会のお知らせ/</t>
  </si>
  <si>
    <t>https://rika-quest.com/info/492/</t>
  </si>
  <si>
    <t>https://rika-quest.com/info/2024年度夏期講習開催のお知らせ/</t>
  </si>
  <si>
    <t>https://rika-quest.com/info/2023年度夏期講習開催のお知らせ/</t>
  </si>
  <si>
    <t>https://rika-quest.com/column/creature/</t>
  </si>
  <si>
    <t>https://rika-quest.com/column/geoscience/</t>
  </si>
  <si>
    <t>https://rika-quest.com/column/nayami-biology-experiment/</t>
  </si>
  <si>
    <t>https://rika-quest.com/column/nayami-calculation-slow/</t>
  </si>
  <si>
    <t>https://rika-quest.com/column/nayami-cant-apply-knowledge/</t>
  </si>
  <si>
    <t>https://rika-quest.com/column/nayami-classification-mixup/</t>
  </si>
  <si>
    <t>https://rika-quest.com/column/nayami-combustion/</t>
  </si>
  <si>
    <t>https://rika-quest.com/column/nayami-dislike-science/</t>
  </si>
  <si>
    <t>https://rika-quest.com/column/nayami-ecosystem-increase-decrease/</t>
  </si>
  <si>
    <t>https://rika-quest.com/column/nayami-electric-circuits/</t>
  </si>
  <si>
    <t>https://rika-quest.com/column/nayami-gas-experiment/</t>
  </si>
  <si>
    <t>https://rika-quest.com/column/nayami-graph-table-reading/</t>
  </si>
  <si>
    <t>https://rika-quest.com/column/nayami-how-to-start/</t>
  </si>
  <si>
    <t>https://rika-quest.com/column/nayami-human-body/</t>
  </si>
  <si>
    <t>https://rika-quest.com/column/nayami-last-2weeks/</t>
  </si>
  <si>
    <t>https://rika-quest.com/column/nayami-lever-pulley/</t>
  </si>
  <si>
    <t>https://rika-quest.com/column/nayami-light-optics/</t>
  </si>
  <si>
    <t>https://rika-quest.com/column/nayami-memorize-not-sticking/</t>
  </si>
  <si>
    <t>https://rika-quest.com/column/nayami-neutralization/</t>
  </si>
  <si>
    <t>https://rika-quest.com/column/nayami-photosynthesis-transpiration/</t>
  </si>
  <si>
    <t>https://rika-quest.com/column/nayami-physics-graph/</t>
  </si>
  <si>
    <t>https://rika-quest.com/column/nayami-pressure-buoyancy/</t>
  </si>
  <si>
    <t>https://rika-quest.com/column/nayami-review-not-working/</t>
  </si>
  <si>
    <t>https://rika-quest.com/column/nayami-solubility-graph/</t>
  </si>
  <si>
    <t>https://rika-quest.com/info/</t>
  </si>
  <si>
    <t>https://rika-quest.com/info/2024年度冬期講習会のお知らせ/</t>
  </si>
  <si>
    <t>https://rika-quest.com/info/2023年度冬期講習開催のお知らせ/</t>
  </si>
  <si>
    <t>https://rika-quest.com/info/2023年度春期講習開催のお知らせ/</t>
  </si>
  <si>
    <t>https://rika-quest.com/info/2022年度冬期講習開催のお知らせ/</t>
  </si>
  <si>
    <t>https://rika-quest.com/info/2022年度夏期講習開催のお知らせ/</t>
  </si>
  <si>
    <t>https://rika-quest.com/info/2022年度春期講習開催のお知らせ/</t>
  </si>
  <si>
    <t>https://rika-quest.com/info/2022年度生徒募集のお知らせ【個別】/</t>
  </si>
  <si>
    <t>https://rika-quest.com/info/2024年度生徒募集のお知らせ【個別】/</t>
  </si>
  <si>
    <t>https://rika-quest.com/info/2023年度生徒募集のお知らせ【個別】/</t>
  </si>
  <si>
    <t>https://rika-quest.com/column/nayami-solution-classification/</t>
  </si>
  <si>
    <t>https://rika-quest.com/column/nayami-strata-column/</t>
  </si>
  <si>
    <t>https://rika-quest.com/column/nayami-weather-map/</t>
  </si>
  <si>
    <t>https://rika-quest.com/column/science-nayami/</t>
  </si>
  <si>
    <t>https://rika-quest.com/info/2024年度春期講習開催のお知らせ/</t>
  </si>
  <si>
    <t>https://www.kokugo-trigger.com/column/kokugonotesuto/</t>
  </si>
  <si>
    <t>https://www.kokugo-trigger.com/profile/</t>
  </si>
  <si>
    <t>https://www.kokugo-trigger.com/column/nigate/</t>
  </si>
  <si>
    <t>https://www.kokugo-trigger.com/access/</t>
  </si>
  <si>
    <t>https://www.kokugo-trigger.com/corporate_data/</t>
  </si>
  <si>
    <t>https://www.kokugo-trigger.com/column/kokugobenkyou/</t>
  </si>
  <si>
    <t>https://www.kokugo-trigger.com/concept/</t>
  </si>
  <si>
    <t>https://www.kokugo-trigger.com/strategy/</t>
  </si>
  <si>
    <t>https://www.kokugo-trigger.com/column/jikangatarinai/</t>
  </si>
  <si>
    <t>https://www.kokugo-trigger.com/inquiry/</t>
  </si>
  <si>
    <t>https://www.kokugo-trigger.com/column/kiso/</t>
  </si>
  <si>
    <t>https://www.kokugo-trigger.com/info/2025年度冬期講習会のお知らせ/</t>
  </si>
  <si>
    <t>https://www.kokugo-trigger.com/info/</t>
  </si>
  <si>
    <t>https://www.kokugo-trigger.com/info/2024年度冬期講習会のお知らせ/</t>
  </si>
  <si>
    <t>https://www.kokugo-trigger.com/info/2022年度春期講習開催のお知らせ/</t>
  </si>
  <si>
    <t>https://www.kokugo-trigger.com/info/2023年度夏期講習開催のお知らせ/</t>
  </si>
  <si>
    <t>https://www.kokugo-trigger.com/column/syuuchuuryoku/</t>
  </si>
  <si>
    <t>https://www.kokugo-trigger.com/column/jyuku/</t>
  </si>
  <si>
    <t>https://www.kokugo-trigger.com/column/seiseki/</t>
  </si>
  <si>
    <t>https://www.kokugo-trigger.com/info/2022年度生徒募集のお知らせ【個別】/</t>
  </si>
  <si>
    <t>https://www.kokugo-trigger.com/info/2024年度夏期講習開催のお知らせ/</t>
  </si>
  <si>
    <t>https://www.kokugo-trigger.com/info/2024年度春期講習開催のお知らせ/</t>
  </si>
  <si>
    <t>https://www.kokugo-trigger.com/info/2024年度生徒募集のお知らせ【個別】/</t>
  </si>
  <si>
    <t>https://www.kokugo-trigger.com/info/2023年度冬期講習開講のお知らせ/</t>
  </si>
  <si>
    <t>https://www.kokugo-trigger.com/info/2023年度春期講習開催のお知らせ/</t>
  </si>
  <si>
    <t>https://www.kokugo-trigger.com/info/2023年度生徒募集のお知らせ【個別】/</t>
  </si>
  <si>
    <t>https://www.kokugo-trigger.com/info/2022年度冬期講習開講のお知らせ/</t>
  </si>
  <si>
    <t>https://www.kokugo-trigger.com/info/2022年度夏期講習開催のお知らせ/</t>
  </si>
  <si>
    <t>https://www.kokugo-trigger.com/info/2021年度冬期講習開講のお知らせ/</t>
  </si>
  <si>
    <t>https://www.kokugo-trigger.com/info/20210707/</t>
  </si>
  <si>
    <t>https://www.kokugo-trigger.com/info/2021年度生徒募集のお知らせ【個別】/</t>
  </si>
  <si>
    <t>https://www.kokugo-trigger.com/info/2021年度春期講習開催のお知らせ/</t>
  </si>
  <si>
    <t>https://www.kokugo-trigger.com/info/20210723/</t>
  </si>
  <si>
    <t>https://www.kokugo-trigger.com/info/20210406/</t>
  </si>
  <si>
    <t>https://www.kokugo-trigger.com/info/2025年度-夏期講習会のご案内/</t>
  </si>
  <si>
    <t>https://www.kokugo-trigger.com/info/2025年度-春期講習会のご案内/</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</si>
</sst>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yy&quot;/&quot;mm&quot;/&quot;dd&quot; &quot;hh&quot;:&quot;mm&quot;:&quot;ss"/>
    <numFmt numFmtId="166" formatCode="yyyy-mm-dd"/>
    <numFmt numFmtId="167" formatCode="yyyy/mm/dd hh:mm:ss"/>
    <numFmt numFmtId="168" formatCode="#,##0.0"/>
    <numFmt numFmtId="169" formatCode="yy&quot;/&quot;mm&quot;/&quot;dd&quot; &quot;"/>
  </numFmts>
  <fonts count="9">
    <font>
      <sz val="10.0"/>
      <color rgb="FF000000"/>
      <name val="Arial"/>
      <scheme val="minor"/>
    </font>
    <font>
      <color theme="1"/>
      <name val="Arial"/>
      <scheme val="minor"/>
    </font>
    <font>
      <u/>
      <color rgb="FF0000FF"/>
    </font>
    <font>
      <u/>
      <color rgb="FF0000FF"/>
    </font>
    <font>
      <u/>
      <color rgb="FF0000FF"/>
    </font>
    <font>
      <color theme="1"/>
      <name val="Arial"/>
    </font>
    <font>
      <u/>
      <color rgb="FF0000FF"/>
    </font>
    <font>
      <u/>
      <color rgb="FF1155CC"/>
      <name val="Arial"/>
    </font>
    <font>
      <u/>
      <color rgb="FF1155CC"/>
      <name val="Arial"/>
    </font>
  </fonts>
  <fills count="7">
    <fill>
      <patternFill patternType="none"/>
    </fill>
    <fill>
      <patternFill patternType="lightGray"/>
    </fill>
    <fill>
      <patternFill patternType="solid">
        <fgColor rgb="FFD9EAD3"/>
        <bgColor rgb="FFD9EAD3"/>
      </patternFill>
    </fill>
    <fill>
      <patternFill patternType="solid">
        <fgColor rgb="FF9FC5E8"/>
        <bgColor rgb="FF9FC5E8"/>
      </patternFill>
    </fill>
    <fill>
      <patternFill patternType="solid">
        <fgColor rgb="FFD9D2E9"/>
        <bgColor rgb="FFD9D2E9"/>
      </patternFill>
    </fill>
    <fill>
      <patternFill patternType="solid">
        <fgColor rgb="FFB6D7A8"/>
        <bgColor rgb="FFB6D7A8"/>
      </patternFill>
    </fill>
    <fill>
      <patternFill patternType="solid">
        <fgColor rgb="FFF9CB9C"/>
        <bgColor rgb="FFF9CB9C"/>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1" numFmtId="1" xfId="0" applyAlignment="1" applyFont="1" applyNumberFormat="1">
      <alignment readingOrder="0"/>
    </xf>
    <xf borderId="0" fillId="0" fontId="1" numFmtId="1" xfId="0" applyFont="1" applyNumberFormat="1"/>
    <xf borderId="0" fillId="0" fontId="1" numFmtId="10" xfId="0" applyFont="1" applyNumberFormat="1"/>
    <xf borderId="0" fillId="0" fontId="1" numFmtId="2" xfId="0" applyFont="1" applyNumberFormat="1"/>
    <xf borderId="0" fillId="0" fontId="1" numFmtId="164" xfId="0" applyFont="1" applyNumberFormat="1"/>
    <xf borderId="1" fillId="0" fontId="1" numFmtId="0" xfId="0" applyAlignment="1" applyBorder="1" applyFont="1">
      <alignment readingOrder="0"/>
    </xf>
    <xf borderId="1" fillId="0" fontId="1" numFmtId="1" xfId="0" applyAlignment="1" applyBorder="1" applyFont="1" applyNumberFormat="1">
      <alignment readingOrder="0"/>
    </xf>
    <xf borderId="1" fillId="0" fontId="1" numFmtId="2" xfId="0" applyAlignment="1" applyBorder="1" applyFont="1" applyNumberFormat="1">
      <alignment readingOrder="0"/>
    </xf>
    <xf borderId="1" fillId="0" fontId="1" numFmtId="3" xfId="0" applyAlignment="1" applyBorder="1" applyFont="1" applyNumberFormat="1">
      <alignment readingOrder="0"/>
    </xf>
    <xf borderId="1" fillId="0" fontId="1" numFmtId="10" xfId="0" applyAlignment="1" applyBorder="1" applyFont="1" applyNumberFormat="1">
      <alignment readingOrder="0"/>
    </xf>
    <xf borderId="0" fillId="0" fontId="1" numFmtId="0" xfId="0" applyAlignment="1" applyFont="1">
      <alignment readingOrder="0"/>
    </xf>
    <xf borderId="0" fillId="0" fontId="1" numFmtId="10" xfId="0" applyAlignment="1" applyFont="1" applyNumberFormat="1">
      <alignment readingOrder="0"/>
    </xf>
    <xf borderId="0" fillId="0" fontId="1" numFmtId="2" xfId="0" applyAlignment="1" applyFont="1" applyNumberFormat="1">
      <alignment readingOrder="0"/>
    </xf>
    <xf borderId="0" fillId="0" fontId="1" numFmtId="164" xfId="0" applyAlignment="1" applyFont="1" applyNumberFormat="1">
      <alignment readingOrder="0"/>
    </xf>
    <xf borderId="1" fillId="0" fontId="4" numFmtId="0" xfId="0" applyAlignment="1" applyBorder="1" applyFont="1">
      <alignment readingOrder="0"/>
    </xf>
    <xf borderId="2" fillId="2" fontId="1" numFmtId="0" xfId="0" applyAlignment="1" applyBorder="1" applyFill="1" applyFont="1">
      <alignment readingOrder="0"/>
    </xf>
    <xf borderId="3" fillId="2" fontId="1" numFmtId="164" xfId="0" applyBorder="1" applyFont="1" applyNumberFormat="1"/>
    <xf borderId="4" fillId="2" fontId="1" numFmtId="164" xfId="0" applyBorder="1" applyFont="1" applyNumberFormat="1"/>
    <xf borderId="5" fillId="2" fontId="1" numFmtId="0" xfId="0" applyAlignment="1" applyBorder="1" applyFont="1">
      <alignment readingOrder="0"/>
    </xf>
    <xf borderId="0" fillId="2" fontId="1" numFmtId="164" xfId="0" applyAlignment="1" applyFont="1" applyNumberFormat="1">
      <alignment readingOrder="0"/>
    </xf>
    <xf borderId="0" fillId="2" fontId="1" numFmtId="164" xfId="0" applyFont="1" applyNumberFormat="1"/>
    <xf borderId="6" fillId="2" fontId="1" numFmtId="164" xfId="0" applyBorder="1" applyFont="1" applyNumberFormat="1"/>
    <xf borderId="1" fillId="0" fontId="1" numFmtId="1" xfId="0" applyAlignment="1" applyBorder="1" applyFont="1" applyNumberFormat="1">
      <alignment readingOrder="0"/>
    </xf>
    <xf borderId="7" fillId="2" fontId="1" numFmtId="0" xfId="0" applyAlignment="1" applyBorder="1" applyFont="1">
      <alignment readingOrder="0"/>
    </xf>
    <xf borderId="8" fillId="2" fontId="1" numFmtId="164" xfId="0" applyAlignment="1" applyBorder="1" applyFont="1" applyNumberFormat="1">
      <alignment readingOrder="0"/>
    </xf>
    <xf borderId="8" fillId="2" fontId="1" numFmtId="164" xfId="0" applyBorder="1" applyFont="1" applyNumberFormat="1"/>
    <xf borderId="9" fillId="2" fontId="1" numFmtId="164" xfId="0" applyBorder="1" applyFont="1" applyNumberFormat="1"/>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3" fontId="5" numFmtId="0" xfId="0" applyAlignment="1" applyFill="1" applyFont="1">
      <alignment horizontal="left" readingOrder="0" vertical="bottom"/>
    </xf>
    <xf borderId="0" fillId="3" fontId="1" numFmtId="0" xfId="0" applyAlignment="1" applyFont="1">
      <alignment horizontal="left" readingOrder="0"/>
    </xf>
    <xf borderId="0" fillId="4" fontId="5" numFmtId="1" xfId="0" applyAlignment="1" applyFill="1" applyFont="1" applyNumberFormat="1">
      <alignment horizontal="left" readingOrder="0" vertical="bottom"/>
    </xf>
    <xf borderId="0" fillId="4" fontId="5" numFmtId="0" xfId="0" applyAlignment="1" applyFont="1">
      <alignment horizontal="left" readingOrder="0" vertical="bottom"/>
    </xf>
    <xf borderId="0" fillId="4" fontId="1" numFmtId="0" xfId="0" applyAlignment="1" applyFont="1">
      <alignment horizontal="left" readingOrder="0"/>
    </xf>
    <xf borderId="0" fillId="5" fontId="5" numFmtId="1" xfId="0" applyAlignment="1" applyFill="1" applyFont="1" applyNumberFormat="1">
      <alignment horizontal="left" readingOrder="0" vertical="bottom"/>
    </xf>
    <xf borderId="0" fillId="5" fontId="5" numFmtId="0" xfId="0" applyAlignment="1" applyFont="1">
      <alignment horizontal="left" readingOrder="0" vertical="bottom"/>
    </xf>
    <xf borderId="0" fillId="5" fontId="1" numFmtId="0" xfId="0" applyAlignment="1" applyFont="1">
      <alignment horizontal="left" readingOrder="0"/>
    </xf>
    <xf borderId="0" fillId="6" fontId="5" numFmtId="168" xfId="0" applyAlignment="1" applyFill="1" applyFont="1" applyNumberFormat="1">
      <alignment horizontal="left" readingOrder="0" vertical="bottom"/>
    </xf>
    <xf borderId="0" fillId="6" fontId="1" numFmtId="0" xfId="0" applyAlignment="1" applyFont="1">
      <alignment horizontal="left" readingOrder="0"/>
    </xf>
    <xf borderId="0" fillId="0" fontId="5" numFmtId="0" xfId="0" applyAlignment="1" applyFont="1">
      <alignment readingOrder="0" vertical="bottom"/>
    </xf>
    <xf borderId="0" fillId="0" fontId="5" numFmtId="0" xfId="0" applyAlignment="1" applyFont="1">
      <alignment vertical="bottom"/>
    </xf>
    <xf borderId="0" fillId="0" fontId="6" numFmtId="0" xfId="0" applyAlignment="1" applyFont="1">
      <alignment readingOrder="0"/>
    </xf>
    <xf borderId="0" fillId="0" fontId="1" numFmtId="0" xfId="0" applyFont="1"/>
    <xf borderId="0" fillId="0" fontId="1" numFmtId="9" xfId="0" applyAlignment="1" applyFont="1" applyNumberFormat="1">
      <alignment horizontal="right"/>
    </xf>
    <xf borderId="0" fillId="0" fontId="1" numFmtId="9" xfId="0" applyFont="1" applyNumberFormat="1"/>
    <xf borderId="0" fillId="0" fontId="1" numFmtId="168" xfId="0" applyFont="1" applyNumberFormat="1"/>
    <xf borderId="0" fillId="0" fontId="1" numFmtId="169" xfId="0" applyFont="1" applyNumberFormat="1"/>
    <xf borderId="0" fillId="0" fontId="1" numFmtId="0" xfId="0" applyAlignment="1" applyFont="1">
      <alignment horizontal="right"/>
    </xf>
    <xf borderId="0" fillId="0" fontId="1" numFmtId="165" xfId="0" applyFont="1" applyNumberFormat="1"/>
    <xf borderId="0" fillId="0" fontId="7" numFmtId="0" xfId="0" applyAlignment="1" applyFont="1">
      <alignment vertical="bottom"/>
    </xf>
    <xf borderId="0" fillId="0" fontId="8" numFmtId="0" xfId="0" applyAlignment="1" applyFont="1">
      <alignment vertical="bottom"/>
    </xf>
    <xf borderId="0" fillId="3" fontId="1" numFmtId="0" xfId="0" applyAlignment="1" applyFont="1">
      <alignment horizontal="right" readingOrder="0"/>
    </xf>
    <xf borderId="0" fillId="0" fontId="1" numFmtId="1" xfId="0" applyAlignment="1" applyFont="1" applyNumberFormat="1">
      <alignment horizontal="right"/>
    </xf>
    <xf borderId="0" fillId="0" fontId="1" numFmtId="164" xfId="0" applyAlignment="1" applyFont="1" applyNumberFormat="1">
      <alignment horizontal="right"/>
    </xf>
    <xf borderId="0" fillId="0" fontId="1" numFmtId="169" xfId="0" applyAlignment="1" applyFont="1" applyNumberFormat="1">
      <alignment horizontal="right"/>
    </xf>
    <xf borderId="0" fillId="0" fontId="5" numFmtId="0" xfId="0" applyAlignment="1" applyFont="1">
      <alignment horizontal="left" readingOrder="0" vertical="bottom"/>
    </xf>
    <xf borderId="0" fillId="0" fontId="1" numFmtId="0" xfId="0" applyAlignment="1" applyFont="1">
      <alignment horizontal="left" readingOrder="0"/>
    </xf>
    <xf borderId="0" fillId="0" fontId="5" numFmtId="1" xfId="0" applyAlignment="1" applyFont="1" applyNumberFormat="1">
      <alignment horizontal="left" readingOrder="0" vertical="bottom"/>
    </xf>
    <xf borderId="0" fillId="0" fontId="1" numFmtId="4" xfId="0" applyFont="1" applyNumberFormat="1"/>
    <xf borderId="0" fillId="0" fontId="1" numFmtId="0" xfId="0" applyAlignment="1" applyFont="1">
      <alignment readingOrder="0"/>
    </xf>
    <xf borderId="0" fillId="0" fontId="1" numFmtId="0" xfId="0" applyFont="1"/>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atsui-sansu-juku.com" TargetMode="External"/><Relationship Id="rId2" Type="http://schemas.openxmlformats.org/officeDocument/2006/relationships/hyperlink" Target="http://juku-escot.com" TargetMode="External"/><Relationship Id="rId3" Type="http://schemas.openxmlformats.org/officeDocument/2006/relationships/hyperlink" Target="http://jukureiwa.com" TargetMode="External"/><Relationship Id="rId4" Type="http://schemas.openxmlformats.org/officeDocument/2006/relationships/hyperlink" Target="http://koten-kakitsubata.jp" TargetMode="External"/><Relationship Id="rId9" Type="http://schemas.openxmlformats.org/officeDocument/2006/relationships/drawing" Target="../drawings/drawing1.xml"/><Relationship Id="rId5" Type="http://schemas.openxmlformats.org/officeDocument/2006/relationships/hyperlink" Target="http://eigo-rewrite.com" TargetMode="External"/><Relationship Id="rId6" Type="http://schemas.openxmlformats.org/officeDocument/2006/relationships/hyperlink" Target="http://eng-support.com" TargetMode="External"/><Relationship Id="rId7" Type="http://schemas.openxmlformats.org/officeDocument/2006/relationships/hyperlink" Target="http://kokugo-trigger.com" TargetMode="External"/><Relationship Id="rId8" Type="http://schemas.openxmlformats.org/officeDocument/2006/relationships/hyperlink" Target="http://rika-quest.com"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jukureiwa.com" TargetMode="External"/><Relationship Id="rId10" Type="http://schemas.openxmlformats.org/officeDocument/2006/relationships/hyperlink" Target="http://juku-escot.com" TargetMode="External"/><Relationship Id="rId13" Type="http://schemas.openxmlformats.org/officeDocument/2006/relationships/hyperlink" Target="http://eigo-rewrite.com" TargetMode="External"/><Relationship Id="rId12" Type="http://schemas.openxmlformats.org/officeDocument/2006/relationships/hyperlink" Target="http://koten-kakitsubata.jp" TargetMode="External"/><Relationship Id="rId1" Type="http://schemas.openxmlformats.org/officeDocument/2006/relationships/hyperlink" Target="http://natsui-sansu-juku.com" TargetMode="External"/><Relationship Id="rId2" Type="http://schemas.openxmlformats.org/officeDocument/2006/relationships/hyperlink" Target="http://juku-escot.com" TargetMode="External"/><Relationship Id="rId3" Type="http://schemas.openxmlformats.org/officeDocument/2006/relationships/hyperlink" Target="http://jukureiwa.com" TargetMode="External"/><Relationship Id="rId4" Type="http://schemas.openxmlformats.org/officeDocument/2006/relationships/hyperlink" Target="http://koten-kakitsubata.jp" TargetMode="External"/><Relationship Id="rId9" Type="http://schemas.openxmlformats.org/officeDocument/2006/relationships/hyperlink" Target="http://natsui-sansu-juku.com" TargetMode="External"/><Relationship Id="rId15" Type="http://schemas.openxmlformats.org/officeDocument/2006/relationships/hyperlink" Target="http://kokugo-trigger.com" TargetMode="External"/><Relationship Id="rId14" Type="http://schemas.openxmlformats.org/officeDocument/2006/relationships/hyperlink" Target="http://eng-support.com" TargetMode="External"/><Relationship Id="rId17" Type="http://schemas.openxmlformats.org/officeDocument/2006/relationships/drawing" Target="../drawings/drawing2.xml"/><Relationship Id="rId16" Type="http://schemas.openxmlformats.org/officeDocument/2006/relationships/hyperlink" Target="http://rika-quest.com" TargetMode="External"/><Relationship Id="rId5" Type="http://schemas.openxmlformats.org/officeDocument/2006/relationships/hyperlink" Target="http://eigo-rewrite.com" TargetMode="External"/><Relationship Id="rId6" Type="http://schemas.openxmlformats.org/officeDocument/2006/relationships/hyperlink" Target="http://eng-support.com" TargetMode="External"/><Relationship Id="rId7" Type="http://schemas.openxmlformats.org/officeDocument/2006/relationships/hyperlink" Target="http://kokugo-trigger.com" TargetMode="External"/><Relationship Id="rId8" Type="http://schemas.openxmlformats.org/officeDocument/2006/relationships/hyperlink" Target="http://rika-quest.com"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eng-support.com" TargetMode="External"/><Relationship Id="rId194" Type="http://schemas.openxmlformats.org/officeDocument/2006/relationships/hyperlink" Target="http://juku-escot.com" TargetMode="External"/><Relationship Id="rId193" Type="http://schemas.openxmlformats.org/officeDocument/2006/relationships/hyperlink" Target="http://natsui-sansu-juku.com" TargetMode="External"/><Relationship Id="rId192" Type="http://schemas.openxmlformats.org/officeDocument/2006/relationships/hyperlink" Target="http://rika-quest.com" TargetMode="External"/><Relationship Id="rId191" Type="http://schemas.openxmlformats.org/officeDocument/2006/relationships/hyperlink" Target="http://kokugo-trigger.com" TargetMode="External"/><Relationship Id="rId187" Type="http://schemas.openxmlformats.org/officeDocument/2006/relationships/hyperlink" Target="http://jukureiwa.com" TargetMode="External"/><Relationship Id="rId186" Type="http://schemas.openxmlformats.org/officeDocument/2006/relationships/hyperlink" Target="http://juku-escot.com" TargetMode="External"/><Relationship Id="rId185" Type="http://schemas.openxmlformats.org/officeDocument/2006/relationships/hyperlink" Target="http://natsui-sansu-juku.com" TargetMode="External"/><Relationship Id="rId184" Type="http://schemas.openxmlformats.org/officeDocument/2006/relationships/hyperlink" Target="http://rika-quest.com" TargetMode="External"/><Relationship Id="rId189" Type="http://schemas.openxmlformats.org/officeDocument/2006/relationships/hyperlink" Target="http://eigo-rewrite.com" TargetMode="External"/><Relationship Id="rId188" Type="http://schemas.openxmlformats.org/officeDocument/2006/relationships/hyperlink" Target="http://koten-kakitsubata.jp" TargetMode="External"/><Relationship Id="rId183" Type="http://schemas.openxmlformats.org/officeDocument/2006/relationships/hyperlink" Target="http://kokugo-trigger.com" TargetMode="External"/><Relationship Id="rId182" Type="http://schemas.openxmlformats.org/officeDocument/2006/relationships/hyperlink" Target="http://eng-support.com" TargetMode="External"/><Relationship Id="rId181" Type="http://schemas.openxmlformats.org/officeDocument/2006/relationships/hyperlink" Target="http://eigo-rewrite.com" TargetMode="External"/><Relationship Id="rId180" Type="http://schemas.openxmlformats.org/officeDocument/2006/relationships/hyperlink" Target="http://koten-kakitsubata.jp" TargetMode="External"/><Relationship Id="rId176" Type="http://schemas.openxmlformats.org/officeDocument/2006/relationships/hyperlink" Target="http://rika-quest.com" TargetMode="External"/><Relationship Id="rId297" Type="http://schemas.openxmlformats.org/officeDocument/2006/relationships/hyperlink" Target="http://natsui-sansu-juku.com" TargetMode="External"/><Relationship Id="rId175" Type="http://schemas.openxmlformats.org/officeDocument/2006/relationships/hyperlink" Target="http://kokugo-trigger.com" TargetMode="External"/><Relationship Id="rId296" Type="http://schemas.openxmlformats.org/officeDocument/2006/relationships/hyperlink" Target="http://rika-quest.com" TargetMode="External"/><Relationship Id="rId174" Type="http://schemas.openxmlformats.org/officeDocument/2006/relationships/hyperlink" Target="http://eng-support.com" TargetMode="External"/><Relationship Id="rId295" Type="http://schemas.openxmlformats.org/officeDocument/2006/relationships/hyperlink" Target="http://kokugo-trigger.com" TargetMode="External"/><Relationship Id="rId173" Type="http://schemas.openxmlformats.org/officeDocument/2006/relationships/hyperlink" Target="http://eigo-rewrite.com" TargetMode="External"/><Relationship Id="rId294" Type="http://schemas.openxmlformats.org/officeDocument/2006/relationships/hyperlink" Target="http://eng-support.com" TargetMode="External"/><Relationship Id="rId179" Type="http://schemas.openxmlformats.org/officeDocument/2006/relationships/hyperlink" Target="http://jukureiwa.com" TargetMode="External"/><Relationship Id="rId178" Type="http://schemas.openxmlformats.org/officeDocument/2006/relationships/hyperlink" Target="http://juku-escot.com" TargetMode="External"/><Relationship Id="rId299" Type="http://schemas.openxmlformats.org/officeDocument/2006/relationships/hyperlink" Target="http://jukureiwa.com" TargetMode="External"/><Relationship Id="rId177" Type="http://schemas.openxmlformats.org/officeDocument/2006/relationships/hyperlink" Target="http://natsui-sansu-juku.com" TargetMode="External"/><Relationship Id="rId298" Type="http://schemas.openxmlformats.org/officeDocument/2006/relationships/hyperlink" Target="http://juku-escot.com" TargetMode="External"/><Relationship Id="rId198" Type="http://schemas.openxmlformats.org/officeDocument/2006/relationships/hyperlink" Target="http://eng-support.com" TargetMode="External"/><Relationship Id="rId197" Type="http://schemas.openxmlformats.org/officeDocument/2006/relationships/hyperlink" Target="http://eigo-rewrite.com" TargetMode="External"/><Relationship Id="rId196" Type="http://schemas.openxmlformats.org/officeDocument/2006/relationships/hyperlink" Target="http://koten-kakitsubata.jp" TargetMode="External"/><Relationship Id="rId195" Type="http://schemas.openxmlformats.org/officeDocument/2006/relationships/hyperlink" Target="http://jukureiwa.com" TargetMode="External"/><Relationship Id="rId199" Type="http://schemas.openxmlformats.org/officeDocument/2006/relationships/hyperlink" Target="http://kokugo-trigger.com" TargetMode="External"/><Relationship Id="rId150" Type="http://schemas.openxmlformats.org/officeDocument/2006/relationships/hyperlink" Target="http://eng-support.com" TargetMode="External"/><Relationship Id="rId271" Type="http://schemas.openxmlformats.org/officeDocument/2006/relationships/hyperlink" Target="http://kokugo-trigger.com" TargetMode="External"/><Relationship Id="rId392" Type="http://schemas.openxmlformats.org/officeDocument/2006/relationships/hyperlink" Target="http://rika-quest.com" TargetMode="External"/><Relationship Id="rId270" Type="http://schemas.openxmlformats.org/officeDocument/2006/relationships/hyperlink" Target="http://eng-support.com" TargetMode="External"/><Relationship Id="rId391" Type="http://schemas.openxmlformats.org/officeDocument/2006/relationships/hyperlink" Target="http://kokugo-trigger.com" TargetMode="External"/><Relationship Id="rId390" Type="http://schemas.openxmlformats.org/officeDocument/2006/relationships/hyperlink" Target="http://eng-support.com" TargetMode="External"/><Relationship Id="rId1" Type="http://schemas.openxmlformats.org/officeDocument/2006/relationships/hyperlink" Target="http://natsui-sansu-juku.com" TargetMode="External"/><Relationship Id="rId2" Type="http://schemas.openxmlformats.org/officeDocument/2006/relationships/hyperlink" Target="http://juku-escot.com" TargetMode="External"/><Relationship Id="rId3" Type="http://schemas.openxmlformats.org/officeDocument/2006/relationships/hyperlink" Target="http://jukureiwa.com" TargetMode="External"/><Relationship Id="rId149" Type="http://schemas.openxmlformats.org/officeDocument/2006/relationships/hyperlink" Target="http://eigo-rewrite.com" TargetMode="External"/><Relationship Id="rId4" Type="http://schemas.openxmlformats.org/officeDocument/2006/relationships/hyperlink" Target="http://koten-kakitsubata.jp" TargetMode="External"/><Relationship Id="rId148" Type="http://schemas.openxmlformats.org/officeDocument/2006/relationships/hyperlink" Target="http://koten-kakitsubata.jp" TargetMode="External"/><Relationship Id="rId269" Type="http://schemas.openxmlformats.org/officeDocument/2006/relationships/hyperlink" Target="http://eigo-rewrite.com" TargetMode="External"/><Relationship Id="rId9" Type="http://schemas.openxmlformats.org/officeDocument/2006/relationships/hyperlink" Target="http://natsui-sansu-juku.com" TargetMode="External"/><Relationship Id="rId143" Type="http://schemas.openxmlformats.org/officeDocument/2006/relationships/hyperlink" Target="http://kokugo-trigger.com" TargetMode="External"/><Relationship Id="rId264" Type="http://schemas.openxmlformats.org/officeDocument/2006/relationships/hyperlink" Target="http://rika-quest.com" TargetMode="External"/><Relationship Id="rId385" Type="http://schemas.openxmlformats.org/officeDocument/2006/relationships/hyperlink" Target="http://natsui-sansu-juku.com" TargetMode="External"/><Relationship Id="rId142" Type="http://schemas.openxmlformats.org/officeDocument/2006/relationships/hyperlink" Target="http://eng-support.com" TargetMode="External"/><Relationship Id="rId263" Type="http://schemas.openxmlformats.org/officeDocument/2006/relationships/hyperlink" Target="http://kokugo-trigger.com" TargetMode="External"/><Relationship Id="rId384" Type="http://schemas.openxmlformats.org/officeDocument/2006/relationships/hyperlink" Target="http://rika-quest.com" TargetMode="External"/><Relationship Id="rId141" Type="http://schemas.openxmlformats.org/officeDocument/2006/relationships/hyperlink" Target="http://eigo-rewrite.com" TargetMode="External"/><Relationship Id="rId262" Type="http://schemas.openxmlformats.org/officeDocument/2006/relationships/hyperlink" Target="http://eng-support.com" TargetMode="External"/><Relationship Id="rId383" Type="http://schemas.openxmlformats.org/officeDocument/2006/relationships/hyperlink" Target="http://kokugo-trigger.com" TargetMode="External"/><Relationship Id="rId140" Type="http://schemas.openxmlformats.org/officeDocument/2006/relationships/hyperlink" Target="http://koten-kakitsubata.jp" TargetMode="External"/><Relationship Id="rId261" Type="http://schemas.openxmlformats.org/officeDocument/2006/relationships/hyperlink" Target="http://eigo-rewrite.com" TargetMode="External"/><Relationship Id="rId382" Type="http://schemas.openxmlformats.org/officeDocument/2006/relationships/hyperlink" Target="http://eng-support.com" TargetMode="External"/><Relationship Id="rId5" Type="http://schemas.openxmlformats.org/officeDocument/2006/relationships/hyperlink" Target="http://eigo-rewrite.com" TargetMode="External"/><Relationship Id="rId147" Type="http://schemas.openxmlformats.org/officeDocument/2006/relationships/hyperlink" Target="http://jukureiwa.com" TargetMode="External"/><Relationship Id="rId268" Type="http://schemas.openxmlformats.org/officeDocument/2006/relationships/hyperlink" Target="http://koten-kakitsubata.jp" TargetMode="External"/><Relationship Id="rId389" Type="http://schemas.openxmlformats.org/officeDocument/2006/relationships/hyperlink" Target="http://eigo-rewrite.com" TargetMode="External"/><Relationship Id="rId6" Type="http://schemas.openxmlformats.org/officeDocument/2006/relationships/hyperlink" Target="http://eng-support.com" TargetMode="External"/><Relationship Id="rId146" Type="http://schemas.openxmlformats.org/officeDocument/2006/relationships/hyperlink" Target="http://juku-escot.com" TargetMode="External"/><Relationship Id="rId267" Type="http://schemas.openxmlformats.org/officeDocument/2006/relationships/hyperlink" Target="http://jukureiwa.com" TargetMode="External"/><Relationship Id="rId388" Type="http://schemas.openxmlformats.org/officeDocument/2006/relationships/hyperlink" Target="http://koten-kakitsubata.jp" TargetMode="External"/><Relationship Id="rId7" Type="http://schemas.openxmlformats.org/officeDocument/2006/relationships/hyperlink" Target="http://kokugo-trigger.com" TargetMode="External"/><Relationship Id="rId145" Type="http://schemas.openxmlformats.org/officeDocument/2006/relationships/hyperlink" Target="http://natsui-sansu-juku.com" TargetMode="External"/><Relationship Id="rId266" Type="http://schemas.openxmlformats.org/officeDocument/2006/relationships/hyperlink" Target="http://juku-escot.com" TargetMode="External"/><Relationship Id="rId387" Type="http://schemas.openxmlformats.org/officeDocument/2006/relationships/hyperlink" Target="http://jukureiwa.com" TargetMode="External"/><Relationship Id="rId8" Type="http://schemas.openxmlformats.org/officeDocument/2006/relationships/hyperlink" Target="http://rika-quest.com" TargetMode="External"/><Relationship Id="rId144" Type="http://schemas.openxmlformats.org/officeDocument/2006/relationships/hyperlink" Target="http://rika-quest.com" TargetMode="External"/><Relationship Id="rId265" Type="http://schemas.openxmlformats.org/officeDocument/2006/relationships/hyperlink" Target="http://natsui-sansu-juku.com" TargetMode="External"/><Relationship Id="rId386" Type="http://schemas.openxmlformats.org/officeDocument/2006/relationships/hyperlink" Target="http://juku-escot.com" TargetMode="External"/><Relationship Id="rId260" Type="http://schemas.openxmlformats.org/officeDocument/2006/relationships/hyperlink" Target="http://koten-kakitsubata.jp" TargetMode="External"/><Relationship Id="rId381" Type="http://schemas.openxmlformats.org/officeDocument/2006/relationships/hyperlink" Target="http://eigo-rewrite.com" TargetMode="External"/><Relationship Id="rId380" Type="http://schemas.openxmlformats.org/officeDocument/2006/relationships/hyperlink" Target="http://koten-kakitsubata.jp" TargetMode="External"/><Relationship Id="rId139" Type="http://schemas.openxmlformats.org/officeDocument/2006/relationships/hyperlink" Target="http://jukureiwa.com" TargetMode="External"/><Relationship Id="rId138" Type="http://schemas.openxmlformats.org/officeDocument/2006/relationships/hyperlink" Target="http://juku-escot.com" TargetMode="External"/><Relationship Id="rId259" Type="http://schemas.openxmlformats.org/officeDocument/2006/relationships/hyperlink" Target="http://jukureiwa.com" TargetMode="External"/><Relationship Id="rId137" Type="http://schemas.openxmlformats.org/officeDocument/2006/relationships/hyperlink" Target="http://natsui-sansu-juku.com" TargetMode="External"/><Relationship Id="rId258" Type="http://schemas.openxmlformats.org/officeDocument/2006/relationships/hyperlink" Target="http://juku-escot.com" TargetMode="External"/><Relationship Id="rId379" Type="http://schemas.openxmlformats.org/officeDocument/2006/relationships/hyperlink" Target="http://jukureiwa.com" TargetMode="External"/><Relationship Id="rId132" Type="http://schemas.openxmlformats.org/officeDocument/2006/relationships/hyperlink" Target="http://koten-kakitsubata.jp" TargetMode="External"/><Relationship Id="rId253" Type="http://schemas.openxmlformats.org/officeDocument/2006/relationships/hyperlink" Target="http://eigo-rewrite.com" TargetMode="External"/><Relationship Id="rId374" Type="http://schemas.openxmlformats.org/officeDocument/2006/relationships/hyperlink" Target="http://eng-support.com" TargetMode="External"/><Relationship Id="rId495" Type="http://schemas.openxmlformats.org/officeDocument/2006/relationships/hyperlink" Target="http://kokugo-trigger.com" TargetMode="External"/><Relationship Id="rId131" Type="http://schemas.openxmlformats.org/officeDocument/2006/relationships/hyperlink" Target="http://jukureiwa.com" TargetMode="External"/><Relationship Id="rId252" Type="http://schemas.openxmlformats.org/officeDocument/2006/relationships/hyperlink" Target="http://koten-kakitsubata.jp" TargetMode="External"/><Relationship Id="rId373" Type="http://schemas.openxmlformats.org/officeDocument/2006/relationships/hyperlink" Target="http://eigo-rewrite.com" TargetMode="External"/><Relationship Id="rId494" Type="http://schemas.openxmlformats.org/officeDocument/2006/relationships/hyperlink" Target="http://eng-support.com" TargetMode="External"/><Relationship Id="rId130" Type="http://schemas.openxmlformats.org/officeDocument/2006/relationships/hyperlink" Target="http://juku-escot.com" TargetMode="External"/><Relationship Id="rId251" Type="http://schemas.openxmlformats.org/officeDocument/2006/relationships/hyperlink" Target="http://jukureiwa.com" TargetMode="External"/><Relationship Id="rId372" Type="http://schemas.openxmlformats.org/officeDocument/2006/relationships/hyperlink" Target="http://koten-kakitsubata.jp" TargetMode="External"/><Relationship Id="rId493" Type="http://schemas.openxmlformats.org/officeDocument/2006/relationships/hyperlink" Target="http://eigo-rewrite.com" TargetMode="External"/><Relationship Id="rId250" Type="http://schemas.openxmlformats.org/officeDocument/2006/relationships/hyperlink" Target="http://juku-escot.com" TargetMode="External"/><Relationship Id="rId371" Type="http://schemas.openxmlformats.org/officeDocument/2006/relationships/hyperlink" Target="http://jukureiwa.com" TargetMode="External"/><Relationship Id="rId492" Type="http://schemas.openxmlformats.org/officeDocument/2006/relationships/hyperlink" Target="http://koten-kakitsubata.jp" TargetMode="External"/><Relationship Id="rId136" Type="http://schemas.openxmlformats.org/officeDocument/2006/relationships/hyperlink" Target="http://rika-quest.com" TargetMode="External"/><Relationship Id="rId257" Type="http://schemas.openxmlformats.org/officeDocument/2006/relationships/hyperlink" Target="http://natsui-sansu-juku.com" TargetMode="External"/><Relationship Id="rId378" Type="http://schemas.openxmlformats.org/officeDocument/2006/relationships/hyperlink" Target="http://juku-escot.com" TargetMode="External"/><Relationship Id="rId499" Type="http://schemas.openxmlformats.org/officeDocument/2006/relationships/hyperlink" Target="http://jukureiwa.com" TargetMode="External"/><Relationship Id="rId135" Type="http://schemas.openxmlformats.org/officeDocument/2006/relationships/hyperlink" Target="http://kokugo-trigger.com" TargetMode="External"/><Relationship Id="rId256" Type="http://schemas.openxmlformats.org/officeDocument/2006/relationships/hyperlink" Target="http://rika-quest.com" TargetMode="External"/><Relationship Id="rId377" Type="http://schemas.openxmlformats.org/officeDocument/2006/relationships/hyperlink" Target="http://natsui-sansu-juku.com" TargetMode="External"/><Relationship Id="rId498" Type="http://schemas.openxmlformats.org/officeDocument/2006/relationships/hyperlink" Target="http://juku-escot.com" TargetMode="External"/><Relationship Id="rId134" Type="http://schemas.openxmlformats.org/officeDocument/2006/relationships/hyperlink" Target="http://eng-support.com" TargetMode="External"/><Relationship Id="rId255" Type="http://schemas.openxmlformats.org/officeDocument/2006/relationships/hyperlink" Target="http://kokugo-trigger.com" TargetMode="External"/><Relationship Id="rId376" Type="http://schemas.openxmlformats.org/officeDocument/2006/relationships/hyperlink" Target="http://rika-quest.com" TargetMode="External"/><Relationship Id="rId497" Type="http://schemas.openxmlformats.org/officeDocument/2006/relationships/hyperlink" Target="http://natsui-sansu-juku.com" TargetMode="External"/><Relationship Id="rId133" Type="http://schemas.openxmlformats.org/officeDocument/2006/relationships/hyperlink" Target="http://eigo-rewrite.com" TargetMode="External"/><Relationship Id="rId254" Type="http://schemas.openxmlformats.org/officeDocument/2006/relationships/hyperlink" Target="http://eng-support.com" TargetMode="External"/><Relationship Id="rId375" Type="http://schemas.openxmlformats.org/officeDocument/2006/relationships/hyperlink" Target="http://kokugo-trigger.com" TargetMode="External"/><Relationship Id="rId496" Type="http://schemas.openxmlformats.org/officeDocument/2006/relationships/hyperlink" Target="http://rika-quest.com" TargetMode="External"/><Relationship Id="rId172" Type="http://schemas.openxmlformats.org/officeDocument/2006/relationships/hyperlink" Target="http://koten-kakitsubata.jp" TargetMode="External"/><Relationship Id="rId293" Type="http://schemas.openxmlformats.org/officeDocument/2006/relationships/hyperlink" Target="http://eigo-rewrite.com" TargetMode="External"/><Relationship Id="rId171" Type="http://schemas.openxmlformats.org/officeDocument/2006/relationships/hyperlink" Target="http://jukureiwa.com" TargetMode="External"/><Relationship Id="rId292" Type="http://schemas.openxmlformats.org/officeDocument/2006/relationships/hyperlink" Target="http://koten-kakitsubata.jp" TargetMode="External"/><Relationship Id="rId170" Type="http://schemas.openxmlformats.org/officeDocument/2006/relationships/hyperlink" Target="http://juku-escot.com" TargetMode="External"/><Relationship Id="rId291" Type="http://schemas.openxmlformats.org/officeDocument/2006/relationships/hyperlink" Target="http://jukureiwa.com" TargetMode="External"/><Relationship Id="rId290" Type="http://schemas.openxmlformats.org/officeDocument/2006/relationships/hyperlink" Target="http://juku-escot.com" TargetMode="External"/><Relationship Id="rId165" Type="http://schemas.openxmlformats.org/officeDocument/2006/relationships/hyperlink" Target="http://eigo-rewrite.com" TargetMode="External"/><Relationship Id="rId286" Type="http://schemas.openxmlformats.org/officeDocument/2006/relationships/hyperlink" Target="http://eng-support.com" TargetMode="External"/><Relationship Id="rId164" Type="http://schemas.openxmlformats.org/officeDocument/2006/relationships/hyperlink" Target="http://koten-kakitsubata.jp" TargetMode="External"/><Relationship Id="rId285" Type="http://schemas.openxmlformats.org/officeDocument/2006/relationships/hyperlink" Target="http://eigo-rewrite.com" TargetMode="External"/><Relationship Id="rId163" Type="http://schemas.openxmlformats.org/officeDocument/2006/relationships/hyperlink" Target="http://jukureiwa.com" TargetMode="External"/><Relationship Id="rId284" Type="http://schemas.openxmlformats.org/officeDocument/2006/relationships/hyperlink" Target="http://koten-kakitsubata.jp" TargetMode="External"/><Relationship Id="rId162" Type="http://schemas.openxmlformats.org/officeDocument/2006/relationships/hyperlink" Target="http://juku-escot.com" TargetMode="External"/><Relationship Id="rId283" Type="http://schemas.openxmlformats.org/officeDocument/2006/relationships/hyperlink" Target="http://jukureiwa.com" TargetMode="External"/><Relationship Id="rId169" Type="http://schemas.openxmlformats.org/officeDocument/2006/relationships/hyperlink" Target="http://natsui-sansu-juku.com" TargetMode="External"/><Relationship Id="rId168" Type="http://schemas.openxmlformats.org/officeDocument/2006/relationships/hyperlink" Target="http://rika-quest.com" TargetMode="External"/><Relationship Id="rId289" Type="http://schemas.openxmlformats.org/officeDocument/2006/relationships/hyperlink" Target="http://natsui-sansu-juku.com" TargetMode="External"/><Relationship Id="rId167" Type="http://schemas.openxmlformats.org/officeDocument/2006/relationships/hyperlink" Target="http://kokugo-trigger.com" TargetMode="External"/><Relationship Id="rId288" Type="http://schemas.openxmlformats.org/officeDocument/2006/relationships/hyperlink" Target="http://rika-quest.com" TargetMode="External"/><Relationship Id="rId166" Type="http://schemas.openxmlformats.org/officeDocument/2006/relationships/hyperlink" Target="http://eng-support.com" TargetMode="External"/><Relationship Id="rId287" Type="http://schemas.openxmlformats.org/officeDocument/2006/relationships/hyperlink" Target="http://kokugo-trigger.com" TargetMode="External"/><Relationship Id="rId161" Type="http://schemas.openxmlformats.org/officeDocument/2006/relationships/hyperlink" Target="http://natsui-sansu-juku.com" TargetMode="External"/><Relationship Id="rId282" Type="http://schemas.openxmlformats.org/officeDocument/2006/relationships/hyperlink" Target="http://juku-escot.com" TargetMode="External"/><Relationship Id="rId160" Type="http://schemas.openxmlformats.org/officeDocument/2006/relationships/hyperlink" Target="http://rika-quest.com" TargetMode="External"/><Relationship Id="rId281" Type="http://schemas.openxmlformats.org/officeDocument/2006/relationships/hyperlink" Target="http://natsui-sansu-juku.com" TargetMode="External"/><Relationship Id="rId280" Type="http://schemas.openxmlformats.org/officeDocument/2006/relationships/hyperlink" Target="http://rika-quest.com" TargetMode="External"/><Relationship Id="rId159" Type="http://schemas.openxmlformats.org/officeDocument/2006/relationships/hyperlink" Target="http://kokugo-trigger.com" TargetMode="External"/><Relationship Id="rId154" Type="http://schemas.openxmlformats.org/officeDocument/2006/relationships/hyperlink" Target="http://juku-escot.com" TargetMode="External"/><Relationship Id="rId275" Type="http://schemas.openxmlformats.org/officeDocument/2006/relationships/hyperlink" Target="http://jukureiwa.com" TargetMode="External"/><Relationship Id="rId396" Type="http://schemas.openxmlformats.org/officeDocument/2006/relationships/hyperlink" Target="http://koten-kakitsubata.jp" TargetMode="External"/><Relationship Id="rId153" Type="http://schemas.openxmlformats.org/officeDocument/2006/relationships/hyperlink" Target="http://natsui-sansu-juku.com" TargetMode="External"/><Relationship Id="rId274" Type="http://schemas.openxmlformats.org/officeDocument/2006/relationships/hyperlink" Target="http://juku-escot.com" TargetMode="External"/><Relationship Id="rId395" Type="http://schemas.openxmlformats.org/officeDocument/2006/relationships/hyperlink" Target="http://jukureiwa.com" TargetMode="External"/><Relationship Id="rId152" Type="http://schemas.openxmlformats.org/officeDocument/2006/relationships/hyperlink" Target="http://rika-quest.com" TargetMode="External"/><Relationship Id="rId273" Type="http://schemas.openxmlformats.org/officeDocument/2006/relationships/hyperlink" Target="http://natsui-sansu-juku.com" TargetMode="External"/><Relationship Id="rId394" Type="http://schemas.openxmlformats.org/officeDocument/2006/relationships/hyperlink" Target="http://juku-escot.com" TargetMode="External"/><Relationship Id="rId151" Type="http://schemas.openxmlformats.org/officeDocument/2006/relationships/hyperlink" Target="http://kokugo-trigger.com" TargetMode="External"/><Relationship Id="rId272" Type="http://schemas.openxmlformats.org/officeDocument/2006/relationships/hyperlink" Target="http://rika-quest.com" TargetMode="External"/><Relationship Id="rId393" Type="http://schemas.openxmlformats.org/officeDocument/2006/relationships/hyperlink" Target="http://natsui-sansu-juku.com" TargetMode="External"/><Relationship Id="rId158" Type="http://schemas.openxmlformats.org/officeDocument/2006/relationships/hyperlink" Target="http://eng-support.com" TargetMode="External"/><Relationship Id="rId279" Type="http://schemas.openxmlformats.org/officeDocument/2006/relationships/hyperlink" Target="http://kokugo-trigger.com" TargetMode="External"/><Relationship Id="rId157" Type="http://schemas.openxmlformats.org/officeDocument/2006/relationships/hyperlink" Target="http://eigo-rewrite.com" TargetMode="External"/><Relationship Id="rId278" Type="http://schemas.openxmlformats.org/officeDocument/2006/relationships/hyperlink" Target="http://eng-support.com" TargetMode="External"/><Relationship Id="rId399" Type="http://schemas.openxmlformats.org/officeDocument/2006/relationships/hyperlink" Target="http://kokugo-trigger.com" TargetMode="External"/><Relationship Id="rId156" Type="http://schemas.openxmlformats.org/officeDocument/2006/relationships/hyperlink" Target="http://koten-kakitsubata.jp" TargetMode="External"/><Relationship Id="rId277" Type="http://schemas.openxmlformats.org/officeDocument/2006/relationships/hyperlink" Target="http://eigo-rewrite.com" TargetMode="External"/><Relationship Id="rId398" Type="http://schemas.openxmlformats.org/officeDocument/2006/relationships/hyperlink" Target="http://eng-support.com" TargetMode="External"/><Relationship Id="rId155" Type="http://schemas.openxmlformats.org/officeDocument/2006/relationships/hyperlink" Target="http://jukureiwa.com" TargetMode="External"/><Relationship Id="rId276" Type="http://schemas.openxmlformats.org/officeDocument/2006/relationships/hyperlink" Target="http://koten-kakitsubata.jp" TargetMode="External"/><Relationship Id="rId397" Type="http://schemas.openxmlformats.org/officeDocument/2006/relationships/hyperlink" Target="http://eigo-rewrite.com" TargetMode="External"/><Relationship Id="rId40" Type="http://schemas.openxmlformats.org/officeDocument/2006/relationships/hyperlink" Target="http://rika-quest.com" TargetMode="External"/><Relationship Id="rId42" Type="http://schemas.openxmlformats.org/officeDocument/2006/relationships/hyperlink" Target="http://juku-escot.com" TargetMode="External"/><Relationship Id="rId41" Type="http://schemas.openxmlformats.org/officeDocument/2006/relationships/hyperlink" Target="http://natsui-sansu-juku.com" TargetMode="External"/><Relationship Id="rId44" Type="http://schemas.openxmlformats.org/officeDocument/2006/relationships/hyperlink" Target="http://koten-kakitsubata.jp" TargetMode="External"/><Relationship Id="rId43" Type="http://schemas.openxmlformats.org/officeDocument/2006/relationships/hyperlink" Target="http://jukureiwa.com" TargetMode="External"/><Relationship Id="rId46" Type="http://schemas.openxmlformats.org/officeDocument/2006/relationships/hyperlink" Target="http://eng-support.com" TargetMode="External"/><Relationship Id="rId45" Type="http://schemas.openxmlformats.org/officeDocument/2006/relationships/hyperlink" Target="http://eigo-rewrite.com" TargetMode="External"/><Relationship Id="rId509" Type="http://schemas.openxmlformats.org/officeDocument/2006/relationships/hyperlink" Target="http://eigo-rewrite.com" TargetMode="External"/><Relationship Id="rId508" Type="http://schemas.openxmlformats.org/officeDocument/2006/relationships/hyperlink" Target="http://koten-kakitsubata.jp" TargetMode="External"/><Relationship Id="rId503" Type="http://schemas.openxmlformats.org/officeDocument/2006/relationships/hyperlink" Target="http://kokugo-trigger.com" TargetMode="External"/><Relationship Id="rId502" Type="http://schemas.openxmlformats.org/officeDocument/2006/relationships/hyperlink" Target="http://eng-support.com" TargetMode="External"/><Relationship Id="rId501" Type="http://schemas.openxmlformats.org/officeDocument/2006/relationships/hyperlink" Target="http://eigo-rewrite.com" TargetMode="External"/><Relationship Id="rId500" Type="http://schemas.openxmlformats.org/officeDocument/2006/relationships/hyperlink" Target="http://koten-kakitsubata.jp" TargetMode="External"/><Relationship Id="rId507" Type="http://schemas.openxmlformats.org/officeDocument/2006/relationships/hyperlink" Target="http://jukureiwa.com" TargetMode="External"/><Relationship Id="rId506" Type="http://schemas.openxmlformats.org/officeDocument/2006/relationships/hyperlink" Target="http://juku-escot.com" TargetMode="External"/><Relationship Id="rId505" Type="http://schemas.openxmlformats.org/officeDocument/2006/relationships/hyperlink" Target="http://natsui-sansu-juku.com" TargetMode="External"/><Relationship Id="rId504" Type="http://schemas.openxmlformats.org/officeDocument/2006/relationships/hyperlink" Target="http://rika-quest.com" TargetMode="External"/><Relationship Id="rId48" Type="http://schemas.openxmlformats.org/officeDocument/2006/relationships/hyperlink" Target="http://rika-quest.com" TargetMode="External"/><Relationship Id="rId47" Type="http://schemas.openxmlformats.org/officeDocument/2006/relationships/hyperlink" Target="http://kokugo-trigger.com" TargetMode="External"/><Relationship Id="rId49" Type="http://schemas.openxmlformats.org/officeDocument/2006/relationships/hyperlink" Target="http://natsui-sansu-juku.com" TargetMode="External"/><Relationship Id="rId31" Type="http://schemas.openxmlformats.org/officeDocument/2006/relationships/hyperlink" Target="http://kokugo-trigger.com" TargetMode="External"/><Relationship Id="rId30" Type="http://schemas.openxmlformats.org/officeDocument/2006/relationships/hyperlink" Target="http://eng-support.com" TargetMode="External"/><Relationship Id="rId33" Type="http://schemas.openxmlformats.org/officeDocument/2006/relationships/hyperlink" Target="http://natsui-sansu-juku.com" TargetMode="External"/><Relationship Id="rId32" Type="http://schemas.openxmlformats.org/officeDocument/2006/relationships/hyperlink" Target="http://rika-quest.com" TargetMode="External"/><Relationship Id="rId35" Type="http://schemas.openxmlformats.org/officeDocument/2006/relationships/hyperlink" Target="http://jukureiwa.com" TargetMode="External"/><Relationship Id="rId34" Type="http://schemas.openxmlformats.org/officeDocument/2006/relationships/hyperlink" Target="http://juku-escot.com" TargetMode="External"/><Relationship Id="rId37" Type="http://schemas.openxmlformats.org/officeDocument/2006/relationships/hyperlink" Target="http://eigo-rewrite.com" TargetMode="External"/><Relationship Id="rId36" Type="http://schemas.openxmlformats.org/officeDocument/2006/relationships/hyperlink" Target="http://koten-kakitsubata.jp" TargetMode="External"/><Relationship Id="rId39" Type="http://schemas.openxmlformats.org/officeDocument/2006/relationships/hyperlink" Target="http://kokugo-trigger.com" TargetMode="External"/><Relationship Id="rId38" Type="http://schemas.openxmlformats.org/officeDocument/2006/relationships/hyperlink" Target="http://eng-support.com" TargetMode="External"/><Relationship Id="rId20" Type="http://schemas.openxmlformats.org/officeDocument/2006/relationships/hyperlink" Target="http://koten-kakitsubata.jp" TargetMode="External"/><Relationship Id="rId22" Type="http://schemas.openxmlformats.org/officeDocument/2006/relationships/hyperlink" Target="http://eng-support.com" TargetMode="External"/><Relationship Id="rId21" Type="http://schemas.openxmlformats.org/officeDocument/2006/relationships/hyperlink" Target="http://eigo-rewrite.com" TargetMode="External"/><Relationship Id="rId24" Type="http://schemas.openxmlformats.org/officeDocument/2006/relationships/hyperlink" Target="http://rika-quest.com" TargetMode="External"/><Relationship Id="rId23" Type="http://schemas.openxmlformats.org/officeDocument/2006/relationships/hyperlink" Target="http://kokugo-trigger.com" TargetMode="External"/><Relationship Id="rId409" Type="http://schemas.openxmlformats.org/officeDocument/2006/relationships/hyperlink" Target="http://natsui-sansu-juku.com" TargetMode="External"/><Relationship Id="rId404" Type="http://schemas.openxmlformats.org/officeDocument/2006/relationships/hyperlink" Target="http://koten-kakitsubata.jp" TargetMode="External"/><Relationship Id="rId525" Type="http://schemas.openxmlformats.org/officeDocument/2006/relationships/hyperlink" Target="http://eigo-rewrite.com" TargetMode="External"/><Relationship Id="rId403" Type="http://schemas.openxmlformats.org/officeDocument/2006/relationships/hyperlink" Target="http://jukureiwa.com" TargetMode="External"/><Relationship Id="rId524" Type="http://schemas.openxmlformats.org/officeDocument/2006/relationships/hyperlink" Target="http://koten-kakitsubata.jp" TargetMode="External"/><Relationship Id="rId402" Type="http://schemas.openxmlformats.org/officeDocument/2006/relationships/hyperlink" Target="http://juku-escot.com" TargetMode="External"/><Relationship Id="rId523" Type="http://schemas.openxmlformats.org/officeDocument/2006/relationships/hyperlink" Target="http://jukureiwa.com" TargetMode="External"/><Relationship Id="rId401" Type="http://schemas.openxmlformats.org/officeDocument/2006/relationships/hyperlink" Target="http://natsui-sansu-juku.com" TargetMode="External"/><Relationship Id="rId522" Type="http://schemas.openxmlformats.org/officeDocument/2006/relationships/hyperlink" Target="http://juku-escot.com" TargetMode="External"/><Relationship Id="rId408" Type="http://schemas.openxmlformats.org/officeDocument/2006/relationships/hyperlink" Target="http://rika-quest.com" TargetMode="External"/><Relationship Id="rId529" Type="http://schemas.openxmlformats.org/officeDocument/2006/relationships/hyperlink" Target="http://natsui-sansu-juku.com" TargetMode="External"/><Relationship Id="rId407" Type="http://schemas.openxmlformats.org/officeDocument/2006/relationships/hyperlink" Target="http://kokugo-trigger.com" TargetMode="External"/><Relationship Id="rId528" Type="http://schemas.openxmlformats.org/officeDocument/2006/relationships/hyperlink" Target="http://rika-quest.com" TargetMode="External"/><Relationship Id="rId406" Type="http://schemas.openxmlformats.org/officeDocument/2006/relationships/hyperlink" Target="http://eng-support.com" TargetMode="External"/><Relationship Id="rId527" Type="http://schemas.openxmlformats.org/officeDocument/2006/relationships/hyperlink" Target="http://kokugo-trigger.com" TargetMode="External"/><Relationship Id="rId405" Type="http://schemas.openxmlformats.org/officeDocument/2006/relationships/hyperlink" Target="http://eigo-rewrite.com" TargetMode="External"/><Relationship Id="rId526" Type="http://schemas.openxmlformats.org/officeDocument/2006/relationships/hyperlink" Target="http://eng-support.com" TargetMode="External"/><Relationship Id="rId26" Type="http://schemas.openxmlformats.org/officeDocument/2006/relationships/hyperlink" Target="http://juku-escot.com" TargetMode="External"/><Relationship Id="rId25" Type="http://schemas.openxmlformats.org/officeDocument/2006/relationships/hyperlink" Target="http://natsui-sansu-juku.com" TargetMode="External"/><Relationship Id="rId28" Type="http://schemas.openxmlformats.org/officeDocument/2006/relationships/hyperlink" Target="http://koten-kakitsubata.jp" TargetMode="External"/><Relationship Id="rId27" Type="http://schemas.openxmlformats.org/officeDocument/2006/relationships/hyperlink" Target="http://jukureiwa.com" TargetMode="External"/><Relationship Id="rId400" Type="http://schemas.openxmlformats.org/officeDocument/2006/relationships/hyperlink" Target="http://rika-quest.com" TargetMode="External"/><Relationship Id="rId521" Type="http://schemas.openxmlformats.org/officeDocument/2006/relationships/hyperlink" Target="http://natsui-sansu-juku.com" TargetMode="External"/><Relationship Id="rId29" Type="http://schemas.openxmlformats.org/officeDocument/2006/relationships/hyperlink" Target="http://eigo-rewrite.com" TargetMode="External"/><Relationship Id="rId520" Type="http://schemas.openxmlformats.org/officeDocument/2006/relationships/hyperlink" Target="http://rika-quest.com" TargetMode="External"/><Relationship Id="rId11" Type="http://schemas.openxmlformats.org/officeDocument/2006/relationships/hyperlink" Target="http://jukureiwa.com" TargetMode="External"/><Relationship Id="rId10" Type="http://schemas.openxmlformats.org/officeDocument/2006/relationships/hyperlink" Target="http://juku-escot.com" TargetMode="External"/><Relationship Id="rId13" Type="http://schemas.openxmlformats.org/officeDocument/2006/relationships/hyperlink" Target="http://eigo-rewrite.com" TargetMode="External"/><Relationship Id="rId12" Type="http://schemas.openxmlformats.org/officeDocument/2006/relationships/hyperlink" Target="http://koten-kakitsubata.jp" TargetMode="External"/><Relationship Id="rId519" Type="http://schemas.openxmlformats.org/officeDocument/2006/relationships/hyperlink" Target="http://kokugo-trigger.com" TargetMode="External"/><Relationship Id="rId514" Type="http://schemas.openxmlformats.org/officeDocument/2006/relationships/hyperlink" Target="http://juku-escot.com" TargetMode="External"/><Relationship Id="rId513" Type="http://schemas.openxmlformats.org/officeDocument/2006/relationships/hyperlink" Target="http://natsui-sansu-juku.com" TargetMode="External"/><Relationship Id="rId512" Type="http://schemas.openxmlformats.org/officeDocument/2006/relationships/hyperlink" Target="http://rika-quest.com" TargetMode="External"/><Relationship Id="rId511" Type="http://schemas.openxmlformats.org/officeDocument/2006/relationships/hyperlink" Target="http://kokugo-trigger.com" TargetMode="External"/><Relationship Id="rId518" Type="http://schemas.openxmlformats.org/officeDocument/2006/relationships/hyperlink" Target="http://eng-support.com" TargetMode="External"/><Relationship Id="rId517" Type="http://schemas.openxmlformats.org/officeDocument/2006/relationships/hyperlink" Target="http://eigo-rewrite.com" TargetMode="External"/><Relationship Id="rId516" Type="http://schemas.openxmlformats.org/officeDocument/2006/relationships/hyperlink" Target="http://koten-kakitsubata.jp" TargetMode="External"/><Relationship Id="rId515" Type="http://schemas.openxmlformats.org/officeDocument/2006/relationships/hyperlink" Target="http://jukureiwa.com" TargetMode="External"/><Relationship Id="rId15" Type="http://schemas.openxmlformats.org/officeDocument/2006/relationships/hyperlink" Target="http://kokugo-trigger.com" TargetMode="External"/><Relationship Id="rId14" Type="http://schemas.openxmlformats.org/officeDocument/2006/relationships/hyperlink" Target="http://eng-support.com" TargetMode="External"/><Relationship Id="rId17" Type="http://schemas.openxmlformats.org/officeDocument/2006/relationships/hyperlink" Target="http://natsui-sansu-juku.com" TargetMode="External"/><Relationship Id="rId16" Type="http://schemas.openxmlformats.org/officeDocument/2006/relationships/hyperlink" Target="http://rika-quest.com" TargetMode="External"/><Relationship Id="rId19" Type="http://schemas.openxmlformats.org/officeDocument/2006/relationships/hyperlink" Target="http://jukureiwa.com" TargetMode="External"/><Relationship Id="rId510" Type="http://schemas.openxmlformats.org/officeDocument/2006/relationships/hyperlink" Target="http://eng-support.com" TargetMode="External"/><Relationship Id="rId18" Type="http://schemas.openxmlformats.org/officeDocument/2006/relationships/hyperlink" Target="http://juku-escot.com" TargetMode="External"/><Relationship Id="rId84" Type="http://schemas.openxmlformats.org/officeDocument/2006/relationships/hyperlink" Target="http://koten-kakitsubata.jp" TargetMode="External"/><Relationship Id="rId83" Type="http://schemas.openxmlformats.org/officeDocument/2006/relationships/hyperlink" Target="http://jukureiwa.com" TargetMode="External"/><Relationship Id="rId86" Type="http://schemas.openxmlformats.org/officeDocument/2006/relationships/hyperlink" Target="http://eng-support.com" TargetMode="External"/><Relationship Id="rId85" Type="http://schemas.openxmlformats.org/officeDocument/2006/relationships/hyperlink" Target="http://eigo-rewrite.com" TargetMode="External"/><Relationship Id="rId88" Type="http://schemas.openxmlformats.org/officeDocument/2006/relationships/hyperlink" Target="http://rika-quest.com" TargetMode="External"/><Relationship Id="rId87" Type="http://schemas.openxmlformats.org/officeDocument/2006/relationships/hyperlink" Target="http://kokugo-trigger.com" TargetMode="External"/><Relationship Id="rId89" Type="http://schemas.openxmlformats.org/officeDocument/2006/relationships/hyperlink" Target="http://natsui-sansu-juku.com" TargetMode="External"/><Relationship Id="rId80" Type="http://schemas.openxmlformats.org/officeDocument/2006/relationships/hyperlink" Target="http://rika-quest.com" TargetMode="External"/><Relationship Id="rId82" Type="http://schemas.openxmlformats.org/officeDocument/2006/relationships/hyperlink" Target="http://juku-escot.com" TargetMode="External"/><Relationship Id="rId81" Type="http://schemas.openxmlformats.org/officeDocument/2006/relationships/hyperlink" Target="http://natsui-sansu-juku.com" TargetMode="External"/><Relationship Id="rId73" Type="http://schemas.openxmlformats.org/officeDocument/2006/relationships/hyperlink" Target="http://natsui-sansu-juku.com" TargetMode="External"/><Relationship Id="rId72" Type="http://schemas.openxmlformats.org/officeDocument/2006/relationships/hyperlink" Target="http://rika-quest.com" TargetMode="External"/><Relationship Id="rId75" Type="http://schemas.openxmlformats.org/officeDocument/2006/relationships/hyperlink" Target="http://jukureiwa.com" TargetMode="External"/><Relationship Id="rId74" Type="http://schemas.openxmlformats.org/officeDocument/2006/relationships/hyperlink" Target="http://juku-escot.com" TargetMode="External"/><Relationship Id="rId77" Type="http://schemas.openxmlformats.org/officeDocument/2006/relationships/hyperlink" Target="http://eigo-rewrite.com" TargetMode="External"/><Relationship Id="rId76" Type="http://schemas.openxmlformats.org/officeDocument/2006/relationships/hyperlink" Target="http://koten-kakitsubata.jp" TargetMode="External"/><Relationship Id="rId79" Type="http://schemas.openxmlformats.org/officeDocument/2006/relationships/hyperlink" Target="http://kokugo-trigger.com" TargetMode="External"/><Relationship Id="rId78" Type="http://schemas.openxmlformats.org/officeDocument/2006/relationships/hyperlink" Target="http://eng-support.com" TargetMode="External"/><Relationship Id="rId71" Type="http://schemas.openxmlformats.org/officeDocument/2006/relationships/hyperlink" Target="http://kokugo-trigger.com" TargetMode="External"/><Relationship Id="rId70" Type="http://schemas.openxmlformats.org/officeDocument/2006/relationships/hyperlink" Target="http://eng-support.com" TargetMode="External"/><Relationship Id="rId62" Type="http://schemas.openxmlformats.org/officeDocument/2006/relationships/hyperlink" Target="http://eng-support.com" TargetMode="External"/><Relationship Id="rId61" Type="http://schemas.openxmlformats.org/officeDocument/2006/relationships/hyperlink" Target="http://eigo-rewrite.com" TargetMode="External"/><Relationship Id="rId64" Type="http://schemas.openxmlformats.org/officeDocument/2006/relationships/hyperlink" Target="http://rika-quest.com" TargetMode="External"/><Relationship Id="rId63" Type="http://schemas.openxmlformats.org/officeDocument/2006/relationships/hyperlink" Target="http://kokugo-trigger.com" TargetMode="External"/><Relationship Id="rId66" Type="http://schemas.openxmlformats.org/officeDocument/2006/relationships/hyperlink" Target="http://juku-escot.com" TargetMode="External"/><Relationship Id="rId65" Type="http://schemas.openxmlformats.org/officeDocument/2006/relationships/hyperlink" Target="http://natsui-sansu-juku.com" TargetMode="External"/><Relationship Id="rId68" Type="http://schemas.openxmlformats.org/officeDocument/2006/relationships/hyperlink" Target="http://koten-kakitsubata.jp" TargetMode="External"/><Relationship Id="rId67" Type="http://schemas.openxmlformats.org/officeDocument/2006/relationships/hyperlink" Target="http://jukureiwa.com" TargetMode="External"/><Relationship Id="rId60" Type="http://schemas.openxmlformats.org/officeDocument/2006/relationships/hyperlink" Target="http://koten-kakitsubata.jp" TargetMode="External"/><Relationship Id="rId69" Type="http://schemas.openxmlformats.org/officeDocument/2006/relationships/hyperlink" Target="http://eigo-rewrite.com" TargetMode="External"/><Relationship Id="rId51" Type="http://schemas.openxmlformats.org/officeDocument/2006/relationships/hyperlink" Target="http://jukureiwa.com" TargetMode="External"/><Relationship Id="rId50" Type="http://schemas.openxmlformats.org/officeDocument/2006/relationships/hyperlink" Target="http://juku-escot.com" TargetMode="External"/><Relationship Id="rId53" Type="http://schemas.openxmlformats.org/officeDocument/2006/relationships/hyperlink" Target="http://eigo-rewrite.com" TargetMode="External"/><Relationship Id="rId52" Type="http://schemas.openxmlformats.org/officeDocument/2006/relationships/hyperlink" Target="http://koten-kakitsubata.jp" TargetMode="External"/><Relationship Id="rId55" Type="http://schemas.openxmlformats.org/officeDocument/2006/relationships/hyperlink" Target="http://kokugo-trigger.com" TargetMode="External"/><Relationship Id="rId54" Type="http://schemas.openxmlformats.org/officeDocument/2006/relationships/hyperlink" Target="http://eng-support.com" TargetMode="External"/><Relationship Id="rId57" Type="http://schemas.openxmlformats.org/officeDocument/2006/relationships/hyperlink" Target="http://natsui-sansu-juku.com" TargetMode="External"/><Relationship Id="rId56" Type="http://schemas.openxmlformats.org/officeDocument/2006/relationships/hyperlink" Target="http://rika-quest.com" TargetMode="External"/><Relationship Id="rId59" Type="http://schemas.openxmlformats.org/officeDocument/2006/relationships/hyperlink" Target="http://jukureiwa.com" TargetMode="External"/><Relationship Id="rId58" Type="http://schemas.openxmlformats.org/officeDocument/2006/relationships/hyperlink" Target="http://juku-escot.com" TargetMode="External"/><Relationship Id="rId107" Type="http://schemas.openxmlformats.org/officeDocument/2006/relationships/hyperlink" Target="http://jukureiwa.com" TargetMode="External"/><Relationship Id="rId228" Type="http://schemas.openxmlformats.org/officeDocument/2006/relationships/hyperlink" Target="http://koten-kakitsubata.jp" TargetMode="External"/><Relationship Id="rId349" Type="http://schemas.openxmlformats.org/officeDocument/2006/relationships/hyperlink" Target="http://eigo-rewrite.com" TargetMode="External"/><Relationship Id="rId106" Type="http://schemas.openxmlformats.org/officeDocument/2006/relationships/hyperlink" Target="http://juku-escot.com" TargetMode="External"/><Relationship Id="rId227" Type="http://schemas.openxmlformats.org/officeDocument/2006/relationships/hyperlink" Target="http://jukureiwa.com" TargetMode="External"/><Relationship Id="rId348" Type="http://schemas.openxmlformats.org/officeDocument/2006/relationships/hyperlink" Target="http://koten-kakitsubata.jp" TargetMode="External"/><Relationship Id="rId469" Type="http://schemas.openxmlformats.org/officeDocument/2006/relationships/hyperlink" Target="http://eigo-rewrite.com" TargetMode="External"/><Relationship Id="rId105" Type="http://schemas.openxmlformats.org/officeDocument/2006/relationships/hyperlink" Target="http://natsui-sansu-juku.com" TargetMode="External"/><Relationship Id="rId226" Type="http://schemas.openxmlformats.org/officeDocument/2006/relationships/hyperlink" Target="http://juku-escot.com" TargetMode="External"/><Relationship Id="rId347" Type="http://schemas.openxmlformats.org/officeDocument/2006/relationships/hyperlink" Target="http://jukureiwa.com" TargetMode="External"/><Relationship Id="rId468" Type="http://schemas.openxmlformats.org/officeDocument/2006/relationships/hyperlink" Target="http://koten-kakitsubata.jp" TargetMode="External"/><Relationship Id="rId104" Type="http://schemas.openxmlformats.org/officeDocument/2006/relationships/hyperlink" Target="http://rika-quest.com" TargetMode="External"/><Relationship Id="rId225" Type="http://schemas.openxmlformats.org/officeDocument/2006/relationships/hyperlink" Target="http://natsui-sansu-juku.com" TargetMode="External"/><Relationship Id="rId346" Type="http://schemas.openxmlformats.org/officeDocument/2006/relationships/hyperlink" Target="http://juku-escot.com" TargetMode="External"/><Relationship Id="rId467" Type="http://schemas.openxmlformats.org/officeDocument/2006/relationships/hyperlink" Target="http://jukureiwa.com" TargetMode="External"/><Relationship Id="rId109" Type="http://schemas.openxmlformats.org/officeDocument/2006/relationships/hyperlink" Target="http://eigo-rewrite.com" TargetMode="External"/><Relationship Id="rId108" Type="http://schemas.openxmlformats.org/officeDocument/2006/relationships/hyperlink" Target="http://koten-kakitsubata.jp" TargetMode="External"/><Relationship Id="rId229" Type="http://schemas.openxmlformats.org/officeDocument/2006/relationships/hyperlink" Target="http://eigo-rewrite.com" TargetMode="External"/><Relationship Id="rId220" Type="http://schemas.openxmlformats.org/officeDocument/2006/relationships/hyperlink" Target="http://koten-kakitsubata.jp" TargetMode="External"/><Relationship Id="rId341" Type="http://schemas.openxmlformats.org/officeDocument/2006/relationships/hyperlink" Target="http://eigo-rewrite.com" TargetMode="External"/><Relationship Id="rId462" Type="http://schemas.openxmlformats.org/officeDocument/2006/relationships/hyperlink" Target="http://eng-support.com" TargetMode="External"/><Relationship Id="rId340" Type="http://schemas.openxmlformats.org/officeDocument/2006/relationships/hyperlink" Target="http://koten-kakitsubata.jp" TargetMode="External"/><Relationship Id="rId461" Type="http://schemas.openxmlformats.org/officeDocument/2006/relationships/hyperlink" Target="http://eigo-rewrite.com" TargetMode="External"/><Relationship Id="rId460" Type="http://schemas.openxmlformats.org/officeDocument/2006/relationships/hyperlink" Target="http://koten-kakitsubata.jp" TargetMode="External"/><Relationship Id="rId103" Type="http://schemas.openxmlformats.org/officeDocument/2006/relationships/hyperlink" Target="http://kokugo-trigger.com" TargetMode="External"/><Relationship Id="rId224" Type="http://schemas.openxmlformats.org/officeDocument/2006/relationships/hyperlink" Target="http://rika-quest.com" TargetMode="External"/><Relationship Id="rId345" Type="http://schemas.openxmlformats.org/officeDocument/2006/relationships/hyperlink" Target="http://natsui-sansu-juku.com" TargetMode="External"/><Relationship Id="rId466" Type="http://schemas.openxmlformats.org/officeDocument/2006/relationships/hyperlink" Target="http://juku-escot.com" TargetMode="External"/><Relationship Id="rId102" Type="http://schemas.openxmlformats.org/officeDocument/2006/relationships/hyperlink" Target="http://eng-support.com" TargetMode="External"/><Relationship Id="rId223" Type="http://schemas.openxmlformats.org/officeDocument/2006/relationships/hyperlink" Target="http://kokugo-trigger.com" TargetMode="External"/><Relationship Id="rId344" Type="http://schemas.openxmlformats.org/officeDocument/2006/relationships/hyperlink" Target="http://rika-quest.com" TargetMode="External"/><Relationship Id="rId465" Type="http://schemas.openxmlformats.org/officeDocument/2006/relationships/hyperlink" Target="http://natsui-sansu-juku.com" TargetMode="External"/><Relationship Id="rId101" Type="http://schemas.openxmlformats.org/officeDocument/2006/relationships/hyperlink" Target="http://eigo-rewrite.com" TargetMode="External"/><Relationship Id="rId222" Type="http://schemas.openxmlformats.org/officeDocument/2006/relationships/hyperlink" Target="http://eng-support.com" TargetMode="External"/><Relationship Id="rId343" Type="http://schemas.openxmlformats.org/officeDocument/2006/relationships/hyperlink" Target="http://kokugo-trigger.com" TargetMode="External"/><Relationship Id="rId464" Type="http://schemas.openxmlformats.org/officeDocument/2006/relationships/hyperlink" Target="http://rika-quest.com" TargetMode="External"/><Relationship Id="rId100" Type="http://schemas.openxmlformats.org/officeDocument/2006/relationships/hyperlink" Target="http://koten-kakitsubata.jp" TargetMode="External"/><Relationship Id="rId221" Type="http://schemas.openxmlformats.org/officeDocument/2006/relationships/hyperlink" Target="http://eigo-rewrite.com" TargetMode="External"/><Relationship Id="rId342" Type="http://schemas.openxmlformats.org/officeDocument/2006/relationships/hyperlink" Target="http://eng-support.com" TargetMode="External"/><Relationship Id="rId463" Type="http://schemas.openxmlformats.org/officeDocument/2006/relationships/hyperlink" Target="http://kokugo-trigger.com" TargetMode="External"/><Relationship Id="rId217" Type="http://schemas.openxmlformats.org/officeDocument/2006/relationships/hyperlink" Target="http://natsui-sansu-juku.com" TargetMode="External"/><Relationship Id="rId338" Type="http://schemas.openxmlformats.org/officeDocument/2006/relationships/hyperlink" Target="http://juku-escot.com" TargetMode="External"/><Relationship Id="rId459" Type="http://schemas.openxmlformats.org/officeDocument/2006/relationships/hyperlink" Target="http://jukureiwa.com" TargetMode="External"/><Relationship Id="rId216" Type="http://schemas.openxmlformats.org/officeDocument/2006/relationships/hyperlink" Target="http://rika-quest.com" TargetMode="External"/><Relationship Id="rId337" Type="http://schemas.openxmlformats.org/officeDocument/2006/relationships/hyperlink" Target="http://natsui-sansu-juku.com" TargetMode="External"/><Relationship Id="rId458" Type="http://schemas.openxmlformats.org/officeDocument/2006/relationships/hyperlink" Target="http://juku-escot.com" TargetMode="External"/><Relationship Id="rId215" Type="http://schemas.openxmlformats.org/officeDocument/2006/relationships/hyperlink" Target="http://kokugo-trigger.com" TargetMode="External"/><Relationship Id="rId336" Type="http://schemas.openxmlformats.org/officeDocument/2006/relationships/hyperlink" Target="http://rika-quest.com" TargetMode="External"/><Relationship Id="rId457" Type="http://schemas.openxmlformats.org/officeDocument/2006/relationships/hyperlink" Target="http://natsui-sansu-juku.com" TargetMode="External"/><Relationship Id="rId214" Type="http://schemas.openxmlformats.org/officeDocument/2006/relationships/hyperlink" Target="http://eng-support.com" TargetMode="External"/><Relationship Id="rId335" Type="http://schemas.openxmlformats.org/officeDocument/2006/relationships/hyperlink" Target="http://kokugo-trigger.com" TargetMode="External"/><Relationship Id="rId456" Type="http://schemas.openxmlformats.org/officeDocument/2006/relationships/hyperlink" Target="http://rika-quest.com" TargetMode="External"/><Relationship Id="rId219" Type="http://schemas.openxmlformats.org/officeDocument/2006/relationships/hyperlink" Target="http://jukureiwa.com" TargetMode="External"/><Relationship Id="rId218" Type="http://schemas.openxmlformats.org/officeDocument/2006/relationships/hyperlink" Target="http://juku-escot.com" TargetMode="External"/><Relationship Id="rId339" Type="http://schemas.openxmlformats.org/officeDocument/2006/relationships/hyperlink" Target="http://jukureiwa.com" TargetMode="External"/><Relationship Id="rId330" Type="http://schemas.openxmlformats.org/officeDocument/2006/relationships/hyperlink" Target="http://juku-escot.com" TargetMode="External"/><Relationship Id="rId451" Type="http://schemas.openxmlformats.org/officeDocument/2006/relationships/hyperlink" Target="http://jukureiwa.com" TargetMode="External"/><Relationship Id="rId450" Type="http://schemas.openxmlformats.org/officeDocument/2006/relationships/hyperlink" Target="http://juku-escot.com" TargetMode="External"/><Relationship Id="rId213" Type="http://schemas.openxmlformats.org/officeDocument/2006/relationships/hyperlink" Target="http://eigo-rewrite.com" TargetMode="External"/><Relationship Id="rId334" Type="http://schemas.openxmlformats.org/officeDocument/2006/relationships/hyperlink" Target="http://eng-support.com" TargetMode="External"/><Relationship Id="rId455" Type="http://schemas.openxmlformats.org/officeDocument/2006/relationships/hyperlink" Target="http://kokugo-trigger.com" TargetMode="External"/><Relationship Id="rId212" Type="http://schemas.openxmlformats.org/officeDocument/2006/relationships/hyperlink" Target="http://koten-kakitsubata.jp" TargetMode="External"/><Relationship Id="rId333" Type="http://schemas.openxmlformats.org/officeDocument/2006/relationships/hyperlink" Target="http://eigo-rewrite.com" TargetMode="External"/><Relationship Id="rId454" Type="http://schemas.openxmlformats.org/officeDocument/2006/relationships/hyperlink" Target="http://eng-support.com" TargetMode="External"/><Relationship Id="rId211" Type="http://schemas.openxmlformats.org/officeDocument/2006/relationships/hyperlink" Target="http://jukureiwa.com" TargetMode="External"/><Relationship Id="rId332" Type="http://schemas.openxmlformats.org/officeDocument/2006/relationships/hyperlink" Target="http://koten-kakitsubata.jp" TargetMode="External"/><Relationship Id="rId453" Type="http://schemas.openxmlformats.org/officeDocument/2006/relationships/hyperlink" Target="http://eigo-rewrite.com" TargetMode="External"/><Relationship Id="rId210" Type="http://schemas.openxmlformats.org/officeDocument/2006/relationships/hyperlink" Target="http://juku-escot.com" TargetMode="External"/><Relationship Id="rId331" Type="http://schemas.openxmlformats.org/officeDocument/2006/relationships/hyperlink" Target="http://jukureiwa.com" TargetMode="External"/><Relationship Id="rId452" Type="http://schemas.openxmlformats.org/officeDocument/2006/relationships/hyperlink" Target="http://koten-kakitsubata.jp" TargetMode="External"/><Relationship Id="rId370" Type="http://schemas.openxmlformats.org/officeDocument/2006/relationships/hyperlink" Target="http://juku-escot.com" TargetMode="External"/><Relationship Id="rId491" Type="http://schemas.openxmlformats.org/officeDocument/2006/relationships/hyperlink" Target="http://jukureiwa.com" TargetMode="External"/><Relationship Id="rId490" Type="http://schemas.openxmlformats.org/officeDocument/2006/relationships/hyperlink" Target="http://juku-escot.com" TargetMode="External"/><Relationship Id="rId129" Type="http://schemas.openxmlformats.org/officeDocument/2006/relationships/hyperlink" Target="http://natsui-sansu-juku.com" TargetMode="External"/><Relationship Id="rId128" Type="http://schemas.openxmlformats.org/officeDocument/2006/relationships/hyperlink" Target="http://rika-quest.com" TargetMode="External"/><Relationship Id="rId249" Type="http://schemas.openxmlformats.org/officeDocument/2006/relationships/hyperlink" Target="http://natsui-sansu-juku.com" TargetMode="External"/><Relationship Id="rId127" Type="http://schemas.openxmlformats.org/officeDocument/2006/relationships/hyperlink" Target="http://kokugo-trigger.com" TargetMode="External"/><Relationship Id="rId248" Type="http://schemas.openxmlformats.org/officeDocument/2006/relationships/hyperlink" Target="http://rika-quest.com" TargetMode="External"/><Relationship Id="rId369" Type="http://schemas.openxmlformats.org/officeDocument/2006/relationships/hyperlink" Target="http://natsui-sansu-juku.com" TargetMode="External"/><Relationship Id="rId126" Type="http://schemas.openxmlformats.org/officeDocument/2006/relationships/hyperlink" Target="http://eng-support.com" TargetMode="External"/><Relationship Id="rId247" Type="http://schemas.openxmlformats.org/officeDocument/2006/relationships/hyperlink" Target="http://kokugo-trigger.com" TargetMode="External"/><Relationship Id="rId368" Type="http://schemas.openxmlformats.org/officeDocument/2006/relationships/hyperlink" Target="http://rika-quest.com" TargetMode="External"/><Relationship Id="rId489" Type="http://schemas.openxmlformats.org/officeDocument/2006/relationships/hyperlink" Target="http://natsui-sansu-juku.com" TargetMode="External"/><Relationship Id="rId121" Type="http://schemas.openxmlformats.org/officeDocument/2006/relationships/hyperlink" Target="http://natsui-sansu-juku.com" TargetMode="External"/><Relationship Id="rId242" Type="http://schemas.openxmlformats.org/officeDocument/2006/relationships/hyperlink" Target="http://juku-escot.com" TargetMode="External"/><Relationship Id="rId363" Type="http://schemas.openxmlformats.org/officeDocument/2006/relationships/hyperlink" Target="http://jukureiwa.com" TargetMode="External"/><Relationship Id="rId484" Type="http://schemas.openxmlformats.org/officeDocument/2006/relationships/hyperlink" Target="http://koten-kakitsubata.jp" TargetMode="External"/><Relationship Id="rId120" Type="http://schemas.openxmlformats.org/officeDocument/2006/relationships/hyperlink" Target="http://rika-quest.com" TargetMode="External"/><Relationship Id="rId241" Type="http://schemas.openxmlformats.org/officeDocument/2006/relationships/hyperlink" Target="http://natsui-sansu-juku.com" TargetMode="External"/><Relationship Id="rId362" Type="http://schemas.openxmlformats.org/officeDocument/2006/relationships/hyperlink" Target="http://juku-escot.com" TargetMode="External"/><Relationship Id="rId483" Type="http://schemas.openxmlformats.org/officeDocument/2006/relationships/hyperlink" Target="http://jukureiwa.com" TargetMode="External"/><Relationship Id="rId240" Type="http://schemas.openxmlformats.org/officeDocument/2006/relationships/hyperlink" Target="http://rika-quest.com" TargetMode="External"/><Relationship Id="rId361" Type="http://schemas.openxmlformats.org/officeDocument/2006/relationships/hyperlink" Target="http://natsui-sansu-juku.com" TargetMode="External"/><Relationship Id="rId482" Type="http://schemas.openxmlformats.org/officeDocument/2006/relationships/hyperlink" Target="http://juku-escot.com" TargetMode="External"/><Relationship Id="rId360" Type="http://schemas.openxmlformats.org/officeDocument/2006/relationships/hyperlink" Target="http://rika-quest.com" TargetMode="External"/><Relationship Id="rId481" Type="http://schemas.openxmlformats.org/officeDocument/2006/relationships/hyperlink" Target="http://natsui-sansu-juku.com" TargetMode="External"/><Relationship Id="rId125" Type="http://schemas.openxmlformats.org/officeDocument/2006/relationships/hyperlink" Target="http://eigo-rewrite.com" TargetMode="External"/><Relationship Id="rId246" Type="http://schemas.openxmlformats.org/officeDocument/2006/relationships/hyperlink" Target="http://eng-support.com" TargetMode="External"/><Relationship Id="rId367" Type="http://schemas.openxmlformats.org/officeDocument/2006/relationships/hyperlink" Target="http://kokugo-trigger.com" TargetMode="External"/><Relationship Id="rId488" Type="http://schemas.openxmlformats.org/officeDocument/2006/relationships/hyperlink" Target="http://rika-quest.com" TargetMode="External"/><Relationship Id="rId124" Type="http://schemas.openxmlformats.org/officeDocument/2006/relationships/hyperlink" Target="http://koten-kakitsubata.jp" TargetMode="External"/><Relationship Id="rId245" Type="http://schemas.openxmlformats.org/officeDocument/2006/relationships/hyperlink" Target="http://eigo-rewrite.com" TargetMode="External"/><Relationship Id="rId366" Type="http://schemas.openxmlformats.org/officeDocument/2006/relationships/hyperlink" Target="http://eng-support.com" TargetMode="External"/><Relationship Id="rId487" Type="http://schemas.openxmlformats.org/officeDocument/2006/relationships/hyperlink" Target="http://kokugo-trigger.com" TargetMode="External"/><Relationship Id="rId123" Type="http://schemas.openxmlformats.org/officeDocument/2006/relationships/hyperlink" Target="http://jukureiwa.com" TargetMode="External"/><Relationship Id="rId244" Type="http://schemas.openxmlformats.org/officeDocument/2006/relationships/hyperlink" Target="http://koten-kakitsubata.jp" TargetMode="External"/><Relationship Id="rId365" Type="http://schemas.openxmlformats.org/officeDocument/2006/relationships/hyperlink" Target="http://eigo-rewrite.com" TargetMode="External"/><Relationship Id="rId486" Type="http://schemas.openxmlformats.org/officeDocument/2006/relationships/hyperlink" Target="http://eng-support.com" TargetMode="External"/><Relationship Id="rId122" Type="http://schemas.openxmlformats.org/officeDocument/2006/relationships/hyperlink" Target="http://juku-escot.com" TargetMode="External"/><Relationship Id="rId243" Type="http://schemas.openxmlformats.org/officeDocument/2006/relationships/hyperlink" Target="http://jukureiwa.com" TargetMode="External"/><Relationship Id="rId364" Type="http://schemas.openxmlformats.org/officeDocument/2006/relationships/hyperlink" Target="http://koten-kakitsubata.jp" TargetMode="External"/><Relationship Id="rId485" Type="http://schemas.openxmlformats.org/officeDocument/2006/relationships/hyperlink" Target="http://eigo-rewrite.com" TargetMode="External"/><Relationship Id="rId95" Type="http://schemas.openxmlformats.org/officeDocument/2006/relationships/hyperlink" Target="http://kokugo-trigger.com" TargetMode="External"/><Relationship Id="rId94" Type="http://schemas.openxmlformats.org/officeDocument/2006/relationships/hyperlink" Target="http://eng-support.com" TargetMode="External"/><Relationship Id="rId97" Type="http://schemas.openxmlformats.org/officeDocument/2006/relationships/hyperlink" Target="http://natsui-sansu-juku.com" TargetMode="External"/><Relationship Id="rId96" Type="http://schemas.openxmlformats.org/officeDocument/2006/relationships/hyperlink" Target="http://rika-quest.com" TargetMode="External"/><Relationship Id="rId99" Type="http://schemas.openxmlformats.org/officeDocument/2006/relationships/hyperlink" Target="http://jukureiwa.com" TargetMode="External"/><Relationship Id="rId480" Type="http://schemas.openxmlformats.org/officeDocument/2006/relationships/hyperlink" Target="http://rika-quest.com" TargetMode="External"/><Relationship Id="rId98" Type="http://schemas.openxmlformats.org/officeDocument/2006/relationships/hyperlink" Target="http://juku-escot.com" TargetMode="External"/><Relationship Id="rId91" Type="http://schemas.openxmlformats.org/officeDocument/2006/relationships/hyperlink" Target="http://jukureiwa.com" TargetMode="External"/><Relationship Id="rId90" Type="http://schemas.openxmlformats.org/officeDocument/2006/relationships/hyperlink" Target="http://juku-escot.com" TargetMode="External"/><Relationship Id="rId93" Type="http://schemas.openxmlformats.org/officeDocument/2006/relationships/hyperlink" Target="http://eigo-rewrite.com" TargetMode="External"/><Relationship Id="rId92" Type="http://schemas.openxmlformats.org/officeDocument/2006/relationships/hyperlink" Target="http://koten-kakitsubata.jp" TargetMode="External"/><Relationship Id="rId118" Type="http://schemas.openxmlformats.org/officeDocument/2006/relationships/hyperlink" Target="http://eng-support.com" TargetMode="External"/><Relationship Id="rId239" Type="http://schemas.openxmlformats.org/officeDocument/2006/relationships/hyperlink" Target="http://kokugo-trigger.com" TargetMode="External"/><Relationship Id="rId117" Type="http://schemas.openxmlformats.org/officeDocument/2006/relationships/hyperlink" Target="http://eigo-rewrite.com" TargetMode="External"/><Relationship Id="rId238" Type="http://schemas.openxmlformats.org/officeDocument/2006/relationships/hyperlink" Target="http://eng-support.com" TargetMode="External"/><Relationship Id="rId359" Type="http://schemas.openxmlformats.org/officeDocument/2006/relationships/hyperlink" Target="http://kokugo-trigger.com" TargetMode="External"/><Relationship Id="rId116" Type="http://schemas.openxmlformats.org/officeDocument/2006/relationships/hyperlink" Target="http://koten-kakitsubata.jp" TargetMode="External"/><Relationship Id="rId237" Type="http://schemas.openxmlformats.org/officeDocument/2006/relationships/hyperlink" Target="http://eigo-rewrite.com" TargetMode="External"/><Relationship Id="rId358" Type="http://schemas.openxmlformats.org/officeDocument/2006/relationships/hyperlink" Target="http://eng-support.com" TargetMode="External"/><Relationship Id="rId479" Type="http://schemas.openxmlformats.org/officeDocument/2006/relationships/hyperlink" Target="http://kokugo-trigger.com" TargetMode="External"/><Relationship Id="rId115" Type="http://schemas.openxmlformats.org/officeDocument/2006/relationships/hyperlink" Target="http://jukureiwa.com" TargetMode="External"/><Relationship Id="rId236" Type="http://schemas.openxmlformats.org/officeDocument/2006/relationships/hyperlink" Target="http://koten-kakitsubata.jp" TargetMode="External"/><Relationship Id="rId357" Type="http://schemas.openxmlformats.org/officeDocument/2006/relationships/hyperlink" Target="http://eigo-rewrite.com" TargetMode="External"/><Relationship Id="rId478" Type="http://schemas.openxmlformats.org/officeDocument/2006/relationships/hyperlink" Target="http://eng-support.com" TargetMode="External"/><Relationship Id="rId119" Type="http://schemas.openxmlformats.org/officeDocument/2006/relationships/hyperlink" Target="http://kokugo-trigger.com" TargetMode="External"/><Relationship Id="rId110" Type="http://schemas.openxmlformats.org/officeDocument/2006/relationships/hyperlink" Target="http://eng-support.com" TargetMode="External"/><Relationship Id="rId231" Type="http://schemas.openxmlformats.org/officeDocument/2006/relationships/hyperlink" Target="http://kokugo-trigger.com" TargetMode="External"/><Relationship Id="rId352" Type="http://schemas.openxmlformats.org/officeDocument/2006/relationships/hyperlink" Target="http://rika-quest.com" TargetMode="External"/><Relationship Id="rId473" Type="http://schemas.openxmlformats.org/officeDocument/2006/relationships/hyperlink" Target="http://natsui-sansu-juku.com" TargetMode="External"/><Relationship Id="rId230" Type="http://schemas.openxmlformats.org/officeDocument/2006/relationships/hyperlink" Target="http://eng-support.com" TargetMode="External"/><Relationship Id="rId351" Type="http://schemas.openxmlformats.org/officeDocument/2006/relationships/hyperlink" Target="http://kokugo-trigger.com" TargetMode="External"/><Relationship Id="rId472" Type="http://schemas.openxmlformats.org/officeDocument/2006/relationships/hyperlink" Target="http://rika-quest.com" TargetMode="External"/><Relationship Id="rId350" Type="http://schemas.openxmlformats.org/officeDocument/2006/relationships/hyperlink" Target="http://eng-support.com" TargetMode="External"/><Relationship Id="rId471" Type="http://schemas.openxmlformats.org/officeDocument/2006/relationships/hyperlink" Target="http://kokugo-trigger.com" TargetMode="External"/><Relationship Id="rId470" Type="http://schemas.openxmlformats.org/officeDocument/2006/relationships/hyperlink" Target="http://eng-support.com" TargetMode="External"/><Relationship Id="rId114" Type="http://schemas.openxmlformats.org/officeDocument/2006/relationships/hyperlink" Target="http://juku-escot.com" TargetMode="External"/><Relationship Id="rId235" Type="http://schemas.openxmlformats.org/officeDocument/2006/relationships/hyperlink" Target="http://jukureiwa.com" TargetMode="External"/><Relationship Id="rId356" Type="http://schemas.openxmlformats.org/officeDocument/2006/relationships/hyperlink" Target="http://koten-kakitsubata.jp" TargetMode="External"/><Relationship Id="rId477" Type="http://schemas.openxmlformats.org/officeDocument/2006/relationships/hyperlink" Target="http://eigo-rewrite.com" TargetMode="External"/><Relationship Id="rId113" Type="http://schemas.openxmlformats.org/officeDocument/2006/relationships/hyperlink" Target="http://natsui-sansu-juku.com" TargetMode="External"/><Relationship Id="rId234" Type="http://schemas.openxmlformats.org/officeDocument/2006/relationships/hyperlink" Target="http://juku-escot.com" TargetMode="External"/><Relationship Id="rId355" Type="http://schemas.openxmlformats.org/officeDocument/2006/relationships/hyperlink" Target="http://jukureiwa.com" TargetMode="External"/><Relationship Id="rId476" Type="http://schemas.openxmlformats.org/officeDocument/2006/relationships/hyperlink" Target="http://koten-kakitsubata.jp" TargetMode="External"/><Relationship Id="rId112" Type="http://schemas.openxmlformats.org/officeDocument/2006/relationships/hyperlink" Target="http://rika-quest.com" TargetMode="External"/><Relationship Id="rId233" Type="http://schemas.openxmlformats.org/officeDocument/2006/relationships/hyperlink" Target="http://natsui-sansu-juku.com" TargetMode="External"/><Relationship Id="rId354" Type="http://schemas.openxmlformats.org/officeDocument/2006/relationships/hyperlink" Target="http://juku-escot.com" TargetMode="External"/><Relationship Id="rId475" Type="http://schemas.openxmlformats.org/officeDocument/2006/relationships/hyperlink" Target="http://jukureiwa.com" TargetMode="External"/><Relationship Id="rId111" Type="http://schemas.openxmlformats.org/officeDocument/2006/relationships/hyperlink" Target="http://kokugo-trigger.com" TargetMode="External"/><Relationship Id="rId232" Type="http://schemas.openxmlformats.org/officeDocument/2006/relationships/hyperlink" Target="http://rika-quest.com" TargetMode="External"/><Relationship Id="rId353" Type="http://schemas.openxmlformats.org/officeDocument/2006/relationships/hyperlink" Target="http://natsui-sansu-juku.com" TargetMode="External"/><Relationship Id="rId474" Type="http://schemas.openxmlformats.org/officeDocument/2006/relationships/hyperlink" Target="http://juku-escot.com" TargetMode="External"/><Relationship Id="rId305" Type="http://schemas.openxmlformats.org/officeDocument/2006/relationships/hyperlink" Target="http://natsui-sansu-juku.com" TargetMode="External"/><Relationship Id="rId426" Type="http://schemas.openxmlformats.org/officeDocument/2006/relationships/hyperlink" Target="http://juku-escot.com" TargetMode="External"/><Relationship Id="rId547" Type="http://schemas.openxmlformats.org/officeDocument/2006/relationships/hyperlink" Target="http://jukureiwa.com" TargetMode="External"/><Relationship Id="rId304" Type="http://schemas.openxmlformats.org/officeDocument/2006/relationships/hyperlink" Target="http://rika-quest.com" TargetMode="External"/><Relationship Id="rId425" Type="http://schemas.openxmlformats.org/officeDocument/2006/relationships/hyperlink" Target="http://natsui-sansu-juku.com" TargetMode="External"/><Relationship Id="rId546" Type="http://schemas.openxmlformats.org/officeDocument/2006/relationships/hyperlink" Target="http://juku-escot.com" TargetMode="External"/><Relationship Id="rId303" Type="http://schemas.openxmlformats.org/officeDocument/2006/relationships/hyperlink" Target="http://kokugo-trigger.com" TargetMode="External"/><Relationship Id="rId424" Type="http://schemas.openxmlformats.org/officeDocument/2006/relationships/hyperlink" Target="http://rika-quest.com" TargetMode="External"/><Relationship Id="rId545" Type="http://schemas.openxmlformats.org/officeDocument/2006/relationships/hyperlink" Target="http://natsui-sansu-juku.com" TargetMode="External"/><Relationship Id="rId302" Type="http://schemas.openxmlformats.org/officeDocument/2006/relationships/hyperlink" Target="http://eng-support.com" TargetMode="External"/><Relationship Id="rId423" Type="http://schemas.openxmlformats.org/officeDocument/2006/relationships/hyperlink" Target="http://kokugo-trigger.com" TargetMode="External"/><Relationship Id="rId544" Type="http://schemas.openxmlformats.org/officeDocument/2006/relationships/hyperlink" Target="http://rika-quest.com" TargetMode="External"/><Relationship Id="rId309" Type="http://schemas.openxmlformats.org/officeDocument/2006/relationships/hyperlink" Target="http://eigo-rewrite.com" TargetMode="External"/><Relationship Id="rId308" Type="http://schemas.openxmlformats.org/officeDocument/2006/relationships/hyperlink" Target="http://koten-kakitsubata.jp" TargetMode="External"/><Relationship Id="rId429" Type="http://schemas.openxmlformats.org/officeDocument/2006/relationships/hyperlink" Target="http://eigo-rewrite.com" TargetMode="External"/><Relationship Id="rId307" Type="http://schemas.openxmlformats.org/officeDocument/2006/relationships/hyperlink" Target="http://jukureiwa.com" TargetMode="External"/><Relationship Id="rId428" Type="http://schemas.openxmlformats.org/officeDocument/2006/relationships/hyperlink" Target="http://koten-kakitsubata.jp" TargetMode="External"/><Relationship Id="rId549" Type="http://schemas.openxmlformats.org/officeDocument/2006/relationships/hyperlink" Target="http://eigo-rewrite.com" TargetMode="External"/><Relationship Id="rId306" Type="http://schemas.openxmlformats.org/officeDocument/2006/relationships/hyperlink" Target="http://juku-escot.com" TargetMode="External"/><Relationship Id="rId427" Type="http://schemas.openxmlformats.org/officeDocument/2006/relationships/hyperlink" Target="http://jukureiwa.com" TargetMode="External"/><Relationship Id="rId548" Type="http://schemas.openxmlformats.org/officeDocument/2006/relationships/hyperlink" Target="http://koten-kakitsubata.jp" TargetMode="External"/><Relationship Id="rId301" Type="http://schemas.openxmlformats.org/officeDocument/2006/relationships/hyperlink" Target="http://eigo-rewrite.com" TargetMode="External"/><Relationship Id="rId422" Type="http://schemas.openxmlformats.org/officeDocument/2006/relationships/hyperlink" Target="http://eng-support.com" TargetMode="External"/><Relationship Id="rId543" Type="http://schemas.openxmlformats.org/officeDocument/2006/relationships/hyperlink" Target="http://kokugo-trigger.com" TargetMode="External"/><Relationship Id="rId300" Type="http://schemas.openxmlformats.org/officeDocument/2006/relationships/hyperlink" Target="http://koten-kakitsubata.jp" TargetMode="External"/><Relationship Id="rId421" Type="http://schemas.openxmlformats.org/officeDocument/2006/relationships/hyperlink" Target="http://eigo-rewrite.com" TargetMode="External"/><Relationship Id="rId542" Type="http://schemas.openxmlformats.org/officeDocument/2006/relationships/hyperlink" Target="http://eng-support.com" TargetMode="External"/><Relationship Id="rId420" Type="http://schemas.openxmlformats.org/officeDocument/2006/relationships/hyperlink" Target="http://koten-kakitsubata.jp" TargetMode="External"/><Relationship Id="rId541" Type="http://schemas.openxmlformats.org/officeDocument/2006/relationships/hyperlink" Target="http://eigo-rewrite.com" TargetMode="External"/><Relationship Id="rId540" Type="http://schemas.openxmlformats.org/officeDocument/2006/relationships/hyperlink" Target="http://koten-kakitsubata.jp" TargetMode="External"/><Relationship Id="rId415" Type="http://schemas.openxmlformats.org/officeDocument/2006/relationships/hyperlink" Target="http://kokugo-trigger.com" TargetMode="External"/><Relationship Id="rId536" Type="http://schemas.openxmlformats.org/officeDocument/2006/relationships/hyperlink" Target="http://rika-quest.com" TargetMode="External"/><Relationship Id="rId414" Type="http://schemas.openxmlformats.org/officeDocument/2006/relationships/hyperlink" Target="http://eng-support.com" TargetMode="External"/><Relationship Id="rId535" Type="http://schemas.openxmlformats.org/officeDocument/2006/relationships/hyperlink" Target="http://kokugo-trigger.com" TargetMode="External"/><Relationship Id="rId413" Type="http://schemas.openxmlformats.org/officeDocument/2006/relationships/hyperlink" Target="http://eigo-rewrite.com" TargetMode="External"/><Relationship Id="rId534" Type="http://schemas.openxmlformats.org/officeDocument/2006/relationships/hyperlink" Target="http://eng-support.com" TargetMode="External"/><Relationship Id="rId412" Type="http://schemas.openxmlformats.org/officeDocument/2006/relationships/hyperlink" Target="http://koten-kakitsubata.jp" TargetMode="External"/><Relationship Id="rId533" Type="http://schemas.openxmlformats.org/officeDocument/2006/relationships/hyperlink" Target="http://eigo-rewrite.com" TargetMode="External"/><Relationship Id="rId419" Type="http://schemas.openxmlformats.org/officeDocument/2006/relationships/hyperlink" Target="http://jukureiwa.com" TargetMode="External"/><Relationship Id="rId418" Type="http://schemas.openxmlformats.org/officeDocument/2006/relationships/hyperlink" Target="http://juku-escot.com" TargetMode="External"/><Relationship Id="rId539" Type="http://schemas.openxmlformats.org/officeDocument/2006/relationships/hyperlink" Target="http://jukureiwa.com" TargetMode="External"/><Relationship Id="rId417" Type="http://schemas.openxmlformats.org/officeDocument/2006/relationships/hyperlink" Target="http://natsui-sansu-juku.com" TargetMode="External"/><Relationship Id="rId538" Type="http://schemas.openxmlformats.org/officeDocument/2006/relationships/hyperlink" Target="http://juku-escot.com" TargetMode="External"/><Relationship Id="rId416" Type="http://schemas.openxmlformats.org/officeDocument/2006/relationships/hyperlink" Target="http://rika-quest.com" TargetMode="External"/><Relationship Id="rId537" Type="http://schemas.openxmlformats.org/officeDocument/2006/relationships/hyperlink" Target="http://natsui-sansu-juku.com" TargetMode="External"/><Relationship Id="rId411" Type="http://schemas.openxmlformats.org/officeDocument/2006/relationships/hyperlink" Target="http://jukureiwa.com" TargetMode="External"/><Relationship Id="rId532" Type="http://schemas.openxmlformats.org/officeDocument/2006/relationships/hyperlink" Target="http://koten-kakitsubata.jp" TargetMode="External"/><Relationship Id="rId410" Type="http://schemas.openxmlformats.org/officeDocument/2006/relationships/hyperlink" Target="http://juku-escot.com" TargetMode="External"/><Relationship Id="rId531" Type="http://schemas.openxmlformats.org/officeDocument/2006/relationships/hyperlink" Target="http://jukureiwa.com" TargetMode="External"/><Relationship Id="rId530" Type="http://schemas.openxmlformats.org/officeDocument/2006/relationships/hyperlink" Target="http://juku-escot.com" TargetMode="External"/><Relationship Id="rId206" Type="http://schemas.openxmlformats.org/officeDocument/2006/relationships/hyperlink" Target="http://eng-support.com" TargetMode="External"/><Relationship Id="rId327" Type="http://schemas.openxmlformats.org/officeDocument/2006/relationships/hyperlink" Target="http://kokugo-trigger.com" TargetMode="External"/><Relationship Id="rId448" Type="http://schemas.openxmlformats.org/officeDocument/2006/relationships/hyperlink" Target="http://rika-quest.com" TargetMode="External"/><Relationship Id="rId205" Type="http://schemas.openxmlformats.org/officeDocument/2006/relationships/hyperlink" Target="http://eigo-rewrite.com" TargetMode="External"/><Relationship Id="rId326" Type="http://schemas.openxmlformats.org/officeDocument/2006/relationships/hyperlink" Target="http://eng-support.com" TargetMode="External"/><Relationship Id="rId447" Type="http://schemas.openxmlformats.org/officeDocument/2006/relationships/hyperlink" Target="http://kokugo-trigger.com" TargetMode="External"/><Relationship Id="rId204" Type="http://schemas.openxmlformats.org/officeDocument/2006/relationships/hyperlink" Target="http://koten-kakitsubata.jp" TargetMode="External"/><Relationship Id="rId325" Type="http://schemas.openxmlformats.org/officeDocument/2006/relationships/hyperlink" Target="http://eigo-rewrite.com" TargetMode="External"/><Relationship Id="rId446" Type="http://schemas.openxmlformats.org/officeDocument/2006/relationships/hyperlink" Target="http://eng-support.com" TargetMode="External"/><Relationship Id="rId203" Type="http://schemas.openxmlformats.org/officeDocument/2006/relationships/hyperlink" Target="http://jukureiwa.com" TargetMode="External"/><Relationship Id="rId324" Type="http://schemas.openxmlformats.org/officeDocument/2006/relationships/hyperlink" Target="http://koten-kakitsubata.jp" TargetMode="External"/><Relationship Id="rId445" Type="http://schemas.openxmlformats.org/officeDocument/2006/relationships/hyperlink" Target="http://eigo-rewrite.com" TargetMode="External"/><Relationship Id="rId209" Type="http://schemas.openxmlformats.org/officeDocument/2006/relationships/hyperlink" Target="http://natsui-sansu-juku.com" TargetMode="External"/><Relationship Id="rId208" Type="http://schemas.openxmlformats.org/officeDocument/2006/relationships/hyperlink" Target="http://rika-quest.com" TargetMode="External"/><Relationship Id="rId329" Type="http://schemas.openxmlformats.org/officeDocument/2006/relationships/hyperlink" Target="http://natsui-sansu-juku.com" TargetMode="External"/><Relationship Id="rId207" Type="http://schemas.openxmlformats.org/officeDocument/2006/relationships/hyperlink" Target="http://kokugo-trigger.com" TargetMode="External"/><Relationship Id="rId328" Type="http://schemas.openxmlformats.org/officeDocument/2006/relationships/hyperlink" Target="http://rika-quest.com" TargetMode="External"/><Relationship Id="rId449" Type="http://schemas.openxmlformats.org/officeDocument/2006/relationships/hyperlink" Target="http://natsui-sansu-juku.com" TargetMode="External"/><Relationship Id="rId440" Type="http://schemas.openxmlformats.org/officeDocument/2006/relationships/hyperlink" Target="http://rika-quest.com" TargetMode="External"/><Relationship Id="rId561" Type="http://schemas.openxmlformats.org/officeDocument/2006/relationships/drawing" Target="../drawings/drawing3.xml"/><Relationship Id="rId560" Type="http://schemas.openxmlformats.org/officeDocument/2006/relationships/hyperlink" Target="http://rika-quest.com" TargetMode="External"/><Relationship Id="rId202" Type="http://schemas.openxmlformats.org/officeDocument/2006/relationships/hyperlink" Target="http://juku-escot.com" TargetMode="External"/><Relationship Id="rId323" Type="http://schemas.openxmlformats.org/officeDocument/2006/relationships/hyperlink" Target="http://jukureiwa.com" TargetMode="External"/><Relationship Id="rId444" Type="http://schemas.openxmlformats.org/officeDocument/2006/relationships/hyperlink" Target="http://koten-kakitsubata.jp" TargetMode="External"/><Relationship Id="rId201" Type="http://schemas.openxmlformats.org/officeDocument/2006/relationships/hyperlink" Target="http://natsui-sansu-juku.com" TargetMode="External"/><Relationship Id="rId322" Type="http://schemas.openxmlformats.org/officeDocument/2006/relationships/hyperlink" Target="http://juku-escot.com" TargetMode="External"/><Relationship Id="rId443" Type="http://schemas.openxmlformats.org/officeDocument/2006/relationships/hyperlink" Target="http://jukureiwa.com" TargetMode="External"/><Relationship Id="rId200" Type="http://schemas.openxmlformats.org/officeDocument/2006/relationships/hyperlink" Target="http://rika-quest.com" TargetMode="External"/><Relationship Id="rId321" Type="http://schemas.openxmlformats.org/officeDocument/2006/relationships/hyperlink" Target="http://natsui-sansu-juku.com" TargetMode="External"/><Relationship Id="rId442" Type="http://schemas.openxmlformats.org/officeDocument/2006/relationships/hyperlink" Target="http://juku-escot.com" TargetMode="External"/><Relationship Id="rId320" Type="http://schemas.openxmlformats.org/officeDocument/2006/relationships/hyperlink" Target="http://rika-quest.com" TargetMode="External"/><Relationship Id="rId441" Type="http://schemas.openxmlformats.org/officeDocument/2006/relationships/hyperlink" Target="http://natsui-sansu-juku.com" TargetMode="External"/><Relationship Id="rId316" Type="http://schemas.openxmlformats.org/officeDocument/2006/relationships/hyperlink" Target="http://koten-kakitsubata.jp" TargetMode="External"/><Relationship Id="rId437" Type="http://schemas.openxmlformats.org/officeDocument/2006/relationships/hyperlink" Target="http://eigo-rewrite.com" TargetMode="External"/><Relationship Id="rId558" Type="http://schemas.openxmlformats.org/officeDocument/2006/relationships/hyperlink" Target="http://eng-support.com" TargetMode="External"/><Relationship Id="rId315" Type="http://schemas.openxmlformats.org/officeDocument/2006/relationships/hyperlink" Target="http://jukureiwa.com" TargetMode="External"/><Relationship Id="rId436" Type="http://schemas.openxmlformats.org/officeDocument/2006/relationships/hyperlink" Target="http://koten-kakitsubata.jp" TargetMode="External"/><Relationship Id="rId557" Type="http://schemas.openxmlformats.org/officeDocument/2006/relationships/hyperlink" Target="http://eigo-rewrite.com" TargetMode="External"/><Relationship Id="rId314" Type="http://schemas.openxmlformats.org/officeDocument/2006/relationships/hyperlink" Target="http://juku-escot.com" TargetMode="External"/><Relationship Id="rId435" Type="http://schemas.openxmlformats.org/officeDocument/2006/relationships/hyperlink" Target="http://jukureiwa.com" TargetMode="External"/><Relationship Id="rId556" Type="http://schemas.openxmlformats.org/officeDocument/2006/relationships/hyperlink" Target="http://koten-kakitsubata.jp" TargetMode="External"/><Relationship Id="rId313" Type="http://schemas.openxmlformats.org/officeDocument/2006/relationships/hyperlink" Target="http://natsui-sansu-juku.com" TargetMode="External"/><Relationship Id="rId434" Type="http://schemas.openxmlformats.org/officeDocument/2006/relationships/hyperlink" Target="http://juku-escot.com" TargetMode="External"/><Relationship Id="rId555" Type="http://schemas.openxmlformats.org/officeDocument/2006/relationships/hyperlink" Target="http://jukureiwa.com" TargetMode="External"/><Relationship Id="rId319" Type="http://schemas.openxmlformats.org/officeDocument/2006/relationships/hyperlink" Target="http://kokugo-trigger.com" TargetMode="External"/><Relationship Id="rId318" Type="http://schemas.openxmlformats.org/officeDocument/2006/relationships/hyperlink" Target="http://eng-support.com" TargetMode="External"/><Relationship Id="rId439" Type="http://schemas.openxmlformats.org/officeDocument/2006/relationships/hyperlink" Target="http://kokugo-trigger.com" TargetMode="External"/><Relationship Id="rId317" Type="http://schemas.openxmlformats.org/officeDocument/2006/relationships/hyperlink" Target="http://eigo-rewrite.com" TargetMode="External"/><Relationship Id="rId438" Type="http://schemas.openxmlformats.org/officeDocument/2006/relationships/hyperlink" Target="http://eng-support.com" TargetMode="External"/><Relationship Id="rId559" Type="http://schemas.openxmlformats.org/officeDocument/2006/relationships/hyperlink" Target="http://kokugo-trigger.com" TargetMode="External"/><Relationship Id="rId550" Type="http://schemas.openxmlformats.org/officeDocument/2006/relationships/hyperlink" Target="http://eng-support.com" TargetMode="External"/><Relationship Id="rId312" Type="http://schemas.openxmlformats.org/officeDocument/2006/relationships/hyperlink" Target="http://rika-quest.com" TargetMode="External"/><Relationship Id="rId433" Type="http://schemas.openxmlformats.org/officeDocument/2006/relationships/hyperlink" Target="http://natsui-sansu-juku.com" TargetMode="External"/><Relationship Id="rId554" Type="http://schemas.openxmlformats.org/officeDocument/2006/relationships/hyperlink" Target="http://juku-escot.com" TargetMode="External"/><Relationship Id="rId311" Type="http://schemas.openxmlformats.org/officeDocument/2006/relationships/hyperlink" Target="http://kokugo-trigger.com" TargetMode="External"/><Relationship Id="rId432" Type="http://schemas.openxmlformats.org/officeDocument/2006/relationships/hyperlink" Target="http://rika-quest.com" TargetMode="External"/><Relationship Id="rId553" Type="http://schemas.openxmlformats.org/officeDocument/2006/relationships/hyperlink" Target="http://natsui-sansu-juku.com" TargetMode="External"/><Relationship Id="rId310" Type="http://schemas.openxmlformats.org/officeDocument/2006/relationships/hyperlink" Target="http://eng-support.com" TargetMode="External"/><Relationship Id="rId431" Type="http://schemas.openxmlformats.org/officeDocument/2006/relationships/hyperlink" Target="http://kokugo-trigger.com" TargetMode="External"/><Relationship Id="rId552" Type="http://schemas.openxmlformats.org/officeDocument/2006/relationships/hyperlink" Target="http://rika-quest.com" TargetMode="External"/><Relationship Id="rId430" Type="http://schemas.openxmlformats.org/officeDocument/2006/relationships/hyperlink" Target="http://eng-support.com" TargetMode="External"/><Relationship Id="rId551" Type="http://schemas.openxmlformats.org/officeDocument/2006/relationships/hyperlink" Target="http://kokugo-trigger.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natsui-sansu-juku.com" TargetMode="External"/><Relationship Id="rId2" Type="http://schemas.openxmlformats.org/officeDocument/2006/relationships/hyperlink" Target="https://natsui-sansu-juku.com/ct/sapix-15/" TargetMode="External"/><Relationship Id="rId3" Type="http://schemas.openxmlformats.org/officeDocument/2006/relationships/hyperlink" Target="http://natsui-sansu-juku.com" TargetMode="External"/><Relationship Id="rId4" Type="http://schemas.openxmlformats.org/officeDocument/2006/relationships/hyperlink" Target="http://natsui-sansu-juku.com" TargetMode="External"/><Relationship Id="rId9" Type="http://schemas.openxmlformats.org/officeDocument/2006/relationships/hyperlink" Target="https://natsui-sansu-juku.com/info/" TargetMode="External"/><Relationship Id="rId5" Type="http://schemas.openxmlformats.org/officeDocument/2006/relationships/hyperlink" Target="https://natsui-sansu-juku.com/2025/09/14/japan-and-singapore-two-paths-to-logical-thinking-in-elementary-math/" TargetMode="External"/><Relationship Id="rId6" Type="http://schemas.openxmlformats.org/officeDocument/2006/relationships/hyperlink" Target="http://natsui-sansu-juku.com" TargetMode="External"/><Relationship Id="rId7" Type="http://schemas.openxmlformats.org/officeDocument/2006/relationships/hyperlink" Target="https://natsui-sansu-juku.com/ct/kakomon/" TargetMode="External"/><Relationship Id="rId8" Type="http://schemas.openxmlformats.org/officeDocument/2006/relationships/hyperlink" Target="http://natsui-sansu-juku.com" TargetMode="External"/><Relationship Id="rId40" Type="http://schemas.openxmlformats.org/officeDocument/2006/relationships/hyperlink" Target="http://natsui-sansu-juku.com" TargetMode="External"/><Relationship Id="rId42" Type="http://schemas.openxmlformats.org/officeDocument/2006/relationships/hyperlink" Target="https://dokkai-labo.tokyo/ct/examovie/" TargetMode="External"/><Relationship Id="rId41" Type="http://schemas.openxmlformats.org/officeDocument/2006/relationships/hyperlink" Target="https://natsui-sansu-juku.com/tsurukamezan/" TargetMode="External"/><Relationship Id="rId44" Type="http://schemas.openxmlformats.org/officeDocument/2006/relationships/hyperlink" Target="https://dokkai-labo.tokyo/grade/elem-high/" TargetMode="External"/><Relationship Id="rId43" Type="http://schemas.openxmlformats.org/officeDocument/2006/relationships/hyperlink" Target="https://dokkai-labo.tokyo/lpjh_online/" TargetMode="External"/><Relationship Id="rId46" Type="http://schemas.openxmlformats.org/officeDocument/2006/relationships/hyperlink" Target="https://dokkai-labo.tokyo/ct/column/" TargetMode="External"/><Relationship Id="rId45" Type="http://schemas.openxmlformats.org/officeDocument/2006/relationships/hyperlink" Target="https://dokkai-labo.tokyo/style/lec/" TargetMode="External"/><Relationship Id="rId48" Type="http://schemas.openxmlformats.org/officeDocument/2006/relationships/hyperlink" Target="https://dokkai-labo.tokyo/ct/strategy/" TargetMode="External"/><Relationship Id="rId47" Type="http://schemas.openxmlformats.org/officeDocument/2006/relationships/hyperlink" Target="https://dokkai-labo.tokyo/ct/publish/" TargetMode="External"/><Relationship Id="rId49" Type="http://schemas.openxmlformats.org/officeDocument/2006/relationships/hyperlink" Target="https://dokkai-labo.tokyo/grade/elem-all/" TargetMode="External"/><Relationship Id="rId31" Type="http://schemas.openxmlformats.org/officeDocument/2006/relationships/hyperlink" Target="https://natsui-sansu-juku.com/keisantesuto/" TargetMode="External"/><Relationship Id="rId30" Type="http://schemas.openxmlformats.org/officeDocument/2006/relationships/hyperlink" Target="http://natsui-sansu-juku.com" TargetMode="External"/><Relationship Id="rId33" Type="http://schemas.openxmlformats.org/officeDocument/2006/relationships/hyperlink" Target="https://natsui-sansu-juku.com/lp1701/" TargetMode="External"/><Relationship Id="rId32" Type="http://schemas.openxmlformats.org/officeDocument/2006/relationships/hyperlink" Target="http://natsui-sansu-juku.com" TargetMode="External"/><Relationship Id="rId35" Type="http://schemas.openxmlformats.org/officeDocument/2006/relationships/hyperlink" Target="https://natsui-sansu-juku.com/lp1801/" TargetMode="External"/><Relationship Id="rId34" Type="http://schemas.openxmlformats.org/officeDocument/2006/relationships/hyperlink" Target="http://natsui-sansu-juku.com" TargetMode="External"/><Relationship Id="rId37" Type="http://schemas.openxmlformats.org/officeDocument/2006/relationships/hyperlink" Target="https://natsui-sansu-juku.com/notice_start/" TargetMode="External"/><Relationship Id="rId36" Type="http://schemas.openxmlformats.org/officeDocument/2006/relationships/hyperlink" Target="http://natsui-sansu-juku.com" TargetMode="External"/><Relationship Id="rId39" Type="http://schemas.openxmlformats.org/officeDocument/2006/relationships/hyperlink" Target="https://natsui-sansu-juku.com/sample-page/" TargetMode="External"/><Relationship Id="rId38" Type="http://schemas.openxmlformats.org/officeDocument/2006/relationships/hyperlink" Target="http://natsui-sansu-juku.com" TargetMode="External"/><Relationship Id="rId20" Type="http://schemas.openxmlformats.org/officeDocument/2006/relationships/hyperlink" Target="https://natsui-sansu-juku.com/ct/zikibetsu/" TargetMode="External"/><Relationship Id="rId22" Type="http://schemas.openxmlformats.org/officeDocument/2006/relationships/hyperlink" Target="https://natsui-sansu-juku.com/ct/intro/" TargetMode="External"/><Relationship Id="rId21" Type="http://schemas.openxmlformats.org/officeDocument/2006/relationships/hyperlink" Target="http://natsui-sansu-juku.com" TargetMode="External"/><Relationship Id="rId24" Type="http://schemas.openxmlformats.org/officeDocument/2006/relationships/hyperlink" Target="https://natsui-sansu-juku.com/2025/11/08/tsurukamezanbanshover/" TargetMode="External"/><Relationship Id="rId23" Type="http://schemas.openxmlformats.org/officeDocument/2006/relationships/hyperlink" Target="http://natsui-sansu-juku.com" TargetMode="External"/><Relationship Id="rId26" Type="http://schemas.openxmlformats.org/officeDocument/2006/relationships/hyperlink" Target="http://natsui-sansu-juku.com" TargetMode="External"/><Relationship Id="rId25" Type="http://schemas.openxmlformats.org/officeDocument/2006/relationships/hyperlink" Target="http://natsui-sansu-juku.com" TargetMode="External"/><Relationship Id="rId28" Type="http://schemas.openxmlformats.org/officeDocument/2006/relationships/hyperlink" Target="http://natsui-sansu-juku.com" TargetMode="External"/><Relationship Id="rId27" Type="http://schemas.openxmlformats.org/officeDocument/2006/relationships/hyperlink" Target="https://natsui-sansu-juku.com/col_blog/" TargetMode="External"/><Relationship Id="rId29" Type="http://schemas.openxmlformats.org/officeDocument/2006/relationships/hyperlink" Target="https://natsui-sansu-juku.com/ct/tokutenlive/" TargetMode="External"/><Relationship Id="rId11" Type="http://schemas.openxmlformats.org/officeDocument/2006/relationships/hyperlink" Target="https://natsui-sansu-juku.com/column/" TargetMode="External"/><Relationship Id="rId10" Type="http://schemas.openxmlformats.org/officeDocument/2006/relationships/hyperlink" Target="http://natsui-sansu-juku.com" TargetMode="External"/><Relationship Id="rId13" Type="http://schemas.openxmlformats.org/officeDocument/2006/relationships/hyperlink" Target="https://natsui-sansu-juku.com/ct/jyukubetsu/" TargetMode="External"/><Relationship Id="rId12" Type="http://schemas.openxmlformats.org/officeDocument/2006/relationships/hyperlink" Target="http://natsui-sansu-juku.com" TargetMode="External"/><Relationship Id="rId15" Type="http://schemas.openxmlformats.org/officeDocument/2006/relationships/hyperlink" Target="https://natsui-sansu-juku.com/2025/09/06/japans-tokushu-san-vs-the-world-why-no-other-country-teaches-math-this-way/" TargetMode="External"/><Relationship Id="rId14" Type="http://schemas.openxmlformats.org/officeDocument/2006/relationships/hyperlink" Target="http://natsui-sansu-juku.com" TargetMode="External"/><Relationship Id="rId17" Type="http://schemas.openxmlformats.org/officeDocument/2006/relationships/hyperlink" Target="https://natsui-sansu-juku.com/ct/tips/" TargetMode="External"/><Relationship Id="rId16" Type="http://schemas.openxmlformats.org/officeDocument/2006/relationships/hyperlink" Target="http://natsui-sansu-juku.com" TargetMode="External"/><Relationship Id="rId19" Type="http://schemas.openxmlformats.org/officeDocument/2006/relationships/hyperlink" Target="http://natsui-sansu-juku.com" TargetMode="External"/><Relationship Id="rId18" Type="http://schemas.openxmlformats.org/officeDocument/2006/relationships/hyperlink" Target="http://natsui-sansu-juku.com" TargetMode="External"/><Relationship Id="rId84" Type="http://schemas.openxmlformats.org/officeDocument/2006/relationships/hyperlink" Target="https://juku-escot.com/top/" TargetMode="External"/><Relationship Id="rId83" Type="http://schemas.openxmlformats.org/officeDocument/2006/relationships/hyperlink" Target="http://juku-escot.com" TargetMode="External"/><Relationship Id="rId86" Type="http://schemas.openxmlformats.org/officeDocument/2006/relationships/hyperlink" Target="https://jukureiwa.com/tips/" TargetMode="External"/><Relationship Id="rId85" Type="http://schemas.openxmlformats.org/officeDocument/2006/relationships/hyperlink" Target="http://jukureiwa.com" TargetMode="External"/><Relationship Id="rId88" Type="http://schemas.openxmlformats.org/officeDocument/2006/relationships/hyperlink" Target="https://jukureiwa.com/info/" TargetMode="External"/><Relationship Id="rId87" Type="http://schemas.openxmlformats.org/officeDocument/2006/relationships/hyperlink" Target="http://jukureiwa.com" TargetMode="External"/><Relationship Id="rId89" Type="http://schemas.openxmlformats.org/officeDocument/2006/relationships/hyperlink" Target="http://jukureiwa.com" TargetMode="External"/><Relationship Id="rId80" Type="http://schemas.openxmlformats.org/officeDocument/2006/relationships/hyperlink" Target="http://juku-escot.com" TargetMode="External"/><Relationship Id="rId82" Type="http://schemas.openxmlformats.org/officeDocument/2006/relationships/hyperlink" Target="https://juku-escot.com/sample-page/" TargetMode="External"/><Relationship Id="rId81" Type="http://schemas.openxmlformats.org/officeDocument/2006/relationships/hyperlink" Target="http://juku-escot.com" TargetMode="External"/><Relationship Id="rId73" Type="http://schemas.openxmlformats.org/officeDocument/2006/relationships/hyperlink" Target="https://juku-escot.com/column/" TargetMode="External"/><Relationship Id="rId72" Type="http://schemas.openxmlformats.org/officeDocument/2006/relationships/hyperlink" Target="http://juku-escot.com" TargetMode="External"/><Relationship Id="rId75" Type="http://schemas.openxmlformats.org/officeDocument/2006/relationships/hyperlink" Target="https://juku-escot.com/grade/h1/" TargetMode="External"/><Relationship Id="rId74" Type="http://schemas.openxmlformats.org/officeDocument/2006/relationships/hyperlink" Target="http://juku-escot.com" TargetMode="External"/><Relationship Id="rId77" Type="http://schemas.openxmlformats.org/officeDocument/2006/relationships/hyperlink" Target="https://juku-escot.com/grade/jh3/" TargetMode="External"/><Relationship Id="rId76" Type="http://schemas.openxmlformats.org/officeDocument/2006/relationships/hyperlink" Target="http://juku-escot.com" TargetMode="External"/><Relationship Id="rId79" Type="http://schemas.openxmlformats.org/officeDocument/2006/relationships/hyperlink" Target="https://juku-escot.com/grade/jh1/" TargetMode="External"/><Relationship Id="rId78" Type="http://schemas.openxmlformats.org/officeDocument/2006/relationships/hyperlink" Target="http://juku-escot.com" TargetMode="External"/><Relationship Id="rId71" Type="http://schemas.openxmlformats.org/officeDocument/2006/relationships/hyperlink" Target="https://juku-escot.com/grade/jh2/" TargetMode="External"/><Relationship Id="rId70" Type="http://schemas.openxmlformats.org/officeDocument/2006/relationships/hyperlink" Target="http://juku-escot.com" TargetMode="External"/><Relationship Id="rId62" Type="http://schemas.openxmlformats.org/officeDocument/2006/relationships/hyperlink" Target="http://juku-escot.com" TargetMode="External"/><Relationship Id="rId61" Type="http://schemas.openxmlformats.org/officeDocument/2006/relationships/hyperlink" Target="https://juku-escot.com/kouza/" TargetMode="External"/><Relationship Id="rId64" Type="http://schemas.openxmlformats.org/officeDocument/2006/relationships/hyperlink" Target="http://juku-escot.com" TargetMode="External"/><Relationship Id="rId63" Type="http://schemas.openxmlformats.org/officeDocument/2006/relationships/hyperlink" Target="https://juku-escot.com/grade/exam/" TargetMode="External"/><Relationship Id="rId66" Type="http://schemas.openxmlformats.org/officeDocument/2006/relationships/hyperlink" Target="http://juku-escot.com" TargetMode="External"/><Relationship Id="rId65" Type="http://schemas.openxmlformats.org/officeDocument/2006/relationships/hyperlink" Target="https://juku-escot.com/subject/english/" TargetMode="External"/><Relationship Id="rId68" Type="http://schemas.openxmlformats.org/officeDocument/2006/relationships/hyperlink" Target="http://juku-escot.com" TargetMode="External"/><Relationship Id="rId67" Type="http://schemas.openxmlformats.org/officeDocument/2006/relationships/hyperlink" Target="https://juku-escot.com/subject/math/" TargetMode="External"/><Relationship Id="rId60" Type="http://schemas.openxmlformats.org/officeDocument/2006/relationships/hyperlink" Target="http://juku-escot.com" TargetMode="External"/><Relationship Id="rId69" Type="http://schemas.openxmlformats.org/officeDocument/2006/relationships/hyperlink" Target="https://juku-escot.com/c_blogs/" TargetMode="External"/><Relationship Id="rId51" Type="http://schemas.openxmlformats.org/officeDocument/2006/relationships/hyperlink" Target="https://dokkai-labo.tokyo/lp1801/" TargetMode="External"/><Relationship Id="rId50" Type="http://schemas.openxmlformats.org/officeDocument/2006/relationships/hyperlink" Target="https://dokkai-labo.tokyo/lp1701/" TargetMode="External"/><Relationship Id="rId53" Type="http://schemas.openxmlformats.org/officeDocument/2006/relationships/hyperlink" Target="https://dokkai-labo.tokyo/scale/group/" TargetMode="External"/><Relationship Id="rId52" Type="http://schemas.openxmlformats.org/officeDocument/2006/relationships/hyperlink" Target="https://dokkai-labo.tokyo/publish_movie01/" TargetMode="External"/><Relationship Id="rId55" Type="http://schemas.openxmlformats.org/officeDocument/2006/relationships/hyperlink" Target="https://dokkai-labo.tokyo/tag_ori/sapix/" TargetMode="External"/><Relationship Id="rId54" Type="http://schemas.openxmlformats.org/officeDocument/2006/relationships/hyperlink" Target="https://dokkai-labo.tokyo/scale/mantoman/" TargetMode="External"/><Relationship Id="rId57" Type="http://schemas.openxmlformats.org/officeDocument/2006/relationships/hyperlink" Target="https://juku-escot.com/lp_eng01/" TargetMode="External"/><Relationship Id="rId56" Type="http://schemas.openxmlformats.org/officeDocument/2006/relationships/hyperlink" Target="http://juku-escot.com" TargetMode="External"/><Relationship Id="rId59" Type="http://schemas.openxmlformats.org/officeDocument/2006/relationships/hyperlink" Target="https://juku-escot.com/subject/janpanese/" TargetMode="External"/><Relationship Id="rId58" Type="http://schemas.openxmlformats.org/officeDocument/2006/relationships/hyperlink" Target="http://juku-escot.com" TargetMode="External"/><Relationship Id="rId107" Type="http://schemas.openxmlformats.org/officeDocument/2006/relationships/hyperlink" Target="http://eng-support.com" TargetMode="External"/><Relationship Id="rId106" Type="http://schemas.openxmlformats.org/officeDocument/2006/relationships/hyperlink" Target="http://eng-support.com" TargetMode="External"/><Relationship Id="rId105" Type="http://schemas.openxmlformats.org/officeDocument/2006/relationships/hyperlink" Target="https://eng-support.com/column/" TargetMode="External"/><Relationship Id="rId104" Type="http://schemas.openxmlformats.org/officeDocument/2006/relationships/hyperlink" Target="http://eng-support.com" TargetMode="External"/><Relationship Id="rId109" Type="http://schemas.openxmlformats.org/officeDocument/2006/relationships/hyperlink" Target="http://kokugo-trigger.com" TargetMode="External"/><Relationship Id="rId108" Type="http://schemas.openxmlformats.org/officeDocument/2006/relationships/hyperlink" Target="https://eng-support.com/info/" TargetMode="External"/><Relationship Id="rId103" Type="http://schemas.openxmlformats.org/officeDocument/2006/relationships/hyperlink" Target="https://eigo-rewrite.com/info/" TargetMode="External"/><Relationship Id="rId102" Type="http://schemas.openxmlformats.org/officeDocument/2006/relationships/hyperlink" Target="http://eigo-rewrite.com" TargetMode="External"/><Relationship Id="rId101" Type="http://schemas.openxmlformats.org/officeDocument/2006/relationships/hyperlink" Target="http://eigo-rewrite.com" TargetMode="External"/><Relationship Id="rId100" Type="http://schemas.openxmlformats.org/officeDocument/2006/relationships/hyperlink" Target="http://eigo-rewrite.com" TargetMode="External"/><Relationship Id="rId95" Type="http://schemas.openxmlformats.org/officeDocument/2006/relationships/hyperlink" Target="https://koten-kakitsubata.jp/blog/" TargetMode="External"/><Relationship Id="rId94" Type="http://schemas.openxmlformats.org/officeDocument/2006/relationships/hyperlink" Target="http://koten-kakitsubata.jp" TargetMode="External"/><Relationship Id="rId97" Type="http://schemas.openxmlformats.org/officeDocument/2006/relationships/hyperlink" Target="https://koten-kakitsubata.jp/info/" TargetMode="External"/><Relationship Id="rId96" Type="http://schemas.openxmlformats.org/officeDocument/2006/relationships/hyperlink" Target="http://koten-kakitsubata.jp" TargetMode="External"/><Relationship Id="rId99" Type="http://schemas.openxmlformats.org/officeDocument/2006/relationships/hyperlink" Target="https://eigo-rewrite.com/column/" TargetMode="External"/><Relationship Id="rId98" Type="http://schemas.openxmlformats.org/officeDocument/2006/relationships/hyperlink" Target="http://eigo-rewrite.com" TargetMode="External"/><Relationship Id="rId91" Type="http://schemas.openxmlformats.org/officeDocument/2006/relationships/hyperlink" Target="https://jukureiwa.com/sample-page/" TargetMode="External"/><Relationship Id="rId90" Type="http://schemas.openxmlformats.org/officeDocument/2006/relationships/hyperlink" Target="http://jukureiwa.com" TargetMode="External"/><Relationship Id="rId93" Type="http://schemas.openxmlformats.org/officeDocument/2006/relationships/hyperlink" Target="https://jukureiwa.com/info/20200713/" TargetMode="External"/><Relationship Id="rId92" Type="http://schemas.openxmlformats.org/officeDocument/2006/relationships/hyperlink" Target="http://jukureiwa.com" TargetMode="External"/><Relationship Id="rId117" Type="http://schemas.openxmlformats.org/officeDocument/2006/relationships/drawing" Target="../drawings/drawing4.xml"/><Relationship Id="rId116" Type="http://schemas.openxmlformats.org/officeDocument/2006/relationships/hyperlink" Target="http://rika-quest.com" TargetMode="External"/><Relationship Id="rId115" Type="http://schemas.openxmlformats.org/officeDocument/2006/relationships/hyperlink" Target="http://rika-quest.com" TargetMode="External"/><Relationship Id="rId110" Type="http://schemas.openxmlformats.org/officeDocument/2006/relationships/hyperlink" Target="https://www.kokugo-trigger.com/column/" TargetMode="External"/><Relationship Id="rId114" Type="http://schemas.openxmlformats.org/officeDocument/2006/relationships/hyperlink" Target="https://rika-quest.com/sample-page/" TargetMode="External"/><Relationship Id="rId113" Type="http://schemas.openxmlformats.org/officeDocument/2006/relationships/hyperlink" Target="http://rika-quest.com" TargetMode="External"/><Relationship Id="rId112" Type="http://schemas.openxmlformats.org/officeDocument/2006/relationships/hyperlink" Target="https://rika-quest.com/column/" TargetMode="External"/><Relationship Id="rId111" Type="http://schemas.openxmlformats.org/officeDocument/2006/relationships/hyperlink" Target="http://rika-quest.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atsui-sansu-juku.com/" TargetMode="External"/><Relationship Id="rId2" Type="http://schemas.openxmlformats.org/officeDocument/2006/relationships/hyperlink" Target="https://dokkai-labo.tokyo/" TargetMode="External"/><Relationship Id="rId3" Type="http://schemas.openxmlformats.org/officeDocument/2006/relationships/hyperlink" Target="https://koten-kakitsubata.jp/" TargetMode="External"/><Relationship Id="rId4" Type="http://schemas.openxmlformats.org/officeDocument/2006/relationships/hyperlink" Target="https://jukureiwa.com/" TargetMode="External"/><Relationship Id="rId9" Type="http://schemas.openxmlformats.org/officeDocument/2006/relationships/hyperlink" Target="https://eng-support.com/" TargetMode="External"/><Relationship Id="rId5" Type="http://schemas.openxmlformats.org/officeDocument/2006/relationships/hyperlink" Target="https://rika-quest.com/" TargetMode="External"/><Relationship Id="rId6" Type="http://schemas.openxmlformats.org/officeDocument/2006/relationships/hyperlink" Target="https://juku-escot.com/" TargetMode="External"/><Relationship Id="rId7" Type="http://schemas.openxmlformats.org/officeDocument/2006/relationships/hyperlink" Target="https://eigo-rewrite.com/" TargetMode="External"/><Relationship Id="rId8" Type="http://schemas.openxmlformats.org/officeDocument/2006/relationships/hyperlink" Target="https://kokugo-trigger.com/" TargetMode="External"/><Relationship Id="rId10"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igo-rewrite.com/toritsu/" TargetMode="External"/><Relationship Id="rId2" Type="http://schemas.openxmlformats.org/officeDocument/2006/relationships/hyperlink" Target="https://dokkai-labo.tokyo/hilevel_lec_univ_online/" TargetMode="External"/><Relationship Id="rId3" Type="http://schemas.openxmlformats.org/officeDocument/2006/relationships/hyperlink" Target="https://natsui-sansu-juku.com/kobetsu_online/" TargetMode="External"/><Relationship Id="rId4" Type="http://schemas.openxmlformats.org/officeDocument/2006/relationships/hyperlink" Target="https://dokkai-labo.tokyo/kobetsuonline01/" TargetMode="External"/><Relationship Id="rId9" Type="http://schemas.openxmlformats.org/officeDocument/2006/relationships/hyperlink" Target="https://jukureiwa.com/honka/" TargetMode="External"/><Relationship Id="rId5" Type="http://schemas.openxmlformats.org/officeDocument/2006/relationships/hyperlink" Target="https://juku-escot.com/online/" TargetMode="External"/><Relationship Id="rId6" Type="http://schemas.openxmlformats.org/officeDocument/2006/relationships/hyperlink" Target="https://dokkai-labo.tokyo/kobetsuonline02/" TargetMode="External"/><Relationship Id="rId7" Type="http://schemas.openxmlformats.org/officeDocument/2006/relationships/hyperlink" Target="https://natsui-sansu-juku.com/web/" TargetMode="External"/><Relationship Id="rId8" Type="http://schemas.openxmlformats.org/officeDocument/2006/relationships/hyperlink" Target="https://jukureiwa.com/tanpatsu/" TargetMode="External"/><Relationship Id="rId40" Type="http://schemas.openxmlformats.org/officeDocument/2006/relationships/hyperlink" Target="https://juku-escot.com/kouza/j3-math/" TargetMode="External"/><Relationship Id="rId42" Type="http://schemas.openxmlformats.org/officeDocument/2006/relationships/hyperlink" Target="https://dokkai-labo.tokyo/basis/" TargetMode="External"/><Relationship Id="rId41" Type="http://schemas.openxmlformats.org/officeDocument/2006/relationships/hyperlink" Target="https://juku-escot.com/school/" TargetMode="External"/><Relationship Id="rId44" Type="http://schemas.openxmlformats.org/officeDocument/2006/relationships/hyperlink" Target="https://juku-escot.com/kouza/j1-english/" TargetMode="External"/><Relationship Id="rId43" Type="http://schemas.openxmlformats.org/officeDocument/2006/relationships/hyperlink" Target="https://eigo-rewrite.com/dokkaikyouka/" TargetMode="External"/><Relationship Id="rId46" Type="http://schemas.openxmlformats.org/officeDocument/2006/relationships/hyperlink" Target="https://juku-escot.com/school_math/" TargetMode="External"/><Relationship Id="rId45" Type="http://schemas.openxmlformats.org/officeDocument/2006/relationships/hyperlink" Target="https://juku-escot.com/mathematics/" TargetMode="External"/><Relationship Id="rId48" Type="http://schemas.openxmlformats.org/officeDocument/2006/relationships/hyperlink" Target="https://dokkai-labo.tokyo/tokuten/" TargetMode="External"/><Relationship Id="rId47" Type="http://schemas.openxmlformats.org/officeDocument/2006/relationships/hyperlink" Target="https://dokkai-labo.tokyo/lesson/hilevel_lec_univ/" TargetMode="External"/><Relationship Id="rId49" Type="http://schemas.openxmlformats.org/officeDocument/2006/relationships/hyperlink" Target="https://dokkai-labo.tokyo/lesson/1-1elem/" TargetMode="External"/><Relationship Id="rId31" Type="http://schemas.openxmlformats.org/officeDocument/2006/relationships/hyperlink" Target="https://natsui-sansu-juku.com/lastmilers/" TargetMode="External"/><Relationship Id="rId30" Type="http://schemas.openxmlformats.org/officeDocument/2006/relationships/hyperlink" Target="https://eigo-rewrite.com/vocabulary/" TargetMode="External"/><Relationship Id="rId33" Type="http://schemas.openxmlformats.org/officeDocument/2006/relationships/hyperlink" Target="https://eigo-rewrite.com/bunpou/" TargetMode="External"/><Relationship Id="rId32" Type="http://schemas.openxmlformats.org/officeDocument/2006/relationships/hyperlink" Target="https://dokkai-labo.tokyo/univ02/" TargetMode="External"/><Relationship Id="rId35" Type="http://schemas.openxmlformats.org/officeDocument/2006/relationships/hyperlink" Target="https://eng-support.com/kouza/" TargetMode="External"/><Relationship Id="rId34" Type="http://schemas.openxmlformats.org/officeDocument/2006/relationships/hyperlink" Target="https://dokkai-labo.tokyo/lesson/1-1high/" TargetMode="External"/><Relationship Id="rId37" Type="http://schemas.openxmlformats.org/officeDocument/2006/relationships/hyperlink" Target="https://juku-escot.com/kouza/h1-math/" TargetMode="External"/><Relationship Id="rId36" Type="http://schemas.openxmlformats.org/officeDocument/2006/relationships/hyperlink" Target="https://juku-escot.com/school_english/" TargetMode="External"/><Relationship Id="rId39" Type="http://schemas.openxmlformats.org/officeDocument/2006/relationships/hyperlink" Target="https://www.kokugo-trigger.com/kouza/" TargetMode="External"/><Relationship Id="rId38" Type="http://schemas.openxmlformats.org/officeDocument/2006/relationships/hyperlink" Target="https://juku-escot.com/onepoint/" TargetMode="External"/><Relationship Id="rId20" Type="http://schemas.openxmlformats.org/officeDocument/2006/relationships/hyperlink" Target="https://koten-kakitsubata.jp/enter-exam/" TargetMode="External"/><Relationship Id="rId22" Type="http://schemas.openxmlformats.org/officeDocument/2006/relationships/hyperlink" Target="https://dokkai-labo.tokyo/onlinetokuten/" TargetMode="External"/><Relationship Id="rId21" Type="http://schemas.openxmlformats.org/officeDocument/2006/relationships/hyperlink" Target="https://eigo-rewrite.com/live/" TargetMode="External"/><Relationship Id="rId24" Type="http://schemas.openxmlformats.org/officeDocument/2006/relationships/hyperlink" Target="https://dokkai-labo.tokyo/bootcamp/" TargetMode="External"/><Relationship Id="rId23" Type="http://schemas.openxmlformats.org/officeDocument/2006/relationships/hyperlink" Target="https://natsui-sansu-juku.com/kobetsu/" TargetMode="External"/><Relationship Id="rId26" Type="http://schemas.openxmlformats.org/officeDocument/2006/relationships/hyperlink" Target="https://dokkai-labo.tokyo/univ01/" TargetMode="External"/><Relationship Id="rId25" Type="http://schemas.openxmlformats.org/officeDocument/2006/relationships/hyperlink" Target="https://juku-escot.com/japanese/" TargetMode="External"/><Relationship Id="rId28" Type="http://schemas.openxmlformats.org/officeDocument/2006/relationships/hyperlink" Target="https://koten-kakitsubata.jp/kouza/" TargetMode="External"/><Relationship Id="rId27" Type="http://schemas.openxmlformats.org/officeDocument/2006/relationships/hyperlink" Target="https://juku-escot.com/kouza/j1-math/" TargetMode="External"/><Relationship Id="rId29" Type="http://schemas.openxmlformats.org/officeDocument/2006/relationships/hyperlink" Target="https://dokkai-labo.tokyo/tokuten_fifth/" TargetMode="External"/><Relationship Id="rId11" Type="http://schemas.openxmlformats.org/officeDocument/2006/relationships/hyperlink" Target="https://koten-kakitsubata.jp/spot/" TargetMode="External"/><Relationship Id="rId10" Type="http://schemas.openxmlformats.org/officeDocument/2006/relationships/hyperlink" Target="https://dokkai-labo.tokyo/live/" TargetMode="External"/><Relationship Id="rId13" Type="http://schemas.openxmlformats.org/officeDocument/2006/relationships/hyperlink" Target="https://dokkai-labo.tokyo/basisonline/" TargetMode="External"/><Relationship Id="rId12" Type="http://schemas.openxmlformats.org/officeDocument/2006/relationships/hyperlink" Target="https://juku-escot.com/english/" TargetMode="External"/><Relationship Id="rId15" Type="http://schemas.openxmlformats.org/officeDocument/2006/relationships/hyperlink" Target="https://rika-quest.com/kouza/" TargetMode="External"/><Relationship Id="rId14" Type="http://schemas.openxmlformats.org/officeDocument/2006/relationships/hyperlink" Target="https://natsui-sansu-juku.com/5master/" TargetMode="External"/><Relationship Id="rId17" Type="http://schemas.openxmlformats.org/officeDocument/2006/relationships/hyperlink" Target="https://eigo-rewrite.com/kobetsueisakubun/" TargetMode="External"/><Relationship Id="rId16" Type="http://schemas.openxmlformats.org/officeDocument/2006/relationships/hyperlink" Target="https://jukureiwa.com/kouza/" TargetMode="External"/><Relationship Id="rId19" Type="http://schemas.openxmlformats.org/officeDocument/2006/relationships/hyperlink" Target="https://koten-kakitsubata.jp/school-exam/" TargetMode="External"/><Relationship Id="rId18" Type="http://schemas.openxmlformats.org/officeDocument/2006/relationships/hyperlink" Target="https://eigo-rewrite.com/listening/" TargetMode="External"/><Relationship Id="rId62" Type="http://schemas.openxmlformats.org/officeDocument/2006/relationships/hyperlink" Target="https://juku-escot.com/kouza/jyuken-math/" TargetMode="External"/><Relationship Id="rId61" Type="http://schemas.openxmlformats.org/officeDocument/2006/relationships/hyperlink" Target="https://juku-escot.com/kouza/j3-english/" TargetMode="External"/><Relationship Id="rId64" Type="http://schemas.openxmlformats.org/officeDocument/2006/relationships/drawing" Target="../drawings/drawing6.xml"/><Relationship Id="rId63" Type="http://schemas.openxmlformats.org/officeDocument/2006/relationships/hyperlink" Target="https://natsui-sansu-juku.com/kouza/" TargetMode="External"/><Relationship Id="rId60" Type="http://schemas.openxmlformats.org/officeDocument/2006/relationships/hyperlink" Target="https://juku-escot.com/kouza/j2-math/" TargetMode="External"/><Relationship Id="rId51" Type="http://schemas.openxmlformats.org/officeDocument/2006/relationships/hyperlink" Target="https://juku-escot.com/examination/" TargetMode="External"/><Relationship Id="rId50" Type="http://schemas.openxmlformats.org/officeDocument/2006/relationships/hyperlink" Target="https://juku-escot.com/purpose/" TargetMode="External"/><Relationship Id="rId53" Type="http://schemas.openxmlformats.org/officeDocument/2006/relationships/hyperlink" Target="https://juku-escot.com/kouza/j2-english/" TargetMode="External"/><Relationship Id="rId52" Type="http://schemas.openxmlformats.org/officeDocument/2006/relationships/hyperlink" Target="https://dokkai-labo.tokyo/grammer/" TargetMode="External"/><Relationship Id="rId55" Type="http://schemas.openxmlformats.org/officeDocument/2006/relationships/hyperlink" Target="https://juku-escot.com/kouza/jyuken-english/" TargetMode="External"/><Relationship Id="rId54" Type="http://schemas.openxmlformats.org/officeDocument/2006/relationships/hyperlink" Target="https://dokkai-labo.tokyo/summer/" TargetMode="External"/><Relationship Id="rId57" Type="http://schemas.openxmlformats.org/officeDocument/2006/relationships/hyperlink" Target="https://juku-escot.com/kouza/jyuken-japanese/" TargetMode="External"/><Relationship Id="rId56" Type="http://schemas.openxmlformats.org/officeDocument/2006/relationships/hyperlink" Target="https://dokkai-labo.tokyo/lesson/chocolabo/" TargetMode="External"/><Relationship Id="rId59" Type="http://schemas.openxmlformats.org/officeDocument/2006/relationships/hyperlink" Target="https://juku-escot.com/kouza/h1-english/" TargetMode="External"/><Relationship Id="rId58" Type="http://schemas.openxmlformats.org/officeDocument/2006/relationships/hyperlink" Target="https://dokkai-labo.tokyo/summercourse/" TargetMode="External"/></Relationships>
</file>

<file path=xl/worksheets/_rels/sheet7.xml.rels><?xml version="1.0" encoding="UTF-8" standalone="yes"?><Relationships xmlns="http://schemas.openxmlformats.org/package/2006/relationships"><Relationship Id="rId176" Type="http://schemas.openxmlformats.org/officeDocument/2006/relationships/hyperlink" Target="https://natsui-sansu-juku.com/tsurukamezan/" TargetMode="External"/><Relationship Id="rId175" Type="http://schemas.openxmlformats.org/officeDocument/2006/relationships/hyperlink" Target="https://natsui-sansu-juku.com/column/qa/" TargetMode="External"/><Relationship Id="rId174" Type="http://schemas.openxmlformats.org/officeDocument/2006/relationships/hyperlink" Target="https://natsui-sansu-juku.com/sample-page/" TargetMode="External"/><Relationship Id="rId173" Type="http://schemas.openxmlformats.org/officeDocument/2006/relationships/hyperlink" Target="https://natsui-sansu-juku.com/col_blog/yoshu-series-online/" TargetMode="External"/><Relationship Id="rId177" Type="http://schemas.openxmlformats.org/officeDocument/2006/relationships/drawing" Target="../drawings/drawing7.xml"/><Relationship Id="rId150" Type="http://schemas.openxmlformats.org/officeDocument/2006/relationships/hyperlink" Target="https://natsui-sansu-juku.com/info/180101/" TargetMode="External"/><Relationship Id="rId1" Type="http://schemas.openxmlformats.org/officeDocument/2006/relationships/hyperlink" Target="https://natsui-sansu-juku.com/" TargetMode="External"/><Relationship Id="rId2" Type="http://schemas.openxmlformats.org/officeDocument/2006/relationships/hyperlink" Target="https://natsui-sansu-juku.com/column/h51-01/" TargetMode="External"/><Relationship Id="rId3" Type="http://schemas.openxmlformats.org/officeDocument/2006/relationships/hyperlink" Target="https://natsui-sansu-juku.com/sapix-2/" TargetMode="External"/><Relationship Id="rId149" Type="http://schemas.openxmlformats.org/officeDocument/2006/relationships/hyperlink" Target="https://natsui-sansu-juku.com/info/171105/" TargetMode="External"/><Relationship Id="rId4" Type="http://schemas.openxmlformats.org/officeDocument/2006/relationships/hyperlink" Target="https://natsui-sansu-juku.com/column/baainokazu/" TargetMode="External"/><Relationship Id="rId148" Type="http://schemas.openxmlformats.org/officeDocument/2006/relationships/hyperlink" Target="https://natsui-sansu-juku.com/info/171007/" TargetMode="External"/><Relationship Id="rId9" Type="http://schemas.openxmlformats.org/officeDocument/2006/relationships/hyperlink" Target="https://natsui-sansu-juku.com/column/510-08/" TargetMode="External"/><Relationship Id="rId143" Type="http://schemas.openxmlformats.org/officeDocument/2006/relationships/hyperlink" Target="https://natsui-sansu-juku.com/ct/tokutenlive/" TargetMode="External"/><Relationship Id="rId142" Type="http://schemas.openxmlformats.org/officeDocument/2006/relationships/hyperlink" Target="https://natsui-sansu-juku.com/col_blog/online-sansu-kobetsu-hi-wariai/" TargetMode="External"/><Relationship Id="rId141" Type="http://schemas.openxmlformats.org/officeDocument/2006/relationships/hyperlink" Target="https://natsui-sansu-juku.com/col_blog/online-sansu-kobetsu-hayasa-kaizen/" TargetMode="External"/><Relationship Id="rId140" Type="http://schemas.openxmlformats.org/officeDocument/2006/relationships/hyperlink" Target="https://natsui-sansu-juku.com/col_blog/onlinekouka/" TargetMode="External"/><Relationship Id="rId5" Type="http://schemas.openxmlformats.org/officeDocument/2006/relationships/hyperlink" Target="https://natsui-sansu-juku.com/column/hayasamondai/" TargetMode="External"/><Relationship Id="rId147" Type="http://schemas.openxmlformats.org/officeDocument/2006/relationships/hyperlink" Target="https://natsui-sansu-juku.com/info/170611/" TargetMode="External"/><Relationship Id="rId6" Type="http://schemas.openxmlformats.org/officeDocument/2006/relationships/hyperlink" Target="https://natsui-sansu-juku.com/column/bunsyoudai/" TargetMode="External"/><Relationship Id="rId146" Type="http://schemas.openxmlformats.org/officeDocument/2006/relationships/hyperlink" Target="https://natsui-sansu-juku.com/info/170524/" TargetMode="External"/><Relationship Id="rId7" Type="http://schemas.openxmlformats.org/officeDocument/2006/relationships/hyperlink" Target="https://natsui-sansu-juku.com/column/rittaizukei/" TargetMode="External"/><Relationship Id="rId145" Type="http://schemas.openxmlformats.org/officeDocument/2006/relationships/hyperlink" Target="https://natsui-sansu-juku.com/info/170311/" TargetMode="External"/><Relationship Id="rId8" Type="http://schemas.openxmlformats.org/officeDocument/2006/relationships/hyperlink" Target="https://natsui-sansu-juku.com/column/510-09/" TargetMode="External"/><Relationship Id="rId144" Type="http://schemas.openxmlformats.org/officeDocument/2006/relationships/hyperlink" Target="https://natsui-sansu-juku.com/info/170101/" TargetMode="External"/><Relationship Id="rId139" Type="http://schemas.openxmlformats.org/officeDocument/2006/relationships/hyperlink" Target="https://natsui-sansu-juku.com/col_blog/onlineheigai/" TargetMode="External"/><Relationship Id="rId138" Type="http://schemas.openxmlformats.org/officeDocument/2006/relationships/hyperlink" Target="https://natsui-sansu-juku.com/column/routine/" TargetMode="External"/><Relationship Id="rId137" Type="http://schemas.openxmlformats.org/officeDocument/2006/relationships/hyperlink" Target="https://natsui-sansu-juku.com/situation/" TargetMode="External"/><Relationship Id="rId132" Type="http://schemas.openxmlformats.org/officeDocument/2006/relationships/hyperlink" Target="https://natsui-sansu-juku.com/kouza/" TargetMode="External"/><Relationship Id="rId131" Type="http://schemas.openxmlformats.org/officeDocument/2006/relationships/hyperlink" Target="https://natsui-sansu-juku.com/era/" TargetMode="External"/><Relationship Id="rId130" Type="http://schemas.openxmlformats.org/officeDocument/2006/relationships/hyperlink" Target="https://natsui-sansu-juku.com/col_blog/" TargetMode="External"/><Relationship Id="rId136" Type="http://schemas.openxmlformats.org/officeDocument/2006/relationships/hyperlink" Target="https://natsui-sansu-juku.com/column/onlinekobetsu3/" TargetMode="External"/><Relationship Id="rId135" Type="http://schemas.openxmlformats.org/officeDocument/2006/relationships/hyperlink" Target="https://natsui-sansu-juku.com/column/syou5zenhan/" TargetMode="External"/><Relationship Id="rId134" Type="http://schemas.openxmlformats.org/officeDocument/2006/relationships/hyperlink" Target="https://natsui-sansu-juku.com/p5_a/" TargetMode="External"/><Relationship Id="rId133" Type="http://schemas.openxmlformats.org/officeDocument/2006/relationships/hyperlink" Target="https://natsui-sansu-juku.com/p6_b/" TargetMode="External"/><Relationship Id="rId172" Type="http://schemas.openxmlformats.org/officeDocument/2006/relationships/hyperlink" Target="https://natsui-sansu-juku.com/col_blog/waseaka-online-sansu/" TargetMode="External"/><Relationship Id="rId171" Type="http://schemas.openxmlformats.org/officeDocument/2006/relationships/hyperlink" Target="https://natsui-sansu-juku.com/notice_start/" TargetMode="External"/><Relationship Id="rId170" Type="http://schemas.openxmlformats.org/officeDocument/2006/relationships/hyperlink" Target="https://natsui-sansu-juku.com/lp1801/" TargetMode="External"/><Relationship Id="rId165" Type="http://schemas.openxmlformats.org/officeDocument/2006/relationships/hyperlink" Target="https://natsui-sansu-juku.com/info/20210406/" TargetMode="External"/><Relationship Id="rId164" Type="http://schemas.openxmlformats.org/officeDocument/2006/relationships/hyperlink" Target="https://natsui-sansu-juku.com/info/20210406-2/" TargetMode="External"/><Relationship Id="rId163" Type="http://schemas.openxmlformats.org/officeDocument/2006/relationships/hyperlink" Target="https://natsui-sansu-juku.com/info/20210308/" TargetMode="External"/><Relationship Id="rId162" Type="http://schemas.openxmlformats.org/officeDocument/2006/relationships/hyperlink" Target="https://natsui-sansu-juku.com/info/20201119/" TargetMode="External"/><Relationship Id="rId169" Type="http://schemas.openxmlformats.org/officeDocument/2006/relationships/hyperlink" Target="https://natsui-sansu-juku.com/lp1701/" TargetMode="External"/><Relationship Id="rId168" Type="http://schemas.openxmlformats.org/officeDocument/2006/relationships/hyperlink" Target="https://natsui-sansu-juku.com/col_blog/nichinoken-online-sansu/" TargetMode="External"/><Relationship Id="rId167" Type="http://schemas.openxmlformats.org/officeDocument/2006/relationships/hyperlink" Target="https://natsui-sansu-juku.com/keisantesuto/" TargetMode="External"/><Relationship Id="rId166" Type="http://schemas.openxmlformats.org/officeDocument/2006/relationships/hyperlink" Target="https://natsui-sansu-juku.com/info/20210707/" TargetMode="External"/><Relationship Id="rId161" Type="http://schemas.openxmlformats.org/officeDocument/2006/relationships/hyperlink" Target="https://natsui-sansu-juku.com/info/20201022/" TargetMode="External"/><Relationship Id="rId160" Type="http://schemas.openxmlformats.org/officeDocument/2006/relationships/hyperlink" Target="https://natsui-sansu-juku.com/info/2019winter/" TargetMode="External"/><Relationship Id="rId159" Type="http://schemas.openxmlformats.org/officeDocument/2006/relationships/hyperlink" Target="https://natsui-sansu-juku.com/info/20190620/" TargetMode="External"/><Relationship Id="rId154" Type="http://schemas.openxmlformats.org/officeDocument/2006/relationships/hyperlink" Target="https://natsui-sansu-juku.com/info/200101/" TargetMode="External"/><Relationship Id="rId153" Type="http://schemas.openxmlformats.org/officeDocument/2006/relationships/hyperlink" Target="https://natsui-sansu-juku.com/info/180617_01/" TargetMode="External"/><Relationship Id="rId152" Type="http://schemas.openxmlformats.org/officeDocument/2006/relationships/hyperlink" Target="https://natsui-sansu-juku.com/info/180301/" TargetMode="External"/><Relationship Id="rId151" Type="http://schemas.openxmlformats.org/officeDocument/2006/relationships/hyperlink" Target="https://natsui-sansu-juku.com/info/180228/" TargetMode="External"/><Relationship Id="rId158" Type="http://schemas.openxmlformats.org/officeDocument/2006/relationships/hyperlink" Target="https://natsui-sansu-juku.com/info/20190101w/" TargetMode="External"/><Relationship Id="rId157" Type="http://schemas.openxmlformats.org/officeDocument/2006/relationships/hyperlink" Target="https://natsui-sansu-juku.com/info/20190101/" TargetMode="External"/><Relationship Id="rId156" Type="http://schemas.openxmlformats.org/officeDocument/2006/relationships/hyperlink" Target="https://natsui-sansu-juku.com/info/2018winter/" TargetMode="External"/><Relationship Id="rId155" Type="http://schemas.openxmlformats.org/officeDocument/2006/relationships/hyperlink" Target="https://natsui-sansu-juku.com/info/200708/" TargetMode="External"/><Relationship Id="rId40" Type="http://schemas.openxmlformats.org/officeDocument/2006/relationships/hyperlink" Target="https://natsui-sansu-juku.com/column/510-11/" TargetMode="External"/><Relationship Id="rId42" Type="http://schemas.openxmlformats.org/officeDocument/2006/relationships/hyperlink" Target="https://natsui-sansu-juku.com/column/waseda-2/" TargetMode="External"/><Relationship Id="rId41" Type="http://schemas.openxmlformats.org/officeDocument/2006/relationships/hyperlink" Target="https://natsui-sansu-juku.com/column/nanmon/" TargetMode="External"/><Relationship Id="rId44" Type="http://schemas.openxmlformats.org/officeDocument/2006/relationships/hyperlink" Target="https://natsui-sansu-juku.com/col_blog/bunsyoudaitaisaku/" TargetMode="External"/><Relationship Id="rId43" Type="http://schemas.openxmlformats.org/officeDocument/2006/relationships/hyperlink" Target="https://natsui-sansu-juku.com/col_blog/onlinekoukateki/" TargetMode="External"/><Relationship Id="rId46" Type="http://schemas.openxmlformats.org/officeDocument/2006/relationships/hyperlink" Target="https://natsui-sansu-juku.com/column/sapix-15/" TargetMode="External"/><Relationship Id="rId45" Type="http://schemas.openxmlformats.org/officeDocument/2006/relationships/hyperlink" Target="https://natsui-sansu-juku.com/corporate_data/" TargetMode="External"/><Relationship Id="rId48" Type="http://schemas.openxmlformats.org/officeDocument/2006/relationships/hyperlink" Target="https://natsui-sansu-juku.com/col_blog/online-sansu-kobetsu-rittaizukei/" TargetMode="External"/><Relationship Id="rId47" Type="http://schemas.openxmlformats.org/officeDocument/2006/relationships/hyperlink" Target="https://natsui-sansu-juku.com/info/iten/" TargetMode="External"/><Relationship Id="rId49" Type="http://schemas.openxmlformats.org/officeDocument/2006/relationships/hyperlink" Target="https://natsui-sansu-juku.com/column/sapix/" TargetMode="External"/><Relationship Id="rId31" Type="http://schemas.openxmlformats.org/officeDocument/2006/relationships/hyperlink" Target="https://natsui-sansu-juku.com/waseaca-2/" TargetMode="External"/><Relationship Id="rId30" Type="http://schemas.openxmlformats.org/officeDocument/2006/relationships/hyperlink" Target="https://natsui-sansu-juku.com/sapix/" TargetMode="External"/><Relationship Id="rId33" Type="http://schemas.openxmlformats.org/officeDocument/2006/relationships/hyperlink" Target="https://natsui-sansu-juku.com/column/nichinouken/" TargetMode="External"/><Relationship Id="rId32" Type="http://schemas.openxmlformats.org/officeDocument/2006/relationships/hyperlink" Target="https://natsui-sansu-juku.com/profile/" TargetMode="External"/><Relationship Id="rId35" Type="http://schemas.openxmlformats.org/officeDocument/2006/relationships/hyperlink" Target="https://natsui-sansu-juku.com/waseda_academy/" TargetMode="External"/><Relationship Id="rId34" Type="http://schemas.openxmlformats.org/officeDocument/2006/relationships/hyperlink" Target="https://natsui-sansu-juku.com/web/" TargetMode="External"/><Relationship Id="rId37" Type="http://schemas.openxmlformats.org/officeDocument/2006/relationships/hyperlink" Target="https://natsui-sansu-juku.com/column/kaisei-2/" TargetMode="External"/><Relationship Id="rId36" Type="http://schemas.openxmlformats.org/officeDocument/2006/relationships/hyperlink" Target="https://natsui-sansu-juku.com/column/hub-zukei-hayasa/" TargetMode="External"/><Relationship Id="rId39" Type="http://schemas.openxmlformats.org/officeDocument/2006/relationships/hyperlink" Target="https://natsui-sansu-juku.com/column/hub-juku/" TargetMode="External"/><Relationship Id="rId38" Type="http://schemas.openxmlformats.org/officeDocument/2006/relationships/hyperlink" Target="https://natsui-sansu-juku.com/yotsuyaootuka-2/" TargetMode="External"/><Relationship Id="rId20" Type="http://schemas.openxmlformats.org/officeDocument/2006/relationships/hyperlink" Target="https://natsui-sansu-juku.com/col_blog/bunsyoudaipurint/" TargetMode="External"/><Relationship Id="rId22" Type="http://schemas.openxmlformats.org/officeDocument/2006/relationships/hyperlink" Target="https://natsui-sansu-juku.com/kobetsu_online/" TargetMode="External"/><Relationship Id="rId21" Type="http://schemas.openxmlformats.org/officeDocument/2006/relationships/hyperlink" Target="https://natsui-sansu-juku.com/access/" TargetMode="External"/><Relationship Id="rId24" Type="http://schemas.openxmlformats.org/officeDocument/2006/relationships/hyperlink" Target="https://natsui-sansu-juku.com/col_blog/online4merit/" TargetMode="External"/><Relationship Id="rId23" Type="http://schemas.openxmlformats.org/officeDocument/2006/relationships/hyperlink" Target="https://natsui-sansu-juku.com/column/510-12/" TargetMode="External"/><Relationship Id="rId26" Type="http://schemas.openxmlformats.org/officeDocument/2006/relationships/hyperlink" Target="https://natsui-sansu-juku.com/ct/sapix-15/" TargetMode="External"/><Relationship Id="rId25" Type="http://schemas.openxmlformats.org/officeDocument/2006/relationships/hyperlink" Target="https://natsui-sansu-juku.com/column/h51-02/" TargetMode="External"/><Relationship Id="rId28" Type="http://schemas.openxmlformats.org/officeDocument/2006/relationships/hyperlink" Target="https://natsui-sansu-juku.com/p4/" TargetMode="External"/><Relationship Id="rId27" Type="http://schemas.openxmlformats.org/officeDocument/2006/relationships/hyperlink" Target="https://natsui-sansu-juku.com/vacant_online/" TargetMode="External"/><Relationship Id="rId29" Type="http://schemas.openxmlformats.org/officeDocument/2006/relationships/hyperlink" Target="https://natsui-sansu-juku.com/column/hub-bunshodai/" TargetMode="External"/><Relationship Id="rId11" Type="http://schemas.openxmlformats.org/officeDocument/2006/relationships/hyperlink" Target="https://natsui-sansu-juku.com/column/510-02/" TargetMode="External"/><Relationship Id="rId10" Type="http://schemas.openxmlformats.org/officeDocument/2006/relationships/hyperlink" Target="https://natsui-sansu-juku.com/column/200314/" TargetMode="External"/><Relationship Id="rId13" Type="http://schemas.openxmlformats.org/officeDocument/2006/relationships/hyperlink" Target="https://natsui-sansu-juku.com/column/zukei/" TargetMode="External"/><Relationship Id="rId12" Type="http://schemas.openxmlformats.org/officeDocument/2006/relationships/hyperlink" Target="https://natsui-sansu-juku.com/column/510-13/" TargetMode="External"/><Relationship Id="rId15" Type="http://schemas.openxmlformats.org/officeDocument/2006/relationships/hyperlink" Target="https://natsui-sansu-juku.com/column/510-06/" TargetMode="External"/><Relationship Id="rId14" Type="http://schemas.openxmlformats.org/officeDocument/2006/relationships/hyperlink" Target="https://natsui-sansu-juku.com/column/510-03/" TargetMode="External"/><Relationship Id="rId17" Type="http://schemas.openxmlformats.org/officeDocument/2006/relationships/hyperlink" Target="https://natsui-sansu-juku.com/nichinoken-2/" TargetMode="External"/><Relationship Id="rId16" Type="http://schemas.openxmlformats.org/officeDocument/2006/relationships/hyperlink" Target="https://natsui-sansu-juku.com/column/510-07/" TargetMode="External"/><Relationship Id="rId19" Type="http://schemas.openxmlformats.org/officeDocument/2006/relationships/hyperlink" Target="https://natsui-sansu-juku.com/column/510-04/" TargetMode="External"/><Relationship Id="rId18" Type="http://schemas.openxmlformats.org/officeDocument/2006/relationships/hyperlink" Target="https://natsui-sansu-juku.com/col_blog/bunsyoudaihi/" TargetMode="External"/><Relationship Id="rId84" Type="http://schemas.openxmlformats.org/officeDocument/2006/relationships/hyperlink" Target="https://natsui-sansu-juku.com/ct/kakomon/" TargetMode="External"/><Relationship Id="rId83" Type="http://schemas.openxmlformats.org/officeDocument/2006/relationships/hyperlink" Target="https://natsui-sansu-juku.com/col_blog/online-sansu-34/" TargetMode="External"/><Relationship Id="rId86" Type="http://schemas.openxmlformats.org/officeDocument/2006/relationships/hyperlink" Target="https://natsui-sansu-juku.com/info/2025kakikousixyu/" TargetMode="External"/><Relationship Id="rId85" Type="http://schemas.openxmlformats.org/officeDocument/2006/relationships/hyperlink" Target="https://natsui-sansu-juku.com/column/withyou/" TargetMode="External"/><Relationship Id="rId88" Type="http://schemas.openxmlformats.org/officeDocument/2006/relationships/hyperlink" Target="https://natsui-sansu-juku.com/col_blog/online-math-4to6/" TargetMode="External"/><Relationship Id="rId87" Type="http://schemas.openxmlformats.org/officeDocument/2006/relationships/hyperlink" Target="https://natsui-sansu-juku.com/info/" TargetMode="External"/><Relationship Id="rId89" Type="http://schemas.openxmlformats.org/officeDocument/2006/relationships/hyperlink" Target="https://natsui-sansu-juku.com/info/20200204/" TargetMode="External"/><Relationship Id="rId80" Type="http://schemas.openxmlformats.org/officeDocument/2006/relationships/hyperlink" Target="https://natsui-sansu-juku.com/col_blog/shiko-keisan-online/" TargetMode="External"/><Relationship Id="rId82" Type="http://schemas.openxmlformats.org/officeDocument/2006/relationships/hyperlink" Target="https://natsui-sansu-juku.com/col_blog/onlinerival/" TargetMode="External"/><Relationship Id="rId81" Type="http://schemas.openxmlformats.org/officeDocument/2006/relationships/hyperlink" Target="https://natsui-sansu-juku.com/col_blog/online-sansu-kobetsu-bunshodai/" TargetMode="External"/><Relationship Id="rId73" Type="http://schemas.openxmlformats.org/officeDocument/2006/relationships/hyperlink" Target="https://natsui-sansu-juku.com/what_is_asen/" TargetMode="External"/><Relationship Id="rId72" Type="http://schemas.openxmlformats.org/officeDocument/2006/relationships/hyperlink" Target="https://natsui-sansu-juku.com/column/510-10/" TargetMode="External"/><Relationship Id="rId75" Type="http://schemas.openxmlformats.org/officeDocument/2006/relationships/hyperlink" Target="https://natsui-sansu-juku.com/column/waseda_academy/" TargetMode="External"/><Relationship Id="rId74" Type="http://schemas.openxmlformats.org/officeDocument/2006/relationships/hyperlink" Target="https://natsui-sansu-juku.com/col_blog/online-sansu-kobetsu-keisan-miss/" TargetMode="External"/><Relationship Id="rId77" Type="http://schemas.openxmlformats.org/officeDocument/2006/relationships/hyperlink" Target="https://natsui-sansu-juku.com/2025/09/14/japan-and-singapore-two-paths-to-logical-thinking-in-elementary-math/" TargetMode="External"/><Relationship Id="rId76" Type="http://schemas.openxmlformats.org/officeDocument/2006/relationships/hyperlink" Target="https://natsui-sansu-juku.com/column/hub-online-use/" TargetMode="External"/><Relationship Id="rId79" Type="http://schemas.openxmlformats.org/officeDocument/2006/relationships/hyperlink" Target="https://natsui-sansu-juku.com/col_blog/online4/" TargetMode="External"/><Relationship Id="rId78" Type="http://schemas.openxmlformats.org/officeDocument/2006/relationships/hyperlink" Target="https://natsui-sansu-juku.com/col_blog/online-math-juku/" TargetMode="External"/><Relationship Id="rId71" Type="http://schemas.openxmlformats.org/officeDocument/2006/relationships/hyperlink" Target="https://natsui-sansu-juku.com/col_blog/online-tutor-math/" TargetMode="External"/><Relationship Id="rId70" Type="http://schemas.openxmlformats.org/officeDocument/2006/relationships/hyperlink" Target="https://natsui-sansu-juku.com/column/hub-kakomon/" TargetMode="External"/><Relationship Id="rId62" Type="http://schemas.openxmlformats.org/officeDocument/2006/relationships/hyperlink" Target="https://natsui-sansu-juku.com/col_blog/kakomon-online-checklist/" TargetMode="External"/><Relationship Id="rId61" Type="http://schemas.openxmlformats.org/officeDocument/2006/relationships/hyperlink" Target="https://natsui-sansu-juku.com/col_blog/bunsyoudaikotsu/" TargetMode="External"/><Relationship Id="rId64" Type="http://schemas.openxmlformats.org/officeDocument/2006/relationships/hyperlink" Target="https://natsui-sansu-juku.com/story002/" TargetMode="External"/><Relationship Id="rId63" Type="http://schemas.openxmlformats.org/officeDocument/2006/relationships/hyperlink" Target="https://natsui-sansu-juku.com/story001/" TargetMode="External"/><Relationship Id="rId66" Type="http://schemas.openxmlformats.org/officeDocument/2006/relationships/hyperlink" Target="https://natsui-sansu-juku.com/purpose/" TargetMode="External"/><Relationship Id="rId65" Type="http://schemas.openxmlformats.org/officeDocument/2006/relationships/hyperlink" Target="https://natsui-sansu-juku.com/col_blog/online-sansu-chokuzen/" TargetMode="External"/><Relationship Id="rId68" Type="http://schemas.openxmlformats.org/officeDocument/2006/relationships/hyperlink" Target="https://natsui-sansu-juku.com/col_blog/onlineryuukou/" TargetMode="External"/><Relationship Id="rId67" Type="http://schemas.openxmlformats.org/officeDocument/2006/relationships/hyperlink" Target="https://natsui-sansu-juku.com/p5_b/" TargetMode="External"/><Relationship Id="rId60" Type="http://schemas.openxmlformats.org/officeDocument/2006/relationships/hyperlink" Target="https://natsui-sansu-juku.com/column/qa4/" TargetMode="External"/><Relationship Id="rId69" Type="http://schemas.openxmlformats.org/officeDocument/2006/relationships/hyperlink" Target="https://natsui-sansu-juku.com/column/hub-online-guide/" TargetMode="External"/><Relationship Id="rId51" Type="http://schemas.openxmlformats.org/officeDocument/2006/relationships/hyperlink" Target="https://natsui-sansu-juku.com/col_blog/sansu-nobinai-online/" TargetMode="External"/><Relationship Id="rId50" Type="http://schemas.openxmlformats.org/officeDocument/2006/relationships/hyperlink" Target="https://natsui-sansu-juku.com/column/qa6/" TargetMode="External"/><Relationship Id="rId53" Type="http://schemas.openxmlformats.org/officeDocument/2006/relationships/hyperlink" Target="https://natsui-sansu-juku.com/column/qa2/" TargetMode="External"/><Relationship Id="rId52" Type="http://schemas.openxmlformats.org/officeDocument/2006/relationships/hyperlink" Target="https://natsui-sansu-juku.com/col_blog/online-sansu-kobetsu-baino-kazu/" TargetMode="External"/><Relationship Id="rId55" Type="http://schemas.openxmlformats.org/officeDocument/2006/relationships/hyperlink" Target="https://natsui-sansu-juku.com/column/qa5/" TargetMode="External"/><Relationship Id="rId54" Type="http://schemas.openxmlformats.org/officeDocument/2006/relationships/hyperlink" Target="https://natsui-sansu-juku.com/column/jyoshigakuin-2/" TargetMode="External"/><Relationship Id="rId57" Type="http://schemas.openxmlformats.org/officeDocument/2006/relationships/hyperlink" Target="https://natsui-sansu-juku.com/kobetsu/" TargetMode="External"/><Relationship Id="rId56" Type="http://schemas.openxmlformats.org/officeDocument/2006/relationships/hyperlink" Target="https://natsui-sansu-juku.com/5master/" TargetMode="External"/><Relationship Id="rId59" Type="http://schemas.openxmlformats.org/officeDocument/2006/relationships/hyperlink" Target="https://natsui-sansu-juku.com/col_blog/online-math/" TargetMode="External"/><Relationship Id="rId58" Type="http://schemas.openxmlformats.org/officeDocument/2006/relationships/hyperlink" Target="https://natsui-sansu-juku.com/lastmilers/" TargetMode="External"/><Relationship Id="rId107" Type="http://schemas.openxmlformats.org/officeDocument/2006/relationships/hyperlink" Target="https://natsui-sansu-juku.com/col_blog/online-sansu-56/" TargetMode="External"/><Relationship Id="rId106" Type="http://schemas.openxmlformats.org/officeDocument/2006/relationships/hyperlink" Target="https://natsui-sansu-juku.com/2025/09/06/japans-tokushu-san-vs-the-world-why-no-other-country-teaches-math-this-way/" TargetMode="External"/><Relationship Id="rId105" Type="http://schemas.openxmlformats.org/officeDocument/2006/relationships/hyperlink" Target="https://natsui-sansu-juku.com/vacant_sum/" TargetMode="External"/><Relationship Id="rId104" Type="http://schemas.openxmlformats.org/officeDocument/2006/relationships/hyperlink" Target="https://natsui-sansu-juku.com/ct/jyukubetsu/" TargetMode="External"/><Relationship Id="rId109" Type="http://schemas.openxmlformats.org/officeDocument/2006/relationships/hyperlink" Target="https://natsui-sansu-juku.com/timetable_season/" TargetMode="External"/><Relationship Id="rId108" Type="http://schemas.openxmlformats.org/officeDocument/2006/relationships/hyperlink" Target="https://natsui-sansu-juku.com/ct/tips/" TargetMode="External"/><Relationship Id="rId103" Type="http://schemas.openxmlformats.org/officeDocument/2006/relationships/hyperlink" Target="https://natsui-sansu-juku.com/column/kokogachigau/" TargetMode="External"/><Relationship Id="rId102" Type="http://schemas.openxmlformats.org/officeDocument/2006/relationships/hyperlink" Target="https://natsui-sansu-juku.com/column/" TargetMode="External"/><Relationship Id="rId101" Type="http://schemas.openxmlformats.org/officeDocument/2006/relationships/hyperlink" Target="https://natsui-sansu-juku.com/vacant_online_season/" TargetMode="External"/><Relationship Id="rId100" Type="http://schemas.openxmlformats.org/officeDocument/2006/relationships/hyperlink" Target="https://natsui-sansu-juku.com/column/hub-qa-jiki/" TargetMode="External"/><Relationship Id="rId129" Type="http://schemas.openxmlformats.org/officeDocument/2006/relationships/hyperlink" Target="https://natsui-sansu-juku.com/info/2025sixyunkikousixyu/" TargetMode="External"/><Relationship Id="rId128" Type="http://schemas.openxmlformats.org/officeDocument/2006/relationships/hyperlink" Target="https://natsui-sansu-juku.com/p6_a/" TargetMode="External"/><Relationship Id="rId127" Type="http://schemas.openxmlformats.org/officeDocument/2006/relationships/hyperlink" Target="https://natsui-sansu-juku.com/info/190303/" TargetMode="External"/><Relationship Id="rId126" Type="http://schemas.openxmlformats.org/officeDocument/2006/relationships/hyperlink" Target="https://natsui-sansu-juku.com/col_blog/onlinesansuu/" TargetMode="External"/><Relationship Id="rId121" Type="http://schemas.openxmlformats.org/officeDocument/2006/relationships/hyperlink" Target="https://natsui-sansu-juku.com/column/tokuten_detail/" TargetMode="External"/><Relationship Id="rId120" Type="http://schemas.openxmlformats.org/officeDocument/2006/relationships/hyperlink" Target="https://natsui-sansu-juku.com/column/kobetsu_mayoi_judge/" TargetMode="External"/><Relationship Id="rId125" Type="http://schemas.openxmlformats.org/officeDocument/2006/relationships/hyperlink" Target="https://natsui-sansu-juku.com/col_blog/bunsyoudaibenkyouhou/" TargetMode="External"/><Relationship Id="rId124" Type="http://schemas.openxmlformats.org/officeDocument/2006/relationships/hyperlink" Target="https://natsui-sansu-juku.com/2025/11/08/tsurukamezanbanshover/" TargetMode="External"/><Relationship Id="rId123" Type="http://schemas.openxmlformats.org/officeDocument/2006/relationships/hyperlink" Target="https://natsui-sansu-juku.com/ct/intro/" TargetMode="External"/><Relationship Id="rId122" Type="http://schemas.openxmlformats.org/officeDocument/2006/relationships/hyperlink" Target="https://natsui-sansu-juku.com/info/190507/" TargetMode="External"/><Relationship Id="rId95" Type="http://schemas.openxmlformats.org/officeDocument/2006/relationships/hyperlink" Target="https://natsui-sansu-juku.com/column/h51-03/" TargetMode="External"/><Relationship Id="rId94" Type="http://schemas.openxmlformats.org/officeDocument/2006/relationships/hyperlink" Target="https://natsui-sansu-juku.com/col_blog/bunsyoudaikokuhuku/" TargetMode="External"/><Relationship Id="rId97" Type="http://schemas.openxmlformats.org/officeDocument/2006/relationships/hyperlink" Target="https://natsui-sansu-juku.com/column/510-05/" TargetMode="External"/><Relationship Id="rId96" Type="http://schemas.openxmlformats.org/officeDocument/2006/relationships/hyperlink" Target="https://natsui-sansu-juku.com/info/180605/" TargetMode="External"/><Relationship Id="rId99" Type="http://schemas.openxmlformats.org/officeDocument/2006/relationships/hyperlink" Target="https://natsui-sansu-juku.com/col_blog/onlineservice/" TargetMode="External"/><Relationship Id="rId98" Type="http://schemas.openxmlformats.org/officeDocument/2006/relationships/hyperlink" Target="https://natsui-sansu-juku.com/inquiry/" TargetMode="External"/><Relationship Id="rId91" Type="http://schemas.openxmlformats.org/officeDocument/2006/relationships/hyperlink" Target="https://natsui-sansu-juku.com/school/" TargetMode="External"/><Relationship Id="rId90" Type="http://schemas.openxmlformats.org/officeDocument/2006/relationships/hyperlink" Target="https://natsui-sansu-juku.com/info/190507-2/" TargetMode="External"/><Relationship Id="rId93" Type="http://schemas.openxmlformats.org/officeDocument/2006/relationships/hyperlink" Target="https://natsui-sansu-juku.com/timetable/" TargetMode="External"/><Relationship Id="rId92" Type="http://schemas.openxmlformats.org/officeDocument/2006/relationships/hyperlink" Target="https://natsui-sansu-juku.com/nichinouken/" TargetMode="External"/><Relationship Id="rId118" Type="http://schemas.openxmlformats.org/officeDocument/2006/relationships/hyperlink" Target="https://natsui-sansu-juku.com/info/20210723/" TargetMode="External"/><Relationship Id="rId117" Type="http://schemas.openxmlformats.org/officeDocument/2006/relationships/hyperlink" Target="https://natsui-sansu-juku.com/info/221212/" TargetMode="External"/><Relationship Id="rId116" Type="http://schemas.openxmlformats.org/officeDocument/2006/relationships/hyperlink" Target="https://natsui-sansu-juku.com/ct/zikibetsu/" TargetMode="External"/><Relationship Id="rId115" Type="http://schemas.openxmlformats.org/officeDocument/2006/relationships/hyperlink" Target="https://natsui-sansu-juku.com/info/20210921/" TargetMode="External"/><Relationship Id="rId119" Type="http://schemas.openxmlformats.org/officeDocument/2006/relationships/hyperlink" Target="https://natsui-sansu-juku.com/info/20210101/" TargetMode="External"/><Relationship Id="rId110" Type="http://schemas.openxmlformats.org/officeDocument/2006/relationships/hyperlink" Target="https://natsui-sansu-juku.com/col_blog/onlinerikai/" TargetMode="External"/><Relationship Id="rId114" Type="http://schemas.openxmlformats.org/officeDocument/2006/relationships/hyperlink" Target="https://natsui-sansu-juku.com/info/250215/" TargetMode="External"/><Relationship Id="rId113" Type="http://schemas.openxmlformats.org/officeDocument/2006/relationships/hyperlink" Target="https://natsui-sansu-juku.com/column/shibushibu-2/" TargetMode="External"/><Relationship Id="rId112" Type="http://schemas.openxmlformats.org/officeDocument/2006/relationships/hyperlink" Target="https://natsui-sansu-juku.com/info/481/" TargetMode="External"/><Relationship Id="rId111" Type="http://schemas.openxmlformats.org/officeDocument/2006/relationships/hyperlink" Target="https://natsui-sansu-juku.com/column/syou4/"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dokkai-labo.tokyo/info/2019winter/" TargetMode="External"/><Relationship Id="rId194" Type="http://schemas.openxmlformats.org/officeDocument/2006/relationships/hyperlink" Target="https://dokkai-labo.tokyo/info/20200713/" TargetMode="External"/><Relationship Id="rId193" Type="http://schemas.openxmlformats.org/officeDocument/2006/relationships/hyperlink" Target="https://dokkai-labo.tokyo/info/20200529/" TargetMode="External"/><Relationship Id="rId192" Type="http://schemas.openxmlformats.org/officeDocument/2006/relationships/hyperlink" Target="https://dokkai-labo.tokyo/info/20200516/" TargetMode="External"/><Relationship Id="rId191" Type="http://schemas.openxmlformats.org/officeDocument/2006/relationships/hyperlink" Target="https://dokkai-labo.tokyo/info/20200505/" TargetMode="External"/><Relationship Id="rId187" Type="http://schemas.openxmlformats.org/officeDocument/2006/relationships/hyperlink" Target="https://dokkai-labo.tokyo/info/20190104/" TargetMode="External"/><Relationship Id="rId186" Type="http://schemas.openxmlformats.org/officeDocument/2006/relationships/hyperlink" Target="https://dokkai-labo.tokyo/info/20190101t/" TargetMode="External"/><Relationship Id="rId185" Type="http://schemas.openxmlformats.org/officeDocument/2006/relationships/hyperlink" Target="https://dokkai-labo.tokyo/info/20190101b/" TargetMode="External"/><Relationship Id="rId184" Type="http://schemas.openxmlformats.org/officeDocument/2006/relationships/hyperlink" Target="https://dokkai-labo.tokyo/info/20190101/" TargetMode="External"/><Relationship Id="rId189" Type="http://schemas.openxmlformats.org/officeDocument/2006/relationships/hyperlink" Target="https://dokkai-labo.tokyo/info/20190924/" TargetMode="External"/><Relationship Id="rId188" Type="http://schemas.openxmlformats.org/officeDocument/2006/relationships/hyperlink" Target="https://dokkai-labo.tokyo/info/20190620/" TargetMode="External"/><Relationship Id="rId183" Type="http://schemas.openxmlformats.org/officeDocument/2006/relationships/hyperlink" Target="https://dokkai-labo.tokyo/info/2018winter/" TargetMode="External"/><Relationship Id="rId182" Type="http://schemas.openxmlformats.org/officeDocument/2006/relationships/hyperlink" Target="https://dokkai-labo.tokyo/info/200410/" TargetMode="External"/><Relationship Id="rId181" Type="http://schemas.openxmlformats.org/officeDocument/2006/relationships/hyperlink" Target="https://dokkai-labo.tokyo/info/200402/" TargetMode="External"/><Relationship Id="rId180" Type="http://schemas.openxmlformats.org/officeDocument/2006/relationships/hyperlink" Target="https://dokkai-labo.tokyo/info/200229/" TargetMode="External"/><Relationship Id="rId176" Type="http://schemas.openxmlformats.org/officeDocument/2006/relationships/hyperlink" Target="https://dokkai-labo.tokyo/info/190303/" TargetMode="External"/><Relationship Id="rId175" Type="http://schemas.openxmlformats.org/officeDocument/2006/relationships/hyperlink" Target="https://dokkai-labo.tokyo/info/180616_02/" TargetMode="External"/><Relationship Id="rId174" Type="http://schemas.openxmlformats.org/officeDocument/2006/relationships/hyperlink" Target="https://dokkai-labo.tokyo/info/180616_01/" TargetMode="External"/><Relationship Id="rId173" Type="http://schemas.openxmlformats.org/officeDocument/2006/relationships/hyperlink" Target="https://dokkai-labo.tokyo/info/180225/" TargetMode="External"/><Relationship Id="rId179" Type="http://schemas.openxmlformats.org/officeDocument/2006/relationships/hyperlink" Target="https://dokkai-labo.tokyo/info/200228/" TargetMode="External"/><Relationship Id="rId178" Type="http://schemas.openxmlformats.org/officeDocument/2006/relationships/hyperlink" Target="https://dokkai-labo.tokyo/info/200101_02/" TargetMode="External"/><Relationship Id="rId177" Type="http://schemas.openxmlformats.org/officeDocument/2006/relationships/hyperlink" Target="https://dokkai-labo.tokyo/info/200101_01/" TargetMode="External"/><Relationship Id="rId198" Type="http://schemas.openxmlformats.org/officeDocument/2006/relationships/hyperlink" Target="https://dokkai-labo.tokyo/info/20210406-2/" TargetMode="External"/><Relationship Id="rId197" Type="http://schemas.openxmlformats.org/officeDocument/2006/relationships/hyperlink" Target="https://dokkai-labo.tokyo/info/20210308/" TargetMode="External"/><Relationship Id="rId196" Type="http://schemas.openxmlformats.org/officeDocument/2006/relationships/hyperlink" Target="https://dokkai-labo.tokyo/info/20201119/" TargetMode="External"/><Relationship Id="rId195" Type="http://schemas.openxmlformats.org/officeDocument/2006/relationships/hyperlink" Target="https://dokkai-labo.tokyo/info/20201022/" TargetMode="External"/><Relationship Id="rId199" Type="http://schemas.openxmlformats.org/officeDocument/2006/relationships/hyperlink" Target="https://dokkai-labo.tokyo/info/20210406/" TargetMode="External"/><Relationship Id="rId150" Type="http://schemas.openxmlformats.org/officeDocument/2006/relationships/hyperlink" Target="https://dokkai-labo.tokyo/col_blog/goi-online/" TargetMode="External"/><Relationship Id="rId1" Type="http://schemas.openxmlformats.org/officeDocument/2006/relationships/hyperlink" Target="https://dokkai-labo.tokyo/blog/description-2/" TargetMode="External"/><Relationship Id="rId2" Type="http://schemas.openxmlformats.org/officeDocument/2006/relationships/hyperlink" Target="https://dokkai-labo.tokyo/" TargetMode="External"/><Relationship Id="rId3" Type="http://schemas.openxmlformats.org/officeDocument/2006/relationships/hyperlink" Target="https://dokkai-labo.tokyo/blog/yoshu-series-kokugo-review-cycle/" TargetMode="External"/><Relationship Id="rId149" Type="http://schemas.openxmlformats.org/officeDocument/2006/relationships/hyperlink" Target="https://dokkai-labo.tokyo/col_blog/dokkai-online-kobetsu/" TargetMode="External"/><Relationship Id="rId4" Type="http://schemas.openxmlformats.org/officeDocument/2006/relationships/hyperlink" Target="https://dokkai-labo.tokyo/blog/ootechuugakuzyukunokokugotekisutohikaku/" TargetMode="External"/><Relationship Id="rId148" Type="http://schemas.openxmlformats.org/officeDocument/2006/relationships/hyperlink" Target="https://dokkai-labo.tokyo/blog/yosyu_series_05j09/" TargetMode="External"/><Relationship Id="rId9" Type="http://schemas.openxmlformats.org/officeDocument/2006/relationships/hyperlink" Target="https://dokkai-labo.tokyo/blog/jikanhaibun/" TargetMode="External"/><Relationship Id="rId143" Type="http://schemas.openxmlformats.org/officeDocument/2006/relationships/hyperlink" Target="https://dokkai-labo.tokyo/blog/yosyu_series_05j04/" TargetMode="External"/><Relationship Id="rId142" Type="http://schemas.openxmlformats.org/officeDocument/2006/relationships/hyperlink" Target="https://dokkai-labo.tokyo/blog/yosyu_series_05j03/" TargetMode="External"/><Relationship Id="rId141" Type="http://schemas.openxmlformats.org/officeDocument/2006/relationships/hyperlink" Target="https://dokkai-labo.tokyo/blog/yosyu_series_05j017/" TargetMode="External"/><Relationship Id="rId140" Type="http://schemas.openxmlformats.org/officeDocument/2006/relationships/hyperlink" Target="https://dokkai-labo.tokyo/blog/yosyu_series_05j016/" TargetMode="External"/><Relationship Id="rId5" Type="http://schemas.openxmlformats.org/officeDocument/2006/relationships/hyperlink" Target="https://dokkai-labo.tokyo/blog/kokugo-kakomon/" TargetMode="External"/><Relationship Id="rId147" Type="http://schemas.openxmlformats.org/officeDocument/2006/relationships/hyperlink" Target="https://dokkai-labo.tokyo/blog/yosyu_series_05j08/" TargetMode="External"/><Relationship Id="rId6" Type="http://schemas.openxmlformats.org/officeDocument/2006/relationships/hyperlink" Target="https://dokkai-labo.tokyo/setsumeibun/" TargetMode="External"/><Relationship Id="rId146" Type="http://schemas.openxmlformats.org/officeDocument/2006/relationships/hyperlink" Target="https://dokkai-labo.tokyo/blog/yosyu_series_05j07/" TargetMode="External"/><Relationship Id="rId7" Type="http://schemas.openxmlformats.org/officeDocument/2006/relationships/hyperlink" Target="https://dokkai-labo.tokyo/blog/description/" TargetMode="External"/><Relationship Id="rId145" Type="http://schemas.openxmlformats.org/officeDocument/2006/relationships/hyperlink" Target="https://dokkai-labo.tokyo/blog/yosyu_series_05j06/" TargetMode="External"/><Relationship Id="rId8" Type="http://schemas.openxmlformats.org/officeDocument/2006/relationships/hyperlink" Target="https://dokkai-labo.tokyo/blog/kokugobunpouigi/" TargetMode="External"/><Relationship Id="rId144" Type="http://schemas.openxmlformats.org/officeDocument/2006/relationships/hyperlink" Target="https://dokkai-labo.tokyo/blog/yosyu_series_05j05/" TargetMode="External"/><Relationship Id="rId139" Type="http://schemas.openxmlformats.org/officeDocument/2006/relationships/hyperlink" Target="https://dokkai-labo.tokyo/blog/yosyu_series_05j015/" TargetMode="External"/><Relationship Id="rId138" Type="http://schemas.openxmlformats.org/officeDocument/2006/relationships/hyperlink" Target="https://dokkai-labo.tokyo/blog/yosyu_series_05j014/" TargetMode="External"/><Relationship Id="rId137" Type="http://schemas.openxmlformats.org/officeDocument/2006/relationships/hyperlink" Target="https://dokkai-labo.tokyo/blog/yosyu_series_05j013/" TargetMode="External"/><Relationship Id="rId132" Type="http://schemas.openxmlformats.org/officeDocument/2006/relationships/hyperlink" Target="https://dokkai-labo.tokyo/blog/syougakuseidokkai/" TargetMode="External"/><Relationship Id="rId131" Type="http://schemas.openxmlformats.org/officeDocument/2006/relationships/hyperlink" Target="https://dokkai-labo.tokyo/blog/sapix_52b_06/" TargetMode="External"/><Relationship Id="rId130" Type="http://schemas.openxmlformats.org/officeDocument/2006/relationships/hyperlink" Target="https://dokkai-labo.tokyo/blog/sapix_52b_05/" TargetMode="External"/><Relationship Id="rId136" Type="http://schemas.openxmlformats.org/officeDocument/2006/relationships/hyperlink" Target="https://dokkai-labo.tokyo/blog/yosyu_series_05j011/" TargetMode="External"/><Relationship Id="rId135" Type="http://schemas.openxmlformats.org/officeDocument/2006/relationships/hyperlink" Target="https://dokkai-labo.tokyo/blog/yosyu_series_05j010/" TargetMode="External"/><Relationship Id="rId134" Type="http://schemas.openxmlformats.org/officeDocument/2006/relationships/hyperlink" Target="https://dokkai-labo.tokyo/blog/yosyu_series_05j01/" TargetMode="External"/><Relationship Id="rId133" Type="http://schemas.openxmlformats.org/officeDocument/2006/relationships/hyperlink" Target="https://dokkai-labo.tokyo/blog/test/" TargetMode="External"/><Relationship Id="rId172" Type="http://schemas.openxmlformats.org/officeDocument/2006/relationships/hyperlink" Target="https://dokkai-labo.tokyo/info/180208/" TargetMode="External"/><Relationship Id="rId171" Type="http://schemas.openxmlformats.org/officeDocument/2006/relationships/hyperlink" Target="https://dokkai-labo.tokyo/info/180205/" TargetMode="External"/><Relationship Id="rId170" Type="http://schemas.openxmlformats.org/officeDocument/2006/relationships/hyperlink" Target="https://dokkai-labo.tokyo/info/180101/" TargetMode="External"/><Relationship Id="rId165" Type="http://schemas.openxmlformats.org/officeDocument/2006/relationships/hyperlink" Target="https://dokkai-labo.tokyo/info/161214/" TargetMode="External"/><Relationship Id="rId164" Type="http://schemas.openxmlformats.org/officeDocument/2006/relationships/hyperlink" Target="https://dokkai-labo.tokyo/grade/elem-all/" TargetMode="External"/><Relationship Id="rId163" Type="http://schemas.openxmlformats.org/officeDocument/2006/relationships/hyperlink" Target="https://dokkai-labo.tokyo/ct/strategy/" TargetMode="External"/><Relationship Id="rId162" Type="http://schemas.openxmlformats.org/officeDocument/2006/relationships/hyperlink" Target="https://dokkai-labo.tokyo/ct/publish/" TargetMode="External"/><Relationship Id="rId169" Type="http://schemas.openxmlformats.org/officeDocument/2006/relationships/hyperlink" Target="https://dokkai-labo.tokyo/info/180101_02/" TargetMode="External"/><Relationship Id="rId168" Type="http://schemas.openxmlformats.org/officeDocument/2006/relationships/hyperlink" Target="https://dokkai-labo.tokyo/info/170707/" TargetMode="External"/><Relationship Id="rId167" Type="http://schemas.openxmlformats.org/officeDocument/2006/relationships/hyperlink" Target="https://dokkai-labo.tokyo/info/170624/" TargetMode="External"/><Relationship Id="rId166" Type="http://schemas.openxmlformats.org/officeDocument/2006/relationships/hyperlink" Target="https://dokkai-labo.tokyo/info/170529_studyaidbook/" TargetMode="External"/><Relationship Id="rId161" Type="http://schemas.openxmlformats.org/officeDocument/2006/relationships/hyperlink" Target="https://dokkai-labo.tokyo/ct/column/" TargetMode="External"/><Relationship Id="rId160" Type="http://schemas.openxmlformats.org/officeDocument/2006/relationships/hyperlink" Target="https://dokkai-labo.tokyo/contact/" TargetMode="External"/><Relationship Id="rId159" Type="http://schemas.openxmlformats.org/officeDocument/2006/relationships/hyperlink" Target="https://dokkai-labo.tokyo/col_blog/shallow-comprehension/" TargetMode="External"/><Relationship Id="rId154" Type="http://schemas.openxmlformats.org/officeDocument/2006/relationships/hyperlink" Target="https://dokkai-labo.tokyo/col_blog/kokugo-foundation/" TargetMode="External"/><Relationship Id="rId153" Type="http://schemas.openxmlformats.org/officeDocument/2006/relationships/hyperlink" Target="https://dokkai-labo.tokyo/col_blog/kokugo-fix/" TargetMode="External"/><Relationship Id="rId152" Type="http://schemas.openxmlformats.org/officeDocument/2006/relationships/hyperlink" Target="https://dokkai-labo.tokyo/col_blog/kokugo-evidence/" TargetMode="External"/><Relationship Id="rId151" Type="http://schemas.openxmlformats.org/officeDocument/2006/relationships/hyperlink" Target="https://dokkai-labo.tokyo/col_blog/goku-imi-dokkai/" TargetMode="External"/><Relationship Id="rId158" Type="http://schemas.openxmlformats.org/officeDocument/2006/relationships/hyperlink" Target="https://dokkai-labo.tokyo/col_blog/setsumon-yomichigai/" TargetMode="External"/><Relationship Id="rId157" Type="http://schemas.openxmlformats.org/officeDocument/2006/relationships/hyperlink" Target="https://dokkai-labo.tokyo/col_blog/setsumeibun-online/" TargetMode="External"/><Relationship Id="rId156" Type="http://schemas.openxmlformats.org/officeDocument/2006/relationships/hyperlink" Target="https://dokkai-labo.tokyo/col_blog/sapix-kokugo-tsumazuki/" TargetMode="External"/><Relationship Id="rId155" Type="http://schemas.openxmlformats.org/officeDocument/2006/relationships/hyperlink" Target="https://dokkai-labo.tokyo/col_blog/online-kokugo-home/" TargetMode="External"/><Relationship Id="rId40" Type="http://schemas.openxmlformats.org/officeDocument/2006/relationships/hyperlink" Target="https://dokkai-labo.tokyo/access/" TargetMode="External"/><Relationship Id="rId42" Type="http://schemas.openxmlformats.org/officeDocument/2006/relationships/hyperlink" Target="https://dokkai-labo.tokyo/blog/seikou2021/" TargetMode="External"/><Relationship Id="rId41" Type="http://schemas.openxmlformats.org/officeDocument/2006/relationships/hyperlink" Target="https://dokkai-labo.tokyo/blog/200301/" TargetMode="External"/><Relationship Id="rId44" Type="http://schemas.openxmlformats.org/officeDocument/2006/relationships/hyperlink" Target="https://dokkai-labo.tokyo/blog/chobunkotsu/" TargetMode="External"/><Relationship Id="rId43" Type="http://schemas.openxmlformats.org/officeDocument/2006/relationships/hyperlink" Target="https://dokkai-labo.tokyo/blog/waseda2021/" TargetMode="External"/><Relationship Id="rId46" Type="http://schemas.openxmlformats.org/officeDocument/2006/relationships/hyperlink" Target="https://dokkai-labo.tokyo/blog/jyoshigakuin2021/" TargetMode="External"/><Relationship Id="rId45" Type="http://schemas.openxmlformats.org/officeDocument/2006/relationships/hyperlink" Target="https://dokkai-labo.tokyo/blog/asano2021/" TargetMode="External"/><Relationship Id="rId48" Type="http://schemas.openxmlformats.org/officeDocument/2006/relationships/hyperlink" Target="https://dokkai-labo.tokyo/col_blog/nichinoken-kokugo-latest-gap/" TargetMode="External"/><Relationship Id="rId47" Type="http://schemas.openxmlformats.org/officeDocument/2006/relationships/hyperlink" Target="https://dokkai-labo.tokyo/blog/ouin2021/" TargetMode="External"/><Relationship Id="rId49" Type="http://schemas.openxmlformats.org/officeDocument/2006/relationships/hyperlink" Target="https://dokkai-labo.tokyo/blog/200229/" TargetMode="External"/><Relationship Id="rId31" Type="http://schemas.openxmlformats.org/officeDocument/2006/relationships/hyperlink" Target="https://dokkai-labo.tokyo/live/" TargetMode="External"/><Relationship Id="rId30" Type="http://schemas.openxmlformats.org/officeDocument/2006/relationships/hyperlink" Target="https://dokkai-labo.tokyo/blog/nada2021/" TargetMode="External"/><Relationship Id="rId33" Type="http://schemas.openxmlformats.org/officeDocument/2006/relationships/hyperlink" Target="https://dokkai-labo.tokyo/blog/souzitsu2021/" TargetMode="External"/><Relationship Id="rId32" Type="http://schemas.openxmlformats.org/officeDocument/2006/relationships/hyperlink" Target="https://dokkai-labo.tokyo/kobetsuonline01/" TargetMode="External"/><Relationship Id="rId35" Type="http://schemas.openxmlformats.org/officeDocument/2006/relationships/hyperlink" Target="https://dokkai-labo.tokyo/blog/utokyo/" TargetMode="External"/><Relationship Id="rId34" Type="http://schemas.openxmlformats.org/officeDocument/2006/relationships/hyperlink" Target="https://dokkai-labo.tokyo/col_blog/kokugo-speed-up/" TargetMode="External"/><Relationship Id="rId37" Type="http://schemas.openxmlformats.org/officeDocument/2006/relationships/hyperlink" Target="https://dokkai-labo.tokyo/col_blog/kokugo-online-only/" TargetMode="External"/><Relationship Id="rId36" Type="http://schemas.openxmlformats.org/officeDocument/2006/relationships/hyperlink" Target="https://dokkai-labo.tokyo/blog/ferisu2021/" TargetMode="External"/><Relationship Id="rId39" Type="http://schemas.openxmlformats.org/officeDocument/2006/relationships/hyperlink" Target="https://dokkai-labo.tokyo/col_blog/yomitobashi-online/" TargetMode="External"/><Relationship Id="rId38" Type="http://schemas.openxmlformats.org/officeDocument/2006/relationships/hyperlink" Target="https://dokkai-labo.tokyo/blog/rasa-ru2021/" TargetMode="External"/><Relationship Id="rId20" Type="http://schemas.openxmlformats.org/officeDocument/2006/relationships/hyperlink" Target="https://dokkai-labo.tokyo/blog/essay/" TargetMode="External"/><Relationship Id="rId22" Type="http://schemas.openxmlformats.org/officeDocument/2006/relationships/hyperlink" Target="https://dokkai-labo.tokyo/col_blog/balance/" TargetMode="External"/><Relationship Id="rId21" Type="http://schemas.openxmlformats.org/officeDocument/2006/relationships/hyperlink" Target="https://dokkai-labo.tokyo/blog/kokorogamae/" TargetMode="External"/><Relationship Id="rId24" Type="http://schemas.openxmlformats.org/officeDocument/2006/relationships/hyperlink" Target="https://dokkai-labo.tokyo/blog/181214/" TargetMode="External"/><Relationship Id="rId23" Type="http://schemas.openxmlformats.org/officeDocument/2006/relationships/hyperlink" Target="https://dokkai-labo.tokyo/kobetsuonline02/" TargetMode="External"/><Relationship Id="rId26" Type="http://schemas.openxmlformats.org/officeDocument/2006/relationships/hyperlink" Target="https://dokkai-labo.tokyo/blog/kaisei2021/" TargetMode="External"/><Relationship Id="rId25" Type="http://schemas.openxmlformats.org/officeDocument/2006/relationships/hyperlink" Target="https://dokkai-labo.tokyo/blog/poetry/" TargetMode="External"/><Relationship Id="rId28" Type="http://schemas.openxmlformats.org/officeDocument/2006/relationships/hyperlink" Target="https://dokkai-labo.tokyo/blog/20020701/" TargetMode="External"/><Relationship Id="rId27" Type="http://schemas.openxmlformats.org/officeDocument/2006/relationships/hyperlink" Target="https://dokkai-labo.tokyo/blog/sapix/" TargetMode="External"/><Relationship Id="rId29" Type="http://schemas.openxmlformats.org/officeDocument/2006/relationships/hyperlink" Target="https://dokkai-labo.tokyo/blog/200214/" TargetMode="External"/><Relationship Id="rId11" Type="http://schemas.openxmlformats.org/officeDocument/2006/relationships/hyperlink" Target="https://dokkai-labo.tokyo/hilevel_lec_univ_online/" TargetMode="External"/><Relationship Id="rId10" Type="http://schemas.openxmlformats.org/officeDocument/2006/relationships/hyperlink" Target="https://dokkai-labo.tokyo/kijutsuryoku/" TargetMode="External"/><Relationship Id="rId13" Type="http://schemas.openxmlformats.org/officeDocument/2006/relationships/hyperlink" Target="https://dokkai-labo.tokyo/profile/" TargetMode="External"/><Relationship Id="rId12" Type="http://schemas.openxmlformats.org/officeDocument/2006/relationships/hyperlink" Target="https://dokkai-labo.tokyo/monogataribun/" TargetMode="External"/><Relationship Id="rId15" Type="http://schemas.openxmlformats.org/officeDocument/2006/relationships/hyperlink" Target="https://dokkai-labo.tokyo/blog/kijutsu_miss3/" TargetMode="External"/><Relationship Id="rId14" Type="http://schemas.openxmlformats.org/officeDocument/2006/relationships/hyperlink" Target="https://dokkai-labo.tokyo/blog/kokugotesuto/" TargetMode="External"/><Relationship Id="rId17" Type="http://schemas.openxmlformats.org/officeDocument/2006/relationships/hyperlink" Target="https://dokkai-labo.tokyo/blog/shibushibu/" TargetMode="External"/><Relationship Id="rId16" Type="http://schemas.openxmlformats.org/officeDocument/2006/relationships/hyperlink" Target="https://dokkai-labo.tokyo/blog/gakusyuuhou/" TargetMode="External"/><Relationship Id="rId19" Type="http://schemas.openxmlformats.org/officeDocument/2006/relationships/hyperlink" Target="https://dokkai-labo.tokyo/blog/bunpou/" TargetMode="External"/><Relationship Id="rId18" Type="http://schemas.openxmlformats.org/officeDocument/2006/relationships/hyperlink" Target="https://dokkai-labo.tokyo/blog/17022401/" TargetMode="External"/><Relationship Id="rId84" Type="http://schemas.openxmlformats.org/officeDocument/2006/relationships/hyperlink" Target="https://dokkai-labo.tokyo/col_blog/home-study-mistakes/" TargetMode="External"/><Relationship Id="rId83" Type="http://schemas.openxmlformats.org/officeDocument/2006/relationships/hyperlink" Target="https://dokkai-labo.tokyo/col_blog/fuan-aseri-shikouteishi/" TargetMode="External"/><Relationship Id="rId86" Type="http://schemas.openxmlformats.org/officeDocument/2006/relationships/hyperlink" Target="https://dokkai-labo.tokyo/col_blog/sapix-kokugo-kijutsu/" TargetMode="External"/><Relationship Id="rId85" Type="http://schemas.openxmlformats.org/officeDocument/2006/relationships/hyperlink" Target="https://dokkai-labo.tokyo/col_blog/kokugo-fee/" TargetMode="External"/><Relationship Id="rId88" Type="http://schemas.openxmlformats.org/officeDocument/2006/relationships/hyperlink" Target="https://dokkai-labo.tokyo/info/180726_iten/" TargetMode="External"/><Relationship Id="rId87" Type="http://schemas.openxmlformats.org/officeDocument/2006/relationships/hyperlink" Target="https://dokkai-labo.tokyo/corporate_data/" TargetMode="External"/><Relationship Id="rId89" Type="http://schemas.openxmlformats.org/officeDocument/2006/relationships/hyperlink" Target="https://dokkai-labo.tokyo/info/190507-2/" TargetMode="External"/><Relationship Id="rId80" Type="http://schemas.openxmlformats.org/officeDocument/2006/relationships/hyperlink" Target="https://dokkai-labo.tokyo/tokuten_fifth/" TargetMode="External"/><Relationship Id="rId82" Type="http://schemas.openxmlformats.org/officeDocument/2006/relationships/hyperlink" Target="https://dokkai-labo.tokyo/blog/shouronbunmaster/" TargetMode="External"/><Relationship Id="rId81" Type="http://schemas.openxmlformats.org/officeDocument/2006/relationships/hyperlink" Target="https://dokkai-labo.tokyo/blog/azabu2021/" TargetMode="External"/><Relationship Id="rId73" Type="http://schemas.openxmlformats.org/officeDocument/2006/relationships/hyperlink" Target="https://dokkai-labo.tokyo/blog/shogaku6-kokugo-priority-strategy/" TargetMode="External"/><Relationship Id="rId72" Type="http://schemas.openxmlformats.org/officeDocument/2006/relationships/hyperlink" Target="https://dokkai-labo.tokyo/blog/sapix_52b_02/" TargetMode="External"/><Relationship Id="rId75" Type="http://schemas.openxmlformats.org/officeDocument/2006/relationships/hyperlink" Target="https://dokkai-labo.tokyo/col_blog/col_blog-iikae-taibi-inga/" TargetMode="External"/><Relationship Id="rId74" Type="http://schemas.openxmlformats.org/officeDocument/2006/relationships/hyperlink" Target="https://dokkai-labo.tokyo/blog/tsukukoma2021/" TargetMode="External"/><Relationship Id="rId77" Type="http://schemas.openxmlformats.org/officeDocument/2006/relationships/hyperlink" Target="https://dokkai-labo.tokyo/col_blog/monogataribun-online/" TargetMode="External"/><Relationship Id="rId76" Type="http://schemas.openxmlformats.org/officeDocument/2006/relationships/hyperlink" Target="https://dokkai-labo.tokyo/col_blog/dokkai-shori-junban/" TargetMode="External"/><Relationship Id="rId79" Type="http://schemas.openxmlformats.org/officeDocument/2006/relationships/hyperlink" Target="https://dokkai-labo.tokyo/lesson/hilevel_lec_univ/" TargetMode="External"/><Relationship Id="rId78" Type="http://schemas.openxmlformats.org/officeDocument/2006/relationships/hyperlink" Target="https://dokkai-labo.tokyo/lesson/1-1high/" TargetMode="External"/><Relationship Id="rId71" Type="http://schemas.openxmlformats.org/officeDocument/2006/relationships/hyperlink" Target="https://dokkai-labo.tokyo/blog/komatou2021/" TargetMode="External"/><Relationship Id="rId70" Type="http://schemas.openxmlformats.org/officeDocument/2006/relationships/hyperlink" Target="https://dokkai-labo.tokyo/lpjh_online/" TargetMode="External"/><Relationship Id="rId62" Type="http://schemas.openxmlformats.org/officeDocument/2006/relationships/hyperlink" Target="https://dokkai-labo.tokyo/blog/200212/" TargetMode="External"/><Relationship Id="rId61" Type="http://schemas.openxmlformats.org/officeDocument/2006/relationships/hyperlink" Target="https://dokkai-labo.tokyo/col_blog/waseda-academy-kokugo-speed/" TargetMode="External"/><Relationship Id="rId64" Type="http://schemas.openxmlformats.org/officeDocument/2006/relationships/hyperlink" Target="https://dokkai-labo.tokyo/bootcamp/" TargetMode="External"/><Relationship Id="rId63" Type="http://schemas.openxmlformats.org/officeDocument/2006/relationships/hyperlink" Target="https://dokkai-labo.tokyo/blog/futaba2021/" TargetMode="External"/><Relationship Id="rId66" Type="http://schemas.openxmlformats.org/officeDocument/2006/relationships/hyperlink" Target="https://dokkai-labo.tokyo/basisonline/" TargetMode="External"/><Relationship Id="rId65" Type="http://schemas.openxmlformats.org/officeDocument/2006/relationships/hyperlink" Target="https://dokkai-labo.tokyo/basis/" TargetMode="External"/><Relationship Id="rId68" Type="http://schemas.openxmlformats.org/officeDocument/2006/relationships/hyperlink" Target="https://dokkai-labo.tokyo/blog/170620/" TargetMode="External"/><Relationship Id="rId67" Type="http://schemas.openxmlformats.org/officeDocument/2006/relationships/hyperlink" Target="https://dokkai-labo.tokyo/blog/17022402/" TargetMode="External"/><Relationship Id="rId60" Type="http://schemas.openxmlformats.org/officeDocument/2006/relationships/hyperlink" Target="https://dokkai-labo.tokyo/blog/shogaku6-kokugo-kakomon-start-timing/" TargetMode="External"/><Relationship Id="rId69" Type="http://schemas.openxmlformats.org/officeDocument/2006/relationships/hyperlink" Target="https://dokkai-labo.tokyo/col_blog/katei-kokugo-oshi-enai/" TargetMode="External"/><Relationship Id="rId51" Type="http://schemas.openxmlformats.org/officeDocument/2006/relationships/hyperlink" Target="https://dokkai-labo.tokyo/col_blog/goiryoku-kyoka/" TargetMode="External"/><Relationship Id="rId50" Type="http://schemas.openxmlformats.org/officeDocument/2006/relationships/hyperlink" Target="https://dokkai-labo.tokyo/blog/tosimagaoka2021/" TargetMode="External"/><Relationship Id="rId53" Type="http://schemas.openxmlformats.org/officeDocument/2006/relationships/hyperlink" Target="https://dokkai-labo.tokyo/blog/200228/" TargetMode="External"/><Relationship Id="rId52" Type="http://schemas.openxmlformats.org/officeDocument/2006/relationships/hyperlink" Target="https://dokkai-labo.tokyo/blog/19052602/" TargetMode="External"/><Relationship Id="rId55" Type="http://schemas.openxmlformats.org/officeDocument/2006/relationships/hyperlink" Target="https://dokkai-labo.tokyo/ct/examovie/" TargetMode="External"/><Relationship Id="rId54" Type="http://schemas.openxmlformats.org/officeDocument/2006/relationships/hyperlink" Target="https://dokkai-labo.tokyo/blog/kaizyou2021/" TargetMode="External"/><Relationship Id="rId57" Type="http://schemas.openxmlformats.org/officeDocument/2006/relationships/hyperlink" Target="https://dokkai-labo.tokyo/blog/20020702/" TargetMode="External"/><Relationship Id="rId56" Type="http://schemas.openxmlformats.org/officeDocument/2006/relationships/hyperlink" Target="https://dokkai-labo.tokyo/schedule/" TargetMode="External"/><Relationship Id="rId59" Type="http://schemas.openxmlformats.org/officeDocument/2006/relationships/hyperlink" Target="https://dokkai-labo.tokyo/blog/musashi2021/" TargetMode="External"/><Relationship Id="rId58" Type="http://schemas.openxmlformats.org/officeDocument/2006/relationships/hyperlink" Target="https://dokkai-labo.tokyo/blog/hensachi/" TargetMode="External"/><Relationship Id="rId107" Type="http://schemas.openxmlformats.org/officeDocument/2006/relationships/hyperlink" Target="https://dokkai-labo.tokyo/col_blog/tensaku-guide/" TargetMode="External"/><Relationship Id="rId106" Type="http://schemas.openxmlformats.org/officeDocument/2006/relationships/hyperlink" Target="https://dokkai-labo.tokyo/col_blog/sentakushi-kijutsu/" TargetMode="External"/><Relationship Id="rId105" Type="http://schemas.openxmlformats.org/officeDocument/2006/relationships/hyperlink" Target="https://dokkai-labo.tokyo/col_blog/online-kokugo/" TargetMode="External"/><Relationship Id="rId104" Type="http://schemas.openxmlformats.org/officeDocument/2006/relationships/hyperlink" Target="https://dokkai-labo.tokyo/col_blog/monogataribun-choice/" TargetMode="External"/><Relationship Id="rId109" Type="http://schemas.openxmlformats.org/officeDocument/2006/relationships/hyperlink" Target="https://dokkai-labo.tokyo/grammer/" TargetMode="External"/><Relationship Id="rId108" Type="http://schemas.openxmlformats.org/officeDocument/2006/relationships/hyperlink" Target="https://dokkai-labo.tokyo/grade/elem-high/" TargetMode="External"/><Relationship Id="rId103" Type="http://schemas.openxmlformats.org/officeDocument/2006/relationships/hyperlink" Target="https://dokkai-labo.tokyo/col_blog/kijutsu-train/" TargetMode="External"/><Relationship Id="rId102" Type="http://schemas.openxmlformats.org/officeDocument/2006/relationships/hyperlink" Target="https://dokkai-labo.tokyo/col_blog/kijutsu-process/" TargetMode="External"/><Relationship Id="rId101" Type="http://schemas.openxmlformats.org/officeDocument/2006/relationships/hyperlink" Target="https://dokkai-labo.tokyo/col_blog/kijutsu-improve-by-type/" TargetMode="External"/><Relationship Id="rId100" Type="http://schemas.openxmlformats.org/officeDocument/2006/relationships/hyperlink" Target="https://dokkai-labo.tokyo/col_blog/kakomon-tsumazuki/" TargetMode="External"/><Relationship Id="rId217" Type="http://schemas.openxmlformats.org/officeDocument/2006/relationships/hyperlink" Target="https://dokkai-labo.tokyo/webinfomation/" TargetMode="External"/><Relationship Id="rId216" Type="http://schemas.openxmlformats.org/officeDocument/2006/relationships/hyperlink" Target="https://dokkai-labo.tokyo/vacant_sum/" TargetMode="External"/><Relationship Id="rId215" Type="http://schemas.openxmlformats.org/officeDocument/2006/relationships/hyperlink" Target="https://dokkai-labo.tokyo/timetable_season/" TargetMode="External"/><Relationship Id="rId214" Type="http://schemas.openxmlformats.org/officeDocument/2006/relationships/hyperlink" Target="https://dokkai-labo.tokyo/timetable_mtg/" TargetMode="External"/><Relationship Id="rId218" Type="http://schemas.openxmlformats.org/officeDocument/2006/relationships/drawing" Target="../drawings/drawing8.xml"/><Relationship Id="rId213" Type="http://schemas.openxmlformats.org/officeDocument/2006/relationships/hyperlink" Target="https://dokkai-labo.tokyo/tag_ori/sapix/" TargetMode="External"/><Relationship Id="rId212" Type="http://schemas.openxmlformats.org/officeDocument/2006/relationships/hyperlink" Target="https://dokkai-labo.tokyo/summercourse/" TargetMode="External"/><Relationship Id="rId211" Type="http://schemas.openxmlformats.org/officeDocument/2006/relationships/hyperlink" Target="https://dokkai-labo.tokyo/scale/mantoman/" TargetMode="External"/><Relationship Id="rId210" Type="http://schemas.openxmlformats.org/officeDocument/2006/relationships/hyperlink" Target="https://dokkai-labo.tokyo/scale/group/" TargetMode="External"/><Relationship Id="rId129" Type="http://schemas.openxmlformats.org/officeDocument/2006/relationships/hyperlink" Target="https://dokkai-labo.tokyo/blog/sapix_52b_04/" TargetMode="External"/><Relationship Id="rId128" Type="http://schemas.openxmlformats.org/officeDocument/2006/relationships/hyperlink" Target="https://dokkai-labo.tokyo/blog/sapix_52b_03/" TargetMode="External"/><Relationship Id="rId127" Type="http://schemas.openxmlformats.org/officeDocument/2006/relationships/hyperlink" Target="https://dokkai-labo.tokyo/blog/note/" TargetMode="External"/><Relationship Id="rId126" Type="http://schemas.openxmlformats.org/officeDocument/2006/relationships/hyperlink" Target="https://dokkai-labo.tokyo/blog/kokugo-kijutsu-before-after/" TargetMode="External"/><Relationship Id="rId121" Type="http://schemas.openxmlformats.org/officeDocument/2006/relationships/hyperlink" Target="https://dokkai-labo.tokyo/blog/190526/" TargetMode="External"/><Relationship Id="rId120" Type="http://schemas.openxmlformats.org/officeDocument/2006/relationships/hyperlink" Target="https://dokkai-labo.tokyo/blog/190104/" TargetMode="External"/><Relationship Id="rId125" Type="http://schemas.openxmlformats.org/officeDocument/2006/relationships/hyperlink" Target="https://dokkai-labo.tokyo/blog/keiougizyuku2021/" TargetMode="External"/><Relationship Id="rId124" Type="http://schemas.openxmlformats.org/officeDocument/2006/relationships/hyperlink" Target="https://dokkai-labo.tokyo/blog/chujutorisetsu/" TargetMode="External"/><Relationship Id="rId123" Type="http://schemas.openxmlformats.org/officeDocument/2006/relationships/hyperlink" Target="https://dokkai-labo.tokyo/blog/benkyouhou/" TargetMode="External"/><Relationship Id="rId122" Type="http://schemas.openxmlformats.org/officeDocument/2006/relationships/hyperlink" Target="https://dokkai-labo.tokyo/blog/200328/" TargetMode="External"/><Relationship Id="rId95" Type="http://schemas.openxmlformats.org/officeDocument/2006/relationships/hyperlink" Target="https://dokkai-labo.tokyo/blog/kokugoshidou/" TargetMode="External"/><Relationship Id="rId94" Type="http://schemas.openxmlformats.org/officeDocument/2006/relationships/hyperlink" Target="https://dokkai-labo.tokyo/blog/difficult-problem/" TargetMode="External"/><Relationship Id="rId97" Type="http://schemas.openxmlformats.org/officeDocument/2006/relationships/hyperlink" Target="https://dokkai-labo.tokyo/blog/yosyu_series_05j012/" TargetMode="External"/><Relationship Id="rId96" Type="http://schemas.openxmlformats.org/officeDocument/2006/relationships/hyperlink" Target="https://dokkai-labo.tokyo/blog/sapix_52b_01/" TargetMode="External"/><Relationship Id="rId99" Type="http://schemas.openxmlformats.org/officeDocument/2006/relationships/hyperlink" Target="https://dokkai-labo.tokyo/col_blog/evidence-accuracy/" TargetMode="External"/><Relationship Id="rId98" Type="http://schemas.openxmlformats.org/officeDocument/2006/relationships/hyperlink" Target="https://dokkai-labo.tokyo/blog/yosyu_series_05j02/" TargetMode="External"/><Relationship Id="rId91" Type="http://schemas.openxmlformats.org/officeDocument/2006/relationships/hyperlink" Target="https://dokkai-labo.tokyo/onlinetokuten/" TargetMode="External"/><Relationship Id="rId90" Type="http://schemas.openxmlformats.org/officeDocument/2006/relationships/hyperlink" Target="https://dokkai-labo.tokyo/info/20200204/" TargetMode="External"/><Relationship Id="rId93" Type="http://schemas.openxmlformats.org/officeDocument/2006/relationships/hyperlink" Target="https://dokkai-labo.tokyo/blog/approach/" TargetMode="External"/><Relationship Id="rId92" Type="http://schemas.openxmlformats.org/officeDocument/2006/relationships/hyperlink" Target="https://dokkai-labo.tokyo/blog/17022403/" TargetMode="External"/><Relationship Id="rId118" Type="http://schemas.openxmlformats.org/officeDocument/2006/relationships/hyperlink" Target="https://dokkai-labo.tokyo/blog/161214/" TargetMode="External"/><Relationship Id="rId117" Type="http://schemas.openxmlformats.org/officeDocument/2006/relationships/hyperlink" Target="https://dokkai-labo.tokyo/univ02/" TargetMode="External"/><Relationship Id="rId116" Type="http://schemas.openxmlformats.org/officeDocument/2006/relationships/hyperlink" Target="https://dokkai-labo.tokyo/univ01/" TargetMode="External"/><Relationship Id="rId115" Type="http://schemas.openxmlformats.org/officeDocument/2006/relationships/hyperlink" Target="https://dokkai-labo.tokyo/tokuten/" TargetMode="External"/><Relationship Id="rId119" Type="http://schemas.openxmlformats.org/officeDocument/2006/relationships/hyperlink" Target="https://dokkai-labo.tokyo/blog/180203/" TargetMode="External"/><Relationship Id="rId110" Type="http://schemas.openxmlformats.org/officeDocument/2006/relationships/hyperlink" Target="https://dokkai-labo.tokyo/info/190507/" TargetMode="External"/><Relationship Id="rId114" Type="http://schemas.openxmlformats.org/officeDocument/2006/relationships/hyperlink" Target="https://dokkai-labo.tokyo/timetable/" TargetMode="External"/><Relationship Id="rId113" Type="http://schemas.openxmlformats.org/officeDocument/2006/relationships/hyperlink" Target="https://dokkai-labo.tokyo/summer/" TargetMode="External"/><Relationship Id="rId112" Type="http://schemas.openxmlformats.org/officeDocument/2006/relationships/hyperlink" Target="https://dokkai-labo.tokyo/style/lec/" TargetMode="External"/><Relationship Id="rId111" Type="http://schemas.openxmlformats.org/officeDocument/2006/relationships/hyperlink" Target="https://dokkai-labo.tokyo/info/20210723/" TargetMode="External"/><Relationship Id="rId206" Type="http://schemas.openxmlformats.org/officeDocument/2006/relationships/hyperlink" Target="https://dokkai-labo.tokyo/lp1701/" TargetMode="External"/><Relationship Id="rId205" Type="http://schemas.openxmlformats.org/officeDocument/2006/relationships/hyperlink" Target="https://dokkai-labo.tokyo/lesson/chocolabo/" TargetMode="External"/><Relationship Id="rId204" Type="http://schemas.openxmlformats.org/officeDocument/2006/relationships/hyperlink" Target="https://dokkai-labo.tokyo/lesson/1-1elem/" TargetMode="External"/><Relationship Id="rId203" Type="http://schemas.openxmlformats.org/officeDocument/2006/relationships/hyperlink" Target="https://dokkai-labo.tokyo/intro/" TargetMode="External"/><Relationship Id="rId209" Type="http://schemas.openxmlformats.org/officeDocument/2006/relationships/hyperlink" Target="https://dokkai-labo.tokyo/publish_movie01/" TargetMode="External"/><Relationship Id="rId208" Type="http://schemas.openxmlformats.org/officeDocument/2006/relationships/hyperlink" Target="https://dokkai-labo.tokyo/publication/" TargetMode="External"/><Relationship Id="rId207" Type="http://schemas.openxmlformats.org/officeDocument/2006/relationships/hyperlink" Target="https://dokkai-labo.tokyo/lp1801/" TargetMode="External"/><Relationship Id="rId202" Type="http://schemas.openxmlformats.org/officeDocument/2006/relationships/hyperlink" Target="https://dokkai-labo.tokyo/info/20210921/" TargetMode="External"/><Relationship Id="rId201" Type="http://schemas.openxmlformats.org/officeDocument/2006/relationships/hyperlink" Target="https://dokkai-labo.tokyo/info/20210709/" TargetMode="External"/><Relationship Id="rId200" Type="http://schemas.openxmlformats.org/officeDocument/2006/relationships/hyperlink" Target="https://dokkai-labo.tokyo/info/2021070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juku-escot.com/taikeisuugaku/" TargetMode="External"/><Relationship Id="rId2" Type="http://schemas.openxmlformats.org/officeDocument/2006/relationships/hyperlink" Target="https://juku-escot.com/c_blogs/sakubunanki/" TargetMode="External"/><Relationship Id="rId3" Type="http://schemas.openxmlformats.org/officeDocument/2006/relationships/hyperlink" Target="https://juku-escot.com/column/suugakukika/" TargetMode="External"/><Relationship Id="rId4" Type="http://schemas.openxmlformats.org/officeDocument/2006/relationships/hyperlink" Target="https://juku-escot.com/c_blogs/1dayanki/" TargetMode="External"/><Relationship Id="rId9" Type="http://schemas.openxmlformats.org/officeDocument/2006/relationships/hyperlink" Target="https://juku-escot.com/" TargetMode="External"/><Relationship Id="rId5" Type="http://schemas.openxmlformats.org/officeDocument/2006/relationships/hyperlink" Target="https://juku-escot.com/c_blogs/30minanki/" TargetMode="External"/><Relationship Id="rId6" Type="http://schemas.openxmlformats.org/officeDocument/2006/relationships/hyperlink" Target="https://juku-escot.com/newtreasure/" TargetMode="External"/><Relationship Id="rId7" Type="http://schemas.openxmlformats.org/officeDocument/2006/relationships/hyperlink" Target="https://juku-escot.com/c_blogs/j-goukakuritsu/" TargetMode="External"/><Relationship Id="rId8" Type="http://schemas.openxmlformats.org/officeDocument/2006/relationships/hyperlink" Target="https://juku-escot.com/progress/" TargetMode="External"/><Relationship Id="rId40" Type="http://schemas.openxmlformats.org/officeDocument/2006/relationships/hyperlink" Target="https://juku-escot.com/english/" TargetMode="External"/><Relationship Id="rId42" Type="http://schemas.openxmlformats.org/officeDocument/2006/relationships/hyperlink" Target="https://juku-escot.com/column/merit/" TargetMode="External"/><Relationship Id="rId41" Type="http://schemas.openxmlformats.org/officeDocument/2006/relationships/hyperlink" Target="https://juku-escot.com/japanese/" TargetMode="External"/><Relationship Id="rId44" Type="http://schemas.openxmlformats.org/officeDocument/2006/relationships/hyperlink" Target="https://juku-escot.com/grade/exam/" TargetMode="External"/><Relationship Id="rId43" Type="http://schemas.openxmlformats.org/officeDocument/2006/relationships/hyperlink" Target="https://juku-escot.com/kouza/" TargetMode="External"/><Relationship Id="rId46" Type="http://schemas.openxmlformats.org/officeDocument/2006/relationships/hyperlink" Target="https://juku-escot.com/school/" TargetMode="External"/><Relationship Id="rId45" Type="http://schemas.openxmlformats.org/officeDocument/2006/relationships/hyperlink" Target="https://juku-escot.com/onepoint/" TargetMode="External"/><Relationship Id="rId48" Type="http://schemas.openxmlformats.org/officeDocument/2006/relationships/hyperlink" Target="https://juku-escot.com/subject/math/" TargetMode="External"/><Relationship Id="rId47" Type="http://schemas.openxmlformats.org/officeDocument/2006/relationships/hyperlink" Target="https://juku-escot.com/subject/english/" TargetMode="External"/><Relationship Id="rId49" Type="http://schemas.openxmlformats.org/officeDocument/2006/relationships/hyperlink" Target="https://juku-escot.com/examination/" TargetMode="External"/><Relationship Id="rId31" Type="http://schemas.openxmlformats.org/officeDocument/2006/relationships/hyperlink" Target="https://juku-escot.com/lp_eng01/" TargetMode="External"/><Relationship Id="rId30" Type="http://schemas.openxmlformats.org/officeDocument/2006/relationships/hyperlink" Target="https://juku-escot.com/c_blogs/image/" TargetMode="External"/><Relationship Id="rId33" Type="http://schemas.openxmlformats.org/officeDocument/2006/relationships/hyperlink" Target="https://juku-escot.com/column/haruyasumibenkyouhou/" TargetMode="External"/><Relationship Id="rId32" Type="http://schemas.openxmlformats.org/officeDocument/2006/relationships/hyperlink" Target="https://juku-escot.com/company/" TargetMode="External"/><Relationship Id="rId35" Type="http://schemas.openxmlformats.org/officeDocument/2006/relationships/hyperlink" Target="https://juku-escot.com/c_blogs/cyokuzen/" TargetMode="External"/><Relationship Id="rId34" Type="http://schemas.openxmlformats.org/officeDocument/2006/relationships/hyperlink" Target="https://juku-escot.com/column/suugaku_ouyoumondai/" TargetMode="External"/><Relationship Id="rId37" Type="http://schemas.openxmlformats.org/officeDocument/2006/relationships/hyperlink" Target="https://juku-escot.com/column/nakadarumiochikobore/" TargetMode="External"/><Relationship Id="rId36" Type="http://schemas.openxmlformats.org/officeDocument/2006/relationships/hyperlink" Target="https://juku-escot.com/subject/janpanese/" TargetMode="External"/><Relationship Id="rId39" Type="http://schemas.openxmlformats.org/officeDocument/2006/relationships/hyperlink" Target="https://juku-escot.com/column/ryouritsu/" TargetMode="External"/><Relationship Id="rId38" Type="http://schemas.openxmlformats.org/officeDocument/2006/relationships/hyperlink" Target="https://juku-escot.com/c_blogs/yarukihouhou/" TargetMode="External"/><Relationship Id="rId20" Type="http://schemas.openxmlformats.org/officeDocument/2006/relationships/hyperlink" Target="https://juku-escot.com/c_blogs/suugakurikei/" TargetMode="External"/><Relationship Id="rId22" Type="http://schemas.openxmlformats.org/officeDocument/2006/relationships/hyperlink" Target="https://juku-escot.com/access/" TargetMode="External"/><Relationship Id="rId21" Type="http://schemas.openxmlformats.org/officeDocument/2006/relationships/hyperlink" Target="https://juku-escot.com/c_blogs/j-goukakusurutameniha/" TargetMode="External"/><Relationship Id="rId24" Type="http://schemas.openxmlformats.org/officeDocument/2006/relationships/hyperlink" Target="https://juku-escot.com/c_blogs/syakaijinbenkyou/" TargetMode="External"/><Relationship Id="rId23" Type="http://schemas.openxmlformats.org/officeDocument/2006/relationships/hyperlink" Target="https://juku-escot.com/column/butsurikagaku/" TargetMode="External"/><Relationship Id="rId26" Type="http://schemas.openxmlformats.org/officeDocument/2006/relationships/hyperlink" Target="https://juku-escot.com/column/keikaku_tatekata/" TargetMode="External"/><Relationship Id="rId25" Type="http://schemas.openxmlformats.org/officeDocument/2006/relationships/hyperlink" Target="https://juku-escot.com/column/anki/" TargetMode="External"/><Relationship Id="rId28" Type="http://schemas.openxmlformats.org/officeDocument/2006/relationships/hyperlink" Target="https://juku-escot.com/c_blogs/issyunanki/" TargetMode="External"/><Relationship Id="rId27" Type="http://schemas.openxmlformats.org/officeDocument/2006/relationships/hyperlink" Target="https://juku-escot.com/column/chokuzen/" TargetMode="External"/><Relationship Id="rId29" Type="http://schemas.openxmlformats.org/officeDocument/2006/relationships/hyperlink" Target="https://juku-escot.com/column/ochikobore/" TargetMode="External"/><Relationship Id="rId11" Type="http://schemas.openxmlformats.org/officeDocument/2006/relationships/hyperlink" Target="https://juku-escot.com/birdland/" TargetMode="External"/><Relationship Id="rId10" Type="http://schemas.openxmlformats.org/officeDocument/2006/relationships/hyperlink" Target="https://juku-escot.com/column/fuyuyasumi/" TargetMode="External"/><Relationship Id="rId13" Type="http://schemas.openxmlformats.org/officeDocument/2006/relationships/hyperlink" Target="https://juku-escot.com/online/" TargetMode="External"/><Relationship Id="rId12" Type="http://schemas.openxmlformats.org/officeDocument/2006/relationships/hyperlink" Target="https://juku-escot.com/c_blogs/suugakukyouhu/" TargetMode="External"/><Relationship Id="rId15" Type="http://schemas.openxmlformats.org/officeDocument/2006/relationships/hyperlink" Target="https://juku-escot.com/profile/" TargetMode="External"/><Relationship Id="rId14" Type="http://schemas.openxmlformats.org/officeDocument/2006/relationships/hyperlink" Target="https://juku-escot.com/column/junnikyuu/" TargetMode="External"/><Relationship Id="rId17" Type="http://schemas.openxmlformats.org/officeDocument/2006/relationships/hyperlink" Target="https://juku-escot.com/column/daisuubennkyouhou/" TargetMode="External"/><Relationship Id="rId16" Type="http://schemas.openxmlformats.org/officeDocument/2006/relationships/hyperlink" Target="https://juku-escot.com/c_blogs/suugakunaze/" TargetMode="External"/><Relationship Id="rId19" Type="http://schemas.openxmlformats.org/officeDocument/2006/relationships/hyperlink" Target="https://juku-escot.com/column/suugaku_miss/" TargetMode="External"/><Relationship Id="rId18" Type="http://schemas.openxmlformats.org/officeDocument/2006/relationships/hyperlink" Target="https://juku-escot.com/c_blogs/suugakusyuusyoku/" TargetMode="External"/><Relationship Id="rId84" Type="http://schemas.openxmlformats.org/officeDocument/2006/relationships/hyperlink" Target="https://juku-escot.com/info/20200204/" TargetMode="External"/><Relationship Id="rId83" Type="http://schemas.openxmlformats.org/officeDocument/2006/relationships/hyperlink" Target="https://juku-escot.com/column/eitango/" TargetMode="External"/><Relationship Id="rId86" Type="http://schemas.openxmlformats.org/officeDocument/2006/relationships/hyperlink" Target="https://juku-escot.com/column/itukara/" TargetMode="External"/><Relationship Id="rId85" Type="http://schemas.openxmlformats.org/officeDocument/2006/relationships/hyperlink" Target="https://juku-escot.com/c_blogs/eikenbenkyouhou/" TargetMode="External"/><Relationship Id="rId88" Type="http://schemas.openxmlformats.org/officeDocument/2006/relationships/hyperlink" Target="https://juku-escot.com/info/20210707/" TargetMode="External"/><Relationship Id="rId87" Type="http://schemas.openxmlformats.org/officeDocument/2006/relationships/hyperlink" Target="https://juku-escot.com/c_blogs/yarukipoint/" TargetMode="External"/><Relationship Id="rId89" Type="http://schemas.openxmlformats.org/officeDocument/2006/relationships/hyperlink" Target="https://juku-escot.com/2020-2/" TargetMode="External"/><Relationship Id="rId80" Type="http://schemas.openxmlformats.org/officeDocument/2006/relationships/hyperlink" Target="https://juku-escot.com/info/20200923/" TargetMode="External"/><Relationship Id="rId82" Type="http://schemas.openxmlformats.org/officeDocument/2006/relationships/hyperlink" Target="https://juku-escot.com/c_blogs/programming/" TargetMode="External"/><Relationship Id="rId81" Type="http://schemas.openxmlformats.org/officeDocument/2006/relationships/hyperlink" Target="https://juku-escot.com/representative/" TargetMode="External"/><Relationship Id="rId73" Type="http://schemas.openxmlformats.org/officeDocument/2006/relationships/hyperlink" Target="https://juku-escot.com/column/kobetsuigi_h/" TargetMode="External"/><Relationship Id="rId72" Type="http://schemas.openxmlformats.org/officeDocument/2006/relationships/hyperlink" Target="https://juku-escot.com/kouza/j2-english/" TargetMode="External"/><Relationship Id="rId75" Type="http://schemas.openxmlformats.org/officeDocument/2006/relationships/hyperlink" Target="https://juku-escot.com/kouza/jyuken-english/" TargetMode="External"/><Relationship Id="rId74" Type="http://schemas.openxmlformats.org/officeDocument/2006/relationships/hyperlink" Target="https://juku-escot.com/grade/h1/" TargetMode="External"/><Relationship Id="rId77" Type="http://schemas.openxmlformats.org/officeDocument/2006/relationships/hyperlink" Target="https://juku-escot.com/grade/jh1/" TargetMode="External"/><Relationship Id="rId76" Type="http://schemas.openxmlformats.org/officeDocument/2006/relationships/hyperlink" Target="https://juku-escot.com/grade/jh3/" TargetMode="External"/><Relationship Id="rId79" Type="http://schemas.openxmlformats.org/officeDocument/2006/relationships/hyperlink" Target="https://juku-escot.com/column/yaruki/" TargetMode="External"/><Relationship Id="rId78" Type="http://schemas.openxmlformats.org/officeDocument/2006/relationships/hyperlink" Target="https://juku-escot.com/c_blogs/kakujitsunianki/" TargetMode="External"/><Relationship Id="rId71" Type="http://schemas.openxmlformats.org/officeDocument/2006/relationships/hyperlink" Target="https://juku-escot.com/c_blogs/j-eikenbenkyouhou/" TargetMode="External"/><Relationship Id="rId70" Type="http://schemas.openxmlformats.org/officeDocument/2006/relationships/hyperlink" Target="https://juku-escot.com/purpose/" TargetMode="External"/><Relationship Id="rId62" Type="http://schemas.openxmlformats.org/officeDocument/2006/relationships/hyperlink" Target="https://juku-escot.com/c_blogs/" TargetMode="External"/><Relationship Id="rId61" Type="http://schemas.openxmlformats.org/officeDocument/2006/relationships/hyperlink" Target="https://juku-escot.com/c_blogs/eigoanki/" TargetMode="External"/><Relationship Id="rId64" Type="http://schemas.openxmlformats.org/officeDocument/2006/relationships/hyperlink" Target="https://juku-escot.com/grade/jh2/" TargetMode="External"/><Relationship Id="rId63" Type="http://schemas.openxmlformats.org/officeDocument/2006/relationships/hyperlink" Target="https://juku-escot.com/column/onlinejuku/" TargetMode="External"/><Relationship Id="rId66" Type="http://schemas.openxmlformats.org/officeDocument/2006/relationships/hyperlink" Target="https://juku-escot.com/info/20200410/" TargetMode="External"/><Relationship Id="rId65" Type="http://schemas.openxmlformats.org/officeDocument/2006/relationships/hyperlink" Target="https://juku-escot.com/c_blogs/note/" TargetMode="External"/><Relationship Id="rId68" Type="http://schemas.openxmlformats.org/officeDocument/2006/relationships/hyperlink" Target="https://juku-escot.com/column/genbun_benkyouhou/" TargetMode="External"/><Relationship Id="rId67" Type="http://schemas.openxmlformats.org/officeDocument/2006/relationships/hyperlink" Target="https://juku-escot.com/column/" TargetMode="External"/><Relationship Id="rId60" Type="http://schemas.openxmlformats.org/officeDocument/2006/relationships/hyperlink" Target="https://juku-escot.com/school_math/" TargetMode="External"/><Relationship Id="rId69" Type="http://schemas.openxmlformats.org/officeDocument/2006/relationships/hyperlink" Target="https://juku-escot.com/inquiry/" TargetMode="External"/><Relationship Id="rId51" Type="http://schemas.openxmlformats.org/officeDocument/2006/relationships/hyperlink" Target="https://juku-escot.com/c_blogs/suugakutaisaku/" TargetMode="External"/><Relationship Id="rId50" Type="http://schemas.openxmlformats.org/officeDocument/2006/relationships/hyperlink" Target="https://juku-escot.com/column/suugakudekinai/" TargetMode="External"/><Relationship Id="rId53" Type="http://schemas.openxmlformats.org/officeDocument/2006/relationships/hyperlink" Target="https://juku-escot.com/kouza/j1-math/" TargetMode="External"/><Relationship Id="rId52" Type="http://schemas.openxmlformats.org/officeDocument/2006/relationships/hyperlink" Target="https://juku-escot.com/column/eigobenkyouhou/" TargetMode="External"/><Relationship Id="rId55" Type="http://schemas.openxmlformats.org/officeDocument/2006/relationships/hyperlink" Target="https://juku-escot.com/school_english/" TargetMode="External"/><Relationship Id="rId54" Type="http://schemas.openxmlformats.org/officeDocument/2006/relationships/hyperlink" Target="https://juku-escot.com/c_blogs/syakaibenkyouhou/" TargetMode="External"/><Relationship Id="rId57" Type="http://schemas.openxmlformats.org/officeDocument/2006/relationships/hyperlink" Target="https://juku-escot.com/kouza/j1-english/" TargetMode="External"/><Relationship Id="rId56" Type="http://schemas.openxmlformats.org/officeDocument/2006/relationships/hyperlink" Target="https://juku-escot.com/kouza/h1-math/" TargetMode="External"/><Relationship Id="rId59" Type="http://schemas.openxmlformats.org/officeDocument/2006/relationships/hyperlink" Target="https://juku-escot.com/mathematics/" TargetMode="External"/><Relationship Id="rId58" Type="http://schemas.openxmlformats.org/officeDocument/2006/relationships/hyperlink" Target="https://juku-escot.com/kouza/j3-math/" TargetMode="External"/><Relationship Id="rId107" Type="http://schemas.openxmlformats.org/officeDocument/2006/relationships/hyperlink" Target="https://juku-escot.com/c_blogs/taisaku4/" TargetMode="External"/><Relationship Id="rId106" Type="http://schemas.openxmlformats.org/officeDocument/2006/relationships/hyperlink" Target="https://juku-escot.com/column/kobetsuigi_j/" TargetMode="External"/><Relationship Id="rId105" Type="http://schemas.openxmlformats.org/officeDocument/2006/relationships/hyperlink" Target="https://juku-escot.com/c_blogs/suugakuhito/" TargetMode="External"/><Relationship Id="rId104" Type="http://schemas.openxmlformats.org/officeDocument/2006/relationships/hyperlink" Target="https://juku-escot.com/column/zaigaku/" TargetMode="External"/><Relationship Id="rId109" Type="http://schemas.openxmlformats.org/officeDocument/2006/relationships/hyperlink" Target="https://juku-escot.com/column/yokunaibenkyouhou/" TargetMode="External"/><Relationship Id="rId108" Type="http://schemas.openxmlformats.org/officeDocument/2006/relationships/hyperlink" Target="https://juku-escot.com/column/syuutyuukankyou/" TargetMode="External"/><Relationship Id="rId103" Type="http://schemas.openxmlformats.org/officeDocument/2006/relationships/hyperlink" Target="https://juku-escot.com/c_blogs/yarukitaisyohou/" TargetMode="External"/><Relationship Id="rId102" Type="http://schemas.openxmlformats.org/officeDocument/2006/relationships/hyperlink" Target="https://juku-escot.com/c_blogs/jyukenbenkyouyaruki/" TargetMode="External"/><Relationship Id="rId101" Type="http://schemas.openxmlformats.org/officeDocument/2006/relationships/hyperlink" Target="https://juku-escot.com/c_blogs/jyukenyaruki/" TargetMode="External"/><Relationship Id="rId100" Type="http://schemas.openxmlformats.org/officeDocument/2006/relationships/hyperlink" Target="https://juku-escot.com/c_blogs/suugakubenkyouhou/" TargetMode="External"/><Relationship Id="rId129" Type="http://schemas.openxmlformats.org/officeDocument/2006/relationships/drawing" Target="../drawings/drawing9.xml"/><Relationship Id="rId128" Type="http://schemas.openxmlformats.org/officeDocument/2006/relationships/hyperlink" Target="https://juku-escot.com/top/" TargetMode="External"/><Relationship Id="rId127" Type="http://schemas.openxmlformats.org/officeDocument/2006/relationships/hyperlink" Target="https://juku-escot.com/sample-page/" TargetMode="External"/><Relationship Id="rId126" Type="http://schemas.openxmlformats.org/officeDocument/2006/relationships/hyperlink" Target="https://juku-escot.com/info/20210723/" TargetMode="External"/><Relationship Id="rId121" Type="http://schemas.openxmlformats.org/officeDocument/2006/relationships/hyperlink" Target="https://juku-escot.com/info/20200713/" TargetMode="External"/><Relationship Id="rId120" Type="http://schemas.openxmlformats.org/officeDocument/2006/relationships/hyperlink" Target="https://juku-escot.com/info/20200101/" TargetMode="External"/><Relationship Id="rId125" Type="http://schemas.openxmlformats.org/officeDocument/2006/relationships/hyperlink" Target="https://juku-escot.com/info/20210406/" TargetMode="External"/><Relationship Id="rId124" Type="http://schemas.openxmlformats.org/officeDocument/2006/relationships/hyperlink" Target="https://juku-escot.com/info/20210406-2/" TargetMode="External"/><Relationship Id="rId123" Type="http://schemas.openxmlformats.org/officeDocument/2006/relationships/hyperlink" Target="https://juku-escot.com/info/20210308/" TargetMode="External"/><Relationship Id="rId122" Type="http://schemas.openxmlformats.org/officeDocument/2006/relationships/hyperlink" Target="https://juku-escot.com/info/20201119/" TargetMode="External"/><Relationship Id="rId95" Type="http://schemas.openxmlformats.org/officeDocument/2006/relationships/hyperlink" Target="https://juku-escot.com/c_blogs/oyakokorogamae/" TargetMode="External"/><Relationship Id="rId94" Type="http://schemas.openxmlformats.org/officeDocument/2006/relationships/hyperlink" Target="https://juku-escot.com/column/waseda/" TargetMode="External"/><Relationship Id="rId97" Type="http://schemas.openxmlformats.org/officeDocument/2006/relationships/hyperlink" Target="https://juku-escot.com/c_blogs/riyuutotaisyohou/" TargetMode="External"/><Relationship Id="rId96" Type="http://schemas.openxmlformats.org/officeDocument/2006/relationships/hyperlink" Target="https://juku-escot.com/c_blogs/suugakudekinai/" TargetMode="External"/><Relationship Id="rId99" Type="http://schemas.openxmlformats.org/officeDocument/2006/relationships/hyperlink" Target="https://juku-escot.com/c_blogs/kashikoibenkyou/" TargetMode="External"/><Relationship Id="rId98" Type="http://schemas.openxmlformats.org/officeDocument/2006/relationships/hyperlink" Target="https://juku-escot.com/c_blogs/dousuru/" TargetMode="External"/><Relationship Id="rId91" Type="http://schemas.openxmlformats.org/officeDocument/2006/relationships/hyperlink" Target="https://juku-escot.com/timetable-e/" TargetMode="External"/><Relationship Id="rId90" Type="http://schemas.openxmlformats.org/officeDocument/2006/relationships/hyperlink" Target="https://juku-escot.com/timetable/" TargetMode="External"/><Relationship Id="rId93" Type="http://schemas.openxmlformats.org/officeDocument/2006/relationships/hyperlink" Target="https://juku-escot.com/timetable-m/" TargetMode="External"/><Relationship Id="rId92" Type="http://schemas.openxmlformats.org/officeDocument/2006/relationships/hyperlink" Target="https://juku-escot.com/timetable-j/" TargetMode="External"/><Relationship Id="rId118" Type="http://schemas.openxmlformats.org/officeDocument/2006/relationships/hyperlink" Target="https://juku-escot.com/info/20190620/" TargetMode="External"/><Relationship Id="rId117" Type="http://schemas.openxmlformats.org/officeDocument/2006/relationships/hyperlink" Target="https://juku-escot.com/info/190507-2/" TargetMode="External"/><Relationship Id="rId116" Type="http://schemas.openxmlformats.org/officeDocument/2006/relationships/hyperlink" Target="https://juku-escot.com/info/" TargetMode="External"/><Relationship Id="rId115" Type="http://schemas.openxmlformats.org/officeDocument/2006/relationships/hyperlink" Target="https://juku-escot.com/kouza/jyuken-japanese/" TargetMode="External"/><Relationship Id="rId119" Type="http://schemas.openxmlformats.org/officeDocument/2006/relationships/hyperlink" Target="https://juku-escot.com/info/2019winter/" TargetMode="External"/><Relationship Id="rId110" Type="http://schemas.openxmlformats.org/officeDocument/2006/relationships/hyperlink" Target="https://juku-escot.com/kouza/h1-english/" TargetMode="External"/><Relationship Id="rId114" Type="http://schemas.openxmlformats.org/officeDocument/2006/relationships/hyperlink" Target="https://juku-escot.com/kouza/j3-english/" TargetMode="External"/><Relationship Id="rId113" Type="http://schemas.openxmlformats.org/officeDocument/2006/relationships/hyperlink" Target="https://juku-escot.com/kouza/j2-math/" TargetMode="External"/><Relationship Id="rId112" Type="http://schemas.openxmlformats.org/officeDocument/2006/relationships/hyperlink" Target="https://juku-escot.com/kouza/jyuken-math/" TargetMode="External"/><Relationship Id="rId111" Type="http://schemas.openxmlformats.org/officeDocument/2006/relationships/hyperlink" Target="https://juku-escot.com/column/eike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jukureiwa.com/tips/alphabet/" TargetMode="External"/><Relationship Id="rId2" Type="http://schemas.openxmlformats.org/officeDocument/2006/relationships/hyperlink" Target="https://jukureiwa.com/tips/machigaeyasui/" TargetMode="External"/><Relationship Id="rId3" Type="http://schemas.openxmlformats.org/officeDocument/2006/relationships/hyperlink" Target="https://jukureiwa.com/tips/katakana/" TargetMode="External"/><Relationship Id="rId4" Type="http://schemas.openxmlformats.org/officeDocument/2006/relationships/hyperlink" Target="https://jukureiwa.com/" TargetMode="External"/><Relationship Id="rId9" Type="http://schemas.openxmlformats.org/officeDocument/2006/relationships/hyperlink" Target="https://jukureiwa.com/tips/syakaikinkyu/" TargetMode="External"/><Relationship Id="rId5" Type="http://schemas.openxmlformats.org/officeDocument/2006/relationships/hyperlink" Target="https://jukureiwa.com/tips/syakai-test-naoshi/" TargetMode="External"/><Relationship Id="rId6" Type="http://schemas.openxmlformats.org/officeDocument/2006/relationships/hyperlink" Target="https://jukureiwa.com/tips/uonzu/" TargetMode="External"/><Relationship Id="rId7" Type="http://schemas.openxmlformats.org/officeDocument/2006/relationships/hyperlink" Target="https://jukureiwa.com/tips/syakaianki/" TargetMode="External"/><Relationship Id="rId8" Type="http://schemas.openxmlformats.org/officeDocument/2006/relationships/hyperlink" Target="https://jukureiwa.com/tips/syakaibenkyou/" TargetMode="External"/><Relationship Id="rId40" Type="http://schemas.openxmlformats.org/officeDocument/2006/relationships/hyperlink" Target="https://jukureiwa.com/tips/syakai-note/" TargetMode="External"/><Relationship Id="rId42" Type="http://schemas.openxmlformats.org/officeDocument/2006/relationships/hyperlink" Target="https://jukureiwa.com/tips/syakai-kirai-start/" TargetMode="External"/><Relationship Id="rId41" Type="http://schemas.openxmlformats.org/officeDocument/2006/relationships/hyperlink" Target="https://jukureiwa.com/tips/tips-koumin-sanken/" TargetMode="External"/><Relationship Id="rId44" Type="http://schemas.openxmlformats.org/officeDocument/2006/relationships/hyperlink" Target="https://jukureiwa.com/tips/syakai-oboeru-tsukau/" TargetMode="External"/><Relationship Id="rId43" Type="http://schemas.openxmlformats.org/officeDocument/2006/relationships/hyperlink" Target="https://jukureiwa.com/tips/chikeizu/" TargetMode="External"/><Relationship Id="rId46" Type="http://schemas.openxmlformats.org/officeDocument/2006/relationships/hyperlink" Target="https://jukureiwa.com/tips/syakai-15min-routine/" TargetMode="External"/><Relationship Id="rId45" Type="http://schemas.openxmlformats.org/officeDocument/2006/relationships/hyperlink" Target="https://jukureiwa.com/tips/hakuchizu/" TargetMode="External"/><Relationship Id="rId48" Type="http://schemas.openxmlformats.org/officeDocument/2006/relationships/hyperlink" Target="https://jukureiwa.com/tips/syakai-hikidashi/" TargetMode="External"/><Relationship Id="rId47" Type="http://schemas.openxmlformats.org/officeDocument/2006/relationships/hyperlink" Target="https://jukureiwa.com/tips/syakai-seiri/" TargetMode="External"/><Relationship Id="rId49" Type="http://schemas.openxmlformats.org/officeDocument/2006/relationships/hyperlink" Target="https://jukureiwa.com/tips/rekishi-shiryou-mondai/" TargetMode="External"/><Relationship Id="rId31" Type="http://schemas.openxmlformats.org/officeDocument/2006/relationships/hyperlink" Target="https://jukureiwa.com/info/2019winter/" TargetMode="External"/><Relationship Id="rId30" Type="http://schemas.openxmlformats.org/officeDocument/2006/relationships/hyperlink" Target="https://jukureiwa.com/sample-page/" TargetMode="External"/><Relationship Id="rId33" Type="http://schemas.openxmlformats.org/officeDocument/2006/relationships/hyperlink" Target="https://jukureiwa.com/info/190507/" TargetMode="External"/><Relationship Id="rId32" Type="http://schemas.openxmlformats.org/officeDocument/2006/relationships/hyperlink" Target="https://jukureiwa.com/info/388/" TargetMode="External"/><Relationship Id="rId35" Type="http://schemas.openxmlformats.org/officeDocument/2006/relationships/hyperlink" Target="https://jukureiwa.com/info/20201022/" TargetMode="External"/><Relationship Id="rId34" Type="http://schemas.openxmlformats.org/officeDocument/2006/relationships/hyperlink" Target="https://jukureiwa.com/info/20190620/" TargetMode="External"/><Relationship Id="rId37" Type="http://schemas.openxmlformats.org/officeDocument/2006/relationships/hyperlink" Target="https://jukureiwa.com/tips/naaymi_hub/" TargetMode="External"/><Relationship Id="rId36" Type="http://schemas.openxmlformats.org/officeDocument/2006/relationships/hyperlink" Target="https://jukureiwa.com/info/20200713/" TargetMode="External"/><Relationship Id="rId39" Type="http://schemas.openxmlformats.org/officeDocument/2006/relationships/hyperlink" Target="https://jukureiwa.com/tips/tips-syakai-note/" TargetMode="External"/><Relationship Id="rId38" Type="http://schemas.openxmlformats.org/officeDocument/2006/relationships/hyperlink" Target="https://jukureiwa.com/tips/syakai-atomawashi/" TargetMode="External"/><Relationship Id="rId20" Type="http://schemas.openxmlformats.org/officeDocument/2006/relationships/hyperlink" Target="https://jukureiwa.com/tips/honka_koumin/" TargetMode="External"/><Relationship Id="rId22" Type="http://schemas.openxmlformats.org/officeDocument/2006/relationships/hyperlink" Target="https://jukureiwa.com/timetable/" TargetMode="External"/><Relationship Id="rId21" Type="http://schemas.openxmlformats.org/officeDocument/2006/relationships/hyperlink" Target="https://jukureiwa.com/access/" TargetMode="External"/><Relationship Id="rId24" Type="http://schemas.openxmlformats.org/officeDocument/2006/relationships/hyperlink" Target="https://jukureiwa.com/inquiry/" TargetMode="External"/><Relationship Id="rId23" Type="http://schemas.openxmlformats.org/officeDocument/2006/relationships/hyperlink" Target="https://jukureiwa.com/info/20200410/" TargetMode="External"/><Relationship Id="rId26" Type="http://schemas.openxmlformats.org/officeDocument/2006/relationships/hyperlink" Target="https://jukureiwa.com/info/20210406-2/" TargetMode="External"/><Relationship Id="rId25" Type="http://schemas.openxmlformats.org/officeDocument/2006/relationships/hyperlink" Target="https://jukureiwa.com/info/" TargetMode="External"/><Relationship Id="rId28" Type="http://schemas.openxmlformats.org/officeDocument/2006/relationships/hyperlink" Target="https://jukureiwa.com/info/20210406/" TargetMode="External"/><Relationship Id="rId27" Type="http://schemas.openxmlformats.org/officeDocument/2006/relationships/hyperlink" Target="https://jukureiwa.com/info/20210707/" TargetMode="External"/><Relationship Id="rId29" Type="http://schemas.openxmlformats.org/officeDocument/2006/relationships/hyperlink" Target="https://jukureiwa.com/info/20200101/" TargetMode="External"/><Relationship Id="rId11" Type="http://schemas.openxmlformats.org/officeDocument/2006/relationships/hyperlink" Target="https://jukureiwa.com/honka/" TargetMode="External"/><Relationship Id="rId10" Type="http://schemas.openxmlformats.org/officeDocument/2006/relationships/hyperlink" Target="https://jukureiwa.com/tanpatsu/" TargetMode="External"/><Relationship Id="rId13" Type="http://schemas.openxmlformats.org/officeDocument/2006/relationships/hyperlink" Target="https://jukureiwa.com/company/" TargetMode="External"/><Relationship Id="rId12" Type="http://schemas.openxmlformats.org/officeDocument/2006/relationships/hyperlink" Target="https://jukureiwa.com/kouza/" TargetMode="External"/><Relationship Id="rId15" Type="http://schemas.openxmlformats.org/officeDocument/2006/relationships/hyperlink" Target="https://jukureiwa.com/greeting/" TargetMode="External"/><Relationship Id="rId14" Type="http://schemas.openxmlformats.org/officeDocument/2006/relationships/hyperlink" Target="https://jukureiwa.com/tips/" TargetMode="External"/><Relationship Id="rId17" Type="http://schemas.openxmlformats.org/officeDocument/2006/relationships/hyperlink" Target="https://jukureiwa.com/info/20200204/" TargetMode="External"/><Relationship Id="rId16" Type="http://schemas.openxmlformats.org/officeDocument/2006/relationships/hyperlink" Target="https://jukureiwa.com/tips/syakai-sho6-april-plan/" TargetMode="External"/><Relationship Id="rId19" Type="http://schemas.openxmlformats.org/officeDocument/2006/relationships/hyperlink" Target="https://jukureiwa.com/info/20210723/" TargetMode="External"/><Relationship Id="rId18" Type="http://schemas.openxmlformats.org/officeDocument/2006/relationships/hyperlink" Target="https://jukureiwa.com/tips/rekishi-nagare/" TargetMode="External"/><Relationship Id="rId51" Type="http://schemas.openxmlformats.org/officeDocument/2006/relationships/hyperlink" Target="https://jukureiwa.com/tips/syakai-hanpuku-system/" TargetMode="External"/><Relationship Id="rId50" Type="http://schemas.openxmlformats.org/officeDocument/2006/relationships/hyperlink" Target="https://jukureiwa.com/tips/chiri-tsunage/" TargetMode="External"/><Relationship Id="rId53" Type="http://schemas.openxmlformats.org/officeDocument/2006/relationships/hyperlink" Target="https://jukureiwa.com/tips/rekishi-kamakura-muromachi/" TargetMode="External"/><Relationship Id="rId52" Type="http://schemas.openxmlformats.org/officeDocument/2006/relationships/hyperlink" Target="https://jukureiwa.com/tips/rekishi-meiji-ishin/" TargetMode="External"/><Relationship Id="rId55" Type="http://schemas.openxmlformats.org/officeDocument/2006/relationships/hyperlink" Target="https://jukureiwa.com/tips/honka_rekishi/" TargetMode="External"/><Relationship Id="rId54" Type="http://schemas.openxmlformats.org/officeDocument/2006/relationships/hyperlink" Target="https://jukureiwa.com/tips/chiri-kikou-nougyou/" TargetMode="External"/><Relationship Id="rId57" Type="http://schemas.openxmlformats.org/officeDocument/2006/relationships/drawing" Target="../drawings/drawing10.xml"/><Relationship Id="rId56" Type="http://schemas.openxmlformats.org/officeDocument/2006/relationships/hyperlink" Target="https://jukureiwa.com/tips/honka_chiri/"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koten-kakitsubata.jp/blog/zyodoushi/" TargetMode="External"/><Relationship Id="rId2" Type="http://schemas.openxmlformats.org/officeDocument/2006/relationships/hyperlink" Target="https://koten-kakitsubata.jp/blog/times-of-day/" TargetMode="External"/><Relationship Id="rId3" Type="http://schemas.openxmlformats.org/officeDocument/2006/relationships/hyperlink" Target="https://koten-kakitsubata.jp/blog/direction/" TargetMode="External"/><Relationship Id="rId4" Type="http://schemas.openxmlformats.org/officeDocument/2006/relationships/hyperlink" Target="https://koten-kakitsubata.jp/blog/jyodoushikatuyouhyou/" TargetMode="External"/><Relationship Id="rId9" Type="http://schemas.openxmlformats.org/officeDocument/2006/relationships/hyperlink" Target="https://koten-kakitsubata.jp/blog/imperial-palace/" TargetMode="External"/><Relationship Id="rId5" Type="http://schemas.openxmlformats.org/officeDocument/2006/relationships/hyperlink" Target="https://koten-kakitsubata.jp/blog/isemonogatari/" TargetMode="External"/><Relationship Id="rId6" Type="http://schemas.openxmlformats.org/officeDocument/2006/relationships/hyperlink" Target="https://koten-kakitsubata.jp/blog/taketorimonogatari/" TargetMode="External"/><Relationship Id="rId7" Type="http://schemas.openxmlformats.org/officeDocument/2006/relationships/hyperlink" Target="https://koten-kakitsubata.jp/blog/teikitesuto/" TargetMode="External"/><Relationship Id="rId8" Type="http://schemas.openxmlformats.org/officeDocument/2006/relationships/hyperlink" Target="https://koten-kakitsubata.jp/" TargetMode="External"/><Relationship Id="rId40" Type="http://schemas.openxmlformats.org/officeDocument/2006/relationships/drawing" Target="../drawings/drawing11.xml"/><Relationship Id="rId31" Type="http://schemas.openxmlformats.org/officeDocument/2006/relationships/hyperlink" Target="https://koten-kakitsubata.jp/timetable/" TargetMode="External"/><Relationship Id="rId30" Type="http://schemas.openxmlformats.org/officeDocument/2006/relationships/hyperlink" Target="https://koten-kakitsubata.jp/info/20210308/" TargetMode="External"/><Relationship Id="rId33" Type="http://schemas.openxmlformats.org/officeDocument/2006/relationships/hyperlink" Target="https://koten-kakitsubata.jp/info/20210707/" TargetMode="External"/><Relationship Id="rId32" Type="http://schemas.openxmlformats.org/officeDocument/2006/relationships/hyperlink" Target="https://koten-kakitsubata.jp/info/503/" TargetMode="External"/><Relationship Id="rId35" Type="http://schemas.openxmlformats.org/officeDocument/2006/relationships/hyperlink" Target="https://koten-kakitsubata.jp/info/20201119/" TargetMode="External"/><Relationship Id="rId34" Type="http://schemas.openxmlformats.org/officeDocument/2006/relationships/hyperlink" Target="https://koten-kakitsubata.jp/info/20210406/" TargetMode="External"/><Relationship Id="rId37" Type="http://schemas.openxmlformats.org/officeDocument/2006/relationships/hyperlink" Target="https://koten-kakitsubata.jp/info/20200713/" TargetMode="External"/><Relationship Id="rId36" Type="http://schemas.openxmlformats.org/officeDocument/2006/relationships/hyperlink" Target="https://koten-kakitsubata.jp/info/" TargetMode="External"/><Relationship Id="rId39" Type="http://schemas.openxmlformats.org/officeDocument/2006/relationships/hyperlink" Target="https://koten-kakitsubata.jp/info/2026/" TargetMode="External"/><Relationship Id="rId38" Type="http://schemas.openxmlformats.org/officeDocument/2006/relationships/hyperlink" Target="https://koten-kakitsubata.jp/info/20201022/" TargetMode="External"/><Relationship Id="rId20" Type="http://schemas.openxmlformats.org/officeDocument/2006/relationships/hyperlink" Target="https://koten-kakitsubata.jp/blog/" TargetMode="External"/><Relationship Id="rId22" Type="http://schemas.openxmlformats.org/officeDocument/2006/relationships/hyperlink" Target="https://koten-kakitsubata.jp/info/200201/" TargetMode="External"/><Relationship Id="rId21" Type="http://schemas.openxmlformats.org/officeDocument/2006/relationships/hyperlink" Target="https://koten-kakitsubata.jp/school-exam/" TargetMode="External"/><Relationship Id="rId24" Type="http://schemas.openxmlformats.org/officeDocument/2006/relationships/hyperlink" Target="https://koten-kakitsubata.jp/enter-exam/" TargetMode="External"/><Relationship Id="rId23" Type="http://schemas.openxmlformats.org/officeDocument/2006/relationships/hyperlink" Target="https://koten-kakitsubata.jp/kouza/" TargetMode="External"/><Relationship Id="rId26" Type="http://schemas.openxmlformats.org/officeDocument/2006/relationships/hyperlink" Target="https://koten-kakitsubata.jp/inquiry/" TargetMode="External"/><Relationship Id="rId25" Type="http://schemas.openxmlformats.org/officeDocument/2006/relationships/hyperlink" Target="https://koten-kakitsubata.jp/company/" TargetMode="External"/><Relationship Id="rId28" Type="http://schemas.openxmlformats.org/officeDocument/2006/relationships/hyperlink" Target="https://koten-kakitsubata.jp/info/20210406-2/" TargetMode="External"/><Relationship Id="rId27" Type="http://schemas.openxmlformats.org/officeDocument/2006/relationships/hyperlink" Target="https://koten-kakitsubata.jp/info/20210723/" TargetMode="External"/><Relationship Id="rId29" Type="http://schemas.openxmlformats.org/officeDocument/2006/relationships/hyperlink" Target="https://koten-kakitsubata.jp/info/20200410/" TargetMode="External"/><Relationship Id="rId11" Type="http://schemas.openxmlformats.org/officeDocument/2006/relationships/hyperlink" Target="https://koten-kakitsubata.jp/blog/kanbunnokotsu/" TargetMode="External"/><Relationship Id="rId10" Type="http://schemas.openxmlformats.org/officeDocument/2006/relationships/hyperlink" Target="https://koten-kakitsubata.jp/blog/utokyo/" TargetMode="External"/><Relationship Id="rId13" Type="http://schemas.openxmlformats.org/officeDocument/2006/relationships/hyperlink" Target="https://koten-kakitsubata.jp/blog/chinese-writing/" TargetMode="External"/><Relationship Id="rId12" Type="http://schemas.openxmlformats.org/officeDocument/2006/relationships/hyperlink" Target="https://koten-kakitsubata.jp/blog/seiryoden/" TargetMode="External"/><Relationship Id="rId15" Type="http://schemas.openxmlformats.org/officeDocument/2006/relationships/hyperlink" Target="https://koten-kakitsubata.jp/blog/daidairi/" TargetMode="External"/><Relationship Id="rId14" Type="http://schemas.openxmlformats.org/officeDocument/2006/relationships/hyperlink" Target="https://koten-kakitsubata.jp/blog/kansaigakuin2020/" TargetMode="External"/><Relationship Id="rId17" Type="http://schemas.openxmlformats.org/officeDocument/2006/relationships/hyperlink" Target="https://koten-kakitsubata.jp/access/" TargetMode="External"/><Relationship Id="rId16" Type="http://schemas.openxmlformats.org/officeDocument/2006/relationships/hyperlink" Target="https://koten-kakitsubata.jp/blog/kotentokui/" TargetMode="External"/><Relationship Id="rId19" Type="http://schemas.openxmlformats.org/officeDocument/2006/relationships/hyperlink" Target="https://koten-kakitsubata.jp/greeting/" TargetMode="External"/><Relationship Id="rId18" Type="http://schemas.openxmlformats.org/officeDocument/2006/relationships/hyperlink" Target="https://koten-kakitsubata.jp/spo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eigo-rewrite.com/column/stage1_lesson12-4/" TargetMode="External"/><Relationship Id="rId2" Type="http://schemas.openxmlformats.org/officeDocument/2006/relationships/hyperlink" Target="https://eigo-rewrite.com/column/stage2-lesson6-2/" TargetMode="External"/><Relationship Id="rId3" Type="http://schemas.openxmlformats.org/officeDocument/2006/relationships/hyperlink" Target="https://eigo-rewrite.com/toritsu/" TargetMode="External"/><Relationship Id="rId4" Type="http://schemas.openxmlformats.org/officeDocument/2006/relationships/hyperlink" Target="https://eigo-rewrite.com/column/stage1_lesson8-2/" TargetMode="External"/><Relationship Id="rId9" Type="http://schemas.openxmlformats.org/officeDocument/2006/relationships/hyperlink" Target="https://eigo-rewrite.com/column/stage1_lesson10-1/" TargetMode="External"/><Relationship Id="rId140" Type="http://schemas.openxmlformats.org/officeDocument/2006/relationships/drawing" Target="../drawings/drawing12.xml"/><Relationship Id="rId5" Type="http://schemas.openxmlformats.org/officeDocument/2006/relationships/hyperlink" Target="https://eigo-rewrite.com/column/stage2-lesson10-3/" TargetMode="External"/><Relationship Id="rId6" Type="http://schemas.openxmlformats.org/officeDocument/2006/relationships/hyperlink" Target="https://eigo-rewrite.com/column/stage2-lesson4-3/" TargetMode="External"/><Relationship Id="rId7" Type="http://schemas.openxmlformats.org/officeDocument/2006/relationships/hyperlink" Target="https://eigo-rewrite.com/column/stage3-lesson2-3/" TargetMode="External"/><Relationship Id="rId8" Type="http://schemas.openxmlformats.org/officeDocument/2006/relationships/hyperlink" Target="https://eigo-rewrite.com/column/stage1_lesson9-1/" TargetMode="External"/><Relationship Id="rId139" Type="http://schemas.openxmlformats.org/officeDocument/2006/relationships/hyperlink" Target="https://eigo-rewrite.com/column/stage1_lesson3-2/" TargetMode="External"/><Relationship Id="rId138" Type="http://schemas.openxmlformats.org/officeDocument/2006/relationships/hyperlink" Target="https://eigo-rewrite.com/column/stage3-lesson8-1/" TargetMode="External"/><Relationship Id="rId137" Type="http://schemas.openxmlformats.org/officeDocument/2006/relationships/hyperlink" Target="https://eigo-rewrite.com/column/hub_stage1/" TargetMode="External"/><Relationship Id="rId132" Type="http://schemas.openxmlformats.org/officeDocument/2006/relationships/hyperlink" Target="https://eigo-rewrite.com/column/eitango/" TargetMode="External"/><Relationship Id="rId131" Type="http://schemas.openxmlformats.org/officeDocument/2006/relationships/hyperlink" Target="https://eigo-rewrite.com/column/schedule/" TargetMode="External"/><Relationship Id="rId130" Type="http://schemas.openxmlformats.org/officeDocument/2006/relationships/hyperlink" Target="https://eigo-rewrite.com/info/20201022/" TargetMode="External"/><Relationship Id="rId136" Type="http://schemas.openxmlformats.org/officeDocument/2006/relationships/hyperlink" Target="https://eigo-rewrite.com/column/hub_stage2/" TargetMode="External"/><Relationship Id="rId135" Type="http://schemas.openxmlformats.org/officeDocument/2006/relationships/hyperlink" Target="https://eigo-rewrite.com/column/stage3/" TargetMode="External"/><Relationship Id="rId134" Type="http://schemas.openxmlformats.org/officeDocument/2006/relationships/hyperlink" Target="https://eigo-rewrite.com/column/eigobenkyouhou/" TargetMode="External"/><Relationship Id="rId133" Type="http://schemas.openxmlformats.org/officeDocument/2006/relationships/hyperlink" Target="https://eigo-rewrite.com/column/listening/" TargetMode="External"/><Relationship Id="rId40" Type="http://schemas.openxmlformats.org/officeDocument/2006/relationships/hyperlink" Target="https://eigo-rewrite.com/column/stage1_lesson11-3/" TargetMode="External"/><Relationship Id="rId42" Type="http://schemas.openxmlformats.org/officeDocument/2006/relationships/hyperlink" Target="https://eigo-rewrite.com/column/j-eisakubun/" TargetMode="External"/><Relationship Id="rId41" Type="http://schemas.openxmlformats.org/officeDocument/2006/relationships/hyperlink" Target="https://eigo-rewrite.com/column/stage3-lesson4-1/" TargetMode="External"/><Relationship Id="rId44" Type="http://schemas.openxmlformats.org/officeDocument/2006/relationships/hyperlink" Target="https://eigo-rewrite.com/column/stage1_lesson12-3/" TargetMode="External"/><Relationship Id="rId43" Type="http://schemas.openxmlformats.org/officeDocument/2006/relationships/hyperlink" Target="https://eigo-rewrite.com/column/stage1_lesson6-2/" TargetMode="External"/><Relationship Id="rId46" Type="http://schemas.openxmlformats.org/officeDocument/2006/relationships/hyperlink" Target="https://eigo-rewrite.com/column/stage3-lesson3-3/" TargetMode="External"/><Relationship Id="rId45" Type="http://schemas.openxmlformats.org/officeDocument/2006/relationships/hyperlink" Target="https://eigo-rewrite.com/column/stage2-lesson7-3/" TargetMode="External"/><Relationship Id="rId48" Type="http://schemas.openxmlformats.org/officeDocument/2006/relationships/hyperlink" Target="https://eigo-rewrite.com/column/stage3-lesson7-3/" TargetMode="External"/><Relationship Id="rId47" Type="http://schemas.openxmlformats.org/officeDocument/2006/relationships/hyperlink" Target="https://eigo-rewrite.com/column/stage3-lesson4-2/" TargetMode="External"/><Relationship Id="rId49" Type="http://schemas.openxmlformats.org/officeDocument/2006/relationships/hyperlink" Target="https://eigo-rewrite.com/column/stage1_lesson10-4/" TargetMode="External"/><Relationship Id="rId31" Type="http://schemas.openxmlformats.org/officeDocument/2006/relationships/hyperlink" Target="https://eigo-rewrite.com/column/stage2-lesson12-1/" TargetMode="External"/><Relationship Id="rId30" Type="http://schemas.openxmlformats.org/officeDocument/2006/relationships/hyperlink" Target="https://eigo-rewrite.com/" TargetMode="External"/><Relationship Id="rId33" Type="http://schemas.openxmlformats.org/officeDocument/2006/relationships/hyperlink" Target="https://eigo-rewrite.com/column/stage2-lesson6-3/" TargetMode="External"/><Relationship Id="rId32" Type="http://schemas.openxmlformats.org/officeDocument/2006/relationships/hyperlink" Target="https://eigo-rewrite.com/profile/" TargetMode="External"/><Relationship Id="rId35" Type="http://schemas.openxmlformats.org/officeDocument/2006/relationships/hyperlink" Target="https://eigo-rewrite.com/column/stage3-lesson3-4/" TargetMode="External"/><Relationship Id="rId34" Type="http://schemas.openxmlformats.org/officeDocument/2006/relationships/hyperlink" Target="https://eigo-rewrite.com/column/stage2-lesson3-3/" TargetMode="External"/><Relationship Id="rId37" Type="http://schemas.openxmlformats.org/officeDocument/2006/relationships/hyperlink" Target="https://eigo-rewrite.com/column/stage1_lesson5-2-2/" TargetMode="External"/><Relationship Id="rId36" Type="http://schemas.openxmlformats.org/officeDocument/2006/relationships/hyperlink" Target="https://eigo-rewrite.com/column/stage2-lesson7-2/" TargetMode="External"/><Relationship Id="rId39" Type="http://schemas.openxmlformats.org/officeDocument/2006/relationships/hyperlink" Target="https://eigo-rewrite.com/column/stage1_lesson4-1/" TargetMode="External"/><Relationship Id="rId38" Type="http://schemas.openxmlformats.org/officeDocument/2006/relationships/hyperlink" Target="https://eigo-rewrite.com/column/stage1_lesson9-3/" TargetMode="External"/><Relationship Id="rId20" Type="http://schemas.openxmlformats.org/officeDocument/2006/relationships/hyperlink" Target="https://eigo-rewrite.com/column/stage2-lesson6-1/" TargetMode="External"/><Relationship Id="rId22" Type="http://schemas.openxmlformats.org/officeDocument/2006/relationships/hyperlink" Target="https://eigo-rewrite.com/column/stage1_lesson10-2/" TargetMode="External"/><Relationship Id="rId21" Type="http://schemas.openxmlformats.org/officeDocument/2006/relationships/hyperlink" Target="https://eigo-rewrite.com/column/stage1/" TargetMode="External"/><Relationship Id="rId24" Type="http://schemas.openxmlformats.org/officeDocument/2006/relationships/hyperlink" Target="https://eigo-rewrite.com/column/stage1_lesson7-2/" TargetMode="External"/><Relationship Id="rId23" Type="http://schemas.openxmlformats.org/officeDocument/2006/relationships/hyperlink" Target="https://eigo-rewrite.com/column/stage3-lesson2-2/" TargetMode="External"/><Relationship Id="rId26" Type="http://schemas.openxmlformats.org/officeDocument/2006/relationships/hyperlink" Target="https://eigo-rewrite.com/column/stage2-lesson10-1/" TargetMode="External"/><Relationship Id="rId25" Type="http://schemas.openxmlformats.org/officeDocument/2006/relationships/hyperlink" Target="https://eigo-rewrite.com/column/stage1_lesson4-3/" TargetMode="External"/><Relationship Id="rId28" Type="http://schemas.openxmlformats.org/officeDocument/2006/relationships/hyperlink" Target="https://eigo-rewrite.com/column/stage2-lesson7-1/" TargetMode="External"/><Relationship Id="rId27" Type="http://schemas.openxmlformats.org/officeDocument/2006/relationships/hyperlink" Target="https://eigo-rewrite.com/column/stage2-lesson8-3/" TargetMode="External"/><Relationship Id="rId29" Type="http://schemas.openxmlformats.org/officeDocument/2006/relationships/hyperlink" Target="https://eigo-rewrite.com/column/stage1_lesson8-3/" TargetMode="External"/><Relationship Id="rId11" Type="http://schemas.openxmlformats.org/officeDocument/2006/relationships/hyperlink" Target="https://eigo-rewrite.com/column/stage1_lesson7-1/" TargetMode="External"/><Relationship Id="rId10" Type="http://schemas.openxmlformats.org/officeDocument/2006/relationships/hyperlink" Target="https://eigo-rewrite.com/column/stage2-lesson11-1/" TargetMode="External"/><Relationship Id="rId13" Type="http://schemas.openxmlformats.org/officeDocument/2006/relationships/hyperlink" Target="https://eigo-rewrite.com/column/stage2-lesson11-3/" TargetMode="External"/><Relationship Id="rId12" Type="http://schemas.openxmlformats.org/officeDocument/2006/relationships/hyperlink" Target="https://eigo-rewrite.com/column/stage3-lesson7-2/" TargetMode="External"/><Relationship Id="rId15" Type="http://schemas.openxmlformats.org/officeDocument/2006/relationships/hyperlink" Target="https://eigo-rewrite.com/column/stage1_lesson9-2/" TargetMode="External"/><Relationship Id="rId14" Type="http://schemas.openxmlformats.org/officeDocument/2006/relationships/hyperlink" Target="https://eigo-rewrite.com/column/stage2-lesson9-2/" TargetMode="External"/><Relationship Id="rId17" Type="http://schemas.openxmlformats.org/officeDocument/2006/relationships/hyperlink" Target="https://eigo-rewrite.com/column/stage1_lesson5-1/" TargetMode="External"/><Relationship Id="rId16" Type="http://schemas.openxmlformats.org/officeDocument/2006/relationships/hyperlink" Target="https://eigo-rewrite.com/column/stage2-lesson8-2/" TargetMode="External"/><Relationship Id="rId19" Type="http://schemas.openxmlformats.org/officeDocument/2006/relationships/hyperlink" Target="https://eigo-rewrite.com/column/stage2-lesson12-2/" TargetMode="External"/><Relationship Id="rId18" Type="http://schemas.openxmlformats.org/officeDocument/2006/relationships/hyperlink" Target="https://eigo-rewrite.com/column/stage2-lesson9-1/" TargetMode="External"/><Relationship Id="rId84" Type="http://schemas.openxmlformats.org/officeDocument/2006/relationships/hyperlink" Target="https://eigo-rewrite.com/column/stage1_lesson7-3/" TargetMode="External"/><Relationship Id="rId83" Type="http://schemas.openxmlformats.org/officeDocument/2006/relationships/hyperlink" Target="https://eigo-rewrite.com/column/" TargetMode="External"/><Relationship Id="rId86" Type="http://schemas.openxmlformats.org/officeDocument/2006/relationships/hyperlink" Target="https://eigo-rewrite.com/column/stage1-2-2/" TargetMode="External"/><Relationship Id="rId85" Type="http://schemas.openxmlformats.org/officeDocument/2006/relationships/hyperlink" Target="https://eigo-rewrite.com/column/stage2-lesson7-4/" TargetMode="External"/><Relationship Id="rId88" Type="http://schemas.openxmlformats.org/officeDocument/2006/relationships/hyperlink" Target="https://eigo-rewrite.com/column/stage2_lesson1-1/" TargetMode="External"/><Relationship Id="rId87" Type="http://schemas.openxmlformats.org/officeDocument/2006/relationships/hyperlink" Target="https://eigo-rewrite.com/column/stage2-lesson2-1/" TargetMode="External"/><Relationship Id="rId89" Type="http://schemas.openxmlformats.org/officeDocument/2006/relationships/hyperlink" Target="https://eigo-rewrite.com/column/stage2-lesson3-1/" TargetMode="External"/><Relationship Id="rId80" Type="http://schemas.openxmlformats.org/officeDocument/2006/relationships/hyperlink" Target="https://eigo-rewrite.com/column/stage1-1-2/" TargetMode="External"/><Relationship Id="rId82" Type="http://schemas.openxmlformats.org/officeDocument/2006/relationships/hyperlink" Target="https://eigo-rewrite.com/column/stage2-lesson3-2/" TargetMode="External"/><Relationship Id="rId81" Type="http://schemas.openxmlformats.org/officeDocument/2006/relationships/hyperlink" Target="https://eigo-rewrite.com/column/stage2-lesson2-2/" TargetMode="External"/><Relationship Id="rId73" Type="http://schemas.openxmlformats.org/officeDocument/2006/relationships/hyperlink" Target="https://eigo-rewrite.com/column/stage2-lesson12-3/" TargetMode="External"/><Relationship Id="rId72" Type="http://schemas.openxmlformats.org/officeDocument/2006/relationships/hyperlink" Target="https://eigo-rewrite.com/column/stage1_lesson10-3/" TargetMode="External"/><Relationship Id="rId75" Type="http://schemas.openxmlformats.org/officeDocument/2006/relationships/hyperlink" Target="https://eigo-rewrite.com/column/dokkai/" TargetMode="External"/><Relationship Id="rId74" Type="http://schemas.openxmlformats.org/officeDocument/2006/relationships/hyperlink" Target="https://eigo-rewrite.com/column/stage3-lesson2-1/" TargetMode="External"/><Relationship Id="rId77" Type="http://schemas.openxmlformats.org/officeDocument/2006/relationships/hyperlink" Target="https://eigo-rewrite.com/column/new-treasure-stage1-lesson1-1/" TargetMode="External"/><Relationship Id="rId76" Type="http://schemas.openxmlformats.org/officeDocument/2006/relationships/hyperlink" Target="https://eigo-rewrite.com/column/stage1_lesson4-2/" TargetMode="External"/><Relationship Id="rId79" Type="http://schemas.openxmlformats.org/officeDocument/2006/relationships/hyperlink" Target="https://eigo-rewrite.com/column/stage3-lesson5-1/" TargetMode="External"/><Relationship Id="rId78" Type="http://schemas.openxmlformats.org/officeDocument/2006/relationships/hyperlink" Target="https://eigo-rewrite.com/column/stage1_lesson11-2/" TargetMode="External"/><Relationship Id="rId71" Type="http://schemas.openxmlformats.org/officeDocument/2006/relationships/hyperlink" Target="https://eigo-rewrite.com/column/stage1_lesson8-1/" TargetMode="External"/><Relationship Id="rId70" Type="http://schemas.openxmlformats.org/officeDocument/2006/relationships/hyperlink" Target="https://eigo-rewrite.com/column/stage1_lesson5-2/" TargetMode="External"/><Relationship Id="rId62" Type="http://schemas.openxmlformats.org/officeDocument/2006/relationships/hyperlink" Target="https://eigo-rewrite.com/column/stage3-lesson5-3/" TargetMode="External"/><Relationship Id="rId61" Type="http://schemas.openxmlformats.org/officeDocument/2006/relationships/hyperlink" Target="https://eigo-rewrite.com/column/dokkairyoku/" TargetMode="External"/><Relationship Id="rId64" Type="http://schemas.openxmlformats.org/officeDocument/2006/relationships/hyperlink" Target="https://eigo-rewrite.com/column/stage2-lesson5-2/" TargetMode="External"/><Relationship Id="rId63" Type="http://schemas.openxmlformats.org/officeDocument/2006/relationships/hyperlink" Target="https://eigo-rewrite.com/column/stage2-lesson11-2/" TargetMode="External"/><Relationship Id="rId66" Type="http://schemas.openxmlformats.org/officeDocument/2006/relationships/hyperlink" Target="https://eigo-rewrite.com/column/stage2-lesson4-1/" TargetMode="External"/><Relationship Id="rId65" Type="http://schemas.openxmlformats.org/officeDocument/2006/relationships/hyperlink" Target="https://eigo-rewrite.com/column/stage2_lesson1-2/" TargetMode="External"/><Relationship Id="rId68" Type="http://schemas.openxmlformats.org/officeDocument/2006/relationships/hyperlink" Target="https://eigo-rewrite.com/column/stage1-2-2-2/" TargetMode="External"/><Relationship Id="rId67" Type="http://schemas.openxmlformats.org/officeDocument/2006/relationships/hyperlink" Target="https://eigo-rewrite.com/column/stage3-lesson7-1/" TargetMode="External"/><Relationship Id="rId60" Type="http://schemas.openxmlformats.org/officeDocument/2006/relationships/hyperlink" Target="https://eigo-rewrite.com/column/stage2-lesson10-2/" TargetMode="External"/><Relationship Id="rId69" Type="http://schemas.openxmlformats.org/officeDocument/2006/relationships/hyperlink" Target="https://eigo-rewrite.com/column/stage3-lesson1-2/" TargetMode="External"/><Relationship Id="rId51" Type="http://schemas.openxmlformats.org/officeDocument/2006/relationships/hyperlink" Target="https://eigo-rewrite.com/column/stage1_lesson12-1/" TargetMode="External"/><Relationship Id="rId50" Type="http://schemas.openxmlformats.org/officeDocument/2006/relationships/hyperlink" Target="https://eigo-rewrite.com/column/stage1_lesson11-1/" TargetMode="External"/><Relationship Id="rId53" Type="http://schemas.openxmlformats.org/officeDocument/2006/relationships/hyperlink" Target="https://eigo-rewrite.com/column/stage3-lesson3-1/" TargetMode="External"/><Relationship Id="rId52" Type="http://schemas.openxmlformats.org/officeDocument/2006/relationships/hyperlink" Target="https://eigo-rewrite.com/column/reibun/" TargetMode="External"/><Relationship Id="rId55" Type="http://schemas.openxmlformats.org/officeDocument/2006/relationships/hyperlink" Target="https://eigo-rewrite.com/column/stage1_lesson12-2/" TargetMode="External"/><Relationship Id="rId54" Type="http://schemas.openxmlformats.org/officeDocument/2006/relationships/hyperlink" Target="https://eigo-rewrite.com/column/stage2-lesson1-3/" TargetMode="External"/><Relationship Id="rId57" Type="http://schemas.openxmlformats.org/officeDocument/2006/relationships/hyperlink" Target="https://eigo-rewrite.com/column/stage1_lesson6-3/" TargetMode="External"/><Relationship Id="rId56" Type="http://schemas.openxmlformats.org/officeDocument/2006/relationships/hyperlink" Target="https://eigo-rewrite.com/column/stage2-lesson8-1/" TargetMode="External"/><Relationship Id="rId59" Type="http://schemas.openxmlformats.org/officeDocument/2006/relationships/hyperlink" Target="https://eigo-rewrite.com/column/stage3-lesson3-2/" TargetMode="External"/><Relationship Id="rId58" Type="http://schemas.openxmlformats.org/officeDocument/2006/relationships/hyperlink" Target="https://eigo-rewrite.com/column/stage1_lesson6-1/" TargetMode="External"/><Relationship Id="rId107" Type="http://schemas.openxmlformats.org/officeDocument/2006/relationships/hyperlink" Target="https://eigo-rewrite.com/column/stage3-lesson8-3/" TargetMode="External"/><Relationship Id="rId106" Type="http://schemas.openxmlformats.org/officeDocument/2006/relationships/hyperlink" Target="https://eigo-rewrite.com/column/stage3-lesson8-2/" TargetMode="External"/><Relationship Id="rId105" Type="http://schemas.openxmlformats.org/officeDocument/2006/relationships/hyperlink" Target="https://eigo-rewrite.com/dokkaikyouka/" TargetMode="External"/><Relationship Id="rId104" Type="http://schemas.openxmlformats.org/officeDocument/2006/relationships/hyperlink" Target="https://eigo-rewrite.com/vocabulary/" TargetMode="External"/><Relationship Id="rId109" Type="http://schemas.openxmlformats.org/officeDocument/2006/relationships/hyperlink" Target="https://eigo-rewrite.com/live/" TargetMode="External"/><Relationship Id="rId108" Type="http://schemas.openxmlformats.org/officeDocument/2006/relationships/hyperlink" Target="https://eigo-rewrite.com/column/stage2soukatu/" TargetMode="External"/><Relationship Id="rId103" Type="http://schemas.openxmlformats.org/officeDocument/2006/relationships/hyperlink" Target="https://eigo-rewrite.com/listening/" TargetMode="External"/><Relationship Id="rId102" Type="http://schemas.openxmlformats.org/officeDocument/2006/relationships/hyperlink" Target="https://eigo-rewrite.com/column/stage3-lesson1-3/" TargetMode="External"/><Relationship Id="rId101" Type="http://schemas.openxmlformats.org/officeDocument/2006/relationships/hyperlink" Target="https://eigo-rewrite.com/column/stage2-lesson2-3/" TargetMode="External"/><Relationship Id="rId100" Type="http://schemas.openxmlformats.org/officeDocument/2006/relationships/hyperlink" Target="https://eigo-rewrite.com/column/stage3-lesson6-1/" TargetMode="External"/><Relationship Id="rId129" Type="http://schemas.openxmlformats.org/officeDocument/2006/relationships/hyperlink" Target="https://eigo-rewrite.com/info/20210707/" TargetMode="External"/><Relationship Id="rId128" Type="http://schemas.openxmlformats.org/officeDocument/2006/relationships/hyperlink" Target="https://eigo-rewrite.com/info/20210308/" TargetMode="External"/><Relationship Id="rId127" Type="http://schemas.openxmlformats.org/officeDocument/2006/relationships/hyperlink" Target="https://eigo-rewrite.com/info/20201119/" TargetMode="External"/><Relationship Id="rId126" Type="http://schemas.openxmlformats.org/officeDocument/2006/relationships/hyperlink" Target="https://eigo-rewrite.com/info/20200601/" TargetMode="External"/><Relationship Id="rId121" Type="http://schemas.openxmlformats.org/officeDocument/2006/relationships/hyperlink" Target="https://eigo-rewrite.com/column/stage3-lesson5-2/" TargetMode="External"/><Relationship Id="rId120" Type="http://schemas.openxmlformats.org/officeDocument/2006/relationships/hyperlink" Target="https://eigo-rewrite.com/info/20210723/" TargetMode="External"/><Relationship Id="rId125" Type="http://schemas.openxmlformats.org/officeDocument/2006/relationships/hyperlink" Target="https://eigo-rewrite.com/info/20210406/" TargetMode="External"/><Relationship Id="rId124" Type="http://schemas.openxmlformats.org/officeDocument/2006/relationships/hyperlink" Target="https://eigo-rewrite.com/info/" TargetMode="External"/><Relationship Id="rId123" Type="http://schemas.openxmlformats.org/officeDocument/2006/relationships/hyperlink" Target="https://eigo-rewrite.com/column/nigateup/" TargetMode="External"/><Relationship Id="rId122" Type="http://schemas.openxmlformats.org/officeDocument/2006/relationships/hyperlink" Target="https://eigo-rewrite.com/column/torikumimae/" TargetMode="External"/><Relationship Id="rId95" Type="http://schemas.openxmlformats.org/officeDocument/2006/relationships/hyperlink" Target="https://eigo-rewrite.com/column/zyugyou/" TargetMode="External"/><Relationship Id="rId94" Type="http://schemas.openxmlformats.org/officeDocument/2006/relationships/hyperlink" Target="https://eigo-rewrite.com/column/bunpou/" TargetMode="External"/><Relationship Id="rId97" Type="http://schemas.openxmlformats.org/officeDocument/2006/relationships/hyperlink" Target="https://eigo-rewrite.com/column/stage1-2-1/" TargetMode="External"/><Relationship Id="rId96" Type="http://schemas.openxmlformats.org/officeDocument/2006/relationships/hyperlink" Target="https://eigo-rewrite.com/column/stage1-3-1/" TargetMode="External"/><Relationship Id="rId99" Type="http://schemas.openxmlformats.org/officeDocument/2006/relationships/hyperlink" Target="https://eigo-rewrite.com/column/eibunpou/" TargetMode="External"/><Relationship Id="rId98" Type="http://schemas.openxmlformats.org/officeDocument/2006/relationships/hyperlink" Target="https://eigo-rewrite.com/column/kakomon/" TargetMode="External"/><Relationship Id="rId91" Type="http://schemas.openxmlformats.org/officeDocument/2006/relationships/hyperlink" Target="https://eigo-rewrite.com/column/sankousyo/" TargetMode="External"/><Relationship Id="rId90" Type="http://schemas.openxmlformats.org/officeDocument/2006/relationships/hyperlink" Target="https://eigo-rewrite.com/kobetsueisakubun/" TargetMode="External"/><Relationship Id="rId93" Type="http://schemas.openxmlformats.org/officeDocument/2006/relationships/hyperlink" Target="https://eigo-rewrite.com/column/stage2-lesson5-1/" TargetMode="External"/><Relationship Id="rId92" Type="http://schemas.openxmlformats.org/officeDocument/2006/relationships/hyperlink" Target="https://eigo-rewrite.com/column/stage2-lesson4-2/" TargetMode="External"/><Relationship Id="rId118" Type="http://schemas.openxmlformats.org/officeDocument/2006/relationships/hyperlink" Target="https://eigo-rewrite.com/column/stage3-lesson6-3/" TargetMode="External"/><Relationship Id="rId117" Type="http://schemas.openxmlformats.org/officeDocument/2006/relationships/hyperlink" Target="https://eigo-rewrite.com/column/tensuu/" TargetMode="External"/><Relationship Id="rId116" Type="http://schemas.openxmlformats.org/officeDocument/2006/relationships/hyperlink" Target="https://eigo-rewrite.com/column/eigotest/" TargetMode="External"/><Relationship Id="rId115" Type="http://schemas.openxmlformats.org/officeDocument/2006/relationships/hyperlink" Target="https://eigo-rewrite.com/column/eisakubunmae2/" TargetMode="External"/><Relationship Id="rId119" Type="http://schemas.openxmlformats.org/officeDocument/2006/relationships/hyperlink" Target="https://eigo-rewrite.com/contact/" TargetMode="External"/><Relationship Id="rId110" Type="http://schemas.openxmlformats.org/officeDocument/2006/relationships/hyperlink" Target="https://eigo-rewrite.com/concept/" TargetMode="External"/><Relationship Id="rId114" Type="http://schemas.openxmlformats.org/officeDocument/2006/relationships/hyperlink" Target="https://eigo-rewrite.com/corporate_data/" TargetMode="External"/><Relationship Id="rId113" Type="http://schemas.openxmlformats.org/officeDocument/2006/relationships/hyperlink" Target="https://eigo-rewrite.com/access/" TargetMode="External"/><Relationship Id="rId112" Type="http://schemas.openxmlformats.org/officeDocument/2006/relationships/hyperlink" Target="https://eigo-rewrite.com/column/stage3-lesson6-2/" TargetMode="External"/><Relationship Id="rId111" Type="http://schemas.openxmlformats.org/officeDocument/2006/relationships/hyperlink" Target="https://eigo-rewrite.com/bunpou/"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eng-support.com/column/progress-book1-lesson11-2/" TargetMode="External"/><Relationship Id="rId2" Type="http://schemas.openxmlformats.org/officeDocument/2006/relationships/hyperlink" Target="https://eng-support.com/column/progress-book1-lesson10-3/" TargetMode="External"/><Relationship Id="rId3" Type="http://schemas.openxmlformats.org/officeDocument/2006/relationships/hyperlink" Target="https://eng-support.com/column/progressbook1-6-3/" TargetMode="External"/><Relationship Id="rId4" Type="http://schemas.openxmlformats.org/officeDocument/2006/relationships/hyperlink" Target="https://eng-support.com/column/eigonokiso1/" TargetMode="External"/><Relationship Id="rId9" Type="http://schemas.openxmlformats.org/officeDocument/2006/relationships/hyperlink" Target="https://eng-support.com/column/progress-book1-lesson14-2/" TargetMode="External"/><Relationship Id="rId5" Type="http://schemas.openxmlformats.org/officeDocument/2006/relationships/hyperlink" Target="https://eng-support.com/column/book2-lesson1-scene2/" TargetMode="External"/><Relationship Id="rId6" Type="http://schemas.openxmlformats.org/officeDocument/2006/relationships/hyperlink" Target="https://eng-support.com/column/progress-book1-lesson17-3/" TargetMode="External"/><Relationship Id="rId7" Type="http://schemas.openxmlformats.org/officeDocument/2006/relationships/hyperlink" Target="https://eng-support.com/column/progress-book1-lesson18-2/" TargetMode="External"/><Relationship Id="rId8" Type="http://schemas.openxmlformats.org/officeDocument/2006/relationships/hyperlink" Target="https://eng-support.com/column/progressinenglish21/" TargetMode="External"/><Relationship Id="rId40" Type="http://schemas.openxmlformats.org/officeDocument/2006/relationships/hyperlink" Target="https://eng-support.com/column/book2-lesson14-scene1/" TargetMode="External"/><Relationship Id="rId42" Type="http://schemas.openxmlformats.org/officeDocument/2006/relationships/hyperlink" Target="https://eng-support.com/column/book2-lesson6-scene1/" TargetMode="External"/><Relationship Id="rId41" Type="http://schemas.openxmlformats.org/officeDocument/2006/relationships/hyperlink" Target="https://eng-support.com/column/book2-lesson4-scene3/" TargetMode="External"/><Relationship Id="rId44" Type="http://schemas.openxmlformats.org/officeDocument/2006/relationships/hyperlink" Target="https://eng-support.com/column/progressbook1-5-1/" TargetMode="External"/><Relationship Id="rId43" Type="http://schemas.openxmlformats.org/officeDocument/2006/relationships/hyperlink" Target="https://eng-support.com/column/progress-book1-lesson18-3/" TargetMode="External"/><Relationship Id="rId46" Type="http://schemas.openxmlformats.org/officeDocument/2006/relationships/hyperlink" Target="https://eng-support.com/column/book2-lesson10-scene2/" TargetMode="External"/><Relationship Id="rId45" Type="http://schemas.openxmlformats.org/officeDocument/2006/relationships/hyperlink" Target="https://eng-support.com/column/progress-book1-lesson9-3/" TargetMode="External"/><Relationship Id="rId48" Type="http://schemas.openxmlformats.org/officeDocument/2006/relationships/hyperlink" Target="https://eng-support.com/column/progress-book1-lesson20-4/" TargetMode="External"/><Relationship Id="rId47" Type="http://schemas.openxmlformats.org/officeDocument/2006/relationships/hyperlink" Target="https://eng-support.com/column/book2-lesson11-scene3/" TargetMode="External"/><Relationship Id="rId49" Type="http://schemas.openxmlformats.org/officeDocument/2006/relationships/hyperlink" Target="https://eng-support.com/column/book2-lesson12-scene1/" TargetMode="External"/><Relationship Id="rId31" Type="http://schemas.openxmlformats.org/officeDocument/2006/relationships/hyperlink" Target="https://eng-support.com/column/progressbook1-5-3/" TargetMode="External"/><Relationship Id="rId30" Type="http://schemas.openxmlformats.org/officeDocument/2006/relationships/hyperlink" Target="https://eng-support.com/column/book1-lesson19-scene3/" TargetMode="External"/><Relationship Id="rId33" Type="http://schemas.openxmlformats.org/officeDocument/2006/relationships/hyperlink" Target="https://eng-support.com/column/progress-book1-lesson12-3/" TargetMode="External"/><Relationship Id="rId32" Type="http://schemas.openxmlformats.org/officeDocument/2006/relationships/hyperlink" Target="https://eng-support.com/column/book2-lesson9-scene3/" TargetMode="External"/><Relationship Id="rId35" Type="http://schemas.openxmlformats.org/officeDocument/2006/relationships/hyperlink" Target="https://eng-support.com/column/progress-book1-lesson17-4/" TargetMode="External"/><Relationship Id="rId34" Type="http://schemas.openxmlformats.org/officeDocument/2006/relationships/hyperlink" Target="https://eng-support.com/column/progress-book1-lesson19-1/" TargetMode="External"/><Relationship Id="rId37" Type="http://schemas.openxmlformats.org/officeDocument/2006/relationships/hyperlink" Target="https://eng-support.com/column/progress-book1-lesson15-4/" TargetMode="External"/><Relationship Id="rId36" Type="http://schemas.openxmlformats.org/officeDocument/2006/relationships/hyperlink" Target="https://eng-support.com/column/progressbook1-4-3/" TargetMode="External"/><Relationship Id="rId39" Type="http://schemas.openxmlformats.org/officeDocument/2006/relationships/hyperlink" Target="https://eng-support.com/column/progress-book1-lesson15-3/" TargetMode="External"/><Relationship Id="rId38" Type="http://schemas.openxmlformats.org/officeDocument/2006/relationships/hyperlink" Target="https://eng-support.com/column/progressbook1-7-3/" TargetMode="External"/><Relationship Id="rId20" Type="http://schemas.openxmlformats.org/officeDocument/2006/relationships/hyperlink" Target="https://eng-support.com/column/book2-lesson11-scene1/" TargetMode="External"/><Relationship Id="rId22" Type="http://schemas.openxmlformats.org/officeDocument/2006/relationships/hyperlink" Target="https://eng-support.com/column/progressbook1-2-2/" TargetMode="External"/><Relationship Id="rId21" Type="http://schemas.openxmlformats.org/officeDocument/2006/relationships/hyperlink" Target="https://eng-support.com/column/progressbook1-7-1/" TargetMode="External"/><Relationship Id="rId24" Type="http://schemas.openxmlformats.org/officeDocument/2006/relationships/hyperlink" Target="https://eng-support.com/column/progress-book1-lesson10-2/" TargetMode="External"/><Relationship Id="rId23" Type="http://schemas.openxmlformats.org/officeDocument/2006/relationships/hyperlink" Target="https://eng-support.com/column/book2-lesson2-scene2/" TargetMode="External"/><Relationship Id="rId26" Type="http://schemas.openxmlformats.org/officeDocument/2006/relationships/hyperlink" Target="https://eng-support.com/column/progress-book1-lesson19-4/" TargetMode="External"/><Relationship Id="rId25" Type="http://schemas.openxmlformats.org/officeDocument/2006/relationships/hyperlink" Target="https://eng-support.com/column/progress-book1-lesson14-4/" TargetMode="External"/><Relationship Id="rId28" Type="http://schemas.openxmlformats.org/officeDocument/2006/relationships/hyperlink" Target="https://eng-support.com/column/progress-book1-lesson12-1/" TargetMode="External"/><Relationship Id="rId27" Type="http://schemas.openxmlformats.org/officeDocument/2006/relationships/hyperlink" Target="https://eng-support.com/column/progress-book1-lesson11-1/" TargetMode="External"/><Relationship Id="rId29" Type="http://schemas.openxmlformats.org/officeDocument/2006/relationships/hyperlink" Target="https://eng-support.com/column/progress-book1-lesson16-3/" TargetMode="External"/><Relationship Id="rId11" Type="http://schemas.openxmlformats.org/officeDocument/2006/relationships/hyperlink" Target="https://eng-support.com/column/progress-book1-lesson18-4/" TargetMode="External"/><Relationship Id="rId10" Type="http://schemas.openxmlformats.org/officeDocument/2006/relationships/hyperlink" Target="https://eng-support.com/column/progress-book1-lesson15-1/" TargetMode="External"/><Relationship Id="rId13" Type="http://schemas.openxmlformats.org/officeDocument/2006/relationships/hyperlink" Target="https://eng-support.com/column/progress-book1-lesson15-2/" TargetMode="External"/><Relationship Id="rId12" Type="http://schemas.openxmlformats.org/officeDocument/2006/relationships/hyperlink" Target="https://eng-support.com/column/book2-lesson4-scene2/" TargetMode="External"/><Relationship Id="rId15" Type="http://schemas.openxmlformats.org/officeDocument/2006/relationships/hyperlink" Target="https://eng-support.com/column/progress-book1-lesson11-3/" TargetMode="External"/><Relationship Id="rId14" Type="http://schemas.openxmlformats.org/officeDocument/2006/relationships/hyperlink" Target="https://eng-support.com/column/progress-book1-lesson14-1/" TargetMode="External"/><Relationship Id="rId17" Type="http://schemas.openxmlformats.org/officeDocument/2006/relationships/hyperlink" Target="https://eng-support.com/column/progress-book1-lesson10-1/" TargetMode="External"/><Relationship Id="rId16" Type="http://schemas.openxmlformats.org/officeDocument/2006/relationships/hyperlink" Target="https://eng-support.com/column/progressbook1-6-2/" TargetMode="External"/><Relationship Id="rId19" Type="http://schemas.openxmlformats.org/officeDocument/2006/relationships/hyperlink" Target="https://eng-support.com/column/book2-lesson4-scene1/" TargetMode="External"/><Relationship Id="rId18" Type="http://schemas.openxmlformats.org/officeDocument/2006/relationships/hyperlink" Target="https://eng-support.com/column/book2-lesson10-scene3/" TargetMode="External"/><Relationship Id="rId84" Type="http://schemas.openxmlformats.org/officeDocument/2006/relationships/hyperlink" Target="https://eng-support.com/column/book2-lesson11-scene2/" TargetMode="External"/><Relationship Id="rId83" Type="http://schemas.openxmlformats.org/officeDocument/2006/relationships/hyperlink" Target="https://eng-support.com/column/progress/" TargetMode="External"/><Relationship Id="rId86" Type="http://schemas.openxmlformats.org/officeDocument/2006/relationships/hyperlink" Target="https://eng-support.com/column/book2-lesson8-scene2/" TargetMode="External"/><Relationship Id="rId85" Type="http://schemas.openxmlformats.org/officeDocument/2006/relationships/hyperlink" Target="https://eng-support.com/column/progressbook1-4-1/" TargetMode="External"/><Relationship Id="rId88" Type="http://schemas.openxmlformats.org/officeDocument/2006/relationships/hyperlink" Target="https://eng-support.com/column/book2-lesson5-scene3/" TargetMode="External"/><Relationship Id="rId87" Type="http://schemas.openxmlformats.org/officeDocument/2006/relationships/hyperlink" Target="https://eng-support.com/column/progress-book1-lesson20-3/" TargetMode="External"/><Relationship Id="rId89" Type="http://schemas.openxmlformats.org/officeDocument/2006/relationships/hyperlink" Target="https://eng-support.com/column/298/" TargetMode="External"/><Relationship Id="rId80" Type="http://schemas.openxmlformats.org/officeDocument/2006/relationships/hyperlink" Target="https://eng-support.com/column/progress-book1-lesson16-4/" TargetMode="External"/><Relationship Id="rId82" Type="http://schemas.openxmlformats.org/officeDocument/2006/relationships/hyperlink" Target="https://eng-support.com/column/progressbook1-3-1/" TargetMode="External"/><Relationship Id="rId81" Type="http://schemas.openxmlformats.org/officeDocument/2006/relationships/hyperlink" Target="https://eng-support.com/column/book2-lesson2-scene1/" TargetMode="External"/><Relationship Id="rId73" Type="http://schemas.openxmlformats.org/officeDocument/2006/relationships/hyperlink" Target="https://eng-support.com/column/progress-book1-lesson12-2/" TargetMode="External"/><Relationship Id="rId72" Type="http://schemas.openxmlformats.org/officeDocument/2006/relationships/hyperlink" Target="https://eng-support.com/column/progressbook1-2-3/" TargetMode="External"/><Relationship Id="rId75" Type="http://schemas.openxmlformats.org/officeDocument/2006/relationships/hyperlink" Target="https://eng-support.com/column/book2-lesson8-scene1/" TargetMode="External"/><Relationship Id="rId74" Type="http://schemas.openxmlformats.org/officeDocument/2006/relationships/hyperlink" Target="https://eng-support.com/column/progressbook1-6-1/" TargetMode="External"/><Relationship Id="rId77" Type="http://schemas.openxmlformats.org/officeDocument/2006/relationships/hyperlink" Target="https://eng-support.com/column/book2-lesson2-scene3/" TargetMode="External"/><Relationship Id="rId76" Type="http://schemas.openxmlformats.org/officeDocument/2006/relationships/hyperlink" Target="https://eng-support.com/column/book2-lesson7-scene2/" TargetMode="External"/><Relationship Id="rId79" Type="http://schemas.openxmlformats.org/officeDocument/2006/relationships/hyperlink" Target="https://eng-support.com/column/book2-lesson5-scene2/" TargetMode="External"/><Relationship Id="rId78" Type="http://schemas.openxmlformats.org/officeDocument/2006/relationships/hyperlink" Target="https://eng-support.com/column/book2-lesson3-scene2/" TargetMode="External"/><Relationship Id="rId71" Type="http://schemas.openxmlformats.org/officeDocument/2006/relationships/hyperlink" Target="https://eng-support.com/column/progress-book1-lesson13-2/" TargetMode="External"/><Relationship Id="rId70" Type="http://schemas.openxmlformats.org/officeDocument/2006/relationships/hyperlink" Target="https://eng-support.com/column/progress-book1-lesson9-2/" TargetMode="External"/><Relationship Id="rId62" Type="http://schemas.openxmlformats.org/officeDocument/2006/relationships/hyperlink" Target="https://eng-support.com/column/progress-book1-lesson16-2/" TargetMode="External"/><Relationship Id="rId61" Type="http://schemas.openxmlformats.org/officeDocument/2006/relationships/hyperlink" Target="https://eng-support.com/column/progress-book1-lesson18-1/" TargetMode="External"/><Relationship Id="rId64" Type="http://schemas.openxmlformats.org/officeDocument/2006/relationships/hyperlink" Target="https://eng-support.com/column/progressbook1-1-2/" TargetMode="External"/><Relationship Id="rId63" Type="http://schemas.openxmlformats.org/officeDocument/2006/relationships/hyperlink" Target="https://eng-support.com/column/progress-book1-lesson16-1/" TargetMode="External"/><Relationship Id="rId66" Type="http://schemas.openxmlformats.org/officeDocument/2006/relationships/hyperlink" Target="https://eng-support.com/column/progressbook1-7-2/" TargetMode="External"/><Relationship Id="rId65" Type="http://schemas.openxmlformats.org/officeDocument/2006/relationships/hyperlink" Target="https://eng-support.com/column/progress-book1-lesson17-2/" TargetMode="External"/><Relationship Id="rId68" Type="http://schemas.openxmlformats.org/officeDocument/2006/relationships/hyperlink" Target="https://eng-support.com/column/progress-book1-lesson9-1/" TargetMode="External"/><Relationship Id="rId67" Type="http://schemas.openxmlformats.org/officeDocument/2006/relationships/hyperlink" Target="https://eng-support.com/column/progress-book2-lesson1-1/" TargetMode="External"/><Relationship Id="rId60" Type="http://schemas.openxmlformats.org/officeDocument/2006/relationships/hyperlink" Target="https://eng-support.com/greeting/" TargetMode="External"/><Relationship Id="rId69" Type="http://schemas.openxmlformats.org/officeDocument/2006/relationships/hyperlink" Target="https://eng-support.com/column/progress-book1-lesson17-1/" TargetMode="External"/><Relationship Id="rId51" Type="http://schemas.openxmlformats.org/officeDocument/2006/relationships/hyperlink" Target="https://eng-support.com/column/book2-lesson9-scene1/" TargetMode="External"/><Relationship Id="rId50" Type="http://schemas.openxmlformats.org/officeDocument/2006/relationships/hyperlink" Target="https://eng-support.com/column/book2-lesson13-scene3/" TargetMode="External"/><Relationship Id="rId53" Type="http://schemas.openxmlformats.org/officeDocument/2006/relationships/hyperlink" Target="https://eng-support.com/" TargetMode="External"/><Relationship Id="rId52" Type="http://schemas.openxmlformats.org/officeDocument/2006/relationships/hyperlink" Target="https://eng-support.com/column/eigonokiso5/" TargetMode="External"/><Relationship Id="rId55" Type="http://schemas.openxmlformats.org/officeDocument/2006/relationships/hyperlink" Target="https://eng-support.com/column/eigonokiso4/" TargetMode="External"/><Relationship Id="rId54" Type="http://schemas.openxmlformats.org/officeDocument/2006/relationships/hyperlink" Target="https://eng-support.com/column/progress-2/" TargetMode="External"/><Relationship Id="rId57" Type="http://schemas.openxmlformats.org/officeDocument/2006/relationships/hyperlink" Target="https://eng-support.com/column/book2-lesson13-scene1/" TargetMode="External"/><Relationship Id="rId56" Type="http://schemas.openxmlformats.org/officeDocument/2006/relationships/hyperlink" Target="https://eng-support.com/column/book2-lesson6-scene2/" TargetMode="External"/><Relationship Id="rId59" Type="http://schemas.openxmlformats.org/officeDocument/2006/relationships/hyperlink" Target="https://eng-support.com/column/progress-book1-lesson14-3/" TargetMode="External"/><Relationship Id="rId58" Type="http://schemas.openxmlformats.org/officeDocument/2006/relationships/hyperlink" Target="https://eng-support.com/column/progressbook1-2-1/" TargetMode="External"/><Relationship Id="rId107" Type="http://schemas.openxmlformats.org/officeDocument/2006/relationships/hyperlink" Target="https://eng-support.com/inquiry/" TargetMode="External"/><Relationship Id="rId106" Type="http://schemas.openxmlformats.org/officeDocument/2006/relationships/hyperlink" Target="https://eng-support.com/column/book2-lesson6-scene3/" TargetMode="External"/><Relationship Id="rId105" Type="http://schemas.openxmlformats.org/officeDocument/2006/relationships/hyperlink" Target="https://eng-support.com/column/progress-book1-8-1/" TargetMode="External"/><Relationship Id="rId104" Type="http://schemas.openxmlformats.org/officeDocument/2006/relationships/hyperlink" Target="https://eng-support.com/column/progressbook1-1-1/" TargetMode="External"/><Relationship Id="rId109" Type="http://schemas.openxmlformats.org/officeDocument/2006/relationships/hyperlink" Target="https://eng-support.com/column/progress-book1-lesson20-2/" TargetMode="External"/><Relationship Id="rId108" Type="http://schemas.openxmlformats.org/officeDocument/2006/relationships/hyperlink" Target="https://eng-support.com/column/book1-lesson19-scene2/" TargetMode="External"/><Relationship Id="rId103" Type="http://schemas.openxmlformats.org/officeDocument/2006/relationships/hyperlink" Target="https://eng-support.com/column/book2-lesson5-scene1/" TargetMode="External"/><Relationship Id="rId102" Type="http://schemas.openxmlformats.org/officeDocument/2006/relationships/hyperlink" Target="https://eng-support.com/column/progressbook1-3-2/" TargetMode="External"/><Relationship Id="rId101" Type="http://schemas.openxmlformats.org/officeDocument/2006/relationships/hyperlink" Target="https://eng-support.com/company/" TargetMode="External"/><Relationship Id="rId100" Type="http://schemas.openxmlformats.org/officeDocument/2006/relationships/hyperlink" Target="https://eng-support.com/access/" TargetMode="External"/><Relationship Id="rId126" Type="http://schemas.openxmlformats.org/officeDocument/2006/relationships/drawing" Target="../drawings/drawing13.xml"/><Relationship Id="rId121" Type="http://schemas.openxmlformats.org/officeDocument/2006/relationships/hyperlink" Target="https://eng-support.com/column/book2-lesson9-scene2/" TargetMode="External"/><Relationship Id="rId120" Type="http://schemas.openxmlformats.org/officeDocument/2006/relationships/hyperlink" Target="https://eng-support.com/column/book2-lesson3-scene1/" TargetMode="External"/><Relationship Id="rId125" Type="http://schemas.openxmlformats.org/officeDocument/2006/relationships/hyperlink" Target="https://eng-support.com/column/book2-lesson13-scene/" TargetMode="External"/><Relationship Id="rId124" Type="http://schemas.openxmlformats.org/officeDocument/2006/relationships/hyperlink" Target="https://eng-support.com/column/book2-lesson12-scene2/" TargetMode="External"/><Relationship Id="rId123" Type="http://schemas.openxmlformats.org/officeDocument/2006/relationships/hyperlink" Target="https://eng-support.com/column/book2-lesson3-scene3/" TargetMode="External"/><Relationship Id="rId122" Type="http://schemas.openxmlformats.org/officeDocument/2006/relationships/hyperlink" Target="https://eng-support.com/column/book2-lesson8-scene3/" TargetMode="External"/><Relationship Id="rId95" Type="http://schemas.openxmlformats.org/officeDocument/2006/relationships/hyperlink" Target="https://eng-support.com/strategy/" TargetMode="External"/><Relationship Id="rId94" Type="http://schemas.openxmlformats.org/officeDocument/2006/relationships/hyperlink" Target="https://eng-support.com/column/progressbook1-4-2/" TargetMode="External"/><Relationship Id="rId97" Type="http://schemas.openxmlformats.org/officeDocument/2006/relationships/hyperlink" Target="https://eng-support.com/kouza/" TargetMode="External"/><Relationship Id="rId96" Type="http://schemas.openxmlformats.org/officeDocument/2006/relationships/hyperlink" Target="https://eng-support.com/column/book2-lesson12-scene3/" TargetMode="External"/><Relationship Id="rId99" Type="http://schemas.openxmlformats.org/officeDocument/2006/relationships/hyperlink" Target="https://eng-support.com/column/progressbook1-5-2/" TargetMode="External"/><Relationship Id="rId98" Type="http://schemas.openxmlformats.org/officeDocument/2006/relationships/hyperlink" Target="https://eng-support.com/column/" TargetMode="External"/><Relationship Id="rId91" Type="http://schemas.openxmlformats.org/officeDocument/2006/relationships/hyperlink" Target="https://eng-support.com/column/book2-lesson10-scene1/" TargetMode="External"/><Relationship Id="rId90" Type="http://schemas.openxmlformats.org/officeDocument/2006/relationships/hyperlink" Target="https://eng-support.com/column/book2-lesson7-scene1/" TargetMode="External"/><Relationship Id="rId93" Type="http://schemas.openxmlformats.org/officeDocument/2006/relationships/hyperlink" Target="https://eng-support.com/column/progress-book1-lesson8/" TargetMode="External"/><Relationship Id="rId92" Type="http://schemas.openxmlformats.org/officeDocument/2006/relationships/hyperlink" Target="https://eng-support.com/column/progressbook1-3-3/" TargetMode="External"/><Relationship Id="rId118" Type="http://schemas.openxmlformats.org/officeDocument/2006/relationships/hyperlink" Target="https://eng-support.com/info/20210707/" TargetMode="External"/><Relationship Id="rId117" Type="http://schemas.openxmlformats.org/officeDocument/2006/relationships/hyperlink" Target="https://eng-support.com/info/20210723/" TargetMode="External"/><Relationship Id="rId116" Type="http://schemas.openxmlformats.org/officeDocument/2006/relationships/hyperlink" Target="https://eng-support.com/info/" TargetMode="External"/><Relationship Id="rId115" Type="http://schemas.openxmlformats.org/officeDocument/2006/relationships/hyperlink" Target="https://eng-support.com/info/20210406/" TargetMode="External"/><Relationship Id="rId119" Type="http://schemas.openxmlformats.org/officeDocument/2006/relationships/hyperlink" Target="https://eng-support.com/column/book2-lesson7-scene3/" TargetMode="External"/><Relationship Id="rId110" Type="http://schemas.openxmlformats.org/officeDocument/2006/relationships/hyperlink" Target="https://eng-support.com/column/progress-book1-lesson20-1/" TargetMode="External"/><Relationship Id="rId114" Type="http://schemas.openxmlformats.org/officeDocument/2006/relationships/hyperlink" Target="https://eng-support.com/column/progressbook1-1-3/" TargetMode="External"/><Relationship Id="rId113" Type="http://schemas.openxmlformats.org/officeDocument/2006/relationships/hyperlink" Target="https://eng-support.com/column/progress-book1-lesson13-3/" TargetMode="External"/><Relationship Id="rId112" Type="http://schemas.openxmlformats.org/officeDocument/2006/relationships/hyperlink" Target="https://eng-support.com/column/progress-book1-lesson13-1/" TargetMode="External"/><Relationship Id="rId111" Type="http://schemas.openxmlformats.org/officeDocument/2006/relationships/hyperlink" Target="https://eng-support.com/column/book2-lesson1-scene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rika-quest.com/column/south-middle-altitude/" TargetMode="External"/><Relationship Id="rId2" Type="http://schemas.openxmlformats.org/officeDocument/2006/relationships/hyperlink" Target="https://rika-quest.com/column/plant/" TargetMode="External"/><Relationship Id="rId3" Type="http://schemas.openxmlformats.org/officeDocument/2006/relationships/hyperlink" Target="https://rika-quest.com/column/seed/" TargetMode="External"/><Relationship Id="rId4" Type="http://schemas.openxmlformats.org/officeDocument/2006/relationships/hyperlink" Target="https://rika-quest.com/column/nimal/" TargetMode="External"/><Relationship Id="rId9" Type="http://schemas.openxmlformats.org/officeDocument/2006/relationships/hyperlink" Target="https://rika-quest.com/column/water/" TargetMode="External"/><Relationship Id="rId5" Type="http://schemas.openxmlformats.org/officeDocument/2006/relationships/hyperlink" Target="https://rika-quest.com/column/stratum/" TargetMode="External"/><Relationship Id="rId6" Type="http://schemas.openxmlformats.org/officeDocument/2006/relationships/hyperlink" Target="https://rika-quest.com/column/star/" TargetMode="External"/><Relationship Id="rId7" Type="http://schemas.openxmlformats.org/officeDocument/2006/relationships/hyperlink" Target="https://rika-quest.com/column/metal/" TargetMode="External"/><Relationship Id="rId8" Type="http://schemas.openxmlformats.org/officeDocument/2006/relationships/hyperlink" Target="https://rika-quest.com/column/aqueous-solution/" TargetMode="External"/><Relationship Id="rId40" Type="http://schemas.openxmlformats.org/officeDocument/2006/relationships/hyperlink" Target="https://rika-quest.com/column/physics/" TargetMode="External"/><Relationship Id="rId42" Type="http://schemas.openxmlformats.org/officeDocument/2006/relationships/hyperlink" Target="https://rika-quest.com/kouza/" TargetMode="External"/><Relationship Id="rId41" Type="http://schemas.openxmlformats.org/officeDocument/2006/relationships/hyperlink" Target="https://rika-quest.com/column/chemistry/" TargetMode="External"/><Relationship Id="rId44" Type="http://schemas.openxmlformats.org/officeDocument/2006/relationships/hyperlink" Target="https://rika-quest.com/column/nayami-experiment-reading/" TargetMode="External"/><Relationship Id="rId43" Type="http://schemas.openxmlformats.org/officeDocument/2006/relationships/hyperlink" Target="https://rika-quest.com/company/" TargetMode="External"/><Relationship Id="rId46" Type="http://schemas.openxmlformats.org/officeDocument/2006/relationships/hyperlink" Target="https://rika-quest.com/inquiry/" TargetMode="External"/><Relationship Id="rId45" Type="http://schemas.openxmlformats.org/officeDocument/2006/relationships/hyperlink" Target="https://rika-quest.com/access/" TargetMode="External"/><Relationship Id="rId48" Type="http://schemas.openxmlformats.org/officeDocument/2006/relationships/hyperlink" Target="https://rika-quest.com/timetable/" TargetMode="External"/><Relationship Id="rId47" Type="http://schemas.openxmlformats.org/officeDocument/2006/relationships/hyperlink" Target="https://rika-quest.com/column/" TargetMode="External"/><Relationship Id="rId49" Type="http://schemas.openxmlformats.org/officeDocument/2006/relationships/hyperlink" Target="https://rika-quest.com/column/nayami-writing/" TargetMode="External"/><Relationship Id="rId31" Type="http://schemas.openxmlformats.org/officeDocument/2006/relationships/hyperlink" Target="https://rika-quest.com/column/sum/" TargetMode="External"/><Relationship Id="rId30" Type="http://schemas.openxmlformats.org/officeDocument/2006/relationships/hyperlink" Target="https://rika-quest.com/" TargetMode="External"/><Relationship Id="rId33" Type="http://schemas.openxmlformats.org/officeDocument/2006/relationships/hyperlink" Target="https://rika-quest.com/column/how-to-burn/" TargetMode="External"/><Relationship Id="rId32" Type="http://schemas.openxmlformats.org/officeDocument/2006/relationships/hyperlink" Target="https://rika-quest.com/column/gas_and_aqueous_liquid/" TargetMode="External"/><Relationship Id="rId35" Type="http://schemas.openxmlformats.org/officeDocument/2006/relationships/hyperlink" Target="https://rika-quest.com/column/reflectionandrefraction/" TargetMode="External"/><Relationship Id="rId34" Type="http://schemas.openxmlformats.org/officeDocument/2006/relationships/hyperlink" Target="https://rika-quest.com/column/earthquake/" TargetMode="External"/><Relationship Id="rId37" Type="http://schemas.openxmlformats.org/officeDocument/2006/relationships/hyperlink" Target="https://rika-quest.com/column/photosynthesis/" TargetMode="External"/><Relationship Id="rId36" Type="http://schemas.openxmlformats.org/officeDocument/2006/relationships/hyperlink" Target="https://rika-quest.com/column/solubility/" TargetMode="External"/><Relationship Id="rId39" Type="http://schemas.openxmlformats.org/officeDocument/2006/relationships/hyperlink" Target="https://rika-quest.com/greeting/" TargetMode="External"/><Relationship Id="rId38" Type="http://schemas.openxmlformats.org/officeDocument/2006/relationships/hyperlink" Target="https://rika-quest.com/column/weather/" TargetMode="External"/><Relationship Id="rId20" Type="http://schemas.openxmlformats.org/officeDocument/2006/relationships/hyperlink" Target="https://rika-quest.com/column/digestion/" TargetMode="External"/><Relationship Id="rId22" Type="http://schemas.openxmlformats.org/officeDocument/2006/relationships/hyperlink" Target="https://rika-quest.com/column/mamedenkyu/" TargetMode="External"/><Relationship Id="rId21" Type="http://schemas.openxmlformats.org/officeDocument/2006/relationships/hyperlink" Target="https://rika-quest.com/column/seasons-and-weather/" TargetMode="External"/><Relationship Id="rId24" Type="http://schemas.openxmlformats.org/officeDocument/2006/relationships/hyperlink" Target="https://rika-quest.com/column/volume-and-temperature/" TargetMode="External"/><Relationship Id="rId23" Type="http://schemas.openxmlformats.org/officeDocument/2006/relationships/hyperlink" Target="https://rika-quest.com/column/igneous-rock/" TargetMode="External"/><Relationship Id="rId26" Type="http://schemas.openxmlformats.org/officeDocument/2006/relationships/hyperlink" Target="https://rika-quest.com/column/lung/" TargetMode="External"/><Relationship Id="rId25" Type="http://schemas.openxmlformats.org/officeDocument/2006/relationships/hyperlink" Target="https://rika-quest.com/column/insect/" TargetMode="External"/><Relationship Id="rId28" Type="http://schemas.openxmlformats.org/officeDocument/2006/relationships/hyperlink" Target="https://rika-quest.com/column/germination/" TargetMode="External"/><Relationship Id="rId27" Type="http://schemas.openxmlformats.org/officeDocument/2006/relationships/hyperlink" Target="https://rika-quest.com/column/transpiration/" TargetMode="External"/><Relationship Id="rId29" Type="http://schemas.openxmlformats.org/officeDocument/2006/relationships/hyperlink" Target="https://rika-quest.com/column/flower/" TargetMode="External"/><Relationship Id="rId11" Type="http://schemas.openxmlformats.org/officeDocument/2006/relationships/hyperlink" Target="https://rika-quest.com/column/phases-of-the-moon/" TargetMode="External"/><Relationship Id="rId10" Type="http://schemas.openxmlformats.org/officeDocument/2006/relationships/hyperlink" Target="https://rika-quest.com/column/buoyancy/" TargetMode="External"/><Relationship Id="rId13" Type="http://schemas.openxmlformats.org/officeDocument/2006/relationships/hyperlink" Target="https://rika-quest.com/column/pressures/" TargetMode="External"/><Relationship Id="rId12" Type="http://schemas.openxmlformats.org/officeDocument/2006/relationships/hyperlink" Target="https://rika-quest.com/column/blood/" TargetMode="External"/><Relationship Id="rId15" Type="http://schemas.openxmlformats.org/officeDocument/2006/relationships/hyperlink" Target="https://rika-quest.com/column/plankton/" TargetMode="External"/><Relationship Id="rId14" Type="http://schemas.openxmlformats.org/officeDocument/2006/relationships/hyperlink" Target="https://rika-quest.com/column/teko_kassya_furiko/" TargetMode="External"/><Relationship Id="rId17" Type="http://schemas.openxmlformats.org/officeDocument/2006/relationships/hyperlink" Target="https://rika-quest.com/column/terrain/" TargetMode="External"/><Relationship Id="rId16" Type="http://schemas.openxmlformats.org/officeDocument/2006/relationships/hyperlink" Target="https://rika-quest.com/column/trimorphic_change/" TargetMode="External"/><Relationship Id="rId19" Type="http://schemas.openxmlformats.org/officeDocument/2006/relationships/hyperlink" Target="https://rika-quest.com/column/rotation/" TargetMode="External"/><Relationship Id="rId18" Type="http://schemas.openxmlformats.org/officeDocument/2006/relationships/hyperlink" Target="https://rika-quest.com/column/dissolution/" TargetMode="External"/><Relationship Id="rId80" Type="http://schemas.openxmlformats.org/officeDocument/2006/relationships/hyperlink" Target="https://rika-quest.com/column/nayami-weather-map/" TargetMode="External"/><Relationship Id="rId82" Type="http://schemas.openxmlformats.org/officeDocument/2006/relationships/drawing" Target="../drawings/drawing14.xml"/><Relationship Id="rId81" Type="http://schemas.openxmlformats.org/officeDocument/2006/relationships/hyperlink" Target="https://rika-quest.com/column/science-nayami/" TargetMode="External"/><Relationship Id="rId73" Type="http://schemas.openxmlformats.org/officeDocument/2006/relationships/hyperlink" Target="https://rika-quest.com/column/nayami-physics-graph/" TargetMode="External"/><Relationship Id="rId72" Type="http://schemas.openxmlformats.org/officeDocument/2006/relationships/hyperlink" Target="https://rika-quest.com/column/nayami-photosynthesis-transpiration/" TargetMode="External"/><Relationship Id="rId75" Type="http://schemas.openxmlformats.org/officeDocument/2006/relationships/hyperlink" Target="https://rika-quest.com/column/nayami-review-not-working/" TargetMode="External"/><Relationship Id="rId74" Type="http://schemas.openxmlformats.org/officeDocument/2006/relationships/hyperlink" Target="https://rika-quest.com/column/nayami-pressure-buoyancy/" TargetMode="External"/><Relationship Id="rId77" Type="http://schemas.openxmlformats.org/officeDocument/2006/relationships/hyperlink" Target="https://rika-quest.com/info/" TargetMode="External"/><Relationship Id="rId76" Type="http://schemas.openxmlformats.org/officeDocument/2006/relationships/hyperlink" Target="https://rika-quest.com/column/nayami-solubility-graph/" TargetMode="External"/><Relationship Id="rId79" Type="http://schemas.openxmlformats.org/officeDocument/2006/relationships/hyperlink" Target="https://rika-quest.com/column/nayami-strata-column/" TargetMode="External"/><Relationship Id="rId78" Type="http://schemas.openxmlformats.org/officeDocument/2006/relationships/hyperlink" Target="https://rika-quest.com/column/nayami-solution-classification/" TargetMode="External"/><Relationship Id="rId71" Type="http://schemas.openxmlformats.org/officeDocument/2006/relationships/hyperlink" Target="https://rika-quest.com/column/nayami-neutralization/" TargetMode="External"/><Relationship Id="rId70" Type="http://schemas.openxmlformats.org/officeDocument/2006/relationships/hyperlink" Target="https://rika-quest.com/column/nayami-memorize-not-sticking/" TargetMode="External"/><Relationship Id="rId62" Type="http://schemas.openxmlformats.org/officeDocument/2006/relationships/hyperlink" Target="https://rika-quest.com/column/nayami-electric-circuits/" TargetMode="External"/><Relationship Id="rId61" Type="http://schemas.openxmlformats.org/officeDocument/2006/relationships/hyperlink" Target="https://rika-quest.com/column/nayami-ecosystem-increase-decrease/" TargetMode="External"/><Relationship Id="rId64" Type="http://schemas.openxmlformats.org/officeDocument/2006/relationships/hyperlink" Target="https://rika-quest.com/column/nayami-graph-table-reading/" TargetMode="External"/><Relationship Id="rId63" Type="http://schemas.openxmlformats.org/officeDocument/2006/relationships/hyperlink" Target="https://rika-quest.com/column/nayami-gas-experiment/" TargetMode="External"/><Relationship Id="rId66" Type="http://schemas.openxmlformats.org/officeDocument/2006/relationships/hyperlink" Target="https://rika-quest.com/column/nayami-human-body/" TargetMode="External"/><Relationship Id="rId65" Type="http://schemas.openxmlformats.org/officeDocument/2006/relationships/hyperlink" Target="https://rika-quest.com/column/nayami-how-to-start/" TargetMode="External"/><Relationship Id="rId68" Type="http://schemas.openxmlformats.org/officeDocument/2006/relationships/hyperlink" Target="https://rika-quest.com/column/nayami-lever-pulley/" TargetMode="External"/><Relationship Id="rId67" Type="http://schemas.openxmlformats.org/officeDocument/2006/relationships/hyperlink" Target="https://rika-quest.com/column/nayami-last-2weeks/" TargetMode="External"/><Relationship Id="rId60" Type="http://schemas.openxmlformats.org/officeDocument/2006/relationships/hyperlink" Target="https://rika-quest.com/column/nayami-dislike-science/" TargetMode="External"/><Relationship Id="rId69" Type="http://schemas.openxmlformats.org/officeDocument/2006/relationships/hyperlink" Target="https://rika-quest.com/column/nayami-light-optics/" TargetMode="External"/><Relationship Id="rId51" Type="http://schemas.openxmlformats.org/officeDocument/2006/relationships/hyperlink" Target="https://rika-quest.com/info/492/" TargetMode="External"/><Relationship Id="rId50" Type="http://schemas.openxmlformats.org/officeDocument/2006/relationships/hyperlink" Target="https://rika-quest.com/column/nayami-physics-diagram/" TargetMode="External"/><Relationship Id="rId53" Type="http://schemas.openxmlformats.org/officeDocument/2006/relationships/hyperlink" Target="https://rika-quest.com/column/creature/" TargetMode="External"/><Relationship Id="rId52" Type="http://schemas.openxmlformats.org/officeDocument/2006/relationships/hyperlink" Target="https://rika-quest.com/sample-page/" TargetMode="External"/><Relationship Id="rId55" Type="http://schemas.openxmlformats.org/officeDocument/2006/relationships/hyperlink" Target="https://rika-quest.com/column/nayami-biology-experiment/" TargetMode="External"/><Relationship Id="rId54" Type="http://schemas.openxmlformats.org/officeDocument/2006/relationships/hyperlink" Target="https://rika-quest.com/column/geoscience/" TargetMode="External"/><Relationship Id="rId57" Type="http://schemas.openxmlformats.org/officeDocument/2006/relationships/hyperlink" Target="https://rika-quest.com/column/nayami-cant-apply-knowledge/" TargetMode="External"/><Relationship Id="rId56" Type="http://schemas.openxmlformats.org/officeDocument/2006/relationships/hyperlink" Target="https://rika-quest.com/column/nayami-calculation-slow/" TargetMode="External"/><Relationship Id="rId59" Type="http://schemas.openxmlformats.org/officeDocument/2006/relationships/hyperlink" Target="https://rika-quest.com/column/nayami-combustion/" TargetMode="External"/><Relationship Id="rId58" Type="http://schemas.openxmlformats.org/officeDocument/2006/relationships/hyperlink" Target="https://rika-quest.com/column/nayami-classification-mixup/"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kokugo-trigger.com/" TargetMode="External"/><Relationship Id="rId2" Type="http://schemas.openxmlformats.org/officeDocument/2006/relationships/hyperlink" Target="https://www.kokugo-trigger.com/column/kokugonotesuto/" TargetMode="External"/><Relationship Id="rId3" Type="http://schemas.openxmlformats.org/officeDocument/2006/relationships/hyperlink" Target="https://www.kokugo-trigger.com/profile/" TargetMode="External"/><Relationship Id="rId4" Type="http://schemas.openxmlformats.org/officeDocument/2006/relationships/hyperlink" Target="https://www.kokugo-trigger.com/column/nigate/" TargetMode="External"/><Relationship Id="rId9" Type="http://schemas.openxmlformats.org/officeDocument/2006/relationships/hyperlink" Target="https://www.kokugo-trigger.com/concept/" TargetMode="External"/><Relationship Id="rId5" Type="http://schemas.openxmlformats.org/officeDocument/2006/relationships/hyperlink" Target="https://www.kokugo-trigger.com/access/" TargetMode="External"/><Relationship Id="rId6" Type="http://schemas.openxmlformats.org/officeDocument/2006/relationships/hyperlink" Target="https://www.kokugo-trigger.com/kouza/" TargetMode="External"/><Relationship Id="rId7" Type="http://schemas.openxmlformats.org/officeDocument/2006/relationships/hyperlink" Target="https://www.kokugo-trigger.com/corporate_data/" TargetMode="External"/><Relationship Id="rId8" Type="http://schemas.openxmlformats.org/officeDocument/2006/relationships/hyperlink" Target="https://www.kokugo-trigger.com/column/kokugobenkyou/" TargetMode="External"/><Relationship Id="rId20" Type="http://schemas.openxmlformats.org/officeDocument/2006/relationships/hyperlink" Target="https://www.kokugo-trigger.com/info/20210723/" TargetMode="External"/><Relationship Id="rId22" Type="http://schemas.openxmlformats.org/officeDocument/2006/relationships/drawing" Target="../drawings/drawing15.xml"/><Relationship Id="rId21" Type="http://schemas.openxmlformats.org/officeDocument/2006/relationships/hyperlink" Target="https://www.kokugo-trigger.com/info/20210406/" TargetMode="External"/><Relationship Id="rId11" Type="http://schemas.openxmlformats.org/officeDocument/2006/relationships/hyperlink" Target="https://www.kokugo-trigger.com/column/" TargetMode="External"/><Relationship Id="rId10" Type="http://schemas.openxmlformats.org/officeDocument/2006/relationships/hyperlink" Target="https://www.kokugo-trigger.com/strategy/" TargetMode="External"/><Relationship Id="rId13" Type="http://schemas.openxmlformats.org/officeDocument/2006/relationships/hyperlink" Target="https://www.kokugo-trigger.com/inquiry/" TargetMode="External"/><Relationship Id="rId12" Type="http://schemas.openxmlformats.org/officeDocument/2006/relationships/hyperlink" Target="https://www.kokugo-trigger.com/column/jikangatarinai/" TargetMode="External"/><Relationship Id="rId15" Type="http://schemas.openxmlformats.org/officeDocument/2006/relationships/hyperlink" Target="https://www.kokugo-trigger.com/info/" TargetMode="External"/><Relationship Id="rId14" Type="http://schemas.openxmlformats.org/officeDocument/2006/relationships/hyperlink" Target="https://www.kokugo-trigger.com/column/kiso/" TargetMode="External"/><Relationship Id="rId17" Type="http://schemas.openxmlformats.org/officeDocument/2006/relationships/hyperlink" Target="https://www.kokugo-trigger.com/column/jyuku/" TargetMode="External"/><Relationship Id="rId16" Type="http://schemas.openxmlformats.org/officeDocument/2006/relationships/hyperlink" Target="https://www.kokugo-trigger.com/column/syuuchuuryoku/" TargetMode="External"/><Relationship Id="rId19" Type="http://schemas.openxmlformats.org/officeDocument/2006/relationships/hyperlink" Target="https://www.kokugo-trigger.com/info/20210707/" TargetMode="External"/><Relationship Id="rId18" Type="http://schemas.openxmlformats.org/officeDocument/2006/relationships/hyperlink" Target="https://www.kokugo-trigger.com/column/seisek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s>
  <sheetData>
    <row r="1">
      <c r="A1" s="1" t="s">
        <v>0</v>
      </c>
      <c r="B1" s="2" t="s">
        <v>1</v>
      </c>
    </row>
    <row r="2">
      <c r="A2" s="3" t="s">
        <v>2</v>
      </c>
      <c r="B2" s="4" t="str">
        <f t="shared" ref="B2:B10" si="1">"https://"&amp;A2&amp;"/sitemap.xml"</f>
        <v>https://natsui-sansu-juku.com/sitemap.xml</v>
      </c>
    </row>
    <row r="3">
      <c r="A3" s="2" t="s">
        <v>3</v>
      </c>
      <c r="B3" s="4" t="str">
        <f t="shared" si="1"/>
        <v>https://dokkai-labo.tokyo/sitemap.xml</v>
      </c>
    </row>
    <row r="4">
      <c r="A4" s="3" t="s">
        <v>4</v>
      </c>
      <c r="B4" s="4" t="str">
        <f t="shared" si="1"/>
        <v>https://juku-escot.com/sitemap.xml</v>
      </c>
    </row>
    <row r="5">
      <c r="A5" s="3" t="s">
        <v>5</v>
      </c>
      <c r="B5" s="4" t="str">
        <f t="shared" si="1"/>
        <v>https://jukureiwa.com/sitemap.xml</v>
      </c>
    </row>
    <row r="6">
      <c r="A6" s="3" t="s">
        <v>6</v>
      </c>
      <c r="B6" s="4" t="str">
        <f t="shared" si="1"/>
        <v>https://koten-kakitsubata.jp/sitemap.xml</v>
      </c>
    </row>
    <row r="7">
      <c r="A7" s="3" t="s">
        <v>7</v>
      </c>
      <c r="B7" s="4" t="str">
        <f t="shared" si="1"/>
        <v>https://eigo-rewrite.com/sitemap.xml</v>
      </c>
    </row>
    <row r="8">
      <c r="A8" s="3" t="s">
        <v>8</v>
      </c>
      <c r="B8" s="4" t="str">
        <f t="shared" si="1"/>
        <v>https://eng-support.com/sitemap.xml</v>
      </c>
    </row>
    <row r="9">
      <c r="A9" s="3" t="s">
        <v>9</v>
      </c>
      <c r="B9" s="4" t="str">
        <f t="shared" si="1"/>
        <v>https://kokugo-trigger.com/sitemap.xml</v>
      </c>
    </row>
    <row r="10">
      <c r="A10" s="3" t="s">
        <v>10</v>
      </c>
      <c r="B10" s="4" t="str">
        <f t="shared" si="1"/>
        <v>https://rika-quest.com/sitemap.xml</v>
      </c>
    </row>
  </sheetData>
  <hyperlinks>
    <hyperlink r:id="rId1" ref="A2"/>
    <hyperlink r:id="rId2" ref="A4"/>
    <hyperlink r:id="rId3" ref="A5"/>
    <hyperlink r:id="rId4" ref="A6"/>
    <hyperlink r:id="rId5" ref="A7"/>
    <hyperlink r:id="rId6" ref="A8"/>
    <hyperlink r:id="rId7" ref="A9"/>
    <hyperlink r:id="rId8" ref="A10"/>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3" width="6.0"/>
    <col customWidth="1" min="4" max="4" width="8.38"/>
    <col customWidth="1" min="5" max="6" width="6.0"/>
    <col customWidth="1" min="7" max="12" width="7.0"/>
    <col customWidth="1" min="13" max="13" width="9.5"/>
  </cols>
  <sheetData>
    <row r="1">
      <c r="A1" s="1" t="s">
        <v>11</v>
      </c>
      <c r="B1" s="5" t="s">
        <v>12</v>
      </c>
      <c r="C1" s="6"/>
      <c r="D1" s="6"/>
      <c r="E1" s="7"/>
      <c r="F1" s="8"/>
      <c r="G1" s="9"/>
      <c r="H1" s="9"/>
      <c r="I1" s="9"/>
      <c r="J1" s="9"/>
      <c r="K1" s="9"/>
      <c r="L1" s="9"/>
      <c r="N1" s="1"/>
    </row>
    <row r="2">
      <c r="A2" s="1" t="s">
        <v>13</v>
      </c>
      <c r="B2" s="6"/>
      <c r="C2" s="6"/>
      <c r="D2" s="6"/>
      <c r="E2" s="7"/>
      <c r="F2" s="8"/>
      <c r="G2" s="9"/>
      <c r="H2" s="9"/>
      <c r="I2" s="9"/>
      <c r="J2" s="9"/>
      <c r="K2" s="9"/>
      <c r="L2" s="9"/>
      <c r="N2" s="1"/>
    </row>
    <row r="3">
      <c r="A3" s="10" t="s">
        <v>14</v>
      </c>
      <c r="B3" s="11" t="s">
        <v>15</v>
      </c>
      <c r="C3" s="11" t="s">
        <v>16</v>
      </c>
      <c r="D3" s="11" t="s">
        <v>17</v>
      </c>
      <c r="E3" s="10" t="s">
        <v>18</v>
      </c>
      <c r="F3" s="12" t="s">
        <v>19</v>
      </c>
      <c r="G3" s="10" t="s">
        <v>20</v>
      </c>
      <c r="H3" s="10" t="s">
        <v>21</v>
      </c>
      <c r="I3" s="10" t="s">
        <v>22</v>
      </c>
      <c r="J3" s="10" t="s">
        <v>23</v>
      </c>
      <c r="K3" s="10" t="s">
        <v>24</v>
      </c>
      <c r="L3" s="10" t="s">
        <v>25</v>
      </c>
      <c r="N3" s="1"/>
    </row>
    <row r="4">
      <c r="A4" s="10" t="s">
        <v>26</v>
      </c>
      <c r="B4" s="13">
        <v>1166.0</v>
      </c>
      <c r="C4" s="13">
        <v>20791.0</v>
      </c>
      <c r="D4" s="13">
        <v>2050372.0</v>
      </c>
      <c r="E4" s="14">
        <v>0.010140111160316274</v>
      </c>
      <c r="F4" s="12">
        <v>4.444904144223584</v>
      </c>
      <c r="G4" s="14">
        <v>1.3988427639103815</v>
      </c>
      <c r="H4" s="14">
        <v>3.693199441617508</v>
      </c>
      <c r="I4" s="14">
        <v>0.05317324185248713</v>
      </c>
      <c r="J4" s="14">
        <v>0.19382504288164665</v>
      </c>
      <c r="K4" s="14">
        <v>0.2950257289879931</v>
      </c>
      <c r="L4" s="14">
        <v>0.15008576329331047</v>
      </c>
      <c r="M4" s="1"/>
      <c r="N4" s="1"/>
    </row>
    <row r="5">
      <c r="A5" s="10" t="s">
        <v>27</v>
      </c>
      <c r="B5" s="13">
        <v>828.0</v>
      </c>
      <c r="C5" s="13">
        <v>20687.0</v>
      </c>
      <c r="D5" s="13">
        <v>2047707.0</v>
      </c>
      <c r="E5" s="14">
        <v>0.010102519549916077</v>
      </c>
      <c r="F5" s="12">
        <v>4.442627778290547</v>
      </c>
      <c r="G5" s="14">
        <v>1.4032695699362365</v>
      </c>
      <c r="H5" s="14">
        <v>3.757943186009936</v>
      </c>
      <c r="I5" s="14">
        <v>0.0640096618357488</v>
      </c>
      <c r="J5" s="14">
        <v>0.26207729468599034</v>
      </c>
      <c r="K5" s="14">
        <v>0.3888888888888889</v>
      </c>
      <c r="L5" s="14">
        <v>0.18719806763285024</v>
      </c>
      <c r="M5" s="15"/>
      <c r="N5" s="1"/>
    </row>
    <row r="6">
      <c r="A6" s="1"/>
      <c r="B6" s="5"/>
      <c r="C6" s="5"/>
      <c r="D6" s="5"/>
      <c r="E6" s="16"/>
      <c r="F6" s="17"/>
      <c r="G6" s="18"/>
      <c r="H6" s="18"/>
      <c r="I6" s="18"/>
      <c r="J6" s="18"/>
      <c r="K6" s="18"/>
      <c r="L6" s="18"/>
      <c r="M6" s="15"/>
      <c r="N6" s="1"/>
    </row>
    <row r="7">
      <c r="A7" s="1" t="s">
        <v>28</v>
      </c>
      <c r="B7" s="6"/>
      <c r="C7" s="6"/>
      <c r="D7" s="6"/>
      <c r="E7" s="7"/>
      <c r="F7" s="8"/>
      <c r="G7" s="9"/>
      <c r="H7" s="9"/>
      <c r="I7" s="9"/>
      <c r="J7" s="9"/>
      <c r="K7" s="9"/>
      <c r="L7" s="9"/>
      <c r="N7" s="1"/>
    </row>
    <row r="8">
      <c r="A8" s="10" t="s">
        <v>29</v>
      </c>
      <c r="B8" s="11" t="s">
        <v>15</v>
      </c>
      <c r="C8" s="11" t="s">
        <v>16</v>
      </c>
      <c r="D8" s="11" t="s">
        <v>17</v>
      </c>
      <c r="E8" s="10" t="s">
        <v>18</v>
      </c>
      <c r="F8" s="12" t="s">
        <v>19</v>
      </c>
      <c r="G8" s="10" t="s">
        <v>20</v>
      </c>
      <c r="H8" s="10" t="s">
        <v>21</v>
      </c>
      <c r="I8" s="10" t="s">
        <v>22</v>
      </c>
      <c r="J8" s="10" t="s">
        <v>23</v>
      </c>
      <c r="K8" s="10" t="s">
        <v>24</v>
      </c>
      <c r="L8" s="10" t="s">
        <v>25</v>
      </c>
      <c r="N8" s="1"/>
    </row>
    <row r="9">
      <c r="A9" s="10" t="s">
        <v>30</v>
      </c>
      <c r="B9" s="13">
        <v>9.0</v>
      </c>
      <c r="C9" s="13">
        <v>629.0</v>
      </c>
      <c r="D9" s="13">
        <v>13766.0</v>
      </c>
      <c r="E9" s="14">
        <v>0.045692285340694465</v>
      </c>
      <c r="F9" s="12">
        <v>10.29362196716548</v>
      </c>
      <c r="G9" s="14">
        <v>1.5416666666666667</v>
      </c>
      <c r="H9" s="14">
        <v>0.8359749802635574</v>
      </c>
      <c r="I9" s="14">
        <v>0.0</v>
      </c>
      <c r="J9" s="14">
        <v>0.0</v>
      </c>
      <c r="K9" s="14">
        <v>0.6666666666666666</v>
      </c>
      <c r="L9" s="14">
        <v>0.3333333333333333</v>
      </c>
      <c r="N9" s="1"/>
    </row>
    <row r="10">
      <c r="A10" s="10" t="s">
        <v>31</v>
      </c>
      <c r="B10" s="13">
        <v>63.0</v>
      </c>
      <c r="C10" s="13">
        <v>263.0</v>
      </c>
      <c r="D10" s="13">
        <v>7743.0</v>
      </c>
      <c r="E10" s="14">
        <v>0.03396616298592277</v>
      </c>
      <c r="F10" s="12">
        <v>9.448792457703732</v>
      </c>
      <c r="G10" s="14">
        <v>2.191666666666667</v>
      </c>
      <c r="H10" s="14">
        <v>0.8224984066284258</v>
      </c>
      <c r="I10" s="14">
        <v>0.14285714285714285</v>
      </c>
      <c r="J10" s="14">
        <v>0.15873015873015872</v>
      </c>
      <c r="K10" s="14">
        <v>0.4126984126984127</v>
      </c>
      <c r="L10" s="14">
        <v>0.1746031746031746</v>
      </c>
      <c r="N10" s="1"/>
    </row>
    <row r="11">
      <c r="A11" s="10" t="s">
        <v>32</v>
      </c>
      <c r="B11" s="13">
        <v>562.0</v>
      </c>
      <c r="C11" s="13">
        <v>19410.0</v>
      </c>
      <c r="D11" s="13">
        <v>1989547.0</v>
      </c>
      <c r="E11" s="14">
        <v>0.009755989680062848</v>
      </c>
      <c r="F11" s="12">
        <v>4.383254077435717</v>
      </c>
      <c r="G11" s="14">
        <v>1.4062160399913062</v>
      </c>
      <c r="H11" s="14">
        <v>3.9298063685259477</v>
      </c>
      <c r="I11" s="14">
        <v>0.06583629893238434</v>
      </c>
      <c r="J11" s="14">
        <v>0.3487544483985765</v>
      </c>
      <c r="K11" s="14">
        <v>0.4501779359430605</v>
      </c>
      <c r="L11" s="14">
        <v>0.22419928825622776</v>
      </c>
      <c r="N11" s="1"/>
    </row>
    <row r="12">
      <c r="A12" s="10" t="s">
        <v>33</v>
      </c>
      <c r="B12" s="13">
        <v>105.0</v>
      </c>
      <c r="C12" s="13">
        <v>352.0</v>
      </c>
      <c r="D12" s="13">
        <v>35233.0</v>
      </c>
      <c r="E12" s="14">
        <v>0.009990633780830472</v>
      </c>
      <c r="F12" s="12">
        <v>4.2781483268526665</v>
      </c>
      <c r="G12" s="14">
        <v>0.9048843187660668</v>
      </c>
      <c r="H12" s="14">
        <v>3.30546955624355</v>
      </c>
      <c r="I12" s="14">
        <v>0.02857142857142857</v>
      </c>
      <c r="J12" s="14">
        <v>0.06666666666666667</v>
      </c>
      <c r="K12" s="14">
        <v>0.2761904761904762</v>
      </c>
      <c r="L12" s="14">
        <v>0.08571428571428572</v>
      </c>
      <c r="N12" s="1"/>
    </row>
    <row r="13">
      <c r="A13" s="10" t="s">
        <v>34</v>
      </c>
      <c r="B13" s="13">
        <v>89.0</v>
      </c>
      <c r="C13" s="13">
        <v>33.0</v>
      </c>
      <c r="D13" s="13">
        <v>1418.0</v>
      </c>
      <c r="E13" s="14">
        <v>0.0232722143864598</v>
      </c>
      <c r="F13" s="12">
        <v>7.696755994358251</v>
      </c>
      <c r="G13" s="14">
        <v>1.5</v>
      </c>
      <c r="H13" s="14">
        <v>0.6784688995215311</v>
      </c>
      <c r="I13" s="14">
        <v>0.0449438202247191</v>
      </c>
      <c r="J13" s="14">
        <v>0.0449438202247191</v>
      </c>
      <c r="K13" s="14">
        <v>0.0898876404494382</v>
      </c>
      <c r="L13" s="14">
        <v>0.06741573033707865</v>
      </c>
    </row>
    <row r="14">
      <c r="A14" s="1"/>
      <c r="B14" s="5"/>
      <c r="C14" s="5"/>
      <c r="D14" s="5"/>
      <c r="E14" s="16"/>
      <c r="F14" s="17"/>
      <c r="G14" s="18"/>
      <c r="H14" s="18"/>
      <c r="I14" s="18"/>
      <c r="J14" s="18"/>
      <c r="K14" s="18"/>
      <c r="L14" s="18"/>
      <c r="N14" s="1"/>
    </row>
    <row r="15">
      <c r="A15" s="1" t="s">
        <v>35</v>
      </c>
      <c r="B15" s="6"/>
      <c r="C15" s="6"/>
      <c r="D15" s="6"/>
      <c r="E15" s="7"/>
      <c r="F15" s="8"/>
      <c r="G15" s="9"/>
      <c r="H15" s="9"/>
      <c r="I15" s="9"/>
      <c r="J15" s="9"/>
      <c r="K15" s="9"/>
      <c r="L15" s="9"/>
      <c r="N15" s="1"/>
    </row>
    <row r="16">
      <c r="A16" s="10" t="s">
        <v>36</v>
      </c>
      <c r="B16" s="11" t="s">
        <v>15</v>
      </c>
      <c r="C16" s="11" t="s">
        <v>16</v>
      </c>
      <c r="D16" s="11" t="s">
        <v>17</v>
      </c>
      <c r="E16" s="10" t="s">
        <v>18</v>
      </c>
      <c r="F16" s="12" t="s">
        <v>19</v>
      </c>
      <c r="G16" s="10" t="s">
        <v>20</v>
      </c>
      <c r="H16" s="10" t="s">
        <v>21</v>
      </c>
      <c r="I16" s="10" t="s">
        <v>22</v>
      </c>
      <c r="J16" s="10" t="s">
        <v>23</v>
      </c>
      <c r="K16" s="10" t="s">
        <v>24</v>
      </c>
      <c r="L16" s="10" t="s">
        <v>25</v>
      </c>
      <c r="N16" s="1"/>
    </row>
    <row r="17">
      <c r="A17" s="19" t="s">
        <v>2</v>
      </c>
      <c r="B17" s="13">
        <v>133.0</v>
      </c>
      <c r="C17" s="13">
        <v>1431.0</v>
      </c>
      <c r="D17" s="13">
        <v>153838.0</v>
      </c>
      <c r="E17" s="14">
        <v>0.009301993005629299</v>
      </c>
      <c r="F17" s="12">
        <v>3.949323314135649</v>
      </c>
      <c r="G17" s="14">
        <v>5.110714285714286</v>
      </c>
      <c r="H17" s="14">
        <v>8.546555555555555</v>
      </c>
      <c r="I17" s="14">
        <v>0.06015037593984962</v>
      </c>
      <c r="J17" s="14">
        <v>0.11278195488721804</v>
      </c>
      <c r="K17" s="14">
        <v>0.3007518796992481</v>
      </c>
      <c r="L17" s="14">
        <v>0.13533834586466165</v>
      </c>
      <c r="M17" s="1"/>
      <c r="N17" s="1"/>
    </row>
    <row r="18">
      <c r="A18" s="10" t="s">
        <v>3</v>
      </c>
      <c r="B18" s="13">
        <v>185.0</v>
      </c>
      <c r="C18" s="13">
        <v>1437.0</v>
      </c>
      <c r="D18" s="13">
        <v>70498.0</v>
      </c>
      <c r="E18" s="14">
        <v>0.02038355698033987</v>
      </c>
      <c r="F18" s="12">
        <v>5.726857499503532</v>
      </c>
      <c r="G18" s="14">
        <v>2.0886627906976742</v>
      </c>
      <c r="H18" s="14">
        <v>3.594269399408586</v>
      </c>
      <c r="I18" s="14">
        <v>0.03783783783783784</v>
      </c>
      <c r="J18" s="14">
        <v>0.06486486486486487</v>
      </c>
      <c r="K18" s="14">
        <v>0.3945945945945946</v>
      </c>
      <c r="L18" s="14">
        <v>0.14054054054054055</v>
      </c>
      <c r="M18" s="15"/>
    </row>
    <row r="19">
      <c r="A19" s="19" t="s">
        <v>4</v>
      </c>
      <c r="B19" s="13">
        <v>105.0</v>
      </c>
      <c r="C19" s="13">
        <v>1507.0</v>
      </c>
      <c r="D19" s="13">
        <v>58422.0</v>
      </c>
      <c r="E19" s="14">
        <v>0.025795077196946355</v>
      </c>
      <c r="F19" s="12">
        <v>4.301205025504091</v>
      </c>
      <c r="G19" s="14">
        <v>2.2526158445440956</v>
      </c>
      <c r="H19" s="14">
        <v>2.732553788587465</v>
      </c>
      <c r="I19" s="14">
        <v>0.0761904761904762</v>
      </c>
      <c r="J19" s="14">
        <v>0.13333333333333333</v>
      </c>
      <c r="K19" s="14">
        <v>0.2857142857142857</v>
      </c>
      <c r="L19" s="14">
        <v>0.12380952380952381</v>
      </c>
      <c r="M19" s="15"/>
      <c r="N19" s="1"/>
    </row>
    <row r="20">
      <c r="A20" s="19" t="s">
        <v>5</v>
      </c>
      <c r="B20" s="13">
        <v>40.0</v>
      </c>
      <c r="C20" s="13">
        <v>5185.0</v>
      </c>
      <c r="D20" s="13">
        <v>73514.0</v>
      </c>
      <c r="E20" s="14">
        <v>0.07053078325216966</v>
      </c>
      <c r="F20" s="12">
        <v>5.199281769458879</v>
      </c>
      <c r="G20" s="14">
        <v>0.8240623013350286</v>
      </c>
      <c r="H20" s="14">
        <v>1.7039217504172075</v>
      </c>
      <c r="I20" s="14">
        <v>0.075</v>
      </c>
      <c r="J20" s="14">
        <v>0.075</v>
      </c>
      <c r="K20" s="14">
        <v>0.25</v>
      </c>
      <c r="L20" s="14">
        <v>0.075</v>
      </c>
      <c r="M20" s="15"/>
    </row>
    <row r="21">
      <c r="A21" s="19" t="s">
        <v>6</v>
      </c>
      <c r="B21" s="13">
        <v>29.0</v>
      </c>
      <c r="C21" s="13">
        <v>5143.0</v>
      </c>
      <c r="D21" s="13">
        <v>420386.0</v>
      </c>
      <c r="E21" s="14">
        <v>0.012233994471747394</v>
      </c>
      <c r="F21" s="12">
        <v>4.376910743935335</v>
      </c>
      <c r="G21" s="14">
        <v>1.1641014033499322</v>
      </c>
      <c r="H21" s="14">
        <v>1.9068670365011182</v>
      </c>
      <c r="I21" s="14">
        <v>0.034482758620689655</v>
      </c>
      <c r="J21" s="14">
        <v>0.06896551724137931</v>
      </c>
      <c r="K21" s="14">
        <v>0.5517241379310345</v>
      </c>
      <c r="L21" s="14">
        <v>0.3448275862068966</v>
      </c>
      <c r="M21" s="15"/>
    </row>
    <row r="22">
      <c r="A22" s="19" t="s">
        <v>7</v>
      </c>
      <c r="B22" s="13">
        <v>130.0</v>
      </c>
      <c r="C22" s="13">
        <v>1522.0</v>
      </c>
      <c r="D22" s="13">
        <v>342812.0</v>
      </c>
      <c r="E22" s="14">
        <v>0.004439751233912465</v>
      </c>
      <c r="F22" s="12">
        <v>3.8916636523808967</v>
      </c>
      <c r="G22" s="14">
        <v>2.670175438596491</v>
      </c>
      <c r="H22" s="14">
        <v>9.885290810000289</v>
      </c>
      <c r="I22" s="14">
        <v>0.1</v>
      </c>
      <c r="J22" s="14">
        <v>0.6</v>
      </c>
      <c r="K22" s="14">
        <v>0.5076923076923077</v>
      </c>
      <c r="L22" s="14">
        <v>0.3153846153846154</v>
      </c>
      <c r="M22" s="15"/>
    </row>
    <row r="23">
      <c r="A23" s="19" t="s">
        <v>8</v>
      </c>
      <c r="B23" s="13">
        <v>119.0</v>
      </c>
      <c r="C23" s="13">
        <v>1267.0</v>
      </c>
      <c r="D23" s="13">
        <v>429866.0</v>
      </c>
      <c r="E23" s="14">
        <v>0.0029474301293891587</v>
      </c>
      <c r="F23" s="12">
        <v>4.952938822795941</v>
      </c>
      <c r="G23" s="14">
        <v>1.0620284995808884</v>
      </c>
      <c r="H23" s="14">
        <v>3.6946574070890774</v>
      </c>
      <c r="I23" s="14">
        <v>0.10084033613445378</v>
      </c>
      <c r="J23" s="14">
        <v>0.6218487394957983</v>
      </c>
      <c r="K23" s="14">
        <v>0.5210084033613446</v>
      </c>
      <c r="L23" s="14">
        <v>0.19327731092436976</v>
      </c>
      <c r="M23" s="15"/>
    </row>
    <row r="24">
      <c r="A24" s="19" t="s">
        <v>9</v>
      </c>
      <c r="B24" s="13">
        <v>11.0</v>
      </c>
      <c r="C24" s="13">
        <v>21.0</v>
      </c>
      <c r="D24" s="13">
        <v>1154.0</v>
      </c>
      <c r="E24" s="14">
        <v>0.018197573656845753</v>
      </c>
      <c r="F24" s="12">
        <v>9.901213171577123</v>
      </c>
      <c r="G24" s="14">
        <v>2.625</v>
      </c>
      <c r="H24" s="14">
        <v>8.611940298507463</v>
      </c>
      <c r="I24" s="14">
        <v>0.0</v>
      </c>
      <c r="J24" s="14">
        <v>0.0</v>
      </c>
      <c r="K24" s="14">
        <v>0.36363636363636365</v>
      </c>
      <c r="L24" s="14">
        <v>0.09090909090909091</v>
      </c>
      <c r="M24" s="15"/>
    </row>
    <row r="25">
      <c r="A25" s="19" t="s">
        <v>10</v>
      </c>
      <c r="B25" s="13">
        <v>76.0</v>
      </c>
      <c r="C25" s="13">
        <v>3174.0</v>
      </c>
      <c r="D25" s="13">
        <v>497217.0</v>
      </c>
      <c r="E25" s="14">
        <v>0.006383530732054616</v>
      </c>
      <c r="F25" s="12">
        <v>4.299490966720768</v>
      </c>
      <c r="G25" s="14">
        <v>5.086538461538462</v>
      </c>
      <c r="H25" s="14">
        <v>6.9889799418073455</v>
      </c>
      <c r="I25" s="14">
        <v>0.013157894736842105</v>
      </c>
      <c r="J25" s="14">
        <v>0.25</v>
      </c>
      <c r="K25" s="14">
        <v>0.27631578947368424</v>
      </c>
      <c r="L25" s="14">
        <v>0.2631578947368421</v>
      </c>
      <c r="M25" s="15"/>
    </row>
    <row r="26">
      <c r="A26" s="1"/>
      <c r="B26" s="5"/>
      <c r="C26" s="5"/>
      <c r="D26" s="5"/>
      <c r="E26" s="16"/>
      <c r="F26" s="17"/>
      <c r="G26" s="18"/>
      <c r="H26" s="18"/>
      <c r="I26" s="18"/>
      <c r="J26" s="18"/>
      <c r="K26" s="18"/>
      <c r="L26" s="18"/>
      <c r="M26" s="15"/>
    </row>
    <row r="27">
      <c r="A27" s="1" t="s">
        <v>37</v>
      </c>
      <c r="B27" s="6"/>
      <c r="C27" s="6"/>
      <c r="D27" s="6"/>
      <c r="E27" s="7"/>
      <c r="F27" s="8"/>
      <c r="G27" s="9"/>
      <c r="H27" s="20" t="s">
        <v>38</v>
      </c>
      <c r="I27" s="21"/>
      <c r="J27" s="21"/>
      <c r="K27" s="21"/>
      <c r="L27" s="22"/>
    </row>
    <row r="28">
      <c r="A28" s="10" t="s">
        <v>36</v>
      </c>
      <c r="B28" s="11" t="s">
        <v>30</v>
      </c>
      <c r="C28" s="11" t="s">
        <v>31</v>
      </c>
      <c r="D28" s="11" t="s">
        <v>32</v>
      </c>
      <c r="E28" s="10" t="s">
        <v>33</v>
      </c>
      <c r="F28" s="12" t="s">
        <v>34</v>
      </c>
      <c r="G28" s="9"/>
      <c r="H28" s="23" t="s">
        <v>39</v>
      </c>
      <c r="I28" s="24"/>
      <c r="J28" s="25"/>
      <c r="K28" s="25"/>
      <c r="L28" s="26"/>
    </row>
    <row r="29">
      <c r="A29" s="19" t="s">
        <v>2</v>
      </c>
      <c r="B29" s="11">
        <v>1.0</v>
      </c>
      <c r="C29" s="11">
        <v>6.0</v>
      </c>
      <c r="D29" s="11">
        <v>68.0</v>
      </c>
      <c r="E29" s="10">
        <v>36.0</v>
      </c>
      <c r="F29" s="27">
        <v>22.0</v>
      </c>
      <c r="G29" s="9"/>
      <c r="H29" s="23" t="s">
        <v>40</v>
      </c>
      <c r="I29" s="24"/>
      <c r="J29" s="25"/>
      <c r="K29" s="25"/>
      <c r="L29" s="26"/>
    </row>
    <row r="30">
      <c r="A30" s="10" t="s">
        <v>3</v>
      </c>
      <c r="B30" s="11">
        <v>1.0</v>
      </c>
      <c r="C30" s="11">
        <v>19.0</v>
      </c>
      <c r="D30" s="11">
        <v>97.0</v>
      </c>
      <c r="E30" s="10">
        <v>35.0</v>
      </c>
      <c r="F30" s="10">
        <v>33.0</v>
      </c>
      <c r="G30" s="9"/>
      <c r="H30" s="23" t="s">
        <v>41</v>
      </c>
      <c r="I30" s="24"/>
      <c r="J30" s="25"/>
      <c r="K30" s="25"/>
      <c r="L30" s="26"/>
    </row>
    <row r="31">
      <c r="A31" s="19" t="s">
        <v>4</v>
      </c>
      <c r="B31" s="11">
        <v>1.0</v>
      </c>
      <c r="C31" s="11">
        <v>21.0</v>
      </c>
      <c r="D31" s="11">
        <v>34.0</v>
      </c>
      <c r="E31" s="10">
        <v>34.0</v>
      </c>
      <c r="F31" s="10">
        <v>15.0</v>
      </c>
      <c r="G31" s="9"/>
      <c r="H31" s="23" t="s">
        <v>42</v>
      </c>
      <c r="I31" s="24"/>
      <c r="J31" s="25"/>
      <c r="K31" s="25"/>
      <c r="L31" s="26"/>
    </row>
    <row r="32">
      <c r="A32" s="19" t="s">
        <v>5</v>
      </c>
      <c r="B32" s="11">
        <v>1.0</v>
      </c>
      <c r="C32" s="11">
        <v>3.0</v>
      </c>
      <c r="D32" s="11">
        <v>31.0</v>
      </c>
      <c r="E32" s="10">
        <v>0.0</v>
      </c>
      <c r="F32" s="10">
        <v>5.0</v>
      </c>
      <c r="G32" s="9"/>
      <c r="H32" s="23" t="s">
        <v>43</v>
      </c>
      <c r="I32" s="24"/>
      <c r="J32" s="25"/>
      <c r="K32" s="25"/>
      <c r="L32" s="26"/>
    </row>
    <row r="33">
      <c r="A33" s="19" t="s">
        <v>6</v>
      </c>
      <c r="B33" s="11">
        <v>1.0</v>
      </c>
      <c r="C33" s="11">
        <v>4.0</v>
      </c>
      <c r="D33" s="11">
        <v>22.0</v>
      </c>
      <c r="E33" s="10">
        <v>0.0</v>
      </c>
      <c r="F33" s="10">
        <v>2.0</v>
      </c>
      <c r="G33" s="9"/>
      <c r="H33" s="23" t="s">
        <v>44</v>
      </c>
      <c r="I33" s="24"/>
      <c r="J33" s="25"/>
      <c r="K33" s="25"/>
      <c r="L33" s="26"/>
    </row>
    <row r="34">
      <c r="A34" s="19" t="s">
        <v>7</v>
      </c>
      <c r="B34" s="11">
        <v>1.0</v>
      </c>
      <c r="C34" s="11">
        <v>7.0</v>
      </c>
      <c r="D34" s="11">
        <v>118.0</v>
      </c>
      <c r="E34" s="10">
        <v>0.0</v>
      </c>
      <c r="F34" s="10">
        <v>4.0</v>
      </c>
      <c r="G34" s="9"/>
      <c r="H34" s="23" t="s">
        <v>45</v>
      </c>
      <c r="I34" s="24"/>
      <c r="J34" s="25"/>
      <c r="K34" s="25"/>
      <c r="L34" s="26"/>
    </row>
    <row r="35">
      <c r="A35" s="19" t="s">
        <v>8</v>
      </c>
      <c r="B35" s="11">
        <v>1.0</v>
      </c>
      <c r="C35" s="11">
        <v>1.0</v>
      </c>
      <c r="D35" s="11">
        <v>114.0</v>
      </c>
      <c r="E35" s="10">
        <v>0.0</v>
      </c>
      <c r="F35" s="10">
        <v>3.0</v>
      </c>
      <c r="G35" s="9"/>
      <c r="H35" s="23" t="s">
        <v>46</v>
      </c>
      <c r="I35" s="24"/>
      <c r="J35" s="25"/>
      <c r="K35" s="25"/>
      <c r="L35" s="26"/>
    </row>
    <row r="36">
      <c r="A36" s="19" t="s">
        <v>9</v>
      </c>
      <c r="B36" s="11">
        <v>1.0</v>
      </c>
      <c r="C36" s="11">
        <v>1.0</v>
      </c>
      <c r="D36" s="11">
        <v>8.0</v>
      </c>
      <c r="E36" s="10">
        <v>0.0</v>
      </c>
      <c r="F36" s="10">
        <v>1.0</v>
      </c>
      <c r="G36" s="9"/>
      <c r="H36" s="23" t="s">
        <v>47</v>
      </c>
      <c r="I36" s="24"/>
      <c r="J36" s="25"/>
      <c r="K36" s="25"/>
      <c r="L36" s="26"/>
    </row>
    <row r="37">
      <c r="A37" s="19" t="s">
        <v>10</v>
      </c>
      <c r="B37" s="11">
        <v>1.0</v>
      </c>
      <c r="C37" s="11">
        <v>1.0</v>
      </c>
      <c r="D37" s="11">
        <v>70.0</v>
      </c>
      <c r="E37" s="10">
        <v>0.0</v>
      </c>
      <c r="F37" s="10">
        <v>4.0</v>
      </c>
      <c r="G37" s="9"/>
      <c r="H37" s="28" t="s">
        <v>48</v>
      </c>
      <c r="I37" s="29"/>
      <c r="J37" s="30"/>
      <c r="K37" s="30"/>
      <c r="L37" s="31"/>
    </row>
    <row r="38">
      <c r="A38" s="1"/>
      <c r="B38" s="5"/>
      <c r="C38" s="5"/>
      <c r="D38" s="5"/>
      <c r="E38" s="15"/>
      <c r="F38" s="15"/>
      <c r="G38" s="9"/>
      <c r="H38" s="9"/>
      <c r="I38" s="18"/>
      <c r="J38" s="9"/>
      <c r="K38" s="9"/>
      <c r="L38" s="9"/>
    </row>
    <row r="39">
      <c r="B39" s="6"/>
      <c r="C39" s="6"/>
      <c r="D39" s="6"/>
      <c r="G39" s="9"/>
      <c r="H39" s="9"/>
      <c r="I39" s="18"/>
      <c r="J39" s="9"/>
      <c r="K39" s="9"/>
      <c r="L39" s="9"/>
    </row>
    <row r="40">
      <c r="B40" s="6"/>
      <c r="C40" s="6"/>
      <c r="D40" s="6"/>
      <c r="G40" s="9"/>
      <c r="H40" s="9"/>
      <c r="I40" s="9"/>
      <c r="J40" s="9"/>
      <c r="K40" s="9"/>
      <c r="L40" s="9"/>
    </row>
    <row r="41">
      <c r="B41" s="6"/>
      <c r="C41" s="6"/>
      <c r="D41" s="6"/>
      <c r="G41" s="9"/>
      <c r="H41" s="9"/>
      <c r="I41" s="9"/>
      <c r="J41" s="9"/>
      <c r="K41" s="9"/>
      <c r="L41" s="9"/>
    </row>
    <row r="42">
      <c r="B42" s="6"/>
      <c r="C42" s="6"/>
      <c r="D42" s="6"/>
      <c r="G42" s="9"/>
      <c r="H42" s="9"/>
      <c r="I42" s="9"/>
      <c r="J42" s="9"/>
      <c r="K42" s="9"/>
      <c r="L42" s="9"/>
    </row>
    <row r="43">
      <c r="B43" s="6"/>
      <c r="C43" s="6"/>
      <c r="D43" s="6"/>
      <c r="G43" s="9"/>
      <c r="H43" s="9"/>
      <c r="I43" s="9"/>
      <c r="J43" s="9"/>
      <c r="K43" s="9"/>
      <c r="L43" s="9"/>
    </row>
    <row r="44">
      <c r="B44" s="6"/>
      <c r="C44" s="6"/>
      <c r="D44" s="6"/>
      <c r="G44" s="9"/>
      <c r="H44" s="9"/>
      <c r="I44" s="9"/>
      <c r="J44" s="9"/>
      <c r="K44" s="9"/>
      <c r="L44" s="9"/>
    </row>
    <row r="45">
      <c r="B45" s="6"/>
      <c r="C45" s="6"/>
      <c r="D45" s="6"/>
      <c r="G45" s="9"/>
      <c r="H45" s="9"/>
      <c r="I45" s="9"/>
      <c r="J45" s="9"/>
      <c r="K45" s="9"/>
      <c r="L45" s="9"/>
    </row>
    <row r="46">
      <c r="B46" s="6"/>
      <c r="C46" s="6"/>
      <c r="D46" s="6"/>
      <c r="G46" s="9"/>
      <c r="H46" s="9"/>
      <c r="I46" s="9"/>
      <c r="J46" s="9"/>
      <c r="K46" s="9"/>
      <c r="L46" s="9"/>
    </row>
    <row r="47">
      <c r="B47" s="6"/>
      <c r="C47" s="6"/>
      <c r="D47" s="6"/>
      <c r="G47" s="9"/>
      <c r="H47" s="9"/>
      <c r="I47" s="9"/>
      <c r="J47" s="9"/>
      <c r="K47" s="9"/>
      <c r="L47" s="9"/>
    </row>
    <row r="48">
      <c r="B48" s="6"/>
      <c r="C48" s="6"/>
      <c r="D48" s="6"/>
      <c r="G48" s="9"/>
      <c r="H48" s="9"/>
      <c r="I48" s="9"/>
      <c r="J48" s="9"/>
      <c r="K48" s="9"/>
      <c r="L48" s="9"/>
    </row>
    <row r="49">
      <c r="B49" s="6"/>
      <c r="C49" s="6"/>
      <c r="D49" s="6"/>
      <c r="G49" s="9"/>
      <c r="H49" s="9"/>
      <c r="I49" s="9"/>
      <c r="J49" s="9"/>
      <c r="K49" s="9"/>
      <c r="L49" s="9"/>
    </row>
    <row r="50">
      <c r="B50" s="6"/>
      <c r="C50" s="6"/>
      <c r="D50" s="6"/>
      <c r="G50" s="9"/>
      <c r="H50" s="9"/>
      <c r="I50" s="9"/>
      <c r="J50" s="9"/>
      <c r="K50" s="9"/>
      <c r="L50" s="9"/>
    </row>
    <row r="51">
      <c r="B51" s="6"/>
      <c r="C51" s="6"/>
      <c r="D51" s="6"/>
      <c r="G51" s="9"/>
      <c r="H51" s="9"/>
      <c r="I51" s="9"/>
      <c r="J51" s="9"/>
      <c r="K51" s="9"/>
      <c r="L51" s="9"/>
    </row>
    <row r="52">
      <c r="B52" s="6"/>
      <c r="C52" s="6"/>
      <c r="D52" s="6"/>
      <c r="G52" s="9"/>
      <c r="H52" s="9"/>
      <c r="I52" s="9"/>
      <c r="J52" s="9"/>
      <c r="K52" s="9"/>
      <c r="L52" s="9"/>
    </row>
    <row r="53">
      <c r="B53" s="6"/>
      <c r="C53" s="6"/>
      <c r="D53" s="6"/>
      <c r="G53" s="9"/>
      <c r="H53" s="9"/>
      <c r="I53" s="9"/>
      <c r="J53" s="9"/>
      <c r="K53" s="9"/>
      <c r="L53" s="9"/>
    </row>
    <row r="54">
      <c r="B54" s="6"/>
      <c r="C54" s="6"/>
      <c r="D54" s="6"/>
      <c r="G54" s="9"/>
      <c r="H54" s="9"/>
      <c r="I54" s="9"/>
      <c r="J54" s="9"/>
      <c r="K54" s="9"/>
      <c r="L54" s="9"/>
    </row>
    <row r="55">
      <c r="B55" s="6"/>
      <c r="C55" s="6"/>
      <c r="D55" s="6"/>
      <c r="H55" s="9"/>
      <c r="I55" s="9"/>
      <c r="J55" s="9"/>
      <c r="K55" s="9"/>
      <c r="L55" s="9"/>
    </row>
    <row r="56">
      <c r="B56" s="6"/>
      <c r="C56" s="6"/>
      <c r="D56" s="6"/>
      <c r="G56" s="9"/>
      <c r="H56" s="9"/>
      <c r="I56" s="9"/>
      <c r="J56" s="9"/>
      <c r="K56" s="9"/>
      <c r="L56" s="9"/>
    </row>
    <row r="57">
      <c r="B57" s="6"/>
      <c r="C57" s="6"/>
      <c r="D57" s="6"/>
      <c r="G57" s="9"/>
      <c r="H57" s="9"/>
      <c r="I57" s="9"/>
      <c r="J57" s="9"/>
      <c r="K57" s="9"/>
      <c r="L57" s="9"/>
    </row>
    <row r="58">
      <c r="B58" s="6"/>
      <c r="C58" s="6"/>
      <c r="D58" s="6"/>
      <c r="G58" s="9"/>
      <c r="H58" s="9"/>
      <c r="I58" s="9"/>
      <c r="J58" s="9"/>
      <c r="K58" s="9"/>
      <c r="L58" s="9"/>
    </row>
    <row r="59">
      <c r="B59" s="6"/>
      <c r="C59" s="6"/>
      <c r="D59" s="6"/>
      <c r="G59" s="9"/>
      <c r="H59" s="9"/>
      <c r="I59" s="9"/>
      <c r="J59" s="9"/>
      <c r="K59" s="9"/>
      <c r="L59" s="9"/>
    </row>
    <row r="60">
      <c r="B60" s="6"/>
      <c r="C60" s="6"/>
      <c r="D60" s="6"/>
      <c r="G60" s="9"/>
      <c r="H60" s="9"/>
      <c r="I60" s="9"/>
      <c r="J60" s="9"/>
      <c r="K60" s="9"/>
      <c r="L60" s="9"/>
    </row>
    <row r="61">
      <c r="B61" s="6"/>
      <c r="C61" s="6"/>
      <c r="D61" s="6"/>
      <c r="G61" s="9"/>
      <c r="H61" s="9"/>
      <c r="I61" s="9"/>
      <c r="J61" s="9"/>
      <c r="K61" s="9"/>
      <c r="L61" s="9"/>
    </row>
    <row r="62">
      <c r="B62" s="6"/>
      <c r="C62" s="6"/>
      <c r="D62" s="6"/>
      <c r="G62" s="9"/>
      <c r="H62" s="9"/>
      <c r="I62" s="9"/>
      <c r="J62" s="9"/>
      <c r="K62" s="9"/>
      <c r="L62" s="9"/>
    </row>
    <row r="63">
      <c r="B63" s="6"/>
      <c r="C63" s="6"/>
      <c r="D63" s="6"/>
      <c r="G63" s="9"/>
      <c r="H63" s="9"/>
      <c r="I63" s="9"/>
      <c r="J63" s="9"/>
      <c r="K63" s="9"/>
      <c r="L63" s="9"/>
    </row>
    <row r="64">
      <c r="B64" s="6"/>
      <c r="C64" s="6"/>
      <c r="D64" s="6"/>
      <c r="G64" s="9"/>
      <c r="H64" s="9"/>
      <c r="I64" s="9"/>
      <c r="J64" s="9"/>
      <c r="K64" s="9"/>
      <c r="L64" s="9"/>
    </row>
    <row r="65">
      <c r="B65" s="6"/>
      <c r="C65" s="6"/>
      <c r="D65" s="6"/>
      <c r="G65" s="9"/>
      <c r="H65" s="9"/>
      <c r="I65" s="9"/>
      <c r="J65" s="9"/>
      <c r="K65" s="9"/>
      <c r="L65" s="9"/>
    </row>
    <row r="66">
      <c r="B66" s="6"/>
      <c r="C66" s="6"/>
      <c r="D66" s="6"/>
      <c r="G66" s="9"/>
      <c r="H66" s="9"/>
      <c r="I66" s="9"/>
      <c r="J66" s="9"/>
      <c r="K66" s="9"/>
      <c r="L66" s="9"/>
    </row>
    <row r="67">
      <c r="B67" s="6"/>
      <c r="C67" s="6"/>
      <c r="D67" s="6"/>
      <c r="G67" s="9"/>
      <c r="H67" s="9"/>
      <c r="I67" s="9"/>
      <c r="J67" s="9"/>
      <c r="K67" s="9"/>
      <c r="L67" s="9"/>
    </row>
    <row r="68">
      <c r="B68" s="6"/>
      <c r="C68" s="6"/>
      <c r="D68" s="6"/>
      <c r="G68" s="9"/>
      <c r="H68" s="9"/>
      <c r="I68" s="9"/>
      <c r="J68" s="9"/>
      <c r="K68" s="9"/>
      <c r="L68" s="9"/>
    </row>
    <row r="69">
      <c r="B69" s="6"/>
      <c r="C69" s="6"/>
      <c r="D69" s="6"/>
      <c r="G69" s="9"/>
      <c r="H69" s="9"/>
      <c r="I69" s="9"/>
      <c r="J69" s="9"/>
      <c r="K69" s="9"/>
      <c r="L69" s="9"/>
    </row>
    <row r="70">
      <c r="B70" s="6"/>
      <c r="C70" s="6"/>
      <c r="D70" s="6"/>
      <c r="G70" s="9"/>
      <c r="H70" s="9"/>
      <c r="I70" s="9"/>
      <c r="J70" s="9"/>
      <c r="K70" s="9"/>
      <c r="L70" s="9"/>
    </row>
    <row r="71">
      <c r="B71" s="6"/>
      <c r="C71" s="6"/>
      <c r="D71" s="6"/>
      <c r="G71" s="9"/>
      <c r="H71" s="9"/>
      <c r="I71" s="9"/>
      <c r="J71" s="9"/>
      <c r="K71" s="9"/>
      <c r="L71" s="9"/>
    </row>
    <row r="72">
      <c r="B72" s="6"/>
      <c r="C72" s="6"/>
      <c r="D72" s="6"/>
      <c r="G72" s="9"/>
      <c r="H72" s="9"/>
      <c r="I72" s="9"/>
      <c r="J72" s="9"/>
      <c r="K72" s="9"/>
      <c r="L72" s="9"/>
    </row>
    <row r="73">
      <c r="B73" s="6"/>
      <c r="C73" s="6"/>
      <c r="D73" s="6"/>
      <c r="G73" s="9"/>
      <c r="H73" s="9"/>
      <c r="I73" s="9"/>
      <c r="J73" s="9"/>
      <c r="K73" s="9"/>
      <c r="L73" s="9"/>
    </row>
    <row r="74">
      <c r="B74" s="6"/>
      <c r="C74" s="6"/>
      <c r="D74" s="6"/>
      <c r="G74" s="9"/>
      <c r="H74" s="9"/>
      <c r="I74" s="9"/>
      <c r="J74" s="9"/>
      <c r="K74" s="9"/>
      <c r="L74" s="9"/>
    </row>
    <row r="75">
      <c r="B75" s="6"/>
      <c r="C75" s="6"/>
      <c r="D75" s="6"/>
      <c r="G75" s="9"/>
      <c r="H75" s="9"/>
      <c r="I75" s="9"/>
      <c r="J75" s="9"/>
      <c r="K75" s="9"/>
      <c r="L75" s="9"/>
    </row>
    <row r="76">
      <c r="B76" s="6"/>
      <c r="C76" s="6"/>
      <c r="D76" s="6"/>
      <c r="G76" s="9"/>
      <c r="H76" s="9"/>
      <c r="I76" s="9"/>
      <c r="J76" s="9"/>
      <c r="K76" s="9"/>
      <c r="L76" s="9"/>
    </row>
    <row r="77">
      <c r="B77" s="6"/>
      <c r="C77" s="6"/>
      <c r="D77" s="6"/>
      <c r="G77" s="9"/>
      <c r="H77" s="9"/>
      <c r="I77" s="9"/>
      <c r="J77" s="9"/>
      <c r="K77" s="9"/>
      <c r="L77" s="9"/>
    </row>
    <row r="78">
      <c r="B78" s="6"/>
      <c r="C78" s="6"/>
      <c r="D78" s="6"/>
      <c r="G78" s="9"/>
      <c r="H78" s="9"/>
      <c r="I78" s="9"/>
      <c r="J78" s="9"/>
      <c r="K78" s="9"/>
      <c r="L78" s="9"/>
    </row>
    <row r="79">
      <c r="B79" s="6"/>
      <c r="C79" s="6"/>
      <c r="D79" s="6"/>
      <c r="G79" s="9"/>
      <c r="H79" s="9"/>
      <c r="I79" s="9"/>
      <c r="J79" s="9"/>
      <c r="K79" s="9"/>
      <c r="L79" s="9"/>
    </row>
    <row r="80">
      <c r="B80" s="6"/>
      <c r="C80" s="6"/>
      <c r="D80" s="6"/>
      <c r="G80" s="9"/>
      <c r="H80" s="9"/>
      <c r="I80" s="9"/>
      <c r="J80" s="9"/>
      <c r="K80" s="9"/>
      <c r="L80" s="9"/>
    </row>
    <row r="81">
      <c r="B81" s="6"/>
      <c r="C81" s="6"/>
      <c r="D81" s="6"/>
      <c r="G81" s="9"/>
      <c r="H81" s="9"/>
      <c r="I81" s="9"/>
      <c r="J81" s="9"/>
      <c r="K81" s="9"/>
      <c r="L81" s="9"/>
    </row>
    <row r="82">
      <c r="B82" s="6"/>
      <c r="C82" s="6"/>
      <c r="D82" s="6"/>
      <c r="G82" s="9"/>
      <c r="H82" s="9"/>
      <c r="I82" s="9"/>
      <c r="J82" s="9"/>
      <c r="K82" s="9"/>
      <c r="L82" s="9"/>
    </row>
    <row r="83">
      <c r="B83" s="6"/>
      <c r="C83" s="6"/>
      <c r="D83" s="6"/>
      <c r="G83" s="9"/>
      <c r="H83" s="9"/>
      <c r="I83" s="9"/>
      <c r="J83" s="9"/>
      <c r="K83" s="9"/>
      <c r="L83" s="9"/>
    </row>
    <row r="84">
      <c r="B84" s="6"/>
      <c r="C84" s="6"/>
      <c r="D84" s="6"/>
      <c r="G84" s="9"/>
      <c r="H84" s="9"/>
      <c r="I84" s="9"/>
      <c r="J84" s="9"/>
      <c r="K84" s="9"/>
      <c r="L84" s="9"/>
    </row>
    <row r="85">
      <c r="B85" s="6"/>
      <c r="C85" s="6"/>
      <c r="D85" s="6"/>
      <c r="G85" s="9"/>
      <c r="H85" s="9"/>
      <c r="I85" s="9"/>
      <c r="J85" s="9"/>
      <c r="K85" s="9"/>
      <c r="L85" s="9"/>
    </row>
    <row r="86">
      <c r="B86" s="6"/>
      <c r="C86" s="6"/>
      <c r="D86" s="6"/>
      <c r="G86" s="9"/>
      <c r="H86" s="9"/>
      <c r="I86" s="9"/>
      <c r="J86" s="9"/>
      <c r="K86" s="9"/>
      <c r="L86" s="9"/>
    </row>
    <row r="87">
      <c r="B87" s="6"/>
      <c r="C87" s="6"/>
      <c r="D87" s="6"/>
      <c r="G87" s="9"/>
      <c r="H87" s="9"/>
      <c r="I87" s="9"/>
      <c r="J87" s="9"/>
      <c r="K87" s="9"/>
      <c r="L87" s="9"/>
    </row>
    <row r="88">
      <c r="B88" s="6"/>
      <c r="C88" s="6"/>
      <c r="D88" s="6"/>
      <c r="G88" s="9"/>
      <c r="H88" s="9"/>
      <c r="I88" s="9"/>
      <c r="J88" s="9"/>
      <c r="K88" s="9"/>
      <c r="L88" s="9"/>
    </row>
    <row r="89">
      <c r="B89" s="6"/>
      <c r="C89" s="6"/>
      <c r="D89" s="6"/>
      <c r="G89" s="9"/>
      <c r="H89" s="9"/>
      <c r="I89" s="9"/>
      <c r="J89" s="9"/>
      <c r="K89" s="9"/>
      <c r="L89" s="9"/>
    </row>
    <row r="90">
      <c r="B90" s="6"/>
      <c r="C90" s="6"/>
      <c r="D90" s="6"/>
      <c r="G90" s="9"/>
      <c r="H90" s="9"/>
      <c r="I90" s="9"/>
      <c r="J90" s="9"/>
      <c r="K90" s="9"/>
      <c r="L90" s="9"/>
    </row>
    <row r="91">
      <c r="B91" s="6"/>
      <c r="C91" s="6"/>
      <c r="D91" s="6"/>
      <c r="G91" s="9"/>
      <c r="H91" s="9"/>
      <c r="I91" s="9"/>
      <c r="J91" s="9"/>
      <c r="K91" s="9"/>
      <c r="L91" s="9"/>
    </row>
    <row r="92">
      <c r="B92" s="6"/>
      <c r="C92" s="6"/>
      <c r="D92" s="6"/>
      <c r="G92" s="9"/>
      <c r="H92" s="9"/>
      <c r="I92" s="9"/>
      <c r="J92" s="9"/>
      <c r="K92" s="9"/>
      <c r="L92" s="9"/>
    </row>
    <row r="93">
      <c r="B93" s="6"/>
      <c r="C93" s="6"/>
      <c r="D93" s="6"/>
      <c r="G93" s="9"/>
      <c r="H93" s="9"/>
      <c r="I93" s="9"/>
      <c r="J93" s="9"/>
      <c r="K93" s="9"/>
      <c r="L93" s="9"/>
    </row>
    <row r="94">
      <c r="B94" s="6"/>
      <c r="C94" s="6"/>
      <c r="D94" s="6"/>
      <c r="G94" s="9"/>
      <c r="H94" s="9"/>
      <c r="I94" s="9"/>
      <c r="J94" s="9"/>
      <c r="K94" s="9"/>
      <c r="L94" s="9"/>
    </row>
    <row r="95">
      <c r="B95" s="6"/>
      <c r="C95" s="6"/>
      <c r="D95" s="6"/>
      <c r="G95" s="9"/>
      <c r="H95" s="9"/>
      <c r="I95" s="9"/>
      <c r="J95" s="9"/>
      <c r="K95" s="9"/>
      <c r="L95" s="9"/>
    </row>
    <row r="96">
      <c r="B96" s="6"/>
      <c r="C96" s="6"/>
      <c r="D96" s="6"/>
      <c r="G96" s="9"/>
      <c r="H96" s="9"/>
      <c r="I96" s="9"/>
      <c r="J96" s="9"/>
      <c r="K96" s="9"/>
      <c r="L96" s="9"/>
    </row>
    <row r="97">
      <c r="B97" s="6"/>
      <c r="C97" s="6"/>
      <c r="D97" s="6"/>
      <c r="G97" s="9"/>
      <c r="H97" s="9"/>
      <c r="I97" s="9"/>
      <c r="J97" s="9"/>
      <c r="K97" s="9"/>
      <c r="L97" s="9"/>
    </row>
    <row r="98">
      <c r="B98" s="6"/>
      <c r="C98" s="6"/>
      <c r="D98" s="6"/>
      <c r="G98" s="9"/>
      <c r="H98" s="9"/>
      <c r="I98" s="9"/>
      <c r="J98" s="9"/>
      <c r="K98" s="9"/>
      <c r="L98" s="9"/>
    </row>
    <row r="99">
      <c r="B99" s="6"/>
      <c r="C99" s="6"/>
      <c r="D99" s="6"/>
      <c r="G99" s="9"/>
      <c r="H99" s="9"/>
      <c r="I99" s="9"/>
      <c r="J99" s="9"/>
      <c r="K99" s="9"/>
      <c r="L99" s="9"/>
    </row>
    <row r="100">
      <c r="B100" s="6"/>
      <c r="C100" s="6"/>
      <c r="D100" s="6"/>
      <c r="G100" s="9"/>
      <c r="H100" s="9"/>
      <c r="I100" s="9"/>
      <c r="J100" s="9"/>
      <c r="K100" s="9"/>
      <c r="L100" s="9"/>
    </row>
    <row r="101">
      <c r="B101" s="6"/>
      <c r="C101" s="6"/>
      <c r="D101" s="6"/>
      <c r="G101" s="9"/>
      <c r="H101" s="9"/>
      <c r="I101" s="9"/>
      <c r="J101" s="9"/>
      <c r="K101" s="9"/>
      <c r="L101" s="9"/>
    </row>
    <row r="102">
      <c r="B102" s="6"/>
      <c r="C102" s="6"/>
      <c r="D102" s="6"/>
      <c r="G102" s="9"/>
      <c r="H102" s="9"/>
      <c r="I102" s="9"/>
      <c r="J102" s="9"/>
      <c r="K102" s="9"/>
      <c r="L102" s="9"/>
    </row>
    <row r="103">
      <c r="B103" s="6"/>
      <c r="C103" s="6"/>
      <c r="D103" s="6"/>
      <c r="G103" s="9"/>
      <c r="H103" s="9"/>
      <c r="I103" s="9"/>
      <c r="J103" s="9"/>
      <c r="K103" s="9"/>
      <c r="L103" s="9"/>
    </row>
    <row r="104">
      <c r="B104" s="6"/>
      <c r="C104" s="6"/>
      <c r="D104" s="6"/>
      <c r="G104" s="9"/>
      <c r="H104" s="9"/>
      <c r="I104" s="9"/>
      <c r="J104" s="9"/>
      <c r="K104" s="9"/>
      <c r="L104" s="9"/>
    </row>
    <row r="105">
      <c r="B105" s="6"/>
      <c r="C105" s="6"/>
      <c r="D105" s="6"/>
      <c r="G105" s="9"/>
      <c r="H105" s="9"/>
      <c r="I105" s="9"/>
      <c r="J105" s="9"/>
      <c r="K105" s="9"/>
      <c r="L105" s="9"/>
    </row>
    <row r="106">
      <c r="B106" s="6"/>
      <c r="C106" s="6"/>
      <c r="D106" s="6"/>
      <c r="G106" s="9"/>
      <c r="H106" s="9"/>
      <c r="I106" s="9"/>
      <c r="J106" s="9"/>
      <c r="K106" s="9"/>
      <c r="L106" s="9"/>
    </row>
    <row r="107">
      <c r="B107" s="6"/>
      <c r="C107" s="6"/>
      <c r="D107" s="6"/>
      <c r="G107" s="9"/>
      <c r="H107" s="9"/>
      <c r="I107" s="9"/>
      <c r="J107" s="9"/>
      <c r="K107" s="9"/>
      <c r="L107" s="9"/>
    </row>
    <row r="108">
      <c r="B108" s="6"/>
      <c r="C108" s="6"/>
      <c r="D108" s="6"/>
      <c r="G108" s="9"/>
      <c r="H108" s="9"/>
      <c r="I108" s="9"/>
      <c r="J108" s="9"/>
      <c r="K108" s="9"/>
      <c r="L108" s="9"/>
    </row>
    <row r="109">
      <c r="B109" s="6"/>
      <c r="C109" s="6"/>
      <c r="D109" s="6"/>
      <c r="G109" s="9"/>
      <c r="H109" s="9"/>
      <c r="I109" s="9"/>
      <c r="J109" s="9"/>
      <c r="K109" s="9"/>
      <c r="L109" s="9"/>
    </row>
    <row r="110">
      <c r="B110" s="6"/>
      <c r="C110" s="6"/>
      <c r="D110" s="6"/>
      <c r="G110" s="9"/>
      <c r="H110" s="9"/>
      <c r="I110" s="9"/>
      <c r="J110" s="9"/>
      <c r="K110" s="9"/>
      <c r="L110" s="9"/>
    </row>
    <row r="111">
      <c r="B111" s="6"/>
      <c r="C111" s="6"/>
      <c r="D111" s="6"/>
      <c r="G111" s="9"/>
      <c r="H111" s="9"/>
      <c r="I111" s="9"/>
      <c r="J111" s="9"/>
      <c r="K111" s="9"/>
      <c r="L111" s="9"/>
    </row>
    <row r="112">
      <c r="B112" s="6"/>
      <c r="C112" s="6"/>
      <c r="D112" s="6"/>
      <c r="G112" s="9"/>
      <c r="H112" s="9"/>
      <c r="I112" s="9"/>
      <c r="J112" s="9"/>
      <c r="K112" s="9"/>
      <c r="L112" s="9"/>
    </row>
    <row r="113">
      <c r="B113" s="6"/>
      <c r="C113" s="6"/>
      <c r="D113" s="6"/>
      <c r="G113" s="9"/>
      <c r="H113" s="9"/>
      <c r="I113" s="9"/>
      <c r="J113" s="9"/>
      <c r="K113" s="9"/>
      <c r="L113" s="9"/>
    </row>
    <row r="114">
      <c r="B114" s="6"/>
      <c r="C114" s="6"/>
      <c r="D114" s="6"/>
      <c r="G114" s="9"/>
      <c r="H114" s="9"/>
      <c r="I114" s="9"/>
      <c r="J114" s="9"/>
      <c r="K114" s="9"/>
      <c r="L114" s="9"/>
    </row>
    <row r="115">
      <c r="B115" s="6"/>
      <c r="C115" s="6"/>
      <c r="D115" s="6"/>
      <c r="G115" s="9"/>
      <c r="H115" s="9"/>
      <c r="I115" s="9"/>
      <c r="J115" s="9"/>
      <c r="K115" s="9"/>
      <c r="L115" s="9"/>
    </row>
    <row r="116">
      <c r="B116" s="6"/>
      <c r="C116" s="6"/>
      <c r="D116" s="6"/>
      <c r="G116" s="9"/>
      <c r="H116" s="9"/>
      <c r="I116" s="9"/>
      <c r="J116" s="9"/>
      <c r="K116" s="9"/>
      <c r="L116" s="9"/>
    </row>
    <row r="117">
      <c r="B117" s="6"/>
      <c r="C117" s="6"/>
      <c r="D117" s="6"/>
      <c r="G117" s="9"/>
      <c r="H117" s="9"/>
      <c r="I117" s="9"/>
      <c r="J117" s="9"/>
      <c r="K117" s="9"/>
      <c r="L117" s="9"/>
    </row>
    <row r="118">
      <c r="B118" s="6"/>
      <c r="C118" s="6"/>
      <c r="D118" s="6"/>
      <c r="G118" s="9"/>
      <c r="H118" s="9"/>
      <c r="I118" s="9"/>
      <c r="J118" s="9"/>
      <c r="K118" s="9"/>
      <c r="L118" s="9"/>
    </row>
    <row r="119">
      <c r="B119" s="6"/>
      <c r="C119" s="6"/>
      <c r="D119" s="6"/>
      <c r="G119" s="9"/>
      <c r="H119" s="9"/>
      <c r="I119" s="9"/>
      <c r="J119" s="9"/>
      <c r="K119" s="9"/>
      <c r="L119" s="9"/>
    </row>
    <row r="120">
      <c r="B120" s="6"/>
      <c r="C120" s="6"/>
      <c r="D120" s="6"/>
      <c r="G120" s="9"/>
      <c r="H120" s="9"/>
      <c r="I120" s="9"/>
      <c r="J120" s="9"/>
      <c r="K120" s="9"/>
      <c r="L120" s="9"/>
    </row>
    <row r="121">
      <c r="B121" s="6"/>
      <c r="C121" s="6"/>
      <c r="D121" s="6"/>
      <c r="G121" s="9"/>
      <c r="H121" s="9"/>
      <c r="I121" s="9"/>
      <c r="J121" s="9"/>
      <c r="K121" s="9"/>
      <c r="L121" s="9"/>
    </row>
    <row r="122">
      <c r="B122" s="6"/>
      <c r="C122" s="6"/>
      <c r="D122" s="6"/>
      <c r="G122" s="9"/>
      <c r="H122" s="9"/>
      <c r="I122" s="9"/>
      <c r="J122" s="9"/>
      <c r="K122" s="9"/>
      <c r="L122" s="9"/>
    </row>
    <row r="123">
      <c r="B123" s="6"/>
      <c r="C123" s="6"/>
      <c r="D123" s="6"/>
      <c r="G123" s="9"/>
      <c r="H123" s="9"/>
      <c r="I123" s="9"/>
      <c r="J123" s="9"/>
      <c r="K123" s="9"/>
      <c r="L123" s="9"/>
    </row>
    <row r="124">
      <c r="B124" s="6"/>
      <c r="C124" s="6"/>
      <c r="D124" s="6"/>
      <c r="G124" s="9"/>
      <c r="H124" s="9"/>
      <c r="I124" s="9"/>
      <c r="J124" s="9"/>
      <c r="K124" s="9"/>
      <c r="L124" s="9"/>
    </row>
    <row r="125">
      <c r="B125" s="6"/>
      <c r="C125" s="6"/>
      <c r="D125" s="6"/>
      <c r="G125" s="9"/>
      <c r="H125" s="9"/>
      <c r="I125" s="9"/>
      <c r="J125" s="9"/>
      <c r="K125" s="9"/>
      <c r="L125" s="9"/>
    </row>
    <row r="126">
      <c r="B126" s="6"/>
      <c r="C126" s="6"/>
      <c r="D126" s="6"/>
      <c r="G126" s="9"/>
      <c r="H126" s="9"/>
      <c r="I126" s="9"/>
      <c r="J126" s="9"/>
      <c r="K126" s="9"/>
      <c r="L126" s="9"/>
    </row>
    <row r="127">
      <c r="B127" s="6"/>
      <c r="C127" s="6"/>
      <c r="D127" s="6"/>
      <c r="G127" s="9"/>
      <c r="H127" s="9"/>
      <c r="I127" s="9"/>
      <c r="J127" s="9"/>
      <c r="K127" s="9"/>
      <c r="L127" s="9"/>
    </row>
    <row r="128">
      <c r="B128" s="6"/>
      <c r="C128" s="6"/>
      <c r="D128" s="6"/>
      <c r="G128" s="9"/>
      <c r="H128" s="9"/>
      <c r="I128" s="9"/>
      <c r="J128" s="9"/>
      <c r="K128" s="9"/>
      <c r="L128" s="9"/>
    </row>
    <row r="129">
      <c r="B129" s="6"/>
      <c r="C129" s="6"/>
      <c r="D129" s="6"/>
      <c r="G129" s="9"/>
      <c r="H129" s="9"/>
      <c r="I129" s="9"/>
      <c r="J129" s="9"/>
      <c r="K129" s="9"/>
      <c r="L129" s="9"/>
    </row>
    <row r="130">
      <c r="B130" s="6"/>
      <c r="C130" s="6"/>
      <c r="D130" s="6"/>
      <c r="G130" s="9"/>
      <c r="H130" s="9"/>
      <c r="I130" s="9"/>
      <c r="J130" s="9"/>
      <c r="K130" s="9"/>
      <c r="L130" s="9"/>
    </row>
    <row r="131">
      <c r="B131" s="6"/>
      <c r="C131" s="6"/>
      <c r="D131" s="6"/>
      <c r="G131" s="9"/>
      <c r="H131" s="9"/>
      <c r="I131" s="9"/>
      <c r="J131" s="9"/>
      <c r="K131" s="9"/>
      <c r="L131" s="9"/>
    </row>
    <row r="132">
      <c r="B132" s="6"/>
      <c r="C132" s="6"/>
      <c r="D132" s="6"/>
      <c r="G132" s="9"/>
      <c r="H132" s="9"/>
      <c r="I132" s="9"/>
      <c r="J132" s="9"/>
      <c r="K132" s="9"/>
      <c r="L132" s="9"/>
    </row>
    <row r="133">
      <c r="B133" s="6"/>
      <c r="C133" s="6"/>
      <c r="D133" s="6"/>
      <c r="G133" s="9"/>
      <c r="H133" s="9"/>
      <c r="I133" s="9"/>
      <c r="J133" s="9"/>
      <c r="K133" s="9"/>
      <c r="L133" s="9"/>
    </row>
    <row r="134">
      <c r="B134" s="6"/>
      <c r="C134" s="6"/>
      <c r="D134" s="6"/>
      <c r="G134" s="9"/>
      <c r="H134" s="9"/>
      <c r="I134" s="9"/>
      <c r="J134" s="9"/>
      <c r="K134" s="9"/>
      <c r="L134" s="9"/>
    </row>
    <row r="135">
      <c r="B135" s="6"/>
      <c r="C135" s="6"/>
      <c r="D135" s="6"/>
      <c r="G135" s="9"/>
      <c r="H135" s="9"/>
      <c r="I135" s="9"/>
      <c r="J135" s="9"/>
      <c r="K135" s="9"/>
      <c r="L135" s="9"/>
    </row>
    <row r="136">
      <c r="B136" s="6"/>
      <c r="C136" s="6"/>
      <c r="D136" s="6"/>
      <c r="G136" s="9"/>
      <c r="H136" s="9"/>
      <c r="I136" s="9"/>
      <c r="J136" s="9"/>
      <c r="K136" s="9"/>
      <c r="L136" s="9"/>
    </row>
    <row r="137">
      <c r="B137" s="6"/>
      <c r="C137" s="6"/>
      <c r="D137" s="6"/>
      <c r="G137" s="9"/>
      <c r="H137" s="9"/>
      <c r="I137" s="9"/>
      <c r="J137" s="9"/>
      <c r="K137" s="9"/>
      <c r="L137" s="9"/>
    </row>
    <row r="138">
      <c r="B138" s="6"/>
      <c r="C138" s="6"/>
      <c r="D138" s="6"/>
      <c r="G138" s="9"/>
      <c r="H138" s="9"/>
      <c r="I138" s="9"/>
      <c r="J138" s="9"/>
      <c r="K138" s="9"/>
      <c r="L138" s="9"/>
    </row>
    <row r="139">
      <c r="B139" s="6"/>
      <c r="C139" s="6"/>
      <c r="D139" s="6"/>
      <c r="G139" s="9"/>
      <c r="H139" s="9"/>
      <c r="I139" s="9"/>
      <c r="J139" s="9"/>
      <c r="K139" s="9"/>
      <c r="L139" s="9"/>
    </row>
    <row r="140">
      <c r="B140" s="6"/>
      <c r="C140" s="6"/>
      <c r="D140" s="6"/>
      <c r="G140" s="9"/>
      <c r="H140" s="9"/>
      <c r="I140" s="9"/>
      <c r="J140" s="9"/>
      <c r="K140" s="9"/>
      <c r="L140" s="9"/>
    </row>
    <row r="141">
      <c r="B141" s="6"/>
      <c r="C141" s="6"/>
      <c r="D141" s="6"/>
      <c r="G141" s="9"/>
      <c r="H141" s="9"/>
      <c r="I141" s="9"/>
      <c r="J141" s="9"/>
      <c r="K141" s="9"/>
      <c r="L141" s="9"/>
    </row>
    <row r="142">
      <c r="B142" s="6"/>
      <c r="C142" s="6"/>
      <c r="D142" s="6"/>
      <c r="G142" s="9"/>
      <c r="H142" s="9"/>
      <c r="I142" s="9"/>
      <c r="J142" s="9"/>
      <c r="K142" s="9"/>
      <c r="L142" s="9"/>
    </row>
    <row r="143">
      <c r="B143" s="6"/>
      <c r="C143" s="6"/>
      <c r="D143" s="6"/>
      <c r="G143" s="9"/>
      <c r="H143" s="9"/>
      <c r="I143" s="9"/>
      <c r="J143" s="9"/>
      <c r="K143" s="9"/>
      <c r="L143" s="9"/>
    </row>
    <row r="144">
      <c r="B144" s="6"/>
      <c r="C144" s="6"/>
      <c r="D144" s="6"/>
      <c r="G144" s="9"/>
      <c r="H144" s="9"/>
      <c r="I144" s="9"/>
      <c r="J144" s="9"/>
      <c r="K144" s="9"/>
      <c r="L144" s="9"/>
    </row>
    <row r="145">
      <c r="B145" s="6"/>
      <c r="C145" s="6"/>
      <c r="D145" s="6"/>
      <c r="G145" s="9"/>
      <c r="H145" s="9"/>
      <c r="I145" s="9"/>
      <c r="J145" s="9"/>
      <c r="K145" s="9"/>
      <c r="L145" s="9"/>
    </row>
    <row r="146">
      <c r="B146" s="6"/>
      <c r="C146" s="6"/>
      <c r="D146" s="6"/>
      <c r="G146" s="9"/>
      <c r="H146" s="9"/>
      <c r="I146" s="9"/>
      <c r="J146" s="9"/>
      <c r="K146" s="9"/>
      <c r="L146" s="9"/>
    </row>
    <row r="147">
      <c r="B147" s="6"/>
      <c r="C147" s="6"/>
      <c r="D147" s="6"/>
      <c r="G147" s="9"/>
      <c r="H147" s="9"/>
      <c r="I147" s="9"/>
      <c r="J147" s="9"/>
      <c r="K147" s="9"/>
      <c r="L147" s="9"/>
    </row>
    <row r="148">
      <c r="B148" s="6"/>
      <c r="C148" s="6"/>
      <c r="D148" s="6"/>
      <c r="G148" s="9"/>
      <c r="H148" s="9"/>
      <c r="I148" s="9"/>
      <c r="J148" s="9"/>
      <c r="K148" s="9"/>
      <c r="L148" s="9"/>
    </row>
    <row r="149">
      <c r="B149" s="6"/>
      <c r="C149" s="6"/>
      <c r="D149" s="6"/>
      <c r="G149" s="9"/>
      <c r="H149" s="9"/>
      <c r="I149" s="9"/>
      <c r="J149" s="9"/>
      <c r="K149" s="9"/>
      <c r="L149" s="9"/>
    </row>
    <row r="150">
      <c r="B150" s="6"/>
      <c r="C150" s="6"/>
      <c r="D150" s="6"/>
      <c r="G150" s="9"/>
      <c r="H150" s="9"/>
      <c r="I150" s="9"/>
      <c r="J150" s="9"/>
      <c r="K150" s="9"/>
      <c r="L150" s="9"/>
    </row>
    <row r="151">
      <c r="B151" s="6"/>
      <c r="C151" s="6"/>
      <c r="D151" s="6"/>
      <c r="G151" s="9"/>
      <c r="H151" s="9"/>
      <c r="I151" s="9"/>
      <c r="J151" s="9"/>
      <c r="K151" s="9"/>
      <c r="L151" s="9"/>
    </row>
    <row r="152">
      <c r="B152" s="6"/>
      <c r="C152" s="6"/>
      <c r="D152" s="6"/>
      <c r="G152" s="9"/>
      <c r="H152" s="9"/>
      <c r="I152" s="9"/>
      <c r="J152" s="9"/>
      <c r="K152" s="9"/>
      <c r="L152" s="9"/>
    </row>
    <row r="153">
      <c r="B153" s="6"/>
      <c r="C153" s="6"/>
      <c r="D153" s="6"/>
      <c r="G153" s="9"/>
      <c r="H153" s="9"/>
      <c r="I153" s="9"/>
      <c r="J153" s="9"/>
      <c r="K153" s="9"/>
      <c r="L153" s="9"/>
    </row>
    <row r="154">
      <c r="B154" s="6"/>
      <c r="C154" s="6"/>
      <c r="D154" s="6"/>
      <c r="G154" s="9"/>
      <c r="H154" s="9"/>
      <c r="I154" s="9"/>
      <c r="J154" s="9"/>
      <c r="K154" s="9"/>
      <c r="L154" s="9"/>
    </row>
    <row r="155">
      <c r="B155" s="6"/>
      <c r="C155" s="6"/>
      <c r="D155" s="6"/>
      <c r="G155" s="9"/>
      <c r="H155" s="9"/>
      <c r="I155" s="9"/>
      <c r="J155" s="9"/>
      <c r="K155" s="9"/>
      <c r="L155" s="9"/>
    </row>
    <row r="156">
      <c r="B156" s="6"/>
      <c r="C156" s="6"/>
      <c r="D156" s="6"/>
      <c r="G156" s="9"/>
      <c r="H156" s="9"/>
      <c r="I156" s="9"/>
      <c r="J156" s="9"/>
      <c r="K156" s="9"/>
      <c r="L156" s="9"/>
    </row>
    <row r="157">
      <c r="B157" s="6"/>
      <c r="C157" s="6"/>
      <c r="D157" s="6"/>
      <c r="G157" s="9"/>
      <c r="H157" s="9"/>
      <c r="I157" s="9"/>
      <c r="J157" s="9"/>
      <c r="K157" s="9"/>
      <c r="L157" s="9"/>
    </row>
    <row r="158">
      <c r="B158" s="6"/>
      <c r="C158" s="6"/>
      <c r="D158" s="6"/>
      <c r="G158" s="9"/>
      <c r="H158" s="9"/>
      <c r="I158" s="9"/>
      <c r="J158" s="9"/>
      <c r="K158" s="9"/>
      <c r="L158" s="9"/>
    </row>
    <row r="159">
      <c r="B159" s="6"/>
      <c r="C159" s="6"/>
      <c r="D159" s="6"/>
      <c r="G159" s="9"/>
      <c r="H159" s="9"/>
      <c r="I159" s="9"/>
      <c r="J159" s="9"/>
      <c r="K159" s="9"/>
      <c r="L159" s="9"/>
    </row>
    <row r="160">
      <c r="B160" s="6"/>
      <c r="C160" s="6"/>
      <c r="D160" s="6"/>
      <c r="G160" s="9"/>
      <c r="H160" s="9"/>
      <c r="I160" s="9"/>
      <c r="J160" s="9"/>
      <c r="K160" s="9"/>
      <c r="L160" s="9"/>
    </row>
    <row r="161">
      <c r="B161" s="6"/>
      <c r="C161" s="6"/>
      <c r="D161" s="6"/>
      <c r="G161" s="9"/>
      <c r="H161" s="9"/>
      <c r="I161" s="9"/>
      <c r="J161" s="9"/>
      <c r="K161" s="9"/>
      <c r="L161" s="9"/>
    </row>
    <row r="162">
      <c r="B162" s="6"/>
      <c r="C162" s="6"/>
      <c r="D162" s="6"/>
      <c r="G162" s="9"/>
      <c r="H162" s="9"/>
      <c r="I162" s="9"/>
      <c r="J162" s="9"/>
      <c r="K162" s="9"/>
      <c r="L162" s="9"/>
    </row>
    <row r="163">
      <c r="B163" s="6"/>
      <c r="C163" s="6"/>
      <c r="D163" s="6"/>
      <c r="G163" s="9"/>
      <c r="H163" s="9"/>
      <c r="I163" s="9"/>
      <c r="J163" s="9"/>
      <c r="K163" s="9"/>
      <c r="L163" s="9"/>
    </row>
    <row r="164">
      <c r="B164" s="6"/>
      <c r="C164" s="6"/>
      <c r="D164" s="6"/>
      <c r="G164" s="9"/>
      <c r="H164" s="9"/>
      <c r="I164" s="9"/>
      <c r="J164" s="9"/>
      <c r="K164" s="9"/>
      <c r="L164" s="9"/>
    </row>
    <row r="165">
      <c r="B165" s="6"/>
      <c r="C165" s="6"/>
      <c r="D165" s="6"/>
      <c r="G165" s="9"/>
      <c r="H165" s="9"/>
      <c r="I165" s="9"/>
      <c r="J165" s="9"/>
      <c r="K165" s="9"/>
      <c r="L165" s="9"/>
    </row>
    <row r="166">
      <c r="B166" s="6"/>
      <c r="C166" s="6"/>
      <c r="D166" s="6"/>
      <c r="G166" s="9"/>
      <c r="H166" s="9"/>
      <c r="I166" s="9"/>
      <c r="J166" s="9"/>
      <c r="K166" s="9"/>
      <c r="L166" s="9"/>
    </row>
    <row r="167">
      <c r="B167" s="6"/>
      <c r="C167" s="6"/>
      <c r="D167" s="6"/>
      <c r="G167" s="9"/>
      <c r="H167" s="9"/>
      <c r="I167" s="9"/>
      <c r="J167" s="9"/>
      <c r="K167" s="9"/>
      <c r="L167" s="9"/>
    </row>
    <row r="168">
      <c r="B168" s="6"/>
      <c r="C168" s="6"/>
      <c r="D168" s="6"/>
      <c r="G168" s="9"/>
      <c r="H168" s="9"/>
      <c r="I168" s="9"/>
      <c r="J168" s="9"/>
      <c r="K168" s="9"/>
      <c r="L168" s="9"/>
    </row>
    <row r="169">
      <c r="B169" s="6"/>
      <c r="C169" s="6"/>
      <c r="D169" s="6"/>
      <c r="G169" s="9"/>
      <c r="H169" s="9"/>
      <c r="I169" s="9"/>
      <c r="J169" s="9"/>
      <c r="K169" s="9"/>
      <c r="L169" s="9"/>
    </row>
    <row r="170">
      <c r="B170" s="6"/>
      <c r="C170" s="6"/>
      <c r="D170" s="6"/>
      <c r="G170" s="9"/>
      <c r="H170" s="9"/>
      <c r="I170" s="9"/>
      <c r="J170" s="9"/>
      <c r="K170" s="9"/>
      <c r="L170" s="9"/>
    </row>
    <row r="171">
      <c r="B171" s="6"/>
      <c r="C171" s="6"/>
      <c r="D171" s="6"/>
      <c r="G171" s="9"/>
      <c r="H171" s="9"/>
      <c r="I171" s="9"/>
      <c r="J171" s="9"/>
      <c r="K171" s="9"/>
      <c r="L171" s="9"/>
    </row>
    <row r="172">
      <c r="B172" s="6"/>
      <c r="C172" s="6"/>
      <c r="D172" s="6"/>
      <c r="G172" s="9"/>
      <c r="H172" s="9"/>
      <c r="I172" s="9"/>
      <c r="J172" s="9"/>
      <c r="K172" s="9"/>
      <c r="L172" s="9"/>
    </row>
    <row r="173">
      <c r="B173" s="6"/>
      <c r="C173" s="6"/>
      <c r="D173" s="6"/>
      <c r="G173" s="9"/>
      <c r="H173" s="9"/>
      <c r="I173" s="9"/>
      <c r="J173" s="9"/>
      <c r="K173" s="9"/>
      <c r="L173" s="9"/>
    </row>
    <row r="174">
      <c r="B174" s="6"/>
      <c r="C174" s="6"/>
      <c r="D174" s="6"/>
      <c r="G174" s="9"/>
      <c r="H174" s="9"/>
      <c r="I174" s="9"/>
      <c r="J174" s="9"/>
      <c r="K174" s="9"/>
      <c r="L174" s="9"/>
    </row>
    <row r="175">
      <c r="B175" s="6"/>
      <c r="C175" s="6"/>
      <c r="D175" s="6"/>
      <c r="G175" s="9"/>
      <c r="H175" s="9"/>
      <c r="I175" s="9"/>
      <c r="J175" s="9"/>
      <c r="K175" s="9"/>
      <c r="L175" s="9"/>
    </row>
    <row r="176">
      <c r="B176" s="6"/>
      <c r="C176" s="6"/>
      <c r="D176" s="6"/>
      <c r="G176" s="9"/>
      <c r="H176" s="9"/>
      <c r="I176" s="9"/>
      <c r="J176" s="9"/>
      <c r="K176" s="9"/>
      <c r="L176" s="9"/>
    </row>
    <row r="177">
      <c r="B177" s="6"/>
      <c r="C177" s="6"/>
      <c r="D177" s="6"/>
      <c r="G177" s="9"/>
      <c r="H177" s="9"/>
      <c r="I177" s="9"/>
      <c r="J177" s="9"/>
      <c r="K177" s="9"/>
      <c r="L177" s="9"/>
    </row>
    <row r="178">
      <c r="B178" s="6"/>
      <c r="C178" s="6"/>
      <c r="D178" s="6"/>
      <c r="G178" s="9"/>
      <c r="H178" s="9"/>
      <c r="I178" s="9"/>
      <c r="J178" s="9"/>
      <c r="K178" s="9"/>
      <c r="L178" s="9"/>
    </row>
    <row r="179">
      <c r="B179" s="6"/>
      <c r="C179" s="6"/>
      <c r="D179" s="6"/>
      <c r="G179" s="9"/>
      <c r="H179" s="9"/>
      <c r="I179" s="9"/>
      <c r="J179" s="9"/>
      <c r="K179" s="9"/>
      <c r="L179" s="9"/>
    </row>
    <row r="180">
      <c r="B180" s="6"/>
      <c r="C180" s="6"/>
      <c r="D180" s="6"/>
      <c r="G180" s="9"/>
      <c r="H180" s="9"/>
      <c r="I180" s="9"/>
      <c r="J180" s="9"/>
      <c r="K180" s="9"/>
      <c r="L180" s="9"/>
    </row>
    <row r="181">
      <c r="B181" s="6"/>
      <c r="C181" s="6"/>
      <c r="D181" s="6"/>
      <c r="G181" s="9"/>
      <c r="H181" s="9"/>
      <c r="I181" s="9"/>
      <c r="J181" s="9"/>
      <c r="K181" s="9"/>
      <c r="L181" s="9"/>
    </row>
    <row r="182">
      <c r="B182" s="6"/>
      <c r="C182" s="6"/>
      <c r="D182" s="6"/>
      <c r="G182" s="9"/>
      <c r="H182" s="9"/>
      <c r="I182" s="9"/>
      <c r="J182" s="9"/>
      <c r="K182" s="9"/>
      <c r="L182" s="9"/>
    </row>
    <row r="183">
      <c r="B183" s="6"/>
      <c r="C183" s="6"/>
      <c r="D183" s="6"/>
      <c r="G183" s="9"/>
      <c r="H183" s="9"/>
      <c r="I183" s="9"/>
      <c r="J183" s="9"/>
      <c r="K183" s="9"/>
      <c r="L183" s="9"/>
    </row>
    <row r="184">
      <c r="B184" s="6"/>
      <c r="C184" s="6"/>
      <c r="D184" s="6"/>
      <c r="G184" s="9"/>
      <c r="H184" s="9"/>
      <c r="I184" s="9"/>
      <c r="J184" s="9"/>
      <c r="K184" s="9"/>
      <c r="L184" s="9"/>
    </row>
    <row r="185">
      <c r="B185" s="6"/>
      <c r="C185" s="6"/>
      <c r="D185" s="6"/>
      <c r="G185" s="9"/>
      <c r="H185" s="9"/>
      <c r="I185" s="9"/>
      <c r="J185" s="9"/>
      <c r="K185" s="9"/>
      <c r="L185" s="9"/>
    </row>
    <row r="186">
      <c r="B186" s="6"/>
      <c r="C186" s="6"/>
      <c r="D186" s="6"/>
      <c r="G186" s="9"/>
      <c r="H186" s="9"/>
      <c r="I186" s="9"/>
      <c r="J186" s="9"/>
      <c r="K186" s="9"/>
      <c r="L186" s="9"/>
    </row>
    <row r="187">
      <c r="B187" s="6"/>
      <c r="C187" s="6"/>
      <c r="D187" s="6"/>
      <c r="G187" s="9"/>
      <c r="H187" s="9"/>
      <c r="I187" s="9"/>
      <c r="J187" s="9"/>
      <c r="K187" s="9"/>
      <c r="L187" s="9"/>
    </row>
    <row r="188">
      <c r="B188" s="6"/>
      <c r="C188" s="6"/>
      <c r="D188" s="6"/>
      <c r="G188" s="9"/>
      <c r="H188" s="9"/>
      <c r="I188" s="9"/>
      <c r="J188" s="9"/>
      <c r="K188" s="9"/>
      <c r="L188" s="9"/>
    </row>
    <row r="189">
      <c r="B189" s="6"/>
      <c r="C189" s="6"/>
      <c r="D189" s="6"/>
      <c r="G189" s="9"/>
      <c r="H189" s="9"/>
      <c r="I189" s="9"/>
      <c r="J189" s="9"/>
      <c r="K189" s="9"/>
      <c r="L189" s="9"/>
    </row>
    <row r="190">
      <c r="B190" s="6"/>
      <c r="C190" s="6"/>
      <c r="D190" s="6"/>
      <c r="G190" s="9"/>
      <c r="H190" s="9"/>
      <c r="I190" s="9"/>
      <c r="J190" s="9"/>
      <c r="K190" s="9"/>
      <c r="L190" s="9"/>
    </row>
    <row r="191">
      <c r="B191" s="6"/>
      <c r="C191" s="6"/>
      <c r="D191" s="6"/>
      <c r="G191" s="9"/>
      <c r="H191" s="9"/>
      <c r="I191" s="9"/>
      <c r="J191" s="9"/>
      <c r="K191" s="9"/>
      <c r="L191" s="9"/>
    </row>
    <row r="192">
      <c r="B192" s="6"/>
      <c r="C192" s="6"/>
      <c r="D192" s="6"/>
      <c r="G192" s="9"/>
      <c r="H192" s="9"/>
      <c r="I192" s="9"/>
      <c r="J192" s="9"/>
      <c r="K192" s="9"/>
      <c r="L192" s="9"/>
    </row>
    <row r="193">
      <c r="B193" s="6"/>
      <c r="C193" s="6"/>
      <c r="D193" s="6"/>
      <c r="G193" s="9"/>
      <c r="H193" s="9"/>
      <c r="I193" s="9"/>
      <c r="J193" s="9"/>
      <c r="K193" s="9"/>
      <c r="L193" s="9"/>
    </row>
    <row r="194">
      <c r="B194" s="6"/>
      <c r="C194" s="6"/>
      <c r="D194" s="6"/>
      <c r="G194" s="9"/>
      <c r="H194" s="9"/>
      <c r="I194" s="9"/>
      <c r="J194" s="9"/>
      <c r="K194" s="9"/>
      <c r="L194" s="9"/>
    </row>
    <row r="195">
      <c r="B195" s="6"/>
      <c r="C195" s="6"/>
      <c r="D195" s="6"/>
      <c r="G195" s="9"/>
      <c r="H195" s="9"/>
      <c r="I195" s="9"/>
      <c r="J195" s="9"/>
      <c r="K195" s="9"/>
      <c r="L195" s="9"/>
    </row>
    <row r="196">
      <c r="B196" s="6"/>
      <c r="C196" s="6"/>
      <c r="D196" s="6"/>
      <c r="G196" s="9"/>
      <c r="H196" s="9"/>
      <c r="I196" s="9"/>
      <c r="J196" s="9"/>
      <c r="K196" s="9"/>
      <c r="L196" s="9"/>
    </row>
    <row r="197">
      <c r="B197" s="6"/>
      <c r="C197" s="6"/>
      <c r="D197" s="6"/>
      <c r="G197" s="9"/>
      <c r="H197" s="9"/>
      <c r="I197" s="9"/>
      <c r="J197" s="9"/>
      <c r="K197" s="9"/>
      <c r="L197" s="9"/>
    </row>
    <row r="198">
      <c r="B198" s="6"/>
      <c r="C198" s="6"/>
      <c r="D198" s="6"/>
      <c r="G198" s="9"/>
      <c r="H198" s="9"/>
      <c r="I198" s="9"/>
      <c r="J198" s="9"/>
      <c r="K198" s="9"/>
      <c r="L198" s="9"/>
    </row>
    <row r="199">
      <c r="B199" s="6"/>
      <c r="C199" s="6"/>
      <c r="D199" s="6"/>
      <c r="G199" s="9"/>
      <c r="H199" s="9"/>
      <c r="I199" s="9"/>
      <c r="J199" s="9"/>
      <c r="K199" s="9"/>
      <c r="L199" s="9"/>
    </row>
    <row r="200">
      <c r="B200" s="6"/>
      <c r="C200" s="6"/>
      <c r="D200" s="6"/>
      <c r="G200" s="9"/>
      <c r="H200" s="9"/>
      <c r="I200" s="9"/>
      <c r="J200" s="9"/>
      <c r="K200" s="9"/>
      <c r="L200" s="9"/>
    </row>
    <row r="201">
      <c r="B201" s="6"/>
      <c r="C201" s="6"/>
      <c r="D201" s="6"/>
      <c r="G201" s="9"/>
      <c r="H201" s="9"/>
      <c r="I201" s="9"/>
      <c r="J201" s="9"/>
      <c r="K201" s="9"/>
      <c r="L201" s="9"/>
    </row>
    <row r="202">
      <c r="B202" s="6"/>
      <c r="C202" s="6"/>
      <c r="D202" s="6"/>
      <c r="G202" s="9"/>
      <c r="H202" s="9"/>
      <c r="I202" s="9"/>
      <c r="J202" s="9"/>
      <c r="K202" s="9"/>
      <c r="L202" s="9"/>
    </row>
    <row r="203">
      <c r="B203" s="6"/>
      <c r="C203" s="6"/>
      <c r="D203" s="6"/>
      <c r="G203" s="9"/>
      <c r="H203" s="9"/>
      <c r="I203" s="9"/>
      <c r="J203" s="9"/>
      <c r="K203" s="9"/>
      <c r="L203" s="9"/>
    </row>
    <row r="204">
      <c r="B204" s="6"/>
      <c r="C204" s="6"/>
      <c r="D204" s="6"/>
      <c r="G204" s="9"/>
      <c r="H204" s="9"/>
      <c r="I204" s="9"/>
      <c r="J204" s="9"/>
      <c r="K204" s="9"/>
      <c r="L204" s="9"/>
    </row>
    <row r="205">
      <c r="B205" s="6"/>
      <c r="C205" s="6"/>
      <c r="D205" s="6"/>
      <c r="G205" s="9"/>
      <c r="H205" s="9"/>
      <c r="I205" s="9"/>
      <c r="J205" s="9"/>
      <c r="K205" s="9"/>
      <c r="L205" s="9"/>
    </row>
    <row r="206">
      <c r="B206" s="6"/>
      <c r="C206" s="6"/>
      <c r="D206" s="6"/>
      <c r="G206" s="9"/>
      <c r="H206" s="9"/>
      <c r="I206" s="9"/>
      <c r="J206" s="9"/>
      <c r="K206" s="9"/>
      <c r="L206" s="9"/>
    </row>
    <row r="207">
      <c r="B207" s="6"/>
      <c r="C207" s="6"/>
      <c r="D207" s="6"/>
      <c r="G207" s="9"/>
      <c r="H207" s="9"/>
      <c r="I207" s="9"/>
      <c r="J207" s="9"/>
      <c r="K207" s="9"/>
      <c r="L207" s="9"/>
    </row>
    <row r="208">
      <c r="B208" s="6"/>
      <c r="C208" s="6"/>
      <c r="D208" s="6"/>
      <c r="G208" s="9"/>
      <c r="H208" s="9"/>
      <c r="I208" s="9"/>
      <c r="J208" s="9"/>
      <c r="K208" s="9"/>
      <c r="L208" s="9"/>
    </row>
    <row r="209">
      <c r="B209" s="6"/>
      <c r="C209" s="6"/>
      <c r="D209" s="6"/>
      <c r="G209" s="9"/>
      <c r="H209" s="9"/>
      <c r="I209" s="9"/>
      <c r="J209" s="9"/>
      <c r="K209" s="9"/>
      <c r="L209" s="9"/>
    </row>
    <row r="210">
      <c r="B210" s="6"/>
      <c r="C210" s="6"/>
      <c r="D210" s="6"/>
      <c r="G210" s="9"/>
      <c r="H210" s="9"/>
      <c r="I210" s="9"/>
      <c r="J210" s="9"/>
      <c r="K210" s="9"/>
      <c r="L210" s="9"/>
    </row>
    <row r="211">
      <c r="B211" s="6"/>
      <c r="C211" s="6"/>
      <c r="D211" s="6"/>
      <c r="G211" s="9"/>
      <c r="H211" s="9"/>
      <c r="I211" s="9"/>
      <c r="J211" s="9"/>
      <c r="K211" s="9"/>
      <c r="L211" s="9"/>
    </row>
    <row r="212">
      <c r="B212" s="6"/>
      <c r="C212" s="6"/>
      <c r="D212" s="6"/>
      <c r="G212" s="9"/>
      <c r="H212" s="9"/>
      <c r="I212" s="9"/>
      <c r="J212" s="9"/>
      <c r="K212" s="9"/>
      <c r="L212" s="9"/>
    </row>
    <row r="213">
      <c r="B213" s="6"/>
      <c r="C213" s="6"/>
      <c r="D213" s="6"/>
      <c r="G213" s="9"/>
      <c r="H213" s="9"/>
      <c r="I213" s="9"/>
      <c r="J213" s="9"/>
      <c r="K213" s="9"/>
      <c r="L213" s="9"/>
    </row>
    <row r="214">
      <c r="B214" s="6"/>
      <c r="C214" s="6"/>
      <c r="D214" s="6"/>
      <c r="G214" s="9"/>
      <c r="H214" s="9"/>
      <c r="I214" s="9"/>
      <c r="J214" s="9"/>
      <c r="K214" s="9"/>
      <c r="L214" s="9"/>
    </row>
    <row r="215">
      <c r="B215" s="6"/>
      <c r="C215" s="6"/>
      <c r="D215" s="6"/>
      <c r="G215" s="9"/>
      <c r="H215" s="9"/>
      <c r="I215" s="9"/>
      <c r="J215" s="9"/>
      <c r="K215" s="9"/>
      <c r="L215" s="9"/>
    </row>
    <row r="216">
      <c r="B216" s="6"/>
      <c r="C216" s="6"/>
      <c r="D216" s="6"/>
      <c r="G216" s="9"/>
      <c r="H216" s="9"/>
      <c r="I216" s="9"/>
      <c r="J216" s="9"/>
      <c r="K216" s="9"/>
      <c r="L216" s="9"/>
    </row>
    <row r="217">
      <c r="B217" s="6"/>
      <c r="C217" s="6"/>
      <c r="D217" s="6"/>
      <c r="G217" s="9"/>
      <c r="H217" s="9"/>
      <c r="I217" s="9"/>
      <c r="J217" s="9"/>
      <c r="K217" s="9"/>
      <c r="L217" s="9"/>
    </row>
    <row r="218">
      <c r="B218" s="6"/>
      <c r="C218" s="6"/>
      <c r="D218" s="6"/>
      <c r="G218" s="9"/>
      <c r="H218" s="9"/>
      <c r="I218" s="9"/>
      <c r="J218" s="9"/>
      <c r="K218" s="9"/>
      <c r="L218" s="9"/>
    </row>
    <row r="219">
      <c r="B219" s="6"/>
      <c r="C219" s="6"/>
      <c r="D219" s="6"/>
      <c r="G219" s="9"/>
      <c r="H219" s="9"/>
      <c r="I219" s="9"/>
      <c r="J219" s="9"/>
      <c r="K219" s="9"/>
      <c r="L219" s="9"/>
    </row>
    <row r="220">
      <c r="B220" s="6"/>
      <c r="C220" s="6"/>
      <c r="D220" s="6"/>
      <c r="G220" s="9"/>
      <c r="H220" s="9"/>
      <c r="I220" s="9"/>
      <c r="J220" s="9"/>
      <c r="K220" s="9"/>
      <c r="L220" s="9"/>
    </row>
    <row r="221">
      <c r="B221" s="6"/>
      <c r="C221" s="6"/>
      <c r="D221" s="6"/>
      <c r="G221" s="9"/>
      <c r="H221" s="9"/>
      <c r="I221" s="9"/>
      <c r="J221" s="9"/>
      <c r="K221" s="9"/>
      <c r="L221" s="9"/>
    </row>
    <row r="222">
      <c r="B222" s="6"/>
      <c r="C222" s="6"/>
      <c r="D222" s="6"/>
      <c r="G222" s="9"/>
      <c r="H222" s="9"/>
      <c r="I222" s="9"/>
      <c r="J222" s="9"/>
      <c r="K222" s="9"/>
      <c r="L222" s="9"/>
    </row>
    <row r="223">
      <c r="B223" s="6"/>
      <c r="C223" s="6"/>
      <c r="D223" s="6"/>
      <c r="G223" s="9"/>
      <c r="H223" s="9"/>
      <c r="I223" s="9"/>
      <c r="J223" s="9"/>
      <c r="K223" s="9"/>
      <c r="L223" s="9"/>
    </row>
    <row r="224">
      <c r="B224" s="6"/>
      <c r="C224" s="6"/>
      <c r="D224" s="6"/>
      <c r="G224" s="9"/>
      <c r="H224" s="9"/>
      <c r="I224" s="9"/>
      <c r="J224" s="9"/>
      <c r="K224" s="9"/>
      <c r="L224" s="9"/>
    </row>
    <row r="225">
      <c r="B225" s="6"/>
      <c r="C225" s="6"/>
      <c r="D225" s="6"/>
      <c r="G225" s="9"/>
      <c r="H225" s="9"/>
      <c r="I225" s="9"/>
      <c r="J225" s="9"/>
      <c r="K225" s="9"/>
      <c r="L225" s="9"/>
    </row>
    <row r="226">
      <c r="B226" s="6"/>
      <c r="C226" s="6"/>
      <c r="D226" s="6"/>
      <c r="G226" s="9"/>
      <c r="H226" s="9"/>
      <c r="I226" s="9"/>
      <c r="J226" s="9"/>
      <c r="K226" s="9"/>
      <c r="L226" s="9"/>
    </row>
    <row r="227">
      <c r="B227" s="6"/>
      <c r="C227" s="6"/>
      <c r="D227" s="6"/>
      <c r="G227" s="9"/>
      <c r="H227" s="9"/>
      <c r="I227" s="9"/>
      <c r="J227" s="9"/>
      <c r="K227" s="9"/>
      <c r="L227" s="9"/>
    </row>
    <row r="228">
      <c r="B228" s="6"/>
      <c r="C228" s="6"/>
      <c r="D228" s="6"/>
      <c r="G228" s="9"/>
      <c r="H228" s="9"/>
      <c r="I228" s="9"/>
      <c r="J228" s="9"/>
      <c r="K228" s="9"/>
      <c r="L228" s="9"/>
    </row>
    <row r="229">
      <c r="B229" s="6"/>
      <c r="C229" s="6"/>
      <c r="D229" s="6"/>
      <c r="G229" s="9"/>
      <c r="H229" s="9"/>
      <c r="I229" s="9"/>
      <c r="J229" s="9"/>
      <c r="K229" s="9"/>
      <c r="L229" s="9"/>
    </row>
    <row r="230">
      <c r="B230" s="6"/>
      <c r="C230" s="6"/>
      <c r="D230" s="6"/>
      <c r="G230" s="9"/>
      <c r="H230" s="9"/>
      <c r="I230" s="9"/>
      <c r="J230" s="9"/>
      <c r="K230" s="9"/>
      <c r="L230" s="9"/>
    </row>
    <row r="231">
      <c r="B231" s="6"/>
      <c r="C231" s="6"/>
      <c r="D231" s="6"/>
      <c r="G231" s="9"/>
      <c r="H231" s="9"/>
      <c r="I231" s="9"/>
      <c r="J231" s="9"/>
      <c r="K231" s="9"/>
      <c r="L231" s="9"/>
    </row>
    <row r="232">
      <c r="B232" s="6"/>
      <c r="C232" s="6"/>
      <c r="D232" s="6"/>
      <c r="G232" s="9"/>
      <c r="H232" s="9"/>
      <c r="I232" s="9"/>
      <c r="J232" s="9"/>
      <c r="K232" s="9"/>
      <c r="L232" s="9"/>
    </row>
    <row r="233">
      <c r="B233" s="6"/>
      <c r="C233" s="6"/>
      <c r="D233" s="6"/>
      <c r="G233" s="9"/>
      <c r="H233" s="9"/>
      <c r="I233" s="9"/>
      <c r="J233" s="9"/>
      <c r="K233" s="9"/>
      <c r="L233" s="9"/>
    </row>
    <row r="234">
      <c r="B234" s="6"/>
      <c r="C234" s="6"/>
      <c r="D234" s="6"/>
      <c r="G234" s="9"/>
      <c r="H234" s="9"/>
      <c r="I234" s="9"/>
      <c r="J234" s="9"/>
      <c r="K234" s="9"/>
      <c r="L234" s="9"/>
    </row>
    <row r="235">
      <c r="B235" s="6"/>
      <c r="C235" s="6"/>
      <c r="D235" s="6"/>
      <c r="G235" s="9"/>
      <c r="H235" s="9"/>
      <c r="I235" s="9"/>
      <c r="J235" s="9"/>
      <c r="K235" s="9"/>
      <c r="L235" s="9"/>
    </row>
    <row r="236">
      <c r="B236" s="6"/>
      <c r="C236" s="6"/>
      <c r="D236" s="6"/>
      <c r="G236" s="9"/>
      <c r="H236" s="9"/>
      <c r="I236" s="9"/>
      <c r="J236" s="9"/>
      <c r="K236" s="9"/>
      <c r="L236" s="9"/>
    </row>
    <row r="237">
      <c r="B237" s="6"/>
      <c r="C237" s="6"/>
      <c r="D237" s="6"/>
      <c r="G237" s="9"/>
      <c r="H237" s="9"/>
      <c r="I237" s="9"/>
      <c r="J237" s="9"/>
      <c r="K237" s="9"/>
      <c r="L237" s="9"/>
    </row>
    <row r="238">
      <c r="B238" s="6"/>
      <c r="C238" s="6"/>
      <c r="D238" s="6"/>
      <c r="G238" s="9"/>
      <c r="H238" s="9"/>
      <c r="I238" s="9"/>
      <c r="J238" s="9"/>
      <c r="K238" s="9"/>
      <c r="L238" s="9"/>
    </row>
    <row r="239">
      <c r="B239" s="6"/>
      <c r="C239" s="6"/>
      <c r="D239" s="6"/>
      <c r="G239" s="9"/>
      <c r="H239" s="9"/>
      <c r="I239" s="9"/>
      <c r="J239" s="9"/>
      <c r="K239" s="9"/>
      <c r="L239" s="9"/>
    </row>
    <row r="240">
      <c r="B240" s="6"/>
      <c r="C240" s="6"/>
      <c r="D240" s="6"/>
      <c r="G240" s="9"/>
      <c r="H240" s="9"/>
      <c r="I240" s="9"/>
      <c r="J240" s="9"/>
      <c r="K240" s="9"/>
      <c r="L240" s="9"/>
    </row>
    <row r="241">
      <c r="B241" s="6"/>
      <c r="C241" s="6"/>
      <c r="D241" s="6"/>
      <c r="G241" s="9"/>
      <c r="H241" s="9"/>
      <c r="I241" s="9"/>
      <c r="J241" s="9"/>
      <c r="K241" s="9"/>
      <c r="L241" s="9"/>
    </row>
    <row r="242">
      <c r="B242" s="6"/>
      <c r="C242" s="6"/>
      <c r="D242" s="6"/>
      <c r="G242" s="9"/>
      <c r="H242" s="9"/>
      <c r="I242" s="9"/>
      <c r="J242" s="9"/>
      <c r="K242" s="9"/>
      <c r="L242" s="9"/>
    </row>
    <row r="243">
      <c r="B243" s="6"/>
      <c r="C243" s="6"/>
      <c r="D243" s="6"/>
      <c r="G243" s="9"/>
      <c r="H243" s="9"/>
      <c r="I243" s="9"/>
      <c r="J243" s="9"/>
      <c r="K243" s="9"/>
      <c r="L243" s="9"/>
    </row>
    <row r="244">
      <c r="B244" s="6"/>
      <c r="C244" s="6"/>
      <c r="D244" s="6"/>
      <c r="G244" s="9"/>
      <c r="H244" s="9"/>
      <c r="I244" s="9"/>
      <c r="J244" s="9"/>
      <c r="K244" s="9"/>
      <c r="L244" s="9"/>
    </row>
    <row r="245">
      <c r="B245" s="6"/>
      <c r="C245" s="6"/>
      <c r="D245" s="6"/>
      <c r="G245" s="9"/>
      <c r="H245" s="9"/>
      <c r="I245" s="9"/>
      <c r="J245" s="9"/>
      <c r="K245" s="9"/>
      <c r="L245" s="9"/>
    </row>
    <row r="246">
      <c r="B246" s="6"/>
      <c r="C246" s="6"/>
      <c r="D246" s="6"/>
      <c r="G246" s="9"/>
      <c r="H246" s="9"/>
      <c r="I246" s="9"/>
      <c r="J246" s="9"/>
      <c r="K246" s="9"/>
      <c r="L246" s="9"/>
    </row>
    <row r="247">
      <c r="B247" s="6"/>
      <c r="C247" s="6"/>
      <c r="D247" s="6"/>
      <c r="G247" s="9"/>
      <c r="H247" s="9"/>
      <c r="I247" s="9"/>
      <c r="J247" s="9"/>
      <c r="K247" s="9"/>
      <c r="L247" s="9"/>
    </row>
    <row r="248">
      <c r="B248" s="6"/>
      <c r="C248" s="6"/>
      <c r="D248" s="6"/>
      <c r="G248" s="9"/>
      <c r="H248" s="9"/>
      <c r="I248" s="9"/>
      <c r="J248" s="9"/>
      <c r="K248" s="9"/>
      <c r="L248" s="9"/>
    </row>
    <row r="249">
      <c r="B249" s="6"/>
      <c r="C249" s="6"/>
      <c r="D249" s="6"/>
      <c r="G249" s="9"/>
      <c r="H249" s="9"/>
      <c r="I249" s="9"/>
      <c r="J249" s="9"/>
      <c r="K249" s="9"/>
      <c r="L249" s="9"/>
    </row>
    <row r="250">
      <c r="B250" s="6"/>
      <c r="C250" s="6"/>
      <c r="D250" s="6"/>
      <c r="G250" s="9"/>
      <c r="H250" s="9"/>
      <c r="I250" s="9"/>
      <c r="J250" s="9"/>
      <c r="K250" s="9"/>
      <c r="L250" s="9"/>
    </row>
    <row r="251">
      <c r="B251" s="6"/>
      <c r="C251" s="6"/>
      <c r="D251" s="6"/>
      <c r="G251" s="9"/>
      <c r="H251" s="9"/>
      <c r="I251" s="9"/>
      <c r="J251" s="9"/>
      <c r="K251" s="9"/>
      <c r="L251" s="9"/>
    </row>
    <row r="252">
      <c r="B252" s="6"/>
      <c r="C252" s="6"/>
      <c r="D252" s="6"/>
      <c r="G252" s="9"/>
      <c r="H252" s="9"/>
      <c r="I252" s="9"/>
      <c r="J252" s="9"/>
      <c r="K252" s="9"/>
      <c r="L252" s="9"/>
    </row>
    <row r="253">
      <c r="B253" s="6"/>
      <c r="C253" s="6"/>
      <c r="D253" s="6"/>
      <c r="G253" s="9"/>
      <c r="H253" s="9"/>
      <c r="I253" s="9"/>
      <c r="J253" s="9"/>
      <c r="K253" s="9"/>
      <c r="L253" s="9"/>
    </row>
    <row r="254">
      <c r="B254" s="6"/>
      <c r="C254" s="6"/>
      <c r="D254" s="6"/>
      <c r="G254" s="9"/>
      <c r="H254" s="9"/>
      <c r="I254" s="9"/>
      <c r="J254" s="9"/>
      <c r="K254" s="9"/>
      <c r="L254" s="9"/>
    </row>
    <row r="255">
      <c r="B255" s="6"/>
      <c r="C255" s="6"/>
      <c r="D255" s="6"/>
      <c r="G255" s="9"/>
      <c r="H255" s="9"/>
      <c r="I255" s="9"/>
      <c r="J255" s="9"/>
      <c r="K255" s="9"/>
      <c r="L255" s="9"/>
    </row>
    <row r="256">
      <c r="B256" s="6"/>
      <c r="C256" s="6"/>
      <c r="D256" s="6"/>
      <c r="G256" s="9"/>
      <c r="H256" s="9"/>
      <c r="I256" s="9"/>
      <c r="J256" s="9"/>
      <c r="K256" s="9"/>
      <c r="L256" s="9"/>
    </row>
    <row r="257">
      <c r="B257" s="6"/>
      <c r="C257" s="6"/>
      <c r="D257" s="6"/>
      <c r="G257" s="9"/>
      <c r="H257" s="9"/>
      <c r="I257" s="9"/>
      <c r="J257" s="9"/>
      <c r="K257" s="9"/>
      <c r="L257" s="9"/>
    </row>
    <row r="258">
      <c r="B258" s="6"/>
      <c r="C258" s="6"/>
      <c r="D258" s="6"/>
      <c r="G258" s="9"/>
      <c r="H258" s="9"/>
      <c r="I258" s="9"/>
      <c r="J258" s="9"/>
      <c r="K258" s="9"/>
      <c r="L258" s="9"/>
    </row>
    <row r="259">
      <c r="B259" s="6"/>
      <c r="C259" s="6"/>
      <c r="D259" s="6"/>
      <c r="G259" s="9"/>
      <c r="H259" s="9"/>
      <c r="I259" s="9"/>
      <c r="J259" s="9"/>
      <c r="K259" s="9"/>
      <c r="L259" s="9"/>
    </row>
    <row r="260">
      <c r="B260" s="6"/>
      <c r="C260" s="6"/>
      <c r="D260" s="6"/>
      <c r="G260" s="9"/>
      <c r="H260" s="9"/>
      <c r="I260" s="9"/>
      <c r="J260" s="9"/>
      <c r="K260" s="9"/>
      <c r="L260" s="9"/>
    </row>
    <row r="261">
      <c r="B261" s="6"/>
      <c r="C261" s="6"/>
      <c r="D261" s="6"/>
      <c r="G261" s="9"/>
      <c r="H261" s="9"/>
      <c r="I261" s="9"/>
      <c r="J261" s="9"/>
      <c r="K261" s="9"/>
      <c r="L261" s="9"/>
    </row>
    <row r="262">
      <c r="B262" s="6"/>
      <c r="C262" s="6"/>
      <c r="D262" s="6"/>
      <c r="G262" s="9"/>
      <c r="H262" s="9"/>
      <c r="I262" s="9"/>
      <c r="J262" s="9"/>
      <c r="K262" s="9"/>
      <c r="L262" s="9"/>
    </row>
    <row r="263">
      <c r="B263" s="6"/>
      <c r="C263" s="6"/>
      <c r="D263" s="6"/>
      <c r="G263" s="9"/>
      <c r="H263" s="9"/>
      <c r="I263" s="9"/>
      <c r="J263" s="9"/>
      <c r="K263" s="9"/>
      <c r="L263" s="9"/>
    </row>
    <row r="264">
      <c r="B264" s="6"/>
      <c r="C264" s="6"/>
      <c r="D264" s="6"/>
      <c r="G264" s="9"/>
      <c r="H264" s="9"/>
      <c r="I264" s="9"/>
      <c r="J264" s="9"/>
      <c r="K264" s="9"/>
      <c r="L264" s="9"/>
    </row>
    <row r="265">
      <c r="B265" s="6"/>
      <c r="C265" s="6"/>
      <c r="D265" s="6"/>
      <c r="G265" s="9"/>
      <c r="H265" s="9"/>
      <c r="I265" s="9"/>
      <c r="J265" s="9"/>
      <c r="K265" s="9"/>
      <c r="L265" s="9"/>
    </row>
    <row r="266">
      <c r="B266" s="6"/>
      <c r="C266" s="6"/>
      <c r="D266" s="6"/>
      <c r="G266" s="9"/>
      <c r="H266" s="9"/>
      <c r="I266" s="9"/>
      <c r="J266" s="9"/>
      <c r="K266" s="9"/>
      <c r="L266" s="9"/>
    </row>
    <row r="267">
      <c r="B267" s="6"/>
      <c r="C267" s="6"/>
      <c r="D267" s="6"/>
      <c r="G267" s="9"/>
      <c r="H267" s="9"/>
      <c r="I267" s="9"/>
      <c r="J267" s="9"/>
      <c r="K267" s="9"/>
      <c r="L267" s="9"/>
    </row>
    <row r="268">
      <c r="B268" s="6"/>
      <c r="C268" s="6"/>
      <c r="D268" s="6"/>
      <c r="G268" s="9"/>
      <c r="H268" s="9"/>
      <c r="I268" s="9"/>
      <c r="J268" s="9"/>
      <c r="K268" s="9"/>
      <c r="L268" s="9"/>
    </row>
    <row r="269">
      <c r="B269" s="6"/>
      <c r="C269" s="6"/>
      <c r="D269" s="6"/>
      <c r="G269" s="9"/>
      <c r="H269" s="9"/>
      <c r="I269" s="9"/>
      <c r="J269" s="9"/>
      <c r="K269" s="9"/>
      <c r="L269" s="9"/>
    </row>
    <row r="270">
      <c r="B270" s="6"/>
      <c r="C270" s="6"/>
      <c r="D270" s="6"/>
      <c r="G270" s="9"/>
      <c r="H270" s="9"/>
      <c r="I270" s="9"/>
      <c r="J270" s="9"/>
      <c r="K270" s="9"/>
      <c r="L270" s="9"/>
    </row>
    <row r="271">
      <c r="B271" s="6"/>
      <c r="C271" s="6"/>
      <c r="D271" s="6"/>
      <c r="G271" s="9"/>
      <c r="H271" s="9"/>
      <c r="I271" s="9"/>
      <c r="J271" s="9"/>
      <c r="K271" s="9"/>
      <c r="L271" s="9"/>
    </row>
    <row r="272">
      <c r="B272" s="6"/>
      <c r="C272" s="6"/>
      <c r="D272" s="6"/>
      <c r="G272" s="9"/>
      <c r="H272" s="9"/>
      <c r="I272" s="9"/>
      <c r="J272" s="9"/>
      <c r="K272" s="9"/>
      <c r="L272" s="9"/>
    </row>
    <row r="273">
      <c r="B273" s="6"/>
      <c r="C273" s="6"/>
      <c r="D273" s="6"/>
      <c r="G273" s="9"/>
      <c r="H273" s="9"/>
      <c r="I273" s="9"/>
      <c r="J273" s="9"/>
      <c r="K273" s="9"/>
      <c r="L273" s="9"/>
    </row>
    <row r="274">
      <c r="B274" s="6"/>
      <c r="C274" s="6"/>
      <c r="D274" s="6"/>
      <c r="G274" s="9"/>
      <c r="H274" s="9"/>
      <c r="I274" s="9"/>
      <c r="J274" s="9"/>
      <c r="K274" s="9"/>
      <c r="L274" s="9"/>
    </row>
    <row r="275">
      <c r="B275" s="6"/>
      <c r="C275" s="6"/>
      <c r="D275" s="6"/>
      <c r="G275" s="9"/>
      <c r="H275" s="9"/>
      <c r="I275" s="9"/>
      <c r="J275" s="9"/>
      <c r="K275" s="9"/>
      <c r="L275" s="9"/>
    </row>
    <row r="276">
      <c r="B276" s="6"/>
      <c r="C276" s="6"/>
      <c r="D276" s="6"/>
      <c r="G276" s="9"/>
      <c r="H276" s="9"/>
      <c r="I276" s="9"/>
      <c r="J276" s="9"/>
      <c r="K276" s="9"/>
      <c r="L276" s="9"/>
    </row>
    <row r="277">
      <c r="B277" s="6"/>
      <c r="C277" s="6"/>
      <c r="D277" s="6"/>
      <c r="G277" s="9"/>
      <c r="H277" s="9"/>
      <c r="I277" s="9"/>
      <c r="J277" s="9"/>
      <c r="K277" s="9"/>
      <c r="L277" s="9"/>
    </row>
    <row r="278">
      <c r="B278" s="6"/>
      <c r="C278" s="6"/>
      <c r="D278" s="6"/>
      <c r="G278" s="9"/>
      <c r="H278" s="9"/>
      <c r="I278" s="9"/>
      <c r="J278" s="9"/>
      <c r="K278" s="9"/>
      <c r="L278" s="9"/>
    </row>
    <row r="279">
      <c r="B279" s="6"/>
      <c r="C279" s="6"/>
      <c r="D279" s="6"/>
      <c r="G279" s="9"/>
      <c r="H279" s="9"/>
      <c r="I279" s="9"/>
      <c r="J279" s="9"/>
      <c r="K279" s="9"/>
      <c r="L279" s="9"/>
    </row>
    <row r="280">
      <c r="B280" s="6"/>
      <c r="C280" s="6"/>
      <c r="D280" s="6"/>
      <c r="G280" s="9"/>
      <c r="H280" s="9"/>
      <c r="I280" s="9"/>
      <c r="J280" s="9"/>
      <c r="K280" s="9"/>
      <c r="L280" s="9"/>
    </row>
    <row r="281">
      <c r="B281" s="6"/>
      <c r="C281" s="6"/>
      <c r="D281" s="6"/>
      <c r="G281" s="9"/>
      <c r="H281" s="9"/>
      <c r="I281" s="9"/>
      <c r="J281" s="9"/>
      <c r="K281" s="9"/>
      <c r="L281" s="9"/>
    </row>
    <row r="282">
      <c r="B282" s="6"/>
      <c r="C282" s="6"/>
      <c r="D282" s="6"/>
      <c r="G282" s="9"/>
      <c r="H282" s="9"/>
      <c r="I282" s="9"/>
      <c r="J282" s="9"/>
      <c r="K282" s="9"/>
      <c r="L282" s="9"/>
    </row>
    <row r="283">
      <c r="B283" s="6"/>
      <c r="C283" s="6"/>
      <c r="D283" s="6"/>
      <c r="G283" s="9"/>
      <c r="H283" s="9"/>
      <c r="I283" s="9"/>
      <c r="J283" s="9"/>
      <c r="K283" s="9"/>
      <c r="L283" s="9"/>
    </row>
    <row r="284">
      <c r="B284" s="6"/>
      <c r="C284" s="6"/>
      <c r="D284" s="6"/>
      <c r="G284" s="9"/>
      <c r="H284" s="9"/>
      <c r="I284" s="9"/>
      <c r="J284" s="9"/>
      <c r="K284" s="9"/>
      <c r="L284" s="9"/>
    </row>
    <row r="285">
      <c r="B285" s="6"/>
      <c r="C285" s="6"/>
      <c r="D285" s="6"/>
      <c r="G285" s="9"/>
      <c r="H285" s="9"/>
      <c r="I285" s="9"/>
      <c r="J285" s="9"/>
      <c r="K285" s="9"/>
      <c r="L285" s="9"/>
    </row>
    <row r="286">
      <c r="B286" s="6"/>
      <c r="C286" s="6"/>
      <c r="D286" s="6"/>
      <c r="G286" s="9"/>
      <c r="H286" s="9"/>
      <c r="I286" s="9"/>
      <c r="J286" s="9"/>
      <c r="K286" s="9"/>
      <c r="L286" s="9"/>
    </row>
    <row r="287">
      <c r="B287" s="6"/>
      <c r="C287" s="6"/>
      <c r="D287" s="6"/>
      <c r="G287" s="9"/>
      <c r="H287" s="9"/>
      <c r="I287" s="9"/>
      <c r="J287" s="9"/>
      <c r="K287" s="9"/>
      <c r="L287" s="9"/>
    </row>
    <row r="288">
      <c r="B288" s="6"/>
      <c r="C288" s="6"/>
      <c r="D288" s="6"/>
      <c r="G288" s="9"/>
      <c r="H288" s="9"/>
      <c r="I288" s="9"/>
      <c r="J288" s="9"/>
      <c r="K288" s="9"/>
      <c r="L288" s="9"/>
    </row>
    <row r="289">
      <c r="B289" s="6"/>
      <c r="C289" s="6"/>
      <c r="D289" s="6"/>
      <c r="G289" s="9"/>
      <c r="H289" s="9"/>
      <c r="I289" s="9"/>
      <c r="J289" s="9"/>
      <c r="K289" s="9"/>
      <c r="L289" s="9"/>
    </row>
    <row r="290">
      <c r="B290" s="6"/>
      <c r="C290" s="6"/>
      <c r="D290" s="6"/>
      <c r="G290" s="9"/>
      <c r="H290" s="9"/>
      <c r="I290" s="9"/>
      <c r="J290" s="9"/>
      <c r="K290" s="9"/>
      <c r="L290" s="9"/>
    </row>
    <row r="291">
      <c r="B291" s="6"/>
      <c r="C291" s="6"/>
      <c r="D291" s="6"/>
      <c r="G291" s="9"/>
      <c r="H291" s="9"/>
      <c r="I291" s="9"/>
      <c r="J291" s="9"/>
      <c r="K291" s="9"/>
      <c r="L291" s="9"/>
    </row>
    <row r="292">
      <c r="B292" s="6"/>
      <c r="C292" s="6"/>
      <c r="D292" s="6"/>
      <c r="G292" s="9"/>
      <c r="H292" s="9"/>
      <c r="I292" s="9"/>
      <c r="J292" s="9"/>
      <c r="K292" s="9"/>
      <c r="L292" s="9"/>
    </row>
    <row r="293">
      <c r="B293" s="6"/>
      <c r="C293" s="6"/>
      <c r="D293" s="6"/>
      <c r="G293" s="9"/>
      <c r="H293" s="9"/>
      <c r="I293" s="9"/>
      <c r="J293" s="9"/>
      <c r="K293" s="9"/>
      <c r="L293" s="9"/>
    </row>
    <row r="294">
      <c r="B294" s="6"/>
      <c r="C294" s="6"/>
      <c r="D294" s="6"/>
      <c r="G294" s="9"/>
      <c r="H294" s="9"/>
      <c r="I294" s="9"/>
      <c r="J294" s="9"/>
      <c r="K294" s="9"/>
      <c r="L294" s="9"/>
    </row>
    <row r="295">
      <c r="B295" s="6"/>
      <c r="C295" s="6"/>
      <c r="D295" s="6"/>
      <c r="G295" s="9"/>
      <c r="H295" s="9"/>
      <c r="I295" s="9"/>
      <c r="J295" s="9"/>
      <c r="K295" s="9"/>
      <c r="L295" s="9"/>
    </row>
    <row r="296">
      <c r="B296" s="6"/>
      <c r="C296" s="6"/>
      <c r="D296" s="6"/>
      <c r="G296" s="9"/>
      <c r="H296" s="9"/>
      <c r="I296" s="9"/>
      <c r="J296" s="9"/>
      <c r="K296" s="9"/>
      <c r="L296" s="9"/>
    </row>
    <row r="297">
      <c r="B297" s="6"/>
      <c r="C297" s="6"/>
      <c r="D297" s="6"/>
      <c r="G297" s="9"/>
      <c r="H297" s="9"/>
      <c r="I297" s="9"/>
      <c r="J297" s="9"/>
      <c r="K297" s="9"/>
      <c r="L297" s="9"/>
    </row>
    <row r="298">
      <c r="B298" s="6"/>
      <c r="C298" s="6"/>
      <c r="D298" s="6"/>
      <c r="G298" s="9"/>
      <c r="H298" s="9"/>
      <c r="I298" s="9"/>
      <c r="J298" s="9"/>
      <c r="K298" s="9"/>
      <c r="L298" s="9"/>
    </row>
    <row r="299">
      <c r="B299" s="6"/>
      <c r="C299" s="6"/>
      <c r="D299" s="6"/>
      <c r="G299" s="9"/>
      <c r="H299" s="9"/>
      <c r="I299" s="9"/>
      <c r="J299" s="9"/>
      <c r="K299" s="9"/>
      <c r="L299" s="9"/>
    </row>
    <row r="300">
      <c r="B300" s="6"/>
      <c r="C300" s="6"/>
      <c r="D300" s="6"/>
      <c r="G300" s="9"/>
      <c r="H300" s="9"/>
      <c r="I300" s="9"/>
      <c r="J300" s="9"/>
      <c r="K300" s="9"/>
      <c r="L300" s="9"/>
    </row>
    <row r="301">
      <c r="B301" s="6"/>
      <c r="C301" s="6"/>
      <c r="D301" s="6"/>
      <c r="G301" s="9"/>
      <c r="H301" s="9"/>
      <c r="I301" s="9"/>
      <c r="J301" s="9"/>
      <c r="K301" s="9"/>
      <c r="L301" s="9"/>
    </row>
    <row r="302">
      <c r="B302" s="6"/>
      <c r="C302" s="6"/>
      <c r="D302" s="6"/>
      <c r="G302" s="9"/>
      <c r="H302" s="9"/>
      <c r="I302" s="9"/>
      <c r="J302" s="9"/>
      <c r="K302" s="9"/>
      <c r="L302" s="9"/>
    </row>
    <row r="303">
      <c r="B303" s="6"/>
      <c r="C303" s="6"/>
      <c r="D303" s="6"/>
      <c r="G303" s="9"/>
      <c r="H303" s="9"/>
      <c r="I303" s="9"/>
      <c r="J303" s="9"/>
      <c r="K303" s="9"/>
      <c r="L303" s="9"/>
    </row>
    <row r="304">
      <c r="B304" s="6"/>
      <c r="C304" s="6"/>
      <c r="D304" s="6"/>
      <c r="G304" s="9"/>
      <c r="H304" s="9"/>
      <c r="I304" s="9"/>
      <c r="J304" s="9"/>
      <c r="K304" s="9"/>
      <c r="L304" s="9"/>
    </row>
    <row r="305">
      <c r="B305" s="6"/>
      <c r="C305" s="6"/>
      <c r="D305" s="6"/>
      <c r="G305" s="9"/>
      <c r="H305" s="9"/>
      <c r="I305" s="9"/>
      <c r="J305" s="9"/>
      <c r="K305" s="9"/>
      <c r="L305" s="9"/>
    </row>
    <row r="306">
      <c r="B306" s="6"/>
      <c r="C306" s="6"/>
      <c r="D306" s="6"/>
      <c r="G306" s="9"/>
      <c r="H306" s="9"/>
      <c r="I306" s="9"/>
      <c r="J306" s="9"/>
      <c r="K306" s="9"/>
      <c r="L306" s="9"/>
    </row>
    <row r="307">
      <c r="B307" s="6"/>
      <c r="C307" s="6"/>
      <c r="D307" s="6"/>
      <c r="G307" s="9"/>
      <c r="H307" s="9"/>
      <c r="I307" s="9"/>
      <c r="J307" s="9"/>
      <c r="K307" s="9"/>
      <c r="L307" s="9"/>
    </row>
    <row r="308">
      <c r="B308" s="6"/>
      <c r="C308" s="6"/>
      <c r="D308" s="6"/>
      <c r="G308" s="9"/>
      <c r="H308" s="9"/>
      <c r="I308" s="9"/>
      <c r="J308" s="9"/>
      <c r="K308" s="9"/>
      <c r="L308" s="9"/>
    </row>
    <row r="309">
      <c r="B309" s="6"/>
      <c r="C309" s="6"/>
      <c r="D309" s="6"/>
      <c r="G309" s="9"/>
      <c r="H309" s="9"/>
      <c r="I309" s="9"/>
      <c r="J309" s="9"/>
      <c r="K309" s="9"/>
      <c r="L309" s="9"/>
    </row>
    <row r="310">
      <c r="B310" s="6"/>
      <c r="C310" s="6"/>
      <c r="D310" s="6"/>
      <c r="G310" s="9"/>
      <c r="H310" s="9"/>
      <c r="I310" s="9"/>
      <c r="J310" s="9"/>
      <c r="K310" s="9"/>
      <c r="L310" s="9"/>
    </row>
    <row r="311">
      <c r="B311" s="6"/>
      <c r="C311" s="6"/>
      <c r="D311" s="6"/>
      <c r="G311" s="9"/>
      <c r="H311" s="9"/>
      <c r="I311" s="9"/>
      <c r="J311" s="9"/>
      <c r="K311" s="9"/>
      <c r="L311" s="9"/>
    </row>
    <row r="312">
      <c r="B312" s="6"/>
      <c r="C312" s="6"/>
      <c r="D312" s="6"/>
      <c r="G312" s="9"/>
      <c r="H312" s="9"/>
      <c r="I312" s="9"/>
      <c r="J312" s="9"/>
      <c r="K312" s="9"/>
      <c r="L312" s="9"/>
    </row>
    <row r="313">
      <c r="B313" s="6"/>
      <c r="C313" s="6"/>
      <c r="D313" s="6"/>
      <c r="G313" s="9"/>
      <c r="H313" s="9"/>
      <c r="I313" s="9"/>
      <c r="J313" s="9"/>
      <c r="K313" s="9"/>
      <c r="L313" s="9"/>
    </row>
    <row r="314">
      <c r="B314" s="6"/>
      <c r="C314" s="6"/>
      <c r="D314" s="6"/>
      <c r="G314" s="9"/>
      <c r="H314" s="9"/>
      <c r="I314" s="9"/>
      <c r="J314" s="9"/>
      <c r="K314" s="9"/>
      <c r="L314" s="9"/>
    </row>
    <row r="315">
      <c r="B315" s="6"/>
      <c r="C315" s="6"/>
      <c r="D315" s="6"/>
      <c r="G315" s="9"/>
      <c r="H315" s="9"/>
      <c r="I315" s="9"/>
      <c r="J315" s="9"/>
      <c r="K315" s="9"/>
      <c r="L315" s="9"/>
    </row>
    <row r="316">
      <c r="B316" s="6"/>
      <c r="C316" s="6"/>
      <c r="D316" s="6"/>
      <c r="G316" s="9"/>
      <c r="H316" s="9"/>
      <c r="I316" s="9"/>
      <c r="J316" s="9"/>
      <c r="K316" s="9"/>
      <c r="L316" s="9"/>
    </row>
    <row r="317">
      <c r="B317" s="6"/>
      <c r="C317" s="6"/>
      <c r="D317" s="6"/>
      <c r="G317" s="9"/>
      <c r="H317" s="9"/>
      <c r="I317" s="9"/>
      <c r="J317" s="9"/>
      <c r="K317" s="9"/>
      <c r="L317" s="9"/>
    </row>
    <row r="318">
      <c r="B318" s="6"/>
      <c r="C318" s="6"/>
      <c r="D318" s="6"/>
      <c r="G318" s="9"/>
      <c r="H318" s="9"/>
      <c r="I318" s="9"/>
      <c r="J318" s="9"/>
      <c r="K318" s="9"/>
      <c r="L318" s="9"/>
    </row>
    <row r="319">
      <c r="B319" s="6"/>
      <c r="C319" s="6"/>
      <c r="D319" s="6"/>
      <c r="G319" s="9"/>
      <c r="H319" s="9"/>
      <c r="I319" s="9"/>
      <c r="J319" s="9"/>
      <c r="K319" s="9"/>
      <c r="L319" s="9"/>
    </row>
    <row r="320">
      <c r="B320" s="6"/>
      <c r="C320" s="6"/>
      <c r="D320" s="6"/>
      <c r="G320" s="9"/>
      <c r="H320" s="9"/>
      <c r="I320" s="9"/>
      <c r="J320" s="9"/>
      <c r="K320" s="9"/>
      <c r="L320" s="9"/>
    </row>
    <row r="321">
      <c r="B321" s="6"/>
      <c r="C321" s="6"/>
      <c r="D321" s="6"/>
      <c r="G321" s="9"/>
      <c r="H321" s="9"/>
      <c r="I321" s="9"/>
      <c r="J321" s="9"/>
      <c r="K321" s="9"/>
      <c r="L321" s="9"/>
    </row>
    <row r="322">
      <c r="B322" s="6"/>
      <c r="C322" s="6"/>
      <c r="D322" s="6"/>
      <c r="G322" s="9"/>
      <c r="H322" s="9"/>
      <c r="I322" s="9"/>
      <c r="J322" s="9"/>
      <c r="K322" s="9"/>
      <c r="L322" s="9"/>
    </row>
    <row r="323">
      <c r="B323" s="6"/>
      <c r="C323" s="6"/>
      <c r="D323" s="6"/>
      <c r="G323" s="9"/>
      <c r="H323" s="9"/>
      <c r="I323" s="9"/>
      <c r="J323" s="9"/>
      <c r="K323" s="9"/>
      <c r="L323" s="9"/>
    </row>
    <row r="324">
      <c r="B324" s="6"/>
      <c r="C324" s="6"/>
      <c r="D324" s="6"/>
      <c r="G324" s="9"/>
      <c r="H324" s="9"/>
      <c r="I324" s="9"/>
      <c r="J324" s="9"/>
      <c r="K324" s="9"/>
      <c r="L324" s="9"/>
    </row>
    <row r="325">
      <c r="B325" s="6"/>
      <c r="C325" s="6"/>
      <c r="D325" s="6"/>
      <c r="G325" s="9"/>
      <c r="H325" s="9"/>
      <c r="I325" s="9"/>
      <c r="J325" s="9"/>
      <c r="K325" s="9"/>
      <c r="L325" s="9"/>
    </row>
    <row r="326">
      <c r="B326" s="6"/>
      <c r="C326" s="6"/>
      <c r="D326" s="6"/>
      <c r="G326" s="9"/>
      <c r="H326" s="9"/>
      <c r="I326" s="9"/>
      <c r="J326" s="9"/>
      <c r="K326" s="9"/>
      <c r="L326" s="9"/>
    </row>
    <row r="327">
      <c r="B327" s="6"/>
      <c r="C327" s="6"/>
      <c r="D327" s="6"/>
      <c r="G327" s="9"/>
      <c r="H327" s="9"/>
      <c r="I327" s="9"/>
      <c r="J327" s="9"/>
      <c r="K327" s="9"/>
      <c r="L327" s="9"/>
    </row>
    <row r="328">
      <c r="B328" s="6"/>
      <c r="C328" s="6"/>
      <c r="D328" s="6"/>
      <c r="G328" s="9"/>
      <c r="H328" s="9"/>
      <c r="I328" s="9"/>
      <c r="J328" s="9"/>
      <c r="K328" s="9"/>
      <c r="L328" s="9"/>
    </row>
    <row r="329">
      <c r="B329" s="6"/>
      <c r="C329" s="6"/>
      <c r="D329" s="6"/>
      <c r="G329" s="9"/>
      <c r="H329" s="9"/>
      <c r="I329" s="9"/>
      <c r="J329" s="9"/>
      <c r="K329" s="9"/>
      <c r="L329" s="9"/>
    </row>
    <row r="330">
      <c r="B330" s="6"/>
      <c r="C330" s="6"/>
      <c r="D330" s="6"/>
      <c r="G330" s="9"/>
      <c r="H330" s="9"/>
      <c r="I330" s="9"/>
      <c r="J330" s="9"/>
      <c r="K330" s="9"/>
      <c r="L330" s="9"/>
    </row>
    <row r="331">
      <c r="B331" s="6"/>
      <c r="C331" s="6"/>
      <c r="D331" s="6"/>
      <c r="G331" s="9"/>
      <c r="H331" s="9"/>
      <c r="I331" s="9"/>
      <c r="J331" s="9"/>
      <c r="K331" s="9"/>
      <c r="L331" s="9"/>
    </row>
    <row r="332">
      <c r="B332" s="6"/>
      <c r="C332" s="6"/>
      <c r="D332" s="6"/>
      <c r="G332" s="9"/>
      <c r="H332" s="9"/>
      <c r="I332" s="9"/>
      <c r="J332" s="9"/>
      <c r="K332" s="9"/>
      <c r="L332" s="9"/>
    </row>
    <row r="333">
      <c r="B333" s="6"/>
      <c r="C333" s="6"/>
      <c r="D333" s="6"/>
      <c r="G333" s="9"/>
      <c r="H333" s="9"/>
      <c r="I333" s="9"/>
      <c r="J333" s="9"/>
      <c r="K333" s="9"/>
      <c r="L333" s="9"/>
    </row>
    <row r="334">
      <c r="B334" s="6"/>
      <c r="C334" s="6"/>
      <c r="D334" s="6"/>
      <c r="G334" s="9"/>
      <c r="H334" s="9"/>
      <c r="I334" s="9"/>
      <c r="J334" s="9"/>
      <c r="K334" s="9"/>
      <c r="L334" s="9"/>
    </row>
    <row r="335">
      <c r="B335" s="6"/>
      <c r="C335" s="6"/>
      <c r="D335" s="6"/>
      <c r="G335" s="9"/>
      <c r="H335" s="9"/>
      <c r="I335" s="9"/>
      <c r="J335" s="9"/>
      <c r="K335" s="9"/>
      <c r="L335" s="9"/>
    </row>
    <row r="336">
      <c r="B336" s="6"/>
      <c r="C336" s="6"/>
      <c r="D336" s="6"/>
      <c r="G336" s="9"/>
      <c r="H336" s="9"/>
      <c r="I336" s="9"/>
      <c r="J336" s="9"/>
      <c r="K336" s="9"/>
      <c r="L336" s="9"/>
    </row>
    <row r="337">
      <c r="B337" s="6"/>
      <c r="C337" s="6"/>
      <c r="D337" s="6"/>
      <c r="G337" s="9"/>
      <c r="H337" s="9"/>
      <c r="I337" s="9"/>
      <c r="J337" s="9"/>
      <c r="K337" s="9"/>
      <c r="L337" s="9"/>
    </row>
    <row r="338">
      <c r="B338" s="6"/>
      <c r="C338" s="6"/>
      <c r="D338" s="6"/>
      <c r="G338" s="9"/>
      <c r="H338" s="9"/>
      <c r="I338" s="9"/>
      <c r="J338" s="9"/>
      <c r="K338" s="9"/>
      <c r="L338" s="9"/>
    </row>
    <row r="339">
      <c r="B339" s="6"/>
      <c r="C339" s="6"/>
      <c r="D339" s="6"/>
      <c r="G339" s="9"/>
      <c r="H339" s="9"/>
      <c r="I339" s="9"/>
      <c r="J339" s="9"/>
      <c r="K339" s="9"/>
      <c r="L339" s="9"/>
    </row>
    <row r="340">
      <c r="B340" s="6"/>
      <c r="C340" s="6"/>
      <c r="D340" s="6"/>
      <c r="G340" s="9"/>
      <c r="H340" s="9"/>
      <c r="I340" s="9"/>
      <c r="J340" s="9"/>
      <c r="K340" s="9"/>
      <c r="L340" s="9"/>
    </row>
    <row r="341">
      <c r="B341" s="6"/>
      <c r="C341" s="6"/>
      <c r="D341" s="6"/>
      <c r="G341" s="9"/>
      <c r="H341" s="9"/>
      <c r="I341" s="9"/>
      <c r="J341" s="9"/>
      <c r="K341" s="9"/>
      <c r="L341" s="9"/>
    </row>
    <row r="342">
      <c r="B342" s="6"/>
      <c r="C342" s="6"/>
      <c r="D342" s="6"/>
      <c r="G342" s="9"/>
      <c r="H342" s="9"/>
      <c r="I342" s="9"/>
      <c r="J342" s="9"/>
      <c r="K342" s="9"/>
      <c r="L342" s="9"/>
    </row>
    <row r="343">
      <c r="B343" s="6"/>
      <c r="C343" s="6"/>
      <c r="D343" s="6"/>
      <c r="G343" s="9"/>
      <c r="H343" s="9"/>
      <c r="I343" s="9"/>
      <c r="J343" s="9"/>
      <c r="K343" s="9"/>
      <c r="L343" s="9"/>
    </row>
    <row r="344">
      <c r="B344" s="6"/>
      <c r="C344" s="6"/>
      <c r="D344" s="6"/>
      <c r="G344" s="9"/>
      <c r="H344" s="9"/>
      <c r="I344" s="9"/>
      <c r="J344" s="9"/>
      <c r="K344" s="9"/>
      <c r="L344" s="9"/>
    </row>
    <row r="345">
      <c r="B345" s="6"/>
      <c r="C345" s="6"/>
      <c r="D345" s="6"/>
      <c r="G345" s="9"/>
      <c r="H345" s="9"/>
      <c r="I345" s="9"/>
      <c r="J345" s="9"/>
      <c r="K345" s="9"/>
      <c r="L345" s="9"/>
    </row>
    <row r="346">
      <c r="B346" s="6"/>
      <c r="C346" s="6"/>
      <c r="D346" s="6"/>
      <c r="G346" s="9"/>
      <c r="H346" s="9"/>
      <c r="I346" s="9"/>
      <c r="J346" s="9"/>
      <c r="K346" s="9"/>
      <c r="L346" s="9"/>
    </row>
    <row r="347">
      <c r="B347" s="6"/>
      <c r="C347" s="6"/>
      <c r="D347" s="6"/>
      <c r="G347" s="9"/>
      <c r="H347" s="9"/>
      <c r="I347" s="9"/>
      <c r="J347" s="9"/>
      <c r="K347" s="9"/>
      <c r="L347" s="9"/>
    </row>
    <row r="348">
      <c r="B348" s="6"/>
      <c r="C348" s="6"/>
      <c r="D348" s="6"/>
      <c r="G348" s="9"/>
      <c r="H348" s="9"/>
      <c r="I348" s="9"/>
      <c r="J348" s="9"/>
      <c r="K348" s="9"/>
      <c r="L348" s="9"/>
    </row>
    <row r="349">
      <c r="B349" s="6"/>
      <c r="C349" s="6"/>
      <c r="D349" s="6"/>
      <c r="G349" s="9"/>
      <c r="H349" s="9"/>
      <c r="I349" s="9"/>
      <c r="J349" s="9"/>
      <c r="K349" s="9"/>
      <c r="L349" s="9"/>
    </row>
    <row r="350">
      <c r="B350" s="6"/>
      <c r="C350" s="6"/>
      <c r="D350" s="6"/>
      <c r="G350" s="9"/>
      <c r="H350" s="9"/>
      <c r="I350" s="9"/>
      <c r="J350" s="9"/>
      <c r="K350" s="9"/>
      <c r="L350" s="9"/>
    </row>
    <row r="351">
      <c r="B351" s="6"/>
      <c r="C351" s="6"/>
      <c r="D351" s="6"/>
      <c r="G351" s="9"/>
      <c r="H351" s="9"/>
      <c r="I351" s="9"/>
      <c r="J351" s="9"/>
      <c r="K351" s="9"/>
      <c r="L351" s="9"/>
    </row>
    <row r="352">
      <c r="B352" s="6"/>
      <c r="C352" s="6"/>
      <c r="D352" s="6"/>
      <c r="G352" s="9"/>
      <c r="H352" s="9"/>
      <c r="I352" s="9"/>
      <c r="J352" s="9"/>
      <c r="K352" s="9"/>
      <c r="L352" s="9"/>
    </row>
    <row r="353">
      <c r="B353" s="6"/>
      <c r="C353" s="6"/>
      <c r="D353" s="6"/>
      <c r="G353" s="9"/>
      <c r="H353" s="9"/>
      <c r="I353" s="9"/>
      <c r="J353" s="9"/>
      <c r="K353" s="9"/>
      <c r="L353" s="9"/>
    </row>
    <row r="354">
      <c r="B354" s="6"/>
      <c r="C354" s="6"/>
      <c r="D354" s="6"/>
      <c r="G354" s="9"/>
      <c r="H354" s="9"/>
      <c r="I354" s="9"/>
      <c r="J354" s="9"/>
      <c r="K354" s="9"/>
      <c r="L354" s="9"/>
    </row>
    <row r="355">
      <c r="B355" s="6"/>
      <c r="C355" s="6"/>
      <c r="D355" s="6"/>
      <c r="G355" s="9"/>
      <c r="H355" s="9"/>
      <c r="I355" s="9"/>
      <c r="J355" s="9"/>
      <c r="K355" s="9"/>
      <c r="L355" s="9"/>
    </row>
    <row r="356">
      <c r="B356" s="6"/>
      <c r="C356" s="6"/>
      <c r="D356" s="6"/>
      <c r="G356" s="9"/>
      <c r="H356" s="9"/>
      <c r="I356" s="9"/>
      <c r="J356" s="9"/>
      <c r="K356" s="9"/>
      <c r="L356" s="9"/>
    </row>
    <row r="357">
      <c r="B357" s="6"/>
      <c r="C357" s="6"/>
      <c r="D357" s="6"/>
      <c r="G357" s="9"/>
      <c r="H357" s="9"/>
      <c r="I357" s="9"/>
      <c r="J357" s="9"/>
      <c r="K357" s="9"/>
      <c r="L357" s="9"/>
    </row>
    <row r="358">
      <c r="B358" s="6"/>
      <c r="C358" s="6"/>
      <c r="D358" s="6"/>
      <c r="G358" s="9"/>
      <c r="H358" s="9"/>
      <c r="I358" s="9"/>
      <c r="J358" s="9"/>
      <c r="K358" s="9"/>
      <c r="L358" s="9"/>
    </row>
    <row r="359">
      <c r="B359" s="6"/>
      <c r="C359" s="6"/>
      <c r="D359" s="6"/>
      <c r="G359" s="9"/>
      <c r="H359" s="9"/>
      <c r="I359" s="9"/>
      <c r="J359" s="9"/>
      <c r="K359" s="9"/>
      <c r="L359" s="9"/>
    </row>
    <row r="360">
      <c r="B360" s="6"/>
      <c r="C360" s="6"/>
      <c r="D360" s="6"/>
      <c r="G360" s="9"/>
      <c r="H360" s="9"/>
      <c r="I360" s="9"/>
      <c r="J360" s="9"/>
      <c r="K360" s="9"/>
      <c r="L360" s="9"/>
    </row>
    <row r="361">
      <c r="B361" s="6"/>
      <c r="C361" s="6"/>
      <c r="D361" s="6"/>
      <c r="G361" s="9"/>
      <c r="H361" s="9"/>
      <c r="I361" s="9"/>
      <c r="J361" s="9"/>
      <c r="K361" s="9"/>
      <c r="L361" s="9"/>
    </row>
    <row r="362">
      <c r="B362" s="6"/>
      <c r="C362" s="6"/>
      <c r="D362" s="6"/>
      <c r="G362" s="9"/>
      <c r="H362" s="9"/>
      <c r="I362" s="9"/>
      <c r="J362" s="9"/>
      <c r="K362" s="9"/>
      <c r="L362" s="9"/>
    </row>
    <row r="363">
      <c r="B363" s="6"/>
      <c r="C363" s="6"/>
      <c r="D363" s="6"/>
      <c r="G363" s="9"/>
      <c r="H363" s="9"/>
      <c r="I363" s="9"/>
      <c r="J363" s="9"/>
      <c r="K363" s="9"/>
      <c r="L363" s="9"/>
    </row>
    <row r="364">
      <c r="B364" s="6"/>
      <c r="C364" s="6"/>
      <c r="D364" s="6"/>
      <c r="G364" s="9"/>
      <c r="H364" s="9"/>
      <c r="I364" s="9"/>
      <c r="J364" s="9"/>
      <c r="K364" s="9"/>
      <c r="L364" s="9"/>
    </row>
    <row r="365">
      <c r="B365" s="6"/>
      <c r="C365" s="6"/>
      <c r="D365" s="6"/>
      <c r="G365" s="9"/>
      <c r="H365" s="9"/>
      <c r="I365" s="9"/>
      <c r="J365" s="9"/>
      <c r="K365" s="9"/>
      <c r="L365" s="9"/>
    </row>
    <row r="366">
      <c r="B366" s="6"/>
      <c r="C366" s="6"/>
      <c r="D366" s="6"/>
      <c r="G366" s="9"/>
      <c r="H366" s="9"/>
      <c r="I366" s="9"/>
      <c r="J366" s="9"/>
      <c r="K366" s="9"/>
      <c r="L366" s="9"/>
    </row>
    <row r="367">
      <c r="B367" s="6"/>
      <c r="C367" s="6"/>
      <c r="D367" s="6"/>
      <c r="G367" s="9"/>
      <c r="H367" s="9"/>
      <c r="I367" s="9"/>
      <c r="J367" s="9"/>
      <c r="K367" s="9"/>
      <c r="L367" s="9"/>
    </row>
    <row r="368">
      <c r="B368" s="6"/>
      <c r="C368" s="6"/>
      <c r="D368" s="6"/>
      <c r="G368" s="9"/>
      <c r="H368" s="9"/>
      <c r="I368" s="9"/>
      <c r="J368" s="9"/>
      <c r="K368" s="9"/>
      <c r="L368" s="9"/>
    </row>
    <row r="369">
      <c r="B369" s="6"/>
      <c r="C369" s="6"/>
      <c r="D369" s="6"/>
      <c r="G369" s="9"/>
      <c r="H369" s="9"/>
      <c r="I369" s="9"/>
      <c r="J369" s="9"/>
      <c r="K369" s="9"/>
      <c r="L369" s="9"/>
    </row>
    <row r="370">
      <c r="B370" s="6"/>
      <c r="C370" s="6"/>
      <c r="D370" s="6"/>
      <c r="G370" s="9"/>
      <c r="H370" s="9"/>
      <c r="I370" s="9"/>
      <c r="J370" s="9"/>
      <c r="K370" s="9"/>
      <c r="L370" s="9"/>
    </row>
    <row r="371">
      <c r="B371" s="6"/>
      <c r="C371" s="6"/>
      <c r="D371" s="6"/>
      <c r="G371" s="9"/>
      <c r="H371" s="9"/>
      <c r="I371" s="9"/>
      <c r="J371" s="9"/>
      <c r="K371" s="9"/>
      <c r="L371" s="9"/>
    </row>
    <row r="372">
      <c r="B372" s="6"/>
      <c r="C372" s="6"/>
      <c r="D372" s="6"/>
      <c r="G372" s="9"/>
      <c r="H372" s="9"/>
      <c r="I372" s="9"/>
      <c r="J372" s="9"/>
      <c r="K372" s="9"/>
      <c r="L372" s="9"/>
    </row>
    <row r="373">
      <c r="B373" s="6"/>
      <c r="C373" s="6"/>
      <c r="D373" s="6"/>
      <c r="G373" s="9"/>
      <c r="H373" s="9"/>
      <c r="I373" s="9"/>
      <c r="J373" s="9"/>
      <c r="K373" s="9"/>
      <c r="L373" s="9"/>
    </row>
    <row r="374">
      <c r="B374" s="6"/>
      <c r="C374" s="6"/>
      <c r="D374" s="6"/>
      <c r="G374" s="9"/>
      <c r="H374" s="9"/>
      <c r="I374" s="9"/>
      <c r="J374" s="9"/>
      <c r="K374" s="9"/>
      <c r="L374" s="9"/>
    </row>
    <row r="375">
      <c r="B375" s="6"/>
      <c r="C375" s="6"/>
      <c r="D375" s="6"/>
      <c r="G375" s="9"/>
      <c r="H375" s="9"/>
      <c r="I375" s="9"/>
      <c r="J375" s="9"/>
      <c r="K375" s="9"/>
      <c r="L375" s="9"/>
    </row>
    <row r="376">
      <c r="B376" s="6"/>
      <c r="C376" s="6"/>
      <c r="D376" s="6"/>
      <c r="G376" s="9"/>
      <c r="H376" s="9"/>
      <c r="I376" s="9"/>
      <c r="J376" s="9"/>
      <c r="K376" s="9"/>
      <c r="L376" s="9"/>
    </row>
    <row r="377">
      <c r="B377" s="6"/>
      <c r="C377" s="6"/>
      <c r="D377" s="6"/>
      <c r="G377" s="9"/>
      <c r="H377" s="9"/>
      <c r="I377" s="9"/>
      <c r="J377" s="9"/>
      <c r="K377" s="9"/>
      <c r="L377" s="9"/>
    </row>
    <row r="378">
      <c r="B378" s="6"/>
      <c r="C378" s="6"/>
      <c r="D378" s="6"/>
      <c r="G378" s="9"/>
      <c r="H378" s="9"/>
      <c r="I378" s="9"/>
      <c r="J378" s="9"/>
      <c r="K378" s="9"/>
      <c r="L378" s="9"/>
    </row>
    <row r="379">
      <c r="B379" s="6"/>
      <c r="C379" s="6"/>
      <c r="D379" s="6"/>
      <c r="G379" s="9"/>
      <c r="H379" s="9"/>
      <c r="I379" s="9"/>
      <c r="J379" s="9"/>
      <c r="K379" s="9"/>
      <c r="L379" s="9"/>
    </row>
    <row r="380">
      <c r="B380" s="6"/>
      <c r="C380" s="6"/>
      <c r="D380" s="6"/>
      <c r="G380" s="9"/>
      <c r="H380" s="9"/>
      <c r="I380" s="9"/>
      <c r="J380" s="9"/>
      <c r="K380" s="9"/>
      <c r="L380" s="9"/>
    </row>
    <row r="381">
      <c r="B381" s="6"/>
      <c r="C381" s="6"/>
      <c r="D381" s="6"/>
      <c r="G381" s="9"/>
      <c r="H381" s="9"/>
      <c r="I381" s="9"/>
      <c r="J381" s="9"/>
      <c r="K381" s="9"/>
      <c r="L381" s="9"/>
    </row>
    <row r="382">
      <c r="B382" s="6"/>
      <c r="C382" s="6"/>
      <c r="D382" s="6"/>
      <c r="G382" s="9"/>
      <c r="H382" s="9"/>
      <c r="I382" s="9"/>
      <c r="J382" s="9"/>
      <c r="K382" s="9"/>
      <c r="L382" s="9"/>
    </row>
    <row r="383">
      <c r="B383" s="6"/>
      <c r="C383" s="6"/>
      <c r="D383" s="6"/>
      <c r="G383" s="9"/>
      <c r="H383" s="9"/>
      <c r="I383" s="9"/>
      <c r="J383" s="9"/>
      <c r="K383" s="9"/>
      <c r="L383" s="9"/>
    </row>
    <row r="384">
      <c r="B384" s="6"/>
      <c r="C384" s="6"/>
      <c r="D384" s="6"/>
      <c r="G384" s="9"/>
      <c r="H384" s="9"/>
      <c r="I384" s="9"/>
      <c r="J384" s="9"/>
      <c r="K384" s="9"/>
      <c r="L384" s="9"/>
    </row>
    <row r="385">
      <c r="B385" s="6"/>
      <c r="C385" s="6"/>
      <c r="D385" s="6"/>
      <c r="G385" s="9"/>
      <c r="H385" s="9"/>
      <c r="I385" s="9"/>
      <c r="J385" s="9"/>
      <c r="K385" s="9"/>
      <c r="L385" s="9"/>
    </row>
    <row r="386">
      <c r="B386" s="6"/>
      <c r="C386" s="6"/>
      <c r="D386" s="6"/>
      <c r="G386" s="9"/>
      <c r="H386" s="9"/>
      <c r="I386" s="9"/>
      <c r="J386" s="9"/>
      <c r="K386" s="9"/>
      <c r="L386" s="9"/>
    </row>
    <row r="387">
      <c r="B387" s="6"/>
      <c r="C387" s="6"/>
      <c r="D387" s="6"/>
      <c r="G387" s="9"/>
      <c r="H387" s="9"/>
      <c r="I387" s="9"/>
      <c r="J387" s="9"/>
      <c r="K387" s="9"/>
      <c r="L387" s="9"/>
    </row>
    <row r="388">
      <c r="B388" s="6"/>
      <c r="C388" s="6"/>
      <c r="D388" s="6"/>
      <c r="G388" s="9"/>
      <c r="H388" s="9"/>
      <c r="I388" s="9"/>
      <c r="J388" s="9"/>
      <c r="K388" s="9"/>
      <c r="L388" s="9"/>
    </row>
    <row r="389">
      <c r="B389" s="6"/>
      <c r="C389" s="6"/>
      <c r="D389" s="6"/>
      <c r="G389" s="9"/>
      <c r="H389" s="9"/>
      <c r="I389" s="9"/>
      <c r="J389" s="9"/>
      <c r="K389" s="9"/>
      <c r="L389" s="9"/>
    </row>
    <row r="390">
      <c r="B390" s="6"/>
      <c r="C390" s="6"/>
      <c r="D390" s="6"/>
      <c r="G390" s="9"/>
      <c r="H390" s="9"/>
      <c r="I390" s="9"/>
      <c r="J390" s="9"/>
      <c r="K390" s="9"/>
      <c r="L390" s="9"/>
    </row>
    <row r="391">
      <c r="B391" s="6"/>
      <c r="C391" s="6"/>
      <c r="D391" s="6"/>
      <c r="G391" s="9"/>
      <c r="H391" s="9"/>
      <c r="I391" s="9"/>
      <c r="J391" s="9"/>
      <c r="K391" s="9"/>
      <c r="L391" s="9"/>
    </row>
    <row r="392">
      <c r="B392" s="6"/>
      <c r="C392" s="6"/>
      <c r="D392" s="6"/>
      <c r="G392" s="9"/>
      <c r="H392" s="9"/>
      <c r="I392" s="9"/>
      <c r="J392" s="9"/>
      <c r="K392" s="9"/>
      <c r="L392" s="9"/>
    </row>
    <row r="393">
      <c r="B393" s="6"/>
      <c r="C393" s="6"/>
      <c r="D393" s="6"/>
      <c r="G393" s="9"/>
      <c r="H393" s="9"/>
      <c r="I393" s="9"/>
      <c r="J393" s="9"/>
      <c r="K393" s="9"/>
      <c r="L393" s="9"/>
    </row>
    <row r="394">
      <c r="B394" s="6"/>
      <c r="C394" s="6"/>
      <c r="D394" s="6"/>
      <c r="G394" s="9"/>
      <c r="H394" s="9"/>
      <c r="I394" s="9"/>
      <c r="J394" s="9"/>
      <c r="K394" s="9"/>
      <c r="L394" s="9"/>
    </row>
    <row r="395">
      <c r="B395" s="6"/>
      <c r="C395" s="6"/>
      <c r="D395" s="6"/>
      <c r="G395" s="9"/>
      <c r="H395" s="9"/>
      <c r="I395" s="9"/>
      <c r="J395" s="9"/>
      <c r="K395" s="9"/>
      <c r="L395" s="9"/>
    </row>
    <row r="396">
      <c r="B396" s="6"/>
      <c r="C396" s="6"/>
      <c r="D396" s="6"/>
      <c r="G396" s="9"/>
      <c r="H396" s="9"/>
      <c r="I396" s="9"/>
      <c r="J396" s="9"/>
      <c r="K396" s="9"/>
      <c r="L396" s="9"/>
    </row>
    <row r="397">
      <c r="B397" s="6"/>
      <c r="C397" s="6"/>
      <c r="D397" s="6"/>
      <c r="G397" s="9"/>
      <c r="H397" s="9"/>
      <c r="I397" s="9"/>
      <c r="J397" s="9"/>
      <c r="K397" s="9"/>
      <c r="L397" s="9"/>
    </row>
    <row r="398">
      <c r="B398" s="6"/>
      <c r="C398" s="6"/>
      <c r="D398" s="6"/>
      <c r="G398" s="9"/>
      <c r="H398" s="9"/>
      <c r="I398" s="9"/>
      <c r="J398" s="9"/>
      <c r="K398" s="9"/>
      <c r="L398" s="9"/>
    </row>
    <row r="399">
      <c r="B399" s="6"/>
      <c r="C399" s="6"/>
      <c r="D399" s="6"/>
      <c r="G399" s="9"/>
      <c r="H399" s="9"/>
      <c r="I399" s="9"/>
      <c r="J399" s="9"/>
      <c r="K399" s="9"/>
      <c r="L399" s="9"/>
    </row>
    <row r="400">
      <c r="B400" s="6"/>
      <c r="C400" s="6"/>
      <c r="D400" s="6"/>
      <c r="G400" s="9"/>
      <c r="H400" s="9"/>
      <c r="I400" s="9"/>
      <c r="J400" s="9"/>
      <c r="K400" s="9"/>
      <c r="L400" s="9"/>
    </row>
    <row r="401">
      <c r="B401" s="6"/>
      <c r="C401" s="6"/>
      <c r="D401" s="6"/>
      <c r="G401" s="9"/>
      <c r="H401" s="9"/>
      <c r="I401" s="9"/>
      <c r="J401" s="9"/>
      <c r="K401" s="9"/>
      <c r="L401" s="9"/>
    </row>
    <row r="402">
      <c r="B402" s="6"/>
      <c r="C402" s="6"/>
      <c r="D402" s="6"/>
      <c r="G402" s="9"/>
      <c r="H402" s="9"/>
      <c r="I402" s="9"/>
      <c r="J402" s="9"/>
      <c r="K402" s="9"/>
      <c r="L402" s="9"/>
    </row>
    <row r="403">
      <c r="B403" s="6"/>
      <c r="C403" s="6"/>
      <c r="D403" s="6"/>
      <c r="G403" s="9"/>
      <c r="H403" s="9"/>
      <c r="I403" s="9"/>
      <c r="J403" s="9"/>
      <c r="K403" s="9"/>
      <c r="L403" s="9"/>
    </row>
    <row r="404">
      <c r="B404" s="6"/>
      <c r="C404" s="6"/>
      <c r="D404" s="6"/>
      <c r="G404" s="9"/>
      <c r="H404" s="9"/>
      <c r="I404" s="9"/>
      <c r="J404" s="9"/>
      <c r="K404" s="9"/>
      <c r="L404" s="9"/>
    </row>
    <row r="405">
      <c r="B405" s="6"/>
      <c r="C405" s="6"/>
      <c r="D405" s="6"/>
      <c r="G405" s="9"/>
      <c r="H405" s="9"/>
      <c r="I405" s="9"/>
      <c r="J405" s="9"/>
      <c r="K405" s="9"/>
      <c r="L405" s="9"/>
    </row>
    <row r="406">
      <c r="B406" s="6"/>
      <c r="C406" s="6"/>
      <c r="D406" s="6"/>
      <c r="G406" s="9"/>
      <c r="H406" s="9"/>
      <c r="I406" s="9"/>
      <c r="J406" s="9"/>
      <c r="K406" s="9"/>
      <c r="L406" s="9"/>
    </row>
    <row r="407">
      <c r="B407" s="6"/>
      <c r="C407" s="6"/>
      <c r="D407" s="6"/>
      <c r="G407" s="9"/>
      <c r="H407" s="9"/>
      <c r="I407" s="9"/>
      <c r="J407" s="9"/>
      <c r="K407" s="9"/>
      <c r="L407" s="9"/>
    </row>
    <row r="408">
      <c r="B408" s="6"/>
      <c r="C408" s="6"/>
      <c r="D408" s="6"/>
      <c r="G408" s="9"/>
      <c r="H408" s="9"/>
      <c r="I408" s="9"/>
      <c r="J408" s="9"/>
      <c r="K408" s="9"/>
      <c r="L408" s="9"/>
    </row>
    <row r="409">
      <c r="B409" s="6"/>
      <c r="C409" s="6"/>
      <c r="D409" s="6"/>
      <c r="G409" s="9"/>
      <c r="H409" s="9"/>
      <c r="I409" s="9"/>
      <c r="J409" s="9"/>
      <c r="K409" s="9"/>
      <c r="L409" s="9"/>
    </row>
    <row r="410">
      <c r="B410" s="6"/>
      <c r="C410" s="6"/>
      <c r="D410" s="6"/>
      <c r="G410" s="9"/>
      <c r="H410" s="9"/>
      <c r="I410" s="9"/>
      <c r="J410" s="9"/>
      <c r="K410" s="9"/>
      <c r="L410" s="9"/>
    </row>
    <row r="411">
      <c r="B411" s="6"/>
      <c r="C411" s="6"/>
      <c r="D411" s="6"/>
      <c r="G411" s="9"/>
      <c r="H411" s="9"/>
      <c r="I411" s="9"/>
      <c r="J411" s="9"/>
      <c r="K411" s="9"/>
      <c r="L411" s="9"/>
    </row>
    <row r="412">
      <c r="B412" s="6"/>
      <c r="C412" s="6"/>
      <c r="D412" s="6"/>
      <c r="G412" s="9"/>
      <c r="H412" s="9"/>
      <c r="I412" s="9"/>
      <c r="J412" s="9"/>
      <c r="K412" s="9"/>
      <c r="L412" s="9"/>
    </row>
    <row r="413">
      <c r="B413" s="6"/>
      <c r="C413" s="6"/>
      <c r="D413" s="6"/>
      <c r="G413" s="9"/>
      <c r="H413" s="9"/>
      <c r="I413" s="9"/>
      <c r="J413" s="9"/>
      <c r="K413" s="9"/>
      <c r="L413" s="9"/>
    </row>
    <row r="414">
      <c r="B414" s="6"/>
      <c r="C414" s="6"/>
      <c r="D414" s="6"/>
      <c r="G414" s="9"/>
      <c r="H414" s="9"/>
      <c r="I414" s="9"/>
      <c r="J414" s="9"/>
      <c r="K414" s="9"/>
      <c r="L414" s="9"/>
    </row>
    <row r="415">
      <c r="B415" s="6"/>
      <c r="C415" s="6"/>
      <c r="D415" s="6"/>
      <c r="G415" s="9"/>
      <c r="H415" s="9"/>
      <c r="I415" s="9"/>
      <c r="J415" s="9"/>
      <c r="K415" s="9"/>
      <c r="L415" s="9"/>
    </row>
    <row r="416">
      <c r="B416" s="6"/>
      <c r="C416" s="6"/>
      <c r="D416" s="6"/>
      <c r="G416" s="9"/>
      <c r="H416" s="9"/>
      <c r="I416" s="9"/>
      <c r="J416" s="9"/>
      <c r="K416" s="9"/>
      <c r="L416" s="9"/>
    </row>
    <row r="417">
      <c r="B417" s="6"/>
      <c r="C417" s="6"/>
      <c r="D417" s="6"/>
      <c r="G417" s="9"/>
      <c r="H417" s="9"/>
      <c r="I417" s="9"/>
      <c r="J417" s="9"/>
      <c r="K417" s="9"/>
      <c r="L417" s="9"/>
    </row>
    <row r="418">
      <c r="B418" s="6"/>
      <c r="C418" s="6"/>
      <c r="D418" s="6"/>
      <c r="G418" s="9"/>
      <c r="H418" s="9"/>
      <c r="I418" s="9"/>
      <c r="J418" s="9"/>
      <c r="K418" s="9"/>
      <c r="L418" s="9"/>
    </row>
    <row r="419">
      <c r="B419" s="6"/>
      <c r="C419" s="6"/>
      <c r="D419" s="6"/>
      <c r="G419" s="9"/>
      <c r="H419" s="9"/>
      <c r="I419" s="9"/>
      <c r="J419" s="9"/>
      <c r="K419" s="9"/>
      <c r="L419" s="9"/>
    </row>
    <row r="420">
      <c r="B420" s="6"/>
      <c r="C420" s="6"/>
      <c r="D420" s="6"/>
      <c r="G420" s="9"/>
      <c r="H420" s="9"/>
      <c r="I420" s="9"/>
      <c r="J420" s="9"/>
      <c r="K420" s="9"/>
      <c r="L420" s="9"/>
    </row>
    <row r="421">
      <c r="B421" s="6"/>
      <c r="C421" s="6"/>
      <c r="D421" s="6"/>
      <c r="G421" s="9"/>
      <c r="H421" s="9"/>
      <c r="I421" s="9"/>
      <c r="J421" s="9"/>
      <c r="K421" s="9"/>
      <c r="L421" s="9"/>
    </row>
    <row r="422">
      <c r="B422" s="6"/>
      <c r="C422" s="6"/>
      <c r="D422" s="6"/>
      <c r="G422" s="9"/>
      <c r="H422" s="9"/>
      <c r="I422" s="9"/>
      <c r="J422" s="9"/>
      <c r="K422" s="9"/>
      <c r="L422" s="9"/>
    </row>
    <row r="423">
      <c r="B423" s="6"/>
      <c r="C423" s="6"/>
      <c r="D423" s="6"/>
      <c r="G423" s="9"/>
      <c r="H423" s="9"/>
      <c r="I423" s="9"/>
      <c r="J423" s="9"/>
      <c r="K423" s="9"/>
      <c r="L423" s="9"/>
    </row>
    <row r="424">
      <c r="B424" s="6"/>
      <c r="C424" s="6"/>
      <c r="D424" s="6"/>
      <c r="G424" s="9"/>
      <c r="H424" s="9"/>
      <c r="I424" s="9"/>
      <c r="J424" s="9"/>
      <c r="K424" s="9"/>
      <c r="L424" s="9"/>
    </row>
    <row r="425">
      <c r="B425" s="6"/>
      <c r="C425" s="6"/>
      <c r="D425" s="6"/>
      <c r="G425" s="9"/>
      <c r="H425" s="9"/>
      <c r="I425" s="9"/>
      <c r="J425" s="9"/>
      <c r="K425" s="9"/>
      <c r="L425" s="9"/>
    </row>
    <row r="426">
      <c r="B426" s="6"/>
      <c r="C426" s="6"/>
      <c r="D426" s="6"/>
      <c r="G426" s="9"/>
      <c r="H426" s="9"/>
      <c r="I426" s="9"/>
      <c r="J426" s="9"/>
      <c r="K426" s="9"/>
      <c r="L426" s="9"/>
    </row>
    <row r="427">
      <c r="B427" s="6"/>
      <c r="C427" s="6"/>
      <c r="D427" s="6"/>
      <c r="G427" s="9"/>
      <c r="H427" s="9"/>
      <c r="I427" s="9"/>
      <c r="J427" s="9"/>
      <c r="K427" s="9"/>
      <c r="L427" s="9"/>
    </row>
    <row r="428">
      <c r="B428" s="6"/>
      <c r="C428" s="6"/>
      <c r="D428" s="6"/>
      <c r="G428" s="9"/>
      <c r="H428" s="9"/>
      <c r="I428" s="9"/>
      <c r="J428" s="9"/>
      <c r="K428" s="9"/>
      <c r="L428" s="9"/>
    </row>
    <row r="429">
      <c r="B429" s="6"/>
      <c r="C429" s="6"/>
      <c r="D429" s="6"/>
      <c r="G429" s="9"/>
      <c r="H429" s="9"/>
      <c r="I429" s="9"/>
      <c r="J429" s="9"/>
      <c r="K429" s="9"/>
      <c r="L429" s="9"/>
    </row>
    <row r="430">
      <c r="B430" s="6"/>
      <c r="C430" s="6"/>
      <c r="D430" s="6"/>
      <c r="G430" s="9"/>
      <c r="H430" s="9"/>
      <c r="I430" s="9"/>
      <c r="J430" s="9"/>
      <c r="K430" s="9"/>
      <c r="L430" s="9"/>
    </row>
    <row r="431">
      <c r="B431" s="6"/>
      <c r="C431" s="6"/>
      <c r="D431" s="6"/>
      <c r="G431" s="9"/>
      <c r="H431" s="9"/>
      <c r="I431" s="9"/>
      <c r="J431" s="9"/>
      <c r="K431" s="9"/>
      <c r="L431" s="9"/>
    </row>
    <row r="432">
      <c r="B432" s="6"/>
      <c r="C432" s="6"/>
      <c r="D432" s="6"/>
      <c r="G432" s="9"/>
      <c r="H432" s="9"/>
      <c r="I432" s="9"/>
      <c r="J432" s="9"/>
      <c r="K432" s="9"/>
      <c r="L432" s="9"/>
    </row>
    <row r="433">
      <c r="B433" s="6"/>
      <c r="C433" s="6"/>
      <c r="D433" s="6"/>
      <c r="G433" s="9"/>
      <c r="H433" s="9"/>
      <c r="I433" s="9"/>
      <c r="J433" s="9"/>
      <c r="K433" s="9"/>
      <c r="L433" s="9"/>
    </row>
    <row r="434">
      <c r="B434" s="6"/>
      <c r="C434" s="6"/>
      <c r="D434" s="6"/>
      <c r="G434" s="9"/>
      <c r="H434" s="9"/>
      <c r="I434" s="9"/>
      <c r="J434" s="9"/>
      <c r="K434" s="9"/>
      <c r="L434" s="9"/>
    </row>
    <row r="435">
      <c r="B435" s="6"/>
      <c r="C435" s="6"/>
      <c r="D435" s="6"/>
      <c r="G435" s="9"/>
      <c r="H435" s="9"/>
      <c r="I435" s="9"/>
      <c r="J435" s="9"/>
      <c r="K435" s="9"/>
      <c r="L435" s="9"/>
    </row>
    <row r="436">
      <c r="B436" s="6"/>
      <c r="C436" s="6"/>
      <c r="D436" s="6"/>
      <c r="G436" s="9"/>
      <c r="H436" s="9"/>
      <c r="I436" s="9"/>
      <c r="J436" s="9"/>
      <c r="K436" s="9"/>
      <c r="L436" s="9"/>
    </row>
    <row r="437">
      <c r="B437" s="6"/>
      <c r="C437" s="6"/>
      <c r="D437" s="6"/>
      <c r="G437" s="9"/>
      <c r="H437" s="9"/>
      <c r="I437" s="9"/>
      <c r="J437" s="9"/>
      <c r="K437" s="9"/>
      <c r="L437" s="9"/>
    </row>
    <row r="438">
      <c r="B438" s="6"/>
      <c r="C438" s="6"/>
      <c r="D438" s="6"/>
      <c r="G438" s="9"/>
      <c r="H438" s="9"/>
      <c r="I438" s="9"/>
      <c r="J438" s="9"/>
      <c r="K438" s="9"/>
      <c r="L438" s="9"/>
    </row>
    <row r="439">
      <c r="B439" s="6"/>
      <c r="C439" s="6"/>
      <c r="D439" s="6"/>
      <c r="G439" s="9"/>
      <c r="H439" s="9"/>
      <c r="I439" s="9"/>
      <c r="J439" s="9"/>
      <c r="K439" s="9"/>
      <c r="L439" s="9"/>
    </row>
    <row r="440">
      <c r="B440" s="6"/>
      <c r="C440" s="6"/>
      <c r="D440" s="6"/>
      <c r="G440" s="9"/>
      <c r="H440" s="9"/>
      <c r="I440" s="9"/>
      <c r="J440" s="9"/>
      <c r="K440" s="9"/>
      <c r="L440" s="9"/>
    </row>
    <row r="441">
      <c r="B441" s="6"/>
      <c r="C441" s="6"/>
      <c r="D441" s="6"/>
      <c r="G441" s="9"/>
      <c r="H441" s="9"/>
      <c r="I441" s="9"/>
      <c r="J441" s="9"/>
      <c r="K441" s="9"/>
      <c r="L441" s="9"/>
    </row>
    <row r="442">
      <c r="B442" s="6"/>
      <c r="C442" s="6"/>
      <c r="D442" s="6"/>
      <c r="G442" s="9"/>
      <c r="H442" s="9"/>
      <c r="I442" s="9"/>
      <c r="J442" s="9"/>
      <c r="K442" s="9"/>
      <c r="L442" s="9"/>
    </row>
    <row r="443">
      <c r="B443" s="6"/>
      <c r="C443" s="6"/>
      <c r="D443" s="6"/>
      <c r="G443" s="9"/>
      <c r="H443" s="9"/>
      <c r="I443" s="9"/>
      <c r="J443" s="9"/>
      <c r="K443" s="9"/>
      <c r="L443" s="9"/>
    </row>
    <row r="444">
      <c r="B444" s="6"/>
      <c r="C444" s="6"/>
      <c r="D444" s="6"/>
      <c r="G444" s="9"/>
      <c r="H444" s="9"/>
      <c r="I444" s="9"/>
      <c r="J444" s="9"/>
      <c r="K444" s="9"/>
      <c r="L444" s="9"/>
    </row>
    <row r="445">
      <c r="B445" s="6"/>
      <c r="C445" s="6"/>
      <c r="D445" s="6"/>
      <c r="G445" s="9"/>
      <c r="H445" s="9"/>
      <c r="I445" s="9"/>
      <c r="J445" s="9"/>
      <c r="K445" s="9"/>
      <c r="L445" s="9"/>
    </row>
    <row r="446">
      <c r="B446" s="6"/>
      <c r="C446" s="6"/>
      <c r="D446" s="6"/>
      <c r="G446" s="9"/>
      <c r="H446" s="9"/>
      <c r="I446" s="9"/>
      <c r="J446" s="9"/>
      <c r="K446" s="9"/>
      <c r="L446" s="9"/>
    </row>
    <row r="447">
      <c r="B447" s="6"/>
      <c r="C447" s="6"/>
      <c r="D447" s="6"/>
      <c r="G447" s="9"/>
      <c r="H447" s="9"/>
      <c r="I447" s="9"/>
      <c r="J447" s="9"/>
      <c r="K447" s="9"/>
      <c r="L447" s="9"/>
    </row>
    <row r="448">
      <c r="B448" s="6"/>
      <c r="C448" s="6"/>
      <c r="D448" s="6"/>
      <c r="G448" s="9"/>
      <c r="H448" s="9"/>
      <c r="I448" s="9"/>
      <c r="J448" s="9"/>
      <c r="K448" s="9"/>
      <c r="L448" s="9"/>
    </row>
    <row r="449">
      <c r="B449" s="6"/>
      <c r="C449" s="6"/>
      <c r="D449" s="6"/>
      <c r="G449" s="9"/>
      <c r="H449" s="9"/>
      <c r="I449" s="9"/>
      <c r="J449" s="9"/>
      <c r="K449" s="9"/>
      <c r="L449" s="9"/>
    </row>
    <row r="450">
      <c r="B450" s="6"/>
      <c r="C450" s="6"/>
      <c r="D450" s="6"/>
      <c r="G450" s="9"/>
      <c r="H450" s="9"/>
      <c r="I450" s="9"/>
      <c r="J450" s="9"/>
      <c r="K450" s="9"/>
      <c r="L450" s="9"/>
    </row>
    <row r="451">
      <c r="B451" s="6"/>
      <c r="C451" s="6"/>
      <c r="D451" s="6"/>
      <c r="G451" s="9"/>
      <c r="H451" s="9"/>
      <c r="I451" s="9"/>
      <c r="J451" s="9"/>
      <c r="K451" s="9"/>
      <c r="L451" s="9"/>
    </row>
    <row r="452">
      <c r="B452" s="6"/>
      <c r="C452" s="6"/>
      <c r="D452" s="6"/>
      <c r="G452" s="9"/>
      <c r="H452" s="9"/>
      <c r="I452" s="9"/>
      <c r="J452" s="9"/>
      <c r="K452" s="9"/>
      <c r="L452" s="9"/>
    </row>
    <row r="453">
      <c r="B453" s="6"/>
      <c r="C453" s="6"/>
      <c r="D453" s="6"/>
      <c r="G453" s="9"/>
      <c r="H453" s="9"/>
      <c r="I453" s="9"/>
      <c r="J453" s="9"/>
      <c r="K453" s="9"/>
      <c r="L453" s="9"/>
    </row>
    <row r="454">
      <c r="B454" s="6"/>
      <c r="C454" s="6"/>
      <c r="D454" s="6"/>
      <c r="G454" s="9"/>
      <c r="H454" s="9"/>
      <c r="I454" s="9"/>
      <c r="J454" s="9"/>
      <c r="K454" s="9"/>
      <c r="L454" s="9"/>
    </row>
    <row r="455">
      <c r="B455" s="6"/>
      <c r="C455" s="6"/>
      <c r="D455" s="6"/>
      <c r="G455" s="9"/>
      <c r="H455" s="9"/>
      <c r="I455" s="9"/>
      <c r="J455" s="9"/>
      <c r="K455" s="9"/>
      <c r="L455" s="9"/>
    </row>
    <row r="456">
      <c r="B456" s="6"/>
      <c r="C456" s="6"/>
      <c r="D456" s="6"/>
      <c r="G456" s="9"/>
      <c r="H456" s="9"/>
      <c r="I456" s="9"/>
      <c r="J456" s="9"/>
      <c r="K456" s="9"/>
      <c r="L456" s="9"/>
    </row>
    <row r="457">
      <c r="B457" s="6"/>
      <c r="C457" s="6"/>
      <c r="D457" s="6"/>
      <c r="G457" s="9"/>
      <c r="H457" s="9"/>
      <c r="I457" s="9"/>
      <c r="J457" s="9"/>
      <c r="K457" s="9"/>
      <c r="L457" s="9"/>
    </row>
    <row r="458">
      <c r="B458" s="6"/>
      <c r="C458" s="6"/>
      <c r="D458" s="6"/>
      <c r="G458" s="9"/>
      <c r="H458" s="9"/>
      <c r="I458" s="9"/>
      <c r="J458" s="9"/>
      <c r="K458" s="9"/>
      <c r="L458" s="9"/>
    </row>
    <row r="459">
      <c r="B459" s="6"/>
      <c r="C459" s="6"/>
      <c r="D459" s="6"/>
      <c r="G459" s="9"/>
      <c r="H459" s="9"/>
      <c r="I459" s="9"/>
      <c r="J459" s="9"/>
      <c r="K459" s="9"/>
      <c r="L459" s="9"/>
    </row>
    <row r="460">
      <c r="B460" s="6"/>
      <c r="C460" s="6"/>
      <c r="D460" s="6"/>
      <c r="G460" s="9"/>
      <c r="H460" s="9"/>
      <c r="I460" s="9"/>
      <c r="J460" s="9"/>
      <c r="K460" s="9"/>
      <c r="L460" s="9"/>
    </row>
    <row r="461">
      <c r="B461" s="6"/>
      <c r="C461" s="6"/>
      <c r="D461" s="6"/>
      <c r="G461" s="9"/>
      <c r="H461" s="9"/>
      <c r="I461" s="9"/>
      <c r="J461" s="9"/>
      <c r="K461" s="9"/>
      <c r="L461" s="9"/>
    </row>
    <row r="462">
      <c r="B462" s="6"/>
      <c r="C462" s="6"/>
      <c r="D462" s="6"/>
      <c r="G462" s="9"/>
      <c r="H462" s="9"/>
      <c r="I462" s="9"/>
      <c r="J462" s="9"/>
      <c r="K462" s="9"/>
      <c r="L462" s="9"/>
    </row>
    <row r="463">
      <c r="B463" s="6"/>
      <c r="C463" s="6"/>
      <c r="D463" s="6"/>
      <c r="G463" s="9"/>
      <c r="H463" s="9"/>
      <c r="I463" s="9"/>
      <c r="J463" s="9"/>
      <c r="K463" s="9"/>
      <c r="L463" s="9"/>
    </row>
    <row r="464">
      <c r="B464" s="6"/>
      <c r="C464" s="6"/>
      <c r="D464" s="6"/>
      <c r="G464" s="9"/>
      <c r="H464" s="9"/>
      <c r="I464" s="9"/>
      <c r="J464" s="9"/>
      <c r="K464" s="9"/>
      <c r="L464" s="9"/>
    </row>
    <row r="465">
      <c r="B465" s="6"/>
      <c r="C465" s="6"/>
      <c r="D465" s="6"/>
      <c r="G465" s="9"/>
      <c r="H465" s="9"/>
      <c r="I465" s="9"/>
      <c r="J465" s="9"/>
      <c r="K465" s="9"/>
      <c r="L465" s="9"/>
    </row>
    <row r="466">
      <c r="B466" s="6"/>
      <c r="C466" s="6"/>
      <c r="D466" s="6"/>
      <c r="G466" s="9"/>
      <c r="H466" s="9"/>
      <c r="I466" s="9"/>
      <c r="J466" s="9"/>
      <c r="K466" s="9"/>
      <c r="L466" s="9"/>
    </row>
    <row r="467">
      <c r="B467" s="6"/>
      <c r="C467" s="6"/>
      <c r="D467" s="6"/>
      <c r="G467" s="9"/>
      <c r="H467" s="9"/>
      <c r="I467" s="9"/>
      <c r="J467" s="9"/>
      <c r="K467" s="9"/>
      <c r="L467" s="9"/>
    </row>
    <row r="468">
      <c r="B468" s="6"/>
      <c r="C468" s="6"/>
      <c r="D468" s="6"/>
      <c r="G468" s="9"/>
      <c r="H468" s="9"/>
      <c r="I468" s="9"/>
      <c r="J468" s="9"/>
      <c r="K468" s="9"/>
      <c r="L468" s="9"/>
    </row>
    <row r="469">
      <c r="B469" s="6"/>
      <c r="C469" s="6"/>
      <c r="D469" s="6"/>
      <c r="G469" s="9"/>
      <c r="H469" s="9"/>
      <c r="I469" s="9"/>
      <c r="J469" s="9"/>
      <c r="K469" s="9"/>
      <c r="L469" s="9"/>
    </row>
    <row r="470">
      <c r="B470" s="6"/>
      <c r="C470" s="6"/>
      <c r="D470" s="6"/>
      <c r="G470" s="9"/>
      <c r="H470" s="9"/>
      <c r="I470" s="9"/>
      <c r="J470" s="9"/>
      <c r="K470" s="9"/>
      <c r="L470" s="9"/>
    </row>
    <row r="471">
      <c r="B471" s="6"/>
      <c r="C471" s="6"/>
      <c r="D471" s="6"/>
      <c r="G471" s="9"/>
      <c r="H471" s="9"/>
      <c r="I471" s="9"/>
      <c r="J471" s="9"/>
      <c r="K471" s="9"/>
      <c r="L471" s="9"/>
    </row>
    <row r="472">
      <c r="B472" s="6"/>
      <c r="C472" s="6"/>
      <c r="D472" s="6"/>
      <c r="G472" s="9"/>
      <c r="H472" s="9"/>
      <c r="I472" s="9"/>
      <c r="J472" s="9"/>
      <c r="K472" s="9"/>
      <c r="L472" s="9"/>
    </row>
    <row r="473">
      <c r="B473" s="6"/>
      <c r="C473" s="6"/>
      <c r="D473" s="6"/>
      <c r="G473" s="9"/>
      <c r="H473" s="9"/>
      <c r="I473" s="9"/>
      <c r="J473" s="9"/>
      <c r="K473" s="9"/>
      <c r="L473" s="9"/>
    </row>
    <row r="474">
      <c r="B474" s="6"/>
      <c r="C474" s="6"/>
      <c r="D474" s="6"/>
      <c r="G474" s="9"/>
      <c r="H474" s="9"/>
      <c r="I474" s="9"/>
      <c r="J474" s="9"/>
      <c r="K474" s="9"/>
      <c r="L474" s="9"/>
    </row>
    <row r="475">
      <c r="B475" s="6"/>
      <c r="C475" s="6"/>
      <c r="D475" s="6"/>
      <c r="G475" s="9"/>
      <c r="H475" s="9"/>
      <c r="I475" s="9"/>
      <c r="J475" s="9"/>
      <c r="K475" s="9"/>
      <c r="L475" s="9"/>
    </row>
    <row r="476">
      <c r="B476" s="6"/>
      <c r="C476" s="6"/>
      <c r="D476" s="6"/>
      <c r="G476" s="9"/>
      <c r="H476" s="9"/>
      <c r="I476" s="9"/>
      <c r="J476" s="9"/>
      <c r="K476" s="9"/>
      <c r="L476" s="9"/>
    </row>
    <row r="477">
      <c r="B477" s="6"/>
      <c r="C477" s="6"/>
      <c r="D477" s="6"/>
      <c r="G477" s="9"/>
      <c r="H477" s="9"/>
      <c r="I477" s="9"/>
      <c r="J477" s="9"/>
      <c r="K477" s="9"/>
      <c r="L477" s="9"/>
    </row>
    <row r="478">
      <c r="B478" s="6"/>
      <c r="C478" s="6"/>
      <c r="D478" s="6"/>
      <c r="G478" s="9"/>
      <c r="H478" s="9"/>
      <c r="I478" s="9"/>
      <c r="J478" s="9"/>
      <c r="K478" s="9"/>
      <c r="L478" s="9"/>
    </row>
    <row r="479">
      <c r="B479" s="6"/>
      <c r="C479" s="6"/>
      <c r="D479" s="6"/>
      <c r="G479" s="9"/>
      <c r="H479" s="9"/>
      <c r="I479" s="9"/>
      <c r="J479" s="9"/>
      <c r="K479" s="9"/>
      <c r="L479" s="9"/>
    </row>
    <row r="480">
      <c r="B480" s="6"/>
      <c r="C480" s="6"/>
      <c r="D480" s="6"/>
      <c r="G480" s="9"/>
      <c r="H480" s="9"/>
      <c r="I480" s="9"/>
      <c r="J480" s="9"/>
      <c r="K480" s="9"/>
      <c r="L480" s="9"/>
    </row>
    <row r="481">
      <c r="B481" s="6"/>
      <c r="C481" s="6"/>
      <c r="D481" s="6"/>
      <c r="G481" s="9"/>
      <c r="H481" s="9"/>
      <c r="I481" s="9"/>
      <c r="J481" s="9"/>
      <c r="K481" s="9"/>
      <c r="L481" s="9"/>
    </row>
    <row r="482">
      <c r="B482" s="6"/>
      <c r="C482" s="6"/>
      <c r="D482" s="6"/>
      <c r="G482" s="9"/>
      <c r="H482" s="9"/>
      <c r="I482" s="9"/>
      <c r="J482" s="9"/>
      <c r="K482" s="9"/>
      <c r="L482" s="9"/>
    </row>
    <row r="483">
      <c r="B483" s="6"/>
      <c r="C483" s="6"/>
      <c r="D483" s="6"/>
      <c r="G483" s="9"/>
      <c r="H483" s="9"/>
      <c r="I483" s="9"/>
      <c r="J483" s="9"/>
      <c r="K483" s="9"/>
      <c r="L483" s="9"/>
    </row>
    <row r="484">
      <c r="B484" s="6"/>
      <c r="C484" s="6"/>
      <c r="D484" s="6"/>
      <c r="G484" s="9"/>
      <c r="H484" s="9"/>
      <c r="I484" s="9"/>
      <c r="J484" s="9"/>
      <c r="K484" s="9"/>
      <c r="L484" s="9"/>
    </row>
    <row r="485">
      <c r="B485" s="6"/>
      <c r="C485" s="6"/>
      <c r="D485" s="6"/>
      <c r="G485" s="9"/>
      <c r="H485" s="9"/>
      <c r="I485" s="9"/>
      <c r="J485" s="9"/>
      <c r="K485" s="9"/>
      <c r="L485" s="9"/>
    </row>
    <row r="486">
      <c r="B486" s="6"/>
      <c r="C486" s="6"/>
      <c r="D486" s="6"/>
      <c r="G486" s="9"/>
      <c r="H486" s="9"/>
      <c r="I486" s="9"/>
      <c r="J486" s="9"/>
      <c r="K486" s="9"/>
      <c r="L486" s="9"/>
    </row>
    <row r="487">
      <c r="B487" s="6"/>
      <c r="C487" s="6"/>
      <c r="D487" s="6"/>
      <c r="G487" s="9"/>
      <c r="H487" s="9"/>
      <c r="I487" s="9"/>
      <c r="J487" s="9"/>
      <c r="K487" s="9"/>
      <c r="L487" s="9"/>
    </row>
    <row r="488">
      <c r="B488" s="6"/>
      <c r="C488" s="6"/>
      <c r="D488" s="6"/>
      <c r="G488" s="9"/>
      <c r="H488" s="9"/>
      <c r="I488" s="9"/>
      <c r="J488" s="9"/>
      <c r="K488" s="9"/>
      <c r="L488" s="9"/>
    </row>
    <row r="489">
      <c r="B489" s="6"/>
      <c r="C489" s="6"/>
      <c r="D489" s="6"/>
      <c r="G489" s="9"/>
      <c r="H489" s="9"/>
      <c r="I489" s="9"/>
      <c r="J489" s="9"/>
      <c r="K489" s="9"/>
      <c r="L489" s="9"/>
    </row>
    <row r="490">
      <c r="B490" s="6"/>
      <c r="C490" s="6"/>
      <c r="D490" s="6"/>
      <c r="G490" s="9"/>
      <c r="H490" s="9"/>
      <c r="I490" s="9"/>
      <c r="J490" s="9"/>
      <c r="K490" s="9"/>
      <c r="L490" s="9"/>
    </row>
    <row r="491">
      <c r="B491" s="6"/>
      <c r="C491" s="6"/>
      <c r="D491" s="6"/>
      <c r="G491" s="9"/>
      <c r="H491" s="9"/>
      <c r="I491" s="9"/>
      <c r="J491" s="9"/>
      <c r="K491" s="9"/>
      <c r="L491" s="9"/>
    </row>
    <row r="492">
      <c r="B492" s="6"/>
      <c r="C492" s="6"/>
      <c r="D492" s="6"/>
      <c r="G492" s="9"/>
      <c r="H492" s="9"/>
      <c r="I492" s="9"/>
      <c r="J492" s="9"/>
      <c r="K492" s="9"/>
      <c r="L492" s="9"/>
    </row>
    <row r="493">
      <c r="B493" s="6"/>
      <c r="C493" s="6"/>
      <c r="D493" s="6"/>
      <c r="G493" s="9"/>
      <c r="H493" s="9"/>
      <c r="I493" s="9"/>
      <c r="J493" s="9"/>
      <c r="K493" s="9"/>
      <c r="L493" s="9"/>
    </row>
    <row r="494">
      <c r="B494" s="6"/>
      <c r="C494" s="6"/>
      <c r="D494" s="6"/>
      <c r="G494" s="9"/>
      <c r="H494" s="9"/>
      <c r="I494" s="9"/>
      <c r="J494" s="9"/>
      <c r="K494" s="9"/>
      <c r="L494" s="9"/>
    </row>
    <row r="495">
      <c r="B495" s="6"/>
      <c r="C495" s="6"/>
      <c r="D495" s="6"/>
      <c r="G495" s="9"/>
      <c r="H495" s="9"/>
      <c r="I495" s="9"/>
      <c r="J495" s="9"/>
      <c r="K495" s="9"/>
      <c r="L495" s="9"/>
    </row>
    <row r="496">
      <c r="B496" s="6"/>
      <c r="C496" s="6"/>
      <c r="D496" s="6"/>
      <c r="G496" s="9"/>
      <c r="H496" s="9"/>
      <c r="I496" s="9"/>
      <c r="J496" s="9"/>
      <c r="K496" s="9"/>
      <c r="L496" s="9"/>
    </row>
    <row r="497">
      <c r="B497" s="6"/>
      <c r="C497" s="6"/>
      <c r="D497" s="6"/>
      <c r="G497" s="9"/>
      <c r="H497" s="9"/>
      <c r="I497" s="9"/>
      <c r="J497" s="9"/>
      <c r="K497" s="9"/>
      <c r="L497" s="9"/>
    </row>
    <row r="498">
      <c r="B498" s="6"/>
      <c r="C498" s="6"/>
      <c r="D498" s="6"/>
      <c r="G498" s="9"/>
      <c r="H498" s="9"/>
      <c r="I498" s="9"/>
      <c r="J498" s="9"/>
      <c r="K498" s="9"/>
      <c r="L498" s="9"/>
    </row>
    <row r="499">
      <c r="B499" s="6"/>
      <c r="C499" s="6"/>
      <c r="D499" s="6"/>
      <c r="G499" s="9"/>
      <c r="H499" s="9"/>
      <c r="I499" s="9"/>
      <c r="J499" s="9"/>
      <c r="K499" s="9"/>
      <c r="L499" s="9"/>
    </row>
    <row r="500">
      <c r="B500" s="6"/>
      <c r="C500" s="6"/>
      <c r="D500" s="6"/>
      <c r="G500" s="9"/>
      <c r="H500" s="9"/>
      <c r="I500" s="9"/>
      <c r="J500" s="9"/>
      <c r="K500" s="9"/>
      <c r="L500" s="9"/>
    </row>
    <row r="501">
      <c r="B501" s="6"/>
      <c r="C501" s="6"/>
      <c r="D501" s="6"/>
      <c r="G501" s="9"/>
      <c r="H501" s="9"/>
      <c r="I501" s="9"/>
      <c r="J501" s="9"/>
      <c r="K501" s="9"/>
      <c r="L501" s="9"/>
    </row>
    <row r="502">
      <c r="B502" s="6"/>
      <c r="C502" s="6"/>
      <c r="D502" s="6"/>
      <c r="G502" s="9"/>
      <c r="H502" s="9"/>
      <c r="I502" s="9"/>
      <c r="J502" s="9"/>
      <c r="K502" s="9"/>
      <c r="L502" s="9"/>
    </row>
    <row r="503">
      <c r="B503" s="6"/>
      <c r="C503" s="6"/>
      <c r="D503" s="6"/>
      <c r="G503" s="9"/>
      <c r="H503" s="9"/>
      <c r="I503" s="9"/>
      <c r="J503" s="9"/>
      <c r="K503" s="9"/>
      <c r="L503" s="9"/>
    </row>
    <row r="504">
      <c r="B504" s="6"/>
      <c r="C504" s="6"/>
      <c r="D504" s="6"/>
      <c r="G504" s="9"/>
      <c r="H504" s="9"/>
      <c r="I504" s="9"/>
      <c r="J504" s="9"/>
      <c r="K504" s="9"/>
      <c r="L504" s="9"/>
    </row>
    <row r="505">
      <c r="B505" s="6"/>
      <c r="C505" s="6"/>
      <c r="D505" s="6"/>
      <c r="G505" s="9"/>
      <c r="H505" s="9"/>
      <c r="I505" s="9"/>
      <c r="J505" s="9"/>
      <c r="K505" s="9"/>
      <c r="L505" s="9"/>
    </row>
    <row r="506">
      <c r="B506" s="6"/>
      <c r="C506" s="6"/>
      <c r="D506" s="6"/>
      <c r="G506" s="9"/>
      <c r="H506" s="9"/>
      <c r="I506" s="9"/>
      <c r="J506" s="9"/>
      <c r="K506" s="9"/>
      <c r="L506" s="9"/>
    </row>
    <row r="507">
      <c r="B507" s="6"/>
      <c r="C507" s="6"/>
      <c r="D507" s="6"/>
      <c r="G507" s="9"/>
      <c r="H507" s="9"/>
      <c r="I507" s="9"/>
      <c r="J507" s="9"/>
      <c r="K507" s="9"/>
      <c r="L507" s="9"/>
    </row>
    <row r="508">
      <c r="B508" s="6"/>
      <c r="C508" s="6"/>
      <c r="D508" s="6"/>
      <c r="G508" s="9"/>
      <c r="H508" s="9"/>
      <c r="I508" s="9"/>
      <c r="J508" s="9"/>
      <c r="K508" s="9"/>
      <c r="L508" s="9"/>
    </row>
    <row r="509">
      <c r="B509" s="6"/>
      <c r="C509" s="6"/>
      <c r="D509" s="6"/>
      <c r="G509" s="9"/>
      <c r="H509" s="9"/>
      <c r="I509" s="9"/>
      <c r="J509" s="9"/>
      <c r="K509" s="9"/>
      <c r="L509" s="9"/>
    </row>
    <row r="510">
      <c r="B510" s="6"/>
      <c r="C510" s="6"/>
      <c r="D510" s="6"/>
      <c r="G510" s="9"/>
      <c r="H510" s="9"/>
      <c r="I510" s="9"/>
      <c r="J510" s="9"/>
      <c r="K510" s="9"/>
      <c r="L510" s="9"/>
    </row>
    <row r="511">
      <c r="B511" s="6"/>
      <c r="C511" s="6"/>
      <c r="D511" s="6"/>
      <c r="G511" s="9"/>
      <c r="H511" s="9"/>
      <c r="I511" s="9"/>
      <c r="J511" s="9"/>
      <c r="K511" s="9"/>
      <c r="L511" s="9"/>
    </row>
    <row r="512">
      <c r="B512" s="6"/>
      <c r="C512" s="6"/>
      <c r="D512" s="6"/>
      <c r="G512" s="9"/>
      <c r="H512" s="9"/>
      <c r="I512" s="9"/>
      <c r="J512" s="9"/>
      <c r="K512" s="9"/>
      <c r="L512" s="9"/>
    </row>
    <row r="513">
      <c r="B513" s="6"/>
      <c r="C513" s="6"/>
      <c r="D513" s="6"/>
      <c r="G513" s="9"/>
      <c r="H513" s="9"/>
      <c r="I513" s="9"/>
      <c r="J513" s="9"/>
      <c r="K513" s="9"/>
      <c r="L513" s="9"/>
    </row>
    <row r="514">
      <c r="B514" s="6"/>
      <c r="C514" s="6"/>
      <c r="D514" s="6"/>
      <c r="G514" s="9"/>
      <c r="H514" s="9"/>
      <c r="I514" s="9"/>
      <c r="J514" s="9"/>
      <c r="K514" s="9"/>
      <c r="L514" s="9"/>
    </row>
    <row r="515">
      <c r="B515" s="6"/>
      <c r="C515" s="6"/>
      <c r="D515" s="6"/>
      <c r="G515" s="9"/>
      <c r="H515" s="9"/>
      <c r="I515" s="9"/>
      <c r="J515" s="9"/>
      <c r="K515" s="9"/>
      <c r="L515" s="9"/>
    </row>
    <row r="516">
      <c r="B516" s="6"/>
      <c r="C516" s="6"/>
      <c r="D516" s="6"/>
      <c r="G516" s="9"/>
      <c r="H516" s="9"/>
      <c r="I516" s="9"/>
      <c r="J516" s="9"/>
      <c r="K516" s="9"/>
      <c r="L516" s="9"/>
    </row>
    <row r="517">
      <c r="B517" s="6"/>
      <c r="C517" s="6"/>
      <c r="D517" s="6"/>
      <c r="G517" s="9"/>
      <c r="H517" s="9"/>
      <c r="I517" s="9"/>
      <c r="J517" s="9"/>
      <c r="K517" s="9"/>
      <c r="L517" s="9"/>
    </row>
    <row r="518">
      <c r="B518" s="6"/>
      <c r="C518" s="6"/>
      <c r="D518" s="6"/>
      <c r="G518" s="9"/>
      <c r="H518" s="9"/>
      <c r="I518" s="9"/>
      <c r="J518" s="9"/>
      <c r="K518" s="9"/>
      <c r="L518" s="9"/>
    </row>
    <row r="519">
      <c r="B519" s="6"/>
      <c r="C519" s="6"/>
      <c r="D519" s="6"/>
      <c r="G519" s="9"/>
      <c r="H519" s="9"/>
      <c r="I519" s="9"/>
      <c r="J519" s="9"/>
      <c r="K519" s="9"/>
      <c r="L519" s="9"/>
    </row>
    <row r="520">
      <c r="B520" s="6"/>
      <c r="C520" s="6"/>
      <c r="D520" s="6"/>
      <c r="G520" s="9"/>
      <c r="H520" s="9"/>
      <c r="I520" s="9"/>
      <c r="J520" s="9"/>
      <c r="K520" s="9"/>
      <c r="L520" s="9"/>
    </row>
    <row r="521">
      <c r="B521" s="6"/>
      <c r="C521" s="6"/>
      <c r="D521" s="6"/>
      <c r="G521" s="9"/>
      <c r="H521" s="9"/>
      <c r="I521" s="9"/>
      <c r="J521" s="9"/>
      <c r="K521" s="9"/>
      <c r="L521" s="9"/>
    </row>
    <row r="522">
      <c r="B522" s="6"/>
      <c r="C522" s="6"/>
      <c r="D522" s="6"/>
      <c r="G522" s="9"/>
      <c r="H522" s="9"/>
      <c r="I522" s="9"/>
      <c r="J522" s="9"/>
      <c r="K522" s="9"/>
      <c r="L522" s="9"/>
    </row>
    <row r="523">
      <c r="B523" s="6"/>
      <c r="C523" s="6"/>
      <c r="D523" s="6"/>
      <c r="G523" s="9"/>
      <c r="H523" s="9"/>
      <c r="I523" s="9"/>
      <c r="J523" s="9"/>
      <c r="K523" s="9"/>
      <c r="L523" s="9"/>
    </row>
    <row r="524">
      <c r="B524" s="6"/>
      <c r="C524" s="6"/>
      <c r="D524" s="6"/>
      <c r="G524" s="9"/>
      <c r="H524" s="9"/>
      <c r="I524" s="9"/>
      <c r="J524" s="9"/>
      <c r="K524" s="9"/>
      <c r="L524" s="9"/>
    </row>
    <row r="525">
      <c r="B525" s="6"/>
      <c r="C525" s="6"/>
      <c r="D525" s="6"/>
      <c r="G525" s="9"/>
      <c r="H525" s="9"/>
      <c r="I525" s="9"/>
      <c r="J525" s="9"/>
      <c r="K525" s="9"/>
      <c r="L525" s="9"/>
    </row>
    <row r="526">
      <c r="B526" s="6"/>
      <c r="C526" s="6"/>
      <c r="D526" s="6"/>
      <c r="G526" s="9"/>
      <c r="H526" s="9"/>
      <c r="I526" s="9"/>
      <c r="J526" s="9"/>
      <c r="K526" s="9"/>
      <c r="L526" s="9"/>
    </row>
    <row r="527">
      <c r="B527" s="6"/>
      <c r="C527" s="6"/>
      <c r="D527" s="6"/>
      <c r="G527" s="9"/>
      <c r="H527" s="9"/>
      <c r="I527" s="9"/>
      <c r="J527" s="9"/>
      <c r="K527" s="9"/>
      <c r="L527" s="9"/>
    </row>
    <row r="528">
      <c r="B528" s="6"/>
      <c r="C528" s="6"/>
      <c r="D528" s="6"/>
      <c r="G528" s="9"/>
      <c r="H528" s="9"/>
      <c r="I528" s="9"/>
      <c r="J528" s="9"/>
      <c r="K528" s="9"/>
      <c r="L528" s="9"/>
    </row>
    <row r="529">
      <c r="B529" s="6"/>
      <c r="C529" s="6"/>
      <c r="D529" s="6"/>
      <c r="G529" s="9"/>
      <c r="H529" s="9"/>
      <c r="I529" s="9"/>
      <c r="J529" s="9"/>
      <c r="K529" s="9"/>
      <c r="L529" s="9"/>
    </row>
    <row r="530">
      <c r="B530" s="6"/>
      <c r="C530" s="6"/>
      <c r="D530" s="6"/>
      <c r="G530" s="9"/>
      <c r="H530" s="9"/>
      <c r="I530" s="9"/>
      <c r="J530" s="9"/>
      <c r="K530" s="9"/>
      <c r="L530" s="9"/>
    </row>
    <row r="531">
      <c r="B531" s="6"/>
      <c r="C531" s="6"/>
      <c r="D531" s="6"/>
      <c r="G531" s="9"/>
      <c r="H531" s="9"/>
      <c r="I531" s="9"/>
      <c r="J531" s="9"/>
      <c r="K531" s="9"/>
      <c r="L531" s="9"/>
    </row>
    <row r="532">
      <c r="B532" s="6"/>
      <c r="C532" s="6"/>
      <c r="D532" s="6"/>
      <c r="G532" s="9"/>
      <c r="H532" s="9"/>
      <c r="I532" s="9"/>
      <c r="J532" s="9"/>
      <c r="K532" s="9"/>
      <c r="L532" s="9"/>
    </row>
    <row r="533">
      <c r="B533" s="6"/>
      <c r="C533" s="6"/>
      <c r="D533" s="6"/>
      <c r="G533" s="9"/>
      <c r="H533" s="9"/>
      <c r="I533" s="9"/>
      <c r="J533" s="9"/>
      <c r="K533" s="9"/>
      <c r="L533" s="9"/>
    </row>
    <row r="534">
      <c r="B534" s="6"/>
      <c r="C534" s="6"/>
      <c r="D534" s="6"/>
      <c r="G534" s="9"/>
      <c r="H534" s="9"/>
      <c r="I534" s="9"/>
      <c r="J534" s="9"/>
      <c r="K534" s="9"/>
      <c r="L534" s="9"/>
    </row>
    <row r="535">
      <c r="B535" s="6"/>
      <c r="C535" s="6"/>
      <c r="D535" s="6"/>
      <c r="G535" s="9"/>
      <c r="H535" s="9"/>
      <c r="I535" s="9"/>
      <c r="J535" s="9"/>
      <c r="K535" s="9"/>
      <c r="L535" s="9"/>
    </row>
    <row r="536">
      <c r="B536" s="6"/>
      <c r="C536" s="6"/>
      <c r="D536" s="6"/>
      <c r="G536" s="9"/>
      <c r="H536" s="9"/>
      <c r="I536" s="9"/>
      <c r="J536" s="9"/>
      <c r="K536" s="9"/>
      <c r="L536" s="9"/>
    </row>
    <row r="537">
      <c r="B537" s="6"/>
      <c r="C537" s="6"/>
      <c r="D537" s="6"/>
      <c r="G537" s="9"/>
      <c r="H537" s="9"/>
      <c r="I537" s="9"/>
      <c r="J537" s="9"/>
      <c r="K537" s="9"/>
      <c r="L537" s="9"/>
    </row>
    <row r="538">
      <c r="B538" s="6"/>
      <c r="C538" s="6"/>
      <c r="D538" s="6"/>
      <c r="G538" s="9"/>
      <c r="H538" s="9"/>
      <c r="I538" s="9"/>
      <c r="J538" s="9"/>
      <c r="K538" s="9"/>
      <c r="L538" s="9"/>
    </row>
    <row r="539">
      <c r="B539" s="6"/>
      <c r="C539" s="6"/>
      <c r="D539" s="6"/>
      <c r="G539" s="9"/>
      <c r="H539" s="9"/>
      <c r="I539" s="9"/>
      <c r="J539" s="9"/>
      <c r="K539" s="9"/>
      <c r="L539" s="9"/>
    </row>
    <row r="540">
      <c r="B540" s="6"/>
      <c r="C540" s="6"/>
      <c r="D540" s="6"/>
      <c r="G540" s="9"/>
      <c r="H540" s="9"/>
      <c r="I540" s="9"/>
      <c r="J540" s="9"/>
      <c r="K540" s="9"/>
      <c r="L540" s="9"/>
    </row>
    <row r="541">
      <c r="B541" s="6"/>
      <c r="C541" s="6"/>
      <c r="D541" s="6"/>
      <c r="G541" s="9"/>
      <c r="H541" s="9"/>
      <c r="I541" s="9"/>
      <c r="J541" s="9"/>
      <c r="K541" s="9"/>
      <c r="L541" s="9"/>
    </row>
    <row r="542">
      <c r="B542" s="6"/>
      <c r="C542" s="6"/>
      <c r="D542" s="6"/>
      <c r="G542" s="9"/>
      <c r="H542" s="9"/>
      <c r="I542" s="9"/>
      <c r="J542" s="9"/>
      <c r="K542" s="9"/>
      <c r="L542" s="9"/>
    </row>
    <row r="543">
      <c r="B543" s="6"/>
      <c r="C543" s="6"/>
      <c r="D543" s="6"/>
      <c r="G543" s="9"/>
      <c r="H543" s="9"/>
      <c r="I543" s="9"/>
      <c r="J543" s="9"/>
      <c r="K543" s="9"/>
      <c r="L543" s="9"/>
    </row>
    <row r="544">
      <c r="B544" s="6"/>
      <c r="C544" s="6"/>
      <c r="D544" s="6"/>
      <c r="G544" s="9"/>
      <c r="H544" s="9"/>
      <c r="I544" s="9"/>
      <c r="J544" s="9"/>
      <c r="K544" s="9"/>
      <c r="L544" s="9"/>
    </row>
    <row r="545">
      <c r="B545" s="6"/>
      <c r="C545" s="6"/>
      <c r="D545" s="6"/>
      <c r="G545" s="9"/>
      <c r="H545" s="9"/>
      <c r="I545" s="9"/>
      <c r="J545" s="9"/>
      <c r="K545" s="9"/>
      <c r="L545" s="9"/>
    </row>
    <row r="546">
      <c r="B546" s="6"/>
      <c r="C546" s="6"/>
      <c r="D546" s="6"/>
      <c r="G546" s="9"/>
      <c r="H546" s="9"/>
      <c r="I546" s="9"/>
      <c r="J546" s="9"/>
      <c r="K546" s="9"/>
      <c r="L546" s="9"/>
    </row>
    <row r="547">
      <c r="B547" s="6"/>
      <c r="C547" s="6"/>
      <c r="D547" s="6"/>
      <c r="G547" s="9"/>
      <c r="H547" s="9"/>
      <c r="I547" s="9"/>
      <c r="J547" s="9"/>
      <c r="K547" s="9"/>
      <c r="L547" s="9"/>
    </row>
    <row r="548">
      <c r="B548" s="6"/>
      <c r="C548" s="6"/>
      <c r="D548" s="6"/>
      <c r="G548" s="9"/>
      <c r="H548" s="9"/>
      <c r="I548" s="9"/>
      <c r="J548" s="9"/>
      <c r="K548" s="9"/>
      <c r="L548" s="9"/>
    </row>
    <row r="549">
      <c r="B549" s="6"/>
      <c r="C549" s="6"/>
      <c r="D549" s="6"/>
      <c r="G549" s="9"/>
      <c r="H549" s="9"/>
      <c r="I549" s="9"/>
      <c r="J549" s="9"/>
      <c r="K549" s="9"/>
      <c r="L549" s="9"/>
    </row>
    <row r="550">
      <c r="B550" s="6"/>
      <c r="C550" s="6"/>
      <c r="D550" s="6"/>
      <c r="G550" s="9"/>
      <c r="H550" s="9"/>
      <c r="I550" s="9"/>
      <c r="J550" s="9"/>
      <c r="K550" s="9"/>
      <c r="L550" s="9"/>
    </row>
    <row r="551">
      <c r="B551" s="6"/>
      <c r="C551" s="6"/>
      <c r="D551" s="6"/>
      <c r="G551" s="9"/>
      <c r="H551" s="9"/>
      <c r="I551" s="9"/>
      <c r="J551" s="9"/>
      <c r="K551" s="9"/>
      <c r="L551" s="9"/>
    </row>
    <row r="552">
      <c r="B552" s="6"/>
      <c r="C552" s="6"/>
      <c r="D552" s="6"/>
      <c r="G552" s="9"/>
      <c r="H552" s="9"/>
      <c r="I552" s="9"/>
      <c r="J552" s="9"/>
      <c r="K552" s="9"/>
      <c r="L552" s="9"/>
    </row>
    <row r="553">
      <c r="B553" s="6"/>
      <c r="C553" s="6"/>
      <c r="D553" s="6"/>
      <c r="G553" s="9"/>
      <c r="H553" s="9"/>
      <c r="I553" s="9"/>
      <c r="J553" s="9"/>
      <c r="K553" s="9"/>
      <c r="L553" s="9"/>
    </row>
    <row r="554">
      <c r="B554" s="6"/>
      <c r="C554" s="6"/>
      <c r="D554" s="6"/>
      <c r="G554" s="9"/>
      <c r="H554" s="9"/>
      <c r="I554" s="9"/>
      <c r="J554" s="9"/>
      <c r="K554" s="9"/>
      <c r="L554" s="9"/>
    </row>
    <row r="555">
      <c r="B555" s="6"/>
      <c r="C555" s="6"/>
      <c r="D555" s="6"/>
      <c r="G555" s="9"/>
      <c r="H555" s="9"/>
      <c r="I555" s="9"/>
      <c r="J555" s="9"/>
      <c r="K555" s="9"/>
      <c r="L555" s="9"/>
    </row>
    <row r="556">
      <c r="B556" s="6"/>
      <c r="C556" s="6"/>
      <c r="D556" s="6"/>
      <c r="G556" s="9"/>
      <c r="H556" s="9"/>
      <c r="I556" s="9"/>
      <c r="J556" s="9"/>
      <c r="K556" s="9"/>
      <c r="L556" s="9"/>
    </row>
    <row r="557">
      <c r="B557" s="6"/>
      <c r="C557" s="6"/>
      <c r="D557" s="6"/>
      <c r="G557" s="9"/>
      <c r="H557" s="9"/>
      <c r="I557" s="9"/>
      <c r="J557" s="9"/>
      <c r="K557" s="9"/>
      <c r="L557" s="9"/>
    </row>
    <row r="558">
      <c r="B558" s="6"/>
      <c r="C558" s="6"/>
      <c r="D558" s="6"/>
      <c r="G558" s="9"/>
      <c r="H558" s="9"/>
      <c r="I558" s="9"/>
      <c r="J558" s="9"/>
      <c r="K558" s="9"/>
      <c r="L558" s="9"/>
    </row>
    <row r="559">
      <c r="B559" s="6"/>
      <c r="C559" s="6"/>
      <c r="D559" s="6"/>
      <c r="G559" s="9"/>
      <c r="H559" s="9"/>
      <c r="I559" s="9"/>
      <c r="J559" s="9"/>
      <c r="K559" s="9"/>
      <c r="L559" s="9"/>
    </row>
    <row r="560">
      <c r="B560" s="6"/>
      <c r="C560" s="6"/>
      <c r="D560" s="6"/>
      <c r="G560" s="9"/>
      <c r="H560" s="9"/>
      <c r="I560" s="9"/>
      <c r="J560" s="9"/>
      <c r="K560" s="9"/>
      <c r="L560" s="9"/>
    </row>
    <row r="561">
      <c r="B561" s="6"/>
      <c r="C561" s="6"/>
      <c r="D561" s="6"/>
      <c r="G561" s="9"/>
      <c r="H561" s="9"/>
      <c r="I561" s="9"/>
      <c r="J561" s="9"/>
      <c r="K561" s="9"/>
      <c r="L561" s="9"/>
    </row>
    <row r="562">
      <c r="B562" s="6"/>
      <c r="C562" s="6"/>
      <c r="D562" s="6"/>
      <c r="G562" s="9"/>
      <c r="H562" s="9"/>
      <c r="I562" s="9"/>
      <c r="J562" s="9"/>
      <c r="K562" s="9"/>
      <c r="L562" s="9"/>
    </row>
    <row r="563">
      <c r="B563" s="6"/>
      <c r="C563" s="6"/>
      <c r="D563" s="6"/>
      <c r="G563" s="9"/>
      <c r="H563" s="9"/>
      <c r="I563" s="9"/>
      <c r="J563" s="9"/>
      <c r="K563" s="9"/>
      <c r="L563" s="9"/>
    </row>
    <row r="564">
      <c r="B564" s="6"/>
      <c r="C564" s="6"/>
      <c r="D564" s="6"/>
      <c r="G564" s="9"/>
      <c r="H564" s="9"/>
      <c r="I564" s="9"/>
      <c r="J564" s="9"/>
      <c r="K564" s="9"/>
      <c r="L564" s="9"/>
    </row>
    <row r="565">
      <c r="B565" s="6"/>
      <c r="C565" s="6"/>
      <c r="D565" s="6"/>
      <c r="G565" s="9"/>
      <c r="H565" s="9"/>
      <c r="I565" s="9"/>
      <c r="J565" s="9"/>
      <c r="K565" s="9"/>
      <c r="L565" s="9"/>
    </row>
    <row r="566">
      <c r="B566" s="6"/>
      <c r="C566" s="6"/>
      <c r="D566" s="6"/>
      <c r="G566" s="9"/>
      <c r="H566" s="9"/>
      <c r="I566" s="9"/>
      <c r="J566" s="9"/>
      <c r="K566" s="9"/>
      <c r="L566" s="9"/>
    </row>
    <row r="567">
      <c r="B567" s="6"/>
      <c r="C567" s="6"/>
      <c r="D567" s="6"/>
      <c r="G567" s="9"/>
      <c r="H567" s="9"/>
      <c r="I567" s="9"/>
      <c r="J567" s="9"/>
      <c r="K567" s="9"/>
      <c r="L567" s="9"/>
    </row>
    <row r="568">
      <c r="B568" s="6"/>
      <c r="C568" s="6"/>
      <c r="D568" s="6"/>
      <c r="G568" s="9"/>
      <c r="H568" s="9"/>
      <c r="I568" s="9"/>
      <c r="J568" s="9"/>
      <c r="K568" s="9"/>
      <c r="L568" s="9"/>
    </row>
    <row r="569">
      <c r="B569" s="6"/>
      <c r="C569" s="6"/>
      <c r="D569" s="6"/>
      <c r="G569" s="9"/>
      <c r="H569" s="9"/>
      <c r="I569" s="9"/>
      <c r="J569" s="9"/>
      <c r="K569" s="9"/>
      <c r="L569" s="9"/>
    </row>
    <row r="570">
      <c r="B570" s="6"/>
      <c r="C570" s="6"/>
      <c r="D570" s="6"/>
      <c r="G570" s="9"/>
      <c r="H570" s="9"/>
      <c r="I570" s="9"/>
      <c r="J570" s="9"/>
      <c r="K570" s="9"/>
      <c r="L570" s="9"/>
    </row>
    <row r="571">
      <c r="B571" s="6"/>
      <c r="C571" s="6"/>
      <c r="D571" s="6"/>
      <c r="G571" s="9"/>
      <c r="H571" s="9"/>
      <c r="I571" s="9"/>
      <c r="J571" s="9"/>
      <c r="K571" s="9"/>
      <c r="L571" s="9"/>
    </row>
    <row r="572">
      <c r="B572" s="6"/>
      <c r="C572" s="6"/>
      <c r="D572" s="6"/>
      <c r="G572" s="9"/>
      <c r="H572" s="9"/>
      <c r="I572" s="9"/>
      <c r="J572" s="9"/>
      <c r="K572" s="9"/>
      <c r="L572" s="9"/>
    </row>
    <row r="573">
      <c r="B573" s="6"/>
      <c r="C573" s="6"/>
      <c r="D573" s="6"/>
      <c r="G573" s="9"/>
      <c r="H573" s="9"/>
      <c r="I573" s="9"/>
      <c r="J573" s="9"/>
      <c r="K573" s="9"/>
      <c r="L573" s="9"/>
    </row>
    <row r="574">
      <c r="B574" s="6"/>
      <c r="C574" s="6"/>
      <c r="D574" s="6"/>
      <c r="G574" s="9"/>
      <c r="H574" s="9"/>
      <c r="I574" s="9"/>
      <c r="J574" s="9"/>
      <c r="K574" s="9"/>
      <c r="L574" s="9"/>
    </row>
    <row r="575">
      <c r="B575" s="6"/>
      <c r="C575" s="6"/>
      <c r="D575" s="6"/>
      <c r="G575" s="9"/>
      <c r="H575" s="9"/>
      <c r="I575" s="9"/>
      <c r="J575" s="9"/>
      <c r="K575" s="9"/>
      <c r="L575" s="9"/>
    </row>
    <row r="576">
      <c r="B576" s="6"/>
      <c r="C576" s="6"/>
      <c r="D576" s="6"/>
      <c r="G576" s="9"/>
      <c r="H576" s="9"/>
      <c r="I576" s="9"/>
      <c r="J576" s="9"/>
      <c r="K576" s="9"/>
      <c r="L576" s="9"/>
    </row>
    <row r="577">
      <c r="B577" s="6"/>
      <c r="C577" s="6"/>
      <c r="D577" s="6"/>
      <c r="G577" s="9"/>
      <c r="H577" s="9"/>
      <c r="I577" s="9"/>
      <c r="J577" s="9"/>
      <c r="K577" s="9"/>
      <c r="L577" s="9"/>
    </row>
    <row r="578">
      <c r="B578" s="6"/>
      <c r="C578" s="6"/>
      <c r="D578" s="6"/>
      <c r="G578" s="9"/>
      <c r="H578" s="9"/>
      <c r="I578" s="9"/>
      <c r="J578" s="9"/>
      <c r="K578" s="9"/>
      <c r="L578" s="9"/>
    </row>
    <row r="579">
      <c r="B579" s="6"/>
      <c r="C579" s="6"/>
      <c r="D579" s="6"/>
      <c r="G579" s="9"/>
      <c r="H579" s="9"/>
      <c r="I579" s="9"/>
      <c r="J579" s="9"/>
      <c r="K579" s="9"/>
      <c r="L579" s="9"/>
    </row>
    <row r="580">
      <c r="B580" s="6"/>
      <c r="C580" s="6"/>
      <c r="D580" s="6"/>
      <c r="G580" s="9"/>
      <c r="H580" s="9"/>
      <c r="I580" s="9"/>
      <c r="J580" s="9"/>
      <c r="K580" s="9"/>
      <c r="L580" s="9"/>
    </row>
    <row r="581">
      <c r="B581" s="6"/>
      <c r="C581" s="6"/>
      <c r="D581" s="6"/>
      <c r="G581" s="9"/>
      <c r="H581" s="9"/>
      <c r="I581" s="9"/>
      <c r="J581" s="9"/>
      <c r="K581" s="9"/>
      <c r="L581" s="9"/>
    </row>
    <row r="582">
      <c r="B582" s="6"/>
      <c r="C582" s="6"/>
      <c r="D582" s="6"/>
      <c r="G582" s="9"/>
      <c r="H582" s="9"/>
      <c r="I582" s="9"/>
      <c r="J582" s="9"/>
      <c r="K582" s="9"/>
      <c r="L582" s="9"/>
    </row>
    <row r="583">
      <c r="B583" s="6"/>
      <c r="C583" s="6"/>
      <c r="D583" s="6"/>
      <c r="G583" s="9"/>
      <c r="H583" s="9"/>
      <c r="I583" s="9"/>
      <c r="J583" s="9"/>
      <c r="K583" s="9"/>
      <c r="L583" s="9"/>
    </row>
    <row r="584">
      <c r="B584" s="6"/>
      <c r="C584" s="6"/>
      <c r="D584" s="6"/>
      <c r="G584" s="9"/>
      <c r="H584" s="9"/>
      <c r="I584" s="9"/>
      <c r="J584" s="9"/>
      <c r="K584" s="9"/>
      <c r="L584" s="9"/>
    </row>
    <row r="585">
      <c r="B585" s="6"/>
      <c r="C585" s="6"/>
      <c r="D585" s="6"/>
      <c r="G585" s="9"/>
      <c r="H585" s="9"/>
      <c r="I585" s="9"/>
      <c r="J585" s="9"/>
      <c r="K585" s="9"/>
      <c r="L585" s="9"/>
    </row>
    <row r="586">
      <c r="B586" s="6"/>
      <c r="C586" s="6"/>
      <c r="D586" s="6"/>
      <c r="G586" s="9"/>
      <c r="H586" s="9"/>
      <c r="I586" s="9"/>
      <c r="J586" s="9"/>
      <c r="K586" s="9"/>
      <c r="L586" s="9"/>
    </row>
    <row r="587">
      <c r="B587" s="6"/>
      <c r="C587" s="6"/>
      <c r="D587" s="6"/>
      <c r="G587" s="9"/>
      <c r="H587" s="9"/>
      <c r="I587" s="9"/>
      <c r="J587" s="9"/>
      <c r="K587" s="9"/>
      <c r="L587" s="9"/>
    </row>
    <row r="588">
      <c r="B588" s="6"/>
      <c r="C588" s="6"/>
      <c r="D588" s="6"/>
      <c r="G588" s="9"/>
      <c r="H588" s="9"/>
      <c r="I588" s="9"/>
      <c r="J588" s="9"/>
      <c r="K588" s="9"/>
      <c r="L588" s="9"/>
    </row>
    <row r="589">
      <c r="B589" s="6"/>
      <c r="C589" s="6"/>
      <c r="D589" s="6"/>
      <c r="G589" s="9"/>
      <c r="H589" s="9"/>
      <c r="I589" s="9"/>
      <c r="J589" s="9"/>
      <c r="K589" s="9"/>
      <c r="L589" s="9"/>
    </row>
    <row r="590">
      <c r="B590" s="6"/>
      <c r="C590" s="6"/>
      <c r="D590" s="6"/>
      <c r="G590" s="9"/>
      <c r="H590" s="9"/>
      <c r="I590" s="9"/>
      <c r="J590" s="9"/>
      <c r="K590" s="9"/>
      <c r="L590" s="9"/>
    </row>
    <row r="591">
      <c r="B591" s="6"/>
      <c r="C591" s="6"/>
      <c r="D591" s="6"/>
      <c r="G591" s="9"/>
      <c r="H591" s="9"/>
      <c r="I591" s="9"/>
      <c r="J591" s="9"/>
      <c r="K591" s="9"/>
      <c r="L591" s="9"/>
    </row>
    <row r="592">
      <c r="B592" s="6"/>
      <c r="C592" s="6"/>
      <c r="D592" s="6"/>
      <c r="G592" s="9"/>
      <c r="H592" s="9"/>
      <c r="I592" s="9"/>
      <c r="J592" s="9"/>
      <c r="K592" s="9"/>
      <c r="L592" s="9"/>
    </row>
    <row r="593">
      <c r="B593" s="6"/>
      <c r="C593" s="6"/>
      <c r="D593" s="6"/>
      <c r="G593" s="9"/>
      <c r="H593" s="9"/>
      <c r="I593" s="9"/>
      <c r="J593" s="9"/>
      <c r="K593" s="9"/>
      <c r="L593" s="9"/>
    </row>
    <row r="594">
      <c r="B594" s="6"/>
      <c r="C594" s="6"/>
      <c r="D594" s="6"/>
      <c r="G594" s="9"/>
      <c r="H594" s="9"/>
      <c r="I594" s="9"/>
      <c r="J594" s="9"/>
      <c r="K594" s="9"/>
      <c r="L594" s="9"/>
    </row>
    <row r="595">
      <c r="B595" s="6"/>
      <c r="C595" s="6"/>
      <c r="D595" s="6"/>
      <c r="G595" s="9"/>
      <c r="H595" s="9"/>
      <c r="I595" s="9"/>
      <c r="J595" s="9"/>
      <c r="K595" s="9"/>
      <c r="L595" s="9"/>
    </row>
    <row r="596">
      <c r="B596" s="6"/>
      <c r="C596" s="6"/>
      <c r="D596" s="6"/>
      <c r="G596" s="9"/>
      <c r="H596" s="9"/>
      <c r="I596" s="9"/>
      <c r="J596" s="9"/>
      <c r="K596" s="9"/>
      <c r="L596" s="9"/>
    </row>
    <row r="597">
      <c r="B597" s="6"/>
      <c r="C597" s="6"/>
      <c r="D597" s="6"/>
      <c r="G597" s="9"/>
      <c r="H597" s="9"/>
      <c r="I597" s="9"/>
      <c r="J597" s="9"/>
      <c r="K597" s="9"/>
      <c r="L597" s="9"/>
    </row>
    <row r="598">
      <c r="B598" s="6"/>
      <c r="C598" s="6"/>
      <c r="D598" s="6"/>
      <c r="G598" s="9"/>
      <c r="H598" s="9"/>
      <c r="I598" s="9"/>
      <c r="J598" s="9"/>
      <c r="K598" s="9"/>
      <c r="L598" s="9"/>
    </row>
    <row r="599">
      <c r="B599" s="6"/>
      <c r="C599" s="6"/>
      <c r="D599" s="6"/>
      <c r="G599" s="9"/>
      <c r="H599" s="9"/>
      <c r="I599" s="9"/>
      <c r="J599" s="9"/>
      <c r="K599" s="9"/>
      <c r="L599" s="9"/>
    </row>
    <row r="600">
      <c r="B600" s="6"/>
      <c r="C600" s="6"/>
      <c r="D600" s="6"/>
      <c r="G600" s="9"/>
      <c r="H600" s="9"/>
      <c r="I600" s="9"/>
      <c r="J600" s="9"/>
      <c r="K600" s="9"/>
      <c r="L600" s="9"/>
    </row>
    <row r="601">
      <c r="B601" s="6"/>
      <c r="C601" s="6"/>
      <c r="D601" s="6"/>
      <c r="G601" s="9"/>
      <c r="H601" s="9"/>
      <c r="I601" s="9"/>
      <c r="J601" s="9"/>
      <c r="K601" s="9"/>
      <c r="L601" s="9"/>
    </row>
    <row r="602">
      <c r="B602" s="6"/>
      <c r="C602" s="6"/>
      <c r="D602" s="6"/>
      <c r="G602" s="9"/>
      <c r="H602" s="9"/>
      <c r="I602" s="9"/>
      <c r="J602" s="9"/>
      <c r="K602" s="9"/>
      <c r="L602" s="9"/>
    </row>
    <row r="603">
      <c r="B603" s="6"/>
      <c r="C603" s="6"/>
      <c r="D603" s="6"/>
      <c r="G603" s="9"/>
      <c r="H603" s="9"/>
      <c r="I603" s="9"/>
      <c r="J603" s="9"/>
      <c r="K603" s="9"/>
      <c r="L603" s="9"/>
    </row>
    <row r="604">
      <c r="B604" s="6"/>
      <c r="C604" s="6"/>
      <c r="D604" s="6"/>
      <c r="G604" s="9"/>
      <c r="H604" s="9"/>
      <c r="I604" s="9"/>
      <c r="J604" s="9"/>
      <c r="K604" s="9"/>
      <c r="L604" s="9"/>
    </row>
    <row r="605">
      <c r="B605" s="6"/>
      <c r="C605" s="6"/>
      <c r="D605" s="6"/>
      <c r="G605" s="9"/>
      <c r="H605" s="9"/>
      <c r="I605" s="9"/>
      <c r="J605" s="9"/>
      <c r="K605" s="9"/>
      <c r="L605" s="9"/>
    </row>
    <row r="606">
      <c r="B606" s="6"/>
      <c r="C606" s="6"/>
      <c r="D606" s="6"/>
      <c r="G606" s="9"/>
      <c r="H606" s="9"/>
      <c r="I606" s="9"/>
      <c r="J606" s="9"/>
      <c r="K606" s="9"/>
      <c r="L606" s="9"/>
    </row>
    <row r="607">
      <c r="B607" s="6"/>
      <c r="C607" s="6"/>
      <c r="D607" s="6"/>
      <c r="G607" s="9"/>
      <c r="H607" s="9"/>
      <c r="I607" s="9"/>
      <c r="J607" s="9"/>
      <c r="K607" s="9"/>
      <c r="L607" s="9"/>
    </row>
    <row r="608">
      <c r="B608" s="6"/>
      <c r="C608" s="6"/>
      <c r="D608" s="6"/>
      <c r="G608" s="9"/>
      <c r="H608" s="9"/>
      <c r="I608" s="9"/>
      <c r="J608" s="9"/>
      <c r="K608" s="9"/>
      <c r="L608" s="9"/>
    </row>
    <row r="609">
      <c r="B609" s="6"/>
      <c r="C609" s="6"/>
      <c r="D609" s="6"/>
      <c r="G609" s="9"/>
      <c r="H609" s="9"/>
      <c r="I609" s="9"/>
      <c r="J609" s="9"/>
      <c r="K609" s="9"/>
      <c r="L609" s="9"/>
    </row>
    <row r="610">
      <c r="B610" s="6"/>
      <c r="C610" s="6"/>
      <c r="D610" s="6"/>
      <c r="G610" s="9"/>
      <c r="H610" s="9"/>
      <c r="I610" s="9"/>
      <c r="J610" s="9"/>
      <c r="K610" s="9"/>
      <c r="L610" s="9"/>
    </row>
    <row r="611">
      <c r="B611" s="6"/>
      <c r="C611" s="6"/>
      <c r="D611" s="6"/>
      <c r="G611" s="9"/>
      <c r="H611" s="9"/>
      <c r="I611" s="9"/>
      <c r="J611" s="9"/>
      <c r="K611" s="9"/>
      <c r="L611" s="9"/>
    </row>
    <row r="612">
      <c r="B612" s="6"/>
      <c r="C612" s="6"/>
      <c r="D612" s="6"/>
      <c r="G612" s="9"/>
      <c r="H612" s="9"/>
      <c r="I612" s="9"/>
      <c r="J612" s="9"/>
      <c r="K612" s="9"/>
      <c r="L612" s="9"/>
    </row>
    <row r="613">
      <c r="B613" s="6"/>
      <c r="C613" s="6"/>
      <c r="D613" s="6"/>
      <c r="G613" s="9"/>
      <c r="H613" s="9"/>
      <c r="I613" s="9"/>
      <c r="J613" s="9"/>
      <c r="K613" s="9"/>
      <c r="L613" s="9"/>
    </row>
    <row r="614">
      <c r="B614" s="6"/>
      <c r="C614" s="6"/>
      <c r="D614" s="6"/>
      <c r="G614" s="9"/>
      <c r="H614" s="9"/>
      <c r="I614" s="9"/>
      <c r="J614" s="9"/>
      <c r="K614" s="9"/>
      <c r="L614" s="9"/>
    </row>
    <row r="615">
      <c r="B615" s="6"/>
      <c r="C615" s="6"/>
      <c r="D615" s="6"/>
      <c r="G615" s="9"/>
      <c r="H615" s="9"/>
      <c r="I615" s="9"/>
      <c r="J615" s="9"/>
      <c r="K615" s="9"/>
      <c r="L615" s="9"/>
    </row>
    <row r="616">
      <c r="B616" s="6"/>
      <c r="C616" s="6"/>
      <c r="D616" s="6"/>
      <c r="G616" s="9"/>
      <c r="H616" s="9"/>
      <c r="I616" s="9"/>
      <c r="J616" s="9"/>
      <c r="K616" s="9"/>
      <c r="L616" s="9"/>
    </row>
    <row r="617">
      <c r="B617" s="6"/>
      <c r="C617" s="6"/>
      <c r="D617" s="6"/>
      <c r="G617" s="9"/>
      <c r="H617" s="9"/>
      <c r="I617" s="9"/>
      <c r="J617" s="9"/>
      <c r="K617" s="9"/>
      <c r="L617" s="9"/>
    </row>
    <row r="618">
      <c r="B618" s="6"/>
      <c r="C618" s="6"/>
      <c r="D618" s="6"/>
      <c r="G618" s="9"/>
      <c r="H618" s="9"/>
      <c r="I618" s="9"/>
      <c r="J618" s="9"/>
      <c r="K618" s="9"/>
      <c r="L618" s="9"/>
    </row>
    <row r="619">
      <c r="B619" s="6"/>
      <c r="C619" s="6"/>
      <c r="D619" s="6"/>
      <c r="G619" s="9"/>
      <c r="H619" s="9"/>
      <c r="I619" s="9"/>
      <c r="J619" s="9"/>
      <c r="K619" s="9"/>
      <c r="L619" s="9"/>
    </row>
    <row r="620">
      <c r="B620" s="6"/>
      <c r="C620" s="6"/>
      <c r="D620" s="6"/>
      <c r="G620" s="9"/>
      <c r="H620" s="9"/>
      <c r="I620" s="9"/>
      <c r="J620" s="9"/>
      <c r="K620" s="9"/>
      <c r="L620" s="9"/>
    </row>
    <row r="621">
      <c r="B621" s="6"/>
      <c r="C621" s="6"/>
      <c r="D621" s="6"/>
      <c r="G621" s="9"/>
      <c r="H621" s="9"/>
      <c r="I621" s="9"/>
      <c r="J621" s="9"/>
      <c r="K621" s="9"/>
      <c r="L621" s="9"/>
    </row>
    <row r="622">
      <c r="B622" s="6"/>
      <c r="C622" s="6"/>
      <c r="D622" s="6"/>
      <c r="G622" s="9"/>
      <c r="H622" s="9"/>
      <c r="I622" s="9"/>
      <c r="J622" s="9"/>
      <c r="K622" s="9"/>
      <c r="L622" s="9"/>
    </row>
    <row r="623">
      <c r="B623" s="6"/>
      <c r="C623" s="6"/>
      <c r="D623" s="6"/>
      <c r="G623" s="9"/>
      <c r="H623" s="9"/>
      <c r="I623" s="9"/>
      <c r="J623" s="9"/>
      <c r="K623" s="9"/>
      <c r="L623" s="9"/>
    </row>
    <row r="624">
      <c r="B624" s="6"/>
      <c r="C624" s="6"/>
      <c r="D624" s="6"/>
      <c r="G624" s="9"/>
      <c r="H624" s="9"/>
      <c r="I624" s="9"/>
      <c r="J624" s="9"/>
      <c r="K624" s="9"/>
      <c r="L624" s="9"/>
    </row>
    <row r="625">
      <c r="B625" s="6"/>
      <c r="C625" s="6"/>
      <c r="D625" s="6"/>
      <c r="G625" s="9"/>
      <c r="H625" s="9"/>
      <c r="I625" s="9"/>
      <c r="J625" s="9"/>
      <c r="K625" s="9"/>
      <c r="L625" s="9"/>
    </row>
    <row r="626">
      <c r="B626" s="6"/>
      <c r="C626" s="6"/>
      <c r="D626" s="6"/>
      <c r="G626" s="9"/>
      <c r="H626" s="9"/>
      <c r="I626" s="9"/>
      <c r="J626" s="9"/>
      <c r="K626" s="9"/>
      <c r="L626" s="9"/>
    </row>
    <row r="627">
      <c r="B627" s="6"/>
      <c r="C627" s="6"/>
      <c r="D627" s="6"/>
      <c r="G627" s="9"/>
      <c r="H627" s="9"/>
      <c r="I627" s="9"/>
      <c r="J627" s="9"/>
      <c r="K627" s="9"/>
      <c r="L627" s="9"/>
    </row>
    <row r="628">
      <c r="B628" s="6"/>
      <c r="C628" s="6"/>
      <c r="D628" s="6"/>
      <c r="G628" s="9"/>
      <c r="H628" s="9"/>
      <c r="I628" s="9"/>
      <c r="J628" s="9"/>
      <c r="K628" s="9"/>
      <c r="L628" s="9"/>
    </row>
    <row r="629">
      <c r="B629" s="6"/>
      <c r="C629" s="6"/>
      <c r="D629" s="6"/>
      <c r="G629" s="9"/>
      <c r="H629" s="9"/>
      <c r="I629" s="9"/>
      <c r="J629" s="9"/>
      <c r="K629" s="9"/>
      <c r="L629" s="9"/>
    </row>
    <row r="630">
      <c r="B630" s="6"/>
      <c r="C630" s="6"/>
      <c r="D630" s="6"/>
      <c r="G630" s="9"/>
      <c r="H630" s="9"/>
      <c r="I630" s="9"/>
      <c r="J630" s="9"/>
      <c r="K630" s="9"/>
      <c r="L630" s="9"/>
    </row>
    <row r="631">
      <c r="B631" s="6"/>
      <c r="C631" s="6"/>
      <c r="D631" s="6"/>
      <c r="G631" s="9"/>
      <c r="H631" s="9"/>
      <c r="I631" s="9"/>
      <c r="J631" s="9"/>
      <c r="K631" s="9"/>
      <c r="L631" s="9"/>
    </row>
    <row r="632">
      <c r="B632" s="6"/>
      <c r="C632" s="6"/>
      <c r="D632" s="6"/>
      <c r="G632" s="9"/>
      <c r="H632" s="9"/>
      <c r="I632" s="9"/>
      <c r="J632" s="9"/>
      <c r="K632" s="9"/>
      <c r="L632" s="9"/>
    </row>
    <row r="633">
      <c r="B633" s="6"/>
      <c r="C633" s="6"/>
      <c r="D633" s="6"/>
      <c r="G633" s="9"/>
      <c r="H633" s="9"/>
      <c r="I633" s="9"/>
      <c r="J633" s="9"/>
      <c r="K633" s="9"/>
      <c r="L633" s="9"/>
    </row>
    <row r="634">
      <c r="B634" s="6"/>
      <c r="C634" s="6"/>
      <c r="D634" s="6"/>
      <c r="G634" s="9"/>
      <c r="H634" s="9"/>
      <c r="I634" s="9"/>
      <c r="J634" s="9"/>
      <c r="K634" s="9"/>
      <c r="L634" s="9"/>
    </row>
    <row r="635">
      <c r="B635" s="6"/>
      <c r="C635" s="6"/>
      <c r="D635" s="6"/>
      <c r="G635" s="9"/>
      <c r="H635" s="9"/>
      <c r="I635" s="9"/>
      <c r="J635" s="9"/>
      <c r="K635" s="9"/>
      <c r="L635" s="9"/>
    </row>
    <row r="636">
      <c r="B636" s="6"/>
      <c r="C636" s="6"/>
      <c r="D636" s="6"/>
      <c r="G636" s="9"/>
      <c r="H636" s="9"/>
      <c r="I636" s="9"/>
      <c r="J636" s="9"/>
      <c r="K636" s="9"/>
      <c r="L636" s="9"/>
    </row>
    <row r="637">
      <c r="B637" s="6"/>
      <c r="C637" s="6"/>
      <c r="D637" s="6"/>
      <c r="G637" s="9"/>
      <c r="H637" s="9"/>
      <c r="I637" s="9"/>
      <c r="J637" s="9"/>
      <c r="K637" s="9"/>
      <c r="L637" s="9"/>
    </row>
    <row r="638">
      <c r="B638" s="6"/>
      <c r="C638" s="6"/>
      <c r="D638" s="6"/>
      <c r="G638" s="9"/>
      <c r="H638" s="9"/>
      <c r="I638" s="9"/>
      <c r="J638" s="9"/>
      <c r="K638" s="9"/>
      <c r="L638" s="9"/>
    </row>
    <row r="639">
      <c r="B639" s="6"/>
      <c r="C639" s="6"/>
      <c r="D639" s="6"/>
      <c r="G639" s="9"/>
      <c r="H639" s="9"/>
      <c r="I639" s="9"/>
      <c r="J639" s="9"/>
      <c r="K639" s="9"/>
      <c r="L639" s="9"/>
    </row>
    <row r="640">
      <c r="B640" s="6"/>
      <c r="C640" s="6"/>
      <c r="D640" s="6"/>
      <c r="G640" s="9"/>
      <c r="H640" s="9"/>
      <c r="I640" s="9"/>
      <c r="J640" s="9"/>
      <c r="K640" s="9"/>
      <c r="L640" s="9"/>
    </row>
    <row r="641">
      <c r="B641" s="6"/>
      <c r="C641" s="6"/>
      <c r="D641" s="6"/>
      <c r="G641" s="9"/>
      <c r="H641" s="9"/>
      <c r="I641" s="9"/>
      <c r="J641" s="9"/>
      <c r="K641" s="9"/>
      <c r="L641" s="9"/>
    </row>
    <row r="642">
      <c r="B642" s="6"/>
      <c r="C642" s="6"/>
      <c r="D642" s="6"/>
      <c r="G642" s="9"/>
      <c r="H642" s="9"/>
      <c r="I642" s="9"/>
      <c r="J642" s="9"/>
      <c r="K642" s="9"/>
      <c r="L642" s="9"/>
    </row>
    <row r="643">
      <c r="B643" s="6"/>
      <c r="C643" s="6"/>
      <c r="D643" s="6"/>
      <c r="G643" s="9"/>
      <c r="H643" s="9"/>
      <c r="I643" s="9"/>
      <c r="J643" s="9"/>
      <c r="K643" s="9"/>
      <c r="L643" s="9"/>
    </row>
    <row r="644">
      <c r="B644" s="6"/>
      <c r="C644" s="6"/>
      <c r="D644" s="6"/>
      <c r="G644" s="9"/>
      <c r="H644" s="9"/>
      <c r="I644" s="9"/>
      <c r="J644" s="9"/>
      <c r="K644" s="9"/>
      <c r="L644" s="9"/>
    </row>
    <row r="645">
      <c r="B645" s="6"/>
      <c r="C645" s="6"/>
      <c r="D645" s="6"/>
      <c r="G645" s="9"/>
      <c r="H645" s="9"/>
      <c r="I645" s="9"/>
      <c r="J645" s="9"/>
      <c r="K645" s="9"/>
      <c r="L645" s="9"/>
    </row>
    <row r="646">
      <c r="B646" s="6"/>
      <c r="C646" s="6"/>
      <c r="D646" s="6"/>
      <c r="G646" s="9"/>
      <c r="H646" s="9"/>
      <c r="I646" s="9"/>
      <c r="J646" s="9"/>
      <c r="K646" s="9"/>
      <c r="L646" s="9"/>
    </row>
    <row r="647">
      <c r="B647" s="6"/>
      <c r="C647" s="6"/>
      <c r="D647" s="6"/>
      <c r="G647" s="9"/>
      <c r="H647" s="9"/>
      <c r="I647" s="9"/>
      <c r="J647" s="9"/>
      <c r="K647" s="9"/>
      <c r="L647" s="9"/>
    </row>
    <row r="648">
      <c r="B648" s="6"/>
      <c r="C648" s="6"/>
      <c r="D648" s="6"/>
      <c r="G648" s="9"/>
      <c r="H648" s="9"/>
      <c r="I648" s="9"/>
      <c r="J648" s="9"/>
      <c r="K648" s="9"/>
      <c r="L648" s="9"/>
    </row>
    <row r="649">
      <c r="B649" s="6"/>
      <c r="C649" s="6"/>
      <c r="D649" s="6"/>
      <c r="G649" s="9"/>
      <c r="H649" s="9"/>
      <c r="I649" s="9"/>
      <c r="J649" s="9"/>
      <c r="K649" s="9"/>
      <c r="L649" s="9"/>
    </row>
    <row r="650">
      <c r="B650" s="6"/>
      <c r="C650" s="6"/>
      <c r="D650" s="6"/>
      <c r="G650" s="9"/>
      <c r="H650" s="9"/>
      <c r="I650" s="9"/>
      <c r="J650" s="9"/>
      <c r="K650" s="9"/>
      <c r="L650" s="9"/>
    </row>
    <row r="651">
      <c r="B651" s="6"/>
      <c r="C651" s="6"/>
      <c r="D651" s="6"/>
      <c r="G651" s="9"/>
      <c r="H651" s="9"/>
      <c r="I651" s="9"/>
      <c r="J651" s="9"/>
      <c r="K651" s="9"/>
      <c r="L651" s="9"/>
    </row>
    <row r="652">
      <c r="B652" s="6"/>
      <c r="C652" s="6"/>
      <c r="D652" s="6"/>
      <c r="G652" s="9"/>
      <c r="H652" s="9"/>
      <c r="I652" s="9"/>
      <c r="J652" s="9"/>
      <c r="K652" s="9"/>
      <c r="L652" s="9"/>
    </row>
    <row r="653">
      <c r="B653" s="6"/>
      <c r="C653" s="6"/>
      <c r="D653" s="6"/>
      <c r="G653" s="9"/>
      <c r="H653" s="9"/>
      <c r="I653" s="9"/>
      <c r="J653" s="9"/>
      <c r="K653" s="9"/>
      <c r="L653" s="9"/>
    </row>
    <row r="654">
      <c r="B654" s="6"/>
      <c r="C654" s="6"/>
      <c r="D654" s="6"/>
      <c r="G654" s="9"/>
      <c r="H654" s="9"/>
      <c r="I654" s="9"/>
      <c r="J654" s="9"/>
      <c r="K654" s="9"/>
      <c r="L654" s="9"/>
    </row>
    <row r="655">
      <c r="B655" s="6"/>
      <c r="C655" s="6"/>
      <c r="D655" s="6"/>
      <c r="G655" s="9"/>
      <c r="H655" s="9"/>
      <c r="I655" s="9"/>
      <c r="J655" s="9"/>
      <c r="K655" s="9"/>
      <c r="L655" s="9"/>
    </row>
    <row r="656">
      <c r="B656" s="6"/>
      <c r="C656" s="6"/>
      <c r="D656" s="6"/>
      <c r="G656" s="9"/>
      <c r="H656" s="9"/>
      <c r="I656" s="9"/>
      <c r="J656" s="9"/>
      <c r="K656" s="9"/>
      <c r="L656" s="9"/>
    </row>
    <row r="657">
      <c r="B657" s="6"/>
      <c r="C657" s="6"/>
      <c r="D657" s="6"/>
      <c r="G657" s="9"/>
      <c r="H657" s="9"/>
      <c r="I657" s="9"/>
      <c r="J657" s="9"/>
      <c r="K657" s="9"/>
      <c r="L657" s="9"/>
    </row>
    <row r="658">
      <c r="B658" s="6"/>
      <c r="C658" s="6"/>
      <c r="D658" s="6"/>
      <c r="G658" s="9"/>
      <c r="H658" s="9"/>
      <c r="I658" s="9"/>
      <c r="J658" s="9"/>
      <c r="K658" s="9"/>
      <c r="L658" s="9"/>
    </row>
    <row r="659">
      <c r="B659" s="6"/>
      <c r="C659" s="6"/>
      <c r="D659" s="6"/>
      <c r="G659" s="9"/>
      <c r="H659" s="9"/>
      <c r="I659" s="9"/>
      <c r="J659" s="9"/>
      <c r="K659" s="9"/>
      <c r="L659" s="9"/>
    </row>
    <row r="660">
      <c r="B660" s="6"/>
      <c r="C660" s="6"/>
      <c r="D660" s="6"/>
      <c r="G660" s="9"/>
      <c r="H660" s="9"/>
      <c r="I660" s="9"/>
      <c r="J660" s="9"/>
      <c r="K660" s="9"/>
      <c r="L660" s="9"/>
    </row>
    <row r="661">
      <c r="B661" s="6"/>
      <c r="C661" s="6"/>
      <c r="D661" s="6"/>
      <c r="G661" s="9"/>
      <c r="H661" s="9"/>
      <c r="I661" s="9"/>
      <c r="J661" s="9"/>
      <c r="K661" s="9"/>
      <c r="L661" s="9"/>
    </row>
    <row r="662">
      <c r="B662" s="6"/>
      <c r="C662" s="6"/>
      <c r="D662" s="6"/>
      <c r="G662" s="9"/>
      <c r="H662" s="9"/>
      <c r="I662" s="9"/>
      <c r="J662" s="9"/>
      <c r="K662" s="9"/>
      <c r="L662" s="9"/>
    </row>
    <row r="663">
      <c r="B663" s="6"/>
      <c r="C663" s="6"/>
      <c r="D663" s="6"/>
      <c r="G663" s="9"/>
      <c r="H663" s="9"/>
      <c r="I663" s="9"/>
      <c r="J663" s="9"/>
      <c r="K663" s="9"/>
      <c r="L663" s="9"/>
    </row>
    <row r="664">
      <c r="B664" s="6"/>
      <c r="C664" s="6"/>
      <c r="D664" s="6"/>
      <c r="G664" s="9"/>
      <c r="H664" s="9"/>
      <c r="I664" s="9"/>
      <c r="J664" s="9"/>
      <c r="K664" s="9"/>
      <c r="L664" s="9"/>
    </row>
    <row r="665">
      <c r="B665" s="6"/>
      <c r="C665" s="6"/>
      <c r="D665" s="6"/>
      <c r="G665" s="9"/>
      <c r="H665" s="9"/>
      <c r="I665" s="9"/>
      <c r="J665" s="9"/>
      <c r="K665" s="9"/>
      <c r="L665" s="9"/>
    </row>
    <row r="666">
      <c r="B666" s="6"/>
      <c r="C666" s="6"/>
      <c r="D666" s="6"/>
      <c r="G666" s="9"/>
      <c r="H666" s="9"/>
      <c r="I666" s="9"/>
      <c r="J666" s="9"/>
      <c r="K666" s="9"/>
      <c r="L666" s="9"/>
    </row>
    <row r="667">
      <c r="B667" s="6"/>
      <c r="C667" s="6"/>
      <c r="D667" s="6"/>
      <c r="G667" s="9"/>
      <c r="H667" s="9"/>
      <c r="I667" s="9"/>
      <c r="J667" s="9"/>
      <c r="K667" s="9"/>
      <c r="L667" s="9"/>
    </row>
    <row r="668">
      <c r="B668" s="6"/>
      <c r="C668" s="6"/>
      <c r="D668" s="6"/>
      <c r="G668" s="9"/>
      <c r="H668" s="9"/>
      <c r="I668" s="9"/>
      <c r="J668" s="9"/>
      <c r="K668" s="9"/>
      <c r="L668" s="9"/>
    </row>
    <row r="669">
      <c r="B669" s="6"/>
      <c r="C669" s="6"/>
      <c r="D669" s="6"/>
      <c r="G669" s="9"/>
      <c r="H669" s="9"/>
      <c r="I669" s="9"/>
      <c r="J669" s="9"/>
      <c r="K669" s="9"/>
      <c r="L669" s="9"/>
    </row>
    <row r="670">
      <c r="B670" s="6"/>
      <c r="C670" s="6"/>
      <c r="D670" s="6"/>
      <c r="G670" s="9"/>
      <c r="H670" s="9"/>
      <c r="I670" s="9"/>
      <c r="J670" s="9"/>
      <c r="K670" s="9"/>
      <c r="L670" s="9"/>
    </row>
    <row r="671">
      <c r="B671" s="6"/>
      <c r="C671" s="6"/>
      <c r="D671" s="6"/>
      <c r="G671" s="9"/>
      <c r="H671" s="9"/>
      <c r="I671" s="9"/>
      <c r="J671" s="9"/>
      <c r="K671" s="9"/>
      <c r="L671" s="9"/>
    </row>
    <row r="672">
      <c r="B672" s="6"/>
      <c r="C672" s="6"/>
      <c r="D672" s="6"/>
      <c r="G672" s="9"/>
      <c r="H672" s="9"/>
      <c r="I672" s="9"/>
      <c r="J672" s="9"/>
      <c r="K672" s="9"/>
      <c r="L672" s="9"/>
    </row>
    <row r="673">
      <c r="B673" s="6"/>
      <c r="C673" s="6"/>
      <c r="D673" s="6"/>
      <c r="G673" s="9"/>
      <c r="H673" s="9"/>
      <c r="I673" s="9"/>
      <c r="J673" s="9"/>
      <c r="K673" s="9"/>
      <c r="L673" s="9"/>
    </row>
    <row r="674">
      <c r="B674" s="6"/>
      <c r="C674" s="6"/>
      <c r="D674" s="6"/>
      <c r="G674" s="9"/>
      <c r="H674" s="9"/>
      <c r="I674" s="9"/>
      <c r="J674" s="9"/>
      <c r="K674" s="9"/>
      <c r="L674" s="9"/>
    </row>
    <row r="675">
      <c r="B675" s="6"/>
      <c r="C675" s="6"/>
      <c r="D675" s="6"/>
      <c r="G675" s="9"/>
      <c r="H675" s="9"/>
      <c r="I675" s="9"/>
      <c r="J675" s="9"/>
      <c r="K675" s="9"/>
      <c r="L675" s="9"/>
    </row>
    <row r="676">
      <c r="B676" s="6"/>
      <c r="C676" s="6"/>
      <c r="D676" s="6"/>
      <c r="G676" s="9"/>
      <c r="H676" s="9"/>
      <c r="I676" s="9"/>
      <c r="J676" s="9"/>
      <c r="K676" s="9"/>
      <c r="L676" s="9"/>
    </row>
    <row r="677">
      <c r="B677" s="6"/>
      <c r="C677" s="6"/>
      <c r="D677" s="6"/>
      <c r="G677" s="9"/>
      <c r="H677" s="9"/>
      <c r="I677" s="9"/>
      <c r="J677" s="9"/>
      <c r="K677" s="9"/>
      <c r="L677" s="9"/>
    </row>
    <row r="678">
      <c r="B678" s="6"/>
      <c r="C678" s="6"/>
      <c r="D678" s="6"/>
      <c r="G678" s="9"/>
      <c r="H678" s="9"/>
      <c r="I678" s="9"/>
      <c r="J678" s="9"/>
      <c r="K678" s="9"/>
      <c r="L678" s="9"/>
    </row>
    <row r="679">
      <c r="B679" s="6"/>
      <c r="C679" s="6"/>
      <c r="D679" s="6"/>
      <c r="G679" s="9"/>
      <c r="H679" s="9"/>
      <c r="I679" s="9"/>
      <c r="J679" s="9"/>
      <c r="K679" s="9"/>
      <c r="L679" s="9"/>
    </row>
    <row r="680">
      <c r="B680" s="6"/>
      <c r="C680" s="6"/>
      <c r="D680" s="6"/>
      <c r="G680" s="9"/>
      <c r="H680" s="9"/>
      <c r="I680" s="9"/>
      <c r="J680" s="9"/>
      <c r="K680" s="9"/>
      <c r="L680" s="9"/>
    </row>
    <row r="681">
      <c r="B681" s="6"/>
      <c r="C681" s="6"/>
      <c r="D681" s="6"/>
      <c r="G681" s="9"/>
      <c r="H681" s="9"/>
      <c r="I681" s="9"/>
      <c r="J681" s="9"/>
      <c r="K681" s="9"/>
      <c r="L681" s="9"/>
    </row>
    <row r="682">
      <c r="B682" s="6"/>
      <c r="C682" s="6"/>
      <c r="D682" s="6"/>
      <c r="G682" s="9"/>
      <c r="H682" s="9"/>
      <c r="I682" s="9"/>
      <c r="J682" s="9"/>
      <c r="K682" s="9"/>
      <c r="L682" s="9"/>
    </row>
    <row r="683">
      <c r="B683" s="6"/>
      <c r="C683" s="6"/>
      <c r="D683" s="6"/>
      <c r="G683" s="9"/>
      <c r="H683" s="9"/>
      <c r="I683" s="9"/>
      <c r="J683" s="9"/>
      <c r="K683" s="9"/>
      <c r="L683" s="9"/>
    </row>
    <row r="684">
      <c r="B684" s="6"/>
      <c r="C684" s="6"/>
      <c r="D684" s="6"/>
      <c r="G684" s="9"/>
      <c r="H684" s="9"/>
      <c r="I684" s="9"/>
      <c r="J684" s="9"/>
      <c r="K684" s="9"/>
      <c r="L684" s="9"/>
    </row>
    <row r="685">
      <c r="B685" s="6"/>
      <c r="C685" s="6"/>
      <c r="D685" s="6"/>
      <c r="G685" s="9"/>
      <c r="H685" s="9"/>
      <c r="I685" s="9"/>
      <c r="J685" s="9"/>
      <c r="K685" s="9"/>
      <c r="L685" s="9"/>
    </row>
    <row r="686">
      <c r="B686" s="6"/>
      <c r="C686" s="6"/>
      <c r="D686" s="6"/>
      <c r="G686" s="9"/>
      <c r="H686" s="9"/>
      <c r="I686" s="9"/>
      <c r="J686" s="9"/>
      <c r="K686" s="9"/>
      <c r="L686" s="9"/>
    </row>
    <row r="687">
      <c r="B687" s="6"/>
      <c r="C687" s="6"/>
      <c r="D687" s="6"/>
      <c r="G687" s="9"/>
      <c r="H687" s="9"/>
      <c r="I687" s="9"/>
      <c r="J687" s="9"/>
      <c r="K687" s="9"/>
      <c r="L687" s="9"/>
    </row>
    <row r="688">
      <c r="B688" s="6"/>
      <c r="C688" s="6"/>
      <c r="D688" s="6"/>
      <c r="G688" s="9"/>
      <c r="H688" s="9"/>
      <c r="I688" s="9"/>
      <c r="J688" s="9"/>
      <c r="K688" s="9"/>
      <c r="L688" s="9"/>
    </row>
    <row r="689">
      <c r="B689" s="6"/>
      <c r="C689" s="6"/>
      <c r="D689" s="6"/>
      <c r="G689" s="9"/>
      <c r="H689" s="9"/>
      <c r="I689" s="9"/>
      <c r="J689" s="9"/>
      <c r="K689" s="9"/>
      <c r="L689" s="9"/>
    </row>
    <row r="690">
      <c r="B690" s="6"/>
      <c r="C690" s="6"/>
      <c r="D690" s="6"/>
      <c r="G690" s="9"/>
      <c r="H690" s="9"/>
      <c r="I690" s="9"/>
      <c r="J690" s="9"/>
      <c r="K690" s="9"/>
      <c r="L690" s="9"/>
    </row>
    <row r="691">
      <c r="B691" s="6"/>
      <c r="C691" s="6"/>
      <c r="D691" s="6"/>
      <c r="G691" s="9"/>
      <c r="H691" s="9"/>
      <c r="I691" s="9"/>
      <c r="J691" s="9"/>
      <c r="K691" s="9"/>
      <c r="L691" s="9"/>
    </row>
    <row r="692">
      <c r="B692" s="6"/>
      <c r="C692" s="6"/>
      <c r="D692" s="6"/>
      <c r="G692" s="9"/>
      <c r="H692" s="9"/>
      <c r="I692" s="9"/>
      <c r="J692" s="9"/>
      <c r="K692" s="9"/>
      <c r="L692" s="9"/>
    </row>
    <row r="693">
      <c r="B693" s="6"/>
      <c r="C693" s="6"/>
      <c r="D693" s="6"/>
      <c r="G693" s="9"/>
      <c r="H693" s="9"/>
      <c r="I693" s="9"/>
      <c r="J693" s="9"/>
      <c r="K693" s="9"/>
      <c r="L693" s="9"/>
    </row>
    <row r="694">
      <c r="B694" s="6"/>
      <c r="C694" s="6"/>
      <c r="D694" s="6"/>
      <c r="G694" s="9"/>
      <c r="H694" s="9"/>
      <c r="I694" s="9"/>
      <c r="J694" s="9"/>
      <c r="K694" s="9"/>
      <c r="L694" s="9"/>
    </row>
    <row r="695">
      <c r="B695" s="6"/>
      <c r="C695" s="6"/>
      <c r="D695" s="6"/>
      <c r="G695" s="9"/>
      <c r="H695" s="9"/>
      <c r="I695" s="9"/>
      <c r="J695" s="9"/>
      <c r="K695" s="9"/>
      <c r="L695" s="9"/>
    </row>
    <row r="696">
      <c r="B696" s="6"/>
      <c r="C696" s="6"/>
      <c r="D696" s="6"/>
      <c r="G696" s="9"/>
      <c r="H696" s="9"/>
      <c r="I696" s="9"/>
      <c r="J696" s="9"/>
      <c r="K696" s="9"/>
      <c r="L696" s="9"/>
    </row>
    <row r="697">
      <c r="B697" s="6"/>
      <c r="C697" s="6"/>
      <c r="D697" s="6"/>
      <c r="G697" s="9"/>
      <c r="H697" s="9"/>
      <c r="I697" s="9"/>
      <c r="J697" s="9"/>
      <c r="K697" s="9"/>
      <c r="L697" s="9"/>
    </row>
    <row r="698">
      <c r="B698" s="6"/>
      <c r="C698" s="6"/>
      <c r="D698" s="6"/>
      <c r="G698" s="9"/>
      <c r="H698" s="9"/>
      <c r="I698" s="9"/>
      <c r="J698" s="9"/>
      <c r="K698" s="9"/>
      <c r="L698" s="9"/>
    </row>
    <row r="699">
      <c r="B699" s="6"/>
      <c r="C699" s="6"/>
      <c r="D699" s="6"/>
      <c r="G699" s="9"/>
      <c r="H699" s="9"/>
      <c r="I699" s="9"/>
      <c r="J699" s="9"/>
      <c r="K699" s="9"/>
      <c r="L699" s="9"/>
    </row>
    <row r="700">
      <c r="B700" s="6"/>
      <c r="C700" s="6"/>
      <c r="D700" s="6"/>
      <c r="G700" s="9"/>
      <c r="H700" s="9"/>
      <c r="I700" s="9"/>
      <c r="J700" s="9"/>
      <c r="K700" s="9"/>
      <c r="L700" s="9"/>
    </row>
    <row r="701">
      <c r="B701" s="6"/>
      <c r="C701" s="6"/>
      <c r="D701" s="6"/>
      <c r="G701" s="9"/>
      <c r="H701" s="9"/>
      <c r="I701" s="9"/>
      <c r="J701" s="9"/>
      <c r="K701" s="9"/>
      <c r="L701" s="9"/>
    </row>
    <row r="702">
      <c r="B702" s="6"/>
      <c r="C702" s="6"/>
      <c r="D702" s="6"/>
      <c r="G702" s="9"/>
      <c r="H702" s="9"/>
      <c r="I702" s="9"/>
      <c r="J702" s="9"/>
      <c r="K702" s="9"/>
      <c r="L702" s="9"/>
    </row>
    <row r="703">
      <c r="B703" s="6"/>
      <c r="C703" s="6"/>
      <c r="D703" s="6"/>
      <c r="G703" s="9"/>
      <c r="H703" s="9"/>
      <c r="I703" s="9"/>
      <c r="J703" s="9"/>
      <c r="K703" s="9"/>
      <c r="L703" s="9"/>
    </row>
    <row r="704">
      <c r="B704" s="6"/>
      <c r="C704" s="6"/>
      <c r="D704" s="6"/>
      <c r="G704" s="9"/>
      <c r="H704" s="9"/>
      <c r="I704" s="9"/>
      <c r="J704" s="9"/>
      <c r="K704" s="9"/>
      <c r="L704" s="9"/>
    </row>
    <row r="705">
      <c r="B705" s="6"/>
      <c r="C705" s="6"/>
      <c r="D705" s="6"/>
      <c r="G705" s="9"/>
      <c r="H705" s="9"/>
      <c r="I705" s="9"/>
      <c r="J705" s="9"/>
      <c r="K705" s="9"/>
      <c r="L705" s="9"/>
    </row>
    <row r="706">
      <c r="B706" s="6"/>
      <c r="C706" s="6"/>
      <c r="D706" s="6"/>
      <c r="G706" s="9"/>
      <c r="H706" s="9"/>
      <c r="I706" s="9"/>
      <c r="J706" s="9"/>
      <c r="K706" s="9"/>
      <c r="L706" s="9"/>
    </row>
    <row r="707">
      <c r="B707" s="6"/>
      <c r="C707" s="6"/>
      <c r="D707" s="6"/>
      <c r="G707" s="9"/>
      <c r="H707" s="9"/>
      <c r="I707" s="9"/>
      <c r="J707" s="9"/>
      <c r="K707" s="9"/>
      <c r="L707" s="9"/>
    </row>
    <row r="708">
      <c r="B708" s="6"/>
      <c r="C708" s="6"/>
      <c r="D708" s="6"/>
      <c r="G708" s="9"/>
      <c r="H708" s="9"/>
      <c r="I708" s="9"/>
      <c r="J708" s="9"/>
      <c r="K708" s="9"/>
      <c r="L708" s="9"/>
    </row>
    <row r="709">
      <c r="B709" s="6"/>
      <c r="C709" s="6"/>
      <c r="D709" s="6"/>
      <c r="G709" s="9"/>
      <c r="H709" s="9"/>
      <c r="I709" s="9"/>
      <c r="J709" s="9"/>
      <c r="K709" s="9"/>
      <c r="L709" s="9"/>
    </row>
    <row r="710">
      <c r="B710" s="6"/>
      <c r="C710" s="6"/>
      <c r="D710" s="6"/>
      <c r="G710" s="9"/>
      <c r="H710" s="9"/>
      <c r="I710" s="9"/>
      <c r="J710" s="9"/>
      <c r="K710" s="9"/>
      <c r="L710" s="9"/>
    </row>
    <row r="711">
      <c r="B711" s="6"/>
      <c r="C711" s="6"/>
      <c r="D711" s="6"/>
      <c r="G711" s="9"/>
      <c r="H711" s="9"/>
      <c r="I711" s="9"/>
      <c r="J711" s="9"/>
      <c r="K711" s="9"/>
      <c r="L711" s="9"/>
    </row>
    <row r="712">
      <c r="B712" s="6"/>
      <c r="C712" s="6"/>
      <c r="D712" s="6"/>
      <c r="G712" s="9"/>
      <c r="H712" s="9"/>
      <c r="I712" s="9"/>
      <c r="J712" s="9"/>
      <c r="K712" s="9"/>
      <c r="L712" s="9"/>
    </row>
    <row r="713">
      <c r="B713" s="6"/>
      <c r="C713" s="6"/>
      <c r="D713" s="6"/>
      <c r="G713" s="9"/>
      <c r="H713" s="9"/>
      <c r="I713" s="9"/>
      <c r="J713" s="9"/>
      <c r="K713" s="9"/>
      <c r="L713" s="9"/>
    </row>
    <row r="714">
      <c r="B714" s="6"/>
      <c r="C714" s="6"/>
      <c r="D714" s="6"/>
      <c r="G714" s="9"/>
      <c r="H714" s="9"/>
      <c r="I714" s="9"/>
      <c r="J714" s="9"/>
      <c r="K714" s="9"/>
      <c r="L714" s="9"/>
    </row>
    <row r="715">
      <c r="B715" s="6"/>
      <c r="C715" s="6"/>
      <c r="D715" s="6"/>
      <c r="G715" s="9"/>
      <c r="H715" s="9"/>
      <c r="I715" s="9"/>
      <c r="J715" s="9"/>
      <c r="K715" s="9"/>
      <c r="L715" s="9"/>
    </row>
    <row r="716">
      <c r="B716" s="6"/>
      <c r="C716" s="6"/>
      <c r="D716" s="6"/>
      <c r="G716" s="9"/>
      <c r="H716" s="9"/>
      <c r="I716" s="9"/>
      <c r="J716" s="9"/>
      <c r="K716" s="9"/>
      <c r="L716" s="9"/>
    </row>
    <row r="717">
      <c r="B717" s="6"/>
      <c r="C717" s="6"/>
      <c r="D717" s="6"/>
      <c r="G717" s="9"/>
      <c r="H717" s="9"/>
      <c r="I717" s="9"/>
      <c r="J717" s="9"/>
      <c r="K717" s="9"/>
      <c r="L717" s="9"/>
    </row>
    <row r="718">
      <c r="B718" s="6"/>
      <c r="C718" s="6"/>
      <c r="D718" s="6"/>
      <c r="G718" s="9"/>
      <c r="H718" s="9"/>
      <c r="I718" s="9"/>
      <c r="J718" s="9"/>
      <c r="K718" s="9"/>
      <c r="L718" s="9"/>
    </row>
    <row r="719">
      <c r="B719" s="6"/>
      <c r="C719" s="6"/>
      <c r="D719" s="6"/>
      <c r="G719" s="9"/>
      <c r="H719" s="9"/>
      <c r="I719" s="9"/>
      <c r="J719" s="9"/>
      <c r="K719" s="9"/>
      <c r="L719" s="9"/>
    </row>
    <row r="720">
      <c r="B720" s="6"/>
      <c r="C720" s="6"/>
      <c r="D720" s="6"/>
      <c r="G720" s="9"/>
      <c r="H720" s="9"/>
      <c r="I720" s="9"/>
      <c r="J720" s="9"/>
      <c r="K720" s="9"/>
      <c r="L720" s="9"/>
    </row>
    <row r="721">
      <c r="B721" s="6"/>
      <c r="C721" s="6"/>
      <c r="D721" s="6"/>
      <c r="G721" s="9"/>
      <c r="H721" s="9"/>
      <c r="I721" s="9"/>
      <c r="J721" s="9"/>
      <c r="K721" s="9"/>
      <c r="L721" s="9"/>
    </row>
    <row r="722">
      <c r="B722" s="6"/>
      <c r="C722" s="6"/>
      <c r="D722" s="6"/>
      <c r="G722" s="9"/>
      <c r="H722" s="9"/>
      <c r="I722" s="9"/>
      <c r="J722" s="9"/>
      <c r="K722" s="9"/>
      <c r="L722" s="9"/>
    </row>
    <row r="723">
      <c r="B723" s="6"/>
      <c r="C723" s="6"/>
      <c r="D723" s="6"/>
      <c r="G723" s="9"/>
      <c r="H723" s="9"/>
      <c r="I723" s="9"/>
      <c r="J723" s="9"/>
      <c r="K723" s="9"/>
      <c r="L723" s="9"/>
    </row>
    <row r="724">
      <c r="B724" s="6"/>
      <c r="C724" s="6"/>
      <c r="D724" s="6"/>
      <c r="G724" s="9"/>
      <c r="H724" s="9"/>
      <c r="I724" s="9"/>
      <c r="J724" s="9"/>
      <c r="K724" s="9"/>
      <c r="L724" s="9"/>
    </row>
    <row r="725">
      <c r="B725" s="6"/>
      <c r="C725" s="6"/>
      <c r="D725" s="6"/>
      <c r="G725" s="9"/>
      <c r="H725" s="9"/>
      <c r="I725" s="9"/>
      <c r="J725" s="9"/>
      <c r="K725" s="9"/>
      <c r="L725" s="9"/>
    </row>
    <row r="726">
      <c r="B726" s="6"/>
      <c r="C726" s="6"/>
      <c r="D726" s="6"/>
      <c r="G726" s="9"/>
      <c r="H726" s="9"/>
      <c r="I726" s="9"/>
      <c r="J726" s="9"/>
      <c r="K726" s="9"/>
      <c r="L726" s="9"/>
    </row>
    <row r="727">
      <c r="B727" s="6"/>
      <c r="C727" s="6"/>
      <c r="D727" s="6"/>
      <c r="G727" s="9"/>
      <c r="H727" s="9"/>
      <c r="I727" s="9"/>
      <c r="J727" s="9"/>
      <c r="K727" s="9"/>
      <c r="L727" s="9"/>
    </row>
    <row r="728">
      <c r="B728" s="6"/>
      <c r="C728" s="6"/>
      <c r="D728" s="6"/>
      <c r="G728" s="9"/>
      <c r="H728" s="9"/>
      <c r="I728" s="9"/>
      <c r="J728" s="9"/>
      <c r="K728" s="9"/>
      <c r="L728" s="9"/>
    </row>
    <row r="729">
      <c r="B729" s="6"/>
      <c r="C729" s="6"/>
      <c r="D729" s="6"/>
      <c r="G729" s="9"/>
      <c r="H729" s="9"/>
      <c r="I729" s="9"/>
      <c r="J729" s="9"/>
      <c r="K729" s="9"/>
      <c r="L729" s="9"/>
    </row>
    <row r="730">
      <c r="B730" s="6"/>
      <c r="C730" s="6"/>
      <c r="D730" s="6"/>
      <c r="G730" s="9"/>
      <c r="H730" s="9"/>
      <c r="I730" s="9"/>
      <c r="J730" s="9"/>
      <c r="K730" s="9"/>
      <c r="L730" s="9"/>
    </row>
    <row r="731">
      <c r="B731" s="6"/>
      <c r="C731" s="6"/>
      <c r="D731" s="6"/>
      <c r="G731" s="9"/>
      <c r="H731" s="9"/>
      <c r="I731" s="9"/>
      <c r="J731" s="9"/>
      <c r="K731" s="9"/>
      <c r="L731" s="9"/>
    </row>
    <row r="732">
      <c r="B732" s="6"/>
      <c r="C732" s="6"/>
      <c r="D732" s="6"/>
      <c r="G732" s="9"/>
      <c r="H732" s="9"/>
      <c r="I732" s="9"/>
      <c r="J732" s="9"/>
      <c r="K732" s="9"/>
      <c r="L732" s="9"/>
    </row>
    <row r="733">
      <c r="B733" s="6"/>
      <c r="C733" s="6"/>
      <c r="D733" s="6"/>
      <c r="G733" s="9"/>
      <c r="H733" s="9"/>
      <c r="I733" s="9"/>
      <c r="J733" s="9"/>
      <c r="K733" s="9"/>
      <c r="L733" s="9"/>
    </row>
    <row r="734">
      <c r="B734" s="6"/>
      <c r="C734" s="6"/>
      <c r="D734" s="6"/>
      <c r="G734" s="9"/>
      <c r="H734" s="9"/>
      <c r="I734" s="9"/>
      <c r="J734" s="9"/>
      <c r="K734" s="9"/>
      <c r="L734" s="9"/>
    </row>
    <row r="735">
      <c r="B735" s="6"/>
      <c r="C735" s="6"/>
      <c r="D735" s="6"/>
      <c r="G735" s="9"/>
      <c r="H735" s="9"/>
      <c r="I735" s="9"/>
      <c r="J735" s="9"/>
      <c r="K735" s="9"/>
      <c r="L735" s="9"/>
    </row>
    <row r="736">
      <c r="B736" s="6"/>
      <c r="C736" s="6"/>
      <c r="D736" s="6"/>
      <c r="G736" s="9"/>
      <c r="H736" s="9"/>
      <c r="I736" s="9"/>
      <c r="J736" s="9"/>
      <c r="K736" s="9"/>
      <c r="L736" s="9"/>
    </row>
    <row r="737">
      <c r="B737" s="6"/>
      <c r="C737" s="6"/>
      <c r="D737" s="6"/>
      <c r="G737" s="9"/>
      <c r="H737" s="9"/>
      <c r="I737" s="9"/>
      <c r="J737" s="9"/>
      <c r="K737" s="9"/>
      <c r="L737" s="9"/>
    </row>
    <row r="738">
      <c r="B738" s="6"/>
      <c r="C738" s="6"/>
      <c r="D738" s="6"/>
      <c r="G738" s="9"/>
      <c r="H738" s="9"/>
      <c r="I738" s="9"/>
      <c r="J738" s="9"/>
      <c r="K738" s="9"/>
      <c r="L738" s="9"/>
    </row>
    <row r="739">
      <c r="B739" s="6"/>
      <c r="C739" s="6"/>
      <c r="D739" s="6"/>
      <c r="G739" s="9"/>
      <c r="H739" s="9"/>
      <c r="I739" s="9"/>
      <c r="J739" s="9"/>
      <c r="K739" s="9"/>
      <c r="L739" s="9"/>
    </row>
    <row r="740">
      <c r="B740" s="6"/>
      <c r="C740" s="6"/>
      <c r="D740" s="6"/>
      <c r="G740" s="9"/>
      <c r="H740" s="9"/>
      <c r="I740" s="9"/>
      <c r="J740" s="9"/>
      <c r="K740" s="9"/>
      <c r="L740" s="9"/>
    </row>
    <row r="741">
      <c r="B741" s="6"/>
      <c r="C741" s="6"/>
      <c r="D741" s="6"/>
      <c r="G741" s="9"/>
      <c r="H741" s="9"/>
      <c r="I741" s="9"/>
      <c r="J741" s="9"/>
      <c r="K741" s="9"/>
      <c r="L741" s="9"/>
    </row>
    <row r="742">
      <c r="B742" s="6"/>
      <c r="C742" s="6"/>
      <c r="D742" s="6"/>
      <c r="G742" s="9"/>
      <c r="H742" s="9"/>
      <c r="I742" s="9"/>
      <c r="J742" s="9"/>
      <c r="K742" s="9"/>
      <c r="L742" s="9"/>
    </row>
    <row r="743">
      <c r="B743" s="6"/>
      <c r="C743" s="6"/>
      <c r="D743" s="6"/>
      <c r="G743" s="9"/>
      <c r="H743" s="9"/>
      <c r="I743" s="9"/>
      <c r="J743" s="9"/>
      <c r="K743" s="9"/>
      <c r="L743" s="9"/>
    </row>
    <row r="744">
      <c r="B744" s="6"/>
      <c r="C744" s="6"/>
      <c r="D744" s="6"/>
      <c r="G744" s="9"/>
      <c r="H744" s="9"/>
      <c r="I744" s="9"/>
      <c r="J744" s="9"/>
      <c r="K744" s="9"/>
      <c r="L744" s="9"/>
    </row>
    <row r="745">
      <c r="B745" s="6"/>
      <c r="C745" s="6"/>
      <c r="D745" s="6"/>
      <c r="G745" s="9"/>
      <c r="H745" s="9"/>
      <c r="I745" s="9"/>
      <c r="J745" s="9"/>
      <c r="K745" s="9"/>
      <c r="L745" s="9"/>
    </row>
    <row r="746">
      <c r="B746" s="6"/>
      <c r="C746" s="6"/>
      <c r="D746" s="6"/>
      <c r="G746" s="9"/>
      <c r="H746" s="9"/>
      <c r="I746" s="9"/>
      <c r="J746" s="9"/>
      <c r="K746" s="9"/>
      <c r="L746" s="9"/>
    </row>
    <row r="747">
      <c r="B747" s="6"/>
      <c r="C747" s="6"/>
      <c r="D747" s="6"/>
      <c r="G747" s="9"/>
      <c r="H747" s="9"/>
      <c r="I747" s="9"/>
      <c r="J747" s="9"/>
      <c r="K747" s="9"/>
      <c r="L747" s="9"/>
    </row>
    <row r="748">
      <c r="B748" s="6"/>
      <c r="C748" s="6"/>
      <c r="D748" s="6"/>
      <c r="G748" s="9"/>
      <c r="H748" s="9"/>
      <c r="I748" s="9"/>
      <c r="J748" s="9"/>
      <c r="K748" s="9"/>
      <c r="L748" s="9"/>
    </row>
    <row r="749">
      <c r="B749" s="6"/>
      <c r="C749" s="6"/>
      <c r="D749" s="6"/>
      <c r="G749" s="9"/>
      <c r="H749" s="9"/>
      <c r="I749" s="9"/>
      <c r="J749" s="9"/>
      <c r="K749" s="9"/>
      <c r="L749" s="9"/>
    </row>
    <row r="750">
      <c r="B750" s="6"/>
      <c r="C750" s="6"/>
      <c r="D750" s="6"/>
      <c r="G750" s="9"/>
      <c r="H750" s="9"/>
      <c r="I750" s="9"/>
      <c r="J750" s="9"/>
      <c r="K750" s="9"/>
      <c r="L750" s="9"/>
    </row>
    <row r="751">
      <c r="B751" s="6"/>
      <c r="C751" s="6"/>
      <c r="D751" s="6"/>
      <c r="G751" s="9"/>
      <c r="H751" s="9"/>
      <c r="I751" s="9"/>
      <c r="J751" s="9"/>
      <c r="K751" s="9"/>
      <c r="L751" s="9"/>
    </row>
    <row r="752">
      <c r="B752" s="6"/>
      <c r="C752" s="6"/>
      <c r="D752" s="6"/>
      <c r="G752" s="9"/>
      <c r="H752" s="9"/>
      <c r="I752" s="9"/>
      <c r="J752" s="9"/>
      <c r="K752" s="9"/>
      <c r="L752" s="9"/>
    </row>
    <row r="753">
      <c r="B753" s="6"/>
      <c r="C753" s="6"/>
      <c r="D753" s="6"/>
      <c r="G753" s="9"/>
      <c r="H753" s="9"/>
      <c r="I753" s="9"/>
      <c r="J753" s="9"/>
      <c r="K753" s="9"/>
      <c r="L753" s="9"/>
    </row>
    <row r="754">
      <c r="B754" s="6"/>
      <c r="C754" s="6"/>
      <c r="D754" s="6"/>
      <c r="G754" s="9"/>
      <c r="H754" s="9"/>
      <c r="I754" s="9"/>
      <c r="J754" s="9"/>
      <c r="K754" s="9"/>
      <c r="L754" s="9"/>
    </row>
    <row r="755">
      <c r="B755" s="6"/>
      <c r="C755" s="6"/>
      <c r="D755" s="6"/>
      <c r="G755" s="9"/>
      <c r="H755" s="9"/>
      <c r="I755" s="9"/>
      <c r="J755" s="9"/>
      <c r="K755" s="9"/>
      <c r="L755" s="9"/>
    </row>
    <row r="756">
      <c r="B756" s="6"/>
      <c r="C756" s="6"/>
      <c r="D756" s="6"/>
      <c r="G756" s="9"/>
      <c r="H756" s="9"/>
      <c r="I756" s="9"/>
      <c r="J756" s="9"/>
      <c r="K756" s="9"/>
      <c r="L756" s="9"/>
    </row>
    <row r="757">
      <c r="B757" s="6"/>
      <c r="C757" s="6"/>
      <c r="D757" s="6"/>
      <c r="G757" s="9"/>
      <c r="H757" s="9"/>
      <c r="I757" s="9"/>
      <c r="J757" s="9"/>
      <c r="K757" s="9"/>
      <c r="L757" s="9"/>
    </row>
    <row r="758">
      <c r="B758" s="6"/>
      <c r="C758" s="6"/>
      <c r="D758" s="6"/>
      <c r="G758" s="9"/>
      <c r="H758" s="9"/>
      <c r="I758" s="9"/>
      <c r="J758" s="9"/>
      <c r="K758" s="9"/>
      <c r="L758" s="9"/>
    </row>
    <row r="759">
      <c r="B759" s="6"/>
      <c r="C759" s="6"/>
      <c r="D759" s="6"/>
      <c r="G759" s="9"/>
      <c r="H759" s="9"/>
      <c r="I759" s="9"/>
      <c r="J759" s="9"/>
      <c r="K759" s="9"/>
      <c r="L759" s="9"/>
    </row>
    <row r="760">
      <c r="B760" s="6"/>
      <c r="C760" s="6"/>
      <c r="D760" s="6"/>
      <c r="G760" s="9"/>
      <c r="H760" s="9"/>
      <c r="I760" s="9"/>
      <c r="J760" s="9"/>
      <c r="K760" s="9"/>
      <c r="L760" s="9"/>
    </row>
    <row r="761">
      <c r="B761" s="6"/>
      <c r="C761" s="6"/>
      <c r="D761" s="6"/>
      <c r="G761" s="9"/>
      <c r="H761" s="9"/>
      <c r="I761" s="9"/>
      <c r="J761" s="9"/>
      <c r="K761" s="9"/>
      <c r="L761" s="9"/>
    </row>
    <row r="762">
      <c r="B762" s="6"/>
      <c r="C762" s="6"/>
      <c r="D762" s="6"/>
      <c r="G762" s="9"/>
      <c r="H762" s="9"/>
      <c r="I762" s="9"/>
      <c r="J762" s="9"/>
      <c r="K762" s="9"/>
      <c r="L762" s="9"/>
    </row>
    <row r="763">
      <c r="B763" s="6"/>
      <c r="C763" s="6"/>
      <c r="D763" s="6"/>
      <c r="G763" s="9"/>
      <c r="H763" s="9"/>
      <c r="I763" s="9"/>
      <c r="J763" s="9"/>
      <c r="K763" s="9"/>
      <c r="L763" s="9"/>
    </row>
    <row r="764">
      <c r="B764" s="6"/>
      <c r="C764" s="6"/>
      <c r="D764" s="6"/>
      <c r="G764" s="9"/>
      <c r="H764" s="9"/>
      <c r="I764" s="9"/>
      <c r="J764" s="9"/>
      <c r="K764" s="9"/>
      <c r="L764" s="9"/>
    </row>
    <row r="765">
      <c r="B765" s="6"/>
      <c r="C765" s="6"/>
      <c r="D765" s="6"/>
      <c r="G765" s="9"/>
      <c r="H765" s="9"/>
      <c r="I765" s="9"/>
      <c r="J765" s="9"/>
      <c r="K765" s="9"/>
      <c r="L765" s="9"/>
    </row>
    <row r="766">
      <c r="B766" s="6"/>
      <c r="C766" s="6"/>
      <c r="D766" s="6"/>
      <c r="G766" s="9"/>
      <c r="H766" s="9"/>
      <c r="I766" s="9"/>
      <c r="J766" s="9"/>
      <c r="K766" s="9"/>
      <c r="L766" s="9"/>
    </row>
    <row r="767">
      <c r="B767" s="6"/>
      <c r="C767" s="6"/>
      <c r="D767" s="6"/>
      <c r="G767" s="9"/>
      <c r="H767" s="9"/>
      <c r="I767" s="9"/>
      <c r="J767" s="9"/>
      <c r="K767" s="9"/>
      <c r="L767" s="9"/>
    </row>
    <row r="768">
      <c r="B768" s="6"/>
      <c r="C768" s="6"/>
      <c r="D768" s="6"/>
      <c r="G768" s="9"/>
      <c r="H768" s="9"/>
      <c r="I768" s="9"/>
      <c r="J768" s="9"/>
      <c r="K768" s="9"/>
      <c r="L768" s="9"/>
    </row>
    <row r="769">
      <c r="B769" s="6"/>
      <c r="C769" s="6"/>
      <c r="D769" s="6"/>
      <c r="G769" s="9"/>
      <c r="H769" s="9"/>
      <c r="I769" s="9"/>
      <c r="J769" s="9"/>
      <c r="K769" s="9"/>
      <c r="L769" s="9"/>
    </row>
    <row r="770">
      <c r="B770" s="6"/>
      <c r="C770" s="6"/>
      <c r="D770" s="6"/>
      <c r="G770" s="9"/>
      <c r="H770" s="9"/>
      <c r="I770" s="9"/>
      <c r="J770" s="9"/>
      <c r="K770" s="9"/>
      <c r="L770" s="9"/>
    </row>
    <row r="771">
      <c r="B771" s="6"/>
      <c r="C771" s="6"/>
      <c r="D771" s="6"/>
      <c r="G771" s="9"/>
      <c r="H771" s="9"/>
      <c r="I771" s="9"/>
      <c r="J771" s="9"/>
      <c r="K771" s="9"/>
      <c r="L771" s="9"/>
    </row>
    <row r="772">
      <c r="B772" s="6"/>
      <c r="C772" s="6"/>
      <c r="D772" s="6"/>
      <c r="G772" s="9"/>
      <c r="H772" s="9"/>
      <c r="I772" s="9"/>
      <c r="J772" s="9"/>
      <c r="K772" s="9"/>
      <c r="L772" s="9"/>
    </row>
    <row r="773">
      <c r="B773" s="6"/>
      <c r="C773" s="6"/>
      <c r="D773" s="6"/>
      <c r="G773" s="9"/>
      <c r="H773" s="9"/>
      <c r="I773" s="9"/>
      <c r="J773" s="9"/>
      <c r="K773" s="9"/>
      <c r="L773" s="9"/>
    </row>
    <row r="774">
      <c r="B774" s="6"/>
      <c r="C774" s="6"/>
      <c r="D774" s="6"/>
      <c r="G774" s="9"/>
      <c r="H774" s="9"/>
      <c r="I774" s="9"/>
      <c r="J774" s="9"/>
      <c r="K774" s="9"/>
      <c r="L774" s="9"/>
    </row>
    <row r="775">
      <c r="B775" s="6"/>
      <c r="C775" s="6"/>
      <c r="D775" s="6"/>
      <c r="G775" s="9"/>
      <c r="H775" s="9"/>
      <c r="I775" s="9"/>
      <c r="J775" s="9"/>
      <c r="K775" s="9"/>
      <c r="L775" s="9"/>
    </row>
    <row r="776">
      <c r="B776" s="6"/>
      <c r="C776" s="6"/>
      <c r="D776" s="6"/>
      <c r="G776" s="9"/>
      <c r="H776" s="9"/>
      <c r="I776" s="9"/>
      <c r="J776" s="9"/>
      <c r="K776" s="9"/>
      <c r="L776" s="9"/>
    </row>
    <row r="777">
      <c r="B777" s="6"/>
      <c r="C777" s="6"/>
      <c r="D777" s="6"/>
      <c r="G777" s="9"/>
      <c r="H777" s="9"/>
      <c r="I777" s="9"/>
      <c r="J777" s="9"/>
      <c r="K777" s="9"/>
      <c r="L777" s="9"/>
    </row>
    <row r="778">
      <c r="B778" s="6"/>
      <c r="C778" s="6"/>
      <c r="D778" s="6"/>
      <c r="G778" s="9"/>
      <c r="H778" s="9"/>
      <c r="I778" s="9"/>
      <c r="J778" s="9"/>
      <c r="K778" s="9"/>
      <c r="L778" s="9"/>
    </row>
    <row r="779">
      <c r="B779" s="6"/>
      <c r="C779" s="6"/>
      <c r="D779" s="6"/>
      <c r="G779" s="9"/>
      <c r="H779" s="9"/>
      <c r="I779" s="9"/>
      <c r="J779" s="9"/>
      <c r="K779" s="9"/>
      <c r="L779" s="9"/>
    </row>
    <row r="780">
      <c r="B780" s="6"/>
      <c r="C780" s="6"/>
      <c r="D780" s="6"/>
      <c r="G780" s="9"/>
      <c r="H780" s="9"/>
      <c r="I780" s="9"/>
      <c r="J780" s="9"/>
      <c r="K780" s="9"/>
      <c r="L780" s="9"/>
    </row>
    <row r="781">
      <c r="B781" s="6"/>
      <c r="C781" s="6"/>
      <c r="D781" s="6"/>
      <c r="G781" s="9"/>
      <c r="H781" s="9"/>
      <c r="I781" s="9"/>
      <c r="J781" s="9"/>
      <c r="K781" s="9"/>
      <c r="L781" s="9"/>
    </row>
    <row r="782">
      <c r="B782" s="6"/>
      <c r="C782" s="6"/>
      <c r="D782" s="6"/>
      <c r="G782" s="9"/>
      <c r="H782" s="9"/>
      <c r="I782" s="9"/>
      <c r="J782" s="9"/>
      <c r="K782" s="9"/>
      <c r="L782" s="9"/>
    </row>
    <row r="783">
      <c r="B783" s="6"/>
      <c r="C783" s="6"/>
      <c r="D783" s="6"/>
      <c r="G783" s="9"/>
      <c r="H783" s="9"/>
      <c r="I783" s="9"/>
      <c r="J783" s="9"/>
      <c r="K783" s="9"/>
      <c r="L783" s="9"/>
    </row>
    <row r="784">
      <c r="B784" s="6"/>
      <c r="C784" s="6"/>
      <c r="D784" s="6"/>
      <c r="G784" s="9"/>
      <c r="H784" s="9"/>
      <c r="I784" s="9"/>
      <c r="J784" s="9"/>
      <c r="K784" s="9"/>
      <c r="L784" s="9"/>
    </row>
    <row r="785">
      <c r="B785" s="6"/>
      <c r="C785" s="6"/>
      <c r="D785" s="6"/>
      <c r="G785" s="9"/>
      <c r="H785" s="9"/>
      <c r="I785" s="9"/>
      <c r="J785" s="9"/>
      <c r="K785" s="9"/>
      <c r="L785" s="9"/>
    </row>
    <row r="786">
      <c r="B786" s="6"/>
      <c r="C786" s="6"/>
      <c r="D786" s="6"/>
      <c r="G786" s="9"/>
      <c r="H786" s="9"/>
      <c r="I786" s="9"/>
      <c r="J786" s="9"/>
      <c r="K786" s="9"/>
      <c r="L786" s="9"/>
    </row>
    <row r="787">
      <c r="B787" s="6"/>
      <c r="C787" s="6"/>
      <c r="D787" s="6"/>
      <c r="G787" s="9"/>
      <c r="H787" s="9"/>
      <c r="I787" s="9"/>
      <c r="J787" s="9"/>
      <c r="K787" s="9"/>
      <c r="L787" s="9"/>
    </row>
    <row r="788">
      <c r="B788" s="6"/>
      <c r="C788" s="6"/>
      <c r="D788" s="6"/>
      <c r="G788" s="9"/>
      <c r="H788" s="9"/>
      <c r="I788" s="9"/>
      <c r="J788" s="9"/>
      <c r="K788" s="9"/>
      <c r="L788" s="9"/>
    </row>
    <row r="789">
      <c r="B789" s="6"/>
      <c r="C789" s="6"/>
      <c r="D789" s="6"/>
      <c r="G789" s="9"/>
      <c r="H789" s="9"/>
      <c r="I789" s="9"/>
      <c r="J789" s="9"/>
      <c r="K789" s="9"/>
      <c r="L789" s="9"/>
    </row>
    <row r="790">
      <c r="B790" s="6"/>
      <c r="C790" s="6"/>
      <c r="D790" s="6"/>
      <c r="G790" s="9"/>
      <c r="H790" s="9"/>
      <c r="I790" s="9"/>
      <c r="J790" s="9"/>
      <c r="K790" s="9"/>
      <c r="L790" s="9"/>
    </row>
    <row r="791">
      <c r="B791" s="6"/>
      <c r="C791" s="6"/>
      <c r="D791" s="6"/>
      <c r="G791" s="9"/>
      <c r="H791" s="9"/>
      <c r="I791" s="9"/>
      <c r="J791" s="9"/>
      <c r="K791" s="9"/>
      <c r="L791" s="9"/>
    </row>
    <row r="792">
      <c r="B792" s="6"/>
      <c r="C792" s="6"/>
      <c r="D792" s="6"/>
      <c r="G792" s="9"/>
      <c r="H792" s="9"/>
      <c r="I792" s="9"/>
      <c r="J792" s="9"/>
      <c r="K792" s="9"/>
      <c r="L792" s="9"/>
    </row>
    <row r="793">
      <c r="B793" s="6"/>
      <c r="C793" s="6"/>
      <c r="D793" s="6"/>
      <c r="G793" s="9"/>
      <c r="H793" s="9"/>
      <c r="I793" s="9"/>
      <c r="J793" s="9"/>
      <c r="K793" s="9"/>
      <c r="L793" s="9"/>
    </row>
    <row r="794">
      <c r="B794" s="6"/>
      <c r="C794" s="6"/>
      <c r="D794" s="6"/>
      <c r="G794" s="9"/>
      <c r="H794" s="9"/>
      <c r="I794" s="9"/>
      <c r="J794" s="9"/>
      <c r="K794" s="9"/>
      <c r="L794" s="9"/>
    </row>
    <row r="795">
      <c r="B795" s="6"/>
      <c r="C795" s="6"/>
      <c r="D795" s="6"/>
      <c r="G795" s="9"/>
      <c r="H795" s="9"/>
      <c r="I795" s="9"/>
      <c r="J795" s="9"/>
      <c r="K795" s="9"/>
      <c r="L795" s="9"/>
    </row>
    <row r="796">
      <c r="B796" s="6"/>
      <c r="C796" s="6"/>
      <c r="D796" s="6"/>
      <c r="G796" s="9"/>
      <c r="H796" s="9"/>
      <c r="I796" s="9"/>
      <c r="J796" s="9"/>
      <c r="K796" s="9"/>
      <c r="L796" s="9"/>
    </row>
    <row r="797">
      <c r="B797" s="6"/>
      <c r="C797" s="6"/>
      <c r="D797" s="6"/>
      <c r="G797" s="9"/>
      <c r="H797" s="9"/>
      <c r="I797" s="9"/>
      <c r="J797" s="9"/>
      <c r="K797" s="9"/>
      <c r="L797" s="9"/>
    </row>
    <row r="798">
      <c r="B798" s="6"/>
      <c r="C798" s="6"/>
      <c r="D798" s="6"/>
      <c r="G798" s="9"/>
      <c r="H798" s="9"/>
      <c r="I798" s="9"/>
      <c r="J798" s="9"/>
      <c r="K798" s="9"/>
      <c r="L798" s="9"/>
    </row>
    <row r="799">
      <c r="B799" s="6"/>
      <c r="C799" s="6"/>
      <c r="D799" s="6"/>
      <c r="G799" s="9"/>
      <c r="H799" s="9"/>
      <c r="I799" s="9"/>
      <c r="J799" s="9"/>
      <c r="K799" s="9"/>
      <c r="L799" s="9"/>
    </row>
    <row r="800">
      <c r="B800" s="6"/>
      <c r="C800" s="6"/>
      <c r="D800" s="6"/>
      <c r="G800" s="9"/>
      <c r="H800" s="9"/>
      <c r="I800" s="9"/>
      <c r="J800" s="9"/>
      <c r="K800" s="9"/>
      <c r="L800" s="9"/>
    </row>
    <row r="801">
      <c r="B801" s="6"/>
      <c r="C801" s="6"/>
      <c r="D801" s="6"/>
      <c r="G801" s="9"/>
      <c r="H801" s="9"/>
      <c r="I801" s="9"/>
      <c r="J801" s="9"/>
      <c r="K801" s="9"/>
      <c r="L801" s="9"/>
    </row>
    <row r="802">
      <c r="B802" s="6"/>
      <c r="C802" s="6"/>
      <c r="D802" s="6"/>
      <c r="G802" s="9"/>
      <c r="H802" s="9"/>
      <c r="I802" s="9"/>
      <c r="J802" s="9"/>
      <c r="K802" s="9"/>
      <c r="L802" s="9"/>
    </row>
    <row r="803">
      <c r="B803" s="6"/>
      <c r="C803" s="6"/>
      <c r="D803" s="6"/>
      <c r="G803" s="9"/>
      <c r="H803" s="9"/>
      <c r="I803" s="9"/>
      <c r="J803" s="9"/>
      <c r="K803" s="9"/>
      <c r="L803" s="9"/>
    </row>
    <row r="804">
      <c r="B804" s="6"/>
      <c r="C804" s="6"/>
      <c r="D804" s="6"/>
      <c r="G804" s="9"/>
      <c r="H804" s="9"/>
      <c r="I804" s="9"/>
      <c r="J804" s="9"/>
      <c r="K804" s="9"/>
      <c r="L804" s="9"/>
    </row>
    <row r="805">
      <c r="B805" s="6"/>
      <c r="C805" s="6"/>
      <c r="D805" s="6"/>
      <c r="G805" s="9"/>
      <c r="H805" s="9"/>
      <c r="I805" s="9"/>
      <c r="J805" s="9"/>
      <c r="K805" s="9"/>
      <c r="L805" s="9"/>
    </row>
    <row r="806">
      <c r="B806" s="6"/>
      <c r="C806" s="6"/>
      <c r="D806" s="6"/>
      <c r="G806" s="9"/>
      <c r="H806" s="9"/>
      <c r="I806" s="9"/>
      <c r="J806" s="9"/>
      <c r="K806" s="9"/>
      <c r="L806" s="9"/>
    </row>
    <row r="807">
      <c r="B807" s="6"/>
      <c r="C807" s="6"/>
      <c r="D807" s="6"/>
      <c r="G807" s="9"/>
      <c r="H807" s="9"/>
      <c r="I807" s="9"/>
      <c r="J807" s="9"/>
      <c r="K807" s="9"/>
      <c r="L807" s="9"/>
    </row>
    <row r="808">
      <c r="B808" s="6"/>
      <c r="C808" s="6"/>
      <c r="D808" s="6"/>
      <c r="G808" s="9"/>
      <c r="H808" s="9"/>
      <c r="I808" s="9"/>
      <c r="J808" s="9"/>
      <c r="K808" s="9"/>
      <c r="L808" s="9"/>
    </row>
    <row r="809">
      <c r="B809" s="6"/>
      <c r="C809" s="6"/>
      <c r="D809" s="6"/>
      <c r="G809" s="9"/>
      <c r="H809" s="9"/>
      <c r="I809" s="9"/>
      <c r="J809" s="9"/>
      <c r="K809" s="9"/>
      <c r="L809" s="9"/>
    </row>
    <row r="810">
      <c r="B810" s="6"/>
      <c r="C810" s="6"/>
      <c r="D810" s="6"/>
      <c r="G810" s="9"/>
      <c r="H810" s="9"/>
      <c r="I810" s="9"/>
      <c r="J810" s="9"/>
      <c r="K810" s="9"/>
      <c r="L810" s="9"/>
    </row>
    <row r="811">
      <c r="B811" s="6"/>
      <c r="C811" s="6"/>
      <c r="D811" s="6"/>
      <c r="G811" s="9"/>
      <c r="H811" s="9"/>
      <c r="I811" s="9"/>
      <c r="J811" s="9"/>
      <c r="K811" s="9"/>
      <c r="L811" s="9"/>
    </row>
    <row r="812">
      <c r="B812" s="6"/>
      <c r="C812" s="6"/>
      <c r="D812" s="6"/>
      <c r="G812" s="9"/>
      <c r="H812" s="9"/>
      <c r="I812" s="9"/>
      <c r="J812" s="9"/>
      <c r="K812" s="9"/>
      <c r="L812" s="9"/>
    </row>
    <row r="813">
      <c r="B813" s="6"/>
      <c r="C813" s="6"/>
      <c r="D813" s="6"/>
      <c r="G813" s="9"/>
      <c r="H813" s="9"/>
      <c r="I813" s="9"/>
      <c r="J813" s="9"/>
      <c r="K813" s="9"/>
      <c r="L813" s="9"/>
    </row>
    <row r="814">
      <c r="B814" s="6"/>
      <c r="C814" s="6"/>
      <c r="D814" s="6"/>
      <c r="G814" s="9"/>
      <c r="H814" s="9"/>
      <c r="I814" s="9"/>
      <c r="J814" s="9"/>
      <c r="K814" s="9"/>
      <c r="L814" s="9"/>
    </row>
    <row r="815">
      <c r="B815" s="6"/>
      <c r="C815" s="6"/>
      <c r="D815" s="6"/>
      <c r="G815" s="9"/>
      <c r="H815" s="9"/>
      <c r="I815" s="9"/>
      <c r="J815" s="9"/>
      <c r="K815" s="9"/>
      <c r="L815" s="9"/>
    </row>
    <row r="816">
      <c r="B816" s="6"/>
      <c r="C816" s="6"/>
      <c r="D816" s="6"/>
      <c r="G816" s="9"/>
      <c r="H816" s="9"/>
      <c r="I816" s="9"/>
      <c r="J816" s="9"/>
      <c r="K816" s="9"/>
      <c r="L816" s="9"/>
    </row>
    <row r="817">
      <c r="B817" s="6"/>
      <c r="C817" s="6"/>
      <c r="D817" s="6"/>
      <c r="G817" s="9"/>
      <c r="H817" s="9"/>
      <c r="I817" s="9"/>
      <c r="J817" s="9"/>
      <c r="K817" s="9"/>
      <c r="L817" s="9"/>
    </row>
    <row r="818">
      <c r="B818" s="6"/>
      <c r="C818" s="6"/>
      <c r="D818" s="6"/>
      <c r="G818" s="9"/>
      <c r="H818" s="9"/>
      <c r="I818" s="9"/>
      <c r="J818" s="9"/>
      <c r="K818" s="9"/>
      <c r="L818" s="9"/>
    </row>
    <row r="819">
      <c r="B819" s="6"/>
      <c r="C819" s="6"/>
      <c r="D819" s="6"/>
      <c r="G819" s="9"/>
      <c r="H819" s="9"/>
      <c r="I819" s="9"/>
      <c r="J819" s="9"/>
      <c r="K819" s="9"/>
      <c r="L819" s="9"/>
    </row>
    <row r="820">
      <c r="B820" s="6"/>
      <c r="C820" s="6"/>
      <c r="D820" s="6"/>
      <c r="G820" s="9"/>
      <c r="H820" s="9"/>
      <c r="I820" s="9"/>
      <c r="J820" s="9"/>
      <c r="K820" s="9"/>
      <c r="L820" s="9"/>
    </row>
    <row r="821">
      <c r="B821" s="6"/>
      <c r="C821" s="6"/>
      <c r="D821" s="6"/>
      <c r="G821" s="9"/>
      <c r="H821" s="9"/>
      <c r="I821" s="9"/>
      <c r="J821" s="9"/>
      <c r="K821" s="9"/>
      <c r="L821" s="9"/>
    </row>
    <row r="822">
      <c r="B822" s="6"/>
      <c r="C822" s="6"/>
      <c r="D822" s="6"/>
      <c r="G822" s="9"/>
      <c r="H822" s="9"/>
      <c r="I822" s="9"/>
      <c r="J822" s="9"/>
      <c r="K822" s="9"/>
      <c r="L822" s="9"/>
    </row>
    <row r="823">
      <c r="B823" s="6"/>
      <c r="C823" s="6"/>
      <c r="D823" s="6"/>
      <c r="G823" s="9"/>
      <c r="H823" s="9"/>
      <c r="I823" s="9"/>
      <c r="J823" s="9"/>
      <c r="K823" s="9"/>
      <c r="L823" s="9"/>
    </row>
    <row r="824">
      <c r="B824" s="6"/>
      <c r="C824" s="6"/>
      <c r="D824" s="6"/>
      <c r="G824" s="9"/>
      <c r="H824" s="9"/>
      <c r="I824" s="9"/>
      <c r="J824" s="9"/>
      <c r="K824" s="9"/>
      <c r="L824" s="9"/>
    </row>
    <row r="825">
      <c r="B825" s="6"/>
      <c r="C825" s="6"/>
      <c r="D825" s="6"/>
      <c r="G825" s="9"/>
      <c r="H825" s="9"/>
      <c r="I825" s="9"/>
      <c r="J825" s="9"/>
      <c r="K825" s="9"/>
      <c r="L825" s="9"/>
    </row>
    <row r="826">
      <c r="B826" s="6"/>
      <c r="C826" s="6"/>
      <c r="D826" s="6"/>
      <c r="G826" s="9"/>
      <c r="H826" s="9"/>
      <c r="I826" s="9"/>
      <c r="J826" s="9"/>
      <c r="K826" s="9"/>
      <c r="L826" s="9"/>
    </row>
    <row r="827">
      <c r="B827" s="6"/>
      <c r="C827" s="6"/>
      <c r="D827" s="6"/>
      <c r="G827" s="9"/>
      <c r="H827" s="9"/>
      <c r="I827" s="9"/>
      <c r="J827" s="9"/>
      <c r="K827" s="9"/>
      <c r="L827" s="9"/>
    </row>
    <row r="828">
      <c r="B828" s="6"/>
      <c r="C828" s="6"/>
      <c r="D828" s="6"/>
      <c r="G828" s="9"/>
      <c r="H828" s="9"/>
      <c r="I828" s="9"/>
      <c r="J828" s="9"/>
      <c r="K828" s="9"/>
      <c r="L828" s="9"/>
    </row>
    <row r="829">
      <c r="B829" s="6"/>
      <c r="C829" s="6"/>
      <c r="D829" s="6"/>
      <c r="G829" s="9"/>
      <c r="H829" s="9"/>
      <c r="I829" s="9"/>
      <c r="J829" s="9"/>
      <c r="K829" s="9"/>
      <c r="L829" s="9"/>
    </row>
    <row r="830">
      <c r="B830" s="6"/>
      <c r="C830" s="6"/>
      <c r="D830" s="6"/>
      <c r="G830" s="9"/>
      <c r="H830" s="9"/>
      <c r="I830" s="9"/>
      <c r="J830" s="9"/>
      <c r="K830" s="9"/>
      <c r="L830" s="9"/>
    </row>
    <row r="831">
      <c r="B831" s="6"/>
      <c r="C831" s="6"/>
      <c r="D831" s="6"/>
      <c r="G831" s="9"/>
      <c r="H831" s="9"/>
      <c r="I831" s="9"/>
      <c r="J831" s="9"/>
      <c r="K831" s="9"/>
      <c r="L831" s="9"/>
    </row>
    <row r="832">
      <c r="B832" s="6"/>
      <c r="C832" s="6"/>
      <c r="D832" s="6"/>
      <c r="G832" s="9"/>
      <c r="H832" s="9"/>
      <c r="I832" s="9"/>
      <c r="J832" s="9"/>
      <c r="K832" s="9"/>
      <c r="L832" s="9"/>
    </row>
    <row r="833">
      <c r="B833" s="6"/>
      <c r="C833" s="6"/>
      <c r="D833" s="6"/>
      <c r="G833" s="9"/>
      <c r="H833" s="9"/>
      <c r="I833" s="9"/>
      <c r="J833" s="9"/>
      <c r="K833" s="9"/>
      <c r="L833" s="9"/>
    </row>
    <row r="834">
      <c r="B834" s="6"/>
      <c r="C834" s="6"/>
      <c r="D834" s="6"/>
      <c r="G834" s="9"/>
      <c r="H834" s="9"/>
      <c r="I834" s="9"/>
      <c r="J834" s="9"/>
      <c r="K834" s="9"/>
      <c r="L834" s="9"/>
    </row>
    <row r="835">
      <c r="B835" s="6"/>
      <c r="C835" s="6"/>
      <c r="D835" s="6"/>
      <c r="G835" s="9"/>
      <c r="H835" s="9"/>
      <c r="I835" s="9"/>
      <c r="J835" s="9"/>
      <c r="K835" s="9"/>
      <c r="L835" s="9"/>
    </row>
    <row r="836">
      <c r="B836" s="6"/>
      <c r="C836" s="6"/>
      <c r="D836" s="6"/>
      <c r="G836" s="9"/>
      <c r="H836" s="9"/>
      <c r="I836" s="9"/>
      <c r="J836" s="9"/>
      <c r="K836" s="9"/>
      <c r="L836" s="9"/>
    </row>
    <row r="837">
      <c r="B837" s="6"/>
      <c r="C837" s="6"/>
      <c r="D837" s="6"/>
      <c r="G837" s="9"/>
      <c r="H837" s="9"/>
      <c r="I837" s="9"/>
      <c r="J837" s="9"/>
      <c r="K837" s="9"/>
      <c r="L837" s="9"/>
    </row>
    <row r="838">
      <c r="B838" s="6"/>
      <c r="C838" s="6"/>
      <c r="D838" s="6"/>
      <c r="G838" s="9"/>
      <c r="H838" s="9"/>
      <c r="I838" s="9"/>
      <c r="J838" s="9"/>
      <c r="K838" s="9"/>
      <c r="L838" s="9"/>
    </row>
    <row r="839">
      <c r="B839" s="6"/>
      <c r="C839" s="6"/>
      <c r="D839" s="6"/>
      <c r="G839" s="9"/>
      <c r="H839" s="9"/>
      <c r="I839" s="9"/>
      <c r="J839" s="9"/>
      <c r="K839" s="9"/>
      <c r="L839" s="9"/>
    </row>
    <row r="840">
      <c r="B840" s="6"/>
      <c r="C840" s="6"/>
      <c r="D840" s="6"/>
      <c r="G840" s="9"/>
      <c r="H840" s="9"/>
      <c r="I840" s="9"/>
      <c r="J840" s="9"/>
      <c r="K840" s="9"/>
      <c r="L840" s="9"/>
    </row>
    <row r="841">
      <c r="B841" s="6"/>
      <c r="C841" s="6"/>
      <c r="D841" s="6"/>
      <c r="G841" s="9"/>
      <c r="H841" s="9"/>
      <c r="I841" s="9"/>
      <c r="J841" s="9"/>
      <c r="K841" s="9"/>
      <c r="L841" s="9"/>
    </row>
    <row r="842">
      <c r="B842" s="6"/>
      <c r="C842" s="6"/>
      <c r="D842" s="6"/>
      <c r="G842" s="9"/>
      <c r="H842" s="9"/>
      <c r="I842" s="9"/>
      <c r="J842" s="9"/>
      <c r="K842" s="9"/>
      <c r="L842" s="9"/>
    </row>
    <row r="843">
      <c r="B843" s="6"/>
      <c r="C843" s="6"/>
      <c r="D843" s="6"/>
      <c r="G843" s="9"/>
      <c r="H843" s="9"/>
      <c r="I843" s="9"/>
      <c r="J843" s="9"/>
      <c r="K843" s="9"/>
      <c r="L843" s="9"/>
    </row>
    <row r="844">
      <c r="B844" s="6"/>
      <c r="C844" s="6"/>
      <c r="D844" s="6"/>
      <c r="G844" s="9"/>
      <c r="H844" s="9"/>
      <c r="I844" s="9"/>
      <c r="J844" s="9"/>
      <c r="K844" s="9"/>
      <c r="L844" s="9"/>
    </row>
    <row r="845">
      <c r="B845" s="6"/>
      <c r="C845" s="6"/>
      <c r="D845" s="6"/>
      <c r="G845" s="9"/>
      <c r="H845" s="9"/>
      <c r="I845" s="9"/>
      <c r="J845" s="9"/>
      <c r="K845" s="9"/>
      <c r="L845" s="9"/>
    </row>
    <row r="846">
      <c r="B846" s="6"/>
      <c r="C846" s="6"/>
      <c r="D846" s="6"/>
      <c r="G846" s="9"/>
      <c r="H846" s="9"/>
      <c r="I846" s="9"/>
      <c r="J846" s="9"/>
      <c r="K846" s="9"/>
      <c r="L846" s="9"/>
    </row>
    <row r="847">
      <c r="B847" s="6"/>
      <c r="C847" s="6"/>
      <c r="D847" s="6"/>
      <c r="G847" s="9"/>
      <c r="H847" s="9"/>
      <c r="I847" s="9"/>
      <c r="J847" s="9"/>
      <c r="K847" s="9"/>
      <c r="L847" s="9"/>
    </row>
    <row r="848">
      <c r="B848" s="6"/>
      <c r="C848" s="6"/>
      <c r="D848" s="6"/>
      <c r="G848" s="9"/>
      <c r="H848" s="9"/>
      <c r="I848" s="9"/>
      <c r="J848" s="9"/>
      <c r="K848" s="9"/>
      <c r="L848" s="9"/>
    </row>
    <row r="849">
      <c r="B849" s="6"/>
      <c r="C849" s="6"/>
      <c r="D849" s="6"/>
      <c r="G849" s="9"/>
      <c r="H849" s="9"/>
      <c r="I849" s="9"/>
      <c r="J849" s="9"/>
      <c r="K849" s="9"/>
      <c r="L849" s="9"/>
    </row>
    <row r="850">
      <c r="B850" s="6"/>
      <c r="C850" s="6"/>
      <c r="D850" s="6"/>
      <c r="G850" s="9"/>
      <c r="H850" s="9"/>
      <c r="I850" s="9"/>
      <c r="J850" s="9"/>
      <c r="K850" s="9"/>
      <c r="L850" s="9"/>
    </row>
    <row r="851">
      <c r="B851" s="6"/>
      <c r="C851" s="6"/>
      <c r="D851" s="6"/>
      <c r="G851" s="9"/>
      <c r="H851" s="9"/>
      <c r="I851" s="9"/>
      <c r="J851" s="9"/>
      <c r="K851" s="9"/>
      <c r="L851" s="9"/>
    </row>
    <row r="852">
      <c r="B852" s="6"/>
      <c r="C852" s="6"/>
      <c r="D852" s="6"/>
      <c r="G852" s="9"/>
      <c r="H852" s="9"/>
      <c r="I852" s="9"/>
      <c r="J852" s="9"/>
      <c r="K852" s="9"/>
      <c r="L852" s="9"/>
    </row>
    <row r="853">
      <c r="B853" s="6"/>
      <c r="C853" s="6"/>
      <c r="D853" s="6"/>
      <c r="G853" s="9"/>
      <c r="H853" s="9"/>
      <c r="I853" s="9"/>
      <c r="J853" s="9"/>
      <c r="K853" s="9"/>
      <c r="L853" s="9"/>
    </row>
    <row r="854">
      <c r="B854" s="6"/>
      <c r="C854" s="6"/>
      <c r="D854" s="6"/>
      <c r="G854" s="9"/>
      <c r="H854" s="9"/>
      <c r="I854" s="9"/>
      <c r="J854" s="9"/>
      <c r="K854" s="9"/>
      <c r="L854" s="9"/>
    </row>
    <row r="855">
      <c r="B855" s="6"/>
      <c r="C855" s="6"/>
      <c r="D855" s="6"/>
      <c r="G855" s="9"/>
      <c r="H855" s="9"/>
      <c r="I855" s="9"/>
      <c r="J855" s="9"/>
      <c r="K855" s="9"/>
      <c r="L855" s="9"/>
    </row>
    <row r="856">
      <c r="B856" s="6"/>
      <c r="C856" s="6"/>
      <c r="D856" s="6"/>
      <c r="G856" s="9"/>
      <c r="H856" s="9"/>
      <c r="I856" s="9"/>
      <c r="J856" s="9"/>
      <c r="K856" s="9"/>
      <c r="L856" s="9"/>
    </row>
    <row r="857">
      <c r="B857" s="6"/>
      <c r="C857" s="6"/>
      <c r="D857" s="6"/>
      <c r="G857" s="9"/>
      <c r="H857" s="9"/>
      <c r="I857" s="9"/>
      <c r="J857" s="9"/>
      <c r="K857" s="9"/>
      <c r="L857" s="9"/>
    </row>
    <row r="858">
      <c r="B858" s="6"/>
      <c r="C858" s="6"/>
      <c r="D858" s="6"/>
      <c r="G858" s="9"/>
      <c r="H858" s="9"/>
      <c r="I858" s="9"/>
      <c r="J858" s="9"/>
      <c r="K858" s="9"/>
      <c r="L858" s="9"/>
    </row>
    <row r="859">
      <c r="B859" s="6"/>
      <c r="C859" s="6"/>
      <c r="D859" s="6"/>
      <c r="G859" s="9"/>
      <c r="H859" s="9"/>
      <c r="I859" s="9"/>
      <c r="J859" s="9"/>
      <c r="K859" s="9"/>
      <c r="L859" s="9"/>
    </row>
    <row r="860">
      <c r="B860" s="6"/>
      <c r="C860" s="6"/>
      <c r="D860" s="6"/>
      <c r="G860" s="9"/>
      <c r="H860" s="9"/>
      <c r="I860" s="9"/>
      <c r="J860" s="9"/>
      <c r="K860" s="9"/>
      <c r="L860" s="9"/>
    </row>
    <row r="861">
      <c r="B861" s="6"/>
      <c r="C861" s="6"/>
      <c r="D861" s="6"/>
      <c r="G861" s="9"/>
      <c r="H861" s="9"/>
      <c r="I861" s="9"/>
      <c r="J861" s="9"/>
      <c r="K861" s="9"/>
      <c r="L861" s="9"/>
    </row>
    <row r="862">
      <c r="B862" s="6"/>
      <c r="C862" s="6"/>
      <c r="D862" s="6"/>
      <c r="G862" s="9"/>
      <c r="H862" s="9"/>
      <c r="I862" s="9"/>
      <c r="J862" s="9"/>
      <c r="K862" s="9"/>
      <c r="L862" s="9"/>
    </row>
    <row r="863">
      <c r="B863" s="6"/>
      <c r="C863" s="6"/>
      <c r="D863" s="6"/>
      <c r="G863" s="9"/>
      <c r="H863" s="9"/>
      <c r="I863" s="9"/>
      <c r="J863" s="9"/>
      <c r="K863" s="9"/>
      <c r="L863" s="9"/>
    </row>
    <row r="864">
      <c r="B864" s="6"/>
      <c r="C864" s="6"/>
      <c r="D864" s="6"/>
      <c r="G864" s="9"/>
      <c r="H864" s="9"/>
      <c r="I864" s="9"/>
      <c r="J864" s="9"/>
      <c r="K864" s="9"/>
      <c r="L864" s="9"/>
    </row>
    <row r="865">
      <c r="B865" s="6"/>
      <c r="C865" s="6"/>
      <c r="D865" s="6"/>
      <c r="G865" s="9"/>
      <c r="H865" s="9"/>
      <c r="I865" s="9"/>
      <c r="J865" s="9"/>
      <c r="K865" s="9"/>
      <c r="L865" s="9"/>
    </row>
    <row r="866">
      <c r="B866" s="6"/>
      <c r="C866" s="6"/>
      <c r="D866" s="6"/>
      <c r="G866" s="9"/>
      <c r="H866" s="9"/>
      <c r="I866" s="9"/>
      <c r="J866" s="9"/>
      <c r="K866" s="9"/>
      <c r="L866" s="9"/>
    </row>
    <row r="867">
      <c r="B867" s="6"/>
      <c r="C867" s="6"/>
      <c r="D867" s="6"/>
      <c r="G867" s="9"/>
      <c r="H867" s="9"/>
      <c r="I867" s="9"/>
      <c r="J867" s="9"/>
      <c r="K867" s="9"/>
      <c r="L867" s="9"/>
    </row>
    <row r="868">
      <c r="B868" s="6"/>
      <c r="C868" s="6"/>
      <c r="D868" s="6"/>
      <c r="G868" s="9"/>
      <c r="H868" s="9"/>
      <c r="I868" s="9"/>
      <c r="J868" s="9"/>
      <c r="K868" s="9"/>
      <c r="L868" s="9"/>
    </row>
    <row r="869">
      <c r="B869" s="6"/>
      <c r="C869" s="6"/>
      <c r="D869" s="6"/>
      <c r="G869" s="9"/>
      <c r="H869" s="9"/>
      <c r="I869" s="9"/>
      <c r="J869" s="9"/>
      <c r="K869" s="9"/>
      <c r="L869" s="9"/>
    </row>
    <row r="870">
      <c r="B870" s="6"/>
      <c r="C870" s="6"/>
      <c r="D870" s="6"/>
      <c r="G870" s="9"/>
      <c r="H870" s="9"/>
      <c r="I870" s="9"/>
      <c r="J870" s="9"/>
      <c r="K870" s="9"/>
      <c r="L870" s="9"/>
    </row>
    <row r="871">
      <c r="B871" s="6"/>
      <c r="C871" s="6"/>
      <c r="D871" s="6"/>
      <c r="G871" s="9"/>
      <c r="H871" s="9"/>
      <c r="I871" s="9"/>
      <c r="J871" s="9"/>
      <c r="K871" s="9"/>
      <c r="L871" s="9"/>
    </row>
    <row r="872">
      <c r="B872" s="6"/>
      <c r="C872" s="6"/>
      <c r="D872" s="6"/>
      <c r="G872" s="9"/>
      <c r="H872" s="9"/>
      <c r="I872" s="9"/>
      <c r="J872" s="9"/>
      <c r="K872" s="9"/>
      <c r="L872" s="9"/>
    </row>
    <row r="873">
      <c r="B873" s="6"/>
      <c r="C873" s="6"/>
      <c r="D873" s="6"/>
      <c r="G873" s="9"/>
      <c r="H873" s="9"/>
      <c r="I873" s="9"/>
      <c r="J873" s="9"/>
      <c r="K873" s="9"/>
      <c r="L873" s="9"/>
    </row>
    <row r="874">
      <c r="B874" s="6"/>
      <c r="C874" s="6"/>
      <c r="D874" s="6"/>
      <c r="G874" s="9"/>
      <c r="H874" s="9"/>
      <c r="I874" s="9"/>
      <c r="J874" s="9"/>
      <c r="K874" s="9"/>
      <c r="L874" s="9"/>
    </row>
    <row r="875">
      <c r="B875" s="6"/>
      <c r="C875" s="6"/>
      <c r="D875" s="6"/>
      <c r="G875" s="9"/>
      <c r="H875" s="9"/>
      <c r="I875" s="9"/>
      <c r="J875" s="9"/>
      <c r="K875" s="9"/>
      <c r="L875" s="9"/>
    </row>
    <row r="876">
      <c r="B876" s="6"/>
      <c r="C876" s="6"/>
      <c r="D876" s="6"/>
      <c r="G876" s="9"/>
      <c r="H876" s="9"/>
      <c r="I876" s="9"/>
      <c r="J876" s="9"/>
      <c r="K876" s="9"/>
      <c r="L876" s="9"/>
    </row>
    <row r="877">
      <c r="B877" s="6"/>
      <c r="C877" s="6"/>
      <c r="D877" s="6"/>
      <c r="G877" s="9"/>
      <c r="H877" s="9"/>
      <c r="I877" s="9"/>
      <c r="J877" s="9"/>
      <c r="K877" s="9"/>
      <c r="L877" s="9"/>
    </row>
    <row r="878">
      <c r="B878" s="6"/>
      <c r="C878" s="6"/>
      <c r="D878" s="6"/>
      <c r="G878" s="9"/>
      <c r="H878" s="9"/>
      <c r="I878" s="9"/>
      <c r="J878" s="9"/>
      <c r="K878" s="9"/>
      <c r="L878" s="9"/>
    </row>
    <row r="879">
      <c r="B879" s="6"/>
      <c r="C879" s="6"/>
      <c r="D879" s="6"/>
      <c r="G879" s="9"/>
      <c r="H879" s="9"/>
      <c r="I879" s="9"/>
      <c r="J879" s="9"/>
      <c r="K879" s="9"/>
      <c r="L879" s="9"/>
    </row>
    <row r="880">
      <c r="B880" s="6"/>
      <c r="C880" s="6"/>
      <c r="D880" s="6"/>
      <c r="G880" s="9"/>
      <c r="H880" s="9"/>
      <c r="I880" s="9"/>
      <c r="J880" s="9"/>
      <c r="K880" s="9"/>
      <c r="L880" s="9"/>
    </row>
    <row r="881">
      <c r="B881" s="6"/>
      <c r="C881" s="6"/>
      <c r="D881" s="6"/>
      <c r="G881" s="9"/>
      <c r="H881" s="9"/>
      <c r="I881" s="9"/>
      <c r="J881" s="9"/>
      <c r="K881" s="9"/>
      <c r="L881" s="9"/>
    </row>
    <row r="882">
      <c r="B882" s="6"/>
      <c r="C882" s="6"/>
      <c r="D882" s="6"/>
      <c r="G882" s="9"/>
      <c r="H882" s="9"/>
      <c r="I882" s="9"/>
      <c r="J882" s="9"/>
      <c r="K882" s="9"/>
      <c r="L882" s="9"/>
    </row>
    <row r="883">
      <c r="B883" s="6"/>
      <c r="C883" s="6"/>
      <c r="D883" s="6"/>
      <c r="G883" s="9"/>
      <c r="H883" s="9"/>
      <c r="I883" s="9"/>
      <c r="J883" s="9"/>
      <c r="K883" s="9"/>
      <c r="L883" s="9"/>
    </row>
    <row r="884">
      <c r="B884" s="6"/>
      <c r="C884" s="6"/>
      <c r="D884" s="6"/>
      <c r="G884" s="9"/>
      <c r="H884" s="9"/>
      <c r="I884" s="9"/>
      <c r="J884" s="9"/>
      <c r="K884" s="9"/>
      <c r="L884" s="9"/>
    </row>
    <row r="885">
      <c r="B885" s="6"/>
      <c r="C885" s="6"/>
      <c r="D885" s="6"/>
      <c r="G885" s="9"/>
      <c r="H885" s="9"/>
      <c r="I885" s="9"/>
      <c r="J885" s="9"/>
      <c r="K885" s="9"/>
      <c r="L885" s="9"/>
    </row>
    <row r="886">
      <c r="B886" s="6"/>
      <c r="C886" s="6"/>
      <c r="D886" s="6"/>
      <c r="G886" s="9"/>
      <c r="H886" s="9"/>
      <c r="I886" s="9"/>
      <c r="J886" s="9"/>
      <c r="K886" s="9"/>
      <c r="L886" s="9"/>
    </row>
    <row r="887">
      <c r="B887" s="6"/>
      <c r="C887" s="6"/>
      <c r="D887" s="6"/>
      <c r="G887" s="9"/>
      <c r="H887" s="9"/>
      <c r="I887" s="9"/>
      <c r="J887" s="9"/>
      <c r="K887" s="9"/>
      <c r="L887" s="9"/>
    </row>
    <row r="888">
      <c r="B888" s="6"/>
      <c r="C888" s="6"/>
      <c r="D888" s="6"/>
      <c r="G888" s="9"/>
      <c r="H888" s="9"/>
      <c r="I888" s="9"/>
      <c r="J888" s="9"/>
      <c r="K888" s="9"/>
      <c r="L888" s="9"/>
    </row>
    <row r="889">
      <c r="B889" s="6"/>
      <c r="C889" s="6"/>
      <c r="D889" s="6"/>
      <c r="G889" s="9"/>
      <c r="H889" s="9"/>
      <c r="I889" s="9"/>
      <c r="J889" s="9"/>
      <c r="K889" s="9"/>
      <c r="L889" s="9"/>
    </row>
    <row r="890">
      <c r="B890" s="6"/>
      <c r="C890" s="6"/>
      <c r="D890" s="6"/>
      <c r="G890" s="9"/>
      <c r="H890" s="9"/>
      <c r="I890" s="9"/>
      <c r="J890" s="9"/>
      <c r="K890" s="9"/>
      <c r="L890" s="9"/>
    </row>
    <row r="891">
      <c r="B891" s="6"/>
      <c r="C891" s="6"/>
      <c r="D891" s="6"/>
      <c r="G891" s="9"/>
      <c r="H891" s="9"/>
      <c r="I891" s="9"/>
      <c r="J891" s="9"/>
      <c r="K891" s="9"/>
      <c r="L891" s="9"/>
    </row>
    <row r="892">
      <c r="B892" s="6"/>
      <c r="C892" s="6"/>
      <c r="D892" s="6"/>
      <c r="G892" s="9"/>
      <c r="H892" s="9"/>
      <c r="I892" s="9"/>
      <c r="J892" s="9"/>
      <c r="K892" s="9"/>
      <c r="L892" s="9"/>
    </row>
    <row r="893">
      <c r="B893" s="6"/>
      <c r="C893" s="6"/>
      <c r="D893" s="6"/>
      <c r="G893" s="9"/>
      <c r="H893" s="9"/>
      <c r="I893" s="9"/>
      <c r="J893" s="9"/>
      <c r="K893" s="9"/>
      <c r="L893" s="9"/>
    </row>
    <row r="894">
      <c r="B894" s="6"/>
      <c r="C894" s="6"/>
      <c r="D894" s="6"/>
      <c r="G894" s="9"/>
      <c r="H894" s="9"/>
      <c r="I894" s="9"/>
      <c r="J894" s="9"/>
      <c r="K894" s="9"/>
      <c r="L894" s="9"/>
    </row>
    <row r="895">
      <c r="B895" s="6"/>
      <c r="C895" s="6"/>
      <c r="D895" s="6"/>
      <c r="G895" s="9"/>
      <c r="H895" s="9"/>
      <c r="I895" s="9"/>
      <c r="J895" s="9"/>
      <c r="K895" s="9"/>
      <c r="L895" s="9"/>
    </row>
    <row r="896">
      <c r="B896" s="6"/>
      <c r="C896" s="6"/>
      <c r="D896" s="6"/>
      <c r="G896" s="9"/>
      <c r="H896" s="9"/>
      <c r="I896" s="9"/>
      <c r="J896" s="9"/>
      <c r="K896" s="9"/>
      <c r="L896" s="9"/>
    </row>
    <row r="897">
      <c r="B897" s="6"/>
      <c r="C897" s="6"/>
      <c r="D897" s="6"/>
      <c r="G897" s="9"/>
      <c r="H897" s="9"/>
      <c r="I897" s="9"/>
      <c r="J897" s="9"/>
      <c r="K897" s="9"/>
      <c r="L897" s="9"/>
    </row>
    <row r="898">
      <c r="B898" s="6"/>
      <c r="C898" s="6"/>
      <c r="D898" s="6"/>
      <c r="G898" s="9"/>
      <c r="H898" s="9"/>
      <c r="I898" s="9"/>
      <c r="J898" s="9"/>
      <c r="K898" s="9"/>
      <c r="L898" s="9"/>
    </row>
    <row r="899">
      <c r="B899" s="6"/>
      <c r="C899" s="6"/>
      <c r="D899" s="6"/>
      <c r="G899" s="9"/>
      <c r="H899" s="9"/>
      <c r="I899" s="9"/>
      <c r="J899" s="9"/>
      <c r="K899" s="9"/>
      <c r="L899" s="9"/>
    </row>
    <row r="900">
      <c r="B900" s="6"/>
      <c r="C900" s="6"/>
      <c r="D900" s="6"/>
      <c r="G900" s="9"/>
      <c r="H900" s="9"/>
      <c r="I900" s="9"/>
      <c r="J900" s="9"/>
      <c r="K900" s="9"/>
      <c r="L900" s="9"/>
    </row>
    <row r="901">
      <c r="B901" s="6"/>
      <c r="C901" s="6"/>
      <c r="D901" s="6"/>
      <c r="G901" s="9"/>
      <c r="H901" s="9"/>
      <c r="I901" s="9"/>
      <c r="J901" s="9"/>
      <c r="K901" s="9"/>
      <c r="L901" s="9"/>
    </row>
    <row r="902">
      <c r="B902" s="6"/>
      <c r="C902" s="6"/>
      <c r="D902" s="6"/>
      <c r="G902" s="9"/>
      <c r="H902" s="9"/>
      <c r="I902" s="9"/>
      <c r="J902" s="9"/>
      <c r="K902" s="9"/>
      <c r="L902" s="9"/>
    </row>
    <row r="903">
      <c r="B903" s="6"/>
      <c r="C903" s="6"/>
      <c r="D903" s="6"/>
      <c r="G903" s="9"/>
      <c r="H903" s="9"/>
      <c r="I903" s="9"/>
      <c r="J903" s="9"/>
      <c r="K903" s="9"/>
      <c r="L903" s="9"/>
    </row>
    <row r="904">
      <c r="B904" s="6"/>
      <c r="C904" s="6"/>
      <c r="D904" s="6"/>
      <c r="G904" s="9"/>
      <c r="H904" s="9"/>
      <c r="I904" s="9"/>
      <c r="J904" s="9"/>
      <c r="K904" s="9"/>
      <c r="L904" s="9"/>
    </row>
    <row r="905">
      <c r="B905" s="6"/>
      <c r="C905" s="6"/>
      <c r="D905" s="6"/>
      <c r="G905" s="9"/>
      <c r="H905" s="9"/>
      <c r="I905" s="9"/>
      <c r="J905" s="9"/>
      <c r="K905" s="9"/>
      <c r="L905" s="9"/>
    </row>
    <row r="906">
      <c r="B906" s="6"/>
      <c r="C906" s="6"/>
      <c r="D906" s="6"/>
      <c r="G906" s="9"/>
      <c r="H906" s="9"/>
      <c r="I906" s="9"/>
      <c r="J906" s="9"/>
      <c r="K906" s="9"/>
      <c r="L906" s="9"/>
    </row>
    <row r="907">
      <c r="B907" s="6"/>
      <c r="C907" s="6"/>
      <c r="D907" s="6"/>
      <c r="G907" s="9"/>
      <c r="H907" s="9"/>
      <c r="I907" s="9"/>
      <c r="J907" s="9"/>
      <c r="K907" s="9"/>
      <c r="L907" s="9"/>
    </row>
    <row r="908">
      <c r="B908" s="6"/>
      <c r="C908" s="6"/>
      <c r="D908" s="6"/>
      <c r="G908" s="9"/>
      <c r="H908" s="9"/>
      <c r="I908" s="9"/>
      <c r="J908" s="9"/>
      <c r="K908" s="9"/>
      <c r="L908" s="9"/>
    </row>
    <row r="909">
      <c r="B909" s="6"/>
      <c r="C909" s="6"/>
      <c r="D909" s="6"/>
      <c r="G909" s="9"/>
      <c r="H909" s="9"/>
      <c r="I909" s="9"/>
      <c r="J909" s="9"/>
      <c r="K909" s="9"/>
      <c r="L909" s="9"/>
    </row>
    <row r="910">
      <c r="B910" s="6"/>
      <c r="C910" s="6"/>
      <c r="D910" s="6"/>
      <c r="G910" s="9"/>
      <c r="H910" s="9"/>
      <c r="I910" s="9"/>
      <c r="J910" s="9"/>
      <c r="K910" s="9"/>
      <c r="L910" s="9"/>
    </row>
    <row r="911">
      <c r="B911" s="6"/>
      <c r="C911" s="6"/>
      <c r="D911" s="6"/>
      <c r="G911" s="9"/>
      <c r="H911" s="9"/>
      <c r="I911" s="9"/>
      <c r="J911" s="9"/>
      <c r="K911" s="9"/>
      <c r="L911" s="9"/>
    </row>
    <row r="912">
      <c r="B912" s="6"/>
      <c r="C912" s="6"/>
      <c r="D912" s="6"/>
      <c r="G912" s="9"/>
      <c r="H912" s="9"/>
      <c r="I912" s="9"/>
      <c r="J912" s="9"/>
      <c r="K912" s="9"/>
      <c r="L912" s="9"/>
    </row>
    <row r="913">
      <c r="B913" s="6"/>
      <c r="C913" s="6"/>
      <c r="D913" s="6"/>
      <c r="G913" s="9"/>
      <c r="H913" s="9"/>
      <c r="I913" s="9"/>
      <c r="J913" s="9"/>
      <c r="K913" s="9"/>
      <c r="L913" s="9"/>
    </row>
    <row r="914">
      <c r="B914" s="6"/>
      <c r="C914" s="6"/>
      <c r="D914" s="6"/>
      <c r="G914" s="9"/>
      <c r="H914" s="9"/>
      <c r="I914" s="9"/>
      <c r="J914" s="9"/>
      <c r="K914" s="9"/>
      <c r="L914" s="9"/>
    </row>
    <row r="915">
      <c r="B915" s="6"/>
      <c r="C915" s="6"/>
      <c r="D915" s="6"/>
      <c r="G915" s="9"/>
      <c r="H915" s="9"/>
      <c r="I915" s="9"/>
      <c r="J915" s="9"/>
      <c r="K915" s="9"/>
      <c r="L915" s="9"/>
    </row>
    <row r="916">
      <c r="B916" s="6"/>
      <c r="C916" s="6"/>
      <c r="D916" s="6"/>
      <c r="G916" s="9"/>
      <c r="H916" s="9"/>
      <c r="I916" s="9"/>
      <c r="J916" s="9"/>
      <c r="K916" s="9"/>
      <c r="L916" s="9"/>
    </row>
    <row r="917">
      <c r="B917" s="6"/>
      <c r="C917" s="6"/>
      <c r="D917" s="6"/>
      <c r="G917" s="9"/>
      <c r="H917" s="9"/>
      <c r="I917" s="9"/>
      <c r="J917" s="9"/>
      <c r="K917" s="9"/>
      <c r="L917" s="9"/>
    </row>
    <row r="918">
      <c r="B918" s="6"/>
      <c r="C918" s="6"/>
      <c r="D918" s="6"/>
      <c r="G918" s="9"/>
      <c r="H918" s="9"/>
      <c r="I918" s="9"/>
      <c r="J918" s="9"/>
      <c r="K918" s="9"/>
      <c r="L918" s="9"/>
    </row>
    <row r="919">
      <c r="B919" s="6"/>
      <c r="C919" s="6"/>
      <c r="D919" s="6"/>
      <c r="G919" s="9"/>
      <c r="H919" s="9"/>
      <c r="I919" s="9"/>
      <c r="J919" s="9"/>
      <c r="K919" s="9"/>
      <c r="L919" s="9"/>
    </row>
    <row r="920">
      <c r="B920" s="6"/>
      <c r="C920" s="6"/>
      <c r="D920" s="6"/>
      <c r="G920" s="9"/>
      <c r="H920" s="9"/>
      <c r="I920" s="9"/>
      <c r="J920" s="9"/>
      <c r="K920" s="9"/>
      <c r="L920" s="9"/>
    </row>
    <row r="921">
      <c r="B921" s="6"/>
      <c r="C921" s="6"/>
      <c r="D921" s="6"/>
      <c r="G921" s="9"/>
      <c r="H921" s="9"/>
      <c r="I921" s="9"/>
      <c r="J921" s="9"/>
      <c r="K921" s="9"/>
      <c r="L921" s="9"/>
    </row>
    <row r="922">
      <c r="B922" s="6"/>
      <c r="C922" s="6"/>
      <c r="D922" s="6"/>
      <c r="G922" s="9"/>
      <c r="H922" s="9"/>
      <c r="I922" s="9"/>
      <c r="J922" s="9"/>
      <c r="K922" s="9"/>
      <c r="L922" s="9"/>
    </row>
    <row r="923">
      <c r="B923" s="6"/>
      <c r="C923" s="6"/>
      <c r="D923" s="6"/>
      <c r="G923" s="9"/>
      <c r="H923" s="9"/>
      <c r="I923" s="9"/>
      <c r="J923" s="9"/>
      <c r="K923" s="9"/>
      <c r="L923" s="9"/>
    </row>
    <row r="924">
      <c r="B924" s="6"/>
      <c r="C924" s="6"/>
      <c r="D924" s="6"/>
      <c r="G924" s="9"/>
      <c r="H924" s="9"/>
      <c r="I924" s="9"/>
      <c r="J924" s="9"/>
      <c r="K924" s="9"/>
      <c r="L924" s="9"/>
    </row>
    <row r="925">
      <c r="B925" s="6"/>
      <c r="C925" s="6"/>
      <c r="D925" s="6"/>
      <c r="G925" s="9"/>
      <c r="H925" s="9"/>
      <c r="I925" s="9"/>
      <c r="J925" s="9"/>
      <c r="K925" s="9"/>
      <c r="L925" s="9"/>
    </row>
    <row r="926">
      <c r="B926" s="6"/>
      <c r="C926" s="6"/>
      <c r="D926" s="6"/>
      <c r="G926" s="9"/>
      <c r="H926" s="9"/>
      <c r="I926" s="9"/>
      <c r="J926" s="9"/>
      <c r="K926" s="9"/>
      <c r="L926" s="9"/>
    </row>
    <row r="927">
      <c r="B927" s="6"/>
      <c r="C927" s="6"/>
      <c r="D927" s="6"/>
      <c r="G927" s="9"/>
      <c r="H927" s="9"/>
      <c r="I927" s="9"/>
      <c r="J927" s="9"/>
      <c r="K927" s="9"/>
      <c r="L927" s="9"/>
    </row>
    <row r="928">
      <c r="B928" s="6"/>
      <c r="C928" s="6"/>
      <c r="D928" s="6"/>
      <c r="G928" s="9"/>
      <c r="H928" s="9"/>
      <c r="I928" s="9"/>
      <c r="J928" s="9"/>
      <c r="K928" s="9"/>
      <c r="L928" s="9"/>
    </row>
    <row r="929">
      <c r="B929" s="6"/>
      <c r="C929" s="6"/>
      <c r="D929" s="6"/>
      <c r="G929" s="9"/>
      <c r="H929" s="9"/>
      <c r="I929" s="9"/>
      <c r="J929" s="9"/>
      <c r="K929" s="9"/>
      <c r="L929" s="9"/>
    </row>
    <row r="930">
      <c r="B930" s="6"/>
      <c r="C930" s="6"/>
      <c r="D930" s="6"/>
      <c r="G930" s="9"/>
      <c r="H930" s="9"/>
      <c r="I930" s="9"/>
      <c r="J930" s="9"/>
      <c r="K930" s="9"/>
      <c r="L930" s="9"/>
    </row>
    <row r="931">
      <c r="B931" s="6"/>
      <c r="C931" s="6"/>
      <c r="D931" s="6"/>
      <c r="G931" s="9"/>
      <c r="H931" s="9"/>
      <c r="I931" s="9"/>
      <c r="J931" s="9"/>
      <c r="K931" s="9"/>
      <c r="L931" s="9"/>
    </row>
    <row r="932">
      <c r="B932" s="6"/>
      <c r="C932" s="6"/>
      <c r="D932" s="6"/>
      <c r="G932" s="9"/>
      <c r="H932" s="9"/>
      <c r="I932" s="9"/>
      <c r="J932" s="9"/>
      <c r="K932" s="9"/>
      <c r="L932" s="9"/>
    </row>
    <row r="933">
      <c r="B933" s="6"/>
      <c r="C933" s="6"/>
      <c r="D933" s="6"/>
      <c r="G933" s="9"/>
      <c r="H933" s="9"/>
      <c r="I933" s="9"/>
      <c r="J933" s="9"/>
      <c r="K933" s="9"/>
      <c r="L933" s="9"/>
    </row>
    <row r="934">
      <c r="B934" s="6"/>
      <c r="C934" s="6"/>
      <c r="D934" s="6"/>
      <c r="G934" s="9"/>
      <c r="H934" s="9"/>
      <c r="I934" s="9"/>
      <c r="J934" s="9"/>
      <c r="K934" s="9"/>
      <c r="L934" s="9"/>
    </row>
    <row r="935">
      <c r="B935" s="6"/>
      <c r="C935" s="6"/>
      <c r="D935" s="6"/>
      <c r="G935" s="9"/>
      <c r="H935" s="9"/>
      <c r="I935" s="9"/>
      <c r="J935" s="9"/>
      <c r="K935" s="9"/>
      <c r="L935" s="9"/>
    </row>
    <row r="936">
      <c r="B936" s="6"/>
      <c r="C936" s="6"/>
      <c r="D936" s="6"/>
      <c r="G936" s="9"/>
      <c r="H936" s="9"/>
      <c r="I936" s="9"/>
      <c r="J936" s="9"/>
      <c r="K936" s="9"/>
      <c r="L936" s="9"/>
    </row>
    <row r="937">
      <c r="B937" s="6"/>
      <c r="C937" s="6"/>
      <c r="D937" s="6"/>
      <c r="G937" s="9"/>
      <c r="H937" s="9"/>
      <c r="I937" s="9"/>
      <c r="J937" s="9"/>
      <c r="K937" s="9"/>
      <c r="L937" s="9"/>
    </row>
    <row r="938">
      <c r="B938" s="6"/>
      <c r="C938" s="6"/>
      <c r="D938" s="6"/>
      <c r="G938" s="9"/>
      <c r="H938" s="9"/>
      <c r="I938" s="9"/>
      <c r="J938" s="9"/>
      <c r="K938" s="9"/>
      <c r="L938" s="9"/>
    </row>
    <row r="939">
      <c r="B939" s="6"/>
      <c r="C939" s="6"/>
      <c r="D939" s="6"/>
      <c r="G939" s="9"/>
      <c r="H939" s="9"/>
      <c r="I939" s="9"/>
      <c r="J939" s="9"/>
      <c r="K939" s="9"/>
      <c r="L939" s="9"/>
    </row>
    <row r="940">
      <c r="B940" s="6"/>
      <c r="C940" s="6"/>
      <c r="D940" s="6"/>
      <c r="G940" s="9"/>
      <c r="H940" s="9"/>
      <c r="I940" s="9"/>
      <c r="J940" s="9"/>
      <c r="K940" s="9"/>
      <c r="L940" s="9"/>
    </row>
    <row r="941">
      <c r="B941" s="6"/>
      <c r="C941" s="6"/>
      <c r="D941" s="6"/>
      <c r="G941" s="9"/>
      <c r="H941" s="9"/>
      <c r="I941" s="9"/>
      <c r="J941" s="9"/>
      <c r="K941" s="9"/>
      <c r="L941" s="9"/>
    </row>
    <row r="942">
      <c r="B942" s="6"/>
      <c r="C942" s="6"/>
      <c r="D942" s="6"/>
      <c r="G942" s="9"/>
      <c r="H942" s="9"/>
      <c r="I942" s="9"/>
      <c r="J942" s="9"/>
      <c r="K942" s="9"/>
      <c r="L942" s="9"/>
    </row>
    <row r="943">
      <c r="B943" s="6"/>
      <c r="C943" s="6"/>
      <c r="D943" s="6"/>
      <c r="G943" s="9"/>
      <c r="H943" s="9"/>
      <c r="I943" s="9"/>
      <c r="J943" s="9"/>
      <c r="K943" s="9"/>
      <c r="L943" s="9"/>
    </row>
    <row r="944">
      <c r="B944" s="6"/>
      <c r="C944" s="6"/>
      <c r="D944" s="6"/>
      <c r="G944" s="9"/>
      <c r="H944" s="9"/>
      <c r="I944" s="9"/>
      <c r="J944" s="9"/>
      <c r="K944" s="9"/>
      <c r="L944" s="9"/>
    </row>
    <row r="945">
      <c r="B945" s="6"/>
      <c r="C945" s="6"/>
      <c r="D945" s="6"/>
      <c r="G945" s="9"/>
      <c r="H945" s="9"/>
      <c r="I945" s="9"/>
      <c r="J945" s="9"/>
      <c r="K945" s="9"/>
      <c r="L945" s="9"/>
    </row>
    <row r="946">
      <c r="B946" s="6"/>
      <c r="C946" s="6"/>
      <c r="D946" s="6"/>
      <c r="G946" s="9"/>
      <c r="H946" s="9"/>
      <c r="I946" s="9"/>
      <c r="J946" s="9"/>
      <c r="K946" s="9"/>
      <c r="L946" s="9"/>
    </row>
    <row r="947">
      <c r="B947" s="6"/>
      <c r="C947" s="6"/>
      <c r="D947" s="6"/>
      <c r="G947" s="9"/>
      <c r="H947" s="9"/>
      <c r="I947" s="9"/>
      <c r="J947" s="9"/>
      <c r="K947" s="9"/>
      <c r="L947" s="9"/>
    </row>
    <row r="948">
      <c r="B948" s="6"/>
      <c r="C948" s="6"/>
      <c r="D948" s="6"/>
      <c r="G948" s="9"/>
      <c r="H948" s="9"/>
      <c r="I948" s="9"/>
      <c r="J948" s="9"/>
      <c r="K948" s="9"/>
      <c r="L948" s="9"/>
    </row>
    <row r="949">
      <c r="B949" s="6"/>
      <c r="C949" s="6"/>
      <c r="D949" s="6"/>
      <c r="G949" s="9"/>
      <c r="H949" s="9"/>
      <c r="I949" s="9"/>
      <c r="J949" s="9"/>
      <c r="K949" s="9"/>
      <c r="L949" s="9"/>
    </row>
    <row r="950">
      <c r="B950" s="6"/>
      <c r="C950" s="6"/>
      <c r="D950" s="6"/>
      <c r="G950" s="9"/>
      <c r="H950" s="9"/>
      <c r="I950" s="9"/>
      <c r="J950" s="9"/>
      <c r="K950" s="9"/>
      <c r="L950" s="9"/>
    </row>
    <row r="951">
      <c r="B951" s="6"/>
      <c r="C951" s="6"/>
      <c r="D951" s="6"/>
      <c r="G951" s="9"/>
      <c r="H951" s="9"/>
      <c r="I951" s="9"/>
      <c r="J951" s="9"/>
      <c r="K951" s="9"/>
      <c r="L951" s="9"/>
    </row>
    <row r="952">
      <c r="B952" s="6"/>
      <c r="C952" s="6"/>
      <c r="D952" s="6"/>
      <c r="G952" s="9"/>
      <c r="H952" s="9"/>
      <c r="I952" s="9"/>
      <c r="J952" s="9"/>
      <c r="K952" s="9"/>
      <c r="L952" s="9"/>
    </row>
    <row r="953">
      <c r="B953" s="6"/>
      <c r="C953" s="6"/>
      <c r="D953" s="6"/>
      <c r="G953" s="9"/>
      <c r="H953" s="9"/>
      <c r="I953" s="9"/>
      <c r="J953" s="9"/>
      <c r="K953" s="9"/>
      <c r="L953" s="9"/>
    </row>
    <row r="954">
      <c r="B954" s="6"/>
      <c r="C954" s="6"/>
      <c r="D954" s="6"/>
      <c r="G954" s="9"/>
      <c r="H954" s="9"/>
      <c r="I954" s="9"/>
      <c r="J954" s="9"/>
      <c r="K954" s="9"/>
      <c r="L954" s="9"/>
    </row>
    <row r="955">
      <c r="B955" s="6"/>
      <c r="C955" s="6"/>
      <c r="D955" s="6"/>
      <c r="G955" s="9"/>
      <c r="H955" s="9"/>
      <c r="I955" s="9"/>
      <c r="J955" s="9"/>
      <c r="K955" s="9"/>
      <c r="L955" s="9"/>
    </row>
    <row r="956">
      <c r="B956" s="6"/>
      <c r="C956" s="6"/>
      <c r="D956" s="6"/>
      <c r="G956" s="9"/>
      <c r="H956" s="9"/>
      <c r="I956" s="9"/>
      <c r="J956" s="9"/>
      <c r="K956" s="9"/>
      <c r="L956" s="9"/>
    </row>
    <row r="957">
      <c r="B957" s="6"/>
      <c r="C957" s="6"/>
      <c r="D957" s="6"/>
      <c r="G957" s="9"/>
      <c r="H957" s="9"/>
      <c r="I957" s="9"/>
      <c r="J957" s="9"/>
      <c r="K957" s="9"/>
      <c r="L957" s="9"/>
    </row>
    <row r="958">
      <c r="B958" s="6"/>
      <c r="C958" s="6"/>
      <c r="D958" s="6"/>
      <c r="G958" s="9"/>
      <c r="H958" s="9"/>
      <c r="I958" s="9"/>
      <c r="J958" s="9"/>
      <c r="K958" s="9"/>
      <c r="L958" s="9"/>
    </row>
    <row r="959">
      <c r="B959" s="6"/>
      <c r="C959" s="6"/>
      <c r="D959" s="6"/>
      <c r="G959" s="9"/>
      <c r="H959" s="9"/>
      <c r="I959" s="9"/>
      <c r="J959" s="9"/>
      <c r="K959" s="9"/>
      <c r="L959" s="9"/>
    </row>
    <row r="960">
      <c r="B960" s="6"/>
      <c r="C960" s="6"/>
      <c r="D960" s="6"/>
      <c r="G960" s="9"/>
      <c r="H960" s="9"/>
      <c r="I960" s="9"/>
      <c r="J960" s="9"/>
      <c r="K960" s="9"/>
      <c r="L960" s="9"/>
    </row>
    <row r="961">
      <c r="B961" s="6"/>
      <c r="C961" s="6"/>
      <c r="D961" s="6"/>
      <c r="G961" s="9"/>
      <c r="H961" s="9"/>
      <c r="I961" s="9"/>
      <c r="J961" s="9"/>
      <c r="K961" s="9"/>
      <c r="L961" s="9"/>
    </row>
    <row r="962">
      <c r="B962" s="6"/>
      <c r="C962" s="6"/>
      <c r="D962" s="6"/>
      <c r="G962" s="9"/>
      <c r="H962" s="9"/>
      <c r="I962" s="9"/>
      <c r="J962" s="9"/>
      <c r="K962" s="9"/>
      <c r="L962" s="9"/>
    </row>
    <row r="963">
      <c r="B963" s="6"/>
      <c r="C963" s="6"/>
      <c r="D963" s="6"/>
      <c r="G963" s="9"/>
      <c r="H963" s="9"/>
      <c r="I963" s="9"/>
      <c r="J963" s="9"/>
      <c r="K963" s="9"/>
      <c r="L963" s="9"/>
    </row>
    <row r="964">
      <c r="B964" s="6"/>
      <c r="C964" s="6"/>
      <c r="D964" s="6"/>
      <c r="G964" s="9"/>
      <c r="H964" s="9"/>
      <c r="I964" s="9"/>
      <c r="J964" s="9"/>
      <c r="K964" s="9"/>
      <c r="L964" s="9"/>
    </row>
    <row r="965">
      <c r="B965" s="6"/>
      <c r="C965" s="6"/>
      <c r="D965" s="6"/>
      <c r="G965" s="9"/>
      <c r="H965" s="9"/>
      <c r="I965" s="9"/>
      <c r="J965" s="9"/>
      <c r="K965" s="9"/>
      <c r="L965" s="9"/>
    </row>
    <row r="966">
      <c r="B966" s="6"/>
      <c r="C966" s="6"/>
      <c r="D966" s="6"/>
      <c r="G966" s="9"/>
      <c r="H966" s="9"/>
      <c r="I966" s="9"/>
      <c r="J966" s="9"/>
      <c r="K966" s="9"/>
      <c r="L966" s="9"/>
    </row>
    <row r="967">
      <c r="B967" s="6"/>
      <c r="C967" s="6"/>
      <c r="D967" s="6"/>
      <c r="G967" s="9"/>
      <c r="H967" s="9"/>
      <c r="I967" s="9"/>
      <c r="J967" s="9"/>
      <c r="K967" s="9"/>
      <c r="L967" s="9"/>
    </row>
    <row r="968">
      <c r="B968" s="6"/>
      <c r="C968" s="6"/>
      <c r="D968" s="6"/>
      <c r="G968" s="9"/>
      <c r="H968" s="9"/>
      <c r="I968" s="9"/>
      <c r="J968" s="9"/>
      <c r="K968" s="9"/>
      <c r="L968" s="9"/>
    </row>
    <row r="969">
      <c r="B969" s="6"/>
      <c r="C969" s="6"/>
      <c r="D969" s="6"/>
      <c r="G969" s="9"/>
      <c r="H969" s="9"/>
      <c r="I969" s="9"/>
      <c r="J969" s="9"/>
      <c r="K969" s="9"/>
      <c r="L969" s="9"/>
    </row>
    <row r="970">
      <c r="B970" s="6"/>
      <c r="C970" s="6"/>
      <c r="D970" s="6"/>
      <c r="G970" s="9"/>
      <c r="H970" s="9"/>
      <c r="I970" s="9"/>
      <c r="J970" s="9"/>
      <c r="K970" s="9"/>
      <c r="L970" s="9"/>
    </row>
    <row r="971">
      <c r="B971" s="6"/>
      <c r="C971" s="6"/>
      <c r="D971" s="6"/>
      <c r="G971" s="9"/>
      <c r="H971" s="9"/>
      <c r="I971" s="9"/>
      <c r="J971" s="9"/>
      <c r="K971" s="9"/>
      <c r="L971" s="9"/>
    </row>
    <row r="972">
      <c r="B972" s="6"/>
      <c r="C972" s="6"/>
      <c r="D972" s="6"/>
      <c r="G972" s="9"/>
      <c r="H972" s="9"/>
      <c r="I972" s="9"/>
      <c r="J972" s="9"/>
      <c r="K972" s="9"/>
      <c r="L972" s="9"/>
    </row>
    <row r="973">
      <c r="B973" s="6"/>
      <c r="C973" s="6"/>
      <c r="D973" s="6"/>
      <c r="G973" s="9"/>
      <c r="H973" s="9"/>
      <c r="I973" s="9"/>
      <c r="J973" s="9"/>
      <c r="K973" s="9"/>
      <c r="L973" s="9"/>
    </row>
    <row r="974">
      <c r="B974" s="6"/>
      <c r="C974" s="6"/>
      <c r="D974" s="6"/>
      <c r="G974" s="9"/>
      <c r="H974" s="9"/>
      <c r="I974" s="9"/>
      <c r="J974" s="9"/>
      <c r="K974" s="9"/>
      <c r="L974" s="9"/>
    </row>
    <row r="975">
      <c r="B975" s="6"/>
      <c r="C975" s="6"/>
      <c r="D975" s="6"/>
      <c r="G975" s="9"/>
      <c r="H975" s="9"/>
      <c r="I975" s="9"/>
      <c r="J975" s="9"/>
      <c r="K975" s="9"/>
      <c r="L975" s="9"/>
    </row>
    <row r="976">
      <c r="B976" s="6"/>
      <c r="C976" s="6"/>
      <c r="D976" s="6"/>
      <c r="G976" s="9"/>
      <c r="H976" s="9"/>
      <c r="I976" s="9"/>
      <c r="J976" s="9"/>
      <c r="K976" s="9"/>
      <c r="L976" s="9"/>
    </row>
    <row r="977">
      <c r="B977" s="6"/>
      <c r="C977" s="6"/>
      <c r="D977" s="6"/>
      <c r="G977" s="9"/>
      <c r="H977" s="9"/>
      <c r="I977" s="9"/>
      <c r="J977" s="9"/>
      <c r="K977" s="9"/>
      <c r="L977" s="9"/>
    </row>
    <row r="978">
      <c r="B978" s="6"/>
      <c r="C978" s="6"/>
      <c r="D978" s="6"/>
      <c r="G978" s="9"/>
      <c r="H978" s="9"/>
      <c r="I978" s="9"/>
      <c r="J978" s="9"/>
      <c r="K978" s="9"/>
      <c r="L978" s="9"/>
    </row>
    <row r="979">
      <c r="B979" s="6"/>
      <c r="C979" s="6"/>
      <c r="D979" s="6"/>
      <c r="G979" s="9"/>
      <c r="H979" s="9"/>
      <c r="I979" s="9"/>
      <c r="J979" s="9"/>
      <c r="K979" s="9"/>
      <c r="L979" s="9"/>
    </row>
    <row r="980">
      <c r="B980" s="6"/>
      <c r="C980" s="6"/>
      <c r="D980" s="6"/>
      <c r="G980" s="9"/>
      <c r="H980" s="9"/>
      <c r="I980" s="9"/>
      <c r="J980" s="9"/>
      <c r="K980" s="9"/>
      <c r="L980" s="9"/>
    </row>
    <row r="981">
      <c r="B981" s="6"/>
      <c r="C981" s="6"/>
      <c r="D981" s="6"/>
      <c r="G981" s="9"/>
      <c r="H981" s="9"/>
      <c r="I981" s="9"/>
      <c r="J981" s="9"/>
      <c r="K981" s="9"/>
      <c r="L981" s="9"/>
    </row>
    <row r="982">
      <c r="B982" s="6"/>
      <c r="C982" s="6"/>
      <c r="D982" s="6"/>
      <c r="G982" s="9"/>
      <c r="H982" s="9"/>
      <c r="I982" s="9"/>
      <c r="J982" s="9"/>
      <c r="K982" s="9"/>
      <c r="L982" s="9"/>
    </row>
    <row r="983">
      <c r="B983" s="6"/>
      <c r="C983" s="6"/>
      <c r="D983" s="6"/>
      <c r="G983" s="9"/>
      <c r="H983" s="9"/>
      <c r="I983" s="9"/>
      <c r="J983" s="9"/>
      <c r="K983" s="9"/>
      <c r="L983" s="9"/>
    </row>
    <row r="984">
      <c r="B984" s="6"/>
      <c r="C984" s="6"/>
      <c r="D984" s="6"/>
      <c r="G984" s="9"/>
      <c r="H984" s="9"/>
      <c r="I984" s="9"/>
      <c r="J984" s="9"/>
      <c r="K984" s="9"/>
      <c r="L984" s="9"/>
    </row>
    <row r="985">
      <c r="B985" s="6"/>
      <c r="C985" s="6"/>
      <c r="D985" s="6"/>
      <c r="G985" s="9"/>
      <c r="H985" s="9"/>
      <c r="I985" s="9"/>
      <c r="J985" s="9"/>
      <c r="K985" s="9"/>
      <c r="L985" s="9"/>
    </row>
    <row r="986">
      <c r="B986" s="6"/>
      <c r="C986" s="6"/>
      <c r="D986" s="6"/>
      <c r="G986" s="9"/>
      <c r="H986" s="9"/>
      <c r="I986" s="9"/>
      <c r="J986" s="9"/>
      <c r="K986" s="9"/>
      <c r="L986" s="9"/>
    </row>
    <row r="987">
      <c r="B987" s="6"/>
      <c r="C987" s="6"/>
      <c r="D987" s="6"/>
      <c r="G987" s="9"/>
      <c r="H987" s="9"/>
      <c r="I987" s="9"/>
      <c r="J987" s="9"/>
      <c r="K987" s="9"/>
      <c r="L987" s="9"/>
    </row>
    <row r="988">
      <c r="B988" s="6"/>
      <c r="C988" s="6"/>
      <c r="D988" s="6"/>
      <c r="G988" s="9"/>
      <c r="H988" s="9"/>
      <c r="I988" s="9"/>
      <c r="J988" s="9"/>
      <c r="K988" s="9"/>
      <c r="L988" s="9"/>
    </row>
    <row r="989">
      <c r="B989" s="6"/>
      <c r="C989" s="6"/>
      <c r="D989" s="6"/>
      <c r="G989" s="9"/>
      <c r="H989" s="9"/>
      <c r="I989" s="9"/>
      <c r="J989" s="9"/>
      <c r="K989" s="9"/>
      <c r="L989" s="9"/>
    </row>
    <row r="990">
      <c r="B990" s="6"/>
      <c r="C990" s="6"/>
      <c r="D990" s="6"/>
      <c r="G990" s="9"/>
      <c r="H990" s="9"/>
      <c r="I990" s="9"/>
      <c r="J990" s="9"/>
      <c r="K990" s="9"/>
      <c r="L990" s="9"/>
    </row>
    <row r="991">
      <c r="B991" s="6"/>
      <c r="C991" s="6"/>
      <c r="D991" s="6"/>
      <c r="G991" s="9"/>
      <c r="H991" s="9"/>
      <c r="I991" s="9"/>
      <c r="J991" s="9"/>
      <c r="K991" s="9"/>
      <c r="L991" s="9"/>
    </row>
    <row r="992">
      <c r="B992" s="6"/>
      <c r="C992" s="6"/>
      <c r="D992" s="6"/>
      <c r="G992" s="9"/>
      <c r="H992" s="9"/>
      <c r="I992" s="9"/>
      <c r="J992" s="9"/>
      <c r="K992" s="9"/>
      <c r="L992" s="9"/>
    </row>
    <row r="993">
      <c r="B993" s="6"/>
      <c r="C993" s="6"/>
      <c r="D993" s="6"/>
      <c r="G993" s="9"/>
      <c r="H993" s="9"/>
      <c r="I993" s="9"/>
      <c r="J993" s="9"/>
      <c r="K993" s="9"/>
      <c r="L993" s="9"/>
    </row>
    <row r="994">
      <c r="B994" s="6"/>
      <c r="C994" s="6"/>
      <c r="D994" s="6"/>
      <c r="G994" s="9"/>
      <c r="H994" s="9"/>
      <c r="I994" s="9"/>
      <c r="J994" s="9"/>
      <c r="K994" s="9"/>
      <c r="L994" s="9"/>
    </row>
    <row r="995">
      <c r="B995" s="6"/>
      <c r="C995" s="6"/>
      <c r="D995" s="6"/>
      <c r="G995" s="9"/>
      <c r="H995" s="9"/>
      <c r="I995" s="9"/>
      <c r="J995" s="9"/>
      <c r="K995" s="9"/>
      <c r="L995" s="9"/>
    </row>
    <row r="996">
      <c r="B996" s="6"/>
      <c r="C996" s="6"/>
      <c r="D996" s="6"/>
      <c r="G996" s="9"/>
      <c r="H996" s="9"/>
      <c r="I996" s="9"/>
      <c r="J996" s="9"/>
      <c r="K996" s="9"/>
      <c r="L996" s="9"/>
    </row>
    <row r="997">
      <c r="B997" s="6"/>
      <c r="C997" s="6"/>
      <c r="D997" s="6"/>
      <c r="G997" s="9"/>
      <c r="H997" s="9"/>
      <c r="I997" s="9"/>
      <c r="J997" s="9"/>
      <c r="K997" s="9"/>
      <c r="L997" s="9"/>
    </row>
    <row r="998">
      <c r="B998" s="6"/>
      <c r="C998" s="6"/>
      <c r="D998" s="6"/>
      <c r="G998" s="9"/>
      <c r="H998" s="9"/>
      <c r="I998" s="9"/>
      <c r="J998" s="9"/>
      <c r="K998" s="9"/>
      <c r="L998" s="9"/>
    </row>
    <row r="999">
      <c r="B999" s="6"/>
      <c r="C999" s="6"/>
      <c r="D999" s="6"/>
      <c r="G999" s="9"/>
      <c r="H999" s="9"/>
      <c r="I999" s="9"/>
      <c r="J999" s="9"/>
      <c r="K999" s="9"/>
      <c r="L999" s="9"/>
    </row>
  </sheetData>
  <conditionalFormatting sqref="G5:H26">
    <cfRule type="colorScale" priority="1">
      <colorScale>
        <cfvo type="min"/>
        <cfvo type="formula" val="1"/>
        <cfvo type="formula" val="2"/>
        <color rgb="FFE67C73"/>
        <color rgb="FFFFFFFF"/>
        <color rgb="FF57BB8A"/>
      </colorScale>
    </cfRule>
  </conditionalFormatting>
  <conditionalFormatting sqref="E4:E26">
    <cfRule type="colorScale" priority="2">
      <colorScale>
        <cfvo type="min"/>
        <cfvo type="percentile" val="50"/>
        <cfvo type="max"/>
        <color rgb="FFE67C73"/>
        <color rgb="FFFFFFFF"/>
        <color rgb="FF57BB8A"/>
      </colorScale>
    </cfRule>
  </conditionalFormatting>
  <conditionalFormatting sqref="F3:F26">
    <cfRule type="colorScale" priority="3">
      <colorScale>
        <cfvo type="min"/>
        <cfvo type="percentile" val="50"/>
        <cfvo type="max"/>
        <color rgb="FF57BB8A"/>
        <color rgb="FFFFFFFF"/>
        <color rgb="FFE67C73"/>
      </colorScale>
    </cfRule>
  </conditionalFormatting>
  <conditionalFormatting sqref="I4:I26">
    <cfRule type="colorScale" priority="4">
      <colorScale>
        <cfvo type="min"/>
        <cfvo type="percentile" val="50"/>
        <cfvo type="max"/>
        <color rgb="FF57BB8A"/>
        <color rgb="FFFFFFFF"/>
        <color rgb="FFE67C73"/>
      </colorScale>
    </cfRule>
  </conditionalFormatting>
  <conditionalFormatting sqref="J5:J26">
    <cfRule type="colorScale" priority="5">
      <colorScale>
        <cfvo type="min"/>
        <cfvo type="percentile" val="50"/>
        <cfvo type="max"/>
        <color rgb="FF57BB8A"/>
        <color rgb="FFFFFFFF"/>
        <color rgb="FFE67C73"/>
      </colorScale>
    </cfRule>
  </conditionalFormatting>
  <conditionalFormatting sqref="K5:K26">
    <cfRule type="colorScale" priority="6">
      <colorScale>
        <cfvo type="min"/>
        <cfvo type="percentile" val="50"/>
        <cfvo type="max"/>
        <color rgb="FFE67C73"/>
        <color rgb="FFFFFFFF"/>
        <color rgb="FF57BB8A"/>
      </colorScale>
    </cfRule>
  </conditionalFormatting>
  <conditionalFormatting sqref="L4:L26">
    <cfRule type="colorScale" priority="7">
      <colorScale>
        <cfvo type="min"/>
        <cfvo type="percentile" val="50"/>
        <cfvo type="max"/>
        <color rgb="FF57BB8A"/>
        <color rgb="FFFFFFFF"/>
        <color rgb="FFE67C73"/>
      </colorScale>
    </cfRule>
  </conditionalFormatting>
  <hyperlinks>
    <hyperlink r:id="rId1" ref="A17"/>
    <hyperlink r:id="rId2" ref="A19"/>
    <hyperlink r:id="rId3" ref="A20"/>
    <hyperlink r:id="rId4" ref="A21"/>
    <hyperlink r:id="rId5" ref="A22"/>
    <hyperlink r:id="rId6" ref="A23"/>
    <hyperlink r:id="rId7" ref="A24"/>
    <hyperlink r:id="rId8" ref="A25"/>
    <hyperlink r:id="rId9" ref="A29"/>
    <hyperlink r:id="rId10" ref="A31"/>
    <hyperlink r:id="rId11" ref="A32"/>
    <hyperlink r:id="rId12" ref="A33"/>
    <hyperlink r:id="rId13" ref="A34"/>
    <hyperlink r:id="rId14" ref="A35"/>
    <hyperlink r:id="rId15" ref="A36"/>
    <hyperlink r:id="rId16" ref="A37"/>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11.0"/>
    <col customWidth="1" min="3" max="3" width="17.25"/>
    <col customWidth="1" min="4" max="4" width="3.38"/>
    <col customWidth="1" min="5" max="5" width="4.63"/>
    <col customWidth="1" min="6" max="6" width="9.38"/>
    <col customWidth="1" min="7" max="7" width="10.88"/>
    <col customWidth="1" min="8" max="8" width="6.63"/>
    <col customWidth="1" min="9" max="15" width="10.38"/>
    <col customWidth="1" min="16" max="16" width="12.63"/>
    <col customWidth="1" min="17" max="17" width="16.63"/>
  </cols>
  <sheetData>
    <row r="1">
      <c r="A1" s="1" t="s">
        <v>49</v>
      </c>
      <c r="B1" s="1" t="s">
        <v>50</v>
      </c>
      <c r="C1" s="1" t="s">
        <v>36</v>
      </c>
      <c r="D1" s="1" t="s">
        <v>29</v>
      </c>
      <c r="E1" s="1" t="s">
        <v>51</v>
      </c>
      <c r="F1" s="1" t="s">
        <v>52</v>
      </c>
      <c r="G1" s="1" t="s">
        <v>53</v>
      </c>
      <c r="H1" s="1" t="s">
        <v>18</v>
      </c>
      <c r="I1" s="1" t="s">
        <v>19</v>
      </c>
      <c r="J1" s="1" t="s">
        <v>54</v>
      </c>
      <c r="K1" s="1" t="s">
        <v>55</v>
      </c>
      <c r="L1" s="1" t="s">
        <v>22</v>
      </c>
      <c r="M1" s="1" t="s">
        <v>23</v>
      </c>
      <c r="N1" s="1" t="s">
        <v>24</v>
      </c>
      <c r="O1" s="1" t="s">
        <v>25</v>
      </c>
      <c r="P1" s="32" t="s">
        <v>56</v>
      </c>
      <c r="Q1" s="1"/>
    </row>
    <row r="2">
      <c r="A2" s="33">
        <v>46015.0</v>
      </c>
      <c r="B2" s="1" t="s">
        <v>57</v>
      </c>
      <c r="E2" s="34">
        <v>1081.0</v>
      </c>
      <c r="F2" s="34">
        <v>12659.0</v>
      </c>
      <c r="G2" s="15">
        <v>1023955.0</v>
      </c>
      <c r="H2" s="16">
        <v>0.012362847976717727</v>
      </c>
      <c r="I2" s="17">
        <v>5.108359254068782</v>
      </c>
      <c r="J2" s="16">
        <v>1.0840969427078873</v>
      </c>
      <c r="K2" s="16">
        <v>2.0754470312100954</v>
      </c>
      <c r="L2" s="16">
        <v>0.056429232192414434</v>
      </c>
      <c r="M2" s="16">
        <v>0.14338575393154487</v>
      </c>
      <c r="N2" s="16">
        <v>0.2719703977798335</v>
      </c>
      <c r="O2" s="16">
        <v>0.150786308973173</v>
      </c>
      <c r="P2" s="35">
        <v>46015.0</v>
      </c>
    </row>
    <row r="3">
      <c r="A3" s="33">
        <v>46015.0</v>
      </c>
      <c r="B3" s="1" t="s">
        <v>58</v>
      </c>
      <c r="E3" s="34">
        <v>740.0</v>
      </c>
      <c r="F3" s="34">
        <v>12581.0</v>
      </c>
      <c r="G3" s="15">
        <v>1021899.0</v>
      </c>
      <c r="H3" s="16">
        <v>0.012311392808878373</v>
      </c>
      <c r="I3" s="17">
        <v>5.106836389897632</v>
      </c>
      <c r="J3" s="16">
        <v>1.0849430838220075</v>
      </c>
      <c r="K3" s="16">
        <v>2.12122262584328</v>
      </c>
      <c r="L3" s="16">
        <v>0.07972972972972973</v>
      </c>
      <c r="M3" s="16">
        <v>0.20675675675675675</v>
      </c>
      <c r="N3" s="16">
        <v>0.3662162162162162</v>
      </c>
      <c r="O3" s="16">
        <v>0.20405405405405405</v>
      </c>
      <c r="P3" s="35">
        <v>46015.0</v>
      </c>
    </row>
    <row r="4">
      <c r="A4" s="33">
        <v>46015.0</v>
      </c>
      <c r="B4" s="1" t="s">
        <v>59</v>
      </c>
      <c r="C4" s="3" t="s">
        <v>2</v>
      </c>
      <c r="E4" s="34">
        <v>124.0</v>
      </c>
      <c r="F4" s="34">
        <v>536.0</v>
      </c>
      <c r="G4" s="15">
        <v>35163.0</v>
      </c>
      <c r="H4" s="16">
        <v>0.015243295509484401</v>
      </c>
      <c r="I4" s="17">
        <v>6.067997611125331</v>
      </c>
      <c r="J4" s="16">
        <v>1.567251461988304</v>
      </c>
      <c r="K4" s="16">
        <v>1.6848586487781505</v>
      </c>
      <c r="L4" s="16">
        <v>0.06451612903225806</v>
      </c>
      <c r="M4" s="16">
        <v>0.0967741935483871</v>
      </c>
      <c r="N4" s="16">
        <v>0.3225806451612903</v>
      </c>
      <c r="O4" s="16">
        <v>0.08870967741935484</v>
      </c>
      <c r="P4" s="35">
        <v>46015.0</v>
      </c>
    </row>
    <row r="5">
      <c r="A5" s="33">
        <v>46015.0</v>
      </c>
      <c r="B5" s="1" t="s">
        <v>59</v>
      </c>
      <c r="C5" s="1" t="s">
        <v>3</v>
      </c>
      <c r="E5" s="34">
        <v>163.0</v>
      </c>
      <c r="F5" s="34">
        <v>784.0</v>
      </c>
      <c r="G5" s="15">
        <v>23064.0</v>
      </c>
      <c r="H5" s="16">
        <v>0.03399236906000694</v>
      </c>
      <c r="I5" s="17">
        <v>6.855619146722164</v>
      </c>
      <c r="J5" s="16">
        <v>1.1248206599713055</v>
      </c>
      <c r="K5" s="16">
        <v>0.9253731343283582</v>
      </c>
      <c r="L5" s="16">
        <v>0.03680981595092025</v>
      </c>
      <c r="M5" s="16">
        <v>0.04294478527607362</v>
      </c>
      <c r="N5" s="16">
        <v>0.3312883435582822</v>
      </c>
      <c r="O5" s="16">
        <v>0.17177914110429449</v>
      </c>
      <c r="P5" s="35">
        <v>46015.0</v>
      </c>
    </row>
    <row r="6">
      <c r="A6" s="33">
        <v>46015.0</v>
      </c>
      <c r="B6" s="1" t="s">
        <v>59</v>
      </c>
      <c r="C6" s="3" t="s">
        <v>4</v>
      </c>
      <c r="E6" s="34">
        <v>105.0</v>
      </c>
      <c r="F6" s="34">
        <v>418.0</v>
      </c>
      <c r="G6" s="15">
        <v>20022.0</v>
      </c>
      <c r="H6" s="16">
        <v>0.020877035261212665</v>
      </c>
      <c r="I6" s="17">
        <v>5.322395365098392</v>
      </c>
      <c r="J6" s="16">
        <v>0.5238095238095238</v>
      </c>
      <c r="K6" s="16">
        <v>0.835468391404131</v>
      </c>
      <c r="L6" s="16">
        <v>0.0761904761904762</v>
      </c>
      <c r="M6" s="16">
        <v>0.08571428571428572</v>
      </c>
      <c r="N6" s="16">
        <v>0.19047619047619047</v>
      </c>
      <c r="O6" s="16">
        <v>0.14285714285714285</v>
      </c>
      <c r="P6" s="35">
        <v>46015.0</v>
      </c>
    </row>
    <row r="7">
      <c r="A7" s="33">
        <v>46015.0</v>
      </c>
      <c r="B7" s="1" t="s">
        <v>59</v>
      </c>
      <c r="C7" s="3" t="s">
        <v>5</v>
      </c>
      <c r="E7" s="34">
        <v>17.0</v>
      </c>
      <c r="F7" s="34">
        <v>2673.0</v>
      </c>
      <c r="G7" s="15">
        <v>46324.0</v>
      </c>
      <c r="H7" s="16">
        <v>0.0577022709610569</v>
      </c>
      <c r="I7" s="17">
        <v>6.442384077368103</v>
      </c>
      <c r="J7" s="16">
        <v>0.9543020349875044</v>
      </c>
      <c r="K7" s="16">
        <v>1.8113709235942754</v>
      </c>
      <c r="L7" s="16">
        <v>0.11764705882352941</v>
      </c>
      <c r="M7" s="16">
        <v>0.11764705882352941</v>
      </c>
      <c r="N7" s="16">
        <v>0.35294117647058826</v>
      </c>
      <c r="O7" s="16">
        <v>0.23529411764705882</v>
      </c>
      <c r="P7" s="35">
        <v>46015.0</v>
      </c>
    </row>
    <row r="8">
      <c r="A8" s="33">
        <v>46015.0</v>
      </c>
      <c r="B8" s="1" t="s">
        <v>59</v>
      </c>
      <c r="C8" s="3" t="s">
        <v>6</v>
      </c>
      <c r="E8" s="34">
        <v>29.0</v>
      </c>
      <c r="F8" s="34">
        <v>4795.0</v>
      </c>
      <c r="G8" s="15">
        <v>300586.0</v>
      </c>
      <c r="H8" s="16">
        <v>0.01595217342125049</v>
      </c>
      <c r="I8" s="17">
        <v>4.596704437332411</v>
      </c>
      <c r="J8" s="16">
        <v>0.9330609067912046</v>
      </c>
      <c r="K8" s="16">
        <v>1.528004554743338</v>
      </c>
      <c r="L8" s="16">
        <v>0.0</v>
      </c>
      <c r="M8" s="16">
        <v>0.034482758620689655</v>
      </c>
      <c r="N8" s="16">
        <v>0.6896551724137931</v>
      </c>
      <c r="O8" s="16">
        <v>0.20689655172413793</v>
      </c>
      <c r="P8" s="35">
        <v>46015.0</v>
      </c>
    </row>
    <row r="9">
      <c r="A9" s="33">
        <v>46015.0</v>
      </c>
      <c r="B9" s="1" t="s">
        <v>59</v>
      </c>
      <c r="C9" s="3" t="s">
        <v>7</v>
      </c>
      <c r="E9" s="34">
        <v>126.0</v>
      </c>
      <c r="F9" s="34">
        <v>684.0</v>
      </c>
      <c r="G9" s="15">
        <v>110085.0</v>
      </c>
      <c r="H9" s="16">
        <v>0.0062133805695598855</v>
      </c>
      <c r="I9" s="17">
        <v>4.8512240541399825</v>
      </c>
      <c r="J9" s="16">
        <v>1.343811394891945</v>
      </c>
      <c r="K9" s="16">
        <v>3.277021998630667</v>
      </c>
      <c r="L9" s="16">
        <v>0.07142857142857142</v>
      </c>
      <c r="M9" s="16">
        <v>0.3333333333333333</v>
      </c>
      <c r="N9" s="16">
        <v>0.5</v>
      </c>
      <c r="O9" s="16">
        <v>0.2619047619047619</v>
      </c>
      <c r="P9" s="35">
        <v>46015.0</v>
      </c>
    </row>
    <row r="10">
      <c r="A10" s="33">
        <v>46015.0</v>
      </c>
      <c r="B10" s="1" t="s">
        <v>59</v>
      </c>
      <c r="C10" s="3" t="s">
        <v>8</v>
      </c>
      <c r="E10" s="34">
        <v>118.0</v>
      </c>
      <c r="F10" s="34">
        <v>663.0</v>
      </c>
      <c r="G10" s="15">
        <v>185124.0</v>
      </c>
      <c r="H10" s="16">
        <v>0.0035813832890386984</v>
      </c>
      <c r="I10" s="17">
        <v>6.1257697543268295</v>
      </c>
      <c r="J10" s="16">
        <v>0.6493633692458374</v>
      </c>
      <c r="K10" s="16">
        <v>1.5469929053122415</v>
      </c>
      <c r="L10" s="16">
        <v>0.19491525423728814</v>
      </c>
      <c r="M10" s="16">
        <v>0.5423728813559322</v>
      </c>
      <c r="N10" s="16">
        <v>0.423728813559322</v>
      </c>
      <c r="O10" s="16">
        <v>0.2711864406779661</v>
      </c>
      <c r="P10" s="35">
        <v>46015.0</v>
      </c>
    </row>
    <row r="11">
      <c r="A11" s="33">
        <v>46015.0</v>
      </c>
      <c r="B11" s="1" t="s">
        <v>59</v>
      </c>
      <c r="C11" s="3" t="s">
        <v>9</v>
      </c>
      <c r="E11" s="34">
        <v>11.0</v>
      </c>
      <c r="F11" s="34">
        <v>4.0</v>
      </c>
      <c r="G11" s="15">
        <v>325.0</v>
      </c>
      <c r="H11" s="16">
        <v>0.012307692307692308</v>
      </c>
      <c r="I11" s="17">
        <v>11.267692307692307</v>
      </c>
      <c r="J11" s="16">
        <v>0.5714285714285714</v>
      </c>
      <c r="K11" s="16">
        <v>1.625</v>
      </c>
      <c r="L11" s="16">
        <v>0.18181818181818182</v>
      </c>
      <c r="M11" s="16">
        <v>0.18181818181818182</v>
      </c>
      <c r="N11" s="16">
        <v>0.0</v>
      </c>
      <c r="O11" s="16">
        <v>0.18181818181818182</v>
      </c>
      <c r="P11" s="35">
        <v>46015.0</v>
      </c>
    </row>
    <row r="12">
      <c r="A12" s="33">
        <v>46015.0</v>
      </c>
      <c r="B12" s="1" t="s">
        <v>59</v>
      </c>
      <c r="C12" s="3" t="s">
        <v>10</v>
      </c>
      <c r="E12" s="34">
        <v>47.0</v>
      </c>
      <c r="F12" s="34">
        <v>2024.0</v>
      </c>
      <c r="G12" s="15">
        <v>301206.0</v>
      </c>
      <c r="H12" s="16">
        <v>0.006719653658957657</v>
      </c>
      <c r="I12" s="17">
        <v>4.610602046439978</v>
      </c>
      <c r="J12" s="16">
        <v>7.177304964539007</v>
      </c>
      <c r="K12" s="16">
        <v>8.311653191313226</v>
      </c>
      <c r="L12" s="16">
        <v>0.02127659574468085</v>
      </c>
      <c r="M12" s="16">
        <v>0.2978723404255319</v>
      </c>
      <c r="N12" s="16">
        <v>0.3829787234042553</v>
      </c>
      <c r="O12" s="16">
        <v>0.425531914893617</v>
      </c>
      <c r="P12" s="35">
        <v>46015.0</v>
      </c>
    </row>
    <row r="13">
      <c r="A13" s="33">
        <v>46015.0</v>
      </c>
      <c r="B13" s="1" t="s">
        <v>60</v>
      </c>
      <c r="D13" s="1" t="s">
        <v>30</v>
      </c>
      <c r="E13" s="34">
        <v>9.0</v>
      </c>
      <c r="F13" s="34">
        <v>447.0</v>
      </c>
      <c r="G13" s="15">
        <v>8416.0</v>
      </c>
      <c r="H13" s="16">
        <v>0.05311311787072243</v>
      </c>
      <c r="I13" s="17">
        <v>8.351592205323193</v>
      </c>
      <c r="J13" s="16">
        <v>1.0567375886524824</v>
      </c>
      <c r="K13" s="16">
        <v>0.5111448527178865</v>
      </c>
      <c r="L13" s="16">
        <v>0.0</v>
      </c>
      <c r="M13" s="16">
        <v>0.0</v>
      </c>
      <c r="N13" s="16">
        <v>0.4444444444444444</v>
      </c>
      <c r="O13" s="16">
        <v>0.5555555555555556</v>
      </c>
      <c r="P13" s="35">
        <v>46015.0</v>
      </c>
    </row>
    <row r="14">
      <c r="A14" s="33">
        <v>46015.0</v>
      </c>
      <c r="B14" s="1" t="s">
        <v>60</v>
      </c>
      <c r="D14" s="1" t="s">
        <v>31</v>
      </c>
      <c r="E14" s="34">
        <v>78.0</v>
      </c>
      <c r="F14" s="34">
        <v>229.0</v>
      </c>
      <c r="G14" s="15">
        <v>7936.0</v>
      </c>
      <c r="H14" s="16">
        <v>0.028855846774193547</v>
      </c>
      <c r="I14" s="17">
        <v>8.114163306451612</v>
      </c>
      <c r="J14" s="16">
        <v>0.9913419913419913</v>
      </c>
      <c r="K14" s="16">
        <v>0.48851954447522317</v>
      </c>
      <c r="L14" s="16">
        <v>0.0641025641025641</v>
      </c>
      <c r="M14" s="16">
        <v>0.0641025641025641</v>
      </c>
      <c r="N14" s="16">
        <v>0.2564102564102564</v>
      </c>
      <c r="O14" s="16">
        <v>0.1794871794871795</v>
      </c>
      <c r="P14" s="35">
        <v>46015.0</v>
      </c>
    </row>
    <row r="15">
      <c r="A15" s="33">
        <v>46015.0</v>
      </c>
      <c r="B15" s="1" t="s">
        <v>60</v>
      </c>
      <c r="D15" s="1" t="s">
        <v>32</v>
      </c>
      <c r="E15" s="34">
        <v>474.0</v>
      </c>
      <c r="F15" s="34">
        <v>11715.0</v>
      </c>
      <c r="G15" s="15">
        <v>991509.0</v>
      </c>
      <c r="H15" s="16">
        <v>0.011815323915365368</v>
      </c>
      <c r="I15" s="17">
        <v>5.054500766004141</v>
      </c>
      <c r="J15" s="16">
        <v>1.115608037329778</v>
      </c>
      <c r="K15" s="16">
        <v>2.2803060619023308</v>
      </c>
      <c r="L15" s="16">
        <v>0.10548523206751055</v>
      </c>
      <c r="M15" s="16">
        <v>0.3037974683544304</v>
      </c>
      <c r="N15" s="16">
        <v>0.44936708860759494</v>
      </c>
      <c r="O15" s="16">
        <v>0.2616033755274262</v>
      </c>
      <c r="P15" s="35">
        <v>46015.0</v>
      </c>
    </row>
    <row r="16">
      <c r="A16" s="33">
        <v>46015.0</v>
      </c>
      <c r="B16" s="1" t="s">
        <v>60</v>
      </c>
      <c r="D16" s="1" t="s">
        <v>33</v>
      </c>
      <c r="E16" s="34">
        <v>108.0</v>
      </c>
      <c r="F16" s="34">
        <v>182.0</v>
      </c>
      <c r="G16" s="15">
        <v>13464.0</v>
      </c>
      <c r="H16" s="16">
        <v>0.013517528223410576</v>
      </c>
      <c r="I16" s="17">
        <v>5.057338086749851</v>
      </c>
      <c r="J16" s="16">
        <v>0.4222737819025522</v>
      </c>
      <c r="K16" s="16">
        <v>1.1490015360983103</v>
      </c>
      <c r="L16" s="16">
        <v>0.037037037037037035</v>
      </c>
      <c r="M16" s="16">
        <v>0.037037037037037035</v>
      </c>
      <c r="N16" s="16">
        <v>0.2777777777777778</v>
      </c>
      <c r="O16" s="16">
        <v>0.027777777777777776</v>
      </c>
      <c r="P16" s="35">
        <v>46015.0</v>
      </c>
    </row>
    <row r="17">
      <c r="A17" s="33">
        <v>46015.0</v>
      </c>
      <c r="B17" s="1" t="s">
        <v>60</v>
      </c>
      <c r="D17" s="1" t="s">
        <v>34</v>
      </c>
      <c r="E17" s="34">
        <v>71.0</v>
      </c>
      <c r="F17" s="34">
        <v>8.0</v>
      </c>
      <c r="G17" s="15">
        <v>574.0</v>
      </c>
      <c r="H17" s="16">
        <v>0.013937282229965157</v>
      </c>
      <c r="I17" s="17">
        <v>7.517421602787456</v>
      </c>
      <c r="J17" s="16">
        <v>0.8</v>
      </c>
      <c r="K17" s="16">
        <v>0.22886762360446572</v>
      </c>
      <c r="L17" s="16">
        <v>0.0</v>
      </c>
      <c r="M17" s="16">
        <v>0.0</v>
      </c>
      <c r="N17" s="16">
        <v>0.056338028169014086</v>
      </c>
      <c r="O17" s="16">
        <v>0.07042253521126761</v>
      </c>
      <c r="P17" s="35">
        <v>46015.0</v>
      </c>
    </row>
    <row r="18">
      <c r="A18" s="33">
        <v>46016.0</v>
      </c>
      <c r="B18" s="1" t="s">
        <v>57</v>
      </c>
      <c r="E18" s="34">
        <v>1081.0</v>
      </c>
      <c r="F18" s="34">
        <v>12845.0</v>
      </c>
      <c r="G18" s="15">
        <v>1049712.0</v>
      </c>
      <c r="H18" s="16">
        <v>0.01223668968250339</v>
      </c>
      <c r="I18" s="17">
        <v>5.095942506135016</v>
      </c>
      <c r="J18" s="16">
        <v>1.1001199040767387</v>
      </c>
      <c r="K18" s="16">
        <v>2.1249531875957755</v>
      </c>
      <c r="L18" s="16">
        <v>0.058279370952821465</v>
      </c>
      <c r="M18" s="16">
        <v>0.14801110083256244</v>
      </c>
      <c r="N18" s="16">
        <v>0.27752081406105455</v>
      </c>
      <c r="O18" s="16">
        <v>0.14246068455134134</v>
      </c>
      <c r="P18" s="35">
        <v>46016.0</v>
      </c>
    </row>
    <row r="19">
      <c r="A19" s="33">
        <v>46016.0</v>
      </c>
      <c r="B19" s="1" t="s">
        <v>58</v>
      </c>
      <c r="E19" s="34">
        <v>740.0</v>
      </c>
      <c r="F19" s="34">
        <v>12764.0</v>
      </c>
      <c r="G19" s="15">
        <v>1047663.0</v>
      </c>
      <c r="H19" s="16">
        <v>0.012183307036709324</v>
      </c>
      <c r="I19" s="17">
        <v>5.09441108448041</v>
      </c>
      <c r="J19" s="16">
        <v>1.1010092297075822</v>
      </c>
      <c r="K19" s="16">
        <v>2.1716868531297484</v>
      </c>
      <c r="L19" s="16">
        <v>0.08243243243243244</v>
      </c>
      <c r="M19" s="16">
        <v>0.21351351351351353</v>
      </c>
      <c r="N19" s="16">
        <v>0.372972972972973</v>
      </c>
      <c r="O19" s="16">
        <v>0.19324324324324324</v>
      </c>
      <c r="P19" s="35">
        <v>46016.0</v>
      </c>
    </row>
    <row r="20">
      <c r="A20" s="33">
        <v>46016.0</v>
      </c>
      <c r="B20" s="1" t="s">
        <v>59</v>
      </c>
      <c r="C20" s="3" t="s">
        <v>2</v>
      </c>
      <c r="E20" s="34">
        <v>124.0</v>
      </c>
      <c r="F20" s="34">
        <v>544.0</v>
      </c>
      <c r="G20" s="15">
        <v>37000.0</v>
      </c>
      <c r="H20" s="16">
        <v>0.014702702702702703</v>
      </c>
      <c r="I20" s="17">
        <v>6.004972972972973</v>
      </c>
      <c r="J20" s="16">
        <v>1.6435045317220545</v>
      </c>
      <c r="K20" s="16">
        <v>1.7727947870250587</v>
      </c>
      <c r="L20" s="16">
        <v>0.06451612903225806</v>
      </c>
      <c r="M20" s="16">
        <v>0.0967741935483871</v>
      </c>
      <c r="N20" s="16">
        <v>0.31451612903225806</v>
      </c>
      <c r="O20" s="16">
        <v>0.08870967741935484</v>
      </c>
      <c r="P20" s="35">
        <v>46016.0</v>
      </c>
    </row>
    <row r="21">
      <c r="A21" s="33">
        <v>46016.0</v>
      </c>
      <c r="B21" s="1" t="s">
        <v>59</v>
      </c>
      <c r="C21" s="1" t="s">
        <v>3</v>
      </c>
      <c r="E21" s="34">
        <v>163.0</v>
      </c>
      <c r="F21" s="34">
        <v>799.0</v>
      </c>
      <c r="G21" s="15">
        <v>23768.0</v>
      </c>
      <c r="H21" s="16">
        <v>0.03361662739818243</v>
      </c>
      <c r="I21" s="17">
        <v>6.829686974082801</v>
      </c>
      <c r="J21" s="16">
        <v>1.1430615164520743</v>
      </c>
      <c r="K21" s="16">
        <v>0.9585803589433354</v>
      </c>
      <c r="L21" s="16">
        <v>0.03680981595092025</v>
      </c>
      <c r="M21" s="16">
        <v>0.04294478527607362</v>
      </c>
      <c r="N21" s="16">
        <v>0.3374233128834356</v>
      </c>
      <c r="O21" s="16">
        <v>0.17177914110429449</v>
      </c>
      <c r="P21" s="35">
        <v>46016.0</v>
      </c>
    </row>
    <row r="22">
      <c r="A22" s="33">
        <v>46016.0</v>
      </c>
      <c r="B22" s="1" t="s">
        <v>59</v>
      </c>
      <c r="C22" s="3" t="s">
        <v>4</v>
      </c>
      <c r="E22" s="34">
        <v>105.0</v>
      </c>
      <c r="F22" s="34">
        <v>421.0</v>
      </c>
      <c r="G22" s="15">
        <v>20443.0</v>
      </c>
      <c r="H22" s="16">
        <v>0.02059384630435846</v>
      </c>
      <c r="I22" s="17">
        <v>5.327838379885535</v>
      </c>
      <c r="J22" s="16">
        <v>0.5302267002518891</v>
      </c>
      <c r="K22" s="16">
        <v>0.8628651021441837</v>
      </c>
      <c r="L22" s="16">
        <v>0.0761904761904762</v>
      </c>
      <c r="M22" s="16">
        <v>0.08571428571428572</v>
      </c>
      <c r="N22" s="16">
        <v>0.19047619047619047</v>
      </c>
      <c r="O22" s="16">
        <v>0.13333333333333333</v>
      </c>
      <c r="P22" s="35">
        <v>46016.0</v>
      </c>
    </row>
    <row r="23">
      <c r="A23" s="33">
        <v>46016.0</v>
      </c>
      <c r="B23" s="1" t="s">
        <v>59</v>
      </c>
      <c r="C23" s="3" t="s">
        <v>5</v>
      </c>
      <c r="E23" s="34">
        <v>17.0</v>
      </c>
      <c r="F23" s="34">
        <v>2717.0</v>
      </c>
      <c r="G23" s="15">
        <v>47335.0</v>
      </c>
      <c r="H23" s="16">
        <v>0.057399387345516</v>
      </c>
      <c r="I23" s="17">
        <v>6.43690715115665</v>
      </c>
      <c r="J23" s="16">
        <v>0.9631336405529954</v>
      </c>
      <c r="K23" s="16">
        <v>1.84434054159361</v>
      </c>
      <c r="L23" s="16">
        <v>0.11764705882352941</v>
      </c>
      <c r="M23" s="16">
        <v>0.11764705882352941</v>
      </c>
      <c r="N23" s="16">
        <v>0.35294117647058826</v>
      </c>
      <c r="O23" s="16">
        <v>0.23529411764705882</v>
      </c>
      <c r="P23" s="35">
        <v>46016.0</v>
      </c>
    </row>
    <row r="24">
      <c r="A24" s="33">
        <v>46016.0</v>
      </c>
      <c r="B24" s="1" t="s">
        <v>59</v>
      </c>
      <c r="C24" s="3" t="s">
        <v>6</v>
      </c>
      <c r="E24" s="34">
        <v>29.0</v>
      </c>
      <c r="F24" s="34">
        <v>4839.0</v>
      </c>
      <c r="G24" s="15">
        <v>304908.0</v>
      </c>
      <c r="H24" s="16">
        <v>0.015870360895745603</v>
      </c>
      <c r="I24" s="17">
        <v>4.590604379025804</v>
      </c>
      <c r="J24" s="16">
        <v>0.9434587638915968</v>
      </c>
      <c r="K24" s="16">
        <v>1.544338418525497</v>
      </c>
      <c r="L24" s="16">
        <v>0.0</v>
      </c>
      <c r="M24" s="16">
        <v>0.0</v>
      </c>
      <c r="N24" s="16">
        <v>0.6896551724137931</v>
      </c>
      <c r="O24" s="16">
        <v>0.20689655172413793</v>
      </c>
      <c r="P24" s="35">
        <v>46016.0</v>
      </c>
    </row>
    <row r="25">
      <c r="A25" s="33">
        <v>46016.0</v>
      </c>
      <c r="B25" s="1" t="s">
        <v>59</v>
      </c>
      <c r="C25" s="3" t="s">
        <v>7</v>
      </c>
      <c r="E25" s="34">
        <v>126.0</v>
      </c>
      <c r="F25" s="34">
        <v>684.0</v>
      </c>
      <c r="G25" s="15">
        <v>112688.0</v>
      </c>
      <c r="H25" s="16">
        <v>0.006069856595200909</v>
      </c>
      <c r="I25" s="17">
        <v>4.838669601022292</v>
      </c>
      <c r="J25" s="16">
        <v>1.3333333333333333</v>
      </c>
      <c r="K25" s="16">
        <v>3.3617135526983084</v>
      </c>
      <c r="L25" s="16">
        <v>0.07936507936507936</v>
      </c>
      <c r="M25" s="16">
        <v>0.35714285714285715</v>
      </c>
      <c r="N25" s="16">
        <v>0.5238095238095238</v>
      </c>
      <c r="O25" s="16">
        <v>0.24603174603174602</v>
      </c>
      <c r="P25" s="35">
        <v>46016.0</v>
      </c>
    </row>
    <row r="26">
      <c r="A26" s="33">
        <v>46016.0</v>
      </c>
      <c r="B26" s="1" t="s">
        <v>59</v>
      </c>
      <c r="C26" s="3" t="s">
        <v>8</v>
      </c>
      <c r="E26" s="34">
        <v>118.0</v>
      </c>
      <c r="F26" s="34">
        <v>680.0</v>
      </c>
      <c r="G26" s="15">
        <v>190736.0</v>
      </c>
      <c r="H26" s="16">
        <v>0.0035651371529234126</v>
      </c>
      <c r="I26" s="17">
        <v>6.0795864440902605</v>
      </c>
      <c r="J26" s="16">
        <v>0.6666666666666666</v>
      </c>
      <c r="K26" s="16">
        <v>1.6002819052093733</v>
      </c>
      <c r="L26" s="16">
        <v>0.2033898305084746</v>
      </c>
      <c r="M26" s="16">
        <v>0.559322033898305</v>
      </c>
      <c r="N26" s="16">
        <v>0.4067796610169492</v>
      </c>
      <c r="O26" s="16">
        <v>0.2711864406779661</v>
      </c>
      <c r="P26" s="35">
        <v>46016.0</v>
      </c>
    </row>
    <row r="27">
      <c r="A27" s="33">
        <v>46016.0</v>
      </c>
      <c r="B27" s="1" t="s">
        <v>59</v>
      </c>
      <c r="C27" s="3" t="s">
        <v>9</v>
      </c>
      <c r="E27" s="34">
        <v>11.0</v>
      </c>
      <c r="F27" s="34">
        <v>4.0</v>
      </c>
      <c r="G27" s="15">
        <v>326.0</v>
      </c>
      <c r="H27" s="16">
        <v>0.012269938650306749</v>
      </c>
      <c r="I27" s="17">
        <v>11.460122699386503</v>
      </c>
      <c r="J27" s="16">
        <v>0.5714285714285714</v>
      </c>
      <c r="K27" s="16">
        <v>1.613861386138614</v>
      </c>
      <c r="L27" s="16">
        <v>0.18181818181818182</v>
      </c>
      <c r="M27" s="16">
        <v>0.18181818181818182</v>
      </c>
      <c r="N27" s="16">
        <v>0.0</v>
      </c>
      <c r="O27" s="16">
        <v>0.18181818181818182</v>
      </c>
      <c r="P27" s="35">
        <v>46016.0</v>
      </c>
    </row>
    <row r="28">
      <c r="A28" s="33">
        <v>46016.0</v>
      </c>
      <c r="B28" s="1" t="s">
        <v>59</v>
      </c>
      <c r="C28" s="3" t="s">
        <v>10</v>
      </c>
      <c r="E28" s="34">
        <v>47.0</v>
      </c>
      <c r="F28" s="34">
        <v>2076.0</v>
      </c>
      <c r="G28" s="15">
        <v>310459.0</v>
      </c>
      <c r="H28" s="16">
        <v>0.006686873306942302</v>
      </c>
      <c r="I28" s="17">
        <v>4.60866652279367</v>
      </c>
      <c r="J28" s="16">
        <v>7.440860215053763</v>
      </c>
      <c r="K28" s="16">
        <v>8.379912545886418</v>
      </c>
      <c r="L28" s="16">
        <v>0.02127659574468085</v>
      </c>
      <c r="M28" s="16">
        <v>0.3191489361702128</v>
      </c>
      <c r="N28" s="16">
        <v>0.46808510638297873</v>
      </c>
      <c r="O28" s="16">
        <v>0.3191489361702128</v>
      </c>
      <c r="P28" s="35">
        <v>46016.0</v>
      </c>
    </row>
    <row r="29">
      <c r="A29" s="33">
        <v>46016.0</v>
      </c>
      <c r="B29" s="1" t="s">
        <v>60</v>
      </c>
      <c r="D29" s="1" t="s">
        <v>30</v>
      </c>
      <c r="E29" s="34">
        <v>9.0</v>
      </c>
      <c r="F29" s="34">
        <v>443.0</v>
      </c>
      <c r="G29" s="15">
        <v>8575.0</v>
      </c>
      <c r="H29" s="16">
        <v>0.051661807580174926</v>
      </c>
      <c r="I29" s="17">
        <v>8.343206997084549</v>
      </c>
      <c r="J29" s="16">
        <v>1.0804878048780489</v>
      </c>
      <c r="K29" s="16">
        <v>0.5214985100042572</v>
      </c>
      <c r="L29" s="16">
        <v>0.0</v>
      </c>
      <c r="M29" s="16">
        <v>0.0</v>
      </c>
      <c r="N29" s="16">
        <v>0.5555555555555556</v>
      </c>
      <c r="O29" s="16">
        <v>0.4444444444444444</v>
      </c>
      <c r="P29" s="35">
        <v>46016.0</v>
      </c>
    </row>
    <row r="30">
      <c r="A30" s="33">
        <v>46016.0</v>
      </c>
      <c r="B30" s="1" t="s">
        <v>60</v>
      </c>
      <c r="D30" s="1" t="s">
        <v>31</v>
      </c>
      <c r="E30" s="34">
        <v>78.0</v>
      </c>
      <c r="F30" s="34">
        <v>241.0</v>
      </c>
      <c r="G30" s="15">
        <v>8118.0</v>
      </c>
      <c r="H30" s="16">
        <v>0.029687115052968713</v>
      </c>
      <c r="I30" s="17">
        <v>8.027223454052722</v>
      </c>
      <c r="J30" s="16">
        <v>1.0343347639484979</v>
      </c>
      <c r="K30" s="16">
        <v>0.5035043106121689</v>
      </c>
      <c r="L30" s="16">
        <v>0.0641025641025641</v>
      </c>
      <c r="M30" s="16">
        <v>0.0641025641025641</v>
      </c>
      <c r="N30" s="16">
        <v>0.2564102564102564</v>
      </c>
      <c r="O30" s="16">
        <v>0.20512820512820512</v>
      </c>
      <c r="P30" s="35">
        <v>46016.0</v>
      </c>
    </row>
    <row r="31">
      <c r="A31" s="33">
        <v>46016.0</v>
      </c>
      <c r="B31" s="1" t="s">
        <v>60</v>
      </c>
      <c r="D31" s="1" t="s">
        <v>32</v>
      </c>
      <c r="E31" s="34">
        <v>474.0</v>
      </c>
      <c r="F31" s="34">
        <v>11885.0</v>
      </c>
      <c r="G31" s="15">
        <v>1016618.0</v>
      </c>
      <c r="H31" s="16">
        <v>0.011690723555947267</v>
      </c>
      <c r="I31" s="17">
        <v>5.042403341274697</v>
      </c>
      <c r="J31" s="16">
        <v>1.1312583285741482</v>
      </c>
      <c r="K31" s="16">
        <v>2.3331053665522243</v>
      </c>
      <c r="L31" s="16">
        <v>0.10759493670886076</v>
      </c>
      <c r="M31" s="16">
        <v>0.31223628691983124</v>
      </c>
      <c r="N31" s="16">
        <v>0.4578059071729958</v>
      </c>
      <c r="O31" s="16">
        <v>0.24261603375527427</v>
      </c>
      <c r="P31" s="35">
        <v>46016.0</v>
      </c>
    </row>
    <row r="32">
      <c r="A32" s="33">
        <v>46016.0</v>
      </c>
      <c r="B32" s="1" t="s">
        <v>60</v>
      </c>
      <c r="D32" s="1" t="s">
        <v>33</v>
      </c>
      <c r="E32" s="34">
        <v>108.0</v>
      </c>
      <c r="F32" s="34">
        <v>186.0</v>
      </c>
      <c r="G32" s="15">
        <v>13765.0</v>
      </c>
      <c r="H32" s="16">
        <v>0.0135125317835089</v>
      </c>
      <c r="I32" s="17">
        <v>5.083617871413004</v>
      </c>
      <c r="J32" s="16">
        <v>0.42758620689655175</v>
      </c>
      <c r="K32" s="16">
        <v>1.1858201240523776</v>
      </c>
      <c r="L32" s="16">
        <v>0.046296296296296294</v>
      </c>
      <c r="M32" s="16">
        <v>0.046296296296296294</v>
      </c>
      <c r="N32" s="16">
        <v>0.2777777777777778</v>
      </c>
      <c r="O32" s="16">
        <v>0.027777777777777776</v>
      </c>
      <c r="P32" s="35">
        <v>46016.0</v>
      </c>
    </row>
    <row r="33">
      <c r="A33" s="33">
        <v>46016.0</v>
      </c>
      <c r="B33" s="1" t="s">
        <v>60</v>
      </c>
      <c r="D33" s="1" t="s">
        <v>34</v>
      </c>
      <c r="E33" s="34">
        <v>71.0</v>
      </c>
      <c r="F33" s="34">
        <v>9.0</v>
      </c>
      <c r="G33" s="15">
        <v>587.0</v>
      </c>
      <c r="H33" s="16">
        <v>0.015332197614991482</v>
      </c>
      <c r="I33" s="17">
        <v>7.400340715502556</v>
      </c>
      <c r="J33" s="16">
        <v>1.0</v>
      </c>
      <c r="K33" s="16">
        <v>0.2339577520924671</v>
      </c>
      <c r="L33" s="16">
        <v>0.0</v>
      </c>
      <c r="M33" s="16">
        <v>0.0</v>
      </c>
      <c r="N33" s="16">
        <v>0.056338028169014086</v>
      </c>
      <c r="O33" s="16">
        <v>0.07042253521126761</v>
      </c>
      <c r="P33" s="35">
        <v>46016.0</v>
      </c>
    </row>
    <row r="34">
      <c r="A34" s="33">
        <v>46017.0</v>
      </c>
      <c r="B34" s="1" t="s">
        <v>57</v>
      </c>
      <c r="E34" s="34">
        <v>1081.0</v>
      </c>
      <c r="F34" s="34">
        <v>13044.0</v>
      </c>
      <c r="G34" s="15">
        <v>1073089.0</v>
      </c>
      <c r="H34" s="16">
        <v>0.012155562120196927</v>
      </c>
      <c r="I34" s="17">
        <v>5.085434665717382</v>
      </c>
      <c r="J34" s="16">
        <v>1.1178335761419145</v>
      </c>
      <c r="K34" s="16">
        <v>2.1749305822979794</v>
      </c>
      <c r="L34" s="16">
        <v>0.056429232192414434</v>
      </c>
      <c r="M34" s="16">
        <v>0.14801110083256244</v>
      </c>
      <c r="N34" s="16">
        <v>0.2765957446808511</v>
      </c>
      <c r="O34" s="16">
        <v>0.14431082331174838</v>
      </c>
      <c r="P34" s="35">
        <v>46017.0</v>
      </c>
    </row>
    <row r="35">
      <c r="A35" s="33">
        <v>46017.0</v>
      </c>
      <c r="B35" s="1" t="s">
        <v>58</v>
      </c>
      <c r="E35" s="34">
        <v>740.0</v>
      </c>
      <c r="F35" s="34">
        <v>12962.0</v>
      </c>
      <c r="G35" s="15">
        <v>1071008.0</v>
      </c>
      <c r="H35" s="16">
        <v>0.012102617347396098</v>
      </c>
      <c r="I35" s="17">
        <v>5.083729533299471</v>
      </c>
      <c r="J35" s="16">
        <v>1.1198272138228942</v>
      </c>
      <c r="K35" s="16">
        <v>2.222063619841158</v>
      </c>
      <c r="L35" s="16">
        <v>0.07972972972972973</v>
      </c>
      <c r="M35" s="16">
        <v>0.21351351351351353</v>
      </c>
      <c r="N35" s="16">
        <v>0.37432432432432433</v>
      </c>
      <c r="O35" s="16">
        <v>0.1918918918918919</v>
      </c>
      <c r="P35" s="35">
        <v>46017.0</v>
      </c>
    </row>
    <row r="36">
      <c r="A36" s="33">
        <v>46017.0</v>
      </c>
      <c r="B36" s="1" t="s">
        <v>59</v>
      </c>
      <c r="C36" s="3" t="s">
        <v>2</v>
      </c>
      <c r="E36" s="34">
        <v>124.0</v>
      </c>
      <c r="F36" s="34">
        <v>560.0</v>
      </c>
      <c r="G36" s="15">
        <v>39217.0</v>
      </c>
      <c r="H36" s="16">
        <v>0.014279521636025192</v>
      </c>
      <c r="I36" s="17">
        <v>5.931789785042201</v>
      </c>
      <c r="J36" s="16">
        <v>1.7073170731707317</v>
      </c>
      <c r="K36" s="16">
        <v>1.9021681136925839</v>
      </c>
      <c r="L36" s="16">
        <v>0.06451612903225806</v>
      </c>
      <c r="M36" s="16">
        <v>0.0967741935483871</v>
      </c>
      <c r="N36" s="16">
        <v>0.3225806451612903</v>
      </c>
      <c r="O36" s="16">
        <v>0.08870967741935484</v>
      </c>
      <c r="P36" s="35">
        <v>46017.0</v>
      </c>
    </row>
    <row r="37">
      <c r="A37" s="33">
        <v>46017.0</v>
      </c>
      <c r="B37" s="1" t="s">
        <v>59</v>
      </c>
      <c r="C37" s="1" t="s">
        <v>3</v>
      </c>
      <c r="E37" s="34">
        <v>163.0</v>
      </c>
      <c r="F37" s="34">
        <v>806.0</v>
      </c>
      <c r="G37" s="15">
        <v>24529.0</v>
      </c>
      <c r="H37" s="16">
        <v>0.032859064780463944</v>
      </c>
      <c r="I37" s="17">
        <v>6.795221982143585</v>
      </c>
      <c r="J37" s="16">
        <v>1.156384505021521</v>
      </c>
      <c r="K37" s="16">
        <v>0.9911908514163333</v>
      </c>
      <c r="L37" s="16">
        <v>0.04294478527607362</v>
      </c>
      <c r="M37" s="16">
        <v>0.049079754601226995</v>
      </c>
      <c r="N37" s="16">
        <v>0.3374233128834356</v>
      </c>
      <c r="O37" s="16">
        <v>0.17177914110429449</v>
      </c>
      <c r="P37" s="35">
        <v>46017.0</v>
      </c>
    </row>
    <row r="38">
      <c r="A38" s="33">
        <v>46017.0</v>
      </c>
      <c r="B38" s="1" t="s">
        <v>59</v>
      </c>
      <c r="C38" s="3" t="s">
        <v>4</v>
      </c>
      <c r="E38" s="34">
        <v>105.0</v>
      </c>
      <c r="F38" s="34">
        <v>435.0</v>
      </c>
      <c r="G38" s="15">
        <v>20724.0</v>
      </c>
      <c r="H38" s="16">
        <v>0.02099015634047481</v>
      </c>
      <c r="I38" s="17">
        <v>5.335070449720131</v>
      </c>
      <c r="J38" s="16">
        <v>0.5485498108448928</v>
      </c>
      <c r="K38" s="16">
        <v>0.8810849878831682</v>
      </c>
      <c r="L38" s="16">
        <v>0.06666666666666667</v>
      </c>
      <c r="M38" s="16">
        <v>0.08571428571428572</v>
      </c>
      <c r="N38" s="16">
        <v>0.2</v>
      </c>
      <c r="O38" s="16">
        <v>0.13333333333333333</v>
      </c>
      <c r="P38" s="35">
        <v>46017.0</v>
      </c>
    </row>
    <row r="39">
      <c r="A39" s="33">
        <v>46017.0</v>
      </c>
      <c r="B39" s="1" t="s">
        <v>59</v>
      </c>
      <c r="C39" s="3" t="s">
        <v>5</v>
      </c>
      <c r="E39" s="34">
        <v>17.0</v>
      </c>
      <c r="F39" s="34">
        <v>2737.0</v>
      </c>
      <c r="G39" s="15">
        <v>48291.0</v>
      </c>
      <c r="H39" s="16">
        <v>0.05667722764076122</v>
      </c>
      <c r="I39" s="17">
        <v>6.454722412043652</v>
      </c>
      <c r="J39" s="16">
        <v>0.9681641315882561</v>
      </c>
      <c r="K39" s="16">
        <v>1.8837182087689186</v>
      </c>
      <c r="L39" s="16">
        <v>0.11764705882352941</v>
      </c>
      <c r="M39" s="16">
        <v>0.11764705882352941</v>
      </c>
      <c r="N39" s="16">
        <v>0.35294117647058826</v>
      </c>
      <c r="O39" s="16">
        <v>0.23529411764705882</v>
      </c>
      <c r="P39" s="35">
        <v>46017.0</v>
      </c>
    </row>
    <row r="40">
      <c r="A40" s="33">
        <v>46017.0</v>
      </c>
      <c r="B40" s="1" t="s">
        <v>59</v>
      </c>
      <c r="C40" s="3" t="s">
        <v>6</v>
      </c>
      <c r="E40" s="34">
        <v>29.0</v>
      </c>
      <c r="F40" s="34">
        <v>4889.0</v>
      </c>
      <c r="G40" s="15">
        <v>310249.0</v>
      </c>
      <c r="H40" s="16">
        <v>0.015758310260468204</v>
      </c>
      <c r="I40" s="17">
        <v>4.579882610419372</v>
      </c>
      <c r="J40" s="16">
        <v>0.9576885406464251</v>
      </c>
      <c r="K40" s="16">
        <v>1.56799907006363</v>
      </c>
      <c r="L40" s="16">
        <v>0.0</v>
      </c>
      <c r="M40" s="16">
        <v>0.0</v>
      </c>
      <c r="N40" s="16">
        <v>0.7241379310344828</v>
      </c>
      <c r="O40" s="16">
        <v>0.20689655172413793</v>
      </c>
      <c r="P40" s="35">
        <v>46017.0</v>
      </c>
    </row>
    <row r="41">
      <c r="A41" s="33">
        <v>46017.0</v>
      </c>
      <c r="B41" s="1" t="s">
        <v>59</v>
      </c>
      <c r="C41" s="3" t="s">
        <v>7</v>
      </c>
      <c r="E41" s="34">
        <v>126.0</v>
      </c>
      <c r="F41" s="34">
        <v>700.0</v>
      </c>
      <c r="G41" s="15">
        <v>114912.0</v>
      </c>
      <c r="H41" s="16">
        <v>0.0060916179337231965</v>
      </c>
      <c r="I41" s="17">
        <v>4.8279030910609855</v>
      </c>
      <c r="J41" s="16">
        <v>1.3671875</v>
      </c>
      <c r="K41" s="16">
        <v>3.4382143498294537</v>
      </c>
      <c r="L41" s="16">
        <v>0.07936507936507936</v>
      </c>
      <c r="M41" s="16">
        <v>0.35714285714285715</v>
      </c>
      <c r="N41" s="16">
        <v>0.5079365079365079</v>
      </c>
      <c r="O41" s="16">
        <v>0.23809523809523808</v>
      </c>
      <c r="P41" s="35">
        <v>46017.0</v>
      </c>
    </row>
    <row r="42">
      <c r="A42" s="33">
        <v>46017.0</v>
      </c>
      <c r="B42" s="1" t="s">
        <v>59</v>
      </c>
      <c r="C42" s="3" t="s">
        <v>8</v>
      </c>
      <c r="E42" s="34">
        <v>118.0</v>
      </c>
      <c r="F42" s="34">
        <v>703.0</v>
      </c>
      <c r="G42" s="15">
        <v>195121.0</v>
      </c>
      <c r="H42" s="16">
        <v>0.00360289256410125</v>
      </c>
      <c r="I42" s="17">
        <v>6.042348081446897</v>
      </c>
      <c r="J42" s="16">
        <v>0.689892051030422</v>
      </c>
      <c r="K42" s="16">
        <v>1.6498067963709848</v>
      </c>
      <c r="L42" s="16">
        <v>0.1864406779661017</v>
      </c>
      <c r="M42" s="16">
        <v>0.5508474576271186</v>
      </c>
      <c r="N42" s="16">
        <v>0.423728813559322</v>
      </c>
      <c r="O42" s="16">
        <v>0.2542372881355932</v>
      </c>
      <c r="P42" s="35">
        <v>46017.0</v>
      </c>
    </row>
    <row r="43">
      <c r="A43" s="33">
        <v>46017.0</v>
      </c>
      <c r="B43" s="1" t="s">
        <v>59</v>
      </c>
      <c r="C43" s="3" t="s">
        <v>9</v>
      </c>
      <c r="E43" s="34">
        <v>11.0</v>
      </c>
      <c r="F43" s="34">
        <v>4.0</v>
      </c>
      <c r="G43" s="15">
        <v>330.0</v>
      </c>
      <c r="H43" s="16">
        <v>0.012121212121212121</v>
      </c>
      <c r="I43" s="17">
        <v>11.812121212121212</v>
      </c>
      <c r="J43" s="16">
        <v>0.5714285714285714</v>
      </c>
      <c r="K43" s="16">
        <v>1.5714285714285714</v>
      </c>
      <c r="L43" s="16">
        <v>0.18181818181818182</v>
      </c>
      <c r="M43" s="16">
        <v>0.18181818181818182</v>
      </c>
      <c r="N43" s="16">
        <v>0.0</v>
      </c>
      <c r="O43" s="16">
        <v>0.18181818181818182</v>
      </c>
      <c r="P43" s="35">
        <v>46017.0</v>
      </c>
    </row>
    <row r="44">
      <c r="A44" s="33">
        <v>46017.0</v>
      </c>
      <c r="B44" s="1" t="s">
        <v>59</v>
      </c>
      <c r="C44" s="3" t="s">
        <v>10</v>
      </c>
      <c r="E44" s="34">
        <v>47.0</v>
      </c>
      <c r="F44" s="34">
        <v>2128.0</v>
      </c>
      <c r="G44" s="15">
        <v>317635.0</v>
      </c>
      <c r="H44" s="16">
        <v>0.006699513592645647</v>
      </c>
      <c r="I44" s="17">
        <v>4.610839485573063</v>
      </c>
      <c r="J44" s="16">
        <v>7.414634146341464</v>
      </c>
      <c r="K44" s="16">
        <v>8.424661167546349</v>
      </c>
      <c r="L44" s="16">
        <v>0.02127659574468085</v>
      </c>
      <c r="M44" s="16">
        <v>0.3191489361702128</v>
      </c>
      <c r="N44" s="16">
        <v>0.425531914893617</v>
      </c>
      <c r="O44" s="16">
        <v>0.3617021276595745</v>
      </c>
      <c r="P44" s="35">
        <v>46017.0</v>
      </c>
    </row>
    <row r="45">
      <c r="A45" s="33">
        <v>46017.0</v>
      </c>
      <c r="B45" s="1" t="s">
        <v>60</v>
      </c>
      <c r="D45" s="1" t="s">
        <v>30</v>
      </c>
      <c r="E45" s="34">
        <v>9.0</v>
      </c>
      <c r="F45" s="34">
        <v>442.0</v>
      </c>
      <c r="G45" s="15">
        <v>8761.0</v>
      </c>
      <c r="H45" s="16">
        <v>0.05045086177377012</v>
      </c>
      <c r="I45" s="17">
        <v>8.389339116539208</v>
      </c>
      <c r="J45" s="16">
        <v>1.0702179176755449</v>
      </c>
      <c r="K45" s="16">
        <v>0.5355461825294945</v>
      </c>
      <c r="L45" s="16">
        <v>0.0</v>
      </c>
      <c r="M45" s="16">
        <v>0.0</v>
      </c>
      <c r="N45" s="16">
        <v>0.5555555555555556</v>
      </c>
      <c r="O45" s="16">
        <v>0.4444444444444444</v>
      </c>
      <c r="P45" s="35">
        <v>46017.0</v>
      </c>
    </row>
    <row r="46">
      <c r="A46" s="33">
        <v>46017.0</v>
      </c>
      <c r="B46" s="1" t="s">
        <v>60</v>
      </c>
      <c r="D46" s="1" t="s">
        <v>31</v>
      </c>
      <c r="E46" s="34">
        <v>78.0</v>
      </c>
      <c r="F46" s="34">
        <v>258.0</v>
      </c>
      <c r="G46" s="15">
        <v>8354.0</v>
      </c>
      <c r="H46" s="16">
        <v>0.030883409145319608</v>
      </c>
      <c r="I46" s="17">
        <v>7.9928178118266695</v>
      </c>
      <c r="J46" s="16">
        <v>1.1266375545851528</v>
      </c>
      <c r="K46" s="16">
        <v>0.5248146752104536</v>
      </c>
      <c r="L46" s="16">
        <v>0.0641025641025641</v>
      </c>
      <c r="M46" s="16">
        <v>0.0641025641025641</v>
      </c>
      <c r="N46" s="16">
        <v>0.2564102564102564</v>
      </c>
      <c r="O46" s="16">
        <v>0.20512820512820512</v>
      </c>
      <c r="P46" s="35">
        <v>46017.0</v>
      </c>
    </row>
    <row r="47">
      <c r="A47" s="33">
        <v>46017.0</v>
      </c>
      <c r="B47" s="1" t="s">
        <v>60</v>
      </c>
      <c r="D47" s="1" t="s">
        <v>32</v>
      </c>
      <c r="E47" s="34">
        <v>474.0</v>
      </c>
      <c r="F47" s="34">
        <v>12060.0</v>
      </c>
      <c r="G47" s="15">
        <v>1039338.0</v>
      </c>
      <c r="H47" s="16">
        <v>0.01160353994561923</v>
      </c>
      <c r="I47" s="17">
        <v>5.030433795358199</v>
      </c>
      <c r="J47" s="16">
        <v>1.1492281303602059</v>
      </c>
      <c r="K47" s="16">
        <v>2.3853674658147317</v>
      </c>
      <c r="L47" s="16">
        <v>0.10337552742616034</v>
      </c>
      <c r="M47" s="16">
        <v>0.310126582278481</v>
      </c>
      <c r="N47" s="16">
        <v>0.4578059071729958</v>
      </c>
      <c r="O47" s="16">
        <v>0.24050632911392406</v>
      </c>
      <c r="P47" s="35">
        <v>46017.0</v>
      </c>
    </row>
    <row r="48">
      <c r="A48" s="33">
        <v>46017.0</v>
      </c>
      <c r="B48" s="1" t="s">
        <v>60</v>
      </c>
      <c r="D48" s="1" t="s">
        <v>33</v>
      </c>
      <c r="E48" s="34">
        <v>108.0</v>
      </c>
      <c r="F48" s="34">
        <v>193.0</v>
      </c>
      <c r="G48" s="15">
        <v>13958.0</v>
      </c>
      <c r="H48" s="16">
        <v>0.013827195873334289</v>
      </c>
      <c r="I48" s="17">
        <v>5.137698810717868</v>
      </c>
      <c r="J48" s="16">
        <v>0.44988344988344986</v>
      </c>
      <c r="K48" s="16">
        <v>1.210266192664528</v>
      </c>
      <c r="L48" s="16">
        <v>0.046296296296296294</v>
      </c>
      <c r="M48" s="16">
        <v>0.05555555555555555</v>
      </c>
      <c r="N48" s="16">
        <v>0.28703703703703703</v>
      </c>
      <c r="O48" s="16">
        <v>0.027777777777777776</v>
      </c>
      <c r="P48" s="35">
        <v>46017.0</v>
      </c>
    </row>
    <row r="49">
      <c r="A49" s="33">
        <v>46017.0</v>
      </c>
      <c r="B49" s="1" t="s">
        <v>60</v>
      </c>
      <c r="D49" s="1" t="s">
        <v>34</v>
      </c>
      <c r="E49" s="34">
        <v>71.0</v>
      </c>
      <c r="F49" s="34">
        <v>9.0</v>
      </c>
      <c r="G49" s="15">
        <v>597.0</v>
      </c>
      <c r="H49" s="16">
        <v>0.01507537688442211</v>
      </c>
      <c r="I49" s="17">
        <v>7.388609715242881</v>
      </c>
      <c r="J49" s="16">
        <v>0.9</v>
      </c>
      <c r="K49" s="16">
        <v>0.24228896103896103</v>
      </c>
      <c r="L49" s="16">
        <v>0.0</v>
      </c>
      <c r="M49" s="16">
        <v>0.0</v>
      </c>
      <c r="N49" s="16">
        <v>0.056338028169014086</v>
      </c>
      <c r="O49" s="16">
        <v>0.07042253521126761</v>
      </c>
      <c r="P49" s="35">
        <v>46017.0</v>
      </c>
    </row>
    <row r="50">
      <c r="A50" s="33">
        <v>46018.0</v>
      </c>
      <c r="B50" s="1" t="s">
        <v>57</v>
      </c>
      <c r="E50" s="34">
        <v>1081.0</v>
      </c>
      <c r="F50" s="34">
        <v>13146.0</v>
      </c>
      <c r="G50" s="15">
        <v>1090737.0</v>
      </c>
      <c r="H50" s="16">
        <v>0.012052401266299759</v>
      </c>
      <c r="I50" s="17">
        <v>5.060459120759633</v>
      </c>
      <c r="J50" s="16">
        <v>1.1429316640584246</v>
      </c>
      <c r="K50" s="16">
        <v>2.2248133643372903</v>
      </c>
      <c r="L50" s="16">
        <v>0.058279370952821465</v>
      </c>
      <c r="M50" s="16">
        <v>0.150786308973173</v>
      </c>
      <c r="N50" s="16">
        <v>0.2821461609620722</v>
      </c>
      <c r="O50" s="16">
        <v>0.13876040703052728</v>
      </c>
      <c r="P50" s="35">
        <v>46018.0</v>
      </c>
    </row>
    <row r="51">
      <c r="A51" s="33">
        <v>46018.0</v>
      </c>
      <c r="B51" s="1" t="s">
        <v>58</v>
      </c>
      <c r="E51" s="34">
        <v>740.0</v>
      </c>
      <c r="F51" s="34">
        <v>13063.0</v>
      </c>
      <c r="G51" s="15">
        <v>1088649.0</v>
      </c>
      <c r="H51" s="16">
        <v>0.011999276167065785</v>
      </c>
      <c r="I51" s="17">
        <v>5.0587416146067286</v>
      </c>
      <c r="J51" s="16">
        <v>1.1446722747984577</v>
      </c>
      <c r="K51" s="16">
        <v>2.2728675340726885</v>
      </c>
      <c r="L51" s="16">
        <v>0.08108108108108109</v>
      </c>
      <c r="M51" s="16">
        <v>0.21621621621621623</v>
      </c>
      <c r="N51" s="16">
        <v>0.38513513513513514</v>
      </c>
      <c r="O51" s="16">
        <v>0.1837837837837838</v>
      </c>
      <c r="P51" s="35">
        <v>46018.0</v>
      </c>
    </row>
    <row r="52">
      <c r="A52" s="33">
        <v>46018.0</v>
      </c>
      <c r="B52" s="1" t="s">
        <v>59</v>
      </c>
      <c r="C52" s="3" t="s">
        <v>2</v>
      </c>
      <c r="E52" s="34">
        <v>124.0</v>
      </c>
      <c r="F52" s="34">
        <v>590.0</v>
      </c>
      <c r="G52" s="15">
        <v>41143.0</v>
      </c>
      <c r="H52" s="16">
        <v>0.014340227985319495</v>
      </c>
      <c r="I52" s="17">
        <v>5.852368568164694</v>
      </c>
      <c r="J52" s="16">
        <v>1.8495297805642634</v>
      </c>
      <c r="K52" s="16">
        <v>1.9978148975429737</v>
      </c>
      <c r="L52" s="16">
        <v>0.06451612903225806</v>
      </c>
      <c r="M52" s="16">
        <v>0.08870967741935484</v>
      </c>
      <c r="N52" s="16">
        <v>0.3467741935483871</v>
      </c>
      <c r="O52" s="16">
        <v>0.07258064516129033</v>
      </c>
      <c r="P52" s="35">
        <v>46018.0</v>
      </c>
    </row>
    <row r="53">
      <c r="A53" s="33">
        <v>46018.0</v>
      </c>
      <c r="B53" s="1" t="s">
        <v>59</v>
      </c>
      <c r="C53" s="1" t="s">
        <v>3</v>
      </c>
      <c r="E53" s="34">
        <v>163.0</v>
      </c>
      <c r="F53" s="34">
        <v>833.0</v>
      </c>
      <c r="G53" s="15">
        <v>25051.0</v>
      </c>
      <c r="H53" s="16">
        <v>0.033252165582212286</v>
      </c>
      <c r="I53" s="17">
        <v>6.806594547123868</v>
      </c>
      <c r="J53" s="16">
        <v>1.223201174743025</v>
      </c>
      <c r="K53" s="16">
        <v>1.0145802114130655</v>
      </c>
      <c r="L53" s="16">
        <v>0.04294478527607362</v>
      </c>
      <c r="M53" s="16">
        <v>0.049079754601226995</v>
      </c>
      <c r="N53" s="16">
        <v>0.3558282208588957</v>
      </c>
      <c r="O53" s="16">
        <v>0.15337423312883436</v>
      </c>
      <c r="P53" s="35">
        <v>46018.0</v>
      </c>
    </row>
    <row r="54">
      <c r="A54" s="33">
        <v>46018.0</v>
      </c>
      <c r="B54" s="1" t="s">
        <v>59</v>
      </c>
      <c r="C54" s="3" t="s">
        <v>4</v>
      </c>
      <c r="E54" s="34">
        <v>105.0</v>
      </c>
      <c r="F54" s="34">
        <v>442.0</v>
      </c>
      <c r="G54" s="15">
        <v>20900.0</v>
      </c>
      <c r="H54" s="16">
        <v>0.021148325358851673</v>
      </c>
      <c r="I54" s="17">
        <v>5.341818181818182</v>
      </c>
      <c r="J54" s="16">
        <v>0.5616264294790343</v>
      </c>
      <c r="K54" s="16">
        <v>0.8940029087175977</v>
      </c>
      <c r="L54" s="16">
        <v>0.05714285714285714</v>
      </c>
      <c r="M54" s="16">
        <v>0.08571428571428572</v>
      </c>
      <c r="N54" s="16">
        <v>0.20952380952380953</v>
      </c>
      <c r="O54" s="16">
        <v>0.10476190476190476</v>
      </c>
      <c r="P54" s="35">
        <v>46018.0</v>
      </c>
    </row>
    <row r="55">
      <c r="A55" s="33">
        <v>46018.0</v>
      </c>
      <c r="B55" s="1" t="s">
        <v>59</v>
      </c>
      <c r="C55" s="3" t="s">
        <v>5</v>
      </c>
      <c r="E55" s="34">
        <v>17.0</v>
      </c>
      <c r="F55" s="34">
        <v>2775.0</v>
      </c>
      <c r="G55" s="15">
        <v>48649.0</v>
      </c>
      <c r="H55" s="16">
        <v>0.05704125470204938</v>
      </c>
      <c r="I55" s="17">
        <v>6.440851816070217</v>
      </c>
      <c r="J55" s="16">
        <v>0.9875444839857651</v>
      </c>
      <c r="K55" s="16">
        <v>1.9092264824771399</v>
      </c>
      <c r="L55" s="16">
        <v>0.11764705882352941</v>
      </c>
      <c r="M55" s="16">
        <v>0.11764705882352941</v>
      </c>
      <c r="N55" s="16">
        <v>0.35294117647058826</v>
      </c>
      <c r="O55" s="16">
        <v>0.23529411764705882</v>
      </c>
      <c r="P55" s="35">
        <v>46018.0</v>
      </c>
    </row>
    <row r="56">
      <c r="A56" s="33">
        <v>46018.0</v>
      </c>
      <c r="B56" s="1" t="s">
        <v>59</v>
      </c>
      <c r="C56" s="3" t="s">
        <v>6</v>
      </c>
      <c r="E56" s="34">
        <v>29.0</v>
      </c>
      <c r="F56" s="34">
        <v>4874.0</v>
      </c>
      <c r="G56" s="15">
        <v>316918.0</v>
      </c>
      <c r="H56" s="16">
        <v>0.015379372582182142</v>
      </c>
      <c r="I56" s="17">
        <v>4.548028196568198</v>
      </c>
      <c r="J56" s="16">
        <v>0.9732428115015974</v>
      </c>
      <c r="K56" s="16">
        <v>1.610715810445425</v>
      </c>
      <c r="L56" s="16">
        <v>0.0</v>
      </c>
      <c r="M56" s="16">
        <v>0.0</v>
      </c>
      <c r="N56" s="16">
        <v>0.7241379310344828</v>
      </c>
      <c r="O56" s="16">
        <v>0.20689655172413793</v>
      </c>
      <c r="P56" s="35">
        <v>46018.0</v>
      </c>
    </row>
    <row r="57">
      <c r="A57" s="33">
        <v>46018.0</v>
      </c>
      <c r="B57" s="1" t="s">
        <v>59</v>
      </c>
      <c r="C57" s="3" t="s">
        <v>7</v>
      </c>
      <c r="E57" s="34">
        <v>126.0</v>
      </c>
      <c r="F57" s="34">
        <v>689.0</v>
      </c>
      <c r="G57" s="15">
        <v>116119.0</v>
      </c>
      <c r="H57" s="16">
        <v>0.005933568149915173</v>
      </c>
      <c r="I57" s="17">
        <v>4.791920357564223</v>
      </c>
      <c r="J57" s="16">
        <v>1.3697813121272366</v>
      </c>
      <c r="K57" s="16">
        <v>3.50600845410628</v>
      </c>
      <c r="L57" s="16">
        <v>0.07936507936507936</v>
      </c>
      <c r="M57" s="16">
        <v>0.373015873015873</v>
      </c>
      <c r="N57" s="16">
        <v>0.5158730158730159</v>
      </c>
      <c r="O57" s="16">
        <v>0.25396825396825395</v>
      </c>
      <c r="P57" s="35">
        <v>46018.0</v>
      </c>
    </row>
    <row r="58">
      <c r="A58" s="33">
        <v>46018.0</v>
      </c>
      <c r="B58" s="1" t="s">
        <v>59</v>
      </c>
      <c r="C58" s="3" t="s">
        <v>8</v>
      </c>
      <c r="E58" s="34">
        <v>118.0</v>
      </c>
      <c r="F58" s="34">
        <v>706.0</v>
      </c>
      <c r="G58" s="15">
        <v>198301.0</v>
      </c>
      <c r="H58" s="16">
        <v>0.00356024427511712</v>
      </c>
      <c r="I58" s="17">
        <v>5.998935960988598</v>
      </c>
      <c r="J58" s="16">
        <v>0.7024875621890547</v>
      </c>
      <c r="K58" s="16">
        <v>1.6973175157491098</v>
      </c>
      <c r="L58" s="16">
        <v>0.2033898305084746</v>
      </c>
      <c r="M58" s="16">
        <v>0.559322033898305</v>
      </c>
      <c r="N58" s="16">
        <v>0.4067796610169492</v>
      </c>
      <c r="O58" s="16">
        <v>0.2627118644067797</v>
      </c>
      <c r="P58" s="35">
        <v>46018.0</v>
      </c>
    </row>
    <row r="59">
      <c r="A59" s="33">
        <v>46018.0</v>
      </c>
      <c r="B59" s="1" t="s">
        <v>59</v>
      </c>
      <c r="C59" s="3" t="s">
        <v>9</v>
      </c>
      <c r="E59" s="34">
        <v>11.0</v>
      </c>
      <c r="F59" s="34">
        <v>4.0</v>
      </c>
      <c r="G59" s="15">
        <v>335.0</v>
      </c>
      <c r="H59" s="16">
        <v>0.011940298507462687</v>
      </c>
      <c r="I59" s="17">
        <v>12.614925373134328</v>
      </c>
      <c r="J59" s="16">
        <v>0.5714285714285714</v>
      </c>
      <c r="K59" s="16">
        <v>1.5727699530516432</v>
      </c>
      <c r="L59" s="16">
        <v>0.18181818181818182</v>
      </c>
      <c r="M59" s="16">
        <v>0.18181818181818182</v>
      </c>
      <c r="N59" s="16">
        <v>0.0</v>
      </c>
      <c r="O59" s="16">
        <v>0.18181818181818182</v>
      </c>
      <c r="P59" s="35">
        <v>46018.0</v>
      </c>
    </row>
    <row r="60">
      <c r="A60" s="33">
        <v>46018.0</v>
      </c>
      <c r="B60" s="1" t="s">
        <v>59</v>
      </c>
      <c r="C60" s="3" t="s">
        <v>10</v>
      </c>
      <c r="E60" s="34">
        <v>47.0</v>
      </c>
      <c r="F60" s="34">
        <v>2150.0</v>
      </c>
      <c r="G60" s="15">
        <v>321233.0</v>
      </c>
      <c r="H60" s="16">
        <v>0.006692961183938138</v>
      </c>
      <c r="I60" s="17">
        <v>4.605090386106035</v>
      </c>
      <c r="J60" s="16">
        <v>7.363013698630137</v>
      </c>
      <c r="K60" s="16">
        <v>8.47334546701485</v>
      </c>
      <c r="L60" s="16">
        <v>0.02127659574468085</v>
      </c>
      <c r="M60" s="16">
        <v>0.3191489361702128</v>
      </c>
      <c r="N60" s="16">
        <v>0.46808510638297873</v>
      </c>
      <c r="O60" s="16">
        <v>0.3404255319148936</v>
      </c>
      <c r="P60" s="35">
        <v>46018.0</v>
      </c>
    </row>
    <row r="61">
      <c r="A61" s="33">
        <v>46018.0</v>
      </c>
      <c r="B61" s="1" t="s">
        <v>60</v>
      </c>
      <c r="D61" s="1" t="s">
        <v>30</v>
      </c>
      <c r="E61" s="34">
        <v>9.0</v>
      </c>
      <c r="F61" s="34">
        <v>445.0</v>
      </c>
      <c r="G61" s="15">
        <v>8867.0</v>
      </c>
      <c r="H61" s="16">
        <v>0.050186083229953764</v>
      </c>
      <c r="I61" s="17">
        <v>8.482688620728544</v>
      </c>
      <c r="J61" s="16">
        <v>1.0880195599022005</v>
      </c>
      <c r="K61" s="16">
        <v>0.5389945899945292</v>
      </c>
      <c r="L61" s="16">
        <v>0.0</v>
      </c>
      <c r="M61" s="16">
        <v>0.0</v>
      </c>
      <c r="N61" s="16">
        <v>0.5555555555555556</v>
      </c>
      <c r="O61" s="16">
        <v>0.4444444444444444</v>
      </c>
      <c r="P61" s="35">
        <v>46018.0</v>
      </c>
    </row>
    <row r="62">
      <c r="A62" s="33">
        <v>46018.0</v>
      </c>
      <c r="B62" s="1" t="s">
        <v>60</v>
      </c>
      <c r="D62" s="1" t="s">
        <v>31</v>
      </c>
      <c r="E62" s="34">
        <v>78.0</v>
      </c>
      <c r="F62" s="34">
        <v>261.0</v>
      </c>
      <c r="G62" s="15">
        <v>8536.0</v>
      </c>
      <c r="H62" s="16">
        <v>0.03057638238050609</v>
      </c>
      <c r="I62" s="17">
        <v>7.897492970946579</v>
      </c>
      <c r="J62" s="16">
        <v>1.125</v>
      </c>
      <c r="K62" s="16">
        <v>0.5404584019247816</v>
      </c>
      <c r="L62" s="16">
        <v>0.0641025641025641</v>
      </c>
      <c r="M62" s="16">
        <v>0.0641025641025641</v>
      </c>
      <c r="N62" s="16">
        <v>0.2564102564102564</v>
      </c>
      <c r="O62" s="16">
        <v>0.20512820512820512</v>
      </c>
      <c r="P62" s="35">
        <v>46018.0</v>
      </c>
    </row>
    <row r="63">
      <c r="A63" s="33">
        <v>46018.0</v>
      </c>
      <c r="B63" s="1" t="s">
        <v>60</v>
      </c>
      <c r="D63" s="1" t="s">
        <v>32</v>
      </c>
      <c r="E63" s="34">
        <v>474.0</v>
      </c>
      <c r="F63" s="34">
        <v>12151.0</v>
      </c>
      <c r="G63" s="15">
        <v>1056660.0</v>
      </c>
      <c r="H63" s="16">
        <v>0.011499441636855753</v>
      </c>
      <c r="I63" s="17">
        <v>5.004091193004372</v>
      </c>
      <c r="J63" s="16">
        <v>1.174350053155504</v>
      </c>
      <c r="K63" s="16">
        <v>2.4415412769418463</v>
      </c>
      <c r="L63" s="16">
        <v>0.10337552742616034</v>
      </c>
      <c r="M63" s="16">
        <v>0.31223628691983124</v>
      </c>
      <c r="N63" s="16">
        <v>0.47257383966244726</v>
      </c>
      <c r="O63" s="16">
        <v>0.22784810126582278</v>
      </c>
      <c r="P63" s="35">
        <v>46018.0</v>
      </c>
    </row>
    <row r="64">
      <c r="A64" s="33">
        <v>46018.0</v>
      </c>
      <c r="B64" s="1" t="s">
        <v>60</v>
      </c>
      <c r="D64" s="1" t="s">
        <v>33</v>
      </c>
      <c r="E64" s="34">
        <v>108.0</v>
      </c>
      <c r="F64" s="34">
        <v>196.0</v>
      </c>
      <c r="G64" s="15">
        <v>13985.0</v>
      </c>
      <c r="H64" s="16">
        <v>0.014015016088666428</v>
      </c>
      <c r="I64" s="17">
        <v>5.170396853771899</v>
      </c>
      <c r="J64" s="16">
        <v>0.47342995169082125</v>
      </c>
      <c r="K64" s="16">
        <v>1.21545280723101</v>
      </c>
      <c r="L64" s="16">
        <v>0.046296296296296294</v>
      </c>
      <c r="M64" s="16">
        <v>0.05555555555555555</v>
      </c>
      <c r="N64" s="16">
        <v>0.28703703703703703</v>
      </c>
      <c r="O64" s="16">
        <v>0.027777777777777776</v>
      </c>
      <c r="P64" s="35">
        <v>46018.0</v>
      </c>
    </row>
    <row r="65">
      <c r="A65" s="33">
        <v>46018.0</v>
      </c>
      <c r="B65" s="1" t="s">
        <v>60</v>
      </c>
      <c r="D65" s="1" t="s">
        <v>34</v>
      </c>
      <c r="E65" s="34">
        <v>71.0</v>
      </c>
      <c r="F65" s="34">
        <v>10.0</v>
      </c>
      <c r="G65" s="15">
        <v>601.0</v>
      </c>
      <c r="H65" s="16">
        <v>0.016638935108153077</v>
      </c>
      <c r="I65" s="17">
        <v>7.710482529118137</v>
      </c>
      <c r="J65" s="16">
        <v>1.0</v>
      </c>
      <c r="K65" s="16">
        <v>0.2462105694387546</v>
      </c>
      <c r="L65" s="16">
        <v>0.014084507042253521</v>
      </c>
      <c r="M65" s="16">
        <v>0.014084507042253521</v>
      </c>
      <c r="N65" s="16">
        <v>0.07042253521126761</v>
      </c>
      <c r="O65" s="16">
        <v>0.07042253521126761</v>
      </c>
      <c r="P65" s="35">
        <v>46018.0</v>
      </c>
    </row>
    <row r="66">
      <c r="A66" s="33">
        <v>46019.0</v>
      </c>
      <c r="B66" s="1" t="s">
        <v>57</v>
      </c>
      <c r="E66" s="34">
        <v>1081.0</v>
      </c>
      <c r="F66" s="34">
        <v>13066.0</v>
      </c>
      <c r="G66" s="15">
        <v>1103843.0</v>
      </c>
      <c r="H66" s="16">
        <v>0.011836828244596379</v>
      </c>
      <c r="I66" s="17">
        <v>5.041052033667832</v>
      </c>
      <c r="J66" s="16">
        <v>1.1523061998412558</v>
      </c>
      <c r="K66" s="16">
        <v>2.272754974932312</v>
      </c>
      <c r="L66" s="16">
        <v>0.06105457909343201</v>
      </c>
      <c r="M66" s="16">
        <v>0.1498612395929695</v>
      </c>
      <c r="N66" s="16">
        <v>0.27567067530064754</v>
      </c>
      <c r="O66" s="16">
        <v>0.14338575393154487</v>
      </c>
      <c r="P66" s="35">
        <v>46019.0</v>
      </c>
    </row>
    <row r="67">
      <c r="A67" s="33">
        <v>46019.0</v>
      </c>
      <c r="B67" s="1" t="s">
        <v>58</v>
      </c>
      <c r="E67" s="34">
        <v>740.0</v>
      </c>
      <c r="F67" s="34">
        <v>12984.0</v>
      </c>
      <c r="G67" s="15">
        <v>1101742.0</v>
      </c>
      <c r="H67" s="16">
        <v>0.011784973251450883</v>
      </c>
      <c r="I67" s="17">
        <v>5.039207908929677</v>
      </c>
      <c r="J67" s="16">
        <v>1.1544411843158175</v>
      </c>
      <c r="K67" s="16">
        <v>2.3224638215795186</v>
      </c>
      <c r="L67" s="16">
        <v>0.08513513513513514</v>
      </c>
      <c r="M67" s="16">
        <v>0.21486486486486486</v>
      </c>
      <c r="N67" s="16">
        <v>0.377027027027027</v>
      </c>
      <c r="O67" s="16">
        <v>0.1891891891891892</v>
      </c>
      <c r="P67" s="35">
        <v>46019.0</v>
      </c>
    </row>
    <row r="68">
      <c r="A68" s="33">
        <v>46019.0</v>
      </c>
      <c r="B68" s="1" t="s">
        <v>59</v>
      </c>
      <c r="C68" s="3" t="s">
        <v>2</v>
      </c>
      <c r="E68" s="34">
        <v>124.0</v>
      </c>
      <c r="F68" s="34">
        <v>600.0</v>
      </c>
      <c r="G68" s="15">
        <v>42930.0</v>
      </c>
      <c r="H68" s="16">
        <v>0.013976240391334731</v>
      </c>
      <c r="I68" s="17">
        <v>5.808618681574656</v>
      </c>
      <c r="J68" s="16">
        <v>1.8987341772151898</v>
      </c>
      <c r="K68" s="16">
        <v>2.0789346246973364</v>
      </c>
      <c r="L68" s="16">
        <v>0.056451612903225805</v>
      </c>
      <c r="M68" s="16">
        <v>0.08064516129032258</v>
      </c>
      <c r="N68" s="16">
        <v>0.3387096774193548</v>
      </c>
      <c r="O68" s="16">
        <v>0.07258064516129033</v>
      </c>
      <c r="P68" s="35">
        <v>46019.0</v>
      </c>
    </row>
    <row r="69">
      <c r="A69" s="33">
        <v>46019.0</v>
      </c>
      <c r="B69" s="1" t="s">
        <v>59</v>
      </c>
      <c r="C69" s="1" t="s">
        <v>3</v>
      </c>
      <c r="E69" s="34">
        <v>163.0</v>
      </c>
      <c r="F69" s="34">
        <v>828.0</v>
      </c>
      <c r="G69" s="15">
        <v>25659.0</v>
      </c>
      <c r="H69" s="16">
        <v>0.03226937916520519</v>
      </c>
      <c r="I69" s="17">
        <v>6.817062239370202</v>
      </c>
      <c r="J69" s="16">
        <v>1.2451127819548873</v>
      </c>
      <c r="K69" s="16">
        <v>1.0485472600220669</v>
      </c>
      <c r="L69" s="16">
        <v>0.05521472392638037</v>
      </c>
      <c r="M69" s="16">
        <v>0.06134969325153374</v>
      </c>
      <c r="N69" s="16">
        <v>0.3619631901840491</v>
      </c>
      <c r="O69" s="16">
        <v>0.15950920245398773</v>
      </c>
      <c r="P69" s="35">
        <v>46019.0</v>
      </c>
    </row>
    <row r="70">
      <c r="A70" s="33">
        <v>46019.0</v>
      </c>
      <c r="B70" s="1" t="s">
        <v>59</v>
      </c>
      <c r="C70" s="3" t="s">
        <v>4</v>
      </c>
      <c r="E70" s="34">
        <v>105.0</v>
      </c>
      <c r="F70" s="34">
        <v>438.0</v>
      </c>
      <c r="G70" s="15">
        <v>20736.0</v>
      </c>
      <c r="H70" s="16">
        <v>0.021122685185185185</v>
      </c>
      <c r="I70" s="17">
        <v>5.305507330246914</v>
      </c>
      <c r="J70" s="16">
        <v>0.5740498034076016</v>
      </c>
      <c r="K70" s="16">
        <v>0.8985959438377535</v>
      </c>
      <c r="L70" s="16">
        <v>0.05714285714285714</v>
      </c>
      <c r="M70" s="16">
        <v>0.0761904761904762</v>
      </c>
      <c r="N70" s="16">
        <v>0.20952380952380953</v>
      </c>
      <c r="O70" s="16">
        <v>0.10476190476190476</v>
      </c>
      <c r="P70" s="35">
        <v>46019.0</v>
      </c>
    </row>
    <row r="71">
      <c r="A71" s="33">
        <v>46019.0</v>
      </c>
      <c r="B71" s="1" t="s">
        <v>59</v>
      </c>
      <c r="C71" s="3" t="s">
        <v>5</v>
      </c>
      <c r="E71" s="34">
        <v>17.0</v>
      </c>
      <c r="F71" s="34">
        <v>2764.0</v>
      </c>
      <c r="G71" s="15">
        <v>48656.0</v>
      </c>
      <c r="H71" s="16">
        <v>0.05680697139098981</v>
      </c>
      <c r="I71" s="17">
        <v>6.432587964485367</v>
      </c>
      <c r="J71" s="16">
        <v>0.9787535410764873</v>
      </c>
      <c r="K71" s="16">
        <v>1.9236182493872065</v>
      </c>
      <c r="L71" s="16">
        <v>0.058823529411764705</v>
      </c>
      <c r="M71" s="16">
        <v>0.058823529411764705</v>
      </c>
      <c r="N71" s="16">
        <v>0.35294117647058826</v>
      </c>
      <c r="O71" s="16">
        <v>0.23529411764705882</v>
      </c>
      <c r="P71" s="35">
        <v>46019.0</v>
      </c>
    </row>
    <row r="72">
      <c r="A72" s="33">
        <v>46019.0</v>
      </c>
      <c r="B72" s="1" t="s">
        <v>59</v>
      </c>
      <c r="C72" s="3" t="s">
        <v>6</v>
      </c>
      <c r="E72" s="34">
        <v>29.0</v>
      </c>
      <c r="F72" s="34">
        <v>4813.0</v>
      </c>
      <c r="G72" s="15">
        <v>319954.0</v>
      </c>
      <c r="H72" s="16">
        <v>0.015042787400688849</v>
      </c>
      <c r="I72" s="17">
        <v>4.527919638448027</v>
      </c>
      <c r="J72" s="16">
        <v>0.9842535787321064</v>
      </c>
      <c r="K72" s="16">
        <v>1.6434529802140905</v>
      </c>
      <c r="L72" s="16">
        <v>0.0</v>
      </c>
      <c r="M72" s="16">
        <v>0.0</v>
      </c>
      <c r="N72" s="16">
        <v>0.7241379310344828</v>
      </c>
      <c r="O72" s="16">
        <v>0.20689655172413793</v>
      </c>
      <c r="P72" s="35">
        <v>46019.0</v>
      </c>
    </row>
    <row r="73">
      <c r="A73" s="33">
        <v>46019.0</v>
      </c>
      <c r="B73" s="1" t="s">
        <v>59</v>
      </c>
      <c r="C73" s="3" t="s">
        <v>7</v>
      </c>
      <c r="E73" s="34">
        <v>126.0</v>
      </c>
      <c r="F73" s="34">
        <v>676.0</v>
      </c>
      <c r="G73" s="15">
        <v>117576.0</v>
      </c>
      <c r="H73" s="16">
        <v>0.005749472681499626</v>
      </c>
      <c r="I73" s="17">
        <v>4.764977546438049</v>
      </c>
      <c r="J73" s="16">
        <v>1.357429718875502</v>
      </c>
      <c r="K73" s="16">
        <v>3.5991184033304764</v>
      </c>
      <c r="L73" s="16">
        <v>0.09523809523809523</v>
      </c>
      <c r="M73" s="16">
        <v>0.38095238095238093</v>
      </c>
      <c r="N73" s="16">
        <v>0.5158730158730159</v>
      </c>
      <c r="O73" s="16">
        <v>0.23015873015873015</v>
      </c>
      <c r="P73" s="35">
        <v>46019.0</v>
      </c>
    </row>
    <row r="74">
      <c r="A74" s="33">
        <v>46019.0</v>
      </c>
      <c r="B74" s="1" t="s">
        <v>59</v>
      </c>
      <c r="C74" s="3" t="s">
        <v>8</v>
      </c>
      <c r="E74" s="34">
        <v>118.0</v>
      </c>
      <c r="F74" s="34">
        <v>714.0</v>
      </c>
      <c r="G74" s="15">
        <v>201460.0</v>
      </c>
      <c r="H74" s="16">
        <v>0.00354412786657401</v>
      </c>
      <c r="I74" s="17">
        <v>5.951687679936464</v>
      </c>
      <c r="J74" s="16">
        <v>0.7226720647773279</v>
      </c>
      <c r="K74" s="16">
        <v>1.7466468991945623</v>
      </c>
      <c r="L74" s="16">
        <v>0.211864406779661</v>
      </c>
      <c r="M74" s="16">
        <v>0.5508474576271186</v>
      </c>
      <c r="N74" s="16">
        <v>0.3728813559322034</v>
      </c>
      <c r="O74" s="16">
        <v>0.2966101694915254</v>
      </c>
      <c r="P74" s="35">
        <v>46019.0</v>
      </c>
    </row>
    <row r="75">
      <c r="A75" s="33">
        <v>46019.0</v>
      </c>
      <c r="B75" s="1" t="s">
        <v>59</v>
      </c>
      <c r="C75" s="3" t="s">
        <v>9</v>
      </c>
      <c r="E75" s="34">
        <v>11.0</v>
      </c>
      <c r="F75" s="34">
        <v>5.0</v>
      </c>
      <c r="G75" s="15">
        <v>363.0</v>
      </c>
      <c r="H75" s="16">
        <v>0.013774104683195593</v>
      </c>
      <c r="I75" s="17">
        <v>12.994490358126722</v>
      </c>
      <c r="J75" s="16">
        <v>0.8333333333333334</v>
      </c>
      <c r="K75" s="16">
        <v>1.6962616822429906</v>
      </c>
      <c r="L75" s="16">
        <v>0.18181818181818182</v>
      </c>
      <c r="M75" s="16">
        <v>0.18181818181818182</v>
      </c>
      <c r="N75" s="16">
        <v>0.0</v>
      </c>
      <c r="O75" s="16">
        <v>0.18181818181818182</v>
      </c>
      <c r="P75" s="35">
        <v>46019.0</v>
      </c>
    </row>
    <row r="76">
      <c r="A76" s="33">
        <v>46019.0</v>
      </c>
      <c r="B76" s="1" t="s">
        <v>59</v>
      </c>
      <c r="C76" s="3" t="s">
        <v>10</v>
      </c>
      <c r="E76" s="34">
        <v>47.0</v>
      </c>
      <c r="F76" s="34">
        <v>2146.0</v>
      </c>
      <c r="G76" s="15">
        <v>324408.0</v>
      </c>
      <c r="H76" s="16">
        <v>0.006615126630662623</v>
      </c>
      <c r="I76" s="17">
        <v>4.598863159971394</v>
      </c>
      <c r="J76" s="16">
        <v>7.225589225589226</v>
      </c>
      <c r="K76" s="16">
        <v>8.539974201700582</v>
      </c>
      <c r="L76" s="16">
        <v>0.02127659574468085</v>
      </c>
      <c r="M76" s="16">
        <v>0.3191489361702128</v>
      </c>
      <c r="N76" s="16">
        <v>0.425531914893617</v>
      </c>
      <c r="O76" s="16">
        <v>0.3829787234042553</v>
      </c>
      <c r="P76" s="35">
        <v>46019.0</v>
      </c>
    </row>
    <row r="77">
      <c r="A77" s="33">
        <v>46019.0</v>
      </c>
      <c r="B77" s="1" t="s">
        <v>60</v>
      </c>
      <c r="D77" s="1" t="s">
        <v>30</v>
      </c>
      <c r="E77" s="34">
        <v>9.0</v>
      </c>
      <c r="F77" s="34">
        <v>440.0</v>
      </c>
      <c r="G77" s="15">
        <v>8951.0</v>
      </c>
      <c r="H77" s="16">
        <v>0.04915651882471232</v>
      </c>
      <c r="I77" s="17">
        <v>8.552005362529327</v>
      </c>
      <c r="J77" s="16">
        <v>1.083743842364532</v>
      </c>
      <c r="K77" s="16">
        <v>0.5475622438367896</v>
      </c>
      <c r="L77" s="16">
        <v>0.0</v>
      </c>
      <c r="M77" s="16">
        <v>0.0</v>
      </c>
      <c r="N77" s="16">
        <v>0.5555555555555556</v>
      </c>
      <c r="O77" s="16">
        <v>0.4444444444444444</v>
      </c>
      <c r="P77" s="35">
        <v>46019.0</v>
      </c>
    </row>
    <row r="78">
      <c r="A78" s="33">
        <v>46019.0</v>
      </c>
      <c r="B78" s="1" t="s">
        <v>60</v>
      </c>
      <c r="D78" s="1" t="s">
        <v>31</v>
      </c>
      <c r="E78" s="34">
        <v>78.0</v>
      </c>
      <c r="F78" s="34">
        <v>259.0</v>
      </c>
      <c r="G78" s="15">
        <v>8708.0</v>
      </c>
      <c r="H78" s="16">
        <v>0.0297427652733119</v>
      </c>
      <c r="I78" s="17">
        <v>7.787666513550758</v>
      </c>
      <c r="J78" s="16">
        <v>1.121212121212121</v>
      </c>
      <c r="K78" s="16">
        <v>0.5541202672605791</v>
      </c>
      <c r="L78" s="16">
        <v>0.05128205128205128</v>
      </c>
      <c r="M78" s="16">
        <v>0.05128205128205128</v>
      </c>
      <c r="N78" s="16">
        <v>0.2564102564102564</v>
      </c>
      <c r="O78" s="16">
        <v>0.20512820512820512</v>
      </c>
      <c r="P78" s="35">
        <v>46019.0</v>
      </c>
    </row>
    <row r="79">
      <c r="A79" s="33">
        <v>46019.0</v>
      </c>
      <c r="B79" s="1" t="s">
        <v>60</v>
      </c>
      <c r="D79" s="1" t="s">
        <v>32</v>
      </c>
      <c r="E79" s="34">
        <v>474.0</v>
      </c>
      <c r="F79" s="34">
        <v>12085.0</v>
      </c>
      <c r="G79" s="15">
        <v>1069752.0</v>
      </c>
      <c r="H79" s="16">
        <v>0.011297010895983369</v>
      </c>
      <c r="I79" s="17">
        <v>4.984178575969009</v>
      </c>
      <c r="J79" s="16">
        <v>1.1843394747157978</v>
      </c>
      <c r="K79" s="16">
        <v>2.496107968863751</v>
      </c>
      <c r="L79" s="16">
        <v>0.11181434599156118</v>
      </c>
      <c r="M79" s="16">
        <v>0.3143459915611814</v>
      </c>
      <c r="N79" s="16">
        <v>0.4620253164556962</v>
      </c>
      <c r="O79" s="16">
        <v>0.23417721518987342</v>
      </c>
      <c r="P79" s="35">
        <v>46019.0</v>
      </c>
    </row>
    <row r="80">
      <c r="A80" s="33">
        <v>46019.0</v>
      </c>
      <c r="B80" s="1" t="s">
        <v>60</v>
      </c>
      <c r="D80" s="1" t="s">
        <v>33</v>
      </c>
      <c r="E80" s="34">
        <v>108.0</v>
      </c>
      <c r="F80" s="34">
        <v>191.0</v>
      </c>
      <c r="G80" s="15">
        <v>13702.0</v>
      </c>
      <c r="H80" s="16">
        <v>0.013939570865567071</v>
      </c>
      <c r="I80" s="17">
        <v>5.173113414100131</v>
      </c>
      <c r="J80" s="16">
        <v>0.4860050890585242</v>
      </c>
      <c r="K80" s="16">
        <v>1.2127810231899452</v>
      </c>
      <c r="L80" s="16">
        <v>0.046296296296296294</v>
      </c>
      <c r="M80" s="16">
        <v>0.046296296296296294</v>
      </c>
      <c r="N80" s="16">
        <v>0.2777777777777778</v>
      </c>
      <c r="O80" s="16">
        <v>0.027777777777777776</v>
      </c>
      <c r="P80" s="35">
        <v>46019.0</v>
      </c>
    </row>
    <row r="81">
      <c r="A81" s="33">
        <v>46019.0</v>
      </c>
      <c r="B81" s="1" t="s">
        <v>60</v>
      </c>
      <c r="D81" s="1" t="s">
        <v>34</v>
      </c>
      <c r="E81" s="34">
        <v>71.0</v>
      </c>
      <c r="F81" s="34">
        <v>9.0</v>
      </c>
      <c r="G81" s="15">
        <v>629.0</v>
      </c>
      <c r="H81" s="16">
        <v>0.014308426073131956</v>
      </c>
      <c r="I81" s="17">
        <v>7.672496025437202</v>
      </c>
      <c r="J81" s="16">
        <v>0.6923076923076923</v>
      </c>
      <c r="K81" s="16">
        <v>0.256003256003256</v>
      </c>
      <c r="L81" s="16">
        <v>0.014084507042253521</v>
      </c>
      <c r="M81" s="16">
        <v>0.014084507042253521</v>
      </c>
      <c r="N81" s="16">
        <v>0.07042253521126761</v>
      </c>
      <c r="O81" s="16">
        <v>0.08450704225352113</v>
      </c>
      <c r="P81" s="35">
        <v>46019.0</v>
      </c>
    </row>
    <row r="82">
      <c r="A82" s="33">
        <v>46020.0</v>
      </c>
      <c r="B82" s="1" t="s">
        <v>57</v>
      </c>
      <c r="E82" s="34">
        <v>1081.0</v>
      </c>
      <c r="F82" s="34">
        <v>13123.0</v>
      </c>
      <c r="G82" s="15">
        <v>1118801.0</v>
      </c>
      <c r="H82" s="16">
        <v>0.01172952115702435</v>
      </c>
      <c r="I82" s="17">
        <v>5.010826769014328</v>
      </c>
      <c r="J82" s="16">
        <v>1.1765285996055226</v>
      </c>
      <c r="K82" s="16">
        <v>2.3296657303312296</v>
      </c>
      <c r="L82" s="16">
        <v>0.06290471785383904</v>
      </c>
      <c r="M82" s="16">
        <v>0.15448658649398705</v>
      </c>
      <c r="N82" s="16">
        <v>0.28307123034227566</v>
      </c>
      <c r="O82" s="16">
        <v>0.13783533765032377</v>
      </c>
      <c r="P82" s="35">
        <v>46020.0</v>
      </c>
    </row>
    <row r="83">
      <c r="A83" s="33">
        <v>46020.0</v>
      </c>
      <c r="B83" s="1" t="s">
        <v>58</v>
      </c>
      <c r="E83" s="34">
        <v>740.0</v>
      </c>
      <c r="F83" s="34">
        <v>13041.0</v>
      </c>
      <c r="G83" s="15">
        <v>1116667.0</v>
      </c>
      <c r="H83" s="16">
        <v>0.011678503976565977</v>
      </c>
      <c r="I83" s="17">
        <v>5.0089632809064835</v>
      </c>
      <c r="J83" s="16">
        <v>1.1785811116131948</v>
      </c>
      <c r="K83" s="16">
        <v>2.380744966857908</v>
      </c>
      <c r="L83" s="16">
        <v>0.08783783783783784</v>
      </c>
      <c r="M83" s="16">
        <v>0.22162162162162163</v>
      </c>
      <c r="N83" s="16">
        <v>0.3878378378378378</v>
      </c>
      <c r="O83" s="16">
        <v>0.18243243243243243</v>
      </c>
      <c r="P83" s="35">
        <v>46020.0</v>
      </c>
    </row>
    <row r="84">
      <c r="A84" s="33">
        <v>46020.0</v>
      </c>
      <c r="B84" s="1" t="s">
        <v>59</v>
      </c>
      <c r="C84" s="3" t="s">
        <v>2</v>
      </c>
      <c r="E84" s="34">
        <v>124.0</v>
      </c>
      <c r="F84" s="34">
        <v>630.0</v>
      </c>
      <c r="G84" s="15">
        <v>44551.0</v>
      </c>
      <c r="H84" s="16">
        <v>0.014141096720612333</v>
      </c>
      <c r="I84" s="17">
        <v>5.772485466095037</v>
      </c>
      <c r="J84" s="16">
        <v>2.0655737704918034</v>
      </c>
      <c r="K84" s="16">
        <v>2.157642386671833</v>
      </c>
      <c r="L84" s="16">
        <v>0.06451612903225806</v>
      </c>
      <c r="M84" s="16">
        <v>0.0967741935483871</v>
      </c>
      <c r="N84" s="16">
        <v>0.3790322580645161</v>
      </c>
      <c r="O84" s="16">
        <v>0.06451612903225806</v>
      </c>
      <c r="P84" s="35">
        <v>46020.0</v>
      </c>
    </row>
    <row r="85">
      <c r="A85" s="33">
        <v>46020.0</v>
      </c>
      <c r="B85" s="1" t="s">
        <v>59</v>
      </c>
      <c r="C85" s="1" t="s">
        <v>3</v>
      </c>
      <c r="E85" s="34">
        <v>163.0</v>
      </c>
      <c r="F85" s="34">
        <v>849.0</v>
      </c>
      <c r="G85" s="15">
        <v>26289.0</v>
      </c>
      <c r="H85" s="16">
        <v>0.03229487618395527</v>
      </c>
      <c r="I85" s="17">
        <v>6.742135493932824</v>
      </c>
      <c r="J85" s="16">
        <v>1.2805429864253393</v>
      </c>
      <c r="K85" s="16">
        <v>1.0859633179114343</v>
      </c>
      <c r="L85" s="16">
        <v>0.05521472392638037</v>
      </c>
      <c r="M85" s="16">
        <v>0.06134969325153374</v>
      </c>
      <c r="N85" s="16">
        <v>0.36809815950920244</v>
      </c>
      <c r="O85" s="16">
        <v>0.147239263803681</v>
      </c>
      <c r="P85" s="35">
        <v>46020.0</v>
      </c>
    </row>
    <row r="86">
      <c r="A86" s="33">
        <v>46020.0</v>
      </c>
      <c r="B86" s="1" t="s">
        <v>59</v>
      </c>
      <c r="C86" s="3" t="s">
        <v>4</v>
      </c>
      <c r="E86" s="34">
        <v>105.0</v>
      </c>
      <c r="F86" s="34">
        <v>432.0</v>
      </c>
      <c r="G86" s="15">
        <v>20578.0</v>
      </c>
      <c r="H86" s="16">
        <v>0.02099329380892215</v>
      </c>
      <c r="I86" s="17">
        <v>5.294878025075323</v>
      </c>
      <c r="J86" s="16">
        <v>0.5806451612903226</v>
      </c>
      <c r="K86" s="16">
        <v>0.9145371316830363</v>
      </c>
      <c r="L86" s="16">
        <v>0.05714285714285714</v>
      </c>
      <c r="M86" s="16">
        <v>0.0761904761904762</v>
      </c>
      <c r="N86" s="16">
        <v>0.19047619047619047</v>
      </c>
      <c r="O86" s="16">
        <v>0.13333333333333333</v>
      </c>
      <c r="P86" s="35">
        <v>46020.0</v>
      </c>
    </row>
    <row r="87">
      <c r="A87" s="33">
        <v>46020.0</v>
      </c>
      <c r="B87" s="1" t="s">
        <v>59</v>
      </c>
      <c r="C87" s="3" t="s">
        <v>5</v>
      </c>
      <c r="E87" s="34">
        <v>17.0</v>
      </c>
      <c r="F87" s="34">
        <v>2789.0</v>
      </c>
      <c r="G87" s="15">
        <v>48486.0</v>
      </c>
      <c r="H87" s="16">
        <v>0.05752175885822712</v>
      </c>
      <c r="I87" s="17">
        <v>6.418491935816524</v>
      </c>
      <c r="J87" s="16">
        <v>0.9907637655417407</v>
      </c>
      <c r="K87" s="16">
        <v>1.94379409878127</v>
      </c>
      <c r="L87" s="16">
        <v>0.11764705882352941</v>
      </c>
      <c r="M87" s="16">
        <v>0.11764705882352941</v>
      </c>
      <c r="N87" s="16">
        <v>0.35294117647058826</v>
      </c>
      <c r="O87" s="16">
        <v>0.23529411764705882</v>
      </c>
      <c r="P87" s="35">
        <v>46020.0</v>
      </c>
    </row>
    <row r="88">
      <c r="A88" s="33">
        <v>46020.0</v>
      </c>
      <c r="B88" s="1" t="s">
        <v>59</v>
      </c>
      <c r="C88" s="3" t="s">
        <v>6</v>
      </c>
      <c r="E88" s="34">
        <v>29.0</v>
      </c>
      <c r="F88" s="34">
        <v>4777.0</v>
      </c>
      <c r="G88" s="15">
        <v>325598.0</v>
      </c>
      <c r="H88" s="16">
        <v>0.014671466040946197</v>
      </c>
      <c r="I88" s="17">
        <v>4.494576133760035</v>
      </c>
      <c r="J88" s="16">
        <v>1.0008380473496752</v>
      </c>
      <c r="K88" s="16">
        <v>1.6947460467827735</v>
      </c>
      <c r="L88" s="16">
        <v>0.0</v>
      </c>
      <c r="M88" s="16">
        <v>0.0</v>
      </c>
      <c r="N88" s="16">
        <v>0.7241379310344828</v>
      </c>
      <c r="O88" s="16">
        <v>0.20689655172413793</v>
      </c>
      <c r="P88" s="35">
        <v>46020.0</v>
      </c>
    </row>
    <row r="89">
      <c r="A89" s="33">
        <v>46020.0</v>
      </c>
      <c r="B89" s="1" t="s">
        <v>59</v>
      </c>
      <c r="C89" s="3" t="s">
        <v>7</v>
      </c>
      <c r="E89" s="34">
        <v>126.0</v>
      </c>
      <c r="F89" s="34">
        <v>676.0</v>
      </c>
      <c r="G89" s="15">
        <v>118729.0</v>
      </c>
      <c r="H89" s="16">
        <v>0.005693638453958174</v>
      </c>
      <c r="I89" s="17">
        <v>4.734016120745563</v>
      </c>
      <c r="J89" s="16">
        <v>1.3656565656565656</v>
      </c>
      <c r="K89" s="16">
        <v>3.665040901373669</v>
      </c>
      <c r="L89" s="16">
        <v>0.09523809523809523</v>
      </c>
      <c r="M89" s="16">
        <v>0.38095238095238093</v>
      </c>
      <c r="N89" s="16">
        <v>0.5158730158730159</v>
      </c>
      <c r="O89" s="16">
        <v>0.23809523809523808</v>
      </c>
      <c r="P89" s="35">
        <v>46020.0</v>
      </c>
    </row>
    <row r="90">
      <c r="A90" s="33">
        <v>46020.0</v>
      </c>
      <c r="B90" s="1" t="s">
        <v>59</v>
      </c>
      <c r="C90" s="3" t="s">
        <v>8</v>
      </c>
      <c r="E90" s="34">
        <v>118.0</v>
      </c>
      <c r="F90" s="34">
        <v>714.0</v>
      </c>
      <c r="G90" s="15">
        <v>204618.0</v>
      </c>
      <c r="H90" s="16">
        <v>0.003489429082485412</v>
      </c>
      <c r="I90" s="17">
        <v>5.902208016890009</v>
      </c>
      <c r="J90" s="16">
        <v>0.7368421052631579</v>
      </c>
      <c r="K90" s="16">
        <v>1.7964232724335618</v>
      </c>
      <c r="L90" s="16">
        <v>0.211864406779661</v>
      </c>
      <c r="M90" s="16">
        <v>0.559322033898305</v>
      </c>
      <c r="N90" s="16">
        <v>0.4067796610169492</v>
      </c>
      <c r="O90" s="16">
        <v>0.2542372881355932</v>
      </c>
      <c r="P90" s="35">
        <v>46020.0</v>
      </c>
    </row>
    <row r="91">
      <c r="A91" s="33">
        <v>46020.0</v>
      </c>
      <c r="B91" s="1" t="s">
        <v>59</v>
      </c>
      <c r="C91" s="3" t="s">
        <v>9</v>
      </c>
      <c r="E91" s="34">
        <v>11.0</v>
      </c>
      <c r="F91" s="34">
        <v>5.0</v>
      </c>
      <c r="G91" s="15">
        <v>356.0</v>
      </c>
      <c r="H91" s="16">
        <v>0.014044943820224719</v>
      </c>
      <c r="I91" s="17">
        <v>13.224719101123595</v>
      </c>
      <c r="J91" s="16">
        <v>0.8333333333333334</v>
      </c>
      <c r="K91" s="16">
        <v>1.6181818181818182</v>
      </c>
      <c r="L91" s="16">
        <v>0.18181818181818182</v>
      </c>
      <c r="M91" s="16">
        <v>0.18181818181818182</v>
      </c>
      <c r="N91" s="16">
        <v>0.0</v>
      </c>
      <c r="O91" s="16">
        <v>0.09090909090909091</v>
      </c>
      <c r="P91" s="35">
        <v>46020.0</v>
      </c>
    </row>
    <row r="92">
      <c r="A92" s="33">
        <v>46020.0</v>
      </c>
      <c r="B92" s="1" t="s">
        <v>59</v>
      </c>
      <c r="C92" s="3" t="s">
        <v>10</v>
      </c>
      <c r="E92" s="34">
        <v>47.0</v>
      </c>
      <c r="F92" s="34">
        <v>2169.0</v>
      </c>
      <c r="G92" s="15">
        <v>327462.0</v>
      </c>
      <c r="H92" s="16">
        <v>0.006623669311248328</v>
      </c>
      <c r="I92" s="17">
        <v>4.583337914017505</v>
      </c>
      <c r="J92" s="16">
        <v>7.352542372881356</v>
      </c>
      <c r="K92" s="16">
        <v>8.5948031496063</v>
      </c>
      <c r="L92" s="16">
        <v>0.02127659574468085</v>
      </c>
      <c r="M92" s="16">
        <v>0.3404255319148936</v>
      </c>
      <c r="N92" s="16">
        <v>0.425531914893617</v>
      </c>
      <c r="O92" s="16">
        <v>0.3829787234042553</v>
      </c>
      <c r="P92" s="35">
        <v>46020.0</v>
      </c>
    </row>
    <row r="93">
      <c r="A93" s="33">
        <v>46020.0</v>
      </c>
      <c r="B93" s="1" t="s">
        <v>60</v>
      </c>
      <c r="D93" s="1" t="s">
        <v>30</v>
      </c>
      <c r="E93" s="34">
        <v>9.0</v>
      </c>
      <c r="F93" s="34">
        <v>444.0</v>
      </c>
      <c r="G93" s="15">
        <v>9082.0</v>
      </c>
      <c r="H93" s="16">
        <v>0.04888791015194891</v>
      </c>
      <c r="I93" s="17">
        <v>8.517066725390883</v>
      </c>
      <c r="J93" s="16">
        <v>1.1240506329113924</v>
      </c>
      <c r="K93" s="16">
        <v>0.5598569843422513</v>
      </c>
      <c r="L93" s="16">
        <v>0.0</v>
      </c>
      <c r="M93" s="16">
        <v>0.0</v>
      </c>
      <c r="N93" s="16">
        <v>0.6666666666666666</v>
      </c>
      <c r="O93" s="16">
        <v>0.2222222222222222</v>
      </c>
      <c r="P93" s="35">
        <v>46020.0</v>
      </c>
    </row>
    <row r="94">
      <c r="A94" s="33">
        <v>46020.0</v>
      </c>
      <c r="B94" s="1" t="s">
        <v>60</v>
      </c>
      <c r="D94" s="1" t="s">
        <v>31</v>
      </c>
      <c r="E94" s="34">
        <v>78.0</v>
      </c>
      <c r="F94" s="34">
        <v>269.0</v>
      </c>
      <c r="G94" s="15">
        <v>8899.0</v>
      </c>
      <c r="H94" s="16">
        <v>0.030228115518597595</v>
      </c>
      <c r="I94" s="17">
        <v>7.697381728284077</v>
      </c>
      <c r="J94" s="16">
        <v>1.1495726495726495</v>
      </c>
      <c r="K94" s="16">
        <v>0.5709977542508823</v>
      </c>
      <c r="L94" s="16">
        <v>0.0641025641025641</v>
      </c>
      <c r="M94" s="16">
        <v>0.0641025641025641</v>
      </c>
      <c r="N94" s="16">
        <v>0.2564102564102564</v>
      </c>
      <c r="O94" s="16">
        <v>0.19230769230769232</v>
      </c>
      <c r="P94" s="35">
        <v>46020.0</v>
      </c>
    </row>
    <row r="95">
      <c r="A95" s="33">
        <v>46020.0</v>
      </c>
      <c r="B95" s="1" t="s">
        <v>60</v>
      </c>
      <c r="D95" s="1" t="s">
        <v>32</v>
      </c>
      <c r="E95" s="34">
        <v>474.0</v>
      </c>
      <c r="F95" s="34">
        <v>12135.0</v>
      </c>
      <c r="G95" s="15">
        <v>1084598.0</v>
      </c>
      <c r="H95" s="16">
        <v>0.01118847720537932</v>
      </c>
      <c r="I95" s="17">
        <v>4.953849260278924</v>
      </c>
      <c r="J95" s="16">
        <v>1.2074626865671643</v>
      </c>
      <c r="K95" s="16">
        <v>2.558895279978483</v>
      </c>
      <c r="L95" s="16">
        <v>0.11392405063291139</v>
      </c>
      <c r="M95" s="16">
        <v>0.3227848101265823</v>
      </c>
      <c r="N95" s="16">
        <v>0.47257383966244726</v>
      </c>
      <c r="O95" s="16">
        <v>0.22362869198312235</v>
      </c>
      <c r="P95" s="35">
        <v>46020.0</v>
      </c>
    </row>
    <row r="96">
      <c r="A96" s="33">
        <v>46020.0</v>
      </c>
      <c r="B96" s="1" t="s">
        <v>60</v>
      </c>
      <c r="D96" s="1" t="s">
        <v>33</v>
      </c>
      <c r="E96" s="34">
        <v>108.0</v>
      </c>
      <c r="F96" s="34">
        <v>184.0</v>
      </c>
      <c r="G96" s="15">
        <v>13443.0</v>
      </c>
      <c r="H96" s="16">
        <v>0.013687420962582757</v>
      </c>
      <c r="I96" s="17">
        <v>5.185672840883731</v>
      </c>
      <c r="J96" s="16">
        <v>0.4932975871313673</v>
      </c>
      <c r="K96" s="16">
        <v>1.2316078790655063</v>
      </c>
      <c r="L96" s="16">
        <v>0.046296296296296294</v>
      </c>
      <c r="M96" s="16">
        <v>0.046296296296296294</v>
      </c>
      <c r="N96" s="16">
        <v>0.2962962962962963</v>
      </c>
      <c r="O96" s="16">
        <v>0.05555555555555555</v>
      </c>
      <c r="P96" s="35">
        <v>46020.0</v>
      </c>
    </row>
    <row r="97">
      <c r="A97" s="33">
        <v>46020.0</v>
      </c>
      <c r="B97" s="1" t="s">
        <v>60</v>
      </c>
      <c r="D97" s="1" t="s">
        <v>34</v>
      </c>
      <c r="E97" s="34">
        <v>71.0</v>
      </c>
      <c r="F97" s="34">
        <v>9.0</v>
      </c>
      <c r="G97" s="15">
        <v>645.0</v>
      </c>
      <c r="H97" s="16">
        <v>0.013953488372093023</v>
      </c>
      <c r="I97" s="17">
        <v>7.514728682170543</v>
      </c>
      <c r="J97" s="16">
        <v>0.6923076923076923</v>
      </c>
      <c r="K97" s="16">
        <v>0.2616632860040568</v>
      </c>
      <c r="L97" s="16">
        <v>0.014084507042253521</v>
      </c>
      <c r="M97" s="16">
        <v>0.014084507042253521</v>
      </c>
      <c r="N97" s="16">
        <v>0.07042253521126761</v>
      </c>
      <c r="O97" s="16">
        <v>0.08450704225352113</v>
      </c>
      <c r="P97" s="35">
        <v>46020.0</v>
      </c>
    </row>
    <row r="98">
      <c r="A98" s="33">
        <v>46021.0</v>
      </c>
      <c r="B98" s="1" t="s">
        <v>57</v>
      </c>
      <c r="E98" s="34">
        <v>1081.0</v>
      </c>
      <c r="F98" s="34">
        <v>13157.0</v>
      </c>
      <c r="G98" s="15">
        <v>1133212.0</v>
      </c>
      <c r="H98" s="16">
        <v>0.011610360638609546</v>
      </c>
      <c r="I98" s="17">
        <v>4.983137312347557</v>
      </c>
      <c r="J98" s="16">
        <v>1.202430999817218</v>
      </c>
      <c r="K98" s="16">
        <v>2.3892959326315077</v>
      </c>
      <c r="L98" s="16">
        <v>0.06105457909343201</v>
      </c>
      <c r="M98" s="16">
        <v>0.150786308973173</v>
      </c>
      <c r="N98" s="16">
        <v>0.2849213691026827</v>
      </c>
      <c r="O98" s="16">
        <v>0.13876040703052728</v>
      </c>
      <c r="P98" s="35">
        <v>46021.0</v>
      </c>
    </row>
    <row r="99">
      <c r="A99" s="33">
        <v>46021.0</v>
      </c>
      <c r="B99" s="1" t="s">
        <v>58</v>
      </c>
      <c r="E99" s="34">
        <v>740.0</v>
      </c>
      <c r="F99" s="34">
        <v>13076.0</v>
      </c>
      <c r="G99" s="15">
        <v>1131096.0</v>
      </c>
      <c r="H99" s="16">
        <v>0.011560468784258808</v>
      </c>
      <c r="I99" s="17">
        <v>4.981256232892699</v>
      </c>
      <c r="J99" s="16">
        <v>1.2047171549659113</v>
      </c>
      <c r="K99" s="16">
        <v>2.441948729905828</v>
      </c>
      <c r="L99" s="16">
        <v>0.08513513513513514</v>
      </c>
      <c r="M99" s="16">
        <v>0.21621621621621623</v>
      </c>
      <c r="N99" s="16">
        <v>0.3932432432432432</v>
      </c>
      <c r="O99" s="16">
        <v>0.18513513513513513</v>
      </c>
      <c r="P99" s="35">
        <v>46021.0</v>
      </c>
    </row>
    <row r="100">
      <c r="A100" s="33">
        <v>46021.0</v>
      </c>
      <c r="B100" s="1" t="s">
        <v>59</v>
      </c>
      <c r="C100" s="3" t="s">
        <v>2</v>
      </c>
      <c r="E100" s="34">
        <v>124.0</v>
      </c>
      <c r="F100" s="34">
        <v>650.0</v>
      </c>
      <c r="G100" s="15">
        <v>46169.0</v>
      </c>
      <c r="H100" s="16">
        <v>0.01407871082327969</v>
      </c>
      <c r="I100" s="17">
        <v>5.745998397192921</v>
      </c>
      <c r="J100" s="16">
        <v>2.145214521452145</v>
      </c>
      <c r="K100" s="16">
        <v>2.242737782959293</v>
      </c>
      <c r="L100" s="16">
        <v>0.056451612903225805</v>
      </c>
      <c r="M100" s="16">
        <v>0.08870967741935484</v>
      </c>
      <c r="N100" s="16">
        <v>0.3951612903225806</v>
      </c>
      <c r="O100" s="16">
        <v>0.07258064516129033</v>
      </c>
      <c r="P100" s="35">
        <v>46021.0</v>
      </c>
    </row>
    <row r="101">
      <c r="A101" s="33">
        <v>46021.0</v>
      </c>
      <c r="B101" s="1" t="s">
        <v>59</v>
      </c>
      <c r="C101" s="1" t="s">
        <v>3</v>
      </c>
      <c r="E101" s="34">
        <v>163.0</v>
      </c>
      <c r="F101" s="34">
        <v>857.0</v>
      </c>
      <c r="G101" s="15">
        <v>26889.0</v>
      </c>
      <c r="H101" s="16">
        <v>0.03187176912492097</v>
      </c>
      <c r="I101" s="17">
        <v>6.713674736881252</v>
      </c>
      <c r="J101" s="16">
        <v>1.3103975535168195</v>
      </c>
      <c r="K101" s="16">
        <v>1.120935467733867</v>
      </c>
      <c r="L101" s="16">
        <v>0.04294478527607362</v>
      </c>
      <c r="M101" s="16">
        <v>0.049079754601226995</v>
      </c>
      <c r="N101" s="16">
        <v>0.37423312883435583</v>
      </c>
      <c r="O101" s="16">
        <v>0.147239263803681</v>
      </c>
      <c r="P101" s="35">
        <v>46021.0</v>
      </c>
    </row>
    <row r="102">
      <c r="A102" s="33">
        <v>46021.0</v>
      </c>
      <c r="B102" s="1" t="s">
        <v>59</v>
      </c>
      <c r="C102" s="3" t="s">
        <v>4</v>
      </c>
      <c r="E102" s="34">
        <v>105.0</v>
      </c>
      <c r="F102" s="34">
        <v>435.0</v>
      </c>
      <c r="G102" s="15">
        <v>20505.0</v>
      </c>
      <c r="H102" s="16">
        <v>0.02121433796634967</v>
      </c>
      <c r="I102" s="17">
        <v>5.352743233357717</v>
      </c>
      <c r="J102" s="16">
        <v>0.6041666666666666</v>
      </c>
      <c r="K102" s="16">
        <v>0.9342962591698182</v>
      </c>
      <c r="L102" s="16">
        <v>0.05714285714285714</v>
      </c>
      <c r="M102" s="16">
        <v>0.0761904761904762</v>
      </c>
      <c r="N102" s="16">
        <v>0.18095238095238095</v>
      </c>
      <c r="O102" s="16">
        <v>0.13333333333333333</v>
      </c>
      <c r="P102" s="35">
        <v>46021.0</v>
      </c>
    </row>
    <row r="103">
      <c r="A103" s="33">
        <v>46021.0</v>
      </c>
      <c r="B103" s="1" t="s">
        <v>59</v>
      </c>
      <c r="C103" s="3" t="s">
        <v>5</v>
      </c>
      <c r="E103" s="34">
        <v>17.0</v>
      </c>
      <c r="F103" s="34">
        <v>2820.0</v>
      </c>
      <c r="G103" s="15">
        <v>48971.0</v>
      </c>
      <c r="H103" s="16">
        <v>0.05758510138653489</v>
      </c>
      <c r="I103" s="17">
        <v>6.401135365828756</v>
      </c>
      <c r="J103" s="16">
        <v>0.9985835694050992</v>
      </c>
      <c r="K103" s="16">
        <v>1.9768690456967544</v>
      </c>
      <c r="L103" s="16">
        <v>0.11764705882352941</v>
      </c>
      <c r="M103" s="16">
        <v>0.11764705882352941</v>
      </c>
      <c r="N103" s="16">
        <v>0.35294117647058826</v>
      </c>
      <c r="O103" s="16">
        <v>0.23529411764705882</v>
      </c>
      <c r="P103" s="35">
        <v>46021.0</v>
      </c>
    </row>
    <row r="104">
      <c r="A104" s="33">
        <v>46021.0</v>
      </c>
      <c r="B104" s="1" t="s">
        <v>59</v>
      </c>
      <c r="C104" s="3" t="s">
        <v>6</v>
      </c>
      <c r="E104" s="34">
        <v>29.0</v>
      </c>
      <c r="F104" s="34">
        <v>4735.0</v>
      </c>
      <c r="G104" s="15">
        <v>330222.0</v>
      </c>
      <c r="H104" s="16">
        <v>0.01433883872061825</v>
      </c>
      <c r="I104" s="17">
        <v>4.445884889559145</v>
      </c>
      <c r="J104" s="16">
        <v>1.0235624729788153</v>
      </c>
      <c r="K104" s="16">
        <v>1.7451472601110858</v>
      </c>
      <c r="L104" s="16">
        <v>0.0</v>
      </c>
      <c r="M104" s="16">
        <v>0.0</v>
      </c>
      <c r="N104" s="16">
        <v>0.7586206896551724</v>
      </c>
      <c r="O104" s="16">
        <v>0.1724137931034483</v>
      </c>
      <c r="P104" s="35">
        <v>46021.0</v>
      </c>
    </row>
    <row r="105">
      <c r="A105" s="33">
        <v>46021.0</v>
      </c>
      <c r="B105" s="1" t="s">
        <v>59</v>
      </c>
      <c r="C105" s="3" t="s">
        <v>7</v>
      </c>
      <c r="E105" s="34">
        <v>126.0</v>
      </c>
      <c r="F105" s="34">
        <v>664.0</v>
      </c>
      <c r="G105" s="15">
        <v>119710.0</v>
      </c>
      <c r="H105" s="16">
        <v>0.005546737950045944</v>
      </c>
      <c r="I105" s="17">
        <v>4.7200818645058895</v>
      </c>
      <c r="J105" s="16">
        <v>1.3747412008281574</v>
      </c>
      <c r="K105" s="16">
        <v>3.7313758493859486</v>
      </c>
      <c r="L105" s="16">
        <v>0.10317460317460317</v>
      </c>
      <c r="M105" s="16">
        <v>0.3888888888888889</v>
      </c>
      <c r="N105" s="16">
        <v>0.5079365079365079</v>
      </c>
      <c r="O105" s="16">
        <v>0.25396825396825395</v>
      </c>
      <c r="P105" s="35">
        <v>46021.0</v>
      </c>
    </row>
    <row r="106">
      <c r="A106" s="33">
        <v>46021.0</v>
      </c>
      <c r="B106" s="1" t="s">
        <v>59</v>
      </c>
      <c r="C106" s="3" t="s">
        <v>8</v>
      </c>
      <c r="E106" s="34">
        <v>118.0</v>
      </c>
      <c r="F106" s="34">
        <v>711.0</v>
      </c>
      <c r="G106" s="15">
        <v>207403.0</v>
      </c>
      <c r="H106" s="16">
        <v>0.0034281085615926483</v>
      </c>
      <c r="I106" s="17">
        <v>5.854799593062781</v>
      </c>
      <c r="J106" s="16">
        <v>0.7547770700636943</v>
      </c>
      <c r="K106" s="16">
        <v>1.8480833318482348</v>
      </c>
      <c r="L106" s="16">
        <v>0.211864406779661</v>
      </c>
      <c r="M106" s="16">
        <v>0.5508474576271186</v>
      </c>
      <c r="N106" s="16">
        <v>0.4067796610169492</v>
      </c>
      <c r="O106" s="16">
        <v>0.2627118644067797</v>
      </c>
      <c r="P106" s="35">
        <v>46021.0</v>
      </c>
    </row>
    <row r="107">
      <c r="A107" s="33">
        <v>46021.0</v>
      </c>
      <c r="B107" s="1" t="s">
        <v>59</v>
      </c>
      <c r="C107" s="3" t="s">
        <v>9</v>
      </c>
      <c r="E107" s="34">
        <v>11.0</v>
      </c>
      <c r="F107" s="34">
        <v>6.0</v>
      </c>
      <c r="G107" s="15">
        <v>350.0</v>
      </c>
      <c r="H107" s="16">
        <v>0.017142857142857144</v>
      </c>
      <c r="I107" s="17">
        <v>13.191428571428572</v>
      </c>
      <c r="J107" s="16">
        <v>1.0</v>
      </c>
      <c r="K107" s="16">
        <v>1.5981735159817352</v>
      </c>
      <c r="L107" s="16">
        <v>0.18181818181818182</v>
      </c>
      <c r="M107" s="16">
        <v>0.18181818181818182</v>
      </c>
      <c r="N107" s="16">
        <v>0.09090909090909091</v>
      </c>
      <c r="O107" s="16">
        <v>0.09090909090909091</v>
      </c>
      <c r="P107" s="35">
        <v>46021.0</v>
      </c>
    </row>
    <row r="108">
      <c r="A108" s="33">
        <v>46021.0</v>
      </c>
      <c r="B108" s="1" t="s">
        <v>59</v>
      </c>
      <c r="C108" s="3" t="s">
        <v>10</v>
      </c>
      <c r="E108" s="34">
        <v>47.0</v>
      </c>
      <c r="F108" s="34">
        <v>2198.0</v>
      </c>
      <c r="G108" s="15">
        <v>330877.0</v>
      </c>
      <c r="H108" s="16">
        <v>0.0066429519126442755</v>
      </c>
      <c r="I108" s="17">
        <v>4.573149538952541</v>
      </c>
      <c r="J108" s="16">
        <v>7.425675675675675</v>
      </c>
      <c r="K108" s="16">
        <v>8.672826400356477</v>
      </c>
      <c r="L108" s="16">
        <v>0.02127659574468085</v>
      </c>
      <c r="M108" s="16">
        <v>0.3191489361702128</v>
      </c>
      <c r="N108" s="16">
        <v>0.44680851063829785</v>
      </c>
      <c r="O108" s="16">
        <v>0.3617021276595745</v>
      </c>
      <c r="P108" s="35">
        <v>46021.0</v>
      </c>
    </row>
    <row r="109">
      <c r="A109" s="33">
        <v>46021.0</v>
      </c>
      <c r="B109" s="1" t="s">
        <v>60</v>
      </c>
      <c r="D109" s="1" t="s">
        <v>30</v>
      </c>
      <c r="E109" s="34">
        <v>9.0</v>
      </c>
      <c r="F109" s="34">
        <v>442.0</v>
      </c>
      <c r="G109" s="15">
        <v>9160.0</v>
      </c>
      <c r="H109" s="16">
        <v>0.0482532751091703</v>
      </c>
      <c r="I109" s="17">
        <v>8.589628820960698</v>
      </c>
      <c r="J109" s="16">
        <v>1.1391752577319587</v>
      </c>
      <c r="K109" s="16">
        <v>0.5682029650766082</v>
      </c>
      <c r="L109" s="16">
        <v>0.0</v>
      </c>
      <c r="M109" s="16">
        <v>0.0</v>
      </c>
      <c r="N109" s="16">
        <v>0.8888888888888888</v>
      </c>
      <c r="O109" s="16">
        <v>0.1111111111111111</v>
      </c>
      <c r="P109" s="35">
        <v>46021.0</v>
      </c>
    </row>
    <row r="110">
      <c r="A110" s="33">
        <v>46021.0</v>
      </c>
      <c r="B110" s="1" t="s">
        <v>60</v>
      </c>
      <c r="D110" s="1" t="s">
        <v>31</v>
      </c>
      <c r="E110" s="34">
        <v>78.0</v>
      </c>
      <c r="F110" s="34">
        <v>274.0</v>
      </c>
      <c r="G110" s="15">
        <v>9048.0</v>
      </c>
      <c r="H110" s="16">
        <v>0.03028293545534925</v>
      </c>
      <c r="I110" s="17">
        <v>7.647435897435898</v>
      </c>
      <c r="J110" s="16">
        <v>1.1759656652360515</v>
      </c>
      <c r="K110" s="16">
        <v>0.5871131010317305</v>
      </c>
      <c r="L110" s="16">
        <v>0.0641025641025641</v>
      </c>
      <c r="M110" s="16">
        <v>0.0641025641025641</v>
      </c>
      <c r="N110" s="16">
        <v>0.21794871794871795</v>
      </c>
      <c r="O110" s="16">
        <v>0.21794871794871795</v>
      </c>
      <c r="P110" s="35">
        <v>46021.0</v>
      </c>
    </row>
    <row r="111">
      <c r="A111" s="33">
        <v>46021.0</v>
      </c>
      <c r="B111" s="1" t="s">
        <v>60</v>
      </c>
      <c r="D111" s="1" t="s">
        <v>32</v>
      </c>
      <c r="E111" s="34">
        <v>474.0</v>
      </c>
      <c r="F111" s="34">
        <v>12163.0</v>
      </c>
      <c r="G111" s="15">
        <v>1098894.0</v>
      </c>
      <c r="H111" s="16">
        <v>0.011068401501873703</v>
      </c>
      <c r="I111" s="17">
        <v>4.923876188240176</v>
      </c>
      <c r="J111" s="16">
        <v>1.2331947683260671</v>
      </c>
      <c r="K111" s="16">
        <v>2.624982980156654</v>
      </c>
      <c r="L111" s="16">
        <v>0.10970464135021098</v>
      </c>
      <c r="M111" s="16">
        <v>0.3143459915611814</v>
      </c>
      <c r="N111" s="16">
        <v>0.47890295358649787</v>
      </c>
      <c r="O111" s="16">
        <v>0.22573839662447256</v>
      </c>
      <c r="P111" s="35">
        <v>46021.0</v>
      </c>
    </row>
    <row r="112">
      <c r="A112" s="33">
        <v>46021.0</v>
      </c>
      <c r="B112" s="1" t="s">
        <v>60</v>
      </c>
      <c r="D112" s="1" t="s">
        <v>33</v>
      </c>
      <c r="E112" s="34">
        <v>108.0</v>
      </c>
      <c r="F112" s="34">
        <v>186.0</v>
      </c>
      <c r="G112" s="15">
        <v>13353.0</v>
      </c>
      <c r="H112" s="16">
        <v>0.013929454055268478</v>
      </c>
      <c r="I112" s="17">
        <v>5.294840110836516</v>
      </c>
      <c r="J112" s="16">
        <v>0.5210084033613446</v>
      </c>
      <c r="K112" s="16">
        <v>1.2622176009074582</v>
      </c>
      <c r="L112" s="16">
        <v>0.046296296296296294</v>
      </c>
      <c r="M112" s="16">
        <v>0.046296296296296294</v>
      </c>
      <c r="N112" s="16">
        <v>0.3148148148148148</v>
      </c>
      <c r="O112" s="16">
        <v>0.05555555555555555</v>
      </c>
      <c r="P112" s="35">
        <v>46021.0</v>
      </c>
    </row>
    <row r="113">
      <c r="A113" s="33">
        <v>46021.0</v>
      </c>
      <c r="B113" s="1" t="s">
        <v>60</v>
      </c>
      <c r="D113" s="1" t="s">
        <v>34</v>
      </c>
      <c r="E113" s="34">
        <v>71.0</v>
      </c>
      <c r="F113" s="34">
        <v>11.0</v>
      </c>
      <c r="G113" s="15">
        <v>641.0</v>
      </c>
      <c r="H113" s="16">
        <v>0.0171606864274571</v>
      </c>
      <c r="I113" s="17">
        <v>7.619344773790951</v>
      </c>
      <c r="J113" s="16">
        <v>0.8461538461538461</v>
      </c>
      <c r="K113" s="16">
        <v>0.26120619396903016</v>
      </c>
      <c r="L113" s="16">
        <v>0.014084507042253521</v>
      </c>
      <c r="M113" s="16">
        <v>0.014084507042253521</v>
      </c>
      <c r="N113" s="16">
        <v>0.07042253521126761</v>
      </c>
      <c r="O113" s="16">
        <v>0.08450704225352113</v>
      </c>
      <c r="P113" s="35">
        <v>46021.0</v>
      </c>
    </row>
    <row r="114">
      <c r="A114" s="33">
        <v>46022.0</v>
      </c>
      <c r="B114" s="1" t="s">
        <v>57</v>
      </c>
      <c r="E114" s="34">
        <v>1081.0</v>
      </c>
      <c r="F114" s="34">
        <v>13329.0</v>
      </c>
      <c r="G114" s="15">
        <v>1158371.0</v>
      </c>
      <c r="H114" s="16">
        <v>0.011506676185781585</v>
      </c>
      <c r="I114" s="17">
        <v>4.960434955640292</v>
      </c>
      <c r="J114" s="16">
        <v>1.233481399222654</v>
      </c>
      <c r="K114" s="16">
        <v>2.4692266207369924</v>
      </c>
      <c r="L114" s="16">
        <v>0.060129509713228495</v>
      </c>
      <c r="M114" s="16">
        <v>0.15263644773358</v>
      </c>
      <c r="N114" s="16">
        <v>0.2895467160037003</v>
      </c>
      <c r="O114" s="16">
        <v>0.1341350601295097</v>
      </c>
      <c r="P114" s="35">
        <v>46022.0</v>
      </c>
    </row>
    <row r="115">
      <c r="A115" s="33">
        <v>46022.0</v>
      </c>
      <c r="B115" s="1" t="s">
        <v>58</v>
      </c>
      <c r="E115" s="34">
        <v>740.0</v>
      </c>
      <c r="F115" s="34">
        <v>13247.0</v>
      </c>
      <c r="G115" s="15">
        <v>1156246.0</v>
      </c>
      <c r="H115" s="16">
        <v>0.011456904499561512</v>
      </c>
      <c r="I115" s="17">
        <v>4.958685262478746</v>
      </c>
      <c r="J115" s="16">
        <v>1.2363042463835745</v>
      </c>
      <c r="K115" s="16">
        <v>2.5241192021463545</v>
      </c>
      <c r="L115" s="16">
        <v>0.08378378378378379</v>
      </c>
      <c r="M115" s="16">
        <v>0.21891891891891893</v>
      </c>
      <c r="N115" s="16">
        <v>0.4</v>
      </c>
      <c r="O115" s="16">
        <v>0.1783783783783784</v>
      </c>
      <c r="P115" s="35">
        <v>46022.0</v>
      </c>
    </row>
    <row r="116">
      <c r="A116" s="33">
        <v>46022.0</v>
      </c>
      <c r="B116" s="1" t="s">
        <v>59</v>
      </c>
      <c r="C116" s="3" t="s">
        <v>2</v>
      </c>
      <c r="E116" s="34">
        <v>124.0</v>
      </c>
      <c r="F116" s="34">
        <v>683.0</v>
      </c>
      <c r="G116" s="15">
        <v>47915.0</v>
      </c>
      <c r="H116" s="16">
        <v>0.014254408849003444</v>
      </c>
      <c r="I116" s="17">
        <v>5.707628091411875</v>
      </c>
      <c r="J116" s="16">
        <v>2.3152542372881357</v>
      </c>
      <c r="K116" s="16">
        <v>2.3298162014976174</v>
      </c>
      <c r="L116" s="16">
        <v>0.06451612903225806</v>
      </c>
      <c r="M116" s="16">
        <v>0.0967741935483871</v>
      </c>
      <c r="N116" s="16">
        <v>0.4032258064516129</v>
      </c>
      <c r="O116" s="16">
        <v>0.07258064516129033</v>
      </c>
      <c r="P116" s="35">
        <v>46022.0</v>
      </c>
    </row>
    <row r="117">
      <c r="A117" s="33">
        <v>46022.0</v>
      </c>
      <c r="B117" s="1" t="s">
        <v>59</v>
      </c>
      <c r="C117" s="1" t="s">
        <v>3</v>
      </c>
      <c r="E117" s="34">
        <v>163.0</v>
      </c>
      <c r="F117" s="34">
        <v>865.0</v>
      </c>
      <c r="G117" s="15">
        <v>27419.0</v>
      </c>
      <c r="H117" s="16">
        <v>0.03154746708486816</v>
      </c>
      <c r="I117" s="17">
        <v>6.698493745213173</v>
      </c>
      <c r="J117" s="16">
        <v>1.343167701863354</v>
      </c>
      <c r="K117" s="16">
        <v>1.148103173938531</v>
      </c>
      <c r="L117" s="16">
        <v>0.03680981595092025</v>
      </c>
      <c r="M117" s="16">
        <v>0.04294478527607362</v>
      </c>
      <c r="N117" s="16">
        <v>0.3619631901840491</v>
      </c>
      <c r="O117" s="16">
        <v>0.147239263803681</v>
      </c>
      <c r="P117" s="35">
        <v>46022.0</v>
      </c>
    </row>
    <row r="118">
      <c r="A118" s="33">
        <v>46022.0</v>
      </c>
      <c r="B118" s="1" t="s">
        <v>59</v>
      </c>
      <c r="C118" s="3" t="s">
        <v>4</v>
      </c>
      <c r="E118" s="34">
        <v>105.0</v>
      </c>
      <c r="F118" s="34">
        <v>433.0</v>
      </c>
      <c r="G118" s="15">
        <v>20756.0</v>
      </c>
      <c r="H118" s="16">
        <v>0.02086143765658123</v>
      </c>
      <c r="I118" s="17">
        <v>5.369868953555598</v>
      </c>
      <c r="J118" s="16">
        <v>0.6176890156918687</v>
      </c>
      <c r="K118" s="16">
        <v>0.9699518669096687</v>
      </c>
      <c r="L118" s="16">
        <v>0.06666666666666667</v>
      </c>
      <c r="M118" s="16">
        <v>0.08571428571428572</v>
      </c>
      <c r="N118" s="16">
        <v>0.19047619047619047</v>
      </c>
      <c r="O118" s="16">
        <v>0.13333333333333333</v>
      </c>
      <c r="P118" s="35">
        <v>46022.0</v>
      </c>
    </row>
    <row r="119">
      <c r="A119" s="33">
        <v>46022.0</v>
      </c>
      <c r="B119" s="1" t="s">
        <v>59</v>
      </c>
      <c r="C119" s="3" t="s">
        <v>5</v>
      </c>
      <c r="E119" s="34">
        <v>17.0</v>
      </c>
      <c r="F119" s="34">
        <v>2874.0</v>
      </c>
      <c r="G119" s="15">
        <v>49923.0</v>
      </c>
      <c r="H119" s="16">
        <v>0.05756865572982393</v>
      </c>
      <c r="I119" s="17">
        <v>6.394888127716683</v>
      </c>
      <c r="J119" s="16">
        <v>1.0109039746746395</v>
      </c>
      <c r="K119" s="16">
        <v>2.0353473581213306</v>
      </c>
      <c r="L119" s="16">
        <v>0.11764705882352941</v>
      </c>
      <c r="M119" s="16">
        <v>0.17647058823529413</v>
      </c>
      <c r="N119" s="16">
        <v>0.35294117647058826</v>
      </c>
      <c r="O119" s="16">
        <v>0.23529411764705882</v>
      </c>
      <c r="P119" s="35">
        <v>46022.0</v>
      </c>
    </row>
    <row r="120">
      <c r="A120" s="33">
        <v>46022.0</v>
      </c>
      <c r="B120" s="1" t="s">
        <v>59</v>
      </c>
      <c r="C120" s="3" t="s">
        <v>6</v>
      </c>
      <c r="E120" s="34">
        <v>29.0</v>
      </c>
      <c r="F120" s="34">
        <v>4743.0</v>
      </c>
      <c r="G120" s="15">
        <v>336340.0</v>
      </c>
      <c r="H120" s="16">
        <v>0.014101801748230957</v>
      </c>
      <c r="I120" s="17">
        <v>4.408399238865433</v>
      </c>
      <c r="J120" s="16">
        <v>1.050265721877768</v>
      </c>
      <c r="K120" s="16">
        <v>1.797024016242353</v>
      </c>
      <c r="L120" s="16">
        <v>0.0</v>
      </c>
      <c r="M120" s="16">
        <v>0.0</v>
      </c>
      <c r="N120" s="16">
        <v>0.7931034482758621</v>
      </c>
      <c r="O120" s="16">
        <v>0.1724137931034483</v>
      </c>
      <c r="P120" s="35">
        <v>46022.0</v>
      </c>
    </row>
    <row r="121">
      <c r="A121" s="33">
        <v>46022.0</v>
      </c>
      <c r="B121" s="1" t="s">
        <v>59</v>
      </c>
      <c r="C121" s="3" t="s">
        <v>7</v>
      </c>
      <c r="E121" s="34">
        <v>126.0</v>
      </c>
      <c r="F121" s="34">
        <v>669.0</v>
      </c>
      <c r="G121" s="15">
        <v>121930.0</v>
      </c>
      <c r="H121" s="16">
        <v>0.005486754695316985</v>
      </c>
      <c r="I121" s="17">
        <v>4.7132453046830145</v>
      </c>
      <c r="J121" s="16">
        <v>1.448051948051948</v>
      </c>
      <c r="K121" s="16">
        <v>3.848314606741573</v>
      </c>
      <c r="L121" s="16">
        <v>0.0873015873015873</v>
      </c>
      <c r="M121" s="16">
        <v>0.3888888888888889</v>
      </c>
      <c r="N121" s="16">
        <v>0.5317460317460317</v>
      </c>
      <c r="O121" s="16">
        <v>0.23015873015873015</v>
      </c>
      <c r="P121" s="35">
        <v>46022.0</v>
      </c>
    </row>
    <row r="122">
      <c r="A122" s="33">
        <v>46022.0</v>
      </c>
      <c r="B122" s="1" t="s">
        <v>59</v>
      </c>
      <c r="C122" s="3" t="s">
        <v>8</v>
      </c>
      <c r="E122" s="34">
        <v>118.0</v>
      </c>
      <c r="F122" s="34">
        <v>719.0</v>
      </c>
      <c r="G122" s="15">
        <v>211764.0</v>
      </c>
      <c r="H122" s="16">
        <v>0.0033952890954080956</v>
      </c>
      <c r="I122" s="17">
        <v>5.8213482933832</v>
      </c>
      <c r="J122" s="16">
        <v>0.7608465608465609</v>
      </c>
      <c r="K122" s="16">
        <v>1.9191778214806827</v>
      </c>
      <c r="L122" s="16">
        <v>0.211864406779661</v>
      </c>
      <c r="M122" s="16">
        <v>0.5508474576271186</v>
      </c>
      <c r="N122" s="16">
        <v>0.3983050847457627</v>
      </c>
      <c r="O122" s="16">
        <v>0.2627118644067797</v>
      </c>
      <c r="P122" s="35">
        <v>46022.0</v>
      </c>
    </row>
    <row r="123">
      <c r="A123" s="33">
        <v>46022.0</v>
      </c>
      <c r="B123" s="1" t="s">
        <v>59</v>
      </c>
      <c r="C123" s="3" t="s">
        <v>9</v>
      </c>
      <c r="E123" s="34">
        <v>11.0</v>
      </c>
      <c r="F123" s="34">
        <v>6.0</v>
      </c>
      <c r="G123" s="15">
        <v>356.0</v>
      </c>
      <c r="H123" s="16">
        <v>0.016853932584269662</v>
      </c>
      <c r="I123" s="17">
        <v>13.27808988764045</v>
      </c>
      <c r="J123" s="16">
        <v>1.0</v>
      </c>
      <c r="K123" s="16">
        <v>1.6255707762557077</v>
      </c>
      <c r="L123" s="16">
        <v>0.18181818181818182</v>
      </c>
      <c r="M123" s="16">
        <v>0.18181818181818182</v>
      </c>
      <c r="N123" s="16">
        <v>0.09090909090909091</v>
      </c>
      <c r="O123" s="16">
        <v>0.09090909090909091</v>
      </c>
      <c r="P123" s="35">
        <v>46022.0</v>
      </c>
    </row>
    <row r="124">
      <c r="A124" s="33">
        <v>46022.0</v>
      </c>
      <c r="B124" s="1" t="s">
        <v>59</v>
      </c>
      <c r="C124" s="3" t="s">
        <v>10</v>
      </c>
      <c r="E124" s="34">
        <v>47.0</v>
      </c>
      <c r="F124" s="34">
        <v>2255.0</v>
      </c>
      <c r="G124" s="15">
        <v>339843.0</v>
      </c>
      <c r="H124" s="16">
        <v>0.006635416942529344</v>
      </c>
      <c r="I124" s="17">
        <v>4.5630423460244875</v>
      </c>
      <c r="J124" s="16">
        <v>7.442244224422442</v>
      </c>
      <c r="K124" s="16">
        <v>8.874343909126518</v>
      </c>
      <c r="L124" s="16">
        <v>0.02127659574468085</v>
      </c>
      <c r="M124" s="16">
        <v>0.3191489361702128</v>
      </c>
      <c r="N124" s="16">
        <v>0.48936170212765956</v>
      </c>
      <c r="O124" s="16">
        <v>0.3191489361702128</v>
      </c>
      <c r="P124" s="35">
        <v>46022.0</v>
      </c>
    </row>
    <row r="125">
      <c r="A125" s="33">
        <v>46022.0</v>
      </c>
      <c r="B125" s="1" t="s">
        <v>60</v>
      </c>
      <c r="D125" s="1" t="s">
        <v>30</v>
      </c>
      <c r="E125" s="34">
        <v>9.0</v>
      </c>
      <c r="F125" s="34">
        <v>444.0</v>
      </c>
      <c r="G125" s="15">
        <v>9235.0</v>
      </c>
      <c r="H125" s="16">
        <v>0.048077964266377914</v>
      </c>
      <c r="I125" s="17">
        <v>8.623497563616676</v>
      </c>
      <c r="J125" s="16">
        <v>1.1808510638297873</v>
      </c>
      <c r="K125" s="16">
        <v>0.5738876460352971</v>
      </c>
      <c r="L125" s="16">
        <v>0.0</v>
      </c>
      <c r="M125" s="16">
        <v>0.0</v>
      </c>
      <c r="N125" s="16">
        <v>0.8888888888888888</v>
      </c>
      <c r="O125" s="16">
        <v>0.1111111111111111</v>
      </c>
      <c r="P125" s="35">
        <v>46022.0</v>
      </c>
    </row>
    <row r="126">
      <c r="A126" s="33">
        <v>46022.0</v>
      </c>
      <c r="B126" s="1" t="s">
        <v>60</v>
      </c>
      <c r="D126" s="1" t="s">
        <v>31</v>
      </c>
      <c r="E126" s="34">
        <v>78.0</v>
      </c>
      <c r="F126" s="34">
        <v>284.0</v>
      </c>
      <c r="G126" s="15">
        <v>9256.0</v>
      </c>
      <c r="H126" s="16">
        <v>0.030682800345721694</v>
      </c>
      <c r="I126" s="17">
        <v>7.623055315471046</v>
      </c>
      <c r="J126" s="16">
        <v>1.2294372294372293</v>
      </c>
      <c r="K126" s="16">
        <v>0.606672347119355</v>
      </c>
      <c r="L126" s="16">
        <v>0.0641025641025641</v>
      </c>
      <c r="M126" s="16">
        <v>0.0641025641025641</v>
      </c>
      <c r="N126" s="16">
        <v>0.21794871794871795</v>
      </c>
      <c r="O126" s="16">
        <v>0.20512820512820512</v>
      </c>
      <c r="P126" s="35">
        <v>46022.0</v>
      </c>
    </row>
    <row r="127">
      <c r="A127" s="33">
        <v>46022.0</v>
      </c>
      <c r="B127" s="1" t="s">
        <v>60</v>
      </c>
      <c r="D127" s="1" t="s">
        <v>32</v>
      </c>
      <c r="E127" s="34">
        <v>474.0</v>
      </c>
      <c r="F127" s="34">
        <v>12317.0</v>
      </c>
      <c r="G127" s="15">
        <v>1123630.0</v>
      </c>
      <c r="H127" s="16">
        <v>0.01096179347294038</v>
      </c>
      <c r="I127" s="17">
        <v>4.900325730000089</v>
      </c>
      <c r="J127" s="16">
        <v>1.2628934686763047</v>
      </c>
      <c r="K127" s="16">
        <v>2.713898576907842</v>
      </c>
      <c r="L127" s="16">
        <v>0.10759493670886076</v>
      </c>
      <c r="M127" s="16">
        <v>0.31856540084388185</v>
      </c>
      <c r="N127" s="16">
        <v>0.48523206751054854</v>
      </c>
      <c r="O127" s="16">
        <v>0.21940928270042195</v>
      </c>
      <c r="P127" s="35">
        <v>46022.0</v>
      </c>
    </row>
    <row r="128">
      <c r="A128" s="33">
        <v>46022.0</v>
      </c>
      <c r="B128" s="1" t="s">
        <v>60</v>
      </c>
      <c r="D128" s="1" t="s">
        <v>33</v>
      </c>
      <c r="E128" s="34">
        <v>108.0</v>
      </c>
      <c r="F128" s="34">
        <v>191.0</v>
      </c>
      <c r="G128" s="15">
        <v>13485.0</v>
      </c>
      <c r="H128" s="16">
        <v>0.014163885799035965</v>
      </c>
      <c r="I128" s="17">
        <v>5.3481646273637375</v>
      </c>
      <c r="J128" s="16">
        <v>0.5601173020527859</v>
      </c>
      <c r="K128" s="16">
        <v>1.3161233652156938</v>
      </c>
      <c r="L128" s="16">
        <v>0.046296296296296294</v>
      </c>
      <c r="M128" s="16">
        <v>0.046296296296296294</v>
      </c>
      <c r="N128" s="16">
        <v>0.3333333333333333</v>
      </c>
      <c r="O128" s="16">
        <v>0.046296296296296294</v>
      </c>
      <c r="P128" s="35">
        <v>46022.0</v>
      </c>
    </row>
    <row r="129">
      <c r="A129" s="33">
        <v>46022.0</v>
      </c>
      <c r="B129" s="1" t="s">
        <v>60</v>
      </c>
      <c r="D129" s="1" t="s">
        <v>34</v>
      </c>
      <c r="E129" s="34">
        <v>71.0</v>
      </c>
      <c r="F129" s="34">
        <v>11.0</v>
      </c>
      <c r="G129" s="15">
        <v>640.0</v>
      </c>
      <c r="H129" s="16">
        <v>0.0171875</v>
      </c>
      <c r="I129" s="17">
        <v>7.796875</v>
      </c>
      <c r="J129" s="16">
        <v>0.7857142857142857</v>
      </c>
      <c r="K129" s="16">
        <v>0.26058631921824105</v>
      </c>
      <c r="L129" s="16">
        <v>0.014084507042253521</v>
      </c>
      <c r="M129" s="16">
        <v>0.014084507042253521</v>
      </c>
      <c r="N129" s="16">
        <v>0.07042253521126761</v>
      </c>
      <c r="O129" s="16">
        <v>0.08450704225352113</v>
      </c>
      <c r="P129" s="35">
        <v>46022.0</v>
      </c>
    </row>
    <row r="130">
      <c r="A130" s="33">
        <v>46023.0</v>
      </c>
      <c r="B130" s="1" t="s">
        <v>57</v>
      </c>
      <c r="E130" s="34">
        <v>1081.0</v>
      </c>
      <c r="F130" s="34">
        <v>13448.0</v>
      </c>
      <c r="G130" s="15">
        <v>1178355.0</v>
      </c>
      <c r="H130" s="16">
        <v>0.011412519996096254</v>
      </c>
      <c r="I130" s="17">
        <v>4.940523865897799</v>
      </c>
      <c r="J130" s="16">
        <v>1.2486536675951718</v>
      </c>
      <c r="K130" s="16">
        <v>2.5153157499274235</v>
      </c>
      <c r="L130" s="16">
        <v>0.05920444033302498</v>
      </c>
      <c r="M130" s="16">
        <v>0.150786308973173</v>
      </c>
      <c r="N130" s="16">
        <v>0.29417206290471787</v>
      </c>
      <c r="O130" s="16">
        <v>0.12950971322849214</v>
      </c>
      <c r="P130" s="35">
        <v>46023.30260416667</v>
      </c>
    </row>
    <row r="131">
      <c r="A131" s="33">
        <v>46023.0</v>
      </c>
      <c r="B131" s="1" t="s">
        <v>58</v>
      </c>
      <c r="E131" s="34">
        <v>740.0</v>
      </c>
      <c r="F131" s="34">
        <v>13366.0</v>
      </c>
      <c r="G131" s="15">
        <v>1176256.0</v>
      </c>
      <c r="H131" s="16">
        <v>0.011363172642690027</v>
      </c>
      <c r="I131" s="17">
        <v>4.93920456091191</v>
      </c>
      <c r="J131" s="16">
        <v>1.2517325341824312</v>
      </c>
      <c r="K131" s="16">
        <v>2.5709558333351548</v>
      </c>
      <c r="L131" s="16">
        <v>0.08243243243243244</v>
      </c>
      <c r="M131" s="16">
        <v>0.21621621621621623</v>
      </c>
      <c r="N131" s="16">
        <v>0.40675675675675677</v>
      </c>
      <c r="O131" s="16">
        <v>0.17027027027027028</v>
      </c>
      <c r="P131" s="35">
        <v>46023.30260416667</v>
      </c>
    </row>
    <row r="132">
      <c r="A132" s="33">
        <v>46023.0</v>
      </c>
      <c r="B132" s="1" t="s">
        <v>59</v>
      </c>
      <c r="C132" s="3" t="s">
        <v>2</v>
      </c>
      <c r="E132" s="34">
        <v>124.0</v>
      </c>
      <c r="F132" s="34">
        <v>705.0</v>
      </c>
      <c r="G132" s="15">
        <v>49663.0</v>
      </c>
      <c r="H132" s="16">
        <v>0.01419567887562169</v>
      </c>
      <c r="I132" s="17">
        <v>5.659283571270362</v>
      </c>
      <c r="J132" s="16">
        <v>2.4310344827586206</v>
      </c>
      <c r="K132" s="16">
        <v>2.431361989621071</v>
      </c>
      <c r="L132" s="16">
        <v>0.06451612903225806</v>
      </c>
      <c r="M132" s="16">
        <v>0.0967741935483871</v>
      </c>
      <c r="N132" s="16">
        <v>0.4112903225806452</v>
      </c>
      <c r="O132" s="16">
        <v>0.07258064516129033</v>
      </c>
      <c r="P132" s="35">
        <v>46023.30260416667</v>
      </c>
    </row>
    <row r="133">
      <c r="A133" s="33">
        <v>46023.0</v>
      </c>
      <c r="B133" s="1" t="s">
        <v>59</v>
      </c>
      <c r="C133" s="1" t="s">
        <v>3</v>
      </c>
      <c r="E133" s="34">
        <v>163.0</v>
      </c>
      <c r="F133" s="34">
        <v>869.0</v>
      </c>
      <c r="G133" s="15">
        <v>27970.0</v>
      </c>
      <c r="H133" s="16">
        <v>0.031069002502681443</v>
      </c>
      <c r="I133" s="17">
        <v>6.650017876296031</v>
      </c>
      <c r="J133" s="16">
        <v>1.3493788819875776</v>
      </c>
      <c r="K133" s="16">
        <v>1.1747658448485867</v>
      </c>
      <c r="L133" s="16">
        <v>0.03680981595092025</v>
      </c>
      <c r="M133" s="16">
        <v>0.04294478527607362</v>
      </c>
      <c r="N133" s="16">
        <v>0.3619631901840491</v>
      </c>
      <c r="O133" s="16">
        <v>0.13496932515337423</v>
      </c>
      <c r="P133" s="35">
        <v>46023.30260416667</v>
      </c>
    </row>
    <row r="134">
      <c r="A134" s="33">
        <v>46023.0</v>
      </c>
      <c r="B134" s="1" t="s">
        <v>59</v>
      </c>
      <c r="C134" s="3" t="s">
        <v>4</v>
      </c>
      <c r="E134" s="34">
        <v>105.0</v>
      </c>
      <c r="F134" s="34">
        <v>435.0</v>
      </c>
      <c r="G134" s="15">
        <v>20835.0</v>
      </c>
      <c r="H134" s="16">
        <v>0.02087832973362131</v>
      </c>
      <c r="I134" s="17">
        <v>5.3969762419006475</v>
      </c>
      <c r="J134" s="16">
        <v>0.6313497822931785</v>
      </c>
      <c r="K134" s="16">
        <v>0.9877216270029392</v>
      </c>
      <c r="L134" s="16">
        <v>0.05714285714285714</v>
      </c>
      <c r="M134" s="16">
        <v>0.08571428571428572</v>
      </c>
      <c r="N134" s="16">
        <v>0.22857142857142856</v>
      </c>
      <c r="O134" s="16">
        <v>0.09523809523809523</v>
      </c>
      <c r="P134" s="35">
        <v>46023.30260416667</v>
      </c>
    </row>
    <row r="135">
      <c r="A135" s="33">
        <v>46023.0</v>
      </c>
      <c r="B135" s="1" t="s">
        <v>59</v>
      </c>
      <c r="C135" s="3" t="s">
        <v>5</v>
      </c>
      <c r="E135" s="34">
        <v>17.0</v>
      </c>
      <c r="F135" s="34">
        <v>2906.0</v>
      </c>
      <c r="G135" s="15">
        <v>50590.0</v>
      </c>
      <c r="H135" s="16">
        <v>0.057442182249456415</v>
      </c>
      <c r="I135" s="17">
        <v>6.363708242735719</v>
      </c>
      <c r="J135" s="16">
        <v>1.008327550312283</v>
      </c>
      <c r="K135" s="16">
        <v>2.046438250879819</v>
      </c>
      <c r="L135" s="16">
        <v>0.11764705882352941</v>
      </c>
      <c r="M135" s="16">
        <v>0.17647058823529413</v>
      </c>
      <c r="N135" s="16">
        <v>0.35294117647058826</v>
      </c>
      <c r="O135" s="16">
        <v>0.23529411764705882</v>
      </c>
      <c r="P135" s="35">
        <v>46023.30260416667</v>
      </c>
    </row>
    <row r="136">
      <c r="A136" s="33">
        <v>46023.0</v>
      </c>
      <c r="B136" s="1" t="s">
        <v>59</v>
      </c>
      <c r="C136" s="3" t="s">
        <v>6</v>
      </c>
      <c r="E136" s="34">
        <v>29.0</v>
      </c>
      <c r="F136" s="34">
        <v>4748.0</v>
      </c>
      <c r="G136" s="15">
        <v>340842.0</v>
      </c>
      <c r="H136" s="16">
        <v>0.013930208131626971</v>
      </c>
      <c r="I136" s="17">
        <v>4.379756602766091</v>
      </c>
      <c r="J136" s="16">
        <v>1.061479991057456</v>
      </c>
      <c r="K136" s="16">
        <v>1.8229574481740582</v>
      </c>
      <c r="L136" s="16">
        <v>0.0</v>
      </c>
      <c r="M136" s="16">
        <v>0.0</v>
      </c>
      <c r="N136" s="16">
        <v>0.7241379310344828</v>
      </c>
      <c r="O136" s="16">
        <v>0.2413793103448276</v>
      </c>
      <c r="P136" s="35">
        <v>46023.30260416667</v>
      </c>
    </row>
    <row r="137">
      <c r="A137" s="33">
        <v>46023.0</v>
      </c>
      <c r="B137" s="1" t="s">
        <v>59</v>
      </c>
      <c r="C137" s="3" t="s">
        <v>7</v>
      </c>
      <c r="E137" s="34">
        <v>126.0</v>
      </c>
      <c r="F137" s="34">
        <v>677.0</v>
      </c>
      <c r="G137" s="15">
        <v>123871.0</v>
      </c>
      <c r="H137" s="16">
        <v>0.0054653631600616774</v>
      </c>
      <c r="I137" s="17">
        <v>4.695820652130038</v>
      </c>
      <c r="J137" s="16">
        <v>1.4944812362030906</v>
      </c>
      <c r="K137" s="16">
        <v>3.903046916847843</v>
      </c>
      <c r="L137" s="16">
        <v>0.0873015873015873</v>
      </c>
      <c r="M137" s="16">
        <v>0.373015873015873</v>
      </c>
      <c r="N137" s="16">
        <v>0.5396825396825397</v>
      </c>
      <c r="O137" s="16">
        <v>0.2222222222222222</v>
      </c>
      <c r="P137" s="35">
        <v>46023.30260416667</v>
      </c>
    </row>
    <row r="138">
      <c r="A138" s="33">
        <v>46023.0</v>
      </c>
      <c r="B138" s="1" t="s">
        <v>59</v>
      </c>
      <c r="C138" s="3" t="s">
        <v>8</v>
      </c>
      <c r="E138" s="34">
        <v>118.0</v>
      </c>
      <c r="F138" s="34">
        <v>729.0</v>
      </c>
      <c r="G138" s="15">
        <v>215704.0</v>
      </c>
      <c r="H138" s="16">
        <v>0.003379631346660238</v>
      </c>
      <c r="I138" s="17">
        <v>5.789994622260134</v>
      </c>
      <c r="J138" s="16">
        <v>0.7821888412017167</v>
      </c>
      <c r="K138" s="16">
        <v>1.966379813302217</v>
      </c>
      <c r="L138" s="16">
        <v>0.211864406779661</v>
      </c>
      <c r="M138" s="16">
        <v>0.559322033898305</v>
      </c>
      <c r="N138" s="16">
        <v>0.4067796610169492</v>
      </c>
      <c r="O138" s="16">
        <v>0.2542372881355932</v>
      </c>
      <c r="P138" s="35">
        <v>46023.30260416667</v>
      </c>
    </row>
    <row r="139">
      <c r="A139" s="33">
        <v>46023.0</v>
      </c>
      <c r="B139" s="1" t="s">
        <v>59</v>
      </c>
      <c r="C139" s="3" t="s">
        <v>9</v>
      </c>
      <c r="E139" s="34">
        <v>11.0</v>
      </c>
      <c r="F139" s="34">
        <v>6.0</v>
      </c>
      <c r="G139" s="15">
        <v>368.0</v>
      </c>
      <c r="H139" s="16">
        <v>0.016304347826086956</v>
      </c>
      <c r="I139" s="17">
        <v>13.429347826086957</v>
      </c>
      <c r="J139" s="16">
        <v>1.0</v>
      </c>
      <c r="K139" s="16">
        <v>1.6355555555555557</v>
      </c>
      <c r="L139" s="16">
        <v>0.18181818181818182</v>
      </c>
      <c r="M139" s="16">
        <v>0.18181818181818182</v>
      </c>
      <c r="N139" s="16">
        <v>0.09090909090909091</v>
      </c>
      <c r="O139" s="16">
        <v>0.09090909090909091</v>
      </c>
      <c r="P139" s="35">
        <v>46023.30260416667</v>
      </c>
    </row>
    <row r="140">
      <c r="A140" s="33">
        <v>46023.0</v>
      </c>
      <c r="B140" s="1" t="s">
        <v>59</v>
      </c>
      <c r="C140" s="3" t="s">
        <v>10</v>
      </c>
      <c r="E140" s="34">
        <v>47.0</v>
      </c>
      <c r="F140" s="34">
        <v>2291.0</v>
      </c>
      <c r="G140" s="15">
        <v>346413.0</v>
      </c>
      <c r="H140" s="16">
        <v>0.006613493142578367</v>
      </c>
      <c r="I140" s="17">
        <v>4.560963358765404</v>
      </c>
      <c r="J140" s="16">
        <v>7.414239482200648</v>
      </c>
      <c r="K140" s="16">
        <v>8.91966423771146</v>
      </c>
      <c r="L140" s="16">
        <v>0.02127659574468085</v>
      </c>
      <c r="M140" s="16">
        <v>0.2978723404255319</v>
      </c>
      <c r="N140" s="16">
        <v>0.48936170212765956</v>
      </c>
      <c r="O140" s="16">
        <v>0.3191489361702128</v>
      </c>
      <c r="P140" s="35">
        <v>46023.30260416667</v>
      </c>
    </row>
    <row r="141">
      <c r="A141" s="33">
        <v>46023.0</v>
      </c>
      <c r="B141" s="1" t="s">
        <v>60</v>
      </c>
      <c r="D141" s="1" t="s">
        <v>30</v>
      </c>
      <c r="E141" s="34">
        <v>9.0</v>
      </c>
      <c r="F141" s="34">
        <v>441.0</v>
      </c>
      <c r="G141" s="15">
        <v>9219.0</v>
      </c>
      <c r="H141" s="16">
        <v>0.04783599088838269</v>
      </c>
      <c r="I141" s="17">
        <v>8.57988935893264</v>
      </c>
      <c r="J141" s="16">
        <v>1.1574803149606299</v>
      </c>
      <c r="K141" s="16">
        <v>0.5722177394326857</v>
      </c>
      <c r="L141" s="16">
        <v>0.0</v>
      </c>
      <c r="M141" s="16">
        <v>0.0</v>
      </c>
      <c r="N141" s="16">
        <v>0.7777777777777778</v>
      </c>
      <c r="O141" s="16">
        <v>0.2222222222222222</v>
      </c>
      <c r="P141" s="35">
        <v>46023.30260416667</v>
      </c>
    </row>
    <row r="142">
      <c r="A142" s="33">
        <v>46023.0</v>
      </c>
      <c r="B142" s="1" t="s">
        <v>60</v>
      </c>
      <c r="D142" s="1" t="s">
        <v>31</v>
      </c>
      <c r="E142" s="34">
        <v>78.0</v>
      </c>
      <c r="F142" s="34">
        <v>287.0</v>
      </c>
      <c r="G142" s="15">
        <v>9316.0</v>
      </c>
      <c r="H142" s="16">
        <v>0.030807213396307428</v>
      </c>
      <c r="I142" s="17">
        <v>7.47155431515672</v>
      </c>
      <c r="J142" s="16">
        <v>1.2424242424242424</v>
      </c>
      <c r="K142" s="16">
        <v>0.6167902542372882</v>
      </c>
      <c r="L142" s="16">
        <v>0.05128205128205128</v>
      </c>
      <c r="M142" s="16">
        <v>0.05128205128205128</v>
      </c>
      <c r="N142" s="16">
        <v>0.24358974358974358</v>
      </c>
      <c r="O142" s="16">
        <v>0.16666666666666666</v>
      </c>
      <c r="P142" s="35">
        <v>46023.30260416667</v>
      </c>
    </row>
    <row r="143">
      <c r="A143" s="33">
        <v>46023.0</v>
      </c>
      <c r="B143" s="1" t="s">
        <v>60</v>
      </c>
      <c r="D143" s="1" t="s">
        <v>32</v>
      </c>
      <c r="E143" s="34">
        <v>474.0</v>
      </c>
      <c r="F143" s="34">
        <v>12434.0</v>
      </c>
      <c r="G143" s="15">
        <v>1143544.0</v>
      </c>
      <c r="H143" s="16">
        <v>0.010873215197666203</v>
      </c>
      <c r="I143" s="17">
        <v>4.881719461603576</v>
      </c>
      <c r="J143" s="16">
        <v>1.2788234084130412</v>
      </c>
      <c r="K143" s="16">
        <v>2.763959452208424</v>
      </c>
      <c r="L143" s="16">
        <v>0.10759493670886076</v>
      </c>
      <c r="M143" s="16">
        <v>0.3143459915611814</v>
      </c>
      <c r="N143" s="16">
        <v>0.49156118143459915</v>
      </c>
      <c r="O143" s="16">
        <v>0.21308016877637131</v>
      </c>
      <c r="P143" s="35">
        <v>46023.30260416667</v>
      </c>
    </row>
    <row r="144">
      <c r="A144" s="33">
        <v>46023.0</v>
      </c>
      <c r="B144" s="1" t="s">
        <v>60</v>
      </c>
      <c r="D144" s="1" t="s">
        <v>33</v>
      </c>
      <c r="E144" s="34">
        <v>108.0</v>
      </c>
      <c r="F144" s="34">
        <v>193.0</v>
      </c>
      <c r="G144" s="15">
        <v>13538.0</v>
      </c>
      <c r="H144" s="16">
        <v>0.014256167823903088</v>
      </c>
      <c r="I144" s="17">
        <v>5.43440685477914</v>
      </c>
      <c r="J144" s="16">
        <v>0.5866261398176292</v>
      </c>
      <c r="K144" s="16">
        <v>1.336558396682792</v>
      </c>
      <c r="L144" s="16">
        <v>0.046296296296296294</v>
      </c>
      <c r="M144" s="16">
        <v>0.05555555555555555</v>
      </c>
      <c r="N144" s="16">
        <v>0.3425925925925926</v>
      </c>
      <c r="O144" s="16">
        <v>0.037037037037037035</v>
      </c>
      <c r="P144" s="35">
        <v>46023.30260416667</v>
      </c>
    </row>
    <row r="145">
      <c r="A145" s="33">
        <v>46023.0</v>
      </c>
      <c r="B145" s="1" t="s">
        <v>60</v>
      </c>
      <c r="D145" s="1" t="s">
        <v>34</v>
      </c>
      <c r="E145" s="34">
        <v>71.0</v>
      </c>
      <c r="F145" s="34">
        <v>11.0</v>
      </c>
      <c r="G145" s="15">
        <v>639.0</v>
      </c>
      <c r="H145" s="16">
        <v>0.017214397496087636</v>
      </c>
      <c r="I145" s="17">
        <v>7.877934272300469</v>
      </c>
      <c r="J145" s="16">
        <v>0.7857142857142857</v>
      </c>
      <c r="K145" s="16">
        <v>0.26199261992619927</v>
      </c>
      <c r="L145" s="16">
        <v>0.014084507042253521</v>
      </c>
      <c r="M145" s="16">
        <v>0.014084507042253521</v>
      </c>
      <c r="N145" s="16">
        <v>0.07042253521126761</v>
      </c>
      <c r="O145" s="16">
        <v>0.08450704225352113</v>
      </c>
      <c r="P145" s="35">
        <v>46023.30260416667</v>
      </c>
    </row>
    <row r="146">
      <c r="A146" s="33">
        <v>46024.0</v>
      </c>
      <c r="B146" s="1" t="s">
        <v>57</v>
      </c>
      <c r="E146" s="34">
        <v>1081.0</v>
      </c>
      <c r="F146" s="34">
        <v>13465.0</v>
      </c>
      <c r="G146" s="15">
        <v>1190148.0</v>
      </c>
      <c r="H146" s="16">
        <v>0.011313718966044559</v>
      </c>
      <c r="I146" s="17">
        <v>4.933247797752885</v>
      </c>
      <c r="J146" s="16">
        <v>1.2640818625610215</v>
      </c>
      <c r="K146" s="16">
        <v>2.5544699811980047</v>
      </c>
      <c r="L146" s="16">
        <v>0.061979648473635525</v>
      </c>
      <c r="M146" s="16">
        <v>0.15356151711378355</v>
      </c>
      <c r="N146" s="16">
        <v>0.2960222016651249</v>
      </c>
      <c r="O146" s="16">
        <v>0.1322849213691027</v>
      </c>
      <c r="P146" s="35">
        <v>46024.30259259259</v>
      </c>
    </row>
    <row r="147">
      <c r="A147" s="33">
        <v>46024.0</v>
      </c>
      <c r="B147" s="1" t="s">
        <v>58</v>
      </c>
      <c r="E147" s="34">
        <v>740.0</v>
      </c>
      <c r="F147" s="34">
        <v>13391.0</v>
      </c>
      <c r="G147" s="15">
        <v>1188063.0</v>
      </c>
      <c r="H147" s="16">
        <v>0.011271287802077836</v>
      </c>
      <c r="I147" s="17">
        <v>4.931496898733485</v>
      </c>
      <c r="J147" s="16">
        <v>1.2679670485749455</v>
      </c>
      <c r="K147" s="16">
        <v>2.609831160786071</v>
      </c>
      <c r="L147" s="16">
        <v>0.08513513513513514</v>
      </c>
      <c r="M147" s="16">
        <v>0.21891891891891893</v>
      </c>
      <c r="N147" s="16">
        <v>0.40945945945945944</v>
      </c>
      <c r="O147" s="16">
        <v>0.17297297297297298</v>
      </c>
      <c r="P147" s="35">
        <v>46024.30259259259</v>
      </c>
    </row>
    <row r="148">
      <c r="A148" s="33">
        <v>46024.0</v>
      </c>
      <c r="B148" s="1" t="s">
        <v>59</v>
      </c>
      <c r="C148" s="3" t="s">
        <v>2</v>
      </c>
      <c r="E148" s="34">
        <v>124.0</v>
      </c>
      <c r="F148" s="34">
        <v>727.0</v>
      </c>
      <c r="G148" s="15">
        <v>51402.0</v>
      </c>
      <c r="H148" s="16">
        <v>0.014143418544025524</v>
      </c>
      <c r="I148" s="17">
        <v>5.699058402396794</v>
      </c>
      <c r="J148" s="16">
        <v>2.578014184397163</v>
      </c>
      <c r="K148" s="16">
        <v>2.5538828439409746</v>
      </c>
      <c r="L148" s="16">
        <v>0.056451612903225805</v>
      </c>
      <c r="M148" s="16">
        <v>0.08870967741935484</v>
      </c>
      <c r="N148" s="16">
        <v>0.43548387096774194</v>
      </c>
      <c r="O148" s="16">
        <v>0.06451612903225806</v>
      </c>
      <c r="P148" s="35">
        <v>46024.30259259259</v>
      </c>
    </row>
    <row r="149">
      <c r="A149" s="33">
        <v>46024.0</v>
      </c>
      <c r="B149" s="1" t="s">
        <v>59</v>
      </c>
      <c r="C149" s="1" t="s">
        <v>3</v>
      </c>
      <c r="E149" s="34">
        <v>163.0</v>
      </c>
      <c r="F149" s="34">
        <v>873.0</v>
      </c>
      <c r="G149" s="15">
        <v>28395.0</v>
      </c>
      <c r="H149" s="16">
        <v>0.030744849445324882</v>
      </c>
      <c r="I149" s="17">
        <v>6.742912484592358</v>
      </c>
      <c r="J149" s="16">
        <v>1.3683385579937304</v>
      </c>
      <c r="K149" s="16">
        <v>1.2056812874187932</v>
      </c>
      <c r="L149" s="16">
        <v>0.04294478527607362</v>
      </c>
      <c r="M149" s="16">
        <v>0.049079754601226995</v>
      </c>
      <c r="N149" s="16">
        <v>0.3619631901840491</v>
      </c>
      <c r="O149" s="16">
        <v>0.1411042944785276</v>
      </c>
      <c r="P149" s="35">
        <v>46024.30259259259</v>
      </c>
    </row>
    <row r="150">
      <c r="A150" s="33">
        <v>46024.0</v>
      </c>
      <c r="B150" s="1" t="s">
        <v>59</v>
      </c>
      <c r="C150" s="3" t="s">
        <v>4</v>
      </c>
      <c r="E150" s="34">
        <v>105.0</v>
      </c>
      <c r="F150" s="34">
        <v>435.0</v>
      </c>
      <c r="G150" s="15">
        <v>20762.0</v>
      </c>
      <c r="H150" s="16">
        <v>0.020951738753491957</v>
      </c>
      <c r="I150" s="17">
        <v>5.580290916096716</v>
      </c>
      <c r="J150" s="16">
        <v>0.6378299120234604</v>
      </c>
      <c r="K150" s="16">
        <v>0.9998555261256923</v>
      </c>
      <c r="L150" s="16">
        <v>0.0761904761904762</v>
      </c>
      <c r="M150" s="16">
        <v>0.09523809523809523</v>
      </c>
      <c r="N150" s="16">
        <v>0.20952380952380953</v>
      </c>
      <c r="O150" s="16">
        <v>0.11428571428571428</v>
      </c>
      <c r="P150" s="35">
        <v>46024.30259259259</v>
      </c>
    </row>
    <row r="151">
      <c r="A151" s="33">
        <v>46024.0</v>
      </c>
      <c r="B151" s="1" t="s">
        <v>59</v>
      </c>
      <c r="C151" s="3" t="s">
        <v>5</v>
      </c>
      <c r="E151" s="34">
        <v>17.0</v>
      </c>
      <c r="F151" s="34">
        <v>2940.0</v>
      </c>
      <c r="G151" s="15">
        <v>51022.0</v>
      </c>
      <c r="H151" s="16">
        <v>0.057622202187291756</v>
      </c>
      <c r="I151" s="17">
        <v>6.356944063345224</v>
      </c>
      <c r="J151" s="16">
        <v>1.0197710718002082</v>
      </c>
      <c r="K151" s="16">
        <v>2.0665046577561768</v>
      </c>
      <c r="L151" s="16">
        <v>0.11764705882352941</v>
      </c>
      <c r="M151" s="16">
        <v>0.17647058823529413</v>
      </c>
      <c r="N151" s="16">
        <v>0.35294117647058826</v>
      </c>
      <c r="O151" s="16">
        <v>0.23529411764705882</v>
      </c>
      <c r="P151" s="35">
        <v>46024.30259259259</v>
      </c>
    </row>
    <row r="152">
      <c r="A152" s="33">
        <v>46024.0</v>
      </c>
      <c r="B152" s="1" t="s">
        <v>59</v>
      </c>
      <c r="C152" s="3" t="s">
        <v>6</v>
      </c>
      <c r="E152" s="34">
        <v>29.0</v>
      </c>
      <c r="F152" s="34">
        <v>4701.0</v>
      </c>
      <c r="G152" s="15">
        <v>344223.0</v>
      </c>
      <c r="H152" s="16">
        <v>0.013656844545541698</v>
      </c>
      <c r="I152" s="17">
        <v>4.3460692632392375</v>
      </c>
      <c r="J152" s="16">
        <v>1.0735327700388217</v>
      </c>
      <c r="K152" s="16">
        <v>1.8489217134416545</v>
      </c>
      <c r="L152" s="16">
        <v>0.0</v>
      </c>
      <c r="M152" s="16">
        <v>0.0</v>
      </c>
      <c r="N152" s="16">
        <v>0.7586206896551724</v>
      </c>
      <c r="O152" s="16">
        <v>0.20689655172413793</v>
      </c>
      <c r="P152" s="35">
        <v>46024.30259259259</v>
      </c>
    </row>
    <row r="153">
      <c r="A153" s="33">
        <v>46024.0</v>
      </c>
      <c r="B153" s="1" t="s">
        <v>59</v>
      </c>
      <c r="C153" s="3" t="s">
        <v>7</v>
      </c>
      <c r="E153" s="34">
        <v>126.0</v>
      </c>
      <c r="F153" s="34">
        <v>672.0</v>
      </c>
      <c r="G153" s="15">
        <v>124271.0</v>
      </c>
      <c r="H153" s="16">
        <v>0.0054075367543513775</v>
      </c>
      <c r="I153" s="17">
        <v>4.694377610222819</v>
      </c>
      <c r="J153" s="16">
        <v>1.5</v>
      </c>
      <c r="K153" s="16">
        <v>3.9239343227028733</v>
      </c>
      <c r="L153" s="16">
        <v>0.0873015873015873</v>
      </c>
      <c r="M153" s="16">
        <v>0.373015873015873</v>
      </c>
      <c r="N153" s="16">
        <v>0.5555555555555556</v>
      </c>
      <c r="O153" s="16">
        <v>0.1984126984126984</v>
      </c>
      <c r="P153" s="35">
        <v>46024.30259259259</v>
      </c>
    </row>
    <row r="154">
      <c r="A154" s="33">
        <v>46024.0</v>
      </c>
      <c r="B154" s="1" t="s">
        <v>59</v>
      </c>
      <c r="C154" s="3" t="s">
        <v>8</v>
      </c>
      <c r="E154" s="34">
        <v>118.0</v>
      </c>
      <c r="F154" s="34">
        <v>726.0</v>
      </c>
      <c r="G154" s="15">
        <v>218059.0</v>
      </c>
      <c r="H154" s="16">
        <v>0.0033293741602043484</v>
      </c>
      <c r="I154" s="17">
        <v>5.767700484731197</v>
      </c>
      <c r="J154" s="16">
        <v>0.7925764192139738</v>
      </c>
      <c r="K154" s="16">
        <v>2.0058042202476223</v>
      </c>
      <c r="L154" s="16">
        <v>0.211864406779661</v>
      </c>
      <c r="M154" s="16">
        <v>0.5677966101694916</v>
      </c>
      <c r="N154" s="16">
        <v>0.4152542372881356</v>
      </c>
      <c r="O154" s="16">
        <v>0.2627118644067797</v>
      </c>
      <c r="P154" s="35">
        <v>46024.30259259259</v>
      </c>
    </row>
    <row r="155">
      <c r="A155" s="33">
        <v>46024.0</v>
      </c>
      <c r="B155" s="1" t="s">
        <v>59</v>
      </c>
      <c r="C155" s="3" t="s">
        <v>9</v>
      </c>
      <c r="E155" s="34">
        <v>11.0</v>
      </c>
      <c r="F155" s="34">
        <v>6.0</v>
      </c>
      <c r="G155" s="15">
        <v>397.0</v>
      </c>
      <c r="H155" s="16">
        <v>0.015113350125944584</v>
      </c>
      <c r="I155" s="17">
        <v>14.874055415617129</v>
      </c>
      <c r="J155" s="16">
        <v>1.0</v>
      </c>
      <c r="K155" s="16">
        <v>1.7882882882882882</v>
      </c>
      <c r="L155" s="16">
        <v>0.18181818181818182</v>
      </c>
      <c r="M155" s="16">
        <v>0.18181818181818182</v>
      </c>
      <c r="N155" s="16">
        <v>0.09090909090909091</v>
      </c>
      <c r="O155" s="16">
        <v>0.09090909090909091</v>
      </c>
      <c r="P155" s="35">
        <v>46024.30259259259</v>
      </c>
    </row>
    <row r="156">
      <c r="A156" s="33">
        <v>46024.0</v>
      </c>
      <c r="B156" s="1" t="s">
        <v>59</v>
      </c>
      <c r="C156" s="3" t="s">
        <v>10</v>
      </c>
      <c r="E156" s="34">
        <v>47.0</v>
      </c>
      <c r="F156" s="34">
        <v>2311.0</v>
      </c>
      <c r="G156" s="15">
        <v>349532.0</v>
      </c>
      <c r="H156" s="16">
        <v>0.006611697927514505</v>
      </c>
      <c r="I156" s="17">
        <v>4.552724786285662</v>
      </c>
      <c r="J156" s="16">
        <v>7.0672782874617734</v>
      </c>
      <c r="K156" s="16">
        <v>8.891229141229141</v>
      </c>
      <c r="L156" s="16">
        <v>0.02127659574468085</v>
      </c>
      <c r="M156" s="16">
        <v>0.2978723404255319</v>
      </c>
      <c r="N156" s="16">
        <v>0.425531914893617</v>
      </c>
      <c r="O156" s="16">
        <v>0.3829787234042553</v>
      </c>
      <c r="P156" s="35">
        <v>46024.30259259259</v>
      </c>
    </row>
    <row r="157">
      <c r="A157" s="33">
        <v>46024.0</v>
      </c>
      <c r="B157" s="1" t="s">
        <v>60</v>
      </c>
      <c r="D157" s="1" t="s">
        <v>30</v>
      </c>
      <c r="E157" s="34">
        <v>9.0</v>
      </c>
      <c r="F157" s="34">
        <v>440.0</v>
      </c>
      <c r="G157" s="15">
        <v>9306.0</v>
      </c>
      <c r="H157" s="16">
        <v>0.04728132387706856</v>
      </c>
      <c r="I157" s="17">
        <v>8.978938319363852</v>
      </c>
      <c r="J157" s="16">
        <v>1.1796246648793565</v>
      </c>
      <c r="K157" s="16">
        <v>0.5828270808542619</v>
      </c>
      <c r="L157" s="16">
        <v>0.0</v>
      </c>
      <c r="M157" s="16">
        <v>0.0</v>
      </c>
      <c r="N157" s="16">
        <v>0.7777777777777778</v>
      </c>
      <c r="O157" s="16">
        <v>0.2222222222222222</v>
      </c>
      <c r="P157" s="35">
        <v>46024.30259259259</v>
      </c>
    </row>
    <row r="158">
      <c r="A158" s="33">
        <v>46024.0</v>
      </c>
      <c r="B158" s="1" t="s">
        <v>60</v>
      </c>
      <c r="D158" s="1" t="s">
        <v>31</v>
      </c>
      <c r="E158" s="34">
        <v>78.0</v>
      </c>
      <c r="F158" s="34">
        <v>286.0</v>
      </c>
      <c r="G158" s="15">
        <v>9406.0</v>
      </c>
      <c r="H158" s="16">
        <v>0.030406123750797362</v>
      </c>
      <c r="I158" s="17">
        <v>7.547310227514353</v>
      </c>
      <c r="J158" s="16">
        <v>1.2543859649122806</v>
      </c>
      <c r="K158" s="16">
        <v>0.6345544086891992</v>
      </c>
      <c r="L158" s="16">
        <v>0.0641025641025641</v>
      </c>
      <c r="M158" s="16">
        <v>0.0641025641025641</v>
      </c>
      <c r="N158" s="16">
        <v>0.23076923076923078</v>
      </c>
      <c r="O158" s="16">
        <v>0.1794871794871795</v>
      </c>
      <c r="P158" s="35">
        <v>46024.30259259259</v>
      </c>
    </row>
    <row r="159">
      <c r="A159" s="33">
        <v>46024.0</v>
      </c>
      <c r="B159" s="1" t="s">
        <v>60</v>
      </c>
      <c r="D159" s="1" t="s">
        <v>32</v>
      </c>
      <c r="E159" s="34">
        <v>474.0</v>
      </c>
      <c r="F159" s="34">
        <v>12460.0</v>
      </c>
      <c r="G159" s="15">
        <v>1155270.0</v>
      </c>
      <c r="H159" s="16">
        <v>0.0107853575354679</v>
      </c>
      <c r="I159" s="17">
        <v>4.8671488050412455</v>
      </c>
      <c r="J159" s="16">
        <v>1.2941420855837142</v>
      </c>
      <c r="K159" s="16">
        <v>2.8037267502815206</v>
      </c>
      <c r="L159" s="16">
        <v>0.10759493670886076</v>
      </c>
      <c r="M159" s="16">
        <v>0.3143459915611814</v>
      </c>
      <c r="N159" s="16">
        <v>0.4936708860759494</v>
      </c>
      <c r="O159" s="16">
        <v>0.21518987341772153</v>
      </c>
      <c r="P159" s="35">
        <v>46024.30259259259</v>
      </c>
    </row>
    <row r="160">
      <c r="A160" s="33">
        <v>46024.0</v>
      </c>
      <c r="B160" s="1" t="s">
        <v>60</v>
      </c>
      <c r="D160" s="1" t="s">
        <v>33</v>
      </c>
      <c r="E160" s="34">
        <v>108.0</v>
      </c>
      <c r="F160" s="34">
        <v>195.0</v>
      </c>
      <c r="G160" s="15">
        <v>13442.0</v>
      </c>
      <c r="H160" s="16">
        <v>0.014506769825918761</v>
      </c>
      <c r="I160" s="17">
        <v>5.682785299806576</v>
      </c>
      <c r="J160" s="16">
        <v>0.6132075471698113</v>
      </c>
      <c r="K160" s="16">
        <v>1.3443344334433442</v>
      </c>
      <c r="L160" s="16">
        <v>0.046296296296296294</v>
      </c>
      <c r="M160" s="16">
        <v>0.05555555555555555</v>
      </c>
      <c r="N160" s="16">
        <v>0.3611111111111111</v>
      </c>
      <c r="O160" s="16">
        <v>0.037037037037037035</v>
      </c>
      <c r="P160" s="35">
        <v>46024.30259259259</v>
      </c>
    </row>
    <row r="161">
      <c r="A161" s="33">
        <v>46024.0</v>
      </c>
      <c r="B161" s="1" t="s">
        <v>60</v>
      </c>
      <c r="D161" s="1" t="s">
        <v>34</v>
      </c>
      <c r="E161" s="34">
        <v>71.0</v>
      </c>
      <c r="F161" s="34">
        <v>10.0</v>
      </c>
      <c r="G161" s="15">
        <v>639.0</v>
      </c>
      <c r="H161" s="16">
        <v>0.01564945226917058</v>
      </c>
      <c r="I161" s="17">
        <v>8.015649452269171</v>
      </c>
      <c r="J161" s="16">
        <v>0.7142857142857143</v>
      </c>
      <c r="K161" s="16">
        <v>0.2674759313520301</v>
      </c>
      <c r="L161" s="16">
        <v>0.028169014084507043</v>
      </c>
      <c r="M161" s="16">
        <v>0.028169014084507043</v>
      </c>
      <c r="N161" s="16">
        <v>0.07042253521126761</v>
      </c>
      <c r="O161" s="16">
        <v>0.08450704225352113</v>
      </c>
      <c r="P161" s="35">
        <v>46024.30259259259</v>
      </c>
    </row>
    <row r="162">
      <c r="A162" s="33">
        <v>46025.0</v>
      </c>
      <c r="B162" s="1" t="s">
        <v>57</v>
      </c>
      <c r="E162" s="34">
        <v>1081.0</v>
      </c>
      <c r="F162" s="34">
        <v>13354.0</v>
      </c>
      <c r="G162" s="15">
        <v>1196844.0</v>
      </c>
      <c r="H162" s="16">
        <v>0.011157678026543142</v>
      </c>
      <c r="I162" s="17">
        <v>4.907728993920678</v>
      </c>
      <c r="J162" s="16">
        <v>1.2814509164187697</v>
      </c>
      <c r="K162" s="16">
        <v>2.6168932968625986</v>
      </c>
      <c r="L162" s="16">
        <v>0.06475485661424607</v>
      </c>
      <c r="M162" s="16">
        <v>0.1572617946345976</v>
      </c>
      <c r="N162" s="16">
        <v>0.2923219241443108</v>
      </c>
      <c r="O162" s="16">
        <v>0.13043478260869565</v>
      </c>
      <c r="P162" s="35">
        <v>46025.302615740744</v>
      </c>
    </row>
    <row r="163">
      <c r="A163" s="33">
        <v>46025.0</v>
      </c>
      <c r="B163" s="1" t="s">
        <v>58</v>
      </c>
      <c r="E163" s="34">
        <v>740.0</v>
      </c>
      <c r="F163" s="34">
        <v>13285.0</v>
      </c>
      <c r="G163" s="15">
        <v>1194824.0</v>
      </c>
      <c r="H163" s="16">
        <v>0.011118792391180625</v>
      </c>
      <c r="I163" s="17">
        <v>4.905565171104699</v>
      </c>
      <c r="J163" s="16">
        <v>1.2856866350527436</v>
      </c>
      <c r="K163" s="16">
        <v>2.6740312202763947</v>
      </c>
      <c r="L163" s="16">
        <v>0.0891891891891892</v>
      </c>
      <c r="M163" s="16">
        <v>0.22432432432432434</v>
      </c>
      <c r="N163" s="16">
        <v>0.4081081081081081</v>
      </c>
      <c r="O163" s="16">
        <v>0.16891891891891891</v>
      </c>
      <c r="P163" s="35">
        <v>46025.302615740744</v>
      </c>
    </row>
    <row r="164">
      <c r="A164" s="33">
        <v>46025.0</v>
      </c>
      <c r="B164" s="1" t="s">
        <v>59</v>
      </c>
      <c r="C164" s="3" t="s">
        <v>2</v>
      </c>
      <c r="E164" s="34">
        <v>124.0</v>
      </c>
      <c r="F164" s="34">
        <v>744.0</v>
      </c>
      <c r="G164" s="15">
        <v>52429.0</v>
      </c>
      <c r="H164" s="16">
        <v>0.014190619695206852</v>
      </c>
      <c r="I164" s="17">
        <v>5.678460394056724</v>
      </c>
      <c r="J164" s="16">
        <v>2.6476868327402134</v>
      </c>
      <c r="K164" s="16">
        <v>2.6419249181153943</v>
      </c>
      <c r="L164" s="16">
        <v>0.056451612903225805</v>
      </c>
      <c r="M164" s="16">
        <v>0.08064516129032258</v>
      </c>
      <c r="N164" s="16">
        <v>0.43548387096774194</v>
      </c>
      <c r="O164" s="16">
        <v>0.06451612903225806</v>
      </c>
      <c r="P164" s="35">
        <v>46025.302615740744</v>
      </c>
    </row>
    <row r="165">
      <c r="A165" s="33">
        <v>46025.0</v>
      </c>
      <c r="B165" s="1" t="s">
        <v>59</v>
      </c>
      <c r="C165" s="1" t="s">
        <v>3</v>
      </c>
      <c r="E165" s="34">
        <v>163.0</v>
      </c>
      <c r="F165" s="34">
        <v>860.0</v>
      </c>
      <c r="G165" s="15">
        <v>28343.0</v>
      </c>
      <c r="H165" s="16">
        <v>0.030342588999047383</v>
      </c>
      <c r="I165" s="17">
        <v>6.7361253219489825</v>
      </c>
      <c r="J165" s="16">
        <v>1.376</v>
      </c>
      <c r="K165" s="16">
        <v>1.2282457964985265</v>
      </c>
      <c r="L165" s="16">
        <v>0.04294478527607362</v>
      </c>
      <c r="M165" s="16">
        <v>0.049079754601226995</v>
      </c>
      <c r="N165" s="16">
        <v>0.3619631901840491</v>
      </c>
      <c r="O165" s="16">
        <v>0.1411042944785276</v>
      </c>
      <c r="P165" s="35">
        <v>46025.302615740744</v>
      </c>
    </row>
    <row r="166">
      <c r="A166" s="33">
        <v>46025.0</v>
      </c>
      <c r="B166" s="1" t="s">
        <v>59</v>
      </c>
      <c r="C166" s="3" t="s">
        <v>4</v>
      </c>
      <c r="E166" s="34">
        <v>105.0</v>
      </c>
      <c r="F166" s="34">
        <v>419.0</v>
      </c>
      <c r="G166" s="15">
        <v>20432.0</v>
      </c>
      <c r="H166" s="16">
        <v>0.020507047768206735</v>
      </c>
      <c r="I166" s="17">
        <v>5.6241679718089275</v>
      </c>
      <c r="J166" s="16">
        <v>0.6300751879699248</v>
      </c>
      <c r="K166" s="16">
        <v>1.0157088884470074</v>
      </c>
      <c r="L166" s="16">
        <v>0.08571428571428572</v>
      </c>
      <c r="M166" s="16">
        <v>0.10476190476190476</v>
      </c>
      <c r="N166" s="16">
        <v>0.2</v>
      </c>
      <c r="O166" s="16">
        <v>0.12380952380952381</v>
      </c>
      <c r="P166" s="35">
        <v>46025.302615740744</v>
      </c>
    </row>
    <row r="167">
      <c r="A167" s="33">
        <v>46025.0</v>
      </c>
      <c r="B167" s="1" t="s">
        <v>59</v>
      </c>
      <c r="C167" s="3" t="s">
        <v>5</v>
      </c>
      <c r="E167" s="34">
        <v>17.0</v>
      </c>
      <c r="F167" s="34">
        <v>2939.0</v>
      </c>
      <c r="G167" s="15">
        <v>51083.0</v>
      </c>
      <c r="H167" s="16">
        <v>0.05753381751267545</v>
      </c>
      <c r="I167" s="17">
        <v>6.351917467650686</v>
      </c>
      <c r="J167" s="16">
        <v>1.0211952744961779</v>
      </c>
      <c r="K167" s="16">
        <v>2.0852757480507815</v>
      </c>
      <c r="L167" s="16">
        <v>0.17647058823529413</v>
      </c>
      <c r="M167" s="16">
        <v>0.23529411764705882</v>
      </c>
      <c r="N167" s="16">
        <v>0.35294117647058826</v>
      </c>
      <c r="O167" s="16">
        <v>0.23529411764705882</v>
      </c>
      <c r="P167" s="35">
        <v>46025.302615740744</v>
      </c>
    </row>
    <row r="168">
      <c r="A168" s="33">
        <v>46025.0</v>
      </c>
      <c r="B168" s="1" t="s">
        <v>59</v>
      </c>
      <c r="C168" s="3" t="s">
        <v>6</v>
      </c>
      <c r="E168" s="34">
        <v>29.0</v>
      </c>
      <c r="F168" s="34">
        <v>4630.0</v>
      </c>
      <c r="G168" s="15">
        <v>352071.0</v>
      </c>
      <c r="H168" s="16">
        <v>0.013150756523542126</v>
      </c>
      <c r="I168" s="17">
        <v>4.28701313087417</v>
      </c>
      <c r="J168" s="16">
        <v>1.094562647754137</v>
      </c>
      <c r="K168" s="16">
        <v>1.925021324060101</v>
      </c>
      <c r="L168" s="16">
        <v>0.0</v>
      </c>
      <c r="M168" s="16">
        <v>0.0</v>
      </c>
      <c r="N168" s="16">
        <v>0.7586206896551724</v>
      </c>
      <c r="O168" s="16">
        <v>0.20689655172413793</v>
      </c>
      <c r="P168" s="35">
        <v>46025.302615740744</v>
      </c>
    </row>
    <row r="169">
      <c r="A169" s="33">
        <v>46025.0</v>
      </c>
      <c r="B169" s="1" t="s">
        <v>59</v>
      </c>
      <c r="C169" s="3" t="s">
        <v>7</v>
      </c>
      <c r="E169" s="34">
        <v>126.0</v>
      </c>
      <c r="F169" s="34">
        <v>658.0</v>
      </c>
      <c r="G169" s="15">
        <v>122869.0</v>
      </c>
      <c r="H169" s="16">
        <v>0.005355297105046839</v>
      </c>
      <c r="I169" s="17">
        <v>4.7015195045129365</v>
      </c>
      <c r="J169" s="16">
        <v>1.5373831775700935</v>
      </c>
      <c r="K169" s="16">
        <v>3.950136633981675</v>
      </c>
      <c r="L169" s="16">
        <v>0.09523809523809523</v>
      </c>
      <c r="M169" s="16">
        <v>0.3888888888888889</v>
      </c>
      <c r="N169" s="16">
        <v>0.5476190476190477</v>
      </c>
      <c r="O169" s="16">
        <v>0.1984126984126984</v>
      </c>
      <c r="P169" s="35">
        <v>46025.302615740744</v>
      </c>
    </row>
    <row r="170">
      <c r="A170" s="33">
        <v>46025.0</v>
      </c>
      <c r="B170" s="1" t="s">
        <v>59</v>
      </c>
      <c r="C170" s="3" t="s">
        <v>8</v>
      </c>
      <c r="E170" s="34">
        <v>118.0</v>
      </c>
      <c r="F170" s="34">
        <v>716.0</v>
      </c>
      <c r="G170" s="15">
        <v>218193.0</v>
      </c>
      <c r="H170" s="16">
        <v>0.003281498489869061</v>
      </c>
      <c r="I170" s="17">
        <v>5.745477627604918</v>
      </c>
      <c r="J170" s="16">
        <v>0.8008948545861297</v>
      </c>
      <c r="K170" s="16">
        <v>2.05887126451966</v>
      </c>
      <c r="L170" s="16">
        <v>0.211864406779661</v>
      </c>
      <c r="M170" s="16">
        <v>0.5677966101694916</v>
      </c>
      <c r="N170" s="16">
        <v>0.4152542372881356</v>
      </c>
      <c r="O170" s="16">
        <v>0.23728813559322035</v>
      </c>
      <c r="P170" s="35">
        <v>46025.302615740744</v>
      </c>
    </row>
    <row r="171">
      <c r="A171" s="33">
        <v>46025.0</v>
      </c>
      <c r="B171" s="1" t="s">
        <v>59</v>
      </c>
      <c r="C171" s="3" t="s">
        <v>9</v>
      </c>
      <c r="E171" s="34">
        <v>11.0</v>
      </c>
      <c r="F171" s="34">
        <v>7.0</v>
      </c>
      <c r="G171" s="15">
        <v>400.0</v>
      </c>
      <c r="H171" s="16">
        <v>0.0175</v>
      </c>
      <c r="I171" s="17">
        <v>15.305</v>
      </c>
      <c r="J171" s="16">
        <v>1.1666666666666667</v>
      </c>
      <c r="K171" s="16">
        <v>1.7937219730941705</v>
      </c>
      <c r="L171" s="16">
        <v>0.18181818181818182</v>
      </c>
      <c r="M171" s="16">
        <v>0.18181818181818182</v>
      </c>
      <c r="N171" s="16">
        <v>0.09090909090909091</v>
      </c>
      <c r="O171" s="16">
        <v>0.09090909090909091</v>
      </c>
      <c r="P171" s="35">
        <v>46025.302615740744</v>
      </c>
    </row>
    <row r="172">
      <c r="A172" s="33">
        <v>46025.0</v>
      </c>
      <c r="B172" s="1" t="s">
        <v>59</v>
      </c>
      <c r="C172" s="3" t="s">
        <v>10</v>
      </c>
      <c r="E172" s="34">
        <v>47.0</v>
      </c>
      <c r="F172" s="34">
        <v>2312.0</v>
      </c>
      <c r="G172" s="15">
        <v>349004.0</v>
      </c>
      <c r="H172" s="16">
        <v>0.006624565907554068</v>
      </c>
      <c r="I172" s="17">
        <v>4.545827554985043</v>
      </c>
      <c r="J172" s="16">
        <v>7.0920245398773005</v>
      </c>
      <c r="K172" s="16">
        <v>8.92730342252008</v>
      </c>
      <c r="L172" s="16">
        <v>0.02127659574468085</v>
      </c>
      <c r="M172" s="16">
        <v>0.3191489361702128</v>
      </c>
      <c r="N172" s="16">
        <v>0.44680851063829785</v>
      </c>
      <c r="O172" s="16">
        <v>0.3617021276595745</v>
      </c>
      <c r="P172" s="35">
        <v>46025.302615740744</v>
      </c>
    </row>
    <row r="173">
      <c r="A173" s="33">
        <v>46025.0</v>
      </c>
      <c r="B173" s="1" t="s">
        <v>60</v>
      </c>
      <c r="D173" s="1" t="s">
        <v>30</v>
      </c>
      <c r="E173" s="34">
        <v>9.0</v>
      </c>
      <c r="F173" s="34">
        <v>435.0</v>
      </c>
      <c r="G173" s="15">
        <v>9263.0</v>
      </c>
      <c r="H173" s="16">
        <v>0.046961027744791106</v>
      </c>
      <c r="I173" s="17">
        <v>9.078592248731512</v>
      </c>
      <c r="J173" s="16">
        <v>1.1983471074380165</v>
      </c>
      <c r="K173" s="16">
        <v>0.5859691295546559</v>
      </c>
      <c r="L173" s="16">
        <v>0.0</v>
      </c>
      <c r="M173" s="16">
        <v>0.0</v>
      </c>
      <c r="N173" s="16">
        <v>0.6666666666666666</v>
      </c>
      <c r="O173" s="16">
        <v>0.3333333333333333</v>
      </c>
      <c r="P173" s="35">
        <v>46025.302615740744</v>
      </c>
    </row>
    <row r="174">
      <c r="A174" s="33">
        <v>46025.0</v>
      </c>
      <c r="B174" s="1" t="s">
        <v>60</v>
      </c>
      <c r="D174" s="1" t="s">
        <v>31</v>
      </c>
      <c r="E174" s="34">
        <v>78.0</v>
      </c>
      <c r="F174" s="34">
        <v>283.0</v>
      </c>
      <c r="G174" s="15">
        <v>9358.0</v>
      </c>
      <c r="H174" s="16">
        <v>0.03024150459499893</v>
      </c>
      <c r="I174" s="17">
        <v>7.5891216071810215</v>
      </c>
      <c r="J174" s="16">
        <v>1.2690582959641257</v>
      </c>
      <c r="K174" s="16">
        <v>0.644224149800358</v>
      </c>
      <c r="L174" s="16">
        <v>0.0641025641025641</v>
      </c>
      <c r="M174" s="16">
        <v>0.0641025641025641</v>
      </c>
      <c r="N174" s="16">
        <v>0.23076923076923078</v>
      </c>
      <c r="O174" s="16">
        <v>0.1794871794871795</v>
      </c>
      <c r="P174" s="35">
        <v>46025.302615740744</v>
      </c>
    </row>
    <row r="175">
      <c r="A175" s="33">
        <v>46025.0</v>
      </c>
      <c r="B175" s="1" t="s">
        <v>60</v>
      </c>
      <c r="D175" s="1" t="s">
        <v>32</v>
      </c>
      <c r="E175" s="34">
        <v>474.0</v>
      </c>
      <c r="F175" s="34">
        <v>12367.0</v>
      </c>
      <c r="G175" s="15">
        <v>1162412.0</v>
      </c>
      <c r="H175" s="16">
        <v>0.010639084937182342</v>
      </c>
      <c r="I175" s="17">
        <v>4.839194708932805</v>
      </c>
      <c r="J175" s="16">
        <v>1.3121485411140583</v>
      </c>
      <c r="K175" s="16">
        <v>2.8738642741120013</v>
      </c>
      <c r="L175" s="16">
        <v>0.11181434599156118</v>
      </c>
      <c r="M175" s="16">
        <v>0.3206751054852321</v>
      </c>
      <c r="N175" s="16">
        <v>0.49156118143459915</v>
      </c>
      <c r="O175" s="16">
        <v>0.2088607594936709</v>
      </c>
      <c r="P175" s="35">
        <v>46025.302615740744</v>
      </c>
    </row>
    <row r="176">
      <c r="A176" s="33">
        <v>46025.0</v>
      </c>
      <c r="B176" s="1" t="s">
        <v>60</v>
      </c>
      <c r="D176" s="1" t="s">
        <v>33</v>
      </c>
      <c r="E176" s="34">
        <v>108.0</v>
      </c>
      <c r="F176" s="34">
        <v>190.0</v>
      </c>
      <c r="G176" s="15">
        <v>13168.0</v>
      </c>
      <c r="H176" s="16">
        <v>0.014428918590522479</v>
      </c>
      <c r="I176" s="17">
        <v>5.772099027946537</v>
      </c>
      <c r="J176" s="16">
        <v>0.6168831168831169</v>
      </c>
      <c r="K176" s="16">
        <v>1.3632881250647064</v>
      </c>
      <c r="L176" s="16">
        <v>0.05555555555555555</v>
      </c>
      <c r="M176" s="16">
        <v>0.06481481481481481</v>
      </c>
      <c r="N176" s="16">
        <v>0.37037037037037035</v>
      </c>
      <c r="O176" s="16">
        <v>0.027777777777777776</v>
      </c>
      <c r="P176" s="35">
        <v>46025.302615740744</v>
      </c>
    </row>
    <row r="177">
      <c r="A177" s="33">
        <v>46025.0</v>
      </c>
      <c r="B177" s="1" t="s">
        <v>60</v>
      </c>
      <c r="D177" s="1" t="s">
        <v>34</v>
      </c>
      <c r="E177" s="34">
        <v>71.0</v>
      </c>
      <c r="F177" s="34">
        <v>10.0</v>
      </c>
      <c r="G177" s="15">
        <v>623.0</v>
      </c>
      <c r="H177" s="16">
        <v>0.016051364365971106</v>
      </c>
      <c r="I177" s="17">
        <v>8.070626003210274</v>
      </c>
      <c r="J177" s="16">
        <v>0.7142857142857143</v>
      </c>
      <c r="K177" s="16">
        <v>0.2645435244161359</v>
      </c>
      <c r="L177" s="16">
        <v>0.028169014084507043</v>
      </c>
      <c r="M177" s="16">
        <v>0.028169014084507043</v>
      </c>
      <c r="N177" s="16">
        <v>0.07042253521126761</v>
      </c>
      <c r="O177" s="16">
        <v>0.08450704225352113</v>
      </c>
      <c r="P177" s="35">
        <v>46025.302615740744</v>
      </c>
    </row>
    <row r="178">
      <c r="A178" s="33">
        <v>46026.0</v>
      </c>
      <c r="B178" s="1" t="s">
        <v>57</v>
      </c>
      <c r="E178" s="34">
        <v>1081.0</v>
      </c>
      <c r="F178" s="34">
        <v>13303.0</v>
      </c>
      <c r="G178" s="15">
        <v>1204811.0</v>
      </c>
      <c r="H178" s="16">
        <v>0.011041565855557428</v>
      </c>
      <c r="I178" s="17">
        <v>4.884939629535255</v>
      </c>
      <c r="J178" s="16">
        <v>1.3039600078415996</v>
      </c>
      <c r="K178" s="16">
        <v>2.6842832285073266</v>
      </c>
      <c r="L178" s="16">
        <v>0.06290471785383904</v>
      </c>
      <c r="M178" s="16">
        <v>0.15541165587419056</v>
      </c>
      <c r="N178" s="16">
        <v>0.28769657724329323</v>
      </c>
      <c r="O178" s="16">
        <v>0.1322849213691027</v>
      </c>
      <c r="P178" s="35">
        <v>46026.30269675926</v>
      </c>
    </row>
    <row r="179">
      <c r="A179" s="33">
        <v>46026.0</v>
      </c>
      <c r="B179" s="1" t="s">
        <v>58</v>
      </c>
      <c r="E179" s="34">
        <v>740.0</v>
      </c>
      <c r="F179" s="34">
        <v>13236.0</v>
      </c>
      <c r="G179" s="15">
        <v>1202813.0</v>
      </c>
      <c r="H179" s="16">
        <v>0.011004204311060821</v>
      </c>
      <c r="I179" s="17">
        <v>4.882655076059205</v>
      </c>
      <c r="J179" s="16">
        <v>1.3088104420053397</v>
      </c>
      <c r="K179" s="16">
        <v>2.7423166716824894</v>
      </c>
      <c r="L179" s="16">
        <v>0.08513513513513514</v>
      </c>
      <c r="M179" s="16">
        <v>0.22027027027027027</v>
      </c>
      <c r="N179" s="16">
        <v>0.40135135135135136</v>
      </c>
      <c r="O179" s="16">
        <v>0.17162162162162162</v>
      </c>
      <c r="P179" s="35">
        <v>46026.30269675926</v>
      </c>
    </row>
    <row r="180">
      <c r="A180" s="33">
        <v>46026.0</v>
      </c>
      <c r="B180" s="1" t="s">
        <v>59</v>
      </c>
      <c r="C180" s="3" t="s">
        <v>2</v>
      </c>
      <c r="E180" s="34">
        <v>124.0</v>
      </c>
      <c r="F180" s="34">
        <v>759.0</v>
      </c>
      <c r="G180" s="15">
        <v>53917.0</v>
      </c>
      <c r="H180" s="16">
        <v>0.014077192722147004</v>
      </c>
      <c r="I180" s="17">
        <v>5.662815067603909</v>
      </c>
      <c r="J180" s="16">
        <v>2.7204301075268815</v>
      </c>
      <c r="K180" s="16">
        <v>2.761292635460412</v>
      </c>
      <c r="L180" s="16">
        <v>0.056451612903225805</v>
      </c>
      <c r="M180" s="16">
        <v>0.08064516129032258</v>
      </c>
      <c r="N180" s="16">
        <v>0.41935483870967744</v>
      </c>
      <c r="O180" s="16">
        <v>0.07258064516129033</v>
      </c>
      <c r="P180" s="35">
        <v>46026.30269675926</v>
      </c>
    </row>
    <row r="181">
      <c r="A181" s="33">
        <v>46026.0</v>
      </c>
      <c r="B181" s="1" t="s">
        <v>59</v>
      </c>
      <c r="C181" s="1" t="s">
        <v>3</v>
      </c>
      <c r="E181" s="34">
        <v>163.0</v>
      </c>
      <c r="F181" s="34">
        <v>871.0</v>
      </c>
      <c r="G181" s="15">
        <v>28569.0</v>
      </c>
      <c r="H181" s="16">
        <v>0.030487591445272848</v>
      </c>
      <c r="I181" s="17">
        <v>6.735167489236585</v>
      </c>
      <c r="J181" s="16">
        <v>1.4071082390953151</v>
      </c>
      <c r="K181" s="16">
        <v>1.2649546158955058</v>
      </c>
      <c r="L181" s="16">
        <v>0.04294478527607362</v>
      </c>
      <c r="M181" s="16">
        <v>0.049079754601226995</v>
      </c>
      <c r="N181" s="16">
        <v>0.36809815950920244</v>
      </c>
      <c r="O181" s="16">
        <v>0.13496932515337423</v>
      </c>
      <c r="P181" s="35">
        <v>46026.30269675926</v>
      </c>
    </row>
    <row r="182">
      <c r="A182" s="33">
        <v>46026.0</v>
      </c>
      <c r="B182" s="1" t="s">
        <v>59</v>
      </c>
      <c r="C182" s="3" t="s">
        <v>4</v>
      </c>
      <c r="E182" s="34">
        <v>105.0</v>
      </c>
      <c r="F182" s="34">
        <v>401.0</v>
      </c>
      <c r="G182" s="15">
        <v>20223.0</v>
      </c>
      <c r="H182" s="16">
        <v>0.01982890767937497</v>
      </c>
      <c r="I182" s="17">
        <v>5.658952677644266</v>
      </c>
      <c r="J182" s="16">
        <v>0.646774193548387</v>
      </c>
      <c r="K182" s="16">
        <v>1.0384615384615385</v>
      </c>
      <c r="L182" s="16">
        <v>0.08571428571428572</v>
      </c>
      <c r="M182" s="16">
        <v>0.10476190476190476</v>
      </c>
      <c r="N182" s="16">
        <v>0.19047619047619047</v>
      </c>
      <c r="O182" s="16">
        <v>0.13333333333333333</v>
      </c>
      <c r="P182" s="35">
        <v>46026.30269675926</v>
      </c>
    </row>
    <row r="183">
      <c r="A183" s="33">
        <v>46026.0</v>
      </c>
      <c r="B183" s="1" t="s">
        <v>59</v>
      </c>
      <c r="C183" s="3" t="s">
        <v>5</v>
      </c>
      <c r="E183" s="34">
        <v>17.0</v>
      </c>
      <c r="F183" s="34">
        <v>2951.0</v>
      </c>
      <c r="G183" s="15">
        <v>51387.0</v>
      </c>
      <c r="H183" s="16">
        <v>0.05742697569424173</v>
      </c>
      <c r="I183" s="17">
        <v>6.35055558798918</v>
      </c>
      <c r="J183" s="16">
        <v>1.0172354360565323</v>
      </c>
      <c r="K183" s="16">
        <v>2.1154748672347785</v>
      </c>
      <c r="L183" s="16">
        <v>0.11764705882352941</v>
      </c>
      <c r="M183" s="16">
        <v>0.23529411764705882</v>
      </c>
      <c r="N183" s="16">
        <v>0.35294117647058826</v>
      </c>
      <c r="O183" s="16">
        <v>0.17647058823529413</v>
      </c>
      <c r="P183" s="35">
        <v>46026.30269675926</v>
      </c>
    </row>
    <row r="184">
      <c r="A184" s="33">
        <v>46026.0</v>
      </c>
      <c r="B184" s="1" t="s">
        <v>59</v>
      </c>
      <c r="C184" s="3" t="s">
        <v>6</v>
      </c>
      <c r="E184" s="34">
        <v>29.0</v>
      </c>
      <c r="F184" s="34">
        <v>4579.0</v>
      </c>
      <c r="G184" s="15">
        <v>356994.0</v>
      </c>
      <c r="H184" s="16">
        <v>0.01282654610441632</v>
      </c>
      <c r="I184" s="17">
        <v>4.243219774001804</v>
      </c>
      <c r="J184" s="16">
        <v>1.123680981595092</v>
      </c>
      <c r="K184" s="16">
        <v>1.9880935143624072</v>
      </c>
      <c r="L184" s="16">
        <v>0.034482758620689655</v>
      </c>
      <c r="M184" s="16">
        <v>0.034482758620689655</v>
      </c>
      <c r="N184" s="16">
        <v>0.6896551724137931</v>
      </c>
      <c r="O184" s="16">
        <v>0.2413793103448276</v>
      </c>
      <c r="P184" s="35">
        <v>46026.30269675926</v>
      </c>
    </row>
    <row r="185">
      <c r="A185" s="33">
        <v>46026.0</v>
      </c>
      <c r="B185" s="1" t="s">
        <v>59</v>
      </c>
      <c r="C185" s="3" t="s">
        <v>7</v>
      </c>
      <c r="E185" s="34">
        <v>126.0</v>
      </c>
      <c r="F185" s="34">
        <v>645.0</v>
      </c>
      <c r="G185" s="15">
        <v>122271.0</v>
      </c>
      <c r="H185" s="16">
        <v>0.005275167455897146</v>
      </c>
      <c r="I185" s="17">
        <v>4.6973689591154075</v>
      </c>
      <c r="J185" s="16">
        <v>1.5542168674698795</v>
      </c>
      <c r="K185" s="16">
        <v>4.0010143979057595</v>
      </c>
      <c r="L185" s="16">
        <v>0.09523809523809523</v>
      </c>
      <c r="M185" s="16">
        <v>0.38095238095238093</v>
      </c>
      <c r="N185" s="16">
        <v>0.5317460317460317</v>
      </c>
      <c r="O185" s="16">
        <v>0.21428571428571427</v>
      </c>
      <c r="P185" s="35">
        <v>46026.30269675926</v>
      </c>
    </row>
    <row r="186">
      <c r="A186" s="33">
        <v>46026.0</v>
      </c>
      <c r="B186" s="1" t="s">
        <v>59</v>
      </c>
      <c r="C186" s="3" t="s">
        <v>8</v>
      </c>
      <c r="E186" s="34">
        <v>118.0</v>
      </c>
      <c r="F186" s="34">
        <v>720.0</v>
      </c>
      <c r="G186" s="15">
        <v>219308.0</v>
      </c>
      <c r="H186" s="16">
        <v>0.0032830539697594253</v>
      </c>
      <c r="I186" s="17">
        <v>5.714839403943313</v>
      </c>
      <c r="J186" s="16">
        <v>0.8391608391608392</v>
      </c>
      <c r="K186" s="16">
        <v>2.1199420009666508</v>
      </c>
      <c r="L186" s="16">
        <v>0.19491525423728814</v>
      </c>
      <c r="M186" s="16">
        <v>0.5508474576271186</v>
      </c>
      <c r="N186" s="16">
        <v>0.423728813559322</v>
      </c>
      <c r="O186" s="16">
        <v>0.22033898305084745</v>
      </c>
      <c r="P186" s="35">
        <v>46026.30269675926</v>
      </c>
    </row>
    <row r="187">
      <c r="A187" s="33">
        <v>46026.0</v>
      </c>
      <c r="B187" s="1" t="s">
        <v>59</v>
      </c>
      <c r="C187" s="3" t="s">
        <v>9</v>
      </c>
      <c r="E187" s="34">
        <v>11.0</v>
      </c>
      <c r="F187" s="34">
        <v>8.0</v>
      </c>
      <c r="G187" s="15">
        <v>399.0</v>
      </c>
      <c r="H187" s="16">
        <v>0.020050125313283207</v>
      </c>
      <c r="I187" s="17">
        <v>15.546365914786968</v>
      </c>
      <c r="J187" s="16">
        <v>1.3333333333333333</v>
      </c>
      <c r="K187" s="16">
        <v>1.789237668161435</v>
      </c>
      <c r="L187" s="16">
        <v>0.18181818181818182</v>
      </c>
      <c r="M187" s="16">
        <v>0.18181818181818182</v>
      </c>
      <c r="N187" s="16">
        <v>0.09090909090909091</v>
      </c>
      <c r="O187" s="16">
        <v>0.09090909090909091</v>
      </c>
      <c r="P187" s="35">
        <v>46026.30269675926</v>
      </c>
    </row>
    <row r="188">
      <c r="A188" s="33">
        <v>46026.0</v>
      </c>
      <c r="B188" s="1" t="s">
        <v>59</v>
      </c>
      <c r="C188" s="3" t="s">
        <v>10</v>
      </c>
      <c r="E188" s="34">
        <v>47.0</v>
      </c>
      <c r="F188" s="34">
        <v>2302.0</v>
      </c>
      <c r="G188" s="15">
        <v>349745.0</v>
      </c>
      <c r="H188" s="16">
        <v>0.006581938269310497</v>
      </c>
      <c r="I188" s="17">
        <v>4.533977612260361</v>
      </c>
      <c r="J188" s="16">
        <v>6.770588235294118</v>
      </c>
      <c r="K188" s="16">
        <v>8.98233043120939</v>
      </c>
      <c r="L188" s="16">
        <v>0.0</v>
      </c>
      <c r="M188" s="16">
        <v>0.2978723404255319</v>
      </c>
      <c r="N188" s="16">
        <v>0.44680851063829785</v>
      </c>
      <c r="O188" s="16">
        <v>0.3829787234042553</v>
      </c>
      <c r="P188" s="35">
        <v>46026.30269675926</v>
      </c>
    </row>
    <row r="189">
      <c r="A189" s="33">
        <v>46026.0</v>
      </c>
      <c r="B189" s="1" t="s">
        <v>60</v>
      </c>
      <c r="D189" s="1" t="s">
        <v>30</v>
      </c>
      <c r="E189" s="34">
        <v>9.0</v>
      </c>
      <c r="F189" s="34">
        <v>429.0</v>
      </c>
      <c r="G189" s="15">
        <v>9253.0</v>
      </c>
      <c r="H189" s="16">
        <v>0.0463633416189344</v>
      </c>
      <c r="I189" s="17">
        <v>9.136280125364747</v>
      </c>
      <c r="J189" s="16">
        <v>1.2050561797752808</v>
      </c>
      <c r="K189" s="16">
        <v>0.5885757903441257</v>
      </c>
      <c r="L189" s="16">
        <v>0.0</v>
      </c>
      <c r="M189" s="16">
        <v>0.0</v>
      </c>
      <c r="N189" s="16">
        <v>0.6666666666666666</v>
      </c>
      <c r="O189" s="16">
        <v>0.3333333333333333</v>
      </c>
      <c r="P189" s="35">
        <v>46026.30269675926</v>
      </c>
    </row>
    <row r="190">
      <c r="A190" s="33">
        <v>46026.0</v>
      </c>
      <c r="B190" s="1" t="s">
        <v>60</v>
      </c>
      <c r="D190" s="1" t="s">
        <v>31</v>
      </c>
      <c r="E190" s="34">
        <v>78.0</v>
      </c>
      <c r="F190" s="34">
        <v>278.0</v>
      </c>
      <c r="G190" s="15">
        <v>9310.0</v>
      </c>
      <c r="H190" s="16">
        <v>0.029860365198711065</v>
      </c>
      <c r="I190" s="17">
        <v>7.631041890440387</v>
      </c>
      <c r="J190" s="16">
        <v>1.287037037037037</v>
      </c>
      <c r="K190" s="16">
        <v>0.6563271060979908</v>
      </c>
      <c r="L190" s="16">
        <v>0.07692307692307693</v>
      </c>
      <c r="M190" s="16">
        <v>0.07692307692307693</v>
      </c>
      <c r="N190" s="16">
        <v>0.20512820512820512</v>
      </c>
      <c r="O190" s="16">
        <v>0.19230769230769232</v>
      </c>
      <c r="P190" s="35">
        <v>46026.30269675926</v>
      </c>
    </row>
    <row r="191">
      <c r="A191" s="33">
        <v>46026.0</v>
      </c>
      <c r="B191" s="1" t="s">
        <v>60</v>
      </c>
      <c r="D191" s="1" t="s">
        <v>32</v>
      </c>
      <c r="E191" s="34">
        <v>474.0</v>
      </c>
      <c r="F191" s="34">
        <v>12338.0</v>
      </c>
      <c r="G191" s="15">
        <v>1170605.0</v>
      </c>
      <c r="H191" s="16">
        <v>0.010539849052413069</v>
      </c>
      <c r="I191" s="17">
        <v>4.815049482959666</v>
      </c>
      <c r="J191" s="16">
        <v>1.3351368899469753</v>
      </c>
      <c r="K191" s="16">
        <v>2.9481073866068956</v>
      </c>
      <c r="L191" s="16">
        <v>0.10337552742616034</v>
      </c>
      <c r="M191" s="16">
        <v>0.31223628691983124</v>
      </c>
      <c r="N191" s="16">
        <v>0.4936708860759494</v>
      </c>
      <c r="O191" s="16">
        <v>0.20464135021097046</v>
      </c>
      <c r="P191" s="35">
        <v>46026.30269675926</v>
      </c>
    </row>
    <row r="192">
      <c r="A192" s="33">
        <v>46026.0</v>
      </c>
      <c r="B192" s="1" t="s">
        <v>60</v>
      </c>
      <c r="D192" s="1" t="s">
        <v>33</v>
      </c>
      <c r="E192" s="34">
        <v>108.0</v>
      </c>
      <c r="F192" s="34">
        <v>183.0</v>
      </c>
      <c r="G192" s="15">
        <v>13018.0</v>
      </c>
      <c r="H192" s="16">
        <v>0.014057458903057306</v>
      </c>
      <c r="I192" s="17">
        <v>5.807420494699647</v>
      </c>
      <c r="J192" s="16">
        <v>0.6398601398601399</v>
      </c>
      <c r="K192" s="16">
        <v>1.3945366898768077</v>
      </c>
      <c r="L192" s="16">
        <v>0.05555555555555555</v>
      </c>
      <c r="M192" s="16">
        <v>0.06481481481481481</v>
      </c>
      <c r="N192" s="16">
        <v>0.3425925925925926</v>
      </c>
      <c r="O192" s="16">
        <v>0.05555555555555555</v>
      </c>
      <c r="P192" s="35">
        <v>46026.30269675926</v>
      </c>
    </row>
    <row r="193">
      <c r="A193" s="33">
        <v>46026.0</v>
      </c>
      <c r="B193" s="1" t="s">
        <v>60</v>
      </c>
      <c r="D193" s="1" t="s">
        <v>34</v>
      </c>
      <c r="E193" s="34">
        <v>71.0</v>
      </c>
      <c r="F193" s="34">
        <v>8.0</v>
      </c>
      <c r="G193" s="15">
        <v>627.0</v>
      </c>
      <c r="H193" s="16">
        <v>0.012759170653907496</v>
      </c>
      <c r="I193" s="17">
        <v>8.318979266347688</v>
      </c>
      <c r="J193" s="16">
        <v>0.5714285714285714</v>
      </c>
      <c r="K193" s="16">
        <v>0.27249022164276404</v>
      </c>
      <c r="L193" s="16">
        <v>0.028169014084507043</v>
      </c>
      <c r="M193" s="16">
        <v>0.028169014084507043</v>
      </c>
      <c r="N193" s="16">
        <v>0.056338028169014086</v>
      </c>
      <c r="O193" s="16">
        <v>0.08450704225352113</v>
      </c>
      <c r="P193" s="35">
        <v>46026.30269675926</v>
      </c>
    </row>
    <row r="194">
      <c r="A194" s="33">
        <v>46027.0</v>
      </c>
      <c r="B194" s="1" t="s">
        <v>57</v>
      </c>
      <c r="E194" s="34">
        <v>1082.0</v>
      </c>
      <c r="F194" s="34">
        <v>13303.0</v>
      </c>
      <c r="G194" s="15">
        <v>1216453.0</v>
      </c>
      <c r="H194" s="16">
        <v>0.010935893125340643</v>
      </c>
      <c r="I194" s="17">
        <v>4.861512117607504</v>
      </c>
      <c r="J194" s="16">
        <v>1.318826211955983</v>
      </c>
      <c r="K194" s="16">
        <v>2.7424829616804076</v>
      </c>
      <c r="L194" s="16">
        <v>0.056377079482439925</v>
      </c>
      <c r="M194" s="16">
        <v>0.15711645101663585</v>
      </c>
      <c r="N194" s="16">
        <v>0.28650646950092423</v>
      </c>
      <c r="O194" s="16">
        <v>0.1321626617375231</v>
      </c>
      <c r="P194" s="35">
        <v>46027.30262731481</v>
      </c>
    </row>
    <row r="195">
      <c r="A195" s="33">
        <v>46027.0</v>
      </c>
      <c r="B195" s="1" t="s">
        <v>58</v>
      </c>
      <c r="E195" s="34">
        <v>741.0</v>
      </c>
      <c r="F195" s="34">
        <v>13234.0</v>
      </c>
      <c r="G195" s="15">
        <v>1214480.0</v>
      </c>
      <c r="H195" s="16">
        <v>0.010896844740135697</v>
      </c>
      <c r="I195" s="17">
        <v>4.85923687504117</v>
      </c>
      <c r="J195" s="16">
        <v>1.3237971391417425</v>
      </c>
      <c r="K195" s="16">
        <v>2.8018336220957463</v>
      </c>
      <c r="L195" s="16">
        <v>0.0796221322537112</v>
      </c>
      <c r="M195" s="16">
        <v>0.22672064777327935</v>
      </c>
      <c r="N195" s="16">
        <v>0.39541160593792174</v>
      </c>
      <c r="O195" s="16">
        <v>0.17408906882591094</v>
      </c>
      <c r="P195" s="35">
        <v>46027.30262731481</v>
      </c>
    </row>
    <row r="196">
      <c r="A196" s="33">
        <v>46027.0</v>
      </c>
      <c r="B196" s="1" t="s">
        <v>59</v>
      </c>
      <c r="C196" s="3" t="s">
        <v>2</v>
      </c>
      <c r="E196" s="34">
        <v>124.0</v>
      </c>
      <c r="F196" s="34">
        <v>784.0</v>
      </c>
      <c r="G196" s="15">
        <v>56006.0</v>
      </c>
      <c r="H196" s="16">
        <v>0.013998500160697069</v>
      </c>
      <c r="I196" s="17">
        <v>5.626129343284648</v>
      </c>
      <c r="J196" s="16">
        <v>2.8823529411764706</v>
      </c>
      <c r="K196" s="16">
        <v>2.8886940375489996</v>
      </c>
      <c r="L196" s="16">
        <v>0.056451612903225805</v>
      </c>
      <c r="M196" s="16">
        <v>0.08064516129032258</v>
      </c>
      <c r="N196" s="16">
        <v>0.41935483870967744</v>
      </c>
      <c r="O196" s="16">
        <v>0.06451612903225806</v>
      </c>
      <c r="P196" s="35">
        <v>46027.30262731481</v>
      </c>
    </row>
    <row r="197">
      <c r="A197" s="33">
        <v>46027.0</v>
      </c>
      <c r="B197" s="1" t="s">
        <v>59</v>
      </c>
      <c r="C197" s="1" t="s">
        <v>3</v>
      </c>
      <c r="E197" s="34">
        <v>163.0</v>
      </c>
      <c r="F197" s="34">
        <v>880.0</v>
      </c>
      <c r="G197" s="15">
        <v>28972.0</v>
      </c>
      <c r="H197" s="16">
        <v>0.030374154355929862</v>
      </c>
      <c r="I197" s="17">
        <v>6.722559712826177</v>
      </c>
      <c r="J197" s="16">
        <v>1.435562805872757</v>
      </c>
      <c r="K197" s="16">
        <v>1.301293568091987</v>
      </c>
      <c r="L197" s="16">
        <v>0.03680981595092025</v>
      </c>
      <c r="M197" s="16">
        <v>0.04294478527607362</v>
      </c>
      <c r="N197" s="16">
        <v>0.36809815950920244</v>
      </c>
      <c r="O197" s="16">
        <v>0.13496932515337423</v>
      </c>
      <c r="P197" s="35">
        <v>46027.30262731481</v>
      </c>
    </row>
    <row r="198">
      <c r="A198" s="33">
        <v>46027.0</v>
      </c>
      <c r="B198" s="1" t="s">
        <v>59</v>
      </c>
      <c r="C198" s="3" t="s">
        <v>4</v>
      </c>
      <c r="E198" s="34">
        <v>105.0</v>
      </c>
      <c r="F198" s="34">
        <v>404.0</v>
      </c>
      <c r="G198" s="15">
        <v>20228.0</v>
      </c>
      <c r="H198" s="16">
        <v>0.019972315602135655</v>
      </c>
      <c r="I198" s="17">
        <v>5.6743128336958675</v>
      </c>
      <c r="J198" s="16">
        <v>0.6801346801346801</v>
      </c>
      <c r="K198" s="16">
        <v>1.0658095790083777</v>
      </c>
      <c r="L198" s="16">
        <v>0.08571428571428572</v>
      </c>
      <c r="M198" s="16">
        <v>0.10476190476190476</v>
      </c>
      <c r="N198" s="16">
        <v>0.19047619047619047</v>
      </c>
      <c r="O198" s="16">
        <v>0.13333333333333333</v>
      </c>
      <c r="P198" s="35">
        <v>46027.30262731481</v>
      </c>
    </row>
    <row r="199">
      <c r="A199" s="33">
        <v>46027.0</v>
      </c>
      <c r="B199" s="1" t="s">
        <v>59</v>
      </c>
      <c r="C199" s="3" t="s">
        <v>5</v>
      </c>
      <c r="E199" s="34">
        <v>17.0</v>
      </c>
      <c r="F199" s="34">
        <v>2962.0</v>
      </c>
      <c r="G199" s="15">
        <v>51811.0</v>
      </c>
      <c r="H199" s="16">
        <v>0.0571693269768968</v>
      </c>
      <c r="I199" s="17">
        <v>6.334118237439926</v>
      </c>
      <c r="J199" s="16">
        <v>0.9979784366576819</v>
      </c>
      <c r="K199" s="16">
        <v>2.1395358440700365</v>
      </c>
      <c r="L199" s="16">
        <v>0.0</v>
      </c>
      <c r="M199" s="16">
        <v>0.11764705882352941</v>
      </c>
      <c r="N199" s="16">
        <v>0.4117647058823529</v>
      </c>
      <c r="O199" s="16">
        <v>0.11764705882352941</v>
      </c>
      <c r="P199" s="35">
        <v>46027.30262731481</v>
      </c>
    </row>
    <row r="200">
      <c r="A200" s="33">
        <v>46027.0</v>
      </c>
      <c r="B200" s="1" t="s">
        <v>59</v>
      </c>
      <c r="C200" s="3" t="s">
        <v>6</v>
      </c>
      <c r="E200" s="34">
        <v>29.0</v>
      </c>
      <c r="F200" s="34">
        <v>4499.0</v>
      </c>
      <c r="G200" s="15">
        <v>361498.0</v>
      </c>
      <c r="H200" s="16">
        <v>0.012445435382768369</v>
      </c>
      <c r="I200" s="17">
        <v>4.207254258668097</v>
      </c>
      <c r="J200" s="16">
        <v>1.1436197254702594</v>
      </c>
      <c r="K200" s="16">
        <v>2.0393889133353644</v>
      </c>
      <c r="L200" s="16">
        <v>0.034482758620689655</v>
      </c>
      <c r="M200" s="16">
        <v>0.034482758620689655</v>
      </c>
      <c r="N200" s="16">
        <v>0.6896551724137931</v>
      </c>
      <c r="O200" s="16">
        <v>0.2413793103448276</v>
      </c>
      <c r="P200" s="35">
        <v>46027.30262731481</v>
      </c>
    </row>
    <row r="201">
      <c r="A201" s="33">
        <v>46027.0</v>
      </c>
      <c r="B201" s="1" t="s">
        <v>59</v>
      </c>
      <c r="C201" s="3" t="s">
        <v>7</v>
      </c>
      <c r="E201" s="34">
        <v>127.0</v>
      </c>
      <c r="F201" s="34">
        <v>633.0</v>
      </c>
      <c r="G201" s="15">
        <v>122505.0</v>
      </c>
      <c r="H201" s="16">
        <v>0.005167136035263867</v>
      </c>
      <c r="I201" s="17">
        <v>4.681817068691074</v>
      </c>
      <c r="J201" s="16">
        <v>1.5629629629629629</v>
      </c>
      <c r="K201" s="16">
        <v>4.056994303881309</v>
      </c>
      <c r="L201" s="16">
        <v>0.10236220472440945</v>
      </c>
      <c r="M201" s="16">
        <v>0.41732283464566927</v>
      </c>
      <c r="N201" s="16">
        <v>0.5039370078740157</v>
      </c>
      <c r="O201" s="16">
        <v>0.2440944881889764</v>
      </c>
      <c r="P201" s="35">
        <v>46027.30262731481</v>
      </c>
    </row>
    <row r="202">
      <c r="A202" s="33">
        <v>46027.0</v>
      </c>
      <c r="B202" s="1" t="s">
        <v>59</v>
      </c>
      <c r="C202" s="3" t="s">
        <v>8</v>
      </c>
      <c r="E202" s="34">
        <v>118.0</v>
      </c>
      <c r="F202" s="34">
        <v>719.0</v>
      </c>
      <c r="G202" s="15">
        <v>221529.0</v>
      </c>
      <c r="H202" s="16">
        <v>0.003245624726333798</v>
      </c>
      <c r="I202" s="17">
        <v>5.6807822000731285</v>
      </c>
      <c r="J202" s="16">
        <v>0.84192037470726</v>
      </c>
      <c r="K202" s="16">
        <v>2.1780240092025442</v>
      </c>
      <c r="L202" s="16">
        <v>0.17796610169491525</v>
      </c>
      <c r="M202" s="16">
        <v>0.5677966101694916</v>
      </c>
      <c r="N202" s="16">
        <v>0.4152542372881356</v>
      </c>
      <c r="O202" s="16">
        <v>0.211864406779661</v>
      </c>
      <c r="P202" s="35">
        <v>46027.30262731481</v>
      </c>
    </row>
    <row r="203">
      <c r="A203" s="33">
        <v>46027.0</v>
      </c>
      <c r="B203" s="1" t="s">
        <v>59</v>
      </c>
      <c r="C203" s="3" t="s">
        <v>9</v>
      </c>
      <c r="E203" s="34">
        <v>11.0</v>
      </c>
      <c r="F203" s="34">
        <v>8.0</v>
      </c>
      <c r="G203" s="15">
        <v>410.0</v>
      </c>
      <c r="H203" s="16">
        <v>0.01951219512195122</v>
      </c>
      <c r="I203" s="17">
        <v>15.529268292682927</v>
      </c>
      <c r="J203" s="16">
        <v>1.6</v>
      </c>
      <c r="K203" s="16">
        <v>1.8807339449541285</v>
      </c>
      <c r="L203" s="16">
        <v>0.18181818181818182</v>
      </c>
      <c r="M203" s="16">
        <v>0.18181818181818182</v>
      </c>
      <c r="N203" s="16">
        <v>0.09090909090909091</v>
      </c>
      <c r="O203" s="16">
        <v>0.09090909090909091</v>
      </c>
      <c r="P203" s="35">
        <v>46027.30262731481</v>
      </c>
    </row>
    <row r="204">
      <c r="A204" s="33">
        <v>46027.0</v>
      </c>
      <c r="B204" s="1" t="s">
        <v>59</v>
      </c>
      <c r="C204" s="3" t="s">
        <v>10</v>
      </c>
      <c r="E204" s="34">
        <v>47.0</v>
      </c>
      <c r="F204" s="34">
        <v>2345.0</v>
      </c>
      <c r="G204" s="15">
        <v>351521.0</v>
      </c>
      <c r="H204" s="16">
        <v>0.006671009697855889</v>
      </c>
      <c r="I204" s="17">
        <v>4.521325895181227</v>
      </c>
      <c r="J204" s="16">
        <v>6.661931818181818</v>
      </c>
      <c r="K204" s="16">
        <v>8.960743327640266</v>
      </c>
      <c r="L204" s="16">
        <v>0.0</v>
      </c>
      <c r="M204" s="16">
        <v>0.3191489361702128</v>
      </c>
      <c r="N204" s="16">
        <v>0.425531914893617</v>
      </c>
      <c r="O204" s="16">
        <v>0.40425531914893614</v>
      </c>
      <c r="P204" s="35">
        <v>46027.30262731481</v>
      </c>
    </row>
    <row r="205">
      <c r="A205" s="33">
        <v>46027.0</v>
      </c>
      <c r="B205" s="1" t="s">
        <v>60</v>
      </c>
      <c r="D205" s="1" t="s">
        <v>30</v>
      </c>
      <c r="E205" s="34">
        <v>9.0</v>
      </c>
      <c r="F205" s="34">
        <v>427.0</v>
      </c>
      <c r="G205" s="15">
        <v>9278.0</v>
      </c>
      <c r="H205" s="16">
        <v>0.04602284975210175</v>
      </c>
      <c r="I205" s="17">
        <v>9.16997197671912</v>
      </c>
      <c r="J205" s="16">
        <v>1.2412790697674418</v>
      </c>
      <c r="K205" s="16">
        <v>0.5960809508512689</v>
      </c>
      <c r="L205" s="16">
        <v>0.0</v>
      </c>
      <c r="M205" s="16">
        <v>0.0</v>
      </c>
      <c r="N205" s="16">
        <v>0.7777777777777778</v>
      </c>
      <c r="O205" s="16">
        <v>0.2222222222222222</v>
      </c>
      <c r="P205" s="35">
        <v>46027.30262731481</v>
      </c>
    </row>
    <row r="206">
      <c r="A206" s="33">
        <v>46027.0</v>
      </c>
      <c r="B206" s="1" t="s">
        <v>60</v>
      </c>
      <c r="D206" s="1" t="s">
        <v>31</v>
      </c>
      <c r="E206" s="34">
        <v>78.0</v>
      </c>
      <c r="F206" s="34">
        <v>286.0</v>
      </c>
      <c r="G206" s="15">
        <v>9331.0</v>
      </c>
      <c r="H206" s="16">
        <v>0.030650519772800342</v>
      </c>
      <c r="I206" s="17">
        <v>7.602936448397814</v>
      </c>
      <c r="J206" s="16">
        <v>1.361904761904762</v>
      </c>
      <c r="K206" s="16">
        <v>0.6670717758078353</v>
      </c>
      <c r="L206" s="16">
        <v>0.0641025641025641</v>
      </c>
      <c r="M206" s="16">
        <v>0.0641025641025641</v>
      </c>
      <c r="N206" s="16">
        <v>0.19230769230769232</v>
      </c>
      <c r="O206" s="16">
        <v>0.20512820512820512</v>
      </c>
      <c r="P206" s="35">
        <v>46027.30262731481</v>
      </c>
    </row>
    <row r="207">
      <c r="A207" s="33">
        <v>46027.0</v>
      </c>
      <c r="B207" s="1" t="s">
        <v>60</v>
      </c>
      <c r="D207" s="1" t="s">
        <v>32</v>
      </c>
      <c r="E207" s="34">
        <v>475.0</v>
      </c>
      <c r="F207" s="34">
        <v>12335.0</v>
      </c>
      <c r="G207" s="15">
        <v>1182253.0</v>
      </c>
      <c r="H207" s="16">
        <v>0.010433468978298215</v>
      </c>
      <c r="I207" s="17">
        <v>4.7910557215756695</v>
      </c>
      <c r="J207" s="16">
        <v>1.3473511742217368</v>
      </c>
      <c r="K207" s="16">
        <v>3.011948405308251</v>
      </c>
      <c r="L207" s="16">
        <v>0.09894736842105263</v>
      </c>
      <c r="M207" s="16">
        <v>0.3263157894736842</v>
      </c>
      <c r="N207" s="16">
        <v>0.48210526315789476</v>
      </c>
      <c r="O207" s="16">
        <v>0.21052631578947367</v>
      </c>
      <c r="P207" s="35">
        <v>46027.30262731481</v>
      </c>
    </row>
    <row r="208">
      <c r="A208" s="33">
        <v>46027.0</v>
      </c>
      <c r="B208" s="1" t="s">
        <v>60</v>
      </c>
      <c r="D208" s="1" t="s">
        <v>33</v>
      </c>
      <c r="E208" s="34">
        <v>108.0</v>
      </c>
      <c r="F208" s="34">
        <v>178.0</v>
      </c>
      <c r="G208" s="15">
        <v>12987.0</v>
      </c>
      <c r="H208" s="16">
        <v>0.013706013706013705</v>
      </c>
      <c r="I208" s="17">
        <v>5.848617848617849</v>
      </c>
      <c r="J208" s="16">
        <v>0.6472727272727272</v>
      </c>
      <c r="K208" s="16">
        <v>1.4282415044539756</v>
      </c>
      <c r="L208" s="16">
        <v>0.05555555555555555</v>
      </c>
      <c r="M208" s="16">
        <v>0.06481481481481481</v>
      </c>
      <c r="N208" s="16">
        <v>0.35185185185185186</v>
      </c>
      <c r="O208" s="16">
        <v>0.05555555555555555</v>
      </c>
      <c r="P208" s="35">
        <v>46027.30262731481</v>
      </c>
    </row>
    <row r="209">
      <c r="A209" s="33">
        <v>46027.0</v>
      </c>
      <c r="B209" s="1" t="s">
        <v>60</v>
      </c>
      <c r="D209" s="1" t="s">
        <v>34</v>
      </c>
      <c r="E209" s="34">
        <v>71.0</v>
      </c>
      <c r="F209" s="34">
        <v>8.0</v>
      </c>
      <c r="G209" s="15">
        <v>631.0</v>
      </c>
      <c r="H209" s="16">
        <v>0.012678288431061807</v>
      </c>
      <c r="I209" s="17">
        <v>8.285261489698891</v>
      </c>
      <c r="J209" s="16">
        <v>0.6153846153846154</v>
      </c>
      <c r="K209" s="16">
        <v>0.27530541012216403</v>
      </c>
      <c r="L209" s="16">
        <v>0.014084507042253521</v>
      </c>
      <c r="M209" s="16">
        <v>0.014084507042253521</v>
      </c>
      <c r="N209" s="16">
        <v>0.056338028169014086</v>
      </c>
      <c r="O209" s="16">
        <v>0.07042253521126761</v>
      </c>
      <c r="P209" s="35">
        <v>46027.30262731481</v>
      </c>
    </row>
    <row r="210">
      <c r="A210" s="33">
        <v>46028.0</v>
      </c>
      <c r="B210" s="1" t="s">
        <v>57</v>
      </c>
      <c r="E210" s="34">
        <v>1082.0</v>
      </c>
      <c r="F210" s="34">
        <v>13410.0</v>
      </c>
      <c r="G210" s="15">
        <v>1234143.0</v>
      </c>
      <c r="H210" s="16">
        <v>0.010865839696048188</v>
      </c>
      <c r="I210" s="17">
        <v>4.833883107549125</v>
      </c>
      <c r="J210" s="16">
        <v>1.347874158206855</v>
      </c>
      <c r="K210" s="16">
        <v>2.7976918316410844</v>
      </c>
      <c r="L210" s="16">
        <v>0.05822550831792976</v>
      </c>
      <c r="M210" s="16">
        <v>0.1598890942698706</v>
      </c>
      <c r="N210" s="16">
        <v>0.2920517560073937</v>
      </c>
      <c r="O210" s="16">
        <v>0.12384473197781885</v>
      </c>
      <c r="P210" s="35">
        <v>46028.30265046296</v>
      </c>
    </row>
    <row r="211">
      <c r="A211" s="33">
        <v>46028.0</v>
      </c>
      <c r="B211" s="1" t="s">
        <v>58</v>
      </c>
      <c r="E211" s="34">
        <v>741.0</v>
      </c>
      <c r="F211" s="34">
        <v>13340.0</v>
      </c>
      <c r="G211" s="15">
        <v>1232190.0</v>
      </c>
      <c r="H211" s="16">
        <v>0.010826252444833994</v>
      </c>
      <c r="I211" s="17">
        <v>4.831590907246447</v>
      </c>
      <c r="J211" s="16">
        <v>1.3536276002029426</v>
      </c>
      <c r="K211" s="16">
        <v>2.858630945476311</v>
      </c>
      <c r="L211" s="16">
        <v>0.08232118758434548</v>
      </c>
      <c r="M211" s="16">
        <v>0.23076923076923078</v>
      </c>
      <c r="N211" s="16">
        <v>0.40350877192982454</v>
      </c>
      <c r="O211" s="16">
        <v>0.16194331983805668</v>
      </c>
      <c r="P211" s="35">
        <v>46028.30265046296</v>
      </c>
    </row>
    <row r="212">
      <c r="A212" s="33">
        <v>46028.0</v>
      </c>
      <c r="B212" s="1" t="s">
        <v>59</v>
      </c>
      <c r="C212" s="3" t="s">
        <v>2</v>
      </c>
      <c r="E212" s="34">
        <v>124.0</v>
      </c>
      <c r="F212" s="34">
        <v>817.0</v>
      </c>
      <c r="G212" s="15">
        <v>58774.0</v>
      </c>
      <c r="H212" s="16">
        <v>0.013900704393098989</v>
      </c>
      <c r="I212" s="17">
        <v>5.555704903528771</v>
      </c>
      <c r="J212" s="16">
        <v>2.9388489208633093</v>
      </c>
      <c r="K212" s="16">
        <v>3.037729997932603</v>
      </c>
      <c r="L212" s="16">
        <v>0.04032258064516129</v>
      </c>
      <c r="M212" s="16">
        <v>0.06451612903225806</v>
      </c>
      <c r="N212" s="16">
        <v>0.4274193548387097</v>
      </c>
      <c r="O212" s="16">
        <v>0.056451612903225805</v>
      </c>
      <c r="P212" s="35">
        <v>46028.30265046296</v>
      </c>
    </row>
    <row r="213">
      <c r="A213" s="33">
        <v>46028.0</v>
      </c>
      <c r="B213" s="1" t="s">
        <v>59</v>
      </c>
      <c r="C213" s="1" t="s">
        <v>3</v>
      </c>
      <c r="E213" s="34">
        <v>163.0</v>
      </c>
      <c r="F213" s="34">
        <v>893.0</v>
      </c>
      <c r="G213" s="15">
        <v>29505.0</v>
      </c>
      <c r="H213" s="16">
        <v>0.030266056600576175</v>
      </c>
      <c r="I213" s="17">
        <v>6.719877986781901</v>
      </c>
      <c r="J213" s="16">
        <v>1.46875</v>
      </c>
      <c r="K213" s="16">
        <v>1.3370038064165308</v>
      </c>
      <c r="L213" s="16">
        <v>0.03067484662576687</v>
      </c>
      <c r="M213" s="16">
        <v>0.03680981595092025</v>
      </c>
      <c r="N213" s="16">
        <v>0.39263803680981596</v>
      </c>
      <c r="O213" s="16">
        <v>0.1165644171779141</v>
      </c>
      <c r="P213" s="35">
        <v>46028.30265046296</v>
      </c>
    </row>
    <row r="214">
      <c r="A214" s="33">
        <v>46028.0</v>
      </c>
      <c r="B214" s="1" t="s">
        <v>59</v>
      </c>
      <c r="C214" s="3" t="s">
        <v>4</v>
      </c>
      <c r="E214" s="34">
        <v>105.0</v>
      </c>
      <c r="F214" s="34">
        <v>396.0</v>
      </c>
      <c r="G214" s="15">
        <v>20373.0</v>
      </c>
      <c r="H214" s="16">
        <v>0.019437490796642615</v>
      </c>
      <c r="I214" s="17">
        <v>5.695282972561724</v>
      </c>
      <c r="J214" s="16">
        <v>0.6875</v>
      </c>
      <c r="K214" s="16">
        <v>1.1033903812824957</v>
      </c>
      <c r="L214" s="16">
        <v>0.08571428571428572</v>
      </c>
      <c r="M214" s="16">
        <v>0.12380952380952381</v>
      </c>
      <c r="N214" s="16">
        <v>0.19047619047619047</v>
      </c>
      <c r="O214" s="16">
        <v>0.11428571428571428</v>
      </c>
      <c r="P214" s="35">
        <v>46028.30265046296</v>
      </c>
    </row>
    <row r="215">
      <c r="A215" s="33">
        <v>46028.0</v>
      </c>
      <c r="B215" s="1" t="s">
        <v>59</v>
      </c>
      <c r="C215" s="3" t="s">
        <v>5</v>
      </c>
      <c r="E215" s="34">
        <v>17.0</v>
      </c>
      <c r="F215" s="34">
        <v>3032.0</v>
      </c>
      <c r="G215" s="15">
        <v>52820.0</v>
      </c>
      <c r="H215" s="16">
        <v>0.057402499053388865</v>
      </c>
      <c r="I215" s="17">
        <v>6.330329420673987</v>
      </c>
      <c r="J215" s="16">
        <v>1.0120160213618157</v>
      </c>
      <c r="K215" s="16">
        <v>2.1855345911949686</v>
      </c>
      <c r="L215" s="16">
        <v>0.058823529411764705</v>
      </c>
      <c r="M215" s="16">
        <v>0.17647058823529413</v>
      </c>
      <c r="N215" s="16">
        <v>0.4117647058823529</v>
      </c>
      <c r="O215" s="16">
        <v>0.11764705882352941</v>
      </c>
      <c r="P215" s="35">
        <v>46028.30265046296</v>
      </c>
    </row>
    <row r="216">
      <c r="A216" s="33">
        <v>46028.0</v>
      </c>
      <c r="B216" s="1" t="s">
        <v>59</v>
      </c>
      <c r="C216" s="3" t="s">
        <v>6</v>
      </c>
      <c r="E216" s="34">
        <v>29.0</v>
      </c>
      <c r="F216" s="34">
        <v>4493.0</v>
      </c>
      <c r="G216" s="15">
        <v>365785.0</v>
      </c>
      <c r="H216" s="16">
        <v>0.012283171808576077</v>
      </c>
      <c r="I216" s="17">
        <v>4.177251664228987</v>
      </c>
      <c r="J216" s="16">
        <v>1.1861140443505809</v>
      </c>
      <c r="K216" s="16">
        <v>2.070688200895561</v>
      </c>
      <c r="L216" s="16">
        <v>0.034482758620689655</v>
      </c>
      <c r="M216" s="16">
        <v>0.034482758620689655</v>
      </c>
      <c r="N216" s="16">
        <v>0.6551724137931034</v>
      </c>
      <c r="O216" s="16">
        <v>0.27586206896551724</v>
      </c>
      <c r="P216" s="35">
        <v>46028.30265046296</v>
      </c>
    </row>
    <row r="217">
      <c r="A217" s="33">
        <v>46028.0</v>
      </c>
      <c r="B217" s="1" t="s">
        <v>59</v>
      </c>
      <c r="C217" s="3" t="s">
        <v>7</v>
      </c>
      <c r="E217" s="34">
        <v>127.0</v>
      </c>
      <c r="F217" s="34">
        <v>624.0</v>
      </c>
      <c r="G217" s="15">
        <v>124231.0</v>
      </c>
      <c r="H217" s="16">
        <v>0.005022900886252224</v>
      </c>
      <c r="I217" s="17">
        <v>4.658660076792427</v>
      </c>
      <c r="J217" s="16">
        <v>1.5639097744360901</v>
      </c>
      <c r="K217" s="16">
        <v>4.144901908447885</v>
      </c>
      <c r="L217" s="16">
        <v>0.11023622047244094</v>
      </c>
      <c r="M217" s="16">
        <v>0.4251968503937008</v>
      </c>
      <c r="N217" s="16">
        <v>0.5118110236220472</v>
      </c>
      <c r="O217" s="16">
        <v>0.2283464566929134</v>
      </c>
      <c r="P217" s="35">
        <v>46028.30265046296</v>
      </c>
    </row>
    <row r="218">
      <c r="A218" s="33">
        <v>46028.0</v>
      </c>
      <c r="B218" s="1" t="s">
        <v>59</v>
      </c>
      <c r="C218" s="3" t="s">
        <v>8</v>
      </c>
      <c r="E218" s="34">
        <v>118.0</v>
      </c>
      <c r="F218" s="34">
        <v>712.0</v>
      </c>
      <c r="G218" s="15">
        <v>225010.0</v>
      </c>
      <c r="H218" s="16">
        <v>0.0031643038087196124</v>
      </c>
      <c r="I218" s="17">
        <v>5.636220612417226</v>
      </c>
      <c r="J218" s="16">
        <v>0.8506571087216248</v>
      </c>
      <c r="K218" s="16">
        <v>2.237213649379574</v>
      </c>
      <c r="L218" s="16">
        <v>0.2033898305084746</v>
      </c>
      <c r="M218" s="16">
        <v>0.5847457627118644</v>
      </c>
      <c r="N218" s="16">
        <v>0.423728813559322</v>
      </c>
      <c r="O218" s="16">
        <v>0.19491525423728814</v>
      </c>
      <c r="P218" s="35">
        <v>46028.30265046296</v>
      </c>
    </row>
    <row r="219">
      <c r="A219" s="33">
        <v>46028.0</v>
      </c>
      <c r="B219" s="1" t="s">
        <v>59</v>
      </c>
      <c r="C219" s="3" t="s">
        <v>9</v>
      </c>
      <c r="E219" s="34">
        <v>11.0</v>
      </c>
      <c r="F219" s="34">
        <v>7.0</v>
      </c>
      <c r="G219" s="15">
        <v>413.0</v>
      </c>
      <c r="H219" s="16">
        <v>0.01694915254237288</v>
      </c>
      <c r="I219" s="17">
        <v>16.019370460048425</v>
      </c>
      <c r="J219" s="16">
        <v>1.4</v>
      </c>
      <c r="K219" s="16">
        <v>1.8687782805429864</v>
      </c>
      <c r="L219" s="16">
        <v>0.18181818181818182</v>
      </c>
      <c r="M219" s="16">
        <v>0.18181818181818182</v>
      </c>
      <c r="N219" s="16">
        <v>0.09090909090909091</v>
      </c>
      <c r="O219" s="16">
        <v>0.09090909090909091</v>
      </c>
      <c r="P219" s="35">
        <v>46028.30265046296</v>
      </c>
    </row>
    <row r="220">
      <c r="A220" s="33">
        <v>46028.0</v>
      </c>
      <c r="B220" s="1" t="s">
        <v>59</v>
      </c>
      <c r="C220" s="3" t="s">
        <v>10</v>
      </c>
      <c r="E220" s="34">
        <v>47.0</v>
      </c>
      <c r="F220" s="34">
        <v>2366.0</v>
      </c>
      <c r="G220" s="15">
        <v>355279.0</v>
      </c>
      <c r="H220" s="16">
        <v>0.0066595548850340155</v>
      </c>
      <c r="I220" s="17">
        <v>4.494189073939073</v>
      </c>
      <c r="J220" s="16">
        <v>6.429347826086956</v>
      </c>
      <c r="K220" s="16">
        <v>8.977132605619568</v>
      </c>
      <c r="L220" s="16">
        <v>0.0</v>
      </c>
      <c r="M220" s="16">
        <v>0.3191489361702128</v>
      </c>
      <c r="N220" s="16">
        <v>0.425531914893617</v>
      </c>
      <c r="O220" s="16">
        <v>0.40425531914893614</v>
      </c>
      <c r="P220" s="35">
        <v>46028.30265046296</v>
      </c>
    </row>
    <row r="221">
      <c r="A221" s="33">
        <v>46028.0</v>
      </c>
      <c r="B221" s="1" t="s">
        <v>60</v>
      </c>
      <c r="D221" s="1" t="s">
        <v>30</v>
      </c>
      <c r="E221" s="34">
        <v>9.0</v>
      </c>
      <c r="F221" s="34">
        <v>427.0</v>
      </c>
      <c r="G221" s="15">
        <v>9415.0</v>
      </c>
      <c r="H221" s="16">
        <v>0.04535315985130112</v>
      </c>
      <c r="I221" s="17">
        <v>9.203505045140734</v>
      </c>
      <c r="J221" s="16">
        <v>1.2485380116959064</v>
      </c>
      <c r="K221" s="16">
        <v>0.608518614270941</v>
      </c>
      <c r="L221" s="16">
        <v>0.0</v>
      </c>
      <c r="M221" s="16">
        <v>0.0</v>
      </c>
      <c r="N221" s="16">
        <v>0.7777777777777778</v>
      </c>
      <c r="O221" s="16">
        <v>0.2222222222222222</v>
      </c>
      <c r="P221" s="35">
        <v>46028.30265046296</v>
      </c>
    </row>
    <row r="222">
      <c r="A222" s="33">
        <v>46028.0</v>
      </c>
      <c r="B222" s="1" t="s">
        <v>60</v>
      </c>
      <c r="D222" s="1" t="s">
        <v>31</v>
      </c>
      <c r="E222" s="34">
        <v>78.0</v>
      </c>
      <c r="F222" s="34">
        <v>291.0</v>
      </c>
      <c r="G222" s="15">
        <v>9399.0</v>
      </c>
      <c r="H222" s="16">
        <v>0.03096074050430897</v>
      </c>
      <c r="I222" s="17">
        <v>7.624960102138525</v>
      </c>
      <c r="J222" s="16">
        <v>1.412621359223301</v>
      </c>
      <c r="K222" s="16">
        <v>0.6816797214969539</v>
      </c>
      <c r="L222" s="16">
        <v>0.05128205128205128</v>
      </c>
      <c r="M222" s="16">
        <v>0.0641025641025641</v>
      </c>
      <c r="N222" s="16">
        <v>0.20512820512820512</v>
      </c>
      <c r="O222" s="16">
        <v>0.19230769230769232</v>
      </c>
      <c r="P222" s="35">
        <v>46028.30265046296</v>
      </c>
    </row>
    <row r="223">
      <c r="A223" s="33">
        <v>46028.0</v>
      </c>
      <c r="B223" s="1" t="s">
        <v>60</v>
      </c>
      <c r="D223" s="1" t="s">
        <v>32</v>
      </c>
      <c r="E223" s="34">
        <v>475.0</v>
      </c>
      <c r="F223" s="34">
        <v>12434.0</v>
      </c>
      <c r="G223" s="15">
        <v>1199624.0</v>
      </c>
      <c r="H223" s="16">
        <v>0.010364914339826479</v>
      </c>
      <c r="I223" s="17">
        <v>4.762147139437023</v>
      </c>
      <c r="J223" s="16">
        <v>1.37742328569846</v>
      </c>
      <c r="K223" s="16">
        <v>3.070581520055902</v>
      </c>
      <c r="L223" s="16">
        <v>0.1031578947368421</v>
      </c>
      <c r="M223" s="16">
        <v>0.32842105263157895</v>
      </c>
      <c r="N223" s="16">
        <v>0.4926315789473684</v>
      </c>
      <c r="O223" s="16">
        <v>0.2</v>
      </c>
      <c r="P223" s="35">
        <v>46028.30265046296</v>
      </c>
    </row>
    <row r="224">
      <c r="A224" s="33">
        <v>46028.0</v>
      </c>
      <c r="B224" s="1" t="s">
        <v>60</v>
      </c>
      <c r="D224" s="1" t="s">
        <v>33</v>
      </c>
      <c r="E224" s="34">
        <v>108.0</v>
      </c>
      <c r="F224" s="34">
        <v>180.0</v>
      </c>
      <c r="G224" s="15">
        <v>13112.0</v>
      </c>
      <c r="H224" s="16">
        <v>0.013727882855399633</v>
      </c>
      <c r="I224" s="17">
        <v>5.87683038438072</v>
      </c>
      <c r="J224" s="16">
        <v>0.6741573033707865</v>
      </c>
      <c r="K224" s="16">
        <v>1.4876333106421602</v>
      </c>
      <c r="L224" s="16">
        <v>0.05555555555555555</v>
      </c>
      <c r="M224" s="16">
        <v>0.07407407407407407</v>
      </c>
      <c r="N224" s="16">
        <v>0.35185185185185186</v>
      </c>
      <c r="O224" s="16">
        <v>0.037037037037037035</v>
      </c>
      <c r="P224" s="35">
        <v>46028.30265046296</v>
      </c>
    </row>
    <row r="225">
      <c r="A225" s="33">
        <v>46028.0</v>
      </c>
      <c r="B225" s="1" t="s">
        <v>60</v>
      </c>
      <c r="D225" s="1" t="s">
        <v>34</v>
      </c>
      <c r="E225" s="34">
        <v>71.0</v>
      </c>
      <c r="F225" s="34">
        <v>8.0</v>
      </c>
      <c r="G225" s="15">
        <v>640.0</v>
      </c>
      <c r="H225" s="16">
        <v>0.0125</v>
      </c>
      <c r="I225" s="17">
        <v>8.2453125</v>
      </c>
      <c r="J225" s="16">
        <v>0.6153846153846154</v>
      </c>
      <c r="K225" s="16">
        <v>0.2800875273522976</v>
      </c>
      <c r="L225" s="16">
        <v>0.028169014084507043</v>
      </c>
      <c r="M225" s="16">
        <v>0.028169014084507043</v>
      </c>
      <c r="N225" s="16">
        <v>0.056338028169014086</v>
      </c>
      <c r="O225" s="16">
        <v>0.056338028169014086</v>
      </c>
      <c r="P225" s="35">
        <v>46028.30265046296</v>
      </c>
    </row>
    <row r="226">
      <c r="A226" s="33">
        <v>46029.0</v>
      </c>
      <c r="B226" s="1" t="s">
        <v>57</v>
      </c>
      <c r="E226" s="34">
        <v>1082.0</v>
      </c>
      <c r="F226" s="34">
        <v>13724.0</v>
      </c>
      <c r="G226" s="15">
        <v>1269868.0</v>
      </c>
      <c r="H226" s="16">
        <v>0.010807422503756296</v>
      </c>
      <c r="I226" s="17">
        <v>4.817470792239823</v>
      </c>
      <c r="J226" s="16">
        <v>1.3822137173934939</v>
      </c>
      <c r="K226" s="16">
        <v>2.876825104833795</v>
      </c>
      <c r="L226" s="16">
        <v>0.05730129390018484</v>
      </c>
      <c r="M226" s="16">
        <v>0.1589648798521257</v>
      </c>
      <c r="N226" s="16">
        <v>0.2966728280961183</v>
      </c>
      <c r="O226" s="16">
        <v>0.11829944547134935</v>
      </c>
      <c r="P226" s="35">
        <v>46029.30262731481</v>
      </c>
    </row>
    <row r="227">
      <c r="A227" s="33">
        <v>46029.0</v>
      </c>
      <c r="B227" s="1" t="s">
        <v>58</v>
      </c>
      <c r="E227" s="34">
        <v>742.0</v>
      </c>
      <c r="F227" s="34">
        <v>13656.0</v>
      </c>
      <c r="G227" s="15">
        <v>1267914.0</v>
      </c>
      <c r="H227" s="16">
        <v>0.010770446576029604</v>
      </c>
      <c r="I227" s="17">
        <v>4.815577397205173</v>
      </c>
      <c r="J227" s="16">
        <v>1.3883692557950387</v>
      </c>
      <c r="K227" s="16">
        <v>2.939279364071132</v>
      </c>
      <c r="L227" s="16">
        <v>0.08086253369272237</v>
      </c>
      <c r="M227" s="16">
        <v>0.22911051212938005</v>
      </c>
      <c r="N227" s="16">
        <v>0.40700808625336926</v>
      </c>
      <c r="O227" s="16">
        <v>0.15498652291105122</v>
      </c>
      <c r="P227" s="35">
        <v>46029.30262731481</v>
      </c>
    </row>
    <row r="228">
      <c r="A228" s="33">
        <v>46029.0</v>
      </c>
      <c r="B228" s="1" t="s">
        <v>59</v>
      </c>
      <c r="C228" s="3" t="s">
        <v>2</v>
      </c>
      <c r="E228" s="34">
        <v>124.0</v>
      </c>
      <c r="F228" s="34">
        <v>829.0</v>
      </c>
      <c r="G228" s="15">
        <v>61856.0</v>
      </c>
      <c r="H228" s="16">
        <v>0.01340209518882566</v>
      </c>
      <c r="I228" s="17">
        <v>5.484528582514226</v>
      </c>
      <c r="J228" s="16">
        <v>2.9501779359430604</v>
      </c>
      <c r="K228" s="16">
        <v>3.20597076811444</v>
      </c>
      <c r="L228" s="16">
        <v>0.04838709677419355</v>
      </c>
      <c r="M228" s="16">
        <v>0.07258064516129033</v>
      </c>
      <c r="N228" s="16">
        <v>0.41935483870967744</v>
      </c>
      <c r="O228" s="16">
        <v>0.06451612903225806</v>
      </c>
      <c r="P228" s="35">
        <v>46029.30262731481</v>
      </c>
    </row>
    <row r="229">
      <c r="A229" s="33">
        <v>46029.0</v>
      </c>
      <c r="B229" s="1" t="s">
        <v>59</v>
      </c>
      <c r="C229" s="1" t="s">
        <v>3</v>
      </c>
      <c r="E229" s="34">
        <v>164.0</v>
      </c>
      <c r="F229" s="34">
        <v>909.0</v>
      </c>
      <c r="G229" s="15">
        <v>30188.0</v>
      </c>
      <c r="H229" s="16">
        <v>0.030111302504306346</v>
      </c>
      <c r="I229" s="17">
        <v>6.653703458327812</v>
      </c>
      <c r="J229" s="16">
        <v>1.4877250409165304</v>
      </c>
      <c r="K229" s="16">
        <v>1.3660346622019095</v>
      </c>
      <c r="L229" s="16">
        <v>0.03048780487804878</v>
      </c>
      <c r="M229" s="16">
        <v>0.036585365853658534</v>
      </c>
      <c r="N229" s="16">
        <v>0.3719512195121951</v>
      </c>
      <c r="O229" s="16">
        <v>0.12195121951219512</v>
      </c>
      <c r="P229" s="35">
        <v>46029.30262731481</v>
      </c>
    </row>
    <row r="230">
      <c r="A230" s="33">
        <v>46029.0</v>
      </c>
      <c r="B230" s="1" t="s">
        <v>59</v>
      </c>
      <c r="C230" s="3" t="s">
        <v>4</v>
      </c>
      <c r="E230" s="34">
        <v>105.0</v>
      </c>
      <c r="F230" s="34">
        <v>416.0</v>
      </c>
      <c r="G230" s="15">
        <v>20828.0</v>
      </c>
      <c r="H230" s="16">
        <v>0.01997311311695794</v>
      </c>
      <c r="I230" s="17">
        <v>5.71038985980411</v>
      </c>
      <c r="J230" s="16">
        <v>0.7402135231316725</v>
      </c>
      <c r="K230" s="16">
        <v>1.155506241331484</v>
      </c>
      <c r="L230" s="16">
        <v>0.06666666666666667</v>
      </c>
      <c r="M230" s="16">
        <v>0.09523809523809523</v>
      </c>
      <c r="N230" s="16">
        <v>0.22857142857142856</v>
      </c>
      <c r="O230" s="16">
        <v>0.09523809523809523</v>
      </c>
      <c r="P230" s="35">
        <v>46029.30262731481</v>
      </c>
    </row>
    <row r="231">
      <c r="A231" s="33">
        <v>46029.0</v>
      </c>
      <c r="B231" s="1" t="s">
        <v>59</v>
      </c>
      <c r="C231" s="3" t="s">
        <v>5</v>
      </c>
      <c r="E231" s="34">
        <v>17.0</v>
      </c>
      <c r="F231" s="34">
        <v>3130.0</v>
      </c>
      <c r="G231" s="15">
        <v>54332.0</v>
      </c>
      <c r="H231" s="16">
        <v>0.057608775675476696</v>
      </c>
      <c r="I231" s="17">
        <v>6.311621144077155</v>
      </c>
      <c r="J231" s="16">
        <v>1.022875816993464</v>
      </c>
      <c r="K231" s="16">
        <v>2.2382796407679</v>
      </c>
      <c r="L231" s="16">
        <v>0.058823529411764705</v>
      </c>
      <c r="M231" s="16">
        <v>0.17647058823529413</v>
      </c>
      <c r="N231" s="16">
        <v>0.4117647058823529</v>
      </c>
      <c r="O231" s="16">
        <v>0.11764705882352941</v>
      </c>
      <c r="P231" s="35">
        <v>46029.30262731481</v>
      </c>
    </row>
    <row r="232">
      <c r="A232" s="33">
        <v>46029.0</v>
      </c>
      <c r="B232" s="1" t="s">
        <v>59</v>
      </c>
      <c r="C232" s="3" t="s">
        <v>6</v>
      </c>
      <c r="E232" s="34">
        <v>29.0</v>
      </c>
      <c r="F232" s="34">
        <v>4528.0</v>
      </c>
      <c r="G232" s="15">
        <v>374187.0</v>
      </c>
      <c r="H232" s="16">
        <v>0.012100901420947281</v>
      </c>
      <c r="I232" s="17">
        <v>4.168610881724913</v>
      </c>
      <c r="J232" s="16">
        <v>1.2191707054388798</v>
      </c>
      <c r="K232" s="16">
        <v>2.1176041153800447</v>
      </c>
      <c r="L232" s="16">
        <v>0.034482758620689655</v>
      </c>
      <c r="M232" s="16">
        <v>0.034482758620689655</v>
      </c>
      <c r="N232" s="16">
        <v>0.7241379310344828</v>
      </c>
      <c r="O232" s="16">
        <v>0.20689655172413793</v>
      </c>
      <c r="P232" s="35">
        <v>46029.30262731481</v>
      </c>
    </row>
    <row r="233">
      <c r="A233" s="33">
        <v>46029.0</v>
      </c>
      <c r="B233" s="1" t="s">
        <v>59</v>
      </c>
      <c r="C233" s="3" t="s">
        <v>7</v>
      </c>
      <c r="E233" s="34">
        <v>127.0</v>
      </c>
      <c r="F233" s="34">
        <v>634.0</v>
      </c>
      <c r="G233" s="15">
        <v>128823.0</v>
      </c>
      <c r="H233" s="16">
        <v>0.00492148141248069</v>
      </c>
      <c r="I233" s="17">
        <v>4.656109545655667</v>
      </c>
      <c r="J233" s="16">
        <v>1.668421052631579</v>
      </c>
      <c r="K233" s="16">
        <v>4.33470170597934</v>
      </c>
      <c r="L233" s="16">
        <v>0.10236220472440945</v>
      </c>
      <c r="M233" s="16">
        <v>0.4330708661417323</v>
      </c>
      <c r="N233" s="16">
        <v>0.5196850393700787</v>
      </c>
      <c r="O233" s="16">
        <v>0.2125984251968504</v>
      </c>
      <c r="P233" s="35">
        <v>46029.30262731481</v>
      </c>
    </row>
    <row r="234">
      <c r="A234" s="33">
        <v>46029.0</v>
      </c>
      <c r="B234" s="1" t="s">
        <v>59</v>
      </c>
      <c r="C234" s="3" t="s">
        <v>8</v>
      </c>
      <c r="E234" s="34">
        <v>118.0</v>
      </c>
      <c r="F234" s="34">
        <v>743.0</v>
      </c>
      <c r="G234" s="15">
        <v>232172.0</v>
      </c>
      <c r="H234" s="16">
        <v>0.0032002136347190875</v>
      </c>
      <c r="I234" s="17">
        <v>5.605986079286047</v>
      </c>
      <c r="J234" s="16">
        <v>0.8845238095238095</v>
      </c>
      <c r="K234" s="16">
        <v>2.2996434231378764</v>
      </c>
      <c r="L234" s="16">
        <v>0.211864406779661</v>
      </c>
      <c r="M234" s="16">
        <v>0.5932203389830508</v>
      </c>
      <c r="N234" s="16">
        <v>0.423728813559322</v>
      </c>
      <c r="O234" s="16">
        <v>0.1864406779661017</v>
      </c>
      <c r="P234" s="35">
        <v>46029.30262731481</v>
      </c>
    </row>
    <row r="235">
      <c r="A235" s="33">
        <v>46029.0</v>
      </c>
      <c r="B235" s="1" t="s">
        <v>59</v>
      </c>
      <c r="C235" s="3" t="s">
        <v>9</v>
      </c>
      <c r="E235" s="34">
        <v>11.0</v>
      </c>
      <c r="F235" s="34">
        <v>7.0</v>
      </c>
      <c r="G235" s="15">
        <v>419.0</v>
      </c>
      <c r="H235" s="16">
        <v>0.016706443914081145</v>
      </c>
      <c r="I235" s="17">
        <v>15.816229116945108</v>
      </c>
      <c r="J235" s="16">
        <v>1.4</v>
      </c>
      <c r="K235" s="16">
        <v>1.8789237668161436</v>
      </c>
      <c r="L235" s="16">
        <v>0.18181818181818182</v>
      </c>
      <c r="M235" s="16">
        <v>0.18181818181818182</v>
      </c>
      <c r="N235" s="16">
        <v>0.09090909090909091</v>
      </c>
      <c r="O235" s="16">
        <v>0.09090909090909091</v>
      </c>
      <c r="P235" s="35">
        <v>46029.30262731481</v>
      </c>
    </row>
    <row r="236">
      <c r="A236" s="33">
        <v>46029.0</v>
      </c>
      <c r="B236" s="1" t="s">
        <v>59</v>
      </c>
      <c r="C236" s="3" t="s">
        <v>10</v>
      </c>
      <c r="E236" s="34">
        <v>47.0</v>
      </c>
      <c r="F236" s="34">
        <v>2460.0</v>
      </c>
      <c r="G236" s="15">
        <v>365109.0</v>
      </c>
      <c r="H236" s="16">
        <v>0.0067377139429595</v>
      </c>
      <c r="I236" s="17">
        <v>4.480667417127488</v>
      </c>
      <c r="J236" s="16">
        <v>6.422976501305483</v>
      </c>
      <c r="K236" s="16">
        <v>9.111324615691755</v>
      </c>
      <c r="L236" s="16">
        <v>0.0</v>
      </c>
      <c r="M236" s="16">
        <v>0.2978723404255319</v>
      </c>
      <c r="N236" s="16">
        <v>0.425531914893617</v>
      </c>
      <c r="O236" s="16">
        <v>0.40425531914893614</v>
      </c>
      <c r="P236" s="35">
        <v>46029.30262731481</v>
      </c>
    </row>
    <row r="237">
      <c r="A237" s="33">
        <v>46029.0</v>
      </c>
      <c r="B237" s="1" t="s">
        <v>60</v>
      </c>
      <c r="D237" s="1" t="s">
        <v>30</v>
      </c>
      <c r="E237" s="34">
        <v>9.0</v>
      </c>
      <c r="F237" s="34">
        <v>424.0</v>
      </c>
      <c r="G237" s="15">
        <v>9507.0</v>
      </c>
      <c r="H237" s="16">
        <v>0.04459871673503734</v>
      </c>
      <c r="I237" s="17">
        <v>9.143473230251393</v>
      </c>
      <c r="J237" s="16">
        <v>1.2325581395348837</v>
      </c>
      <c r="K237" s="16">
        <v>0.6112254082551112</v>
      </c>
      <c r="L237" s="16">
        <v>0.0</v>
      </c>
      <c r="M237" s="16">
        <v>0.0</v>
      </c>
      <c r="N237" s="16">
        <v>1.0</v>
      </c>
      <c r="O237" s="16">
        <v>0.0</v>
      </c>
      <c r="P237" s="35">
        <v>46029.30262731481</v>
      </c>
    </row>
    <row r="238">
      <c r="A238" s="33">
        <v>46029.0</v>
      </c>
      <c r="B238" s="1" t="s">
        <v>60</v>
      </c>
      <c r="D238" s="1" t="s">
        <v>31</v>
      </c>
      <c r="E238" s="34">
        <v>78.0</v>
      </c>
      <c r="F238" s="34">
        <v>301.0</v>
      </c>
      <c r="G238" s="15">
        <v>9476.0</v>
      </c>
      <c r="H238" s="16">
        <v>0.03176445757703673</v>
      </c>
      <c r="I238" s="17">
        <v>7.574504010130857</v>
      </c>
      <c r="J238" s="16">
        <v>1.5125628140703518</v>
      </c>
      <c r="K238" s="16">
        <v>0.6922346409525897</v>
      </c>
      <c r="L238" s="16">
        <v>0.05128205128205128</v>
      </c>
      <c r="M238" s="16">
        <v>0.0641025641025641</v>
      </c>
      <c r="N238" s="16">
        <v>0.21794871794871795</v>
      </c>
      <c r="O238" s="16">
        <v>0.1794871794871795</v>
      </c>
      <c r="P238" s="35">
        <v>46029.30262731481</v>
      </c>
    </row>
    <row r="239">
      <c r="A239" s="33">
        <v>46029.0</v>
      </c>
      <c r="B239" s="1" t="s">
        <v>60</v>
      </c>
      <c r="D239" s="1" t="s">
        <v>32</v>
      </c>
      <c r="E239" s="34">
        <v>476.0</v>
      </c>
      <c r="F239" s="34">
        <v>12738.0</v>
      </c>
      <c r="G239" s="15">
        <v>1234807.0</v>
      </c>
      <c r="H239" s="16">
        <v>0.010315782142472467</v>
      </c>
      <c r="I239" s="17">
        <v>4.747473086887262</v>
      </c>
      <c r="J239" s="16">
        <v>1.4126649661750028</v>
      </c>
      <c r="K239" s="16">
        <v>3.1559110379586373</v>
      </c>
      <c r="L239" s="16">
        <v>0.10504201680672269</v>
      </c>
      <c r="M239" s="16">
        <v>0.3319327731092437</v>
      </c>
      <c r="N239" s="16">
        <v>0.4852941176470588</v>
      </c>
      <c r="O239" s="16">
        <v>0.19747899159663865</v>
      </c>
      <c r="P239" s="35">
        <v>46029.30262731481</v>
      </c>
    </row>
    <row r="240">
      <c r="A240" s="33">
        <v>46029.0</v>
      </c>
      <c r="B240" s="1" t="s">
        <v>60</v>
      </c>
      <c r="D240" s="1" t="s">
        <v>33</v>
      </c>
      <c r="E240" s="34">
        <v>108.0</v>
      </c>
      <c r="F240" s="34">
        <v>185.0</v>
      </c>
      <c r="G240" s="15">
        <v>13459.0</v>
      </c>
      <c r="H240" s="16">
        <v>0.013745449141838175</v>
      </c>
      <c r="I240" s="17">
        <v>5.896946281298759</v>
      </c>
      <c r="J240" s="16">
        <v>0.7034220532319392</v>
      </c>
      <c r="K240" s="16">
        <v>1.5690137561203077</v>
      </c>
      <c r="L240" s="16">
        <v>0.037037037037037035</v>
      </c>
      <c r="M240" s="16">
        <v>0.046296296296296294</v>
      </c>
      <c r="N240" s="16">
        <v>0.37962962962962965</v>
      </c>
      <c r="O240" s="16">
        <v>0.027777777777777776</v>
      </c>
      <c r="P240" s="35">
        <v>46029.30262731481</v>
      </c>
    </row>
    <row r="241">
      <c r="A241" s="33">
        <v>46029.0</v>
      </c>
      <c r="B241" s="1" t="s">
        <v>60</v>
      </c>
      <c r="D241" s="1" t="s">
        <v>34</v>
      </c>
      <c r="E241" s="34">
        <v>71.0</v>
      </c>
      <c r="F241" s="34">
        <v>8.0</v>
      </c>
      <c r="G241" s="15">
        <v>665.0</v>
      </c>
      <c r="H241" s="16">
        <v>0.012030075187969926</v>
      </c>
      <c r="I241" s="17">
        <v>8.203007518796992</v>
      </c>
      <c r="J241" s="16">
        <v>0.6153846153846154</v>
      </c>
      <c r="K241" s="16">
        <v>0.2916666666666667</v>
      </c>
      <c r="L241" s="16">
        <v>0.028169014084507043</v>
      </c>
      <c r="M241" s="16">
        <v>0.028169014084507043</v>
      </c>
      <c r="N241" s="16">
        <v>0.056338028169014086</v>
      </c>
      <c r="O241" s="16">
        <v>0.056338028169014086</v>
      </c>
      <c r="P241" s="35">
        <v>46029.30262731481</v>
      </c>
    </row>
    <row r="242">
      <c r="A242" s="33">
        <v>46030.0</v>
      </c>
      <c r="B242" s="1" t="s">
        <v>57</v>
      </c>
      <c r="E242" s="34">
        <v>1082.0</v>
      </c>
      <c r="F242" s="34">
        <v>14024.0</v>
      </c>
      <c r="G242" s="15">
        <v>1311204.0</v>
      </c>
      <c r="H242" s="16">
        <v>0.010695513436505684</v>
      </c>
      <c r="I242" s="17">
        <v>4.804536136253398</v>
      </c>
      <c r="J242" s="16">
        <v>1.4024</v>
      </c>
      <c r="K242" s="16">
        <v>2.9289848435772283</v>
      </c>
      <c r="L242" s="16">
        <v>0.05545286506469501</v>
      </c>
      <c r="M242" s="16">
        <v>0.1589648798521257</v>
      </c>
      <c r="N242" s="16">
        <v>0.30129390018484287</v>
      </c>
      <c r="O242" s="16">
        <v>0.11645101663585952</v>
      </c>
      <c r="P242" s="35">
        <v>46030.30266203704</v>
      </c>
    </row>
    <row r="243">
      <c r="A243" s="33">
        <v>46030.0</v>
      </c>
      <c r="B243" s="1" t="s">
        <v>58</v>
      </c>
      <c r="E243" s="34">
        <v>742.0</v>
      </c>
      <c r="F243" s="34">
        <v>13950.0</v>
      </c>
      <c r="G243" s="15">
        <v>1309248.0</v>
      </c>
      <c r="H243" s="16">
        <v>0.010654971403431588</v>
      </c>
      <c r="I243" s="17">
        <v>4.8027967199491615</v>
      </c>
      <c r="J243" s="16">
        <v>1.408379606259465</v>
      </c>
      <c r="K243" s="16">
        <v>2.9912814607665736</v>
      </c>
      <c r="L243" s="16">
        <v>0.07816711590296496</v>
      </c>
      <c r="M243" s="16">
        <v>0.22911051212938005</v>
      </c>
      <c r="N243" s="16">
        <v>0.4137466307277628</v>
      </c>
      <c r="O243" s="16">
        <v>0.1522911051212938</v>
      </c>
      <c r="P243" s="35">
        <v>46030.30266203704</v>
      </c>
    </row>
    <row r="244">
      <c r="A244" s="33">
        <v>46030.0</v>
      </c>
      <c r="B244" s="1" t="s">
        <v>59</v>
      </c>
      <c r="C244" s="3" t="s">
        <v>2</v>
      </c>
      <c r="E244" s="34">
        <v>124.0</v>
      </c>
      <c r="F244" s="34">
        <v>855.0</v>
      </c>
      <c r="G244" s="15">
        <v>64823.0</v>
      </c>
      <c r="H244" s="16">
        <v>0.013189762892800395</v>
      </c>
      <c r="I244" s="17">
        <v>5.443885657868349</v>
      </c>
      <c r="J244" s="16">
        <v>3.1549815498154983</v>
      </c>
      <c r="K244" s="16">
        <v>3.384129470112242</v>
      </c>
      <c r="L244" s="16">
        <v>0.04032258064516129</v>
      </c>
      <c r="M244" s="16">
        <v>0.06451612903225806</v>
      </c>
      <c r="N244" s="16">
        <v>0.43548387096774194</v>
      </c>
      <c r="O244" s="16">
        <v>0.06451612903225806</v>
      </c>
      <c r="P244" s="35">
        <v>46030.30266203704</v>
      </c>
    </row>
    <row r="245">
      <c r="A245" s="33">
        <v>46030.0</v>
      </c>
      <c r="B245" s="1" t="s">
        <v>59</v>
      </c>
      <c r="C245" s="1" t="s">
        <v>3</v>
      </c>
      <c r="E245" s="34">
        <v>164.0</v>
      </c>
      <c r="F245" s="34">
        <v>924.0</v>
      </c>
      <c r="G245" s="15">
        <v>30866.0</v>
      </c>
      <c r="H245" s="16">
        <v>0.02993585174625802</v>
      </c>
      <c r="I245" s="17">
        <v>6.595671612777814</v>
      </c>
      <c r="J245" s="16">
        <v>1.4975688816855754</v>
      </c>
      <c r="K245" s="16">
        <v>1.390422992026668</v>
      </c>
      <c r="L245" s="16">
        <v>0.036585365853658534</v>
      </c>
      <c r="M245" s="16">
        <v>0.042682926829268296</v>
      </c>
      <c r="N245" s="16">
        <v>0.38414634146341464</v>
      </c>
      <c r="O245" s="16">
        <v>0.12195121951219512</v>
      </c>
      <c r="P245" s="35">
        <v>46030.30266203704</v>
      </c>
    </row>
    <row r="246">
      <c r="A246" s="33">
        <v>46030.0</v>
      </c>
      <c r="B246" s="1" t="s">
        <v>59</v>
      </c>
      <c r="C246" s="3" t="s">
        <v>4</v>
      </c>
      <c r="E246" s="34">
        <v>105.0</v>
      </c>
      <c r="F246" s="34">
        <v>420.0</v>
      </c>
      <c r="G246" s="15">
        <v>21349.0</v>
      </c>
      <c r="H246" s="16">
        <v>0.01967305260199541</v>
      </c>
      <c r="I246" s="17">
        <v>5.7077146470560685</v>
      </c>
      <c r="J246" s="16">
        <v>0.7473309608540926</v>
      </c>
      <c r="K246" s="16">
        <v>1.1859237862459726</v>
      </c>
      <c r="L246" s="16">
        <v>0.06666666666666667</v>
      </c>
      <c r="M246" s="16">
        <v>0.10476190476190476</v>
      </c>
      <c r="N246" s="16">
        <v>0.21904761904761905</v>
      </c>
      <c r="O246" s="16">
        <v>0.10476190476190476</v>
      </c>
      <c r="P246" s="35">
        <v>46030.30266203704</v>
      </c>
    </row>
    <row r="247">
      <c r="A247" s="33">
        <v>46030.0</v>
      </c>
      <c r="B247" s="1" t="s">
        <v>59</v>
      </c>
      <c r="C247" s="3" t="s">
        <v>5</v>
      </c>
      <c r="E247" s="34">
        <v>17.0</v>
      </c>
      <c r="F247" s="34">
        <v>3212.0</v>
      </c>
      <c r="G247" s="15">
        <v>55609.0</v>
      </c>
      <c r="H247" s="16">
        <v>0.05776043446204751</v>
      </c>
      <c r="I247" s="17">
        <v>6.2989803808736</v>
      </c>
      <c r="J247" s="16">
        <v>1.0219535475660197</v>
      </c>
      <c r="K247" s="16">
        <v>2.254845511312951</v>
      </c>
      <c r="L247" s="16">
        <v>0.11764705882352941</v>
      </c>
      <c r="M247" s="16">
        <v>0.23529411764705882</v>
      </c>
      <c r="N247" s="16">
        <v>0.4117647058823529</v>
      </c>
      <c r="O247" s="16">
        <v>0.11764705882352941</v>
      </c>
      <c r="P247" s="35">
        <v>46030.30266203704</v>
      </c>
    </row>
    <row r="248">
      <c r="A248" s="33">
        <v>46030.0</v>
      </c>
      <c r="B248" s="1" t="s">
        <v>59</v>
      </c>
      <c r="C248" s="3" t="s">
        <v>6</v>
      </c>
      <c r="E248" s="34">
        <v>29.0</v>
      </c>
      <c r="F248" s="34">
        <v>4611.0</v>
      </c>
      <c r="G248" s="15">
        <v>385048.0</v>
      </c>
      <c r="H248" s="16">
        <v>0.01197513037335605</v>
      </c>
      <c r="I248" s="17">
        <v>4.156907710207559</v>
      </c>
      <c r="J248" s="16">
        <v>1.2495934959349593</v>
      </c>
      <c r="K248" s="16">
        <v>2.1349449696432035</v>
      </c>
      <c r="L248" s="16">
        <v>0.034482758620689655</v>
      </c>
      <c r="M248" s="16">
        <v>0.034482758620689655</v>
      </c>
      <c r="N248" s="16">
        <v>0.7241379310344828</v>
      </c>
      <c r="O248" s="16">
        <v>0.20689655172413793</v>
      </c>
      <c r="P248" s="35">
        <v>46030.30266203704</v>
      </c>
    </row>
    <row r="249">
      <c r="A249" s="33">
        <v>46030.0</v>
      </c>
      <c r="B249" s="1" t="s">
        <v>59</v>
      </c>
      <c r="C249" s="3" t="s">
        <v>7</v>
      </c>
      <c r="E249" s="34">
        <v>127.0</v>
      </c>
      <c r="F249" s="34">
        <v>642.0</v>
      </c>
      <c r="G249" s="15">
        <v>133761.0</v>
      </c>
      <c r="H249" s="16">
        <v>0.004799605266108955</v>
      </c>
      <c r="I249" s="17">
        <v>4.6639902512690545</v>
      </c>
      <c r="J249" s="16">
        <v>1.6984126984126984</v>
      </c>
      <c r="K249" s="16">
        <v>4.421120475954388</v>
      </c>
      <c r="L249" s="16">
        <v>0.08661417322834646</v>
      </c>
      <c r="M249" s="16">
        <v>0.4251968503937008</v>
      </c>
      <c r="N249" s="16">
        <v>0.5433070866141733</v>
      </c>
      <c r="O249" s="16">
        <v>0.1732283464566929</v>
      </c>
      <c r="P249" s="35">
        <v>46030.30266203704</v>
      </c>
    </row>
    <row r="250">
      <c r="A250" s="33">
        <v>46030.0</v>
      </c>
      <c r="B250" s="1" t="s">
        <v>59</v>
      </c>
      <c r="C250" s="3" t="s">
        <v>8</v>
      </c>
      <c r="E250" s="34">
        <v>118.0</v>
      </c>
      <c r="F250" s="34">
        <v>760.0</v>
      </c>
      <c r="G250" s="15">
        <v>240622.0</v>
      </c>
      <c r="H250" s="16">
        <v>0.0031584809369051875</v>
      </c>
      <c r="I250" s="17">
        <v>5.592294137693146</v>
      </c>
      <c r="J250" s="16">
        <v>0.9036860879904876</v>
      </c>
      <c r="K250" s="16">
        <v>2.359710113659766</v>
      </c>
      <c r="L250" s="16">
        <v>0.2033898305084746</v>
      </c>
      <c r="M250" s="16">
        <v>0.5847457627118644</v>
      </c>
      <c r="N250" s="16">
        <v>0.4322033898305085</v>
      </c>
      <c r="O250" s="16">
        <v>0.19491525423728814</v>
      </c>
      <c r="P250" s="35">
        <v>46030.30266203704</v>
      </c>
    </row>
    <row r="251">
      <c r="A251" s="33">
        <v>46030.0</v>
      </c>
      <c r="B251" s="1" t="s">
        <v>59</v>
      </c>
      <c r="C251" s="3" t="s">
        <v>9</v>
      </c>
      <c r="E251" s="34">
        <v>11.0</v>
      </c>
      <c r="F251" s="34">
        <v>7.0</v>
      </c>
      <c r="G251" s="15">
        <v>422.0</v>
      </c>
      <c r="H251" s="16">
        <v>0.016587677725118485</v>
      </c>
      <c r="I251" s="17">
        <v>15.611374407582938</v>
      </c>
      <c r="J251" s="16">
        <v>1.4</v>
      </c>
      <c r="K251" s="16">
        <v>1.9009009009009008</v>
      </c>
      <c r="L251" s="16">
        <v>0.18181818181818182</v>
      </c>
      <c r="M251" s="16">
        <v>0.18181818181818182</v>
      </c>
      <c r="N251" s="16">
        <v>0.09090909090909091</v>
      </c>
      <c r="O251" s="16">
        <v>0.09090909090909091</v>
      </c>
      <c r="P251" s="35">
        <v>46030.30266203704</v>
      </c>
    </row>
    <row r="252">
      <c r="A252" s="33">
        <v>46030.0</v>
      </c>
      <c r="B252" s="1" t="s">
        <v>59</v>
      </c>
      <c r="C252" s="3" t="s">
        <v>10</v>
      </c>
      <c r="E252" s="34">
        <v>47.0</v>
      </c>
      <c r="F252" s="34">
        <v>2519.0</v>
      </c>
      <c r="G252" s="15">
        <v>376748.0</v>
      </c>
      <c r="H252" s="16">
        <v>0.0066861668807797255</v>
      </c>
      <c r="I252" s="17">
        <v>4.466542622654931</v>
      </c>
      <c r="J252" s="16">
        <v>6.3291457286432165</v>
      </c>
      <c r="K252" s="16">
        <v>9.218880759537035</v>
      </c>
      <c r="L252" s="16">
        <v>0.0</v>
      </c>
      <c r="M252" s="16">
        <v>0.2978723404255319</v>
      </c>
      <c r="N252" s="16">
        <v>0.3829787234042553</v>
      </c>
      <c r="O252" s="16">
        <v>0.425531914893617</v>
      </c>
      <c r="P252" s="35">
        <v>46030.30266203704</v>
      </c>
    </row>
    <row r="253">
      <c r="A253" s="33">
        <v>46030.0</v>
      </c>
      <c r="B253" s="1" t="s">
        <v>60</v>
      </c>
      <c r="D253" s="1" t="s">
        <v>30</v>
      </c>
      <c r="E253" s="34">
        <v>9.0</v>
      </c>
      <c r="F253" s="34">
        <v>425.0</v>
      </c>
      <c r="G253" s="15">
        <v>9598.0</v>
      </c>
      <c r="H253" s="16">
        <v>0.04428005834548864</v>
      </c>
      <c r="I253" s="17">
        <v>9.161387789122735</v>
      </c>
      <c r="J253" s="16">
        <v>1.2426900584795322</v>
      </c>
      <c r="K253" s="16">
        <v>0.6140362100953234</v>
      </c>
      <c r="L253" s="16">
        <v>0.0</v>
      </c>
      <c r="M253" s="16">
        <v>0.0</v>
      </c>
      <c r="N253" s="16">
        <v>0.7777777777777778</v>
      </c>
      <c r="O253" s="16">
        <v>0.1111111111111111</v>
      </c>
      <c r="P253" s="35">
        <v>46030.30266203704</v>
      </c>
    </row>
    <row r="254">
      <c r="A254" s="33">
        <v>46030.0</v>
      </c>
      <c r="B254" s="1" t="s">
        <v>60</v>
      </c>
      <c r="D254" s="1" t="s">
        <v>31</v>
      </c>
      <c r="E254" s="34">
        <v>78.0</v>
      </c>
      <c r="F254" s="34">
        <v>312.0</v>
      </c>
      <c r="G254" s="15">
        <v>9563.0</v>
      </c>
      <c r="H254" s="16">
        <v>0.032625745059081876</v>
      </c>
      <c r="I254" s="17">
        <v>7.563107811356269</v>
      </c>
      <c r="J254" s="16">
        <v>1.6</v>
      </c>
      <c r="K254" s="16">
        <v>0.7049760412827129</v>
      </c>
      <c r="L254" s="16">
        <v>0.05128205128205128</v>
      </c>
      <c r="M254" s="16">
        <v>0.0641025641025641</v>
      </c>
      <c r="N254" s="16">
        <v>0.20512820512820512</v>
      </c>
      <c r="O254" s="16">
        <v>0.1794871794871795</v>
      </c>
      <c r="P254" s="35">
        <v>46030.30266203704</v>
      </c>
    </row>
    <row r="255">
      <c r="A255" s="33">
        <v>46030.0</v>
      </c>
      <c r="B255" s="1" t="s">
        <v>60</v>
      </c>
      <c r="D255" s="1" t="s">
        <v>32</v>
      </c>
      <c r="E255" s="34">
        <v>476.0</v>
      </c>
      <c r="F255" s="34">
        <v>13013.0</v>
      </c>
      <c r="G255" s="15">
        <v>1275546.0</v>
      </c>
      <c r="H255" s="16">
        <v>0.010201905693718611</v>
      </c>
      <c r="I255" s="17">
        <v>4.735762567559304</v>
      </c>
      <c r="J255" s="16">
        <v>1.4328341774939441</v>
      </c>
      <c r="K255" s="16">
        <v>3.2084203218617473</v>
      </c>
      <c r="L255" s="16">
        <v>0.09873949579831932</v>
      </c>
      <c r="M255" s="16">
        <v>0.3277310924369748</v>
      </c>
      <c r="N255" s="16">
        <v>0.49789915966386555</v>
      </c>
      <c r="O255" s="16">
        <v>0.19117647058823528</v>
      </c>
      <c r="P255" s="35">
        <v>46030.30266203704</v>
      </c>
    </row>
    <row r="256">
      <c r="A256" s="33">
        <v>46030.0</v>
      </c>
      <c r="B256" s="1" t="s">
        <v>60</v>
      </c>
      <c r="D256" s="1" t="s">
        <v>33</v>
      </c>
      <c r="E256" s="34">
        <v>108.0</v>
      </c>
      <c r="F256" s="34">
        <v>192.0</v>
      </c>
      <c r="G256" s="15">
        <v>13863.0</v>
      </c>
      <c r="H256" s="16">
        <v>0.01384981605713049</v>
      </c>
      <c r="I256" s="17">
        <v>5.8741253696891</v>
      </c>
      <c r="J256" s="16">
        <v>0.7084870848708487</v>
      </c>
      <c r="K256" s="16">
        <v>1.597856154910097</v>
      </c>
      <c r="L256" s="16">
        <v>0.046296296296296294</v>
      </c>
      <c r="M256" s="16">
        <v>0.06481481481481481</v>
      </c>
      <c r="N256" s="16">
        <v>0.39814814814814814</v>
      </c>
      <c r="O256" s="16">
        <v>0.027777777777777776</v>
      </c>
      <c r="P256" s="35">
        <v>46030.30266203704</v>
      </c>
    </row>
    <row r="257">
      <c r="A257" s="33">
        <v>46030.0</v>
      </c>
      <c r="B257" s="1" t="s">
        <v>60</v>
      </c>
      <c r="D257" s="1" t="s">
        <v>34</v>
      </c>
      <c r="E257" s="34">
        <v>71.0</v>
      </c>
      <c r="F257" s="34">
        <v>8.0</v>
      </c>
      <c r="G257" s="15">
        <v>678.0</v>
      </c>
      <c r="H257" s="16">
        <v>0.011799410029498525</v>
      </c>
      <c r="I257" s="17">
        <v>8.376106194690266</v>
      </c>
      <c r="J257" s="16">
        <v>0.5333333333333333</v>
      </c>
      <c r="K257" s="16">
        <v>0.3007985803016859</v>
      </c>
      <c r="L257" s="16">
        <v>0.028169014084507043</v>
      </c>
      <c r="M257" s="16">
        <v>0.028169014084507043</v>
      </c>
      <c r="N257" s="16">
        <v>0.056338028169014086</v>
      </c>
      <c r="O257" s="16">
        <v>0.056338028169014086</v>
      </c>
      <c r="P257" s="35">
        <v>46030.30266203704</v>
      </c>
    </row>
    <row r="258">
      <c r="A258" s="33">
        <v>46031.0</v>
      </c>
      <c r="B258" s="1" t="s">
        <v>57</v>
      </c>
      <c r="E258" s="34">
        <v>1082.0</v>
      </c>
      <c r="F258" s="34">
        <v>14307.0</v>
      </c>
      <c r="G258" s="15">
        <v>1344745.0</v>
      </c>
      <c r="H258" s="16">
        <v>0.010639191817035943</v>
      </c>
      <c r="I258" s="17">
        <v>4.7788852161562225</v>
      </c>
      <c r="J258" s="16">
        <v>1.4101123595505618</v>
      </c>
      <c r="K258" s="16">
        <v>2.9547756691254183</v>
      </c>
      <c r="L258" s="16">
        <v>0.05545286506469501</v>
      </c>
      <c r="M258" s="16">
        <v>0.16081330868761554</v>
      </c>
      <c r="N258" s="16">
        <v>0.3031423290203327</v>
      </c>
      <c r="O258" s="16">
        <v>0.12384473197781885</v>
      </c>
      <c r="P258" s="35">
        <v>46031.30268518518</v>
      </c>
    </row>
    <row r="259">
      <c r="A259" s="33">
        <v>46031.0</v>
      </c>
      <c r="B259" s="1" t="s">
        <v>58</v>
      </c>
      <c r="E259" s="34">
        <v>741.0</v>
      </c>
      <c r="F259" s="34">
        <v>14227.0</v>
      </c>
      <c r="G259" s="15">
        <v>1342807.0</v>
      </c>
      <c r="H259" s="16">
        <v>0.010594970088776719</v>
      </c>
      <c r="I259" s="17">
        <v>4.777125082011041</v>
      </c>
      <c r="J259" s="16">
        <v>1.4153402307998408</v>
      </c>
      <c r="K259" s="16">
        <v>3.014779707593936</v>
      </c>
      <c r="L259" s="16">
        <v>0.07827260458839407</v>
      </c>
      <c r="M259" s="16">
        <v>0.2321187584345479</v>
      </c>
      <c r="N259" s="16">
        <v>0.4156545209176788</v>
      </c>
      <c r="O259" s="16">
        <v>0.1632928475033738</v>
      </c>
      <c r="P259" s="35">
        <v>46031.30268518518</v>
      </c>
    </row>
    <row r="260">
      <c r="A260" s="33">
        <v>46031.0</v>
      </c>
      <c r="B260" s="1" t="s">
        <v>59</v>
      </c>
      <c r="C260" s="3" t="s">
        <v>2</v>
      </c>
      <c r="E260" s="34">
        <v>124.0</v>
      </c>
      <c r="F260" s="34">
        <v>884.0</v>
      </c>
      <c r="G260" s="15">
        <v>67621.0</v>
      </c>
      <c r="H260" s="16">
        <v>0.013072861980745627</v>
      </c>
      <c r="I260" s="17">
        <v>5.399535647210186</v>
      </c>
      <c r="J260" s="16">
        <v>3.3484848484848486</v>
      </c>
      <c r="K260" s="16">
        <v>3.576884422110553</v>
      </c>
      <c r="L260" s="16">
        <v>0.03225806451612903</v>
      </c>
      <c r="M260" s="16">
        <v>0.056451612903225805</v>
      </c>
      <c r="N260" s="16">
        <v>0.43548387096774194</v>
      </c>
      <c r="O260" s="16">
        <v>0.07258064516129033</v>
      </c>
      <c r="P260" s="35">
        <v>46031.30268518518</v>
      </c>
    </row>
    <row r="261">
      <c r="A261" s="33">
        <v>46031.0</v>
      </c>
      <c r="B261" s="1" t="s">
        <v>59</v>
      </c>
      <c r="C261" s="1" t="s">
        <v>3</v>
      </c>
      <c r="E261" s="34">
        <v>164.0</v>
      </c>
      <c r="F261" s="34">
        <v>917.0</v>
      </c>
      <c r="G261" s="15">
        <v>31643.0</v>
      </c>
      <c r="H261" s="16">
        <v>0.028979553139714946</v>
      </c>
      <c r="I261" s="17">
        <v>6.5441645861643964</v>
      </c>
      <c r="J261" s="16">
        <v>1.495921696574225</v>
      </c>
      <c r="K261" s="16">
        <v>1.4330419817943028</v>
      </c>
      <c r="L261" s="16">
        <v>0.036585365853658534</v>
      </c>
      <c r="M261" s="16">
        <v>0.042682926829268296</v>
      </c>
      <c r="N261" s="16">
        <v>0.38414634146341464</v>
      </c>
      <c r="O261" s="16">
        <v>0.12195121951219512</v>
      </c>
      <c r="P261" s="35">
        <v>46031.30268518518</v>
      </c>
    </row>
    <row r="262">
      <c r="A262" s="33">
        <v>46031.0</v>
      </c>
      <c r="B262" s="1" t="s">
        <v>59</v>
      </c>
      <c r="C262" s="3" t="s">
        <v>4</v>
      </c>
      <c r="E262" s="34">
        <v>105.0</v>
      </c>
      <c r="F262" s="34">
        <v>422.0</v>
      </c>
      <c r="G262" s="15">
        <v>21692.0</v>
      </c>
      <c r="H262" s="16">
        <v>0.019454176654988015</v>
      </c>
      <c r="I262" s="17">
        <v>5.697814862622165</v>
      </c>
      <c r="J262" s="16">
        <v>0.7416520210896309</v>
      </c>
      <c r="K262" s="16">
        <v>1.19851925520747</v>
      </c>
      <c r="L262" s="16">
        <v>0.06666666666666667</v>
      </c>
      <c r="M262" s="16">
        <v>0.10476190476190476</v>
      </c>
      <c r="N262" s="16">
        <v>0.21904761904761905</v>
      </c>
      <c r="O262" s="16">
        <v>0.13333333333333333</v>
      </c>
      <c r="P262" s="35">
        <v>46031.30268518518</v>
      </c>
    </row>
    <row r="263">
      <c r="A263" s="33">
        <v>46031.0</v>
      </c>
      <c r="B263" s="1" t="s">
        <v>59</v>
      </c>
      <c r="C263" s="3" t="s">
        <v>5</v>
      </c>
      <c r="E263" s="34">
        <v>17.0</v>
      </c>
      <c r="F263" s="34">
        <v>3294.0</v>
      </c>
      <c r="G263" s="15">
        <v>56405.0</v>
      </c>
      <c r="H263" s="16">
        <v>0.058399078095913486</v>
      </c>
      <c r="I263" s="17">
        <v>6.260118783795763</v>
      </c>
      <c r="J263" s="16">
        <v>1.0274485339987522</v>
      </c>
      <c r="K263" s="16">
        <v>2.2522360645264334</v>
      </c>
      <c r="L263" s="16">
        <v>0.11764705882352941</v>
      </c>
      <c r="M263" s="16">
        <v>0.23529411764705882</v>
      </c>
      <c r="N263" s="16">
        <v>0.4117647058823529</v>
      </c>
      <c r="O263" s="16">
        <v>0.11764705882352941</v>
      </c>
      <c r="P263" s="35">
        <v>46031.30268518518</v>
      </c>
    </row>
    <row r="264">
      <c r="A264" s="33">
        <v>46031.0</v>
      </c>
      <c r="B264" s="1" t="s">
        <v>59</v>
      </c>
      <c r="C264" s="3" t="s">
        <v>6</v>
      </c>
      <c r="E264" s="34">
        <v>28.0</v>
      </c>
      <c r="F264" s="34">
        <v>4668.0</v>
      </c>
      <c r="G264" s="15">
        <v>393280.0</v>
      </c>
      <c r="H264" s="16">
        <v>0.011869406021155412</v>
      </c>
      <c r="I264" s="17">
        <v>4.141484438567941</v>
      </c>
      <c r="J264" s="16">
        <v>1.245796637309848</v>
      </c>
      <c r="K264" s="16">
        <v>2.1253668105987322</v>
      </c>
      <c r="L264" s="16">
        <v>0.03571428571428571</v>
      </c>
      <c r="M264" s="16">
        <v>0.03571428571428571</v>
      </c>
      <c r="N264" s="16">
        <v>0.75</v>
      </c>
      <c r="O264" s="16">
        <v>0.21428571428571427</v>
      </c>
      <c r="P264" s="35">
        <v>46031.30268518518</v>
      </c>
    </row>
    <row r="265">
      <c r="A265" s="33">
        <v>46031.0</v>
      </c>
      <c r="B265" s="1" t="s">
        <v>59</v>
      </c>
      <c r="C265" s="3" t="s">
        <v>7</v>
      </c>
      <c r="E265" s="34">
        <v>127.0</v>
      </c>
      <c r="F265" s="34">
        <v>658.0</v>
      </c>
      <c r="G265" s="15">
        <v>138364.0</v>
      </c>
      <c r="H265" s="16">
        <v>0.004755572258680003</v>
      </c>
      <c r="I265" s="17">
        <v>4.649583706744529</v>
      </c>
      <c r="J265" s="16">
        <v>1.727034120734908</v>
      </c>
      <c r="K265" s="16">
        <v>4.495110620187778</v>
      </c>
      <c r="L265" s="16">
        <v>0.11023622047244094</v>
      </c>
      <c r="M265" s="16">
        <v>0.44881889763779526</v>
      </c>
      <c r="N265" s="16">
        <v>0.5433070866141733</v>
      </c>
      <c r="O265" s="16">
        <v>0.1889763779527559</v>
      </c>
      <c r="P265" s="35">
        <v>46031.30268518518</v>
      </c>
    </row>
    <row r="266">
      <c r="A266" s="33">
        <v>46031.0</v>
      </c>
      <c r="B266" s="1" t="s">
        <v>59</v>
      </c>
      <c r="C266" s="3" t="s">
        <v>8</v>
      </c>
      <c r="E266" s="34">
        <v>118.0</v>
      </c>
      <c r="F266" s="34">
        <v>782.0</v>
      </c>
      <c r="G266" s="15">
        <v>247680.0</v>
      </c>
      <c r="H266" s="16">
        <v>0.003157299741602067</v>
      </c>
      <c r="I266" s="17">
        <v>5.553250161498708</v>
      </c>
      <c r="J266" s="16">
        <v>0.9178403755868545</v>
      </c>
      <c r="K266" s="16">
        <v>2.399139843273245</v>
      </c>
      <c r="L266" s="16">
        <v>0.19491525423728814</v>
      </c>
      <c r="M266" s="16">
        <v>0.5847457627118644</v>
      </c>
      <c r="N266" s="16">
        <v>0.4576271186440678</v>
      </c>
      <c r="O266" s="16">
        <v>0.19491525423728814</v>
      </c>
      <c r="P266" s="35">
        <v>46031.30268518518</v>
      </c>
    </row>
    <row r="267">
      <c r="A267" s="33">
        <v>46031.0</v>
      </c>
      <c r="B267" s="1" t="s">
        <v>59</v>
      </c>
      <c r="C267" s="3" t="s">
        <v>9</v>
      </c>
      <c r="E267" s="34">
        <v>11.0</v>
      </c>
      <c r="F267" s="34">
        <v>8.0</v>
      </c>
      <c r="G267" s="15">
        <v>430.0</v>
      </c>
      <c r="H267" s="16">
        <v>0.018604651162790697</v>
      </c>
      <c r="I267" s="17">
        <v>15.362790697674418</v>
      </c>
      <c r="J267" s="16">
        <v>1.6</v>
      </c>
      <c r="K267" s="16">
        <v>1.894273127753304</v>
      </c>
      <c r="L267" s="16">
        <v>0.09090909090909091</v>
      </c>
      <c r="M267" s="16">
        <v>0.09090909090909091</v>
      </c>
      <c r="N267" s="16">
        <v>0.18181818181818182</v>
      </c>
      <c r="O267" s="16">
        <v>0.0</v>
      </c>
      <c r="P267" s="35">
        <v>46031.30268518518</v>
      </c>
    </row>
    <row r="268">
      <c r="A268" s="33">
        <v>46031.0</v>
      </c>
      <c r="B268" s="1" t="s">
        <v>59</v>
      </c>
      <c r="C268" s="3" t="s">
        <v>10</v>
      </c>
      <c r="E268" s="34">
        <v>47.0</v>
      </c>
      <c r="F268" s="34">
        <v>2594.0</v>
      </c>
      <c r="G268" s="15">
        <v>385692.0</v>
      </c>
      <c r="H268" s="16">
        <v>0.006725573773892121</v>
      </c>
      <c r="I268" s="17">
        <v>4.438064569656617</v>
      </c>
      <c r="J268" s="16">
        <v>6.250602409638554</v>
      </c>
      <c r="K268" s="16">
        <v>9.184673636082204</v>
      </c>
      <c r="L268" s="16">
        <v>0.0</v>
      </c>
      <c r="M268" s="16">
        <v>0.3191489361702128</v>
      </c>
      <c r="N268" s="16">
        <v>0.3191489361702128</v>
      </c>
      <c r="O268" s="16">
        <v>0.48936170212765956</v>
      </c>
      <c r="P268" s="35">
        <v>46031.30268518518</v>
      </c>
    </row>
    <row r="269">
      <c r="A269" s="33">
        <v>46031.0</v>
      </c>
      <c r="B269" s="1" t="s">
        <v>60</v>
      </c>
      <c r="D269" s="1" t="s">
        <v>30</v>
      </c>
      <c r="E269" s="34">
        <v>9.0</v>
      </c>
      <c r="F269" s="34">
        <v>426.0</v>
      </c>
      <c r="G269" s="15">
        <v>9674.0</v>
      </c>
      <c r="H269" s="16">
        <v>0.044035559230928265</v>
      </c>
      <c r="I269" s="17">
        <v>9.208703741988836</v>
      </c>
      <c r="J269" s="16">
        <v>1.2419825072886297</v>
      </c>
      <c r="K269" s="16">
        <v>0.6259867995341012</v>
      </c>
      <c r="L269" s="16">
        <v>0.0</v>
      </c>
      <c r="M269" s="16">
        <v>0.0</v>
      </c>
      <c r="N269" s="16">
        <v>0.8888888888888888</v>
      </c>
      <c r="O269" s="16">
        <v>0.1111111111111111</v>
      </c>
      <c r="P269" s="35">
        <v>46031.30268518518</v>
      </c>
    </row>
    <row r="270">
      <c r="A270" s="33">
        <v>46031.0</v>
      </c>
      <c r="B270" s="1" t="s">
        <v>60</v>
      </c>
      <c r="D270" s="1" t="s">
        <v>31</v>
      </c>
      <c r="E270" s="34">
        <v>78.0</v>
      </c>
      <c r="F270" s="34">
        <v>318.0</v>
      </c>
      <c r="G270" s="15">
        <v>9621.0</v>
      </c>
      <c r="H270" s="16">
        <v>0.0330526972248207</v>
      </c>
      <c r="I270" s="17">
        <v>7.554931919758861</v>
      </c>
      <c r="J270" s="16">
        <v>1.7096774193548387</v>
      </c>
      <c r="K270" s="16">
        <v>0.718521284540702</v>
      </c>
      <c r="L270" s="16">
        <v>0.08974358974358974</v>
      </c>
      <c r="M270" s="16">
        <v>0.10256410256410256</v>
      </c>
      <c r="N270" s="16">
        <v>0.20512820512820512</v>
      </c>
      <c r="O270" s="16">
        <v>0.19230769230769232</v>
      </c>
      <c r="P270" s="35">
        <v>46031.30268518518</v>
      </c>
    </row>
    <row r="271">
      <c r="A271" s="33">
        <v>46031.0</v>
      </c>
      <c r="B271" s="1" t="s">
        <v>60</v>
      </c>
      <c r="D271" s="1" t="s">
        <v>32</v>
      </c>
      <c r="E271" s="34">
        <v>476.0</v>
      </c>
      <c r="F271" s="34">
        <v>13272.0</v>
      </c>
      <c r="G271" s="15">
        <v>1308631.0</v>
      </c>
      <c r="H271" s="16">
        <v>0.010141896378734723</v>
      </c>
      <c r="I271" s="17">
        <v>4.710597563407867</v>
      </c>
      <c r="J271" s="16">
        <v>1.439167208848406</v>
      </c>
      <c r="K271" s="16">
        <v>3.2267100961135413</v>
      </c>
      <c r="L271" s="16">
        <v>0.09453781512605042</v>
      </c>
      <c r="M271" s="16">
        <v>0.3277310924369748</v>
      </c>
      <c r="N271" s="16">
        <v>0.49789915966386555</v>
      </c>
      <c r="O271" s="16">
        <v>0.19957983193277312</v>
      </c>
      <c r="P271" s="35">
        <v>46031.30268518518</v>
      </c>
    </row>
    <row r="272">
      <c r="A272" s="33">
        <v>46031.0</v>
      </c>
      <c r="B272" s="1" t="s">
        <v>60</v>
      </c>
      <c r="D272" s="1" t="s">
        <v>33</v>
      </c>
      <c r="E272" s="34">
        <v>108.0</v>
      </c>
      <c r="F272" s="34">
        <v>201.0</v>
      </c>
      <c r="G272" s="15">
        <v>14200.0</v>
      </c>
      <c r="H272" s="16">
        <v>0.014154929577464788</v>
      </c>
      <c r="I272" s="17">
        <v>5.834718309859155</v>
      </c>
      <c r="J272" s="16">
        <v>0.7052631578947368</v>
      </c>
      <c r="K272" s="16">
        <v>1.6145537237066514</v>
      </c>
      <c r="L272" s="16">
        <v>0.037037037037037035</v>
      </c>
      <c r="M272" s="16">
        <v>0.05555555555555555</v>
      </c>
      <c r="N272" s="16">
        <v>0.39814814814814814</v>
      </c>
      <c r="O272" s="16">
        <v>0.046296296296296294</v>
      </c>
      <c r="P272" s="35">
        <v>46031.30268518518</v>
      </c>
    </row>
    <row r="273">
      <c r="A273" s="33">
        <v>46031.0</v>
      </c>
      <c r="B273" s="1" t="s">
        <v>60</v>
      </c>
      <c r="D273" s="1" t="s">
        <v>34</v>
      </c>
      <c r="E273" s="34">
        <v>70.0</v>
      </c>
      <c r="F273" s="34">
        <v>10.0</v>
      </c>
      <c r="G273" s="15">
        <v>681.0</v>
      </c>
      <c r="H273" s="16">
        <v>0.014684287812041116</v>
      </c>
      <c r="I273" s="17">
        <v>8.368575624082233</v>
      </c>
      <c r="J273" s="16">
        <v>0.625</v>
      </c>
      <c r="K273" s="16">
        <v>0.30856366107838695</v>
      </c>
      <c r="L273" s="16">
        <v>0.02857142857142857</v>
      </c>
      <c r="M273" s="16">
        <v>0.02857142857142857</v>
      </c>
      <c r="N273" s="16">
        <v>0.05714285714285714</v>
      </c>
      <c r="O273" s="16">
        <v>0.07142857142857142</v>
      </c>
      <c r="P273" s="35">
        <v>46031.30268518518</v>
      </c>
    </row>
    <row r="274">
      <c r="A274" s="33">
        <v>46032.0</v>
      </c>
      <c r="B274" s="1" t="s">
        <v>57</v>
      </c>
      <c r="E274" s="34">
        <v>1082.0</v>
      </c>
      <c r="F274" s="34">
        <v>14639.0</v>
      </c>
      <c r="G274" s="15">
        <v>1376999.0</v>
      </c>
      <c r="H274" s="16">
        <v>0.010631089782926494</v>
      </c>
      <c r="I274" s="17">
        <v>4.761821904010097</v>
      </c>
      <c r="J274" s="16">
        <v>1.4473996440577417</v>
      </c>
      <c r="K274" s="16">
        <v>2.9995011719192464</v>
      </c>
      <c r="L274" s="16">
        <v>0.053604436229205174</v>
      </c>
      <c r="M274" s="16">
        <v>0.16081330868761554</v>
      </c>
      <c r="N274" s="16">
        <v>0.3049907578558225</v>
      </c>
      <c r="O274" s="16">
        <v>0.1256931608133087</v>
      </c>
      <c r="P274" s="35">
        <v>46032.30266203704</v>
      </c>
    </row>
    <row r="275">
      <c r="A275" s="33">
        <v>46032.0</v>
      </c>
      <c r="B275" s="1" t="s">
        <v>58</v>
      </c>
      <c r="E275" s="34">
        <v>741.0</v>
      </c>
      <c r="F275" s="34">
        <v>14558.0</v>
      </c>
      <c r="G275" s="15">
        <v>1375022.0</v>
      </c>
      <c r="H275" s="16">
        <v>0.010587466964164937</v>
      </c>
      <c r="I275" s="17">
        <v>4.759994385544377</v>
      </c>
      <c r="J275" s="16">
        <v>1.4528942115768464</v>
      </c>
      <c r="K275" s="16">
        <v>3.0591666740827095</v>
      </c>
      <c r="L275" s="16">
        <v>0.07557354925775979</v>
      </c>
      <c r="M275" s="16">
        <v>0.2321187584345479</v>
      </c>
      <c r="N275" s="16">
        <v>0.41970310391363025</v>
      </c>
      <c r="O275" s="16">
        <v>0.16464237516869096</v>
      </c>
      <c r="P275" s="35">
        <v>46032.30266203704</v>
      </c>
    </row>
    <row r="276">
      <c r="A276" s="33">
        <v>46032.0</v>
      </c>
      <c r="B276" s="1" t="s">
        <v>59</v>
      </c>
      <c r="C276" s="3" t="s">
        <v>2</v>
      </c>
      <c r="E276" s="34">
        <v>124.0</v>
      </c>
      <c r="F276" s="34">
        <v>916.0</v>
      </c>
      <c r="G276" s="15">
        <v>70063.0</v>
      </c>
      <c r="H276" s="16">
        <v>0.013073947732754807</v>
      </c>
      <c r="I276" s="17">
        <v>5.410987254328248</v>
      </c>
      <c r="J276" s="16">
        <v>3.4696969696969697</v>
      </c>
      <c r="K276" s="16">
        <v>3.7176589196646503</v>
      </c>
      <c r="L276" s="16">
        <v>0.04032258064516129</v>
      </c>
      <c r="M276" s="16">
        <v>0.08064516129032258</v>
      </c>
      <c r="N276" s="16">
        <v>0.4274193548387097</v>
      </c>
      <c r="O276" s="16">
        <v>0.06451612903225806</v>
      </c>
      <c r="P276" s="35">
        <v>46032.30266203704</v>
      </c>
    </row>
    <row r="277">
      <c r="A277" s="33">
        <v>46032.0</v>
      </c>
      <c r="B277" s="1" t="s">
        <v>59</v>
      </c>
      <c r="C277" s="1" t="s">
        <v>3</v>
      </c>
      <c r="E277" s="34">
        <v>164.0</v>
      </c>
      <c r="F277" s="34">
        <v>913.0</v>
      </c>
      <c r="G277" s="15">
        <v>32507.0</v>
      </c>
      <c r="H277" s="16">
        <v>0.0280862583443566</v>
      </c>
      <c r="I277" s="17">
        <v>6.512105085058603</v>
      </c>
      <c r="J277" s="16">
        <v>1.4991789819376027</v>
      </c>
      <c r="K277" s="16">
        <v>1.469442184250972</v>
      </c>
      <c r="L277" s="16">
        <v>0.03048780487804878</v>
      </c>
      <c r="M277" s="16">
        <v>0.036585365853658534</v>
      </c>
      <c r="N277" s="16">
        <v>0.3902439024390244</v>
      </c>
      <c r="O277" s="16">
        <v>0.12804878048780488</v>
      </c>
      <c r="P277" s="35">
        <v>46032.30266203704</v>
      </c>
    </row>
    <row r="278">
      <c r="A278" s="33">
        <v>46032.0</v>
      </c>
      <c r="B278" s="1" t="s">
        <v>59</v>
      </c>
      <c r="C278" s="3" t="s">
        <v>4</v>
      </c>
      <c r="E278" s="34">
        <v>105.0</v>
      </c>
      <c r="F278" s="34">
        <v>423.0</v>
      </c>
      <c r="G278" s="15">
        <v>22170.0</v>
      </c>
      <c r="H278" s="16">
        <v>0.019079837618403248</v>
      </c>
      <c r="I278" s="17">
        <v>5.717816869643663</v>
      </c>
      <c r="J278" s="16">
        <v>0.7473498233215548</v>
      </c>
      <c r="K278" s="16">
        <v>1.2366131191432397</v>
      </c>
      <c r="L278" s="16">
        <v>0.06666666666666667</v>
      </c>
      <c r="M278" s="16">
        <v>0.10476190476190476</v>
      </c>
      <c r="N278" s="16">
        <v>0.21904761904761905</v>
      </c>
      <c r="O278" s="16">
        <v>0.1523809523809524</v>
      </c>
      <c r="P278" s="35">
        <v>46032.30266203704</v>
      </c>
    </row>
    <row r="279">
      <c r="A279" s="33">
        <v>46032.0</v>
      </c>
      <c r="B279" s="1" t="s">
        <v>59</v>
      </c>
      <c r="C279" s="3" t="s">
        <v>5</v>
      </c>
      <c r="E279" s="34">
        <v>17.0</v>
      </c>
      <c r="F279" s="34">
        <v>3378.0</v>
      </c>
      <c r="G279" s="15">
        <v>57342.0</v>
      </c>
      <c r="H279" s="16">
        <v>0.058909699696557495</v>
      </c>
      <c r="I279" s="17">
        <v>6.208363851975864</v>
      </c>
      <c r="J279" s="16">
        <v>1.054307116104869</v>
      </c>
      <c r="K279" s="16">
        <v>2.271870047543582</v>
      </c>
      <c r="L279" s="16">
        <v>0.17647058823529413</v>
      </c>
      <c r="M279" s="16">
        <v>0.23529411764705882</v>
      </c>
      <c r="N279" s="16">
        <v>0.35294117647058826</v>
      </c>
      <c r="O279" s="16">
        <v>0.17647058823529413</v>
      </c>
      <c r="P279" s="35">
        <v>46032.30266203704</v>
      </c>
    </row>
    <row r="280">
      <c r="A280" s="33">
        <v>46032.0</v>
      </c>
      <c r="B280" s="1" t="s">
        <v>59</v>
      </c>
      <c r="C280" s="3" t="s">
        <v>6</v>
      </c>
      <c r="E280" s="34">
        <v>28.0</v>
      </c>
      <c r="F280" s="34">
        <v>4807.0</v>
      </c>
      <c r="G280" s="15">
        <v>402927.0</v>
      </c>
      <c r="H280" s="16">
        <v>0.011930200755968203</v>
      </c>
      <c r="I280" s="17">
        <v>4.1412588384496445</v>
      </c>
      <c r="J280" s="16">
        <v>1.293943472409152</v>
      </c>
      <c r="K280" s="16">
        <v>2.1429095666602844</v>
      </c>
      <c r="L280" s="16">
        <v>0.03571428571428571</v>
      </c>
      <c r="M280" s="16">
        <v>0.03571428571428571</v>
      </c>
      <c r="N280" s="16">
        <v>0.75</v>
      </c>
      <c r="O280" s="16">
        <v>0.21428571428571427</v>
      </c>
      <c r="P280" s="35">
        <v>46032.30266203704</v>
      </c>
    </row>
    <row r="281">
      <c r="A281" s="33">
        <v>46032.0</v>
      </c>
      <c r="B281" s="1" t="s">
        <v>59</v>
      </c>
      <c r="C281" s="3" t="s">
        <v>7</v>
      </c>
      <c r="E281" s="34">
        <v>127.0</v>
      </c>
      <c r="F281" s="34">
        <v>678.0</v>
      </c>
      <c r="G281" s="15">
        <v>142221.0</v>
      </c>
      <c r="H281" s="16">
        <v>0.0047672284683696504</v>
      </c>
      <c r="I281" s="17">
        <v>4.643610999782029</v>
      </c>
      <c r="J281" s="16">
        <v>1.8176943699731904</v>
      </c>
      <c r="K281" s="16">
        <v>4.606049810538589</v>
      </c>
      <c r="L281" s="16">
        <v>0.09448818897637795</v>
      </c>
      <c r="M281" s="16">
        <v>0.4330708661417323</v>
      </c>
      <c r="N281" s="16">
        <v>0.5511811023622047</v>
      </c>
      <c r="O281" s="16">
        <v>0.1968503937007874</v>
      </c>
      <c r="P281" s="35">
        <v>46032.30266203704</v>
      </c>
    </row>
    <row r="282">
      <c r="A282" s="33">
        <v>46032.0</v>
      </c>
      <c r="B282" s="1" t="s">
        <v>59</v>
      </c>
      <c r="C282" s="3" t="s">
        <v>8</v>
      </c>
      <c r="E282" s="34">
        <v>118.0</v>
      </c>
      <c r="F282" s="34">
        <v>796.0</v>
      </c>
      <c r="G282" s="15">
        <v>253850.0</v>
      </c>
      <c r="H282" s="16">
        <v>0.003135710064999015</v>
      </c>
      <c r="I282" s="17">
        <v>5.52170967106559</v>
      </c>
      <c r="J282" s="16">
        <v>0.9255813953488372</v>
      </c>
      <c r="K282" s="16">
        <v>2.4545542448269195</v>
      </c>
      <c r="L282" s="16">
        <v>0.1864406779661017</v>
      </c>
      <c r="M282" s="16">
        <v>0.5847457627118644</v>
      </c>
      <c r="N282" s="16">
        <v>0.4745762711864407</v>
      </c>
      <c r="O282" s="16">
        <v>0.17796610169491525</v>
      </c>
      <c r="P282" s="35">
        <v>46032.30266203704</v>
      </c>
    </row>
    <row r="283">
      <c r="A283" s="33">
        <v>46032.0</v>
      </c>
      <c r="B283" s="1" t="s">
        <v>59</v>
      </c>
      <c r="C283" s="3" t="s">
        <v>9</v>
      </c>
      <c r="E283" s="34">
        <v>11.0</v>
      </c>
      <c r="F283" s="34">
        <v>9.0</v>
      </c>
      <c r="G283" s="15">
        <v>453.0</v>
      </c>
      <c r="H283" s="16">
        <v>0.019867549668874173</v>
      </c>
      <c r="I283" s="17">
        <v>15.245033112582782</v>
      </c>
      <c r="J283" s="16">
        <v>2.25</v>
      </c>
      <c r="K283" s="16">
        <v>1.9525862068965518</v>
      </c>
      <c r="L283" s="16">
        <v>0.09090909090909091</v>
      </c>
      <c r="M283" s="16">
        <v>0.09090909090909091</v>
      </c>
      <c r="N283" s="16">
        <v>0.18181818181818182</v>
      </c>
      <c r="O283" s="16">
        <v>0.0</v>
      </c>
      <c r="P283" s="35">
        <v>46032.30266203704</v>
      </c>
    </row>
    <row r="284">
      <c r="A284" s="33">
        <v>46032.0</v>
      </c>
      <c r="B284" s="1" t="s">
        <v>59</v>
      </c>
      <c r="C284" s="3" t="s">
        <v>10</v>
      </c>
      <c r="E284" s="34">
        <v>47.0</v>
      </c>
      <c r="F284" s="34">
        <v>2638.0</v>
      </c>
      <c r="G284" s="15">
        <v>393489.0</v>
      </c>
      <c r="H284" s="16">
        <v>0.006704126417765173</v>
      </c>
      <c r="I284" s="17">
        <v>4.406471337191128</v>
      </c>
      <c r="J284" s="16">
        <v>6.207058823529412</v>
      </c>
      <c r="K284" s="16">
        <v>9.197321365963116</v>
      </c>
      <c r="L284" s="16">
        <v>0.0</v>
      </c>
      <c r="M284" s="16">
        <v>0.3191489361702128</v>
      </c>
      <c r="N284" s="16">
        <v>0.3404255319148936</v>
      </c>
      <c r="O284" s="16">
        <v>0.46808510638297873</v>
      </c>
      <c r="P284" s="35">
        <v>46032.30266203704</v>
      </c>
    </row>
    <row r="285">
      <c r="A285" s="33">
        <v>46032.0</v>
      </c>
      <c r="B285" s="1" t="s">
        <v>60</v>
      </c>
      <c r="D285" s="1" t="s">
        <v>30</v>
      </c>
      <c r="E285" s="34">
        <v>9.0</v>
      </c>
      <c r="F285" s="34">
        <v>422.0</v>
      </c>
      <c r="G285" s="15">
        <v>9839.0</v>
      </c>
      <c r="H285" s="16">
        <v>0.04289053765626588</v>
      </c>
      <c r="I285" s="17">
        <v>9.312633397703019</v>
      </c>
      <c r="J285" s="16">
        <v>1.2522255192878338</v>
      </c>
      <c r="K285" s="16">
        <v>0.6315958402875851</v>
      </c>
      <c r="L285" s="16">
        <v>0.0</v>
      </c>
      <c r="M285" s="16">
        <v>0.0</v>
      </c>
      <c r="N285" s="16">
        <v>0.7777777777777778</v>
      </c>
      <c r="O285" s="16">
        <v>0.2222222222222222</v>
      </c>
      <c r="P285" s="35">
        <v>46032.30266203704</v>
      </c>
    </row>
    <row r="286">
      <c r="A286" s="33">
        <v>46032.0</v>
      </c>
      <c r="B286" s="1" t="s">
        <v>60</v>
      </c>
      <c r="D286" s="1" t="s">
        <v>31</v>
      </c>
      <c r="E286" s="34">
        <v>78.0</v>
      </c>
      <c r="F286" s="34">
        <v>326.0</v>
      </c>
      <c r="G286" s="15">
        <v>9756.0</v>
      </c>
      <c r="H286" s="16">
        <v>0.03341533415334153</v>
      </c>
      <c r="I286" s="17">
        <v>7.593378433784338</v>
      </c>
      <c r="J286" s="16">
        <v>1.7526881720430108</v>
      </c>
      <c r="K286" s="16">
        <v>0.7320477226682675</v>
      </c>
      <c r="L286" s="16">
        <v>0.08974358974358974</v>
      </c>
      <c r="M286" s="16">
        <v>0.10256410256410256</v>
      </c>
      <c r="N286" s="16">
        <v>0.21794871794871795</v>
      </c>
      <c r="O286" s="16">
        <v>0.21794871794871795</v>
      </c>
      <c r="P286" s="35">
        <v>46032.30266203704</v>
      </c>
    </row>
    <row r="287">
      <c r="A287" s="33">
        <v>46032.0</v>
      </c>
      <c r="B287" s="1" t="s">
        <v>60</v>
      </c>
      <c r="D287" s="1" t="s">
        <v>32</v>
      </c>
      <c r="E287" s="34">
        <v>476.0</v>
      </c>
      <c r="F287" s="34">
        <v>13596.0</v>
      </c>
      <c r="G287" s="15">
        <v>1340126.0</v>
      </c>
      <c r="H287" s="16">
        <v>0.01014531469428994</v>
      </c>
      <c r="I287" s="17">
        <v>4.692206553712114</v>
      </c>
      <c r="J287" s="16">
        <v>1.4799172744094917</v>
      </c>
      <c r="K287" s="16">
        <v>3.270849706383415</v>
      </c>
      <c r="L287" s="16">
        <v>0.09243697478991597</v>
      </c>
      <c r="M287" s="16">
        <v>0.32983193277310924</v>
      </c>
      <c r="N287" s="16">
        <v>0.5042016806722689</v>
      </c>
      <c r="O287" s="16">
        <v>0.19327731092436976</v>
      </c>
      <c r="P287" s="35">
        <v>46032.30266203704</v>
      </c>
    </row>
    <row r="288">
      <c r="A288" s="33">
        <v>46032.0</v>
      </c>
      <c r="B288" s="1" t="s">
        <v>60</v>
      </c>
      <c r="D288" s="1" t="s">
        <v>33</v>
      </c>
      <c r="E288" s="34">
        <v>108.0</v>
      </c>
      <c r="F288" s="34">
        <v>204.0</v>
      </c>
      <c r="G288" s="15">
        <v>14603.0</v>
      </c>
      <c r="H288" s="16">
        <v>0.013969732246798603</v>
      </c>
      <c r="I288" s="17">
        <v>5.842703554064234</v>
      </c>
      <c r="J288" s="16">
        <v>0.6938775510204082</v>
      </c>
      <c r="K288" s="16">
        <v>1.686063964900127</v>
      </c>
      <c r="L288" s="16">
        <v>0.027777777777777776</v>
      </c>
      <c r="M288" s="16">
        <v>0.046296296296296294</v>
      </c>
      <c r="N288" s="16">
        <v>0.39814814814814814</v>
      </c>
      <c r="O288" s="16">
        <v>0.05555555555555555</v>
      </c>
      <c r="P288" s="35">
        <v>46032.30266203704</v>
      </c>
    </row>
    <row r="289">
      <c r="A289" s="33">
        <v>46032.0</v>
      </c>
      <c r="B289" s="1" t="s">
        <v>60</v>
      </c>
      <c r="D289" s="1" t="s">
        <v>34</v>
      </c>
      <c r="E289" s="34">
        <v>70.0</v>
      </c>
      <c r="F289" s="34">
        <v>10.0</v>
      </c>
      <c r="G289" s="15">
        <v>698.0</v>
      </c>
      <c r="H289" s="16">
        <v>0.014326647564469915</v>
      </c>
      <c r="I289" s="17">
        <v>8.48137535816619</v>
      </c>
      <c r="J289" s="16">
        <v>0.625</v>
      </c>
      <c r="K289" s="16">
        <v>0.31843065693430656</v>
      </c>
      <c r="L289" s="16">
        <v>0.02857142857142857</v>
      </c>
      <c r="M289" s="16">
        <v>0.02857142857142857</v>
      </c>
      <c r="N289" s="16">
        <v>0.05714285714285714</v>
      </c>
      <c r="O289" s="16">
        <v>0.07142857142857142</v>
      </c>
      <c r="P289" s="35">
        <v>46032.30266203704</v>
      </c>
    </row>
    <row r="290">
      <c r="A290" s="33">
        <v>46033.0</v>
      </c>
      <c r="B290" s="1" t="s">
        <v>57</v>
      </c>
      <c r="E290" s="34">
        <v>1083.0</v>
      </c>
      <c r="F290" s="34">
        <v>14984.0</v>
      </c>
      <c r="G290" s="15">
        <v>1404623.0</v>
      </c>
      <c r="H290" s="16">
        <v>0.010667631101014293</v>
      </c>
      <c r="I290" s="17">
        <v>4.753306047245418</v>
      </c>
      <c r="J290" s="16">
        <v>1.4693077073936065</v>
      </c>
      <c r="K290" s="16">
        <v>3.034601582737232</v>
      </c>
      <c r="L290" s="16">
        <v>0.05447830101569714</v>
      </c>
      <c r="M290" s="16">
        <v>0.1615881809787627</v>
      </c>
      <c r="N290" s="16">
        <v>0.30655586334256696</v>
      </c>
      <c r="O290" s="16">
        <v>0.12557710064635272</v>
      </c>
      <c r="P290" s="35">
        <v>46033.30263888889</v>
      </c>
    </row>
    <row r="291">
      <c r="A291" s="33">
        <v>46033.0</v>
      </c>
      <c r="B291" s="1" t="s">
        <v>58</v>
      </c>
      <c r="E291" s="34">
        <v>742.0</v>
      </c>
      <c r="F291" s="34">
        <v>14907.0</v>
      </c>
      <c r="G291" s="15">
        <v>1402654.0</v>
      </c>
      <c r="H291" s="16">
        <v>0.010627710041107786</v>
      </c>
      <c r="I291" s="17">
        <v>4.751573089300711</v>
      </c>
      <c r="J291" s="16">
        <v>1.475210291934686</v>
      </c>
      <c r="K291" s="16">
        <v>3.0935869979951787</v>
      </c>
      <c r="L291" s="16">
        <v>0.07681940700808626</v>
      </c>
      <c r="M291" s="16">
        <v>0.23315363881401618</v>
      </c>
      <c r="N291" s="16">
        <v>0.42318059299191374</v>
      </c>
      <c r="O291" s="16">
        <v>0.16442048517520216</v>
      </c>
      <c r="P291" s="35">
        <v>46033.30263888889</v>
      </c>
    </row>
    <row r="292">
      <c r="A292" s="33">
        <v>46033.0</v>
      </c>
      <c r="B292" s="1" t="s">
        <v>59</v>
      </c>
      <c r="C292" s="3" t="s">
        <v>2</v>
      </c>
      <c r="E292" s="34">
        <v>124.0</v>
      </c>
      <c r="F292" s="34">
        <v>934.0</v>
      </c>
      <c r="G292" s="15">
        <v>72265.0</v>
      </c>
      <c r="H292" s="16">
        <v>0.012924652321317374</v>
      </c>
      <c r="I292" s="17">
        <v>5.355663184114025</v>
      </c>
      <c r="J292" s="16">
        <v>3.4721189591078065</v>
      </c>
      <c r="K292" s="16">
        <v>3.8481814793119975</v>
      </c>
      <c r="L292" s="16">
        <v>0.056451612903225805</v>
      </c>
      <c r="M292" s="16">
        <v>0.08870967741935484</v>
      </c>
      <c r="N292" s="16">
        <v>0.4274193548387097</v>
      </c>
      <c r="O292" s="16">
        <v>0.06451612903225806</v>
      </c>
      <c r="P292" s="35">
        <v>46033.30263888889</v>
      </c>
    </row>
    <row r="293">
      <c r="A293" s="33">
        <v>46033.0</v>
      </c>
      <c r="B293" s="1" t="s">
        <v>59</v>
      </c>
      <c r="C293" s="1" t="s">
        <v>3</v>
      </c>
      <c r="E293" s="34">
        <v>165.0</v>
      </c>
      <c r="F293" s="34">
        <v>905.0</v>
      </c>
      <c r="G293" s="15">
        <v>33198.0</v>
      </c>
      <c r="H293" s="16">
        <v>0.027260678354117718</v>
      </c>
      <c r="I293" s="17">
        <v>6.472618832459787</v>
      </c>
      <c r="J293" s="16">
        <v>1.4983443708609272</v>
      </c>
      <c r="K293" s="16">
        <v>1.5031922119085352</v>
      </c>
      <c r="L293" s="16">
        <v>0.030303030303030304</v>
      </c>
      <c r="M293" s="16">
        <v>0.03636363636363636</v>
      </c>
      <c r="N293" s="16">
        <v>0.4</v>
      </c>
      <c r="O293" s="16">
        <v>0.11515151515151516</v>
      </c>
      <c r="P293" s="35">
        <v>46033.30263888889</v>
      </c>
    </row>
    <row r="294">
      <c r="A294" s="33">
        <v>46033.0</v>
      </c>
      <c r="B294" s="1" t="s">
        <v>59</v>
      </c>
      <c r="C294" s="3" t="s">
        <v>4</v>
      </c>
      <c r="E294" s="34">
        <v>105.0</v>
      </c>
      <c r="F294" s="34">
        <v>439.0</v>
      </c>
      <c r="G294" s="15">
        <v>22521.0</v>
      </c>
      <c r="H294" s="16">
        <v>0.019492917721237957</v>
      </c>
      <c r="I294" s="17">
        <v>5.711691310332578</v>
      </c>
      <c r="J294" s="16">
        <v>0.7825311942959001</v>
      </c>
      <c r="K294" s="16">
        <v>1.2669329432943295</v>
      </c>
      <c r="L294" s="16">
        <v>0.06666666666666667</v>
      </c>
      <c r="M294" s="16">
        <v>0.09523809523809523</v>
      </c>
      <c r="N294" s="16">
        <v>0.23809523809523808</v>
      </c>
      <c r="O294" s="16">
        <v>0.1619047619047619</v>
      </c>
      <c r="P294" s="35">
        <v>46033.30263888889</v>
      </c>
    </row>
    <row r="295">
      <c r="A295" s="33">
        <v>46033.0</v>
      </c>
      <c r="B295" s="1" t="s">
        <v>59</v>
      </c>
      <c r="C295" s="3" t="s">
        <v>5</v>
      </c>
      <c r="E295" s="34">
        <v>17.0</v>
      </c>
      <c r="F295" s="34">
        <v>3486.0</v>
      </c>
      <c r="G295" s="15">
        <v>58535.0</v>
      </c>
      <c r="H295" s="16">
        <v>0.05955411292389169</v>
      </c>
      <c r="I295" s="17">
        <v>6.163321089946186</v>
      </c>
      <c r="J295" s="16">
        <v>1.0544464609800364</v>
      </c>
      <c r="K295" s="16">
        <v>2.2775378389945917</v>
      </c>
      <c r="L295" s="16">
        <v>0.11764705882352941</v>
      </c>
      <c r="M295" s="16">
        <v>0.17647058823529413</v>
      </c>
      <c r="N295" s="16">
        <v>0.4117647058823529</v>
      </c>
      <c r="O295" s="16">
        <v>0.17647058823529413</v>
      </c>
      <c r="P295" s="35">
        <v>46033.30263888889</v>
      </c>
    </row>
    <row r="296">
      <c r="A296" s="33">
        <v>46033.0</v>
      </c>
      <c r="B296" s="1" t="s">
        <v>59</v>
      </c>
      <c r="C296" s="3" t="s">
        <v>6</v>
      </c>
      <c r="E296" s="34">
        <v>28.0</v>
      </c>
      <c r="F296" s="34">
        <v>4941.0</v>
      </c>
      <c r="G296" s="15">
        <v>409157.0</v>
      </c>
      <c r="H296" s="16">
        <v>0.012076049047187265</v>
      </c>
      <c r="I296" s="17">
        <v>4.151843913216687</v>
      </c>
      <c r="J296" s="16">
        <v>1.337936636880585</v>
      </c>
      <c r="K296" s="16">
        <v>2.1469717799909747</v>
      </c>
      <c r="L296" s="16">
        <v>0.0</v>
      </c>
      <c r="M296" s="16">
        <v>0.0</v>
      </c>
      <c r="N296" s="16">
        <v>0.75</v>
      </c>
      <c r="O296" s="16">
        <v>0.25</v>
      </c>
      <c r="P296" s="35">
        <v>46033.30263888889</v>
      </c>
    </row>
    <row r="297">
      <c r="A297" s="33">
        <v>46033.0</v>
      </c>
      <c r="B297" s="1" t="s">
        <v>59</v>
      </c>
      <c r="C297" s="3" t="s">
        <v>7</v>
      </c>
      <c r="E297" s="34">
        <v>127.0</v>
      </c>
      <c r="F297" s="34">
        <v>688.0</v>
      </c>
      <c r="G297" s="15">
        <v>146358.0</v>
      </c>
      <c r="H297" s="16">
        <v>0.004700802142691209</v>
      </c>
      <c r="I297" s="17">
        <v>4.655399773158966</v>
      </c>
      <c r="J297" s="16">
        <v>1.8153034300791557</v>
      </c>
      <c r="K297" s="16">
        <v>4.734666149068323</v>
      </c>
      <c r="L297" s="16">
        <v>0.08661417322834646</v>
      </c>
      <c r="M297" s="16">
        <v>0.4566929133858268</v>
      </c>
      <c r="N297" s="16">
        <v>0.5511811023622047</v>
      </c>
      <c r="O297" s="16">
        <v>0.1968503937007874</v>
      </c>
      <c r="P297" s="35">
        <v>46033.30263888889</v>
      </c>
    </row>
    <row r="298">
      <c r="A298" s="33">
        <v>46033.0</v>
      </c>
      <c r="B298" s="1" t="s">
        <v>59</v>
      </c>
      <c r="C298" s="3" t="s">
        <v>8</v>
      </c>
      <c r="E298" s="34">
        <v>118.0</v>
      </c>
      <c r="F298" s="34">
        <v>804.0</v>
      </c>
      <c r="G298" s="15">
        <v>258783.0</v>
      </c>
      <c r="H298" s="16">
        <v>0.0031068501408516016</v>
      </c>
      <c r="I298" s="17">
        <v>5.490584775661461</v>
      </c>
      <c r="J298" s="16">
        <v>0.9492325855962219</v>
      </c>
      <c r="K298" s="16">
        <v>2.499739190912252</v>
      </c>
      <c r="L298" s="16">
        <v>0.2033898305084746</v>
      </c>
      <c r="M298" s="16">
        <v>0.5847457627118644</v>
      </c>
      <c r="N298" s="16">
        <v>0.4576271186440678</v>
      </c>
      <c r="O298" s="16">
        <v>0.1694915254237288</v>
      </c>
      <c r="P298" s="35">
        <v>46033.30263888889</v>
      </c>
    </row>
    <row r="299">
      <c r="A299" s="33">
        <v>46033.0</v>
      </c>
      <c r="B299" s="1" t="s">
        <v>59</v>
      </c>
      <c r="C299" s="3" t="s">
        <v>9</v>
      </c>
      <c r="E299" s="34">
        <v>11.0</v>
      </c>
      <c r="F299" s="34">
        <v>9.0</v>
      </c>
      <c r="G299" s="15">
        <v>454.0</v>
      </c>
      <c r="H299" s="16">
        <v>0.019823788546255508</v>
      </c>
      <c r="I299" s="17">
        <v>15.870044052863436</v>
      </c>
      <c r="J299" s="16">
        <v>2.25</v>
      </c>
      <c r="K299" s="16">
        <v>1.8760330578512396</v>
      </c>
      <c r="L299" s="16">
        <v>0.09090909090909091</v>
      </c>
      <c r="M299" s="16">
        <v>0.09090909090909091</v>
      </c>
      <c r="N299" s="16">
        <v>0.18181818181818182</v>
      </c>
      <c r="O299" s="16">
        <v>0.0</v>
      </c>
      <c r="P299" s="35">
        <v>46033.30263888889</v>
      </c>
    </row>
    <row r="300">
      <c r="A300" s="33">
        <v>46033.0</v>
      </c>
      <c r="B300" s="1" t="s">
        <v>59</v>
      </c>
      <c r="C300" s="3" t="s">
        <v>10</v>
      </c>
      <c r="E300" s="34">
        <v>47.0</v>
      </c>
      <c r="F300" s="34">
        <v>2701.0</v>
      </c>
      <c r="G300" s="15">
        <v>401383.0</v>
      </c>
      <c r="H300" s="16">
        <v>0.006729233674570173</v>
      </c>
      <c r="I300" s="17">
        <v>4.398091100021675</v>
      </c>
      <c r="J300" s="16">
        <v>6.110859728506787</v>
      </c>
      <c r="K300" s="16">
        <v>9.161067238782124</v>
      </c>
      <c r="L300" s="16">
        <v>0.0</v>
      </c>
      <c r="M300" s="16">
        <v>0.3191489361702128</v>
      </c>
      <c r="N300" s="16">
        <v>0.3404255319148936</v>
      </c>
      <c r="O300" s="16">
        <v>0.48936170212765956</v>
      </c>
      <c r="P300" s="35">
        <v>46033.30263888889</v>
      </c>
    </row>
    <row r="301">
      <c r="A301" s="33">
        <v>46033.0</v>
      </c>
      <c r="B301" s="1" t="s">
        <v>60</v>
      </c>
      <c r="D301" s="1" t="s">
        <v>30</v>
      </c>
      <c r="E301" s="34">
        <v>9.0</v>
      </c>
      <c r="F301" s="34">
        <v>424.0</v>
      </c>
      <c r="G301" s="15">
        <v>9905.0</v>
      </c>
      <c r="H301" s="16">
        <v>0.04280666330136295</v>
      </c>
      <c r="I301" s="17">
        <v>9.357294295810197</v>
      </c>
      <c r="J301" s="16">
        <v>1.2434017595307918</v>
      </c>
      <c r="K301" s="16">
        <v>0.6364454154083403</v>
      </c>
      <c r="L301" s="16">
        <v>0.0</v>
      </c>
      <c r="M301" s="16">
        <v>0.0</v>
      </c>
      <c r="N301" s="16">
        <v>0.6666666666666666</v>
      </c>
      <c r="O301" s="16">
        <v>0.3333333333333333</v>
      </c>
      <c r="P301" s="35">
        <v>46033.30263888889</v>
      </c>
    </row>
    <row r="302">
      <c r="A302" s="33">
        <v>46033.0</v>
      </c>
      <c r="B302" s="1" t="s">
        <v>60</v>
      </c>
      <c r="D302" s="1" t="s">
        <v>31</v>
      </c>
      <c r="E302" s="34">
        <v>77.0</v>
      </c>
      <c r="F302" s="34">
        <v>340.0</v>
      </c>
      <c r="G302" s="15">
        <v>9820.0</v>
      </c>
      <c r="H302" s="16">
        <v>0.034623217922606926</v>
      </c>
      <c r="I302" s="17">
        <v>7.611914460285132</v>
      </c>
      <c r="J302" s="16">
        <v>1.8181818181818181</v>
      </c>
      <c r="K302" s="16">
        <v>0.7409643099675545</v>
      </c>
      <c r="L302" s="16">
        <v>0.06493506493506493</v>
      </c>
      <c r="M302" s="16">
        <v>0.07792207792207792</v>
      </c>
      <c r="N302" s="16">
        <v>0.2597402597402597</v>
      </c>
      <c r="O302" s="16">
        <v>0.22077922077922077</v>
      </c>
      <c r="P302" s="35">
        <v>46033.30263888889</v>
      </c>
    </row>
    <row r="303">
      <c r="A303" s="33">
        <v>46033.0</v>
      </c>
      <c r="B303" s="1" t="s">
        <v>60</v>
      </c>
      <c r="D303" s="1" t="s">
        <v>32</v>
      </c>
      <c r="E303" s="34">
        <v>477.0</v>
      </c>
      <c r="F303" s="34">
        <v>13920.0</v>
      </c>
      <c r="G303" s="15">
        <v>1367245.0</v>
      </c>
      <c r="H303" s="16">
        <v>0.010181057528094818</v>
      </c>
      <c r="I303" s="17">
        <v>4.684123913417127</v>
      </c>
      <c r="J303" s="16">
        <v>1.5022663500971294</v>
      </c>
      <c r="K303" s="16">
        <v>3.303545540650249</v>
      </c>
      <c r="L303" s="16">
        <v>0.10062893081761007</v>
      </c>
      <c r="M303" s="16">
        <v>0.33962264150943394</v>
      </c>
      <c r="N303" s="16">
        <v>0.5031446540880503</v>
      </c>
      <c r="O303" s="16">
        <v>0.1928721174004193</v>
      </c>
      <c r="P303" s="35">
        <v>46033.30263888889</v>
      </c>
    </row>
    <row r="304">
      <c r="A304" s="33">
        <v>46033.0</v>
      </c>
      <c r="B304" s="1" t="s">
        <v>60</v>
      </c>
      <c r="D304" s="1" t="s">
        <v>33</v>
      </c>
      <c r="E304" s="34">
        <v>108.0</v>
      </c>
      <c r="F304" s="34">
        <v>214.0</v>
      </c>
      <c r="G304" s="15">
        <v>15049.0</v>
      </c>
      <c r="H304" s="16">
        <v>0.014220213967705496</v>
      </c>
      <c r="I304" s="17">
        <v>5.816532659977407</v>
      </c>
      <c r="J304" s="16">
        <v>0.722972972972973</v>
      </c>
      <c r="K304" s="16">
        <v>1.7494768658451523</v>
      </c>
      <c r="L304" s="16">
        <v>0.027777777777777776</v>
      </c>
      <c r="M304" s="16">
        <v>0.037037037037037035</v>
      </c>
      <c r="N304" s="16">
        <v>0.4074074074074074</v>
      </c>
      <c r="O304" s="16">
        <v>0.05555555555555555</v>
      </c>
      <c r="P304" s="35">
        <v>46033.30263888889</v>
      </c>
    </row>
    <row r="305">
      <c r="A305" s="33">
        <v>46033.0</v>
      </c>
      <c r="B305" s="1" t="s">
        <v>60</v>
      </c>
      <c r="D305" s="1" t="s">
        <v>34</v>
      </c>
      <c r="E305" s="34">
        <v>71.0</v>
      </c>
      <c r="F305" s="34">
        <v>9.0</v>
      </c>
      <c r="G305" s="15">
        <v>635.0</v>
      </c>
      <c r="H305" s="16">
        <v>0.014173228346456693</v>
      </c>
      <c r="I305" s="17">
        <v>8.664566929133859</v>
      </c>
      <c r="J305" s="16">
        <v>0.6</v>
      </c>
      <c r="K305" s="16">
        <v>0.2999527633443552</v>
      </c>
      <c r="L305" s="16">
        <v>0.014084507042253521</v>
      </c>
      <c r="M305" s="16">
        <v>0.014084507042253521</v>
      </c>
      <c r="N305" s="16">
        <v>0.056338028169014086</v>
      </c>
      <c r="O305" s="16">
        <v>0.056338028169014086</v>
      </c>
      <c r="P305" s="35">
        <v>46033.30263888889</v>
      </c>
    </row>
    <row r="306">
      <c r="A306" s="33">
        <v>46034.0</v>
      </c>
      <c r="B306" s="1" t="s">
        <v>57</v>
      </c>
      <c r="E306" s="34">
        <v>1083.0</v>
      </c>
      <c r="F306" s="34">
        <v>15127.0</v>
      </c>
      <c r="G306" s="15">
        <v>1422612.0</v>
      </c>
      <c r="H306" s="16">
        <v>0.010633257697812194</v>
      </c>
      <c r="I306" s="17">
        <v>4.729808268171504</v>
      </c>
      <c r="J306" s="16">
        <v>1.471354926563564</v>
      </c>
      <c r="K306" s="16">
        <v>3.0671507604210237</v>
      </c>
      <c r="L306" s="16">
        <v>0.05447830101569714</v>
      </c>
      <c r="M306" s="16">
        <v>0.1615881809787627</v>
      </c>
      <c r="N306" s="16">
        <v>0.31301939058171746</v>
      </c>
      <c r="O306" s="16">
        <v>0.12003693444136658</v>
      </c>
      <c r="P306" s="35">
        <v>46034.30268518518</v>
      </c>
    </row>
    <row r="307">
      <c r="A307" s="33">
        <v>46034.0</v>
      </c>
      <c r="B307" s="1" t="s">
        <v>58</v>
      </c>
      <c r="E307" s="34">
        <v>742.0</v>
      </c>
      <c r="F307" s="34">
        <v>15052.0</v>
      </c>
      <c r="G307" s="15">
        <v>1420631.0</v>
      </c>
      <c r="H307" s="16">
        <v>0.010595291810470137</v>
      </c>
      <c r="I307" s="17">
        <v>4.728203875601757</v>
      </c>
      <c r="J307" s="16">
        <v>1.476554836178144</v>
      </c>
      <c r="K307" s="16">
        <v>3.125487590505378</v>
      </c>
      <c r="L307" s="16">
        <v>0.07681940700808626</v>
      </c>
      <c r="M307" s="16">
        <v>0.23315363881401618</v>
      </c>
      <c r="N307" s="16">
        <v>0.4326145552560647</v>
      </c>
      <c r="O307" s="16">
        <v>0.15902964959568733</v>
      </c>
      <c r="P307" s="35">
        <v>46034.30268518518</v>
      </c>
    </row>
    <row r="308">
      <c r="A308" s="33">
        <v>46034.0</v>
      </c>
      <c r="B308" s="1" t="s">
        <v>59</v>
      </c>
      <c r="C308" s="3" t="s">
        <v>2</v>
      </c>
      <c r="E308" s="34">
        <v>124.0</v>
      </c>
      <c r="F308" s="34">
        <v>966.0</v>
      </c>
      <c r="G308" s="15">
        <v>74096.0</v>
      </c>
      <c r="H308" s="16">
        <v>0.013037141006262146</v>
      </c>
      <c r="I308" s="17">
        <v>5.317034657741309</v>
      </c>
      <c r="J308" s="16">
        <v>3.659090909090909</v>
      </c>
      <c r="K308" s="16">
        <v>3.9498907191214885</v>
      </c>
      <c r="L308" s="16">
        <v>0.06451612903225806</v>
      </c>
      <c r="M308" s="16">
        <v>0.0967741935483871</v>
      </c>
      <c r="N308" s="16">
        <v>0.4274193548387097</v>
      </c>
      <c r="O308" s="16">
        <v>0.06451612903225806</v>
      </c>
      <c r="P308" s="35">
        <v>46034.30268518518</v>
      </c>
    </row>
    <row r="309">
      <c r="A309" s="33">
        <v>46034.0</v>
      </c>
      <c r="B309" s="1" t="s">
        <v>59</v>
      </c>
      <c r="C309" s="1" t="s">
        <v>3</v>
      </c>
      <c r="E309" s="34">
        <v>165.0</v>
      </c>
      <c r="F309" s="34">
        <v>920.0</v>
      </c>
      <c r="G309" s="15">
        <v>33724.0</v>
      </c>
      <c r="H309" s="16">
        <v>0.02728027517494959</v>
      </c>
      <c r="I309" s="17">
        <v>6.468153243980548</v>
      </c>
      <c r="J309" s="16">
        <v>1.500815660685155</v>
      </c>
      <c r="K309" s="16">
        <v>1.5247309883352924</v>
      </c>
      <c r="L309" s="16">
        <v>0.03636363636363636</v>
      </c>
      <c r="M309" s="16">
        <v>0.04242424242424243</v>
      </c>
      <c r="N309" s="16">
        <v>0.4121212121212121</v>
      </c>
      <c r="O309" s="16">
        <v>0.11515151515151516</v>
      </c>
      <c r="P309" s="35">
        <v>46034.30268518518</v>
      </c>
    </row>
    <row r="310">
      <c r="A310" s="33">
        <v>46034.0</v>
      </c>
      <c r="B310" s="1" t="s">
        <v>59</v>
      </c>
      <c r="C310" s="3" t="s">
        <v>4</v>
      </c>
      <c r="E310" s="34">
        <v>105.0</v>
      </c>
      <c r="F310" s="34">
        <v>438.0</v>
      </c>
      <c r="G310" s="15">
        <v>22807.0</v>
      </c>
      <c r="H310" s="16">
        <v>0.019204630157407813</v>
      </c>
      <c r="I310" s="17">
        <v>5.713903626079713</v>
      </c>
      <c r="J310" s="16">
        <v>0.7793594306049823</v>
      </c>
      <c r="K310" s="16">
        <v>1.2971789329996588</v>
      </c>
      <c r="L310" s="16">
        <v>0.06666666666666667</v>
      </c>
      <c r="M310" s="16">
        <v>0.10476190476190476</v>
      </c>
      <c r="N310" s="16">
        <v>0.24761904761904763</v>
      </c>
      <c r="O310" s="16">
        <v>0.14285714285714285</v>
      </c>
      <c r="P310" s="35">
        <v>46034.30268518518</v>
      </c>
    </row>
    <row r="311">
      <c r="A311" s="33">
        <v>46034.0</v>
      </c>
      <c r="B311" s="1" t="s">
        <v>59</v>
      </c>
      <c r="C311" s="3" t="s">
        <v>5</v>
      </c>
      <c r="E311" s="34">
        <v>17.0</v>
      </c>
      <c r="F311" s="34">
        <v>3549.0</v>
      </c>
      <c r="G311" s="15">
        <v>59752.0</v>
      </c>
      <c r="H311" s="16">
        <v>0.05939550140581069</v>
      </c>
      <c r="I311" s="17">
        <v>6.073520551613335</v>
      </c>
      <c r="J311" s="16">
        <v>1.0413732394366197</v>
      </c>
      <c r="K311" s="16">
        <v>2.2867202449292003</v>
      </c>
      <c r="L311" s="16">
        <v>0.11764705882352941</v>
      </c>
      <c r="M311" s="16">
        <v>0.17647058823529413</v>
      </c>
      <c r="N311" s="16">
        <v>0.47058823529411764</v>
      </c>
      <c r="O311" s="16">
        <v>0.11764705882352941</v>
      </c>
      <c r="P311" s="35">
        <v>46034.30268518518</v>
      </c>
    </row>
    <row r="312">
      <c r="A312" s="33">
        <v>46034.0</v>
      </c>
      <c r="B312" s="1" t="s">
        <v>59</v>
      </c>
      <c r="C312" s="3" t="s">
        <v>6</v>
      </c>
      <c r="E312" s="34">
        <v>28.0</v>
      </c>
      <c r="F312" s="34">
        <v>4959.0</v>
      </c>
      <c r="G312" s="15">
        <v>416173.0</v>
      </c>
      <c r="H312" s="16">
        <v>0.011915717742381173</v>
      </c>
      <c r="I312" s="17">
        <v>4.140379121182777</v>
      </c>
      <c r="J312" s="16">
        <v>1.3482871125611746</v>
      </c>
      <c r="K312" s="16">
        <v>2.1731590655123076</v>
      </c>
      <c r="L312" s="16">
        <v>0.0</v>
      </c>
      <c r="M312" s="16">
        <v>0.0</v>
      </c>
      <c r="N312" s="16">
        <v>0.75</v>
      </c>
      <c r="O312" s="16">
        <v>0.25</v>
      </c>
      <c r="P312" s="35">
        <v>46034.30268518518</v>
      </c>
    </row>
    <row r="313">
      <c r="A313" s="33">
        <v>46034.0</v>
      </c>
      <c r="B313" s="1" t="s">
        <v>59</v>
      </c>
      <c r="C313" s="3" t="s">
        <v>7</v>
      </c>
      <c r="E313" s="34">
        <v>127.0</v>
      </c>
      <c r="F313" s="34">
        <v>695.0</v>
      </c>
      <c r="G313" s="15">
        <v>148875.0</v>
      </c>
      <c r="H313" s="16">
        <v>0.004668345927791771</v>
      </c>
      <c r="I313" s="17">
        <v>4.656517212426532</v>
      </c>
      <c r="J313" s="16">
        <v>1.858288770053476</v>
      </c>
      <c r="K313" s="16">
        <v>4.856784001565916</v>
      </c>
      <c r="L313" s="16">
        <v>0.07086614173228346</v>
      </c>
      <c r="M313" s="16">
        <v>0.4409448818897638</v>
      </c>
      <c r="N313" s="16">
        <v>0.5669291338582677</v>
      </c>
      <c r="O313" s="16">
        <v>0.1889763779527559</v>
      </c>
      <c r="P313" s="35">
        <v>46034.30268518518</v>
      </c>
    </row>
    <row r="314">
      <c r="A314" s="33">
        <v>46034.0</v>
      </c>
      <c r="B314" s="1" t="s">
        <v>59</v>
      </c>
      <c r="C314" s="3" t="s">
        <v>8</v>
      </c>
      <c r="E314" s="34">
        <v>118.0</v>
      </c>
      <c r="F314" s="34">
        <v>802.0</v>
      </c>
      <c r="G314" s="15">
        <v>261273.0</v>
      </c>
      <c r="H314" s="16">
        <v>0.0030695862182468147</v>
      </c>
      <c r="I314" s="17">
        <v>5.460070500970249</v>
      </c>
      <c r="J314" s="16">
        <v>0.9524940617577197</v>
      </c>
      <c r="K314" s="16">
        <v>2.5340723929236497</v>
      </c>
      <c r="L314" s="16">
        <v>0.19491525423728814</v>
      </c>
      <c r="M314" s="16">
        <v>0.5677966101694916</v>
      </c>
      <c r="N314" s="16">
        <v>0.4576271186440678</v>
      </c>
      <c r="O314" s="16">
        <v>0.17796610169491525</v>
      </c>
      <c r="P314" s="35">
        <v>46034.30268518518</v>
      </c>
    </row>
    <row r="315">
      <c r="A315" s="33">
        <v>46034.0</v>
      </c>
      <c r="B315" s="1" t="s">
        <v>59</v>
      </c>
      <c r="C315" s="3" t="s">
        <v>9</v>
      </c>
      <c r="E315" s="34">
        <v>11.0</v>
      </c>
      <c r="F315" s="34">
        <v>9.0</v>
      </c>
      <c r="G315" s="15">
        <v>463.0</v>
      </c>
      <c r="H315" s="16">
        <v>0.019438444924406047</v>
      </c>
      <c r="I315" s="17">
        <v>16.1792656587473</v>
      </c>
      <c r="J315" s="16">
        <v>2.25</v>
      </c>
      <c r="K315" s="16">
        <v>1.9453781512605042</v>
      </c>
      <c r="L315" s="16">
        <v>0.09090909090909091</v>
      </c>
      <c r="M315" s="16">
        <v>0.09090909090909091</v>
      </c>
      <c r="N315" s="16">
        <v>0.18181818181818182</v>
      </c>
      <c r="O315" s="16">
        <v>0.0</v>
      </c>
      <c r="P315" s="35">
        <v>46034.30268518518</v>
      </c>
    </row>
    <row r="316">
      <c r="A316" s="33">
        <v>46034.0</v>
      </c>
      <c r="B316" s="1" t="s">
        <v>59</v>
      </c>
      <c r="C316" s="3" t="s">
        <v>10</v>
      </c>
      <c r="E316" s="34">
        <v>47.0</v>
      </c>
      <c r="F316" s="34">
        <v>2714.0</v>
      </c>
      <c r="G316" s="15">
        <v>403468.0</v>
      </c>
      <c r="H316" s="16">
        <v>0.006726679687112732</v>
      </c>
      <c r="I316" s="17">
        <v>4.36538957240723</v>
      </c>
      <c r="J316" s="16">
        <v>6.044543429844098</v>
      </c>
      <c r="K316" s="16">
        <v>9.078733601854143</v>
      </c>
      <c r="L316" s="16">
        <v>0.02127659574468085</v>
      </c>
      <c r="M316" s="16">
        <v>0.3404255319148936</v>
      </c>
      <c r="N316" s="16">
        <v>0.3617021276595745</v>
      </c>
      <c r="O316" s="16">
        <v>0.46808510638297873</v>
      </c>
      <c r="P316" s="35">
        <v>46034.30268518518</v>
      </c>
    </row>
    <row r="317">
      <c r="A317" s="33">
        <v>46034.0</v>
      </c>
      <c r="B317" s="1" t="s">
        <v>60</v>
      </c>
      <c r="D317" s="1" t="s">
        <v>30</v>
      </c>
      <c r="E317" s="34">
        <v>9.0</v>
      </c>
      <c r="F317" s="34">
        <v>432.0</v>
      </c>
      <c r="G317" s="15">
        <v>10064.0</v>
      </c>
      <c r="H317" s="16">
        <v>0.04292527821939587</v>
      </c>
      <c r="I317" s="17">
        <v>9.58406200317965</v>
      </c>
      <c r="J317" s="16">
        <v>1.2972972972972974</v>
      </c>
      <c r="K317" s="16">
        <v>0.6456662603451594</v>
      </c>
      <c r="L317" s="16">
        <v>0.0</v>
      </c>
      <c r="M317" s="16">
        <v>0.0</v>
      </c>
      <c r="N317" s="16">
        <v>0.8888888888888888</v>
      </c>
      <c r="O317" s="16">
        <v>0.1111111111111111</v>
      </c>
      <c r="P317" s="35">
        <v>46034.30268518518</v>
      </c>
    </row>
    <row r="318">
      <c r="A318" s="33">
        <v>46034.0</v>
      </c>
      <c r="B318" s="1" t="s">
        <v>60</v>
      </c>
      <c r="D318" s="1" t="s">
        <v>31</v>
      </c>
      <c r="E318" s="34">
        <v>77.0</v>
      </c>
      <c r="F318" s="34">
        <v>349.0</v>
      </c>
      <c r="G318" s="15">
        <v>10012.0</v>
      </c>
      <c r="H318" s="16">
        <v>0.03485817019576508</v>
      </c>
      <c r="I318" s="17">
        <v>7.622852576907711</v>
      </c>
      <c r="J318" s="16">
        <v>1.8967391304347827</v>
      </c>
      <c r="K318" s="16">
        <v>0.7624124276576302</v>
      </c>
      <c r="L318" s="16">
        <v>0.06493506493506493</v>
      </c>
      <c r="M318" s="16">
        <v>0.07792207792207792</v>
      </c>
      <c r="N318" s="16">
        <v>0.2857142857142857</v>
      </c>
      <c r="O318" s="16">
        <v>0.2077922077922078</v>
      </c>
      <c r="P318" s="35">
        <v>46034.30268518518</v>
      </c>
    </row>
    <row r="319">
      <c r="A319" s="33">
        <v>46034.0</v>
      </c>
      <c r="B319" s="1" t="s">
        <v>60</v>
      </c>
      <c r="D319" s="1" t="s">
        <v>32</v>
      </c>
      <c r="E319" s="34">
        <v>477.0</v>
      </c>
      <c r="F319" s="34">
        <v>14049.0</v>
      </c>
      <c r="G319" s="15">
        <v>1384606.0</v>
      </c>
      <c r="H319" s="16">
        <v>0.010146568771188339</v>
      </c>
      <c r="I319" s="17">
        <v>4.658297739573568</v>
      </c>
      <c r="J319" s="16">
        <v>1.501603249251817</v>
      </c>
      <c r="K319" s="16">
        <v>3.33541143227429</v>
      </c>
      <c r="L319" s="16">
        <v>0.10062893081761007</v>
      </c>
      <c r="M319" s="16">
        <v>0.33752620545073375</v>
      </c>
      <c r="N319" s="16">
        <v>0.5094339622641509</v>
      </c>
      <c r="O319" s="16">
        <v>0.18867924528301888</v>
      </c>
      <c r="P319" s="35">
        <v>46034.30268518518</v>
      </c>
    </row>
    <row r="320">
      <c r="A320" s="33">
        <v>46034.0</v>
      </c>
      <c r="B320" s="1" t="s">
        <v>60</v>
      </c>
      <c r="D320" s="1" t="s">
        <v>33</v>
      </c>
      <c r="E320" s="34">
        <v>108.0</v>
      </c>
      <c r="F320" s="34">
        <v>213.0</v>
      </c>
      <c r="G320" s="15">
        <v>15319.0</v>
      </c>
      <c r="H320" s="16">
        <v>0.013904301847379072</v>
      </c>
      <c r="I320" s="17">
        <v>5.805992558260983</v>
      </c>
      <c r="J320" s="16">
        <v>0.696078431372549</v>
      </c>
      <c r="K320" s="16">
        <v>1.7889758262291253</v>
      </c>
      <c r="L320" s="16">
        <v>0.037037037037037035</v>
      </c>
      <c r="M320" s="16">
        <v>0.05555555555555555</v>
      </c>
      <c r="N320" s="16">
        <v>0.4166666666666667</v>
      </c>
      <c r="O320" s="16">
        <v>0.05555555555555555</v>
      </c>
      <c r="P320" s="35">
        <v>46034.30268518518</v>
      </c>
    </row>
    <row r="321">
      <c r="A321" s="33">
        <v>46034.0</v>
      </c>
      <c r="B321" s="1" t="s">
        <v>60</v>
      </c>
      <c r="D321" s="1" t="s">
        <v>34</v>
      </c>
      <c r="E321" s="34">
        <v>71.0</v>
      </c>
      <c r="F321" s="34">
        <v>9.0</v>
      </c>
      <c r="G321" s="15">
        <v>630.0</v>
      </c>
      <c r="H321" s="16">
        <v>0.014285714285714285</v>
      </c>
      <c r="I321" s="17">
        <v>8.587301587301587</v>
      </c>
      <c r="J321" s="16">
        <v>0.6</v>
      </c>
      <c r="K321" s="16">
        <v>0.29633113828786456</v>
      </c>
      <c r="L321" s="16">
        <v>0.0</v>
      </c>
      <c r="M321" s="16">
        <v>0.0</v>
      </c>
      <c r="N321" s="16">
        <v>0.04225352112676056</v>
      </c>
      <c r="O321" s="16">
        <v>0.07042253521126761</v>
      </c>
      <c r="P321" s="35">
        <v>46034.30268518518</v>
      </c>
    </row>
    <row r="322">
      <c r="A322" s="33">
        <v>46035.0</v>
      </c>
      <c r="B322" s="1" t="s">
        <v>57</v>
      </c>
      <c r="E322" s="34">
        <v>1083.0</v>
      </c>
      <c r="F322" s="34">
        <v>15253.0</v>
      </c>
      <c r="G322" s="15">
        <v>1438069.0</v>
      </c>
      <c r="H322" s="16">
        <v>0.0106065842459576</v>
      </c>
      <c r="I322" s="17">
        <v>4.706911838027244</v>
      </c>
      <c r="J322" s="16">
        <v>1.481161390561274</v>
      </c>
      <c r="K322" s="16">
        <v>3.116602589386722</v>
      </c>
      <c r="L322" s="16">
        <v>0.055401662049861494</v>
      </c>
      <c r="M322" s="16">
        <v>0.16251154201292706</v>
      </c>
      <c r="N322" s="16">
        <v>0.31024930747922436</v>
      </c>
      <c r="O322" s="16">
        <v>0.12096029547553093</v>
      </c>
      <c r="P322" s="35">
        <v>46035.302708333336</v>
      </c>
    </row>
    <row r="323">
      <c r="A323" s="33">
        <v>46035.0</v>
      </c>
      <c r="B323" s="1" t="s">
        <v>58</v>
      </c>
      <c r="E323" s="34">
        <v>742.0</v>
      </c>
      <c r="F323" s="34">
        <v>15180.0</v>
      </c>
      <c r="G323" s="15">
        <v>1436049.0</v>
      </c>
      <c r="H323" s="16">
        <v>0.01057066994232091</v>
      </c>
      <c r="I323" s="17">
        <v>4.70535824334685</v>
      </c>
      <c r="J323" s="16">
        <v>1.48721465660821</v>
      </c>
      <c r="K323" s="16">
        <v>3.176291430277695</v>
      </c>
      <c r="L323" s="16">
        <v>0.07681940700808626</v>
      </c>
      <c r="M323" s="16">
        <v>0.23315363881401618</v>
      </c>
      <c r="N323" s="16">
        <v>0.4299191374663073</v>
      </c>
      <c r="O323" s="16">
        <v>0.15902964959568733</v>
      </c>
      <c r="P323" s="35">
        <v>46035.302708333336</v>
      </c>
    </row>
    <row r="324">
      <c r="A324" s="33">
        <v>46035.0</v>
      </c>
      <c r="B324" s="1" t="s">
        <v>59</v>
      </c>
      <c r="C324" s="3" t="s">
        <v>2</v>
      </c>
      <c r="E324" s="34">
        <v>124.0</v>
      </c>
      <c r="F324" s="34">
        <v>989.0</v>
      </c>
      <c r="G324" s="15">
        <v>75644.0</v>
      </c>
      <c r="H324" s="16">
        <v>0.013074401142192375</v>
      </c>
      <c r="I324" s="17">
        <v>5.279453757072603</v>
      </c>
      <c r="J324" s="16">
        <v>3.7748091603053435</v>
      </c>
      <c r="K324" s="16">
        <v>4.039085860743272</v>
      </c>
      <c r="L324" s="16">
        <v>0.056451612903225805</v>
      </c>
      <c r="M324" s="16">
        <v>0.0967741935483871</v>
      </c>
      <c r="N324" s="16">
        <v>0.4274193548387097</v>
      </c>
      <c r="O324" s="16">
        <v>0.06451612903225806</v>
      </c>
      <c r="P324" s="35">
        <v>46035.302708333336</v>
      </c>
    </row>
    <row r="325">
      <c r="A325" s="33">
        <v>46035.0</v>
      </c>
      <c r="B325" s="1" t="s">
        <v>59</v>
      </c>
      <c r="C325" s="1" t="s">
        <v>3</v>
      </c>
      <c r="E325" s="34">
        <v>165.0</v>
      </c>
      <c r="F325" s="34">
        <v>929.0</v>
      </c>
      <c r="G325" s="15">
        <v>34381.0</v>
      </c>
      <c r="H325" s="16">
        <v>0.027020738198423547</v>
      </c>
      <c r="I325" s="17">
        <v>6.44175562083709</v>
      </c>
      <c r="J325" s="16">
        <v>1.505672609400324</v>
      </c>
      <c r="K325" s="16">
        <v>1.561282412242859</v>
      </c>
      <c r="L325" s="16">
        <v>0.03636363636363636</v>
      </c>
      <c r="M325" s="16">
        <v>0.04242424242424243</v>
      </c>
      <c r="N325" s="16">
        <v>0.40606060606060607</v>
      </c>
      <c r="O325" s="16">
        <v>0.12121212121212122</v>
      </c>
      <c r="P325" s="35">
        <v>46035.302708333336</v>
      </c>
    </row>
    <row r="326">
      <c r="A326" s="33">
        <v>46035.0</v>
      </c>
      <c r="B326" s="1" t="s">
        <v>59</v>
      </c>
      <c r="C326" s="3" t="s">
        <v>4</v>
      </c>
      <c r="E326" s="34">
        <v>105.0</v>
      </c>
      <c r="F326" s="34">
        <v>452.0</v>
      </c>
      <c r="G326" s="15">
        <v>23068.0</v>
      </c>
      <c r="H326" s="16">
        <v>0.019594243107334836</v>
      </c>
      <c r="I326" s="17">
        <v>5.711158314548292</v>
      </c>
      <c r="J326" s="16">
        <v>0.8293577981651377</v>
      </c>
      <c r="K326" s="16">
        <v>1.334335955576122</v>
      </c>
      <c r="L326" s="16">
        <v>0.06666666666666667</v>
      </c>
      <c r="M326" s="16">
        <v>0.10476190476190476</v>
      </c>
      <c r="N326" s="16">
        <v>0.24761904761904763</v>
      </c>
      <c r="O326" s="16">
        <v>0.1523809523809524</v>
      </c>
      <c r="P326" s="35">
        <v>46035.302708333336</v>
      </c>
    </row>
    <row r="327">
      <c r="A327" s="33">
        <v>46035.0</v>
      </c>
      <c r="B327" s="1" t="s">
        <v>59</v>
      </c>
      <c r="C327" s="3" t="s">
        <v>5</v>
      </c>
      <c r="E327" s="34">
        <v>17.0</v>
      </c>
      <c r="F327" s="34">
        <v>3627.0</v>
      </c>
      <c r="G327" s="15">
        <v>60271.0</v>
      </c>
      <c r="H327" s="16">
        <v>0.06017819515189726</v>
      </c>
      <c r="I327" s="17">
        <v>6.0348924026480395</v>
      </c>
      <c r="J327" s="16">
        <v>1.036878216123499</v>
      </c>
      <c r="K327" s="16">
        <v>2.2832518846838656</v>
      </c>
      <c r="L327" s="16">
        <v>0.11764705882352941</v>
      </c>
      <c r="M327" s="16">
        <v>0.17647058823529413</v>
      </c>
      <c r="N327" s="16">
        <v>0.47058823529411764</v>
      </c>
      <c r="O327" s="16">
        <v>0.058823529411764705</v>
      </c>
      <c r="P327" s="35">
        <v>46035.302708333336</v>
      </c>
    </row>
    <row r="328">
      <c r="A328" s="33">
        <v>46035.0</v>
      </c>
      <c r="B328" s="1" t="s">
        <v>59</v>
      </c>
      <c r="C328" s="3" t="s">
        <v>6</v>
      </c>
      <c r="E328" s="34">
        <v>28.0</v>
      </c>
      <c r="F328" s="34">
        <v>4929.0</v>
      </c>
      <c r="G328" s="15">
        <v>420321.0</v>
      </c>
      <c r="H328" s="16">
        <v>0.011726751696917356</v>
      </c>
      <c r="I328" s="17">
        <v>4.126450974374348</v>
      </c>
      <c r="J328" s="16">
        <v>1.3567299752270852</v>
      </c>
      <c r="K328" s="16">
        <v>2.2053791142196033</v>
      </c>
      <c r="L328" s="16">
        <v>0.0</v>
      </c>
      <c r="M328" s="16">
        <v>0.0</v>
      </c>
      <c r="N328" s="16">
        <v>0.7857142857142857</v>
      </c>
      <c r="O328" s="16">
        <v>0.21428571428571427</v>
      </c>
      <c r="P328" s="35">
        <v>46035.302708333336</v>
      </c>
    </row>
    <row r="329">
      <c r="A329" s="33">
        <v>46035.0</v>
      </c>
      <c r="B329" s="1" t="s">
        <v>59</v>
      </c>
      <c r="C329" s="3" t="s">
        <v>7</v>
      </c>
      <c r="E329" s="34">
        <v>127.0</v>
      </c>
      <c r="F329" s="34">
        <v>683.0</v>
      </c>
      <c r="G329" s="15">
        <v>151131.0</v>
      </c>
      <c r="H329" s="16">
        <v>0.004519258127055336</v>
      </c>
      <c r="I329" s="17">
        <v>4.65715835930418</v>
      </c>
      <c r="J329" s="16">
        <v>1.8867403314917126</v>
      </c>
      <c r="K329" s="16">
        <v>5.006658715961041</v>
      </c>
      <c r="L329" s="16">
        <v>0.09448818897637795</v>
      </c>
      <c r="M329" s="16">
        <v>0.4645669291338583</v>
      </c>
      <c r="N329" s="16">
        <v>0.5748031496062992</v>
      </c>
      <c r="O329" s="16">
        <v>0.1732283464566929</v>
      </c>
      <c r="P329" s="35">
        <v>46035.302708333336</v>
      </c>
    </row>
    <row r="330">
      <c r="A330" s="33">
        <v>46035.0</v>
      </c>
      <c r="B330" s="1" t="s">
        <v>59</v>
      </c>
      <c r="C330" s="3" t="s">
        <v>8</v>
      </c>
      <c r="E330" s="34">
        <v>118.0</v>
      </c>
      <c r="F330" s="34">
        <v>809.0</v>
      </c>
      <c r="G330" s="15">
        <v>263980.0</v>
      </c>
      <c r="H330" s="16">
        <v>0.003064626108038488</v>
      </c>
      <c r="I330" s="17">
        <v>5.430411394802636</v>
      </c>
      <c r="J330" s="16">
        <v>0.9817961165048543</v>
      </c>
      <c r="K330" s="16">
        <v>2.5892830869731536</v>
      </c>
      <c r="L330" s="16">
        <v>0.1864406779661017</v>
      </c>
      <c r="M330" s="16">
        <v>0.559322033898305</v>
      </c>
      <c r="N330" s="16">
        <v>0.4576271186440678</v>
      </c>
      <c r="O330" s="16">
        <v>0.1694915254237288</v>
      </c>
      <c r="P330" s="35">
        <v>46035.302708333336</v>
      </c>
    </row>
    <row r="331">
      <c r="A331" s="33">
        <v>46035.0</v>
      </c>
      <c r="B331" s="1" t="s">
        <v>59</v>
      </c>
      <c r="C331" s="3" t="s">
        <v>9</v>
      </c>
      <c r="E331" s="34">
        <v>11.0</v>
      </c>
      <c r="F331" s="34">
        <v>9.0</v>
      </c>
      <c r="G331" s="15">
        <v>485.0</v>
      </c>
      <c r="H331" s="16">
        <v>0.018556701030927835</v>
      </c>
      <c r="I331" s="17">
        <v>16.189690721649484</v>
      </c>
      <c r="J331" s="16">
        <v>1.8</v>
      </c>
      <c r="K331" s="16">
        <v>1.9635627530364372</v>
      </c>
      <c r="L331" s="16">
        <v>0.09090909090909091</v>
      </c>
      <c r="M331" s="16">
        <v>0.09090909090909091</v>
      </c>
      <c r="N331" s="16">
        <v>0.18181818181818182</v>
      </c>
      <c r="O331" s="16">
        <v>0.0</v>
      </c>
      <c r="P331" s="35">
        <v>46035.302708333336</v>
      </c>
    </row>
    <row r="332">
      <c r="A332" s="33">
        <v>46035.0</v>
      </c>
      <c r="B332" s="1" t="s">
        <v>59</v>
      </c>
      <c r="C332" s="3" t="s">
        <v>10</v>
      </c>
      <c r="E332" s="34">
        <v>47.0</v>
      </c>
      <c r="F332" s="34">
        <v>2753.0</v>
      </c>
      <c r="G332" s="15">
        <v>406768.0</v>
      </c>
      <c r="H332" s="16">
        <v>0.006767985682256224</v>
      </c>
      <c r="I332" s="17">
        <v>4.329669492192109</v>
      </c>
      <c r="J332" s="16">
        <v>5.971800433839479</v>
      </c>
      <c r="K332" s="16">
        <v>9.098326921356357</v>
      </c>
      <c r="L332" s="16">
        <v>0.0</v>
      </c>
      <c r="M332" s="16">
        <v>0.2978723404255319</v>
      </c>
      <c r="N332" s="16">
        <v>0.2978723404255319</v>
      </c>
      <c r="O332" s="16">
        <v>0.5319148936170213</v>
      </c>
      <c r="P332" s="35">
        <v>46035.302708333336</v>
      </c>
    </row>
    <row r="333">
      <c r="A333" s="33">
        <v>46035.0</v>
      </c>
      <c r="B333" s="1" t="s">
        <v>60</v>
      </c>
      <c r="D333" s="1" t="s">
        <v>30</v>
      </c>
      <c r="E333" s="34">
        <v>9.0</v>
      </c>
      <c r="F333" s="34">
        <v>442.0</v>
      </c>
      <c r="G333" s="15">
        <v>10232.0</v>
      </c>
      <c r="H333" s="16">
        <v>0.043197810789679436</v>
      </c>
      <c r="I333" s="17">
        <v>9.553459734167319</v>
      </c>
      <c r="J333" s="16">
        <v>1.3641975308641976</v>
      </c>
      <c r="K333" s="16">
        <v>0.6522598329827245</v>
      </c>
      <c r="L333" s="16">
        <v>0.0</v>
      </c>
      <c r="M333" s="16">
        <v>0.0</v>
      </c>
      <c r="N333" s="16">
        <v>1.0</v>
      </c>
      <c r="O333" s="16">
        <v>0.0</v>
      </c>
      <c r="P333" s="35">
        <v>46035.302708333336</v>
      </c>
    </row>
    <row r="334">
      <c r="A334" s="33">
        <v>46035.0</v>
      </c>
      <c r="B334" s="1" t="s">
        <v>60</v>
      </c>
      <c r="D334" s="1" t="s">
        <v>31</v>
      </c>
      <c r="E334" s="34">
        <v>77.0</v>
      </c>
      <c r="F334" s="34">
        <v>364.0</v>
      </c>
      <c r="G334" s="15">
        <v>10213.0</v>
      </c>
      <c r="H334" s="16">
        <v>0.03564084989718986</v>
      </c>
      <c r="I334" s="17">
        <v>7.570841084891804</v>
      </c>
      <c r="J334" s="16">
        <v>1.946524064171123</v>
      </c>
      <c r="K334" s="16">
        <v>0.7803927561702453</v>
      </c>
      <c r="L334" s="16">
        <v>0.05194805194805195</v>
      </c>
      <c r="M334" s="16">
        <v>0.06493506493506493</v>
      </c>
      <c r="N334" s="16">
        <v>0.2727272727272727</v>
      </c>
      <c r="O334" s="16">
        <v>0.22077922077922077</v>
      </c>
      <c r="P334" s="35">
        <v>46035.302708333336</v>
      </c>
    </row>
    <row r="335">
      <c r="A335" s="33">
        <v>46035.0</v>
      </c>
      <c r="B335" s="1" t="s">
        <v>60</v>
      </c>
      <c r="D335" s="1" t="s">
        <v>32</v>
      </c>
      <c r="E335" s="34">
        <v>477.0</v>
      </c>
      <c r="F335" s="34">
        <v>14149.0</v>
      </c>
      <c r="G335" s="15">
        <v>1399364.0</v>
      </c>
      <c r="H335" s="16">
        <v>0.010111021864218316</v>
      </c>
      <c r="I335" s="17">
        <v>4.635064214886191</v>
      </c>
      <c r="J335" s="16">
        <v>1.5074579160451738</v>
      </c>
      <c r="K335" s="16">
        <v>3.390383893202825</v>
      </c>
      <c r="L335" s="16">
        <v>0.10062893081761007</v>
      </c>
      <c r="M335" s="16">
        <v>0.33752620545073375</v>
      </c>
      <c r="N335" s="16">
        <v>0.5073375262054507</v>
      </c>
      <c r="O335" s="16">
        <v>0.18867924528301888</v>
      </c>
      <c r="P335" s="35">
        <v>46035.302708333336</v>
      </c>
    </row>
    <row r="336">
      <c r="A336" s="33">
        <v>46035.0</v>
      </c>
      <c r="B336" s="1" t="s">
        <v>60</v>
      </c>
      <c r="D336" s="1" t="s">
        <v>33</v>
      </c>
      <c r="E336" s="34">
        <v>108.0</v>
      </c>
      <c r="F336" s="34">
        <v>216.0</v>
      </c>
      <c r="G336" s="15">
        <v>15606.0</v>
      </c>
      <c r="H336" s="16">
        <v>0.01384083044982699</v>
      </c>
      <c r="I336" s="17">
        <v>5.794694348327567</v>
      </c>
      <c r="J336" s="16">
        <v>0.7322033898305085</v>
      </c>
      <c r="K336" s="16">
        <v>1.8479573712255772</v>
      </c>
      <c r="L336" s="16">
        <v>0.037037037037037035</v>
      </c>
      <c r="M336" s="16">
        <v>0.05555555555555555</v>
      </c>
      <c r="N336" s="16">
        <v>0.4166666666666667</v>
      </c>
      <c r="O336" s="16">
        <v>0.05555555555555555</v>
      </c>
      <c r="P336" s="35">
        <v>46035.302708333336</v>
      </c>
    </row>
    <row r="337">
      <c r="A337" s="33">
        <v>46035.0</v>
      </c>
      <c r="B337" s="1" t="s">
        <v>60</v>
      </c>
      <c r="D337" s="1" t="s">
        <v>34</v>
      </c>
      <c r="E337" s="34">
        <v>71.0</v>
      </c>
      <c r="F337" s="34">
        <v>9.0</v>
      </c>
      <c r="G337" s="15">
        <v>634.0</v>
      </c>
      <c r="H337" s="16">
        <v>0.014195583596214511</v>
      </c>
      <c r="I337" s="17">
        <v>8.641955835962145</v>
      </c>
      <c r="J337" s="16">
        <v>0.6</v>
      </c>
      <c r="K337" s="16">
        <v>0.29474662947466296</v>
      </c>
      <c r="L337" s="16">
        <v>0.014084507042253521</v>
      </c>
      <c r="M337" s="16">
        <v>0.014084507042253521</v>
      </c>
      <c r="N337" s="16">
        <v>0.028169014084507043</v>
      </c>
      <c r="O337" s="16">
        <v>0.07042253521126761</v>
      </c>
      <c r="P337" s="35">
        <v>46035.302708333336</v>
      </c>
    </row>
    <row r="338">
      <c r="A338" s="33">
        <v>46036.0</v>
      </c>
      <c r="B338" s="1" t="s">
        <v>57</v>
      </c>
      <c r="E338" s="34">
        <v>1083.0</v>
      </c>
      <c r="F338" s="34">
        <v>15569.0</v>
      </c>
      <c r="G338" s="15">
        <v>1465339.0</v>
      </c>
      <c r="H338" s="16">
        <v>0.010624845172345784</v>
      </c>
      <c r="I338" s="17">
        <v>4.693440221000055</v>
      </c>
      <c r="J338" s="16">
        <v>1.50994083987974</v>
      </c>
      <c r="K338" s="16">
        <v>3.1892426593653895</v>
      </c>
      <c r="L338" s="16">
        <v>0.05817174515235457</v>
      </c>
      <c r="M338" s="16">
        <v>0.16528162511542013</v>
      </c>
      <c r="N338" s="16">
        <v>0.31117266851338876</v>
      </c>
      <c r="O338" s="16">
        <v>0.12003693444136658</v>
      </c>
      <c r="P338" s="35">
        <v>46036.30263888889</v>
      </c>
    </row>
    <row r="339">
      <c r="A339" s="33">
        <v>46036.0</v>
      </c>
      <c r="B339" s="1" t="s">
        <v>58</v>
      </c>
      <c r="E339" s="34">
        <v>745.0</v>
      </c>
      <c r="F339" s="34">
        <v>15494.0</v>
      </c>
      <c r="G339" s="15">
        <v>1463306.0</v>
      </c>
      <c r="H339" s="16">
        <v>0.01058835267538027</v>
      </c>
      <c r="I339" s="17">
        <v>4.691995385790805</v>
      </c>
      <c r="J339" s="16">
        <v>1.5161953224385947</v>
      </c>
      <c r="K339" s="16">
        <v>3.250700320559101</v>
      </c>
      <c r="L339" s="16">
        <v>0.08053691275167785</v>
      </c>
      <c r="M339" s="16">
        <v>0.23624161073825503</v>
      </c>
      <c r="N339" s="16">
        <v>0.43355704697986575</v>
      </c>
      <c r="O339" s="16">
        <v>0.15436241610738255</v>
      </c>
      <c r="P339" s="35">
        <v>46036.30263888889</v>
      </c>
    </row>
    <row r="340">
      <c r="A340" s="33">
        <v>46036.0</v>
      </c>
      <c r="B340" s="1" t="s">
        <v>59</v>
      </c>
      <c r="C340" s="3" t="s">
        <v>2</v>
      </c>
      <c r="E340" s="34">
        <v>124.0</v>
      </c>
      <c r="F340" s="34">
        <v>1026.0</v>
      </c>
      <c r="G340" s="15">
        <v>77527.0</v>
      </c>
      <c r="H340" s="16">
        <v>0.013234099088059644</v>
      </c>
      <c r="I340" s="17">
        <v>5.232847911050344</v>
      </c>
      <c r="J340" s="16">
        <v>3.9160305343511452</v>
      </c>
      <c r="K340" s="16">
        <v>4.134332337883959</v>
      </c>
      <c r="L340" s="16">
        <v>0.056451612903225805</v>
      </c>
      <c r="M340" s="16">
        <v>0.0967741935483871</v>
      </c>
      <c r="N340" s="16">
        <v>0.4274193548387097</v>
      </c>
      <c r="O340" s="16">
        <v>0.07258064516129033</v>
      </c>
      <c r="P340" s="35">
        <v>46036.30263888889</v>
      </c>
    </row>
    <row r="341">
      <c r="A341" s="33">
        <v>46036.0</v>
      </c>
      <c r="B341" s="1" t="s">
        <v>59</v>
      </c>
      <c r="C341" s="1" t="s">
        <v>3</v>
      </c>
      <c r="E341" s="34">
        <v>164.0</v>
      </c>
      <c r="F341" s="34">
        <v>953.0</v>
      </c>
      <c r="G341" s="15">
        <v>35099.0</v>
      </c>
      <c r="H341" s="16">
        <v>0.02715177070571811</v>
      </c>
      <c r="I341" s="17">
        <v>6.402233681871278</v>
      </c>
      <c r="J341" s="16">
        <v>1.5151033386327504</v>
      </c>
      <c r="K341" s="16">
        <v>1.5963523900486651</v>
      </c>
      <c r="L341" s="16">
        <v>0.042682926829268296</v>
      </c>
      <c r="M341" s="16">
        <v>0.04878048780487805</v>
      </c>
      <c r="N341" s="16">
        <v>0.4329268292682927</v>
      </c>
      <c r="O341" s="16">
        <v>0.0975609756097561</v>
      </c>
      <c r="P341" s="35">
        <v>46036.30263888889</v>
      </c>
    </row>
    <row r="342">
      <c r="A342" s="33">
        <v>46036.0</v>
      </c>
      <c r="B342" s="1" t="s">
        <v>59</v>
      </c>
      <c r="C342" s="3" t="s">
        <v>4</v>
      </c>
      <c r="E342" s="34">
        <v>105.0</v>
      </c>
      <c r="F342" s="34">
        <v>466.0</v>
      </c>
      <c r="G342" s="15">
        <v>23602.0</v>
      </c>
      <c r="H342" s="16">
        <v>0.01974408948394204</v>
      </c>
      <c r="I342" s="17">
        <v>5.7672231166850265</v>
      </c>
      <c r="J342" s="16">
        <v>0.8710280373831776</v>
      </c>
      <c r="K342" s="16">
        <v>1.3754880820560638</v>
      </c>
      <c r="L342" s="16">
        <v>0.06666666666666667</v>
      </c>
      <c r="M342" s="16">
        <v>0.09523809523809523</v>
      </c>
      <c r="N342" s="16">
        <v>0.23809523809523808</v>
      </c>
      <c r="O342" s="16">
        <v>0.1619047619047619</v>
      </c>
      <c r="P342" s="35">
        <v>46036.30263888889</v>
      </c>
    </row>
    <row r="343">
      <c r="A343" s="33">
        <v>46036.0</v>
      </c>
      <c r="B343" s="1" t="s">
        <v>59</v>
      </c>
      <c r="C343" s="3" t="s">
        <v>5</v>
      </c>
      <c r="E343" s="34">
        <v>18.0</v>
      </c>
      <c r="F343" s="34">
        <v>3703.0</v>
      </c>
      <c r="G343" s="15">
        <v>61188.0</v>
      </c>
      <c r="H343" s="16">
        <v>0.06051840230110479</v>
      </c>
      <c r="I343" s="17">
        <v>6.007632215467085</v>
      </c>
      <c r="J343" s="16">
        <v>1.0329149232914923</v>
      </c>
      <c r="K343" s="16">
        <v>2.288000598287402</v>
      </c>
      <c r="L343" s="16">
        <v>0.1111111111111111</v>
      </c>
      <c r="M343" s="16">
        <v>0.16666666666666666</v>
      </c>
      <c r="N343" s="16">
        <v>0.5</v>
      </c>
      <c r="O343" s="16">
        <v>0.05555555555555555</v>
      </c>
      <c r="P343" s="35">
        <v>46036.30263888889</v>
      </c>
    </row>
    <row r="344">
      <c r="A344" s="33">
        <v>46036.0</v>
      </c>
      <c r="B344" s="1" t="s">
        <v>59</v>
      </c>
      <c r="C344" s="3" t="s">
        <v>6</v>
      </c>
      <c r="E344" s="34">
        <v>29.0</v>
      </c>
      <c r="F344" s="34">
        <v>4995.0</v>
      </c>
      <c r="G344" s="15">
        <v>426383.0</v>
      </c>
      <c r="H344" s="16">
        <v>0.011714819774709593</v>
      </c>
      <c r="I344" s="17">
        <v>4.121761421069789</v>
      </c>
      <c r="J344" s="16">
        <v>1.4015151515151516</v>
      </c>
      <c r="K344" s="16">
        <v>2.249519900392521</v>
      </c>
      <c r="L344" s="16">
        <v>0.0</v>
      </c>
      <c r="M344" s="16">
        <v>0.0</v>
      </c>
      <c r="N344" s="16">
        <v>0.7586206896551724</v>
      </c>
      <c r="O344" s="16">
        <v>0.20689655172413793</v>
      </c>
      <c r="P344" s="35">
        <v>46036.30263888889</v>
      </c>
    </row>
    <row r="345">
      <c r="A345" s="33">
        <v>46036.0</v>
      </c>
      <c r="B345" s="1" t="s">
        <v>59</v>
      </c>
      <c r="C345" s="3" t="s">
        <v>7</v>
      </c>
      <c r="E345" s="34">
        <v>128.0</v>
      </c>
      <c r="F345" s="34">
        <v>704.0</v>
      </c>
      <c r="G345" s="15">
        <v>155675.0</v>
      </c>
      <c r="H345" s="16">
        <v>0.00452224185000803</v>
      </c>
      <c r="I345" s="17">
        <v>4.655635137305284</v>
      </c>
      <c r="J345" s="16">
        <v>1.9664804469273742</v>
      </c>
      <c r="K345" s="16">
        <v>5.218914479198096</v>
      </c>
      <c r="L345" s="16">
        <v>0.09375</v>
      </c>
      <c r="M345" s="16">
        <v>0.4609375</v>
      </c>
      <c r="N345" s="16">
        <v>0.5703125</v>
      </c>
      <c r="O345" s="16">
        <v>0.1640625</v>
      </c>
      <c r="P345" s="35">
        <v>46036.30263888889</v>
      </c>
    </row>
    <row r="346">
      <c r="A346" s="33">
        <v>46036.0</v>
      </c>
      <c r="B346" s="1" t="s">
        <v>59</v>
      </c>
      <c r="C346" s="3" t="s">
        <v>8</v>
      </c>
      <c r="E346" s="34">
        <v>119.0</v>
      </c>
      <c r="F346" s="34">
        <v>818.0</v>
      </c>
      <c r="G346" s="15">
        <v>269028.0</v>
      </c>
      <c r="H346" s="16">
        <v>0.0030405757021573963</v>
      </c>
      <c r="I346" s="17">
        <v>5.408645196782491</v>
      </c>
      <c r="J346" s="16">
        <v>1.0123762376237624</v>
      </c>
      <c r="K346" s="16">
        <v>2.6674995538104587</v>
      </c>
      <c r="L346" s="16">
        <v>0.19327731092436976</v>
      </c>
      <c r="M346" s="16">
        <v>0.5714285714285714</v>
      </c>
      <c r="N346" s="16">
        <v>0.46218487394957986</v>
      </c>
      <c r="O346" s="16">
        <v>0.16806722689075632</v>
      </c>
      <c r="P346" s="35">
        <v>46036.30263888889</v>
      </c>
    </row>
    <row r="347">
      <c r="A347" s="33">
        <v>46036.0</v>
      </c>
      <c r="B347" s="1" t="s">
        <v>59</v>
      </c>
      <c r="C347" s="3" t="s">
        <v>9</v>
      </c>
      <c r="E347" s="34">
        <v>11.0</v>
      </c>
      <c r="F347" s="34">
        <v>9.0</v>
      </c>
      <c r="G347" s="15">
        <v>491.0</v>
      </c>
      <c r="H347" s="16">
        <v>0.018329938900203666</v>
      </c>
      <c r="I347" s="17">
        <v>15.818737270875763</v>
      </c>
      <c r="J347" s="16">
        <v>1.8</v>
      </c>
      <c r="K347" s="16">
        <v>1.9798387096774193</v>
      </c>
      <c r="L347" s="16">
        <v>0.09090909090909091</v>
      </c>
      <c r="M347" s="16">
        <v>0.09090909090909091</v>
      </c>
      <c r="N347" s="16">
        <v>0.18181818181818182</v>
      </c>
      <c r="O347" s="16">
        <v>0.0</v>
      </c>
      <c r="P347" s="35">
        <v>46036.30263888889</v>
      </c>
    </row>
    <row r="348">
      <c r="A348" s="33">
        <v>46036.0</v>
      </c>
      <c r="B348" s="1" t="s">
        <v>59</v>
      </c>
      <c r="C348" s="3" t="s">
        <v>10</v>
      </c>
      <c r="E348" s="34">
        <v>47.0</v>
      </c>
      <c r="F348" s="34">
        <v>2820.0</v>
      </c>
      <c r="G348" s="15">
        <v>414313.0</v>
      </c>
      <c r="H348" s="16">
        <v>0.006806448264959101</v>
      </c>
      <c r="I348" s="17">
        <v>4.312329084532708</v>
      </c>
      <c r="J348" s="16">
        <v>5.961945031712474</v>
      </c>
      <c r="K348" s="16">
        <v>9.199800155434662</v>
      </c>
      <c r="L348" s="16">
        <v>0.02127659574468085</v>
      </c>
      <c r="M348" s="16">
        <v>0.3191489361702128</v>
      </c>
      <c r="N348" s="16">
        <v>0.2765957446808511</v>
      </c>
      <c r="O348" s="16">
        <v>0.5319148936170213</v>
      </c>
      <c r="P348" s="35">
        <v>46036.30263888889</v>
      </c>
    </row>
    <row r="349">
      <c r="A349" s="33">
        <v>46036.0</v>
      </c>
      <c r="B349" s="1" t="s">
        <v>60</v>
      </c>
      <c r="D349" s="1" t="s">
        <v>30</v>
      </c>
      <c r="E349" s="34">
        <v>9.0</v>
      </c>
      <c r="F349" s="34">
        <v>445.0</v>
      </c>
      <c r="G349" s="15">
        <v>10264.0</v>
      </c>
      <c r="H349" s="16">
        <v>0.043355416991426345</v>
      </c>
      <c r="I349" s="17">
        <v>9.469699922057677</v>
      </c>
      <c r="J349" s="16">
        <v>1.3567073170731707</v>
      </c>
      <c r="K349" s="16">
        <v>0.6506085192697769</v>
      </c>
      <c r="L349" s="16">
        <v>0.0</v>
      </c>
      <c r="M349" s="16">
        <v>0.0</v>
      </c>
      <c r="N349" s="16">
        <v>1.0</v>
      </c>
      <c r="O349" s="16">
        <v>0.0</v>
      </c>
      <c r="P349" s="35">
        <v>46036.30263888889</v>
      </c>
    </row>
    <row r="350">
      <c r="A350" s="33">
        <v>46036.0</v>
      </c>
      <c r="B350" s="1" t="s">
        <v>60</v>
      </c>
      <c r="D350" s="1" t="s">
        <v>31</v>
      </c>
      <c r="E350" s="34">
        <v>75.0</v>
      </c>
      <c r="F350" s="34">
        <v>375.0</v>
      </c>
      <c r="G350" s="15">
        <v>10286.0</v>
      </c>
      <c r="H350" s="16">
        <v>0.0364573206299825</v>
      </c>
      <c r="I350" s="17">
        <v>7.551234687925335</v>
      </c>
      <c r="J350" s="16">
        <v>1.9946808510638299</v>
      </c>
      <c r="K350" s="16">
        <v>0.7879577141106174</v>
      </c>
      <c r="L350" s="16">
        <v>0.05333333333333334</v>
      </c>
      <c r="M350" s="16">
        <v>0.06666666666666667</v>
      </c>
      <c r="N350" s="16">
        <v>0.30666666666666664</v>
      </c>
      <c r="O350" s="16">
        <v>0.18666666666666668</v>
      </c>
      <c r="P350" s="35">
        <v>46036.30263888889</v>
      </c>
    </row>
    <row r="351">
      <c r="A351" s="33">
        <v>46036.0</v>
      </c>
      <c r="B351" s="1" t="s">
        <v>60</v>
      </c>
      <c r="D351" s="1" t="s">
        <v>32</v>
      </c>
      <c r="E351" s="34">
        <v>477.0</v>
      </c>
      <c r="F351" s="34">
        <v>14429.0</v>
      </c>
      <c r="G351" s="15">
        <v>1425721.0</v>
      </c>
      <c r="H351" s="16">
        <v>0.010120493420521967</v>
      </c>
      <c r="I351" s="17">
        <v>4.622074024300687</v>
      </c>
      <c r="J351" s="16">
        <v>1.5363074957410563</v>
      </c>
      <c r="K351" s="16">
        <v>3.4728620424230026</v>
      </c>
      <c r="L351" s="16">
        <v>0.10062893081761007</v>
      </c>
      <c r="M351" s="16">
        <v>0.33962264150943394</v>
      </c>
      <c r="N351" s="16">
        <v>0.5031446540880503</v>
      </c>
      <c r="O351" s="16">
        <v>0.18658280922431866</v>
      </c>
      <c r="P351" s="35">
        <v>46036.30263888889</v>
      </c>
    </row>
    <row r="352">
      <c r="A352" s="33">
        <v>46036.0</v>
      </c>
      <c r="B352" s="1" t="s">
        <v>60</v>
      </c>
      <c r="D352" s="1" t="s">
        <v>33</v>
      </c>
      <c r="E352" s="34">
        <v>107.0</v>
      </c>
      <c r="F352" s="34">
        <v>231.0</v>
      </c>
      <c r="G352" s="15">
        <v>16130.0</v>
      </c>
      <c r="H352" s="16">
        <v>0.014321140731556107</v>
      </c>
      <c r="I352" s="17">
        <v>5.825542467451953</v>
      </c>
      <c r="J352" s="16">
        <v>0.7938144329896907</v>
      </c>
      <c r="K352" s="16">
        <v>1.9216106742911603</v>
      </c>
      <c r="L352" s="16">
        <v>0.04672897196261682</v>
      </c>
      <c r="M352" s="16">
        <v>0.056074766355140186</v>
      </c>
      <c r="N352" s="16">
        <v>0.42990654205607476</v>
      </c>
      <c r="O352" s="16">
        <v>0.056074766355140186</v>
      </c>
      <c r="P352" s="35">
        <v>46036.30263888889</v>
      </c>
    </row>
    <row r="353">
      <c r="A353" s="33">
        <v>46036.0</v>
      </c>
      <c r="B353" s="1" t="s">
        <v>60</v>
      </c>
      <c r="D353" s="1" t="s">
        <v>34</v>
      </c>
      <c r="E353" s="34">
        <v>77.0</v>
      </c>
      <c r="F353" s="34">
        <v>14.0</v>
      </c>
      <c r="G353" s="15">
        <v>905.0</v>
      </c>
      <c r="H353" s="16">
        <v>0.015469613259668509</v>
      </c>
      <c r="I353" s="17">
        <v>7.958011049723757</v>
      </c>
      <c r="J353" s="16">
        <v>0.7</v>
      </c>
      <c r="K353" s="16">
        <v>0.3778705636743215</v>
      </c>
      <c r="L353" s="16">
        <v>0.03896103896103896</v>
      </c>
      <c r="M353" s="16">
        <v>0.03896103896103896</v>
      </c>
      <c r="N353" s="16">
        <v>0.06493506493506493</v>
      </c>
      <c r="O353" s="16">
        <v>0.07792207792207792</v>
      </c>
      <c r="P353" s="35">
        <v>46036.30263888889</v>
      </c>
    </row>
    <row r="354">
      <c r="A354" s="33">
        <v>46037.0</v>
      </c>
      <c r="B354" s="1" t="s">
        <v>57</v>
      </c>
      <c r="E354" s="34">
        <v>1083.0</v>
      </c>
      <c r="F354" s="34">
        <v>15918.0</v>
      </c>
      <c r="G354" s="15">
        <v>1498011.0</v>
      </c>
      <c r="H354" s="16">
        <v>0.010626090195599364</v>
      </c>
      <c r="I354" s="17">
        <v>4.692677156576287</v>
      </c>
      <c r="J354" s="16">
        <v>1.5228164163398068</v>
      </c>
      <c r="K354" s="16">
        <v>3.2398183292781835</v>
      </c>
      <c r="L354" s="16">
        <v>0.05632502308402586</v>
      </c>
      <c r="M354" s="16">
        <v>0.1680517082179132</v>
      </c>
      <c r="N354" s="16">
        <v>0.3139427516158818</v>
      </c>
      <c r="O354" s="16">
        <v>0.12096029547553093</v>
      </c>
      <c r="P354" s="35">
        <v>46037.30262731481</v>
      </c>
    </row>
    <row r="355">
      <c r="A355" s="33">
        <v>46037.0</v>
      </c>
      <c r="B355" s="1" t="s">
        <v>58</v>
      </c>
      <c r="E355" s="34">
        <v>745.0</v>
      </c>
      <c r="F355" s="34">
        <v>15837.0</v>
      </c>
      <c r="G355" s="15">
        <v>1495964.0</v>
      </c>
      <c r="H355" s="16">
        <v>0.010586484701503512</v>
      </c>
      <c r="I355" s="17">
        <v>4.691259950105751</v>
      </c>
      <c r="J355" s="16">
        <v>1.5283729009843658</v>
      </c>
      <c r="K355" s="16">
        <v>3.3024800102432326</v>
      </c>
      <c r="L355" s="16">
        <v>0.07919463087248323</v>
      </c>
      <c r="M355" s="16">
        <v>0.24161073825503357</v>
      </c>
      <c r="N355" s="16">
        <v>0.436241610738255</v>
      </c>
      <c r="O355" s="16">
        <v>0.15704697986577182</v>
      </c>
      <c r="P355" s="35">
        <v>46037.30262731481</v>
      </c>
    </row>
    <row r="356">
      <c r="A356" s="33">
        <v>46037.0</v>
      </c>
      <c r="B356" s="1" t="s">
        <v>59</v>
      </c>
      <c r="C356" s="3" t="s">
        <v>2</v>
      </c>
      <c r="E356" s="34">
        <v>124.0</v>
      </c>
      <c r="F356" s="34">
        <v>1049.0</v>
      </c>
      <c r="G356" s="15">
        <v>79883.0</v>
      </c>
      <c r="H356" s="16">
        <v>0.013131705118736152</v>
      </c>
      <c r="I356" s="17">
        <v>5.218093962420039</v>
      </c>
      <c r="J356" s="16">
        <v>3.9288389513108615</v>
      </c>
      <c r="K356" s="16">
        <v>4.247965966498271</v>
      </c>
      <c r="L356" s="16">
        <v>0.056451612903225805</v>
      </c>
      <c r="M356" s="16">
        <v>0.0967741935483871</v>
      </c>
      <c r="N356" s="16">
        <v>0.4274193548387097</v>
      </c>
      <c r="O356" s="16">
        <v>0.06451612903225806</v>
      </c>
      <c r="P356" s="35">
        <v>46037.30262731481</v>
      </c>
    </row>
    <row r="357">
      <c r="A357" s="33">
        <v>46037.0</v>
      </c>
      <c r="B357" s="1" t="s">
        <v>59</v>
      </c>
      <c r="C357" s="1" t="s">
        <v>3</v>
      </c>
      <c r="E357" s="34">
        <v>164.0</v>
      </c>
      <c r="F357" s="34">
        <v>982.0</v>
      </c>
      <c r="G357" s="15">
        <v>35762.0</v>
      </c>
      <c r="H357" s="16">
        <v>0.027459314356020358</v>
      </c>
      <c r="I357" s="17">
        <v>6.400816509143784</v>
      </c>
      <c r="J357" s="16">
        <v>1.5464566929133858</v>
      </c>
      <c r="K357" s="16">
        <v>1.6253976911189891</v>
      </c>
      <c r="L357" s="16">
        <v>0.04878048780487805</v>
      </c>
      <c r="M357" s="16">
        <v>0.054878048780487805</v>
      </c>
      <c r="N357" s="16">
        <v>0.4329268292682927</v>
      </c>
      <c r="O357" s="16">
        <v>0.12195121951219512</v>
      </c>
      <c r="P357" s="35">
        <v>46037.30262731481</v>
      </c>
    </row>
    <row r="358">
      <c r="A358" s="33">
        <v>46037.0</v>
      </c>
      <c r="B358" s="1" t="s">
        <v>59</v>
      </c>
      <c r="C358" s="3" t="s">
        <v>4</v>
      </c>
      <c r="E358" s="34">
        <v>105.0</v>
      </c>
      <c r="F358" s="34">
        <v>470.0</v>
      </c>
      <c r="G358" s="15">
        <v>24258.0</v>
      </c>
      <c r="H358" s="16">
        <v>0.019375051529392364</v>
      </c>
      <c r="I358" s="17">
        <v>5.732459394838816</v>
      </c>
      <c r="J358" s="16">
        <v>0.8935361216730038</v>
      </c>
      <c r="K358" s="16">
        <v>1.4220059792484905</v>
      </c>
      <c r="L358" s="16">
        <v>0.06666666666666667</v>
      </c>
      <c r="M358" s="16">
        <v>0.11428571428571428</v>
      </c>
      <c r="N358" s="16">
        <v>0.23809523809523808</v>
      </c>
      <c r="O358" s="16">
        <v>0.1523809523809524</v>
      </c>
      <c r="P358" s="35">
        <v>46037.30262731481</v>
      </c>
    </row>
    <row r="359">
      <c r="A359" s="33">
        <v>46037.0</v>
      </c>
      <c r="B359" s="1" t="s">
        <v>59</v>
      </c>
      <c r="C359" s="3" t="s">
        <v>5</v>
      </c>
      <c r="E359" s="34">
        <v>18.0</v>
      </c>
      <c r="F359" s="34">
        <v>3798.0</v>
      </c>
      <c r="G359" s="15">
        <v>62364.0</v>
      </c>
      <c r="H359" s="16">
        <v>0.06090051953049837</v>
      </c>
      <c r="I359" s="17">
        <v>5.997787184914373</v>
      </c>
      <c r="J359" s="16">
        <v>1.032907261354365</v>
      </c>
      <c r="K359" s="16">
        <v>2.291109478324761</v>
      </c>
      <c r="L359" s="16">
        <v>0.1111111111111111</v>
      </c>
      <c r="M359" s="16">
        <v>0.16666666666666666</v>
      </c>
      <c r="N359" s="16">
        <v>0.5555555555555556</v>
      </c>
      <c r="O359" s="16">
        <v>0.05555555555555555</v>
      </c>
      <c r="P359" s="35">
        <v>46037.30262731481</v>
      </c>
    </row>
    <row r="360">
      <c r="A360" s="33">
        <v>46037.0</v>
      </c>
      <c r="B360" s="1" t="s">
        <v>59</v>
      </c>
      <c r="C360" s="3" t="s">
        <v>6</v>
      </c>
      <c r="E360" s="34">
        <v>29.0</v>
      </c>
      <c r="F360" s="34">
        <v>5089.0</v>
      </c>
      <c r="G360" s="15">
        <v>432729.0</v>
      </c>
      <c r="H360" s="16">
        <v>0.011760247175483964</v>
      </c>
      <c r="I360" s="17">
        <v>4.124371142216029</v>
      </c>
      <c r="J360" s="16">
        <v>1.4183389074693422</v>
      </c>
      <c r="K360" s="16">
        <v>2.269030103140354</v>
      </c>
      <c r="L360" s="16">
        <v>0.0</v>
      </c>
      <c r="M360" s="16">
        <v>0.0</v>
      </c>
      <c r="N360" s="16">
        <v>0.7586206896551724</v>
      </c>
      <c r="O360" s="16">
        <v>0.20689655172413793</v>
      </c>
      <c r="P360" s="35">
        <v>46037.30262731481</v>
      </c>
    </row>
    <row r="361">
      <c r="A361" s="33">
        <v>46037.0</v>
      </c>
      <c r="B361" s="1" t="s">
        <v>59</v>
      </c>
      <c r="C361" s="3" t="s">
        <v>7</v>
      </c>
      <c r="E361" s="34">
        <v>128.0</v>
      </c>
      <c r="F361" s="34">
        <v>727.0</v>
      </c>
      <c r="G361" s="15">
        <v>161218.0</v>
      </c>
      <c r="H361" s="16">
        <v>0.004509422024835936</v>
      </c>
      <c r="I361" s="17">
        <v>4.662134501110298</v>
      </c>
      <c r="J361" s="16">
        <v>2.0712250712250713</v>
      </c>
      <c r="K361" s="16">
        <v>5.398586880085725</v>
      </c>
      <c r="L361" s="16">
        <v>0.09375</v>
      </c>
      <c r="M361" s="16">
        <v>0.453125</v>
      </c>
      <c r="N361" s="16">
        <v>0.5703125</v>
      </c>
      <c r="O361" s="16">
        <v>0.171875</v>
      </c>
      <c r="P361" s="35">
        <v>46037.30262731481</v>
      </c>
    </row>
    <row r="362">
      <c r="A362" s="33">
        <v>46037.0</v>
      </c>
      <c r="B362" s="1" t="s">
        <v>59</v>
      </c>
      <c r="C362" s="3" t="s">
        <v>8</v>
      </c>
      <c r="E362" s="34">
        <v>119.0</v>
      </c>
      <c r="F362" s="34">
        <v>845.0</v>
      </c>
      <c r="G362" s="15">
        <v>274740.0</v>
      </c>
      <c r="H362" s="16">
        <v>0.0030756351459561766</v>
      </c>
      <c r="I362" s="17">
        <v>5.413820339229817</v>
      </c>
      <c r="J362" s="16">
        <v>1.0267314702308628</v>
      </c>
      <c r="K362" s="16">
        <v>2.7094140155026527</v>
      </c>
      <c r="L362" s="16">
        <v>0.17647058823529413</v>
      </c>
      <c r="M362" s="16">
        <v>0.5882352941176471</v>
      </c>
      <c r="N362" s="16">
        <v>0.4789915966386555</v>
      </c>
      <c r="O362" s="16">
        <v>0.15126050420168066</v>
      </c>
      <c r="P362" s="35">
        <v>46037.30262731481</v>
      </c>
    </row>
    <row r="363">
      <c r="A363" s="33">
        <v>46037.0</v>
      </c>
      <c r="B363" s="1" t="s">
        <v>59</v>
      </c>
      <c r="C363" s="3" t="s">
        <v>9</v>
      </c>
      <c r="E363" s="34">
        <v>11.0</v>
      </c>
      <c r="F363" s="34">
        <v>9.0</v>
      </c>
      <c r="G363" s="15">
        <v>501.0</v>
      </c>
      <c r="H363" s="16">
        <v>0.017964071856287425</v>
      </c>
      <c r="I363" s="17">
        <v>15.359281437125748</v>
      </c>
      <c r="J363" s="16">
        <v>1.8</v>
      </c>
      <c r="K363" s="16">
        <v>1.9494163424124513</v>
      </c>
      <c r="L363" s="16">
        <v>0.09090909090909091</v>
      </c>
      <c r="M363" s="16">
        <v>0.09090909090909091</v>
      </c>
      <c r="N363" s="16">
        <v>0.18181818181818182</v>
      </c>
      <c r="O363" s="16">
        <v>0.0</v>
      </c>
      <c r="P363" s="35">
        <v>46037.30262731481</v>
      </c>
    </row>
    <row r="364">
      <c r="A364" s="33">
        <v>46037.0</v>
      </c>
      <c r="B364" s="1" t="s">
        <v>59</v>
      </c>
      <c r="C364" s="3" t="s">
        <v>10</v>
      </c>
      <c r="E364" s="34">
        <v>47.0</v>
      </c>
      <c r="F364" s="34">
        <v>2868.0</v>
      </c>
      <c r="G364" s="15">
        <v>424509.0</v>
      </c>
      <c r="H364" s="16">
        <v>0.006756040507975096</v>
      </c>
      <c r="I364" s="17">
        <v>4.305364550574899</v>
      </c>
      <c r="J364" s="16">
        <v>5.853061224489796</v>
      </c>
      <c r="K364" s="16">
        <v>9.296563957690033</v>
      </c>
      <c r="L364" s="16">
        <v>0.02127659574468085</v>
      </c>
      <c r="M364" s="16">
        <v>0.3191489361702128</v>
      </c>
      <c r="N364" s="16">
        <v>0.2553191489361702</v>
      </c>
      <c r="O364" s="16">
        <v>0.5531914893617021</v>
      </c>
      <c r="P364" s="35">
        <v>46037.30262731481</v>
      </c>
    </row>
    <row r="365">
      <c r="A365" s="33">
        <v>46037.0</v>
      </c>
      <c r="B365" s="1" t="s">
        <v>60</v>
      </c>
      <c r="D365" s="1" t="s">
        <v>30</v>
      </c>
      <c r="E365" s="34">
        <v>9.0</v>
      </c>
      <c r="F365" s="34">
        <v>451.0</v>
      </c>
      <c r="G365" s="15">
        <v>10386.0</v>
      </c>
      <c r="H365" s="16">
        <v>0.043423839784325055</v>
      </c>
      <c r="I365" s="17">
        <v>9.721933371846717</v>
      </c>
      <c r="J365" s="16">
        <v>1.358433734939759</v>
      </c>
      <c r="K365" s="16">
        <v>0.6537009063444109</v>
      </c>
      <c r="L365" s="16">
        <v>0.0</v>
      </c>
      <c r="M365" s="16">
        <v>0.0</v>
      </c>
      <c r="N365" s="16">
        <v>0.8888888888888888</v>
      </c>
      <c r="O365" s="16">
        <v>0.1111111111111111</v>
      </c>
      <c r="P365" s="35">
        <v>46037.30262731481</v>
      </c>
    </row>
    <row r="366">
      <c r="A366" s="33">
        <v>46037.0</v>
      </c>
      <c r="B366" s="1" t="s">
        <v>60</v>
      </c>
      <c r="D366" s="1" t="s">
        <v>31</v>
      </c>
      <c r="E366" s="34">
        <v>75.0</v>
      </c>
      <c r="F366" s="34">
        <v>385.0</v>
      </c>
      <c r="G366" s="15">
        <v>10436.0</v>
      </c>
      <c r="H366" s="16">
        <v>0.03689152932157915</v>
      </c>
      <c r="I366" s="17">
        <v>7.533250287466462</v>
      </c>
      <c r="J366" s="16">
        <v>2.0698924731182795</v>
      </c>
      <c r="K366" s="16">
        <v>0.7990199831559605</v>
      </c>
      <c r="L366" s="16">
        <v>0.05333333333333334</v>
      </c>
      <c r="M366" s="16">
        <v>0.06666666666666667</v>
      </c>
      <c r="N366" s="16">
        <v>0.29333333333333333</v>
      </c>
      <c r="O366" s="16">
        <v>0.2</v>
      </c>
      <c r="P366" s="35">
        <v>46037.30262731481</v>
      </c>
    </row>
    <row r="367">
      <c r="A367" s="33">
        <v>46037.0</v>
      </c>
      <c r="B367" s="1" t="s">
        <v>60</v>
      </c>
      <c r="D367" s="1" t="s">
        <v>32</v>
      </c>
      <c r="E367" s="34">
        <v>476.0</v>
      </c>
      <c r="F367" s="34">
        <v>14748.0</v>
      </c>
      <c r="G367" s="15">
        <v>1457446.0</v>
      </c>
      <c r="H367" s="16">
        <v>0.010119071306930068</v>
      </c>
      <c r="I367" s="17">
        <v>4.620915629121079</v>
      </c>
      <c r="J367" s="16">
        <v>1.5473717343405728</v>
      </c>
      <c r="K367" s="16">
        <v>3.526858354184715</v>
      </c>
      <c r="L367" s="16">
        <v>0.09663865546218488</v>
      </c>
      <c r="M367" s="16">
        <v>0.3445378151260504</v>
      </c>
      <c r="N367" s="16">
        <v>0.5105042016806722</v>
      </c>
      <c r="O367" s="16">
        <v>0.19117647058823528</v>
      </c>
      <c r="P367" s="35">
        <v>46037.30262731481</v>
      </c>
    </row>
    <row r="368">
      <c r="A368" s="33">
        <v>46037.0</v>
      </c>
      <c r="B368" s="1" t="s">
        <v>60</v>
      </c>
      <c r="D368" s="1" t="s">
        <v>33</v>
      </c>
      <c r="E368" s="34">
        <v>107.0</v>
      </c>
      <c r="F368" s="34">
        <v>239.0</v>
      </c>
      <c r="G368" s="15">
        <v>16758.0</v>
      </c>
      <c r="H368" s="16">
        <v>0.014261845088912758</v>
      </c>
      <c r="I368" s="17">
        <v>5.744539921231651</v>
      </c>
      <c r="J368" s="16">
        <v>0.8129251700680272</v>
      </c>
      <c r="K368" s="16">
        <v>2.0004774979109468</v>
      </c>
      <c r="L368" s="16">
        <v>0.056074766355140186</v>
      </c>
      <c r="M368" s="16">
        <v>0.07476635514018691</v>
      </c>
      <c r="N368" s="16">
        <v>0.4392523364485981</v>
      </c>
      <c r="O368" s="16">
        <v>0.04672897196261682</v>
      </c>
      <c r="P368" s="35">
        <v>46037.30262731481</v>
      </c>
    </row>
    <row r="369">
      <c r="A369" s="33">
        <v>46037.0</v>
      </c>
      <c r="B369" s="1" t="s">
        <v>60</v>
      </c>
      <c r="D369" s="1" t="s">
        <v>34</v>
      </c>
      <c r="E369" s="34">
        <v>78.0</v>
      </c>
      <c r="F369" s="34">
        <v>14.0</v>
      </c>
      <c r="G369" s="15">
        <v>938.0</v>
      </c>
      <c r="H369" s="16">
        <v>0.014925373134328358</v>
      </c>
      <c r="I369" s="17">
        <v>7.8518123667377395</v>
      </c>
      <c r="J369" s="16">
        <v>0.7368421052631579</v>
      </c>
      <c r="K369" s="16">
        <v>0.38856669428334717</v>
      </c>
      <c r="L369" s="16">
        <v>0.038461538461538464</v>
      </c>
      <c r="M369" s="16">
        <v>0.038461538461538464</v>
      </c>
      <c r="N369" s="16">
        <v>0.0641025641025641</v>
      </c>
      <c r="O369" s="16">
        <v>0.0641025641025641</v>
      </c>
      <c r="P369" s="35">
        <v>46037.30262731481</v>
      </c>
    </row>
    <row r="370">
      <c r="A370" s="33">
        <v>46038.0</v>
      </c>
      <c r="B370" s="1" t="s">
        <v>57</v>
      </c>
      <c r="E370" s="34">
        <v>1083.0</v>
      </c>
      <c r="F370" s="34">
        <v>16110.0</v>
      </c>
      <c r="G370" s="15">
        <v>1507712.0</v>
      </c>
      <c r="H370" s="16">
        <v>0.010685064521606249</v>
      </c>
      <c r="I370" s="17">
        <v>4.697746651880466</v>
      </c>
      <c r="J370" s="16">
        <v>1.5088508007867378</v>
      </c>
      <c r="K370" s="16">
        <v>3.20955728174354</v>
      </c>
      <c r="L370" s="16">
        <v>0.06001846722068329</v>
      </c>
      <c r="M370" s="16">
        <v>0.1745152354570637</v>
      </c>
      <c r="N370" s="16">
        <v>0.3028624192059095</v>
      </c>
      <c r="O370" s="16">
        <v>0.12927054478301014</v>
      </c>
      <c r="P370" s="35">
        <v>46038.30267361111</v>
      </c>
    </row>
    <row r="371">
      <c r="A371" s="33">
        <v>46038.0</v>
      </c>
      <c r="B371" s="1" t="s">
        <v>58</v>
      </c>
      <c r="E371" s="34">
        <v>745.0</v>
      </c>
      <c r="F371" s="34">
        <v>16028.0</v>
      </c>
      <c r="G371" s="15">
        <v>1505685.0</v>
      </c>
      <c r="H371" s="16">
        <v>0.010644988825683991</v>
      </c>
      <c r="I371" s="17">
        <v>4.696562694056194</v>
      </c>
      <c r="J371" s="16">
        <v>1.5143613000755858</v>
      </c>
      <c r="K371" s="16">
        <v>3.271500055405514</v>
      </c>
      <c r="L371" s="16">
        <v>0.08322147651006712</v>
      </c>
      <c r="M371" s="16">
        <v>0.24966442953020135</v>
      </c>
      <c r="N371" s="16">
        <v>0.4214765100671141</v>
      </c>
      <c r="O371" s="16">
        <v>0.16778523489932887</v>
      </c>
      <c r="P371" s="35">
        <v>46038.30267361111</v>
      </c>
    </row>
    <row r="372">
      <c r="A372" s="33">
        <v>46038.0</v>
      </c>
      <c r="B372" s="1" t="s">
        <v>59</v>
      </c>
      <c r="C372" s="3" t="s">
        <v>2</v>
      </c>
      <c r="E372" s="34">
        <v>124.0</v>
      </c>
      <c r="F372" s="34">
        <v>1081.0</v>
      </c>
      <c r="G372" s="15">
        <v>84415.0</v>
      </c>
      <c r="H372" s="16">
        <v>0.012805780963098975</v>
      </c>
      <c r="I372" s="17">
        <v>5.07875377598768</v>
      </c>
      <c r="J372" s="16">
        <v>3.9452554744525545</v>
      </c>
      <c r="K372" s="16">
        <v>4.430303348378294</v>
      </c>
      <c r="L372" s="16">
        <v>0.056451612903225805</v>
      </c>
      <c r="M372" s="16">
        <v>0.0967741935483871</v>
      </c>
      <c r="N372" s="16">
        <v>0.4435483870967742</v>
      </c>
      <c r="O372" s="16">
        <v>0.056451612903225805</v>
      </c>
      <c r="P372" s="35">
        <v>46038.30267361111</v>
      </c>
    </row>
    <row r="373">
      <c r="A373" s="33">
        <v>46038.0</v>
      </c>
      <c r="B373" s="1" t="s">
        <v>59</v>
      </c>
      <c r="C373" s="1" t="s">
        <v>3</v>
      </c>
      <c r="E373" s="34">
        <v>164.0</v>
      </c>
      <c r="F373" s="34">
        <v>976.0</v>
      </c>
      <c r="G373" s="15">
        <v>36236.0</v>
      </c>
      <c r="H373" s="16">
        <v>0.026934540236229165</v>
      </c>
      <c r="I373" s="17">
        <v>6.3469753835964235</v>
      </c>
      <c r="J373" s="16">
        <v>1.508500772797527</v>
      </c>
      <c r="K373" s="16">
        <v>1.6400090518216792</v>
      </c>
      <c r="L373" s="16">
        <v>0.054878048780487805</v>
      </c>
      <c r="M373" s="16">
        <v>0.06097560975609756</v>
      </c>
      <c r="N373" s="16">
        <v>0.42073170731707316</v>
      </c>
      <c r="O373" s="16">
        <v>0.10975609756097561</v>
      </c>
      <c r="P373" s="35">
        <v>46038.30267361111</v>
      </c>
    </row>
    <row r="374">
      <c r="A374" s="33">
        <v>46038.0</v>
      </c>
      <c r="B374" s="1" t="s">
        <v>59</v>
      </c>
      <c r="C374" s="3" t="s">
        <v>4</v>
      </c>
      <c r="E374" s="34">
        <v>105.0</v>
      </c>
      <c r="F374" s="34">
        <v>479.0</v>
      </c>
      <c r="G374" s="15">
        <v>24757.0</v>
      </c>
      <c r="H374" s="16">
        <v>0.019348063174051782</v>
      </c>
      <c r="I374" s="17">
        <v>5.675324150745244</v>
      </c>
      <c r="J374" s="16">
        <v>0.9106463878326996</v>
      </c>
      <c r="K374" s="16">
        <v>1.4395278520758228</v>
      </c>
      <c r="L374" s="16">
        <v>0.0761904761904762</v>
      </c>
      <c r="M374" s="16">
        <v>0.12380952380952381</v>
      </c>
      <c r="N374" s="16">
        <v>0.23809523809523808</v>
      </c>
      <c r="O374" s="16">
        <v>0.1523809523809524</v>
      </c>
      <c r="P374" s="35">
        <v>46038.30267361111</v>
      </c>
    </row>
    <row r="375">
      <c r="A375" s="33">
        <v>46038.0</v>
      </c>
      <c r="B375" s="1" t="s">
        <v>59</v>
      </c>
      <c r="C375" s="3" t="s">
        <v>5</v>
      </c>
      <c r="E375" s="34">
        <v>18.0</v>
      </c>
      <c r="F375" s="34">
        <v>3869.0</v>
      </c>
      <c r="G375" s="15">
        <v>62659.0</v>
      </c>
      <c r="H375" s="16">
        <v>0.061746915846087554</v>
      </c>
      <c r="I375" s="17">
        <v>5.9664693020954696</v>
      </c>
      <c r="J375" s="16">
        <v>1.0347686547205135</v>
      </c>
      <c r="K375" s="16">
        <v>2.259936521676405</v>
      </c>
      <c r="L375" s="16">
        <v>0.1111111111111111</v>
      </c>
      <c r="M375" s="16">
        <v>0.16666666666666666</v>
      </c>
      <c r="N375" s="16">
        <v>0.4444444444444444</v>
      </c>
      <c r="O375" s="16">
        <v>0.16666666666666666</v>
      </c>
      <c r="P375" s="35">
        <v>46038.30267361111</v>
      </c>
    </row>
    <row r="376">
      <c r="A376" s="33">
        <v>46038.0</v>
      </c>
      <c r="B376" s="1" t="s">
        <v>59</v>
      </c>
      <c r="C376" s="3" t="s">
        <v>6</v>
      </c>
      <c r="E376" s="34">
        <v>29.0</v>
      </c>
      <c r="F376" s="34">
        <v>5097.0</v>
      </c>
      <c r="G376" s="15">
        <v>424498.0</v>
      </c>
      <c r="H376" s="16">
        <v>0.01200712370847448</v>
      </c>
      <c r="I376" s="17">
        <v>4.176827688234102</v>
      </c>
      <c r="J376" s="16">
        <v>1.3831750339213025</v>
      </c>
      <c r="K376" s="16">
        <v>2.181365042496994</v>
      </c>
      <c r="L376" s="16">
        <v>0.0</v>
      </c>
      <c r="M376" s="16">
        <v>0.0</v>
      </c>
      <c r="N376" s="16">
        <v>0.7241379310344828</v>
      </c>
      <c r="O376" s="16">
        <v>0.2413793103448276</v>
      </c>
      <c r="P376" s="35">
        <v>46038.30267361111</v>
      </c>
    </row>
    <row r="377">
      <c r="A377" s="33">
        <v>46038.0</v>
      </c>
      <c r="B377" s="1" t="s">
        <v>59</v>
      </c>
      <c r="C377" s="3" t="s">
        <v>7</v>
      </c>
      <c r="E377" s="34">
        <v>128.0</v>
      </c>
      <c r="F377" s="34">
        <v>755.0</v>
      </c>
      <c r="G377" s="15">
        <v>165675.0</v>
      </c>
      <c r="H377" s="16">
        <v>0.004557114833257885</v>
      </c>
      <c r="I377" s="17">
        <v>4.660576429757055</v>
      </c>
      <c r="J377" s="16">
        <v>2.0628415300546448</v>
      </c>
      <c r="K377" s="16">
        <v>5.493567212679886</v>
      </c>
      <c r="L377" s="16">
        <v>0.09375</v>
      </c>
      <c r="M377" s="16">
        <v>0.46875</v>
      </c>
      <c r="N377" s="16">
        <v>0.515625</v>
      </c>
      <c r="O377" s="16">
        <v>0.2265625</v>
      </c>
      <c r="P377" s="35">
        <v>46038.30267361111</v>
      </c>
    </row>
    <row r="378">
      <c r="A378" s="33">
        <v>46038.0</v>
      </c>
      <c r="B378" s="1" t="s">
        <v>59</v>
      </c>
      <c r="C378" s="3" t="s">
        <v>8</v>
      </c>
      <c r="E378" s="34">
        <v>119.0</v>
      </c>
      <c r="F378" s="34">
        <v>826.0</v>
      </c>
      <c r="G378" s="15">
        <v>278585.0</v>
      </c>
      <c r="H378" s="16">
        <v>0.0029649837572015723</v>
      </c>
      <c r="I378" s="17">
        <v>5.400147172317246</v>
      </c>
      <c r="J378" s="16">
        <v>0.9975845410628019</v>
      </c>
      <c r="K378" s="16">
        <v>2.7172927050515496</v>
      </c>
      <c r="L378" s="16">
        <v>0.18487394957983194</v>
      </c>
      <c r="M378" s="16">
        <v>0.6050420168067226</v>
      </c>
      <c r="N378" s="16">
        <v>0.4789915966386555</v>
      </c>
      <c r="O378" s="16">
        <v>0.15126050420168066</v>
      </c>
      <c r="P378" s="35">
        <v>46038.30267361111</v>
      </c>
    </row>
    <row r="379">
      <c r="A379" s="33">
        <v>46038.0</v>
      </c>
      <c r="B379" s="1" t="s">
        <v>59</v>
      </c>
      <c r="C379" s="3" t="s">
        <v>9</v>
      </c>
      <c r="E379" s="34">
        <v>11.0</v>
      </c>
      <c r="F379" s="34">
        <v>8.0</v>
      </c>
      <c r="G379" s="15">
        <v>510.0</v>
      </c>
      <c r="H379" s="16">
        <v>0.01568627450980392</v>
      </c>
      <c r="I379" s="17">
        <v>15.282352941176471</v>
      </c>
      <c r="J379" s="16">
        <v>2.0</v>
      </c>
      <c r="K379" s="16">
        <v>2.0</v>
      </c>
      <c r="L379" s="16">
        <v>0.09090909090909091</v>
      </c>
      <c r="M379" s="16">
        <v>0.09090909090909091</v>
      </c>
      <c r="N379" s="16">
        <v>0.18181818181818182</v>
      </c>
      <c r="O379" s="16">
        <v>0.0</v>
      </c>
      <c r="P379" s="35">
        <v>46038.30267361111</v>
      </c>
    </row>
    <row r="380">
      <c r="A380" s="33">
        <v>46038.0</v>
      </c>
      <c r="B380" s="1" t="s">
        <v>59</v>
      </c>
      <c r="C380" s="3" t="s">
        <v>10</v>
      </c>
      <c r="E380" s="34">
        <v>47.0</v>
      </c>
      <c r="F380" s="34">
        <v>2937.0</v>
      </c>
      <c r="G380" s="15">
        <v>428350.0</v>
      </c>
      <c r="H380" s="16">
        <v>0.006856542546982608</v>
      </c>
      <c r="I380" s="17">
        <v>4.298085677600094</v>
      </c>
      <c r="J380" s="16">
        <v>5.702912621359223</v>
      </c>
      <c r="K380" s="16">
        <v>9.185752273117172</v>
      </c>
      <c r="L380" s="16">
        <v>0.02127659574468085</v>
      </c>
      <c r="M380" s="16">
        <v>0.3191489361702128</v>
      </c>
      <c r="N380" s="16">
        <v>0.23404255319148937</v>
      </c>
      <c r="O380" s="16">
        <v>0.574468085106383</v>
      </c>
      <c r="P380" s="35">
        <v>46038.30267361111</v>
      </c>
    </row>
    <row r="381">
      <c r="A381" s="33">
        <v>46038.0</v>
      </c>
      <c r="B381" s="1" t="s">
        <v>60</v>
      </c>
      <c r="D381" s="1" t="s">
        <v>30</v>
      </c>
      <c r="E381" s="34">
        <v>9.0</v>
      </c>
      <c r="F381" s="34">
        <v>448.0</v>
      </c>
      <c r="G381" s="15">
        <v>10349.0</v>
      </c>
      <c r="H381" s="16">
        <v>0.04328920668663639</v>
      </c>
      <c r="I381" s="17">
        <v>9.713595516475023</v>
      </c>
      <c r="J381" s="16">
        <v>1.298550724637681</v>
      </c>
      <c r="K381" s="16">
        <v>0.6460453211810975</v>
      </c>
      <c r="L381" s="16">
        <v>0.0</v>
      </c>
      <c r="M381" s="16">
        <v>0.0</v>
      </c>
      <c r="N381" s="16">
        <v>0.6666666666666666</v>
      </c>
      <c r="O381" s="16">
        <v>0.3333333333333333</v>
      </c>
      <c r="P381" s="35">
        <v>46038.30267361111</v>
      </c>
    </row>
    <row r="382">
      <c r="A382" s="33">
        <v>46038.0</v>
      </c>
      <c r="B382" s="1" t="s">
        <v>60</v>
      </c>
      <c r="D382" s="1" t="s">
        <v>31</v>
      </c>
      <c r="E382" s="34">
        <v>75.0</v>
      </c>
      <c r="F382" s="34">
        <v>393.0</v>
      </c>
      <c r="G382" s="15">
        <v>10519.0</v>
      </c>
      <c r="H382" s="16">
        <v>0.03736096587128054</v>
      </c>
      <c r="I382" s="17">
        <v>7.43853978515068</v>
      </c>
      <c r="J382" s="16">
        <v>2.1712707182320443</v>
      </c>
      <c r="K382" s="16">
        <v>0.8033450435313885</v>
      </c>
      <c r="L382" s="16">
        <v>0.05333333333333334</v>
      </c>
      <c r="M382" s="16">
        <v>0.06666666666666667</v>
      </c>
      <c r="N382" s="16">
        <v>0.29333333333333333</v>
      </c>
      <c r="O382" s="16">
        <v>0.2</v>
      </c>
      <c r="P382" s="35">
        <v>46038.30267361111</v>
      </c>
    </row>
    <row r="383">
      <c r="A383" s="33">
        <v>46038.0</v>
      </c>
      <c r="B383" s="1" t="s">
        <v>60</v>
      </c>
      <c r="D383" s="1" t="s">
        <v>32</v>
      </c>
      <c r="E383" s="34">
        <v>476.0</v>
      </c>
      <c r="F383" s="34">
        <v>14928.0</v>
      </c>
      <c r="G383" s="15">
        <v>1466534.0</v>
      </c>
      <c r="H383" s="16">
        <v>0.010179102564277405</v>
      </c>
      <c r="I383" s="17">
        <v>4.627733144952657</v>
      </c>
      <c r="J383" s="16">
        <v>1.532491530643671</v>
      </c>
      <c r="K383" s="16">
        <v>3.4904677808613034</v>
      </c>
      <c r="L383" s="16">
        <v>0.09873949579831932</v>
      </c>
      <c r="M383" s="16">
        <v>0.35294117647058826</v>
      </c>
      <c r="N383" s="16">
        <v>0.49159663865546216</v>
      </c>
      <c r="O383" s="16">
        <v>0.20798319327731093</v>
      </c>
      <c r="P383" s="35">
        <v>46038.30267361111</v>
      </c>
    </row>
    <row r="384">
      <c r="A384" s="33">
        <v>46038.0</v>
      </c>
      <c r="B384" s="1" t="s">
        <v>60</v>
      </c>
      <c r="D384" s="1" t="s">
        <v>33</v>
      </c>
      <c r="E384" s="34">
        <v>107.0</v>
      </c>
      <c r="F384" s="34">
        <v>244.0</v>
      </c>
      <c r="G384" s="15">
        <v>17321.0</v>
      </c>
      <c r="H384" s="16">
        <v>0.01408694648115005</v>
      </c>
      <c r="I384" s="17">
        <v>5.693031580162808</v>
      </c>
      <c r="J384" s="16">
        <v>0.8160535117056856</v>
      </c>
      <c r="K384" s="16">
        <v>2.035609354800799</v>
      </c>
      <c r="L384" s="16">
        <v>0.07476635514018691</v>
      </c>
      <c r="M384" s="16">
        <v>0.09345794392523364</v>
      </c>
      <c r="N384" s="16">
        <v>0.42990654205607476</v>
      </c>
      <c r="O384" s="16">
        <v>0.04672897196261682</v>
      </c>
      <c r="P384" s="35">
        <v>46038.30267361111</v>
      </c>
    </row>
    <row r="385">
      <c r="A385" s="33">
        <v>46038.0</v>
      </c>
      <c r="B385" s="1" t="s">
        <v>60</v>
      </c>
      <c r="D385" s="1" t="s">
        <v>34</v>
      </c>
      <c r="E385" s="34">
        <v>78.0</v>
      </c>
      <c r="F385" s="34">
        <v>15.0</v>
      </c>
      <c r="G385" s="15">
        <v>962.0</v>
      </c>
      <c r="H385" s="16">
        <v>0.015592515592515593</v>
      </c>
      <c r="I385" s="17">
        <v>7.728690228690229</v>
      </c>
      <c r="J385" s="16">
        <v>0.8333333333333334</v>
      </c>
      <c r="K385" s="16">
        <v>0.38994730441832187</v>
      </c>
      <c r="L385" s="16">
        <v>0.038461538461538464</v>
      </c>
      <c r="M385" s="16">
        <v>0.038461538461538464</v>
      </c>
      <c r="N385" s="16">
        <v>0.07692307692307693</v>
      </c>
      <c r="O385" s="16">
        <v>0.038461538461538464</v>
      </c>
      <c r="P385" s="35">
        <v>46038.30267361111</v>
      </c>
    </row>
    <row r="386">
      <c r="A386" s="33">
        <v>46039.0</v>
      </c>
      <c r="B386" s="1" t="s">
        <v>57</v>
      </c>
      <c r="E386" s="34">
        <v>1083.0</v>
      </c>
      <c r="F386" s="34">
        <v>16319.0</v>
      </c>
      <c r="G386" s="15">
        <v>1523657.0</v>
      </c>
      <c r="H386" s="16">
        <v>0.01071041579568105</v>
      </c>
      <c r="I386" s="17">
        <v>4.690517616497677</v>
      </c>
      <c r="J386" s="16">
        <v>1.5059985234403839</v>
      </c>
      <c r="K386" s="16">
        <v>3.2125820721180403</v>
      </c>
      <c r="L386" s="16">
        <v>0.057248384118190214</v>
      </c>
      <c r="M386" s="16">
        <v>0.1745152354570637</v>
      </c>
      <c r="N386" s="16">
        <v>0.3074792243767313</v>
      </c>
      <c r="O386" s="16">
        <v>0.1265004616805171</v>
      </c>
      <c r="P386" s="35">
        <v>46039.30263888889</v>
      </c>
    </row>
    <row r="387">
      <c r="A387" s="33">
        <v>46039.0</v>
      </c>
      <c r="B387" s="1" t="s">
        <v>58</v>
      </c>
      <c r="E387" s="34">
        <v>745.0</v>
      </c>
      <c r="F387" s="34">
        <v>16237.0</v>
      </c>
      <c r="G387" s="15">
        <v>1521771.0</v>
      </c>
      <c r="H387" s="16">
        <v>0.010669805115224302</v>
      </c>
      <c r="I387" s="17">
        <v>4.689209480270027</v>
      </c>
      <c r="J387" s="16">
        <v>1.5111214518380642</v>
      </c>
      <c r="K387" s="16">
        <v>3.276155599904413</v>
      </c>
      <c r="L387" s="16">
        <v>0.07919463087248323</v>
      </c>
      <c r="M387" s="16">
        <v>0.24966442953020135</v>
      </c>
      <c r="N387" s="16">
        <v>0.42818791946308726</v>
      </c>
      <c r="O387" s="16">
        <v>0.1610738255033557</v>
      </c>
      <c r="P387" s="35">
        <v>46039.30263888889</v>
      </c>
    </row>
    <row r="388">
      <c r="A388" s="33">
        <v>46039.0</v>
      </c>
      <c r="B388" s="1" t="s">
        <v>59</v>
      </c>
      <c r="C388" s="3" t="s">
        <v>2</v>
      </c>
      <c r="E388" s="34">
        <v>124.0</v>
      </c>
      <c r="F388" s="34">
        <v>1103.0</v>
      </c>
      <c r="G388" s="15">
        <v>85903.0</v>
      </c>
      <c r="H388" s="16">
        <v>0.01284006379288267</v>
      </c>
      <c r="I388" s="17">
        <v>5.071150018043608</v>
      </c>
      <c r="J388" s="16">
        <v>3.9676258992805757</v>
      </c>
      <c r="K388" s="16">
        <v>4.430501830935066</v>
      </c>
      <c r="L388" s="16">
        <v>0.056451612903225805</v>
      </c>
      <c r="M388" s="16">
        <v>0.10483870967741936</v>
      </c>
      <c r="N388" s="16">
        <v>0.4435483870967742</v>
      </c>
      <c r="O388" s="16">
        <v>0.056451612903225805</v>
      </c>
      <c r="P388" s="35">
        <v>46039.30263888889</v>
      </c>
    </row>
    <row r="389">
      <c r="A389" s="33">
        <v>46039.0</v>
      </c>
      <c r="B389" s="1" t="s">
        <v>59</v>
      </c>
      <c r="C389" s="1" t="s">
        <v>3</v>
      </c>
      <c r="E389" s="34">
        <v>164.0</v>
      </c>
      <c r="F389" s="34">
        <v>967.0</v>
      </c>
      <c r="G389" s="15">
        <v>36630.0</v>
      </c>
      <c r="H389" s="16">
        <v>0.0263991263991264</v>
      </c>
      <c r="I389" s="17">
        <v>6.357439257439258</v>
      </c>
      <c r="J389" s="16">
        <v>1.4740853658536586</v>
      </c>
      <c r="K389" s="16">
        <v>1.6525309031850581</v>
      </c>
      <c r="L389" s="16">
        <v>0.04878048780487805</v>
      </c>
      <c r="M389" s="16">
        <v>0.054878048780487805</v>
      </c>
      <c r="N389" s="16">
        <v>0.42073170731707316</v>
      </c>
      <c r="O389" s="16">
        <v>0.10975609756097561</v>
      </c>
      <c r="P389" s="35">
        <v>46039.30263888889</v>
      </c>
    </row>
    <row r="390">
      <c r="A390" s="33">
        <v>46039.0</v>
      </c>
      <c r="B390" s="1" t="s">
        <v>59</v>
      </c>
      <c r="C390" s="3" t="s">
        <v>4</v>
      </c>
      <c r="E390" s="34">
        <v>105.0</v>
      </c>
      <c r="F390" s="34">
        <v>497.0</v>
      </c>
      <c r="G390" s="15">
        <v>25221.0</v>
      </c>
      <c r="H390" s="16">
        <v>0.019705800721620873</v>
      </c>
      <c r="I390" s="17">
        <v>5.635859006383569</v>
      </c>
      <c r="J390" s="16">
        <v>0.9466666666666667</v>
      </c>
      <c r="K390" s="16">
        <v>1.4636142061281336</v>
      </c>
      <c r="L390" s="16">
        <v>0.08571428571428572</v>
      </c>
      <c r="M390" s="16">
        <v>0.13333333333333333</v>
      </c>
      <c r="N390" s="16">
        <v>0.23809523809523808</v>
      </c>
      <c r="O390" s="16">
        <v>0.13333333333333333</v>
      </c>
      <c r="P390" s="35">
        <v>46039.30263888889</v>
      </c>
    </row>
    <row r="391">
      <c r="A391" s="33">
        <v>46039.0</v>
      </c>
      <c r="B391" s="1" t="s">
        <v>59</v>
      </c>
      <c r="C391" s="3" t="s">
        <v>5</v>
      </c>
      <c r="E391" s="34">
        <v>18.0</v>
      </c>
      <c r="F391" s="34">
        <v>3950.0</v>
      </c>
      <c r="G391" s="15">
        <v>62947.0</v>
      </c>
      <c r="H391" s="16">
        <v>0.0627512033933309</v>
      </c>
      <c r="I391" s="17">
        <v>5.934246270672153</v>
      </c>
      <c r="J391" s="16">
        <v>1.035929714135851</v>
      </c>
      <c r="K391" s="16">
        <v>2.2301069935520443</v>
      </c>
      <c r="L391" s="16">
        <v>0.1111111111111111</v>
      </c>
      <c r="M391" s="16">
        <v>0.16666666666666666</v>
      </c>
      <c r="N391" s="16">
        <v>0.4444444444444444</v>
      </c>
      <c r="O391" s="16">
        <v>0.16666666666666666</v>
      </c>
      <c r="P391" s="35">
        <v>46039.30263888889</v>
      </c>
    </row>
    <row r="392">
      <c r="A392" s="33">
        <v>46039.0</v>
      </c>
      <c r="B392" s="1" t="s">
        <v>59</v>
      </c>
      <c r="C392" s="3" t="s">
        <v>6</v>
      </c>
      <c r="E392" s="34">
        <v>29.0</v>
      </c>
      <c r="F392" s="34">
        <v>5110.0</v>
      </c>
      <c r="G392" s="15">
        <v>425860.0</v>
      </c>
      <c r="H392" s="16">
        <v>0.011999248579345324</v>
      </c>
      <c r="I392" s="17">
        <v>4.190022542619641</v>
      </c>
      <c r="J392" s="16">
        <v>1.3707081545064377</v>
      </c>
      <c r="K392" s="16">
        <v>2.1684072242900716</v>
      </c>
      <c r="L392" s="16">
        <v>0.0</v>
      </c>
      <c r="M392" s="16">
        <v>0.034482758620689655</v>
      </c>
      <c r="N392" s="16">
        <v>0.7241379310344828</v>
      </c>
      <c r="O392" s="16">
        <v>0.2413793103448276</v>
      </c>
      <c r="P392" s="35">
        <v>46039.30263888889</v>
      </c>
    </row>
    <row r="393">
      <c r="A393" s="33">
        <v>46039.0</v>
      </c>
      <c r="B393" s="1" t="s">
        <v>59</v>
      </c>
      <c r="C393" s="3" t="s">
        <v>7</v>
      </c>
      <c r="E393" s="34">
        <v>128.0</v>
      </c>
      <c r="F393" s="34">
        <v>780.0</v>
      </c>
      <c r="G393" s="15">
        <v>170212.0</v>
      </c>
      <c r="H393" s="16">
        <v>0.004582520621342796</v>
      </c>
      <c r="I393" s="17">
        <v>4.658425962916833</v>
      </c>
      <c r="J393" s="16">
        <v>2.091152815013405</v>
      </c>
      <c r="K393" s="16">
        <v>5.633547362149996</v>
      </c>
      <c r="L393" s="16">
        <v>0.078125</v>
      </c>
      <c r="M393" s="16">
        <v>0.4609375</v>
      </c>
      <c r="N393" s="16">
        <v>0.5390625</v>
      </c>
      <c r="O393" s="16">
        <v>0.21875</v>
      </c>
      <c r="P393" s="35">
        <v>46039.30263888889</v>
      </c>
    </row>
    <row r="394">
      <c r="A394" s="33">
        <v>46039.0</v>
      </c>
      <c r="B394" s="1" t="s">
        <v>59</v>
      </c>
      <c r="C394" s="3" t="s">
        <v>8</v>
      </c>
      <c r="E394" s="34">
        <v>119.0</v>
      </c>
      <c r="F394" s="34">
        <v>846.0</v>
      </c>
      <c r="G394" s="15">
        <v>282181.0</v>
      </c>
      <c r="H394" s="16">
        <v>0.0029980757031834175</v>
      </c>
      <c r="I394" s="17">
        <v>5.374341291582353</v>
      </c>
      <c r="J394" s="16">
        <v>1.00355871886121</v>
      </c>
      <c r="K394" s="16">
        <v>2.7260177367312632</v>
      </c>
      <c r="L394" s="16">
        <v>0.18487394957983194</v>
      </c>
      <c r="M394" s="16">
        <v>0.6050420168067226</v>
      </c>
      <c r="N394" s="16">
        <v>0.4957983193277311</v>
      </c>
      <c r="O394" s="16">
        <v>0.13445378151260504</v>
      </c>
      <c r="P394" s="35">
        <v>46039.30263888889</v>
      </c>
    </row>
    <row r="395">
      <c r="A395" s="33">
        <v>46039.0</v>
      </c>
      <c r="B395" s="1" t="s">
        <v>59</v>
      </c>
      <c r="C395" s="3" t="s">
        <v>9</v>
      </c>
      <c r="E395" s="34">
        <v>11.0</v>
      </c>
      <c r="F395" s="34">
        <v>8.0</v>
      </c>
      <c r="G395" s="15">
        <v>516.0</v>
      </c>
      <c r="H395" s="16">
        <v>0.015503875968992248</v>
      </c>
      <c r="I395" s="17">
        <v>15.624031007751938</v>
      </c>
      <c r="J395" s="16">
        <v>2.0</v>
      </c>
      <c r="K395" s="16">
        <v>1.9922779922779923</v>
      </c>
      <c r="L395" s="16">
        <v>0.09090909090909091</v>
      </c>
      <c r="M395" s="16">
        <v>0.09090909090909091</v>
      </c>
      <c r="N395" s="16">
        <v>0.18181818181818182</v>
      </c>
      <c r="O395" s="16">
        <v>0.0</v>
      </c>
      <c r="P395" s="35">
        <v>46039.30263888889</v>
      </c>
    </row>
    <row r="396">
      <c r="A396" s="33">
        <v>46039.0</v>
      </c>
      <c r="B396" s="1" t="s">
        <v>59</v>
      </c>
      <c r="C396" s="3" t="s">
        <v>10</v>
      </c>
      <c r="E396" s="34">
        <v>47.0</v>
      </c>
      <c r="F396" s="34">
        <v>2976.0</v>
      </c>
      <c r="G396" s="15">
        <v>432301.0</v>
      </c>
      <c r="H396" s="16">
        <v>0.006884092333813708</v>
      </c>
      <c r="I396" s="17">
        <v>4.2790463126386475</v>
      </c>
      <c r="J396" s="16">
        <v>5.668571428571428</v>
      </c>
      <c r="K396" s="16">
        <v>9.177196110898825</v>
      </c>
      <c r="L396" s="16">
        <v>0.0</v>
      </c>
      <c r="M396" s="16">
        <v>0.2978723404255319</v>
      </c>
      <c r="N396" s="16">
        <v>0.23404255319148937</v>
      </c>
      <c r="O396" s="16">
        <v>0.574468085106383</v>
      </c>
      <c r="P396" s="35">
        <v>46039.30263888889</v>
      </c>
    </row>
    <row r="397">
      <c r="A397" s="33">
        <v>46039.0</v>
      </c>
      <c r="B397" s="1" t="s">
        <v>60</v>
      </c>
      <c r="D397" s="1" t="s">
        <v>30</v>
      </c>
      <c r="E397" s="34">
        <v>9.0</v>
      </c>
      <c r="F397" s="34">
        <v>443.0</v>
      </c>
      <c r="G397" s="15">
        <v>10377.0</v>
      </c>
      <c r="H397" s="16">
        <v>0.042690565674086925</v>
      </c>
      <c r="I397" s="17">
        <v>9.93167582152838</v>
      </c>
      <c r="J397" s="16">
        <v>1.254957507082153</v>
      </c>
      <c r="K397" s="16">
        <v>0.63561190738699</v>
      </c>
      <c r="L397" s="16">
        <v>0.0</v>
      </c>
      <c r="M397" s="16">
        <v>0.0</v>
      </c>
      <c r="N397" s="16">
        <v>0.6666666666666666</v>
      </c>
      <c r="O397" s="16">
        <v>0.3333333333333333</v>
      </c>
      <c r="P397" s="35">
        <v>46039.30263888889</v>
      </c>
    </row>
    <row r="398">
      <c r="A398" s="33">
        <v>46039.0</v>
      </c>
      <c r="B398" s="1" t="s">
        <v>60</v>
      </c>
      <c r="D398" s="1" t="s">
        <v>31</v>
      </c>
      <c r="E398" s="34">
        <v>75.0</v>
      </c>
      <c r="F398" s="34">
        <v>400.0</v>
      </c>
      <c r="G398" s="15">
        <v>10485.0</v>
      </c>
      <c r="H398" s="16">
        <v>0.03814973772055317</v>
      </c>
      <c r="I398" s="17">
        <v>7.408106819265617</v>
      </c>
      <c r="J398" s="16">
        <v>2.197802197802198</v>
      </c>
      <c r="K398" s="16">
        <v>0.7946793997271487</v>
      </c>
      <c r="L398" s="16">
        <v>0.04</v>
      </c>
      <c r="M398" s="16">
        <v>0.05333333333333334</v>
      </c>
      <c r="N398" s="16">
        <v>0.29333333333333333</v>
      </c>
      <c r="O398" s="16">
        <v>0.2</v>
      </c>
      <c r="P398" s="35">
        <v>46039.30263888889</v>
      </c>
    </row>
    <row r="399">
      <c r="A399" s="33">
        <v>46039.0</v>
      </c>
      <c r="B399" s="1" t="s">
        <v>60</v>
      </c>
      <c r="D399" s="1" t="s">
        <v>32</v>
      </c>
      <c r="E399" s="34">
        <v>476.0</v>
      </c>
      <c r="F399" s="34">
        <v>15119.0</v>
      </c>
      <c r="G399" s="15">
        <v>1482110.0</v>
      </c>
      <c r="H399" s="16">
        <v>0.010200997226926476</v>
      </c>
      <c r="I399" s="17">
        <v>4.619008710554548</v>
      </c>
      <c r="J399" s="16">
        <v>1.5294891249367728</v>
      </c>
      <c r="K399" s="16">
        <v>3.4969610313617787</v>
      </c>
      <c r="L399" s="16">
        <v>0.09873949579831932</v>
      </c>
      <c r="M399" s="16">
        <v>0.3592436974789916</v>
      </c>
      <c r="N399" s="16">
        <v>0.5</v>
      </c>
      <c r="O399" s="16">
        <v>0.19957983193277312</v>
      </c>
      <c r="P399" s="35">
        <v>46039.30263888889</v>
      </c>
    </row>
    <row r="400">
      <c r="A400" s="33">
        <v>46039.0</v>
      </c>
      <c r="B400" s="1" t="s">
        <v>60</v>
      </c>
      <c r="D400" s="1" t="s">
        <v>33</v>
      </c>
      <c r="E400" s="34">
        <v>107.0</v>
      </c>
      <c r="F400" s="34">
        <v>260.0</v>
      </c>
      <c r="G400" s="15">
        <v>17858.0</v>
      </c>
      <c r="H400" s="16">
        <v>0.01455930115354463</v>
      </c>
      <c r="I400" s="17">
        <v>5.700470377421884</v>
      </c>
      <c r="J400" s="16">
        <v>0.8524590163934426</v>
      </c>
      <c r="K400" s="16">
        <v>2.0733774526877977</v>
      </c>
      <c r="L400" s="16">
        <v>0.06542056074766354</v>
      </c>
      <c r="M400" s="16">
        <v>0.08411214953271028</v>
      </c>
      <c r="N400" s="16">
        <v>0.4392523364485981</v>
      </c>
      <c r="O400" s="16">
        <v>0.037383177570093455</v>
      </c>
      <c r="P400" s="35">
        <v>46039.30263888889</v>
      </c>
    </row>
    <row r="401">
      <c r="A401" s="33">
        <v>46039.0</v>
      </c>
      <c r="B401" s="1" t="s">
        <v>60</v>
      </c>
      <c r="D401" s="1" t="s">
        <v>34</v>
      </c>
      <c r="E401" s="34">
        <v>78.0</v>
      </c>
      <c r="F401" s="34">
        <v>15.0</v>
      </c>
      <c r="G401" s="15">
        <v>941.0</v>
      </c>
      <c r="H401" s="16">
        <v>0.015940488841657812</v>
      </c>
      <c r="I401" s="17">
        <v>7.9596174282678005</v>
      </c>
      <c r="J401" s="16">
        <v>0.75</v>
      </c>
      <c r="K401" s="16">
        <v>0.37076438140267926</v>
      </c>
      <c r="L401" s="16">
        <v>0.02564102564102564</v>
      </c>
      <c r="M401" s="16">
        <v>0.02564102564102564</v>
      </c>
      <c r="N401" s="16">
        <v>0.07692307692307693</v>
      </c>
      <c r="O401" s="16">
        <v>0.038461538461538464</v>
      </c>
      <c r="P401" s="35">
        <v>46039.30263888889</v>
      </c>
    </row>
    <row r="402">
      <c r="A402" s="33">
        <v>46040.0</v>
      </c>
      <c r="B402" s="1" t="s">
        <v>57</v>
      </c>
      <c r="E402" s="34">
        <v>1083.0</v>
      </c>
      <c r="F402" s="34">
        <v>16449.0</v>
      </c>
      <c r="G402" s="15">
        <v>1538604.0</v>
      </c>
      <c r="H402" s="16">
        <v>0.010690860026361559</v>
      </c>
      <c r="I402" s="17">
        <v>4.681826512864909</v>
      </c>
      <c r="J402" s="16">
        <v>1.4922434908826998</v>
      </c>
      <c r="K402" s="16">
        <v>3.218823352203547</v>
      </c>
      <c r="L402" s="16">
        <v>0.05632502308402586</v>
      </c>
      <c r="M402" s="16">
        <v>0.1745152354570637</v>
      </c>
      <c r="N402" s="16">
        <v>0.30840258541089566</v>
      </c>
      <c r="O402" s="16">
        <v>0.1283471837488458</v>
      </c>
      <c r="P402" s="35">
        <v>46040.30263888889</v>
      </c>
    </row>
    <row r="403">
      <c r="A403" s="33">
        <v>46040.0</v>
      </c>
      <c r="B403" s="1" t="s">
        <v>58</v>
      </c>
      <c r="E403" s="34">
        <v>745.0</v>
      </c>
      <c r="F403" s="34">
        <v>16365.0</v>
      </c>
      <c r="G403" s="15">
        <v>1536763.0</v>
      </c>
      <c r="H403" s="16">
        <v>0.010649007036218338</v>
      </c>
      <c r="I403" s="17">
        <v>4.680453654857645</v>
      </c>
      <c r="J403" s="16">
        <v>1.4969813391877058</v>
      </c>
      <c r="K403" s="16">
        <v>3.283225620373239</v>
      </c>
      <c r="L403" s="16">
        <v>0.07785234899328859</v>
      </c>
      <c r="M403" s="16">
        <v>0.24966442953020135</v>
      </c>
      <c r="N403" s="16">
        <v>0.4268456375838926</v>
      </c>
      <c r="O403" s="16">
        <v>0.16644295302013423</v>
      </c>
      <c r="P403" s="35">
        <v>46040.30263888889</v>
      </c>
    </row>
    <row r="404">
      <c r="A404" s="33">
        <v>46040.0</v>
      </c>
      <c r="B404" s="1" t="s">
        <v>59</v>
      </c>
      <c r="C404" s="3" t="s">
        <v>2</v>
      </c>
      <c r="E404" s="34">
        <v>124.0</v>
      </c>
      <c r="F404" s="34">
        <v>1117.0</v>
      </c>
      <c r="G404" s="15">
        <v>87165.0</v>
      </c>
      <c r="H404" s="16">
        <v>0.012814776573165834</v>
      </c>
      <c r="I404" s="17">
        <v>5.041633683244421</v>
      </c>
      <c r="J404" s="16">
        <v>3.9892857142857143</v>
      </c>
      <c r="K404" s="16">
        <v>4.472293483837865</v>
      </c>
      <c r="L404" s="16">
        <v>0.04838709677419355</v>
      </c>
      <c r="M404" s="16">
        <v>0.0967741935483871</v>
      </c>
      <c r="N404" s="16">
        <v>0.4435483870967742</v>
      </c>
      <c r="O404" s="16">
        <v>0.07258064516129033</v>
      </c>
      <c r="P404" s="35">
        <v>46040.30263888889</v>
      </c>
    </row>
    <row r="405">
      <c r="A405" s="33">
        <v>46040.0</v>
      </c>
      <c r="B405" s="1" t="s">
        <v>59</v>
      </c>
      <c r="C405" s="1" t="s">
        <v>3</v>
      </c>
      <c r="E405" s="34">
        <v>164.0</v>
      </c>
      <c r="F405" s="34">
        <v>972.0</v>
      </c>
      <c r="G405" s="15">
        <v>37084.0</v>
      </c>
      <c r="H405" s="16">
        <v>0.026210764750296624</v>
      </c>
      <c r="I405" s="17">
        <v>6.331868191133642</v>
      </c>
      <c r="J405" s="16">
        <v>1.4660633484162895</v>
      </c>
      <c r="K405" s="16">
        <v>1.6774777219885104</v>
      </c>
      <c r="L405" s="16">
        <v>0.042682926829268296</v>
      </c>
      <c r="M405" s="16">
        <v>0.04878048780487805</v>
      </c>
      <c r="N405" s="16">
        <v>0.42073170731707316</v>
      </c>
      <c r="O405" s="16">
        <v>0.10365853658536585</v>
      </c>
      <c r="P405" s="35">
        <v>46040.30263888889</v>
      </c>
    </row>
    <row r="406">
      <c r="A406" s="33">
        <v>46040.0</v>
      </c>
      <c r="B406" s="1" t="s">
        <v>59</v>
      </c>
      <c r="C406" s="3" t="s">
        <v>4</v>
      </c>
      <c r="E406" s="34">
        <v>105.0</v>
      </c>
      <c r="F406" s="34">
        <v>507.0</v>
      </c>
      <c r="G406" s="15">
        <v>25427.0</v>
      </c>
      <c r="H406" s="16">
        <v>0.019939434459432887</v>
      </c>
      <c r="I406" s="17">
        <v>5.633145868564911</v>
      </c>
      <c r="J406" s="16">
        <v>0.9548022598870056</v>
      </c>
      <c r="K406" s="16">
        <v>1.4819326261802075</v>
      </c>
      <c r="L406" s="16">
        <v>0.08571428571428572</v>
      </c>
      <c r="M406" s="16">
        <v>0.12380952380952381</v>
      </c>
      <c r="N406" s="16">
        <v>0.23809523809523808</v>
      </c>
      <c r="O406" s="16">
        <v>0.13333333333333333</v>
      </c>
      <c r="P406" s="35">
        <v>46040.30263888889</v>
      </c>
    </row>
    <row r="407">
      <c r="A407" s="33">
        <v>46040.0</v>
      </c>
      <c r="B407" s="1" t="s">
        <v>59</v>
      </c>
      <c r="C407" s="3" t="s">
        <v>5</v>
      </c>
      <c r="E407" s="34">
        <v>18.0</v>
      </c>
      <c r="F407" s="34">
        <v>3984.0</v>
      </c>
      <c r="G407" s="15">
        <v>63078.0</v>
      </c>
      <c r="H407" s="16">
        <v>0.0631598972700466</v>
      </c>
      <c r="I407" s="17">
        <v>5.893037192047941</v>
      </c>
      <c r="J407" s="16">
        <v>1.0155493244965588</v>
      </c>
      <c r="K407" s="16">
        <v>2.1968446348343957</v>
      </c>
      <c r="L407" s="16">
        <v>0.1111111111111111</v>
      </c>
      <c r="M407" s="16">
        <v>0.16666666666666666</v>
      </c>
      <c r="N407" s="16">
        <v>0.4444444444444444</v>
      </c>
      <c r="O407" s="16">
        <v>0.16666666666666666</v>
      </c>
      <c r="P407" s="35">
        <v>46040.30263888889</v>
      </c>
    </row>
    <row r="408">
      <c r="A408" s="33">
        <v>46040.0</v>
      </c>
      <c r="B408" s="1" t="s">
        <v>59</v>
      </c>
      <c r="C408" s="3" t="s">
        <v>6</v>
      </c>
      <c r="E408" s="34">
        <v>29.0</v>
      </c>
      <c r="F408" s="34">
        <v>5153.0</v>
      </c>
      <c r="G408" s="15">
        <v>428400.0</v>
      </c>
      <c r="H408" s="16">
        <v>0.012028478057889822</v>
      </c>
      <c r="I408" s="17">
        <v>4.201328197945845</v>
      </c>
      <c r="J408" s="16">
        <v>1.3650331125827815</v>
      </c>
      <c r="K408" s="16">
        <v>2.158262507997763</v>
      </c>
      <c r="L408" s="16">
        <v>0.0</v>
      </c>
      <c r="M408" s="16">
        <v>0.0</v>
      </c>
      <c r="N408" s="16">
        <v>0.7586206896551724</v>
      </c>
      <c r="O408" s="16">
        <v>0.20689655172413793</v>
      </c>
      <c r="P408" s="35">
        <v>46040.30263888889</v>
      </c>
    </row>
    <row r="409">
      <c r="A409" s="33">
        <v>46040.0</v>
      </c>
      <c r="B409" s="1" t="s">
        <v>59</v>
      </c>
      <c r="C409" s="3" t="s">
        <v>7</v>
      </c>
      <c r="E409" s="34">
        <v>128.0</v>
      </c>
      <c r="F409" s="34">
        <v>802.0</v>
      </c>
      <c r="G409" s="15">
        <v>174716.0</v>
      </c>
      <c r="H409" s="16">
        <v>0.0045903065546372395</v>
      </c>
      <c r="I409" s="17">
        <v>4.656814487511161</v>
      </c>
      <c r="J409" s="16">
        <v>2.132978723404255</v>
      </c>
      <c r="K409" s="16">
        <v>5.780321577449878</v>
      </c>
      <c r="L409" s="16">
        <v>0.078125</v>
      </c>
      <c r="M409" s="16">
        <v>0.484375</v>
      </c>
      <c r="N409" s="16">
        <v>0.515625</v>
      </c>
      <c r="O409" s="16">
        <v>0.25</v>
      </c>
      <c r="P409" s="35">
        <v>46040.30263888889</v>
      </c>
    </row>
    <row r="410">
      <c r="A410" s="33">
        <v>46040.0</v>
      </c>
      <c r="B410" s="1" t="s">
        <v>59</v>
      </c>
      <c r="C410" s="3" t="s">
        <v>8</v>
      </c>
      <c r="E410" s="34">
        <v>119.0</v>
      </c>
      <c r="F410" s="34">
        <v>858.0</v>
      </c>
      <c r="G410" s="15">
        <v>286546.0</v>
      </c>
      <c r="H410" s="16">
        <v>0.00299428364032302</v>
      </c>
      <c r="I410" s="17">
        <v>5.346604035652216</v>
      </c>
      <c r="J410" s="16">
        <v>1.010600706713781</v>
      </c>
      <c r="K410" s="16">
        <v>2.7468773066710126</v>
      </c>
      <c r="L410" s="16">
        <v>0.18487394957983194</v>
      </c>
      <c r="M410" s="16">
        <v>0.6050420168067226</v>
      </c>
      <c r="N410" s="16">
        <v>0.48739495798319327</v>
      </c>
      <c r="O410" s="16">
        <v>0.14285714285714285</v>
      </c>
      <c r="P410" s="35">
        <v>46040.30263888889</v>
      </c>
    </row>
    <row r="411">
      <c r="A411" s="33">
        <v>46040.0</v>
      </c>
      <c r="B411" s="1" t="s">
        <v>59</v>
      </c>
      <c r="C411" s="3" t="s">
        <v>9</v>
      </c>
      <c r="E411" s="34">
        <v>11.0</v>
      </c>
      <c r="F411" s="34">
        <v>8.0</v>
      </c>
      <c r="G411" s="15">
        <v>520.0</v>
      </c>
      <c r="H411" s="16">
        <v>0.015384615384615385</v>
      </c>
      <c r="I411" s="17">
        <v>15.788461538461538</v>
      </c>
      <c r="J411" s="16">
        <v>2.0</v>
      </c>
      <c r="K411" s="16">
        <v>1.9771863117870723</v>
      </c>
      <c r="L411" s="16">
        <v>0.09090909090909091</v>
      </c>
      <c r="M411" s="16">
        <v>0.09090909090909091</v>
      </c>
      <c r="N411" s="16">
        <v>0.18181818181818182</v>
      </c>
      <c r="O411" s="16">
        <v>0.0</v>
      </c>
      <c r="P411" s="35">
        <v>46040.30263888889</v>
      </c>
    </row>
    <row r="412">
      <c r="A412" s="33">
        <v>46040.0</v>
      </c>
      <c r="B412" s="1" t="s">
        <v>59</v>
      </c>
      <c r="C412" s="3" t="s">
        <v>10</v>
      </c>
      <c r="E412" s="34">
        <v>47.0</v>
      </c>
      <c r="F412" s="34">
        <v>2964.0</v>
      </c>
      <c r="G412" s="15">
        <v>433827.0</v>
      </c>
      <c r="H412" s="16">
        <v>0.006832216528708448</v>
      </c>
      <c r="I412" s="17">
        <v>4.263913956484958</v>
      </c>
      <c r="J412" s="16">
        <v>5.581920903954802</v>
      </c>
      <c r="K412" s="16">
        <v>9.172206012939236</v>
      </c>
      <c r="L412" s="16">
        <v>0.02127659574468085</v>
      </c>
      <c r="M412" s="16">
        <v>0.3191489361702128</v>
      </c>
      <c r="N412" s="16">
        <v>0.2765957446808511</v>
      </c>
      <c r="O412" s="16">
        <v>0.5531914893617021</v>
      </c>
      <c r="P412" s="35">
        <v>46040.30263888889</v>
      </c>
    </row>
    <row r="413">
      <c r="A413" s="33">
        <v>46040.0</v>
      </c>
      <c r="B413" s="1" t="s">
        <v>60</v>
      </c>
      <c r="D413" s="1" t="s">
        <v>30</v>
      </c>
      <c r="E413" s="34">
        <v>9.0</v>
      </c>
      <c r="F413" s="34">
        <v>443.0</v>
      </c>
      <c r="G413" s="15">
        <v>10453.0</v>
      </c>
      <c r="H413" s="16">
        <v>0.042380177939347556</v>
      </c>
      <c r="I413" s="17">
        <v>10.11967856117861</v>
      </c>
      <c r="J413" s="16">
        <v>1.2478873239436619</v>
      </c>
      <c r="K413" s="16">
        <v>0.6383511450381679</v>
      </c>
      <c r="L413" s="16">
        <v>0.0</v>
      </c>
      <c r="M413" s="16">
        <v>0.0</v>
      </c>
      <c r="N413" s="16">
        <v>0.6666666666666666</v>
      </c>
      <c r="O413" s="16">
        <v>0.3333333333333333</v>
      </c>
      <c r="P413" s="35">
        <v>46040.30263888889</v>
      </c>
    </row>
    <row r="414">
      <c r="A414" s="33">
        <v>46040.0</v>
      </c>
      <c r="B414" s="1" t="s">
        <v>60</v>
      </c>
      <c r="D414" s="1" t="s">
        <v>31</v>
      </c>
      <c r="E414" s="34">
        <v>75.0</v>
      </c>
      <c r="F414" s="34">
        <v>416.0</v>
      </c>
      <c r="G414" s="15">
        <v>10517.0</v>
      </c>
      <c r="H414" s="16">
        <v>0.03955500618046971</v>
      </c>
      <c r="I414" s="17">
        <v>7.386802320053247</v>
      </c>
      <c r="J414" s="16">
        <v>2.260869565217391</v>
      </c>
      <c r="K414" s="16">
        <v>0.7977093446601942</v>
      </c>
      <c r="L414" s="16">
        <v>0.05333333333333334</v>
      </c>
      <c r="M414" s="16">
        <v>0.06666666666666667</v>
      </c>
      <c r="N414" s="16">
        <v>0.29333333333333333</v>
      </c>
      <c r="O414" s="16">
        <v>0.21333333333333335</v>
      </c>
      <c r="P414" s="35">
        <v>46040.30263888889</v>
      </c>
    </row>
    <row r="415">
      <c r="A415" s="33">
        <v>46040.0</v>
      </c>
      <c r="B415" s="1" t="s">
        <v>60</v>
      </c>
      <c r="D415" s="1" t="s">
        <v>32</v>
      </c>
      <c r="E415" s="34">
        <v>476.0</v>
      </c>
      <c r="F415" s="34">
        <v>15224.0</v>
      </c>
      <c r="G415" s="15">
        <v>1496784.0</v>
      </c>
      <c r="H415" s="16">
        <v>0.010171140258046584</v>
      </c>
      <c r="I415" s="17">
        <v>4.6090805353344235</v>
      </c>
      <c r="J415" s="16">
        <v>1.5136209982103799</v>
      </c>
      <c r="K415" s="16">
        <v>3.503191242864465</v>
      </c>
      <c r="L415" s="16">
        <v>0.09453781512605042</v>
      </c>
      <c r="M415" s="16">
        <v>0.3592436974789916</v>
      </c>
      <c r="N415" s="16">
        <v>0.49789915966386555</v>
      </c>
      <c r="O415" s="16">
        <v>0.20798319327731093</v>
      </c>
      <c r="P415" s="35">
        <v>46040.30263888889</v>
      </c>
    </row>
    <row r="416">
      <c r="A416" s="33">
        <v>46040.0</v>
      </c>
      <c r="B416" s="1" t="s">
        <v>60</v>
      </c>
      <c r="D416" s="1" t="s">
        <v>33</v>
      </c>
      <c r="E416" s="34">
        <v>107.0</v>
      </c>
      <c r="F416" s="34">
        <v>267.0</v>
      </c>
      <c r="G416" s="15">
        <v>18116.0</v>
      </c>
      <c r="H416" s="16">
        <v>0.01473835283727092</v>
      </c>
      <c r="I416" s="17">
        <v>5.695738573636564</v>
      </c>
      <c r="J416" s="16">
        <v>0.8449367088607594</v>
      </c>
      <c r="K416" s="16">
        <v>2.088059013370217</v>
      </c>
      <c r="L416" s="16">
        <v>0.06542056074766354</v>
      </c>
      <c r="M416" s="16">
        <v>0.07476635514018691</v>
      </c>
      <c r="N416" s="16">
        <v>0.4392523364485981</v>
      </c>
      <c r="O416" s="16">
        <v>0.037383177570093455</v>
      </c>
      <c r="P416" s="35">
        <v>46040.30263888889</v>
      </c>
    </row>
    <row r="417">
      <c r="A417" s="33">
        <v>46040.0</v>
      </c>
      <c r="B417" s="1" t="s">
        <v>60</v>
      </c>
      <c r="D417" s="1" t="s">
        <v>34</v>
      </c>
      <c r="E417" s="34">
        <v>78.0</v>
      </c>
      <c r="F417" s="34">
        <v>15.0</v>
      </c>
      <c r="G417" s="15">
        <v>893.0</v>
      </c>
      <c r="H417" s="16">
        <v>0.0167973124300112</v>
      </c>
      <c r="I417" s="17">
        <v>8.17245240761478</v>
      </c>
      <c r="J417" s="16">
        <v>0.7894736842105263</v>
      </c>
      <c r="K417" s="16">
        <v>0.3478768991040125</v>
      </c>
      <c r="L417" s="16">
        <v>0.02564102564102564</v>
      </c>
      <c r="M417" s="16">
        <v>0.02564102564102564</v>
      </c>
      <c r="N417" s="16">
        <v>0.07692307692307693</v>
      </c>
      <c r="O417" s="16">
        <v>0.02564102564102564</v>
      </c>
      <c r="P417" s="35">
        <v>46040.30263888889</v>
      </c>
    </row>
    <row r="418">
      <c r="A418" s="33">
        <v>46041.0</v>
      </c>
      <c r="B418" s="1" t="s">
        <v>57</v>
      </c>
      <c r="E418" s="34">
        <v>1090.0</v>
      </c>
      <c r="F418" s="34">
        <v>16604.0</v>
      </c>
      <c r="G418" s="15">
        <v>1546711.0</v>
      </c>
      <c r="H418" s="16">
        <v>0.010735037120703221</v>
      </c>
      <c r="I418" s="17">
        <v>4.665472088838833</v>
      </c>
      <c r="J418" s="16">
        <v>1.4840900965319985</v>
      </c>
      <c r="K418" s="16">
        <v>3.2220729278637434</v>
      </c>
      <c r="L418" s="16">
        <v>0.062385321100917435</v>
      </c>
      <c r="M418" s="16">
        <v>0.1761467889908257</v>
      </c>
      <c r="N418" s="16">
        <v>0.29908256880733947</v>
      </c>
      <c r="O418" s="16">
        <v>0.13302752293577982</v>
      </c>
      <c r="P418" s="35">
        <v>46041.30262731481</v>
      </c>
    </row>
    <row r="419">
      <c r="A419" s="33">
        <v>46041.0</v>
      </c>
      <c r="B419" s="1" t="s">
        <v>58</v>
      </c>
      <c r="E419" s="34">
        <v>752.0</v>
      </c>
      <c r="F419" s="34">
        <v>16520.0</v>
      </c>
      <c r="G419" s="15">
        <v>1544898.0</v>
      </c>
      <c r="H419" s="16">
        <v>0.010693262597271795</v>
      </c>
      <c r="I419" s="17">
        <v>4.664152584830843</v>
      </c>
      <c r="J419" s="16">
        <v>1.4889589905362777</v>
      </c>
      <c r="K419" s="16">
        <v>3.284927248410054</v>
      </c>
      <c r="L419" s="16">
        <v>0.08643617021276596</v>
      </c>
      <c r="M419" s="16">
        <v>0.25132978723404253</v>
      </c>
      <c r="N419" s="16">
        <v>0.4109042553191489</v>
      </c>
      <c r="O419" s="16">
        <v>0.17287234042553193</v>
      </c>
      <c r="P419" s="35">
        <v>46041.30262731481</v>
      </c>
    </row>
    <row r="420">
      <c r="A420" s="33">
        <v>46041.0</v>
      </c>
      <c r="B420" s="1" t="s">
        <v>59</v>
      </c>
      <c r="C420" s="3" t="s">
        <v>2</v>
      </c>
      <c r="E420" s="34">
        <v>131.0</v>
      </c>
      <c r="F420" s="34">
        <v>1140.0</v>
      </c>
      <c r="G420" s="15">
        <v>88268.0</v>
      </c>
      <c r="H420" s="16">
        <v>0.012915212761136538</v>
      </c>
      <c r="I420" s="17">
        <v>5.030396066524675</v>
      </c>
      <c r="J420" s="16">
        <v>4.100719424460432</v>
      </c>
      <c r="K420" s="16">
        <v>4.575368028198217</v>
      </c>
      <c r="L420" s="16">
        <v>0.04580152671755725</v>
      </c>
      <c r="M420" s="16">
        <v>0.08396946564885496</v>
      </c>
      <c r="N420" s="16">
        <v>0.44274809160305345</v>
      </c>
      <c r="O420" s="16">
        <v>0.06870229007633588</v>
      </c>
      <c r="P420" s="35">
        <v>46041.30262731481</v>
      </c>
    </row>
    <row r="421">
      <c r="A421" s="33">
        <v>46041.0</v>
      </c>
      <c r="B421" s="1" t="s">
        <v>59</v>
      </c>
      <c r="C421" s="1" t="s">
        <v>3</v>
      </c>
      <c r="E421" s="34">
        <v>164.0</v>
      </c>
      <c r="F421" s="34">
        <v>974.0</v>
      </c>
      <c r="G421" s="15">
        <v>37292.0</v>
      </c>
      <c r="H421" s="16">
        <v>0.026118202295398477</v>
      </c>
      <c r="I421" s="17">
        <v>6.343263970824842</v>
      </c>
      <c r="J421" s="16">
        <v>1.4580838323353293</v>
      </c>
      <c r="K421" s="16">
        <v>1.701820836946105</v>
      </c>
      <c r="L421" s="16">
        <v>0.054878048780487805</v>
      </c>
      <c r="M421" s="16">
        <v>0.06097560975609756</v>
      </c>
      <c r="N421" s="16">
        <v>0.4024390243902439</v>
      </c>
      <c r="O421" s="16">
        <v>0.11585365853658537</v>
      </c>
      <c r="P421" s="35">
        <v>46041.30262731481</v>
      </c>
    </row>
    <row r="422">
      <c r="A422" s="33">
        <v>46041.0</v>
      </c>
      <c r="B422" s="1" t="s">
        <v>59</v>
      </c>
      <c r="C422" s="3" t="s">
        <v>4</v>
      </c>
      <c r="E422" s="34">
        <v>105.0</v>
      </c>
      <c r="F422" s="34">
        <v>515.0</v>
      </c>
      <c r="G422" s="15">
        <v>25498.0</v>
      </c>
      <c r="H422" s="16">
        <v>0.02019766256176955</v>
      </c>
      <c r="I422" s="17">
        <v>5.629343477919837</v>
      </c>
      <c r="J422" s="16">
        <v>0.9790874524714829</v>
      </c>
      <c r="K422" s="16">
        <v>1.5101871594408909</v>
      </c>
      <c r="L422" s="16">
        <v>0.09523809523809523</v>
      </c>
      <c r="M422" s="16">
        <v>0.13333333333333333</v>
      </c>
      <c r="N422" s="16">
        <v>0.23809523809523808</v>
      </c>
      <c r="O422" s="16">
        <v>0.14285714285714285</v>
      </c>
      <c r="P422" s="35">
        <v>46041.30262731481</v>
      </c>
    </row>
    <row r="423">
      <c r="A423" s="33">
        <v>46041.0</v>
      </c>
      <c r="B423" s="1" t="s">
        <v>59</v>
      </c>
      <c r="C423" s="3" t="s">
        <v>5</v>
      </c>
      <c r="E423" s="34">
        <v>18.0</v>
      </c>
      <c r="F423" s="34">
        <v>4039.0</v>
      </c>
      <c r="G423" s="15">
        <v>62739.0</v>
      </c>
      <c r="H423" s="16">
        <v>0.06437781921930538</v>
      </c>
      <c r="I423" s="17">
        <v>5.848403704235006</v>
      </c>
      <c r="J423" s="16">
        <v>0.9995050730017322</v>
      </c>
      <c r="K423" s="16">
        <v>2.137250894225856</v>
      </c>
      <c r="L423" s="16">
        <v>0.1111111111111111</v>
      </c>
      <c r="M423" s="16">
        <v>0.16666666666666666</v>
      </c>
      <c r="N423" s="16">
        <v>0.4444444444444444</v>
      </c>
      <c r="O423" s="16">
        <v>0.16666666666666666</v>
      </c>
      <c r="P423" s="35">
        <v>46041.30262731481</v>
      </c>
    </row>
    <row r="424">
      <c r="A424" s="33">
        <v>46041.0</v>
      </c>
      <c r="B424" s="1" t="s">
        <v>59</v>
      </c>
      <c r="C424" s="3" t="s">
        <v>6</v>
      </c>
      <c r="E424" s="34">
        <v>29.0</v>
      </c>
      <c r="F424" s="34">
        <v>5250.0</v>
      </c>
      <c r="G424" s="15">
        <v>435284.0</v>
      </c>
      <c r="H424" s="16">
        <v>0.012061091149686181</v>
      </c>
      <c r="I424" s="17">
        <v>4.191543911561188</v>
      </c>
      <c r="J424" s="16">
        <v>1.381578947368421</v>
      </c>
      <c r="K424" s="16">
        <v>2.1759521702833893</v>
      </c>
      <c r="L424" s="16">
        <v>0.0</v>
      </c>
      <c r="M424" s="16">
        <v>0.0</v>
      </c>
      <c r="N424" s="16">
        <v>0.7586206896551724</v>
      </c>
      <c r="O424" s="16">
        <v>0.20689655172413793</v>
      </c>
      <c r="P424" s="35">
        <v>46041.30262731481</v>
      </c>
    </row>
    <row r="425">
      <c r="A425" s="33">
        <v>46041.0</v>
      </c>
      <c r="B425" s="1" t="s">
        <v>59</v>
      </c>
      <c r="C425" s="3" t="s">
        <v>7</v>
      </c>
      <c r="E425" s="34">
        <v>128.0</v>
      </c>
      <c r="F425" s="34">
        <v>794.0</v>
      </c>
      <c r="G425" s="15">
        <v>176634.0</v>
      </c>
      <c r="H425" s="16">
        <v>0.004495170805167748</v>
      </c>
      <c r="I425" s="17">
        <v>4.656300598978679</v>
      </c>
      <c r="J425" s="16">
        <v>2.0894736842105264</v>
      </c>
      <c r="K425" s="16">
        <v>5.834511461980577</v>
      </c>
      <c r="L425" s="16">
        <v>0.1015625</v>
      </c>
      <c r="M425" s="16">
        <v>0.4921875</v>
      </c>
      <c r="N425" s="16">
        <v>0.5</v>
      </c>
      <c r="O425" s="16">
        <v>0.2421875</v>
      </c>
      <c r="P425" s="35">
        <v>46041.30262731481</v>
      </c>
    </row>
    <row r="426">
      <c r="A426" s="33">
        <v>46041.0</v>
      </c>
      <c r="B426" s="1" t="s">
        <v>59</v>
      </c>
      <c r="C426" s="3" t="s">
        <v>8</v>
      </c>
      <c r="E426" s="34">
        <v>119.0</v>
      </c>
      <c r="F426" s="34">
        <v>843.0</v>
      </c>
      <c r="G426" s="15">
        <v>288162.0</v>
      </c>
      <c r="H426" s="16">
        <v>0.002925437774585129</v>
      </c>
      <c r="I426" s="17">
        <v>5.3315530847231765</v>
      </c>
      <c r="J426" s="16">
        <v>0.9779582366589327</v>
      </c>
      <c r="K426" s="16">
        <v>2.7472781008675757</v>
      </c>
      <c r="L426" s="16">
        <v>0.19327731092436976</v>
      </c>
      <c r="M426" s="16">
        <v>0.6134453781512605</v>
      </c>
      <c r="N426" s="16">
        <v>0.453781512605042</v>
      </c>
      <c r="O426" s="16">
        <v>0.15126050420168066</v>
      </c>
      <c r="P426" s="35">
        <v>46041.30262731481</v>
      </c>
    </row>
    <row r="427">
      <c r="A427" s="33">
        <v>46041.0</v>
      </c>
      <c r="B427" s="1" t="s">
        <v>59</v>
      </c>
      <c r="C427" s="3" t="s">
        <v>9</v>
      </c>
      <c r="E427" s="34">
        <v>11.0</v>
      </c>
      <c r="F427" s="34">
        <v>8.0</v>
      </c>
      <c r="G427" s="15">
        <v>522.0</v>
      </c>
      <c r="H427" s="16">
        <v>0.01532567049808429</v>
      </c>
      <c r="I427" s="17">
        <v>15.923371647509578</v>
      </c>
      <c r="J427" s="16">
        <v>2.0</v>
      </c>
      <c r="K427" s="16">
        <v>2.0390625</v>
      </c>
      <c r="L427" s="16">
        <v>0.09090909090909091</v>
      </c>
      <c r="M427" s="16">
        <v>0.09090909090909091</v>
      </c>
      <c r="N427" s="16">
        <v>0.18181818181818182</v>
      </c>
      <c r="O427" s="16">
        <v>0.09090909090909091</v>
      </c>
      <c r="P427" s="35">
        <v>46041.30262731481</v>
      </c>
    </row>
    <row r="428">
      <c r="A428" s="33">
        <v>46041.0</v>
      </c>
      <c r="B428" s="1" t="s">
        <v>59</v>
      </c>
      <c r="C428" s="3" t="s">
        <v>10</v>
      </c>
      <c r="E428" s="34">
        <v>47.0</v>
      </c>
      <c r="F428" s="34">
        <v>2957.0</v>
      </c>
      <c r="G428" s="15">
        <v>430499.0</v>
      </c>
      <c r="H428" s="16">
        <v>0.006868773214339639</v>
      </c>
      <c r="I428" s="17">
        <v>4.234546421710619</v>
      </c>
      <c r="J428" s="16">
        <v>5.516791044776119</v>
      </c>
      <c r="K428" s="16">
        <v>9.083790513166779</v>
      </c>
      <c r="L428" s="16">
        <v>0.02127659574468085</v>
      </c>
      <c r="M428" s="16">
        <v>0.2978723404255319</v>
      </c>
      <c r="N428" s="16">
        <v>0.2127659574468085</v>
      </c>
      <c r="O428" s="16">
        <v>0.5957446808510638</v>
      </c>
      <c r="P428" s="35">
        <v>46041.30262731481</v>
      </c>
    </row>
    <row r="429">
      <c r="A429" s="33">
        <v>46041.0</v>
      </c>
      <c r="B429" s="1" t="s">
        <v>60</v>
      </c>
      <c r="D429" s="1" t="s">
        <v>30</v>
      </c>
      <c r="E429" s="34">
        <v>9.0</v>
      </c>
      <c r="F429" s="34">
        <v>440.0</v>
      </c>
      <c r="G429" s="15">
        <v>10486.0</v>
      </c>
      <c r="H429" s="16">
        <v>0.04196070951745184</v>
      </c>
      <c r="I429" s="17">
        <v>10.273030707610147</v>
      </c>
      <c r="J429" s="16">
        <v>1.25</v>
      </c>
      <c r="K429" s="16">
        <v>0.6503752403398871</v>
      </c>
      <c r="L429" s="16">
        <v>0.0</v>
      </c>
      <c r="M429" s="16">
        <v>0.0</v>
      </c>
      <c r="N429" s="16">
        <v>0.6666666666666666</v>
      </c>
      <c r="O429" s="16">
        <v>0.3333333333333333</v>
      </c>
      <c r="P429" s="35">
        <v>46041.30262731481</v>
      </c>
    </row>
    <row r="430">
      <c r="A430" s="33">
        <v>46041.0</v>
      </c>
      <c r="B430" s="1" t="s">
        <v>60</v>
      </c>
      <c r="D430" s="1" t="s">
        <v>31</v>
      </c>
      <c r="E430" s="34">
        <v>71.0</v>
      </c>
      <c r="F430" s="34">
        <v>423.0</v>
      </c>
      <c r="G430" s="15">
        <v>10571.0</v>
      </c>
      <c r="H430" s="16">
        <v>0.04001513574874657</v>
      </c>
      <c r="I430" s="17">
        <v>7.4149087125153725</v>
      </c>
      <c r="J430" s="16">
        <v>2.203125</v>
      </c>
      <c r="K430" s="16">
        <v>0.8155377256596205</v>
      </c>
      <c r="L430" s="16">
        <v>0.07042253521126761</v>
      </c>
      <c r="M430" s="16">
        <v>0.08450704225352113</v>
      </c>
      <c r="N430" s="16">
        <v>0.29577464788732394</v>
      </c>
      <c r="O430" s="16">
        <v>0.23943661971830985</v>
      </c>
      <c r="P430" s="35">
        <v>46041.30262731481</v>
      </c>
    </row>
    <row r="431">
      <c r="A431" s="33">
        <v>46041.0</v>
      </c>
      <c r="B431" s="1" t="s">
        <v>60</v>
      </c>
      <c r="D431" s="1" t="s">
        <v>32</v>
      </c>
      <c r="E431" s="34">
        <v>483.0</v>
      </c>
      <c r="F431" s="34">
        <v>15372.0</v>
      </c>
      <c r="G431" s="15">
        <v>1504710.0</v>
      </c>
      <c r="H431" s="16">
        <v>0.0102159220049046</v>
      </c>
      <c r="I431" s="17">
        <v>4.591016209103415</v>
      </c>
      <c r="J431" s="16">
        <v>1.5046985121378231</v>
      </c>
      <c r="K431" s="16">
        <v>3.49921165357407</v>
      </c>
      <c r="L431" s="16">
        <v>0.10144927536231885</v>
      </c>
      <c r="M431" s="16">
        <v>0.35403726708074534</v>
      </c>
      <c r="N431" s="16">
        <v>0.4803312629399586</v>
      </c>
      <c r="O431" s="16">
        <v>0.21325051759834368</v>
      </c>
      <c r="P431" s="35">
        <v>46041.30262731481</v>
      </c>
    </row>
    <row r="432">
      <c r="A432" s="33">
        <v>46041.0</v>
      </c>
      <c r="B432" s="1" t="s">
        <v>60</v>
      </c>
      <c r="D432" s="1" t="s">
        <v>33</v>
      </c>
      <c r="E432" s="34">
        <v>105.0</v>
      </c>
      <c r="F432" s="34">
        <v>270.0</v>
      </c>
      <c r="G432" s="15">
        <v>18195.0</v>
      </c>
      <c r="H432" s="16">
        <v>0.01483924154987634</v>
      </c>
      <c r="I432" s="17">
        <v>5.711953833470734</v>
      </c>
      <c r="J432" s="16">
        <v>0.8544303797468354</v>
      </c>
      <c r="K432" s="16">
        <v>2.104928273947247</v>
      </c>
      <c r="L432" s="16">
        <v>0.08571428571428572</v>
      </c>
      <c r="M432" s="16">
        <v>0.09523809523809523</v>
      </c>
      <c r="N432" s="16">
        <v>0.4095238095238095</v>
      </c>
      <c r="O432" s="16">
        <v>0.0380952380952381</v>
      </c>
      <c r="P432" s="35">
        <v>46041.30262731481</v>
      </c>
    </row>
    <row r="433">
      <c r="A433" s="33">
        <v>46041.0</v>
      </c>
      <c r="B433" s="1" t="s">
        <v>60</v>
      </c>
      <c r="D433" s="1" t="s">
        <v>34</v>
      </c>
      <c r="E433" s="34">
        <v>84.0</v>
      </c>
      <c r="F433" s="34">
        <v>15.0</v>
      </c>
      <c r="G433" s="15">
        <v>936.0</v>
      </c>
      <c r="H433" s="16">
        <v>0.016025641025641024</v>
      </c>
      <c r="I433" s="17">
        <v>7.9668803418803416</v>
      </c>
      <c r="J433" s="16">
        <v>0.7894736842105263</v>
      </c>
      <c r="K433" s="16">
        <v>0.36619718309859156</v>
      </c>
      <c r="L433" s="16">
        <v>0.023809523809523808</v>
      </c>
      <c r="M433" s="16">
        <v>0.023809523809523808</v>
      </c>
      <c r="N433" s="16">
        <v>0.08333333333333333</v>
      </c>
      <c r="O433" s="16">
        <v>0.03571428571428571</v>
      </c>
      <c r="P433" s="35">
        <v>46041.30262731481</v>
      </c>
    </row>
    <row r="434">
      <c r="A434" s="33">
        <v>46042.0</v>
      </c>
      <c r="B434" s="1" t="s">
        <v>57</v>
      </c>
      <c r="E434" s="34">
        <v>1095.0</v>
      </c>
      <c r="F434" s="34">
        <v>16703.0</v>
      </c>
      <c r="G434" s="15">
        <v>1550511.0</v>
      </c>
      <c r="H434" s="16">
        <v>0.010772577556689375</v>
      </c>
      <c r="I434" s="17">
        <v>4.6548886141407575</v>
      </c>
      <c r="J434" s="16">
        <v>1.4841834014572597</v>
      </c>
      <c r="K434" s="16">
        <v>3.2269370850590025</v>
      </c>
      <c r="L434" s="16">
        <v>0.06027397260273973</v>
      </c>
      <c r="M434" s="16">
        <v>0.1726027397260274</v>
      </c>
      <c r="N434" s="16">
        <v>0.3013698630136986</v>
      </c>
      <c r="O434" s="16">
        <v>0.12694063926940638</v>
      </c>
      <c r="P434" s="35">
        <v>46042.30267361111</v>
      </c>
    </row>
    <row r="435">
      <c r="A435" s="33">
        <v>46042.0</v>
      </c>
      <c r="B435" s="1" t="s">
        <v>58</v>
      </c>
      <c r="E435" s="34">
        <v>757.0</v>
      </c>
      <c r="F435" s="34">
        <v>16618.0</v>
      </c>
      <c r="G435" s="15">
        <v>1548682.0</v>
      </c>
      <c r="H435" s="16">
        <v>0.0107304146364457</v>
      </c>
      <c r="I435" s="17">
        <v>4.653635155570996</v>
      </c>
      <c r="J435" s="16">
        <v>1.4889346832721082</v>
      </c>
      <c r="K435" s="16">
        <v>3.289881272291982</v>
      </c>
      <c r="L435" s="16">
        <v>0.083223249669749</v>
      </c>
      <c r="M435" s="16">
        <v>0.24570673712021135</v>
      </c>
      <c r="N435" s="16">
        <v>0.4134742404227213</v>
      </c>
      <c r="O435" s="16">
        <v>0.16380449141347425</v>
      </c>
      <c r="P435" s="35">
        <v>46042.30267361111</v>
      </c>
    </row>
    <row r="436">
      <c r="A436" s="33">
        <v>46042.0</v>
      </c>
      <c r="B436" s="1" t="s">
        <v>59</v>
      </c>
      <c r="C436" s="3" t="s">
        <v>2</v>
      </c>
      <c r="E436" s="34">
        <v>131.0</v>
      </c>
      <c r="F436" s="34">
        <v>1155.0</v>
      </c>
      <c r="G436" s="15">
        <v>89253.0</v>
      </c>
      <c r="H436" s="16">
        <v>0.012940741487681087</v>
      </c>
      <c r="I436" s="17">
        <v>5.002487311350879</v>
      </c>
      <c r="J436" s="16">
        <v>4.010416666666667</v>
      </c>
      <c r="K436" s="16">
        <v>4.662191809444212</v>
      </c>
      <c r="L436" s="16">
        <v>0.04580152671755725</v>
      </c>
      <c r="M436" s="16">
        <v>0.07633587786259542</v>
      </c>
      <c r="N436" s="16">
        <v>0.44274809160305345</v>
      </c>
      <c r="O436" s="16">
        <v>0.06870229007633588</v>
      </c>
      <c r="P436" s="35">
        <v>46042.30267361111</v>
      </c>
    </row>
    <row r="437">
      <c r="A437" s="33">
        <v>46042.0</v>
      </c>
      <c r="B437" s="1" t="s">
        <v>59</v>
      </c>
      <c r="C437" s="1" t="s">
        <v>3</v>
      </c>
      <c r="E437" s="34">
        <v>169.0</v>
      </c>
      <c r="F437" s="34">
        <v>994.0</v>
      </c>
      <c r="G437" s="15">
        <v>37930.0</v>
      </c>
      <c r="H437" s="16">
        <v>0.026206169259161614</v>
      </c>
      <c r="I437" s="17">
        <v>6.288926970735566</v>
      </c>
      <c r="J437" s="16">
        <v>1.4660766961651917</v>
      </c>
      <c r="K437" s="16">
        <v>1.749135347014065</v>
      </c>
      <c r="L437" s="16">
        <v>0.05325443786982249</v>
      </c>
      <c r="M437" s="16">
        <v>0.05917159763313609</v>
      </c>
      <c r="N437" s="16">
        <v>0.378698224852071</v>
      </c>
      <c r="O437" s="16">
        <v>0.10650887573964497</v>
      </c>
      <c r="P437" s="35">
        <v>46042.30267361111</v>
      </c>
    </row>
    <row r="438">
      <c r="A438" s="33">
        <v>46042.0</v>
      </c>
      <c r="B438" s="1" t="s">
        <v>59</v>
      </c>
      <c r="C438" s="3" t="s">
        <v>4</v>
      </c>
      <c r="E438" s="34">
        <v>105.0</v>
      </c>
      <c r="F438" s="34">
        <v>524.0</v>
      </c>
      <c r="G438" s="15">
        <v>25712.0</v>
      </c>
      <c r="H438" s="16">
        <v>0.020379589296826383</v>
      </c>
      <c r="I438" s="17">
        <v>5.569189483509645</v>
      </c>
      <c r="J438" s="16">
        <v>1.003831417624521</v>
      </c>
      <c r="K438" s="16">
        <v>1.5375231716797226</v>
      </c>
      <c r="L438" s="16">
        <v>0.08571428571428572</v>
      </c>
      <c r="M438" s="16">
        <v>0.10476190476190476</v>
      </c>
      <c r="N438" s="16">
        <v>0.24761904761904763</v>
      </c>
      <c r="O438" s="16">
        <v>0.13333333333333333</v>
      </c>
      <c r="P438" s="35">
        <v>46042.30267361111</v>
      </c>
    </row>
    <row r="439">
      <c r="A439" s="33">
        <v>46042.0</v>
      </c>
      <c r="B439" s="1" t="s">
        <v>59</v>
      </c>
      <c r="C439" s="3" t="s">
        <v>5</v>
      </c>
      <c r="E439" s="34">
        <v>18.0</v>
      </c>
      <c r="F439" s="34">
        <v>4074.0</v>
      </c>
      <c r="G439" s="15">
        <v>62372.0</v>
      </c>
      <c r="H439" s="16">
        <v>0.06531777079458731</v>
      </c>
      <c r="I439" s="17">
        <v>5.805521708458924</v>
      </c>
      <c r="J439" s="16">
        <v>0.9900364520048602</v>
      </c>
      <c r="K439" s="16">
        <v>2.1063082534107793</v>
      </c>
      <c r="L439" s="16">
        <v>0.05555555555555555</v>
      </c>
      <c r="M439" s="16">
        <v>0.1111111111111111</v>
      </c>
      <c r="N439" s="16">
        <v>0.5</v>
      </c>
      <c r="O439" s="16">
        <v>0.1111111111111111</v>
      </c>
      <c r="P439" s="35">
        <v>46042.30267361111</v>
      </c>
    </row>
    <row r="440">
      <c r="A440" s="33">
        <v>46042.0</v>
      </c>
      <c r="B440" s="1" t="s">
        <v>59</v>
      </c>
      <c r="C440" s="3" t="s">
        <v>6</v>
      </c>
      <c r="E440" s="34">
        <v>29.0</v>
      </c>
      <c r="F440" s="34">
        <v>5240.0</v>
      </c>
      <c r="G440" s="15">
        <v>434243.0</v>
      </c>
      <c r="H440" s="16">
        <v>0.012066976324316109</v>
      </c>
      <c r="I440" s="17">
        <v>4.21470006424974</v>
      </c>
      <c r="J440" s="16">
        <v>1.3833157338965154</v>
      </c>
      <c r="K440" s="16">
        <v>2.14755963066819</v>
      </c>
      <c r="L440" s="16">
        <v>0.0</v>
      </c>
      <c r="M440" s="16">
        <v>0.0</v>
      </c>
      <c r="N440" s="16">
        <v>0.7931034482758621</v>
      </c>
      <c r="O440" s="16">
        <v>0.1724137931034483</v>
      </c>
      <c r="P440" s="35">
        <v>46042.30267361111</v>
      </c>
    </row>
    <row r="441">
      <c r="A441" s="33">
        <v>46042.0</v>
      </c>
      <c r="B441" s="1" t="s">
        <v>59</v>
      </c>
      <c r="C441" s="3" t="s">
        <v>7</v>
      </c>
      <c r="E441" s="34">
        <v>128.0</v>
      </c>
      <c r="F441" s="34">
        <v>797.0</v>
      </c>
      <c r="G441" s="15">
        <v>178944.0</v>
      </c>
      <c r="H441" s="16">
        <v>0.004453907367668097</v>
      </c>
      <c r="I441" s="17">
        <v>4.6410105954935625</v>
      </c>
      <c r="J441" s="16">
        <v>2.1895604395604398</v>
      </c>
      <c r="K441" s="16">
        <v>5.992364878440828</v>
      </c>
      <c r="L441" s="16">
        <v>0.1015625</v>
      </c>
      <c r="M441" s="16">
        <v>0.5</v>
      </c>
      <c r="N441" s="16">
        <v>0.515625</v>
      </c>
      <c r="O441" s="16">
        <v>0.2265625</v>
      </c>
      <c r="P441" s="35">
        <v>46042.30267361111</v>
      </c>
    </row>
    <row r="442">
      <c r="A442" s="33">
        <v>46042.0</v>
      </c>
      <c r="B442" s="1" t="s">
        <v>59</v>
      </c>
      <c r="C442" s="3" t="s">
        <v>8</v>
      </c>
      <c r="E442" s="34">
        <v>119.0</v>
      </c>
      <c r="F442" s="34">
        <v>841.0</v>
      </c>
      <c r="G442" s="15">
        <v>289824.0</v>
      </c>
      <c r="H442" s="16">
        <v>0.0029017610687865738</v>
      </c>
      <c r="I442" s="17">
        <v>5.311575300872254</v>
      </c>
      <c r="J442" s="16">
        <v>0.9722543352601156</v>
      </c>
      <c r="K442" s="16">
        <v>2.777102776872808</v>
      </c>
      <c r="L442" s="16">
        <v>0.19327731092436976</v>
      </c>
      <c r="M442" s="16">
        <v>0.6134453781512605</v>
      </c>
      <c r="N442" s="16">
        <v>0.44537815126050423</v>
      </c>
      <c r="O442" s="16">
        <v>0.15966386554621848</v>
      </c>
      <c r="P442" s="35">
        <v>46042.30267361111</v>
      </c>
    </row>
    <row r="443">
      <c r="A443" s="33">
        <v>46042.0</v>
      </c>
      <c r="B443" s="1" t="s">
        <v>59</v>
      </c>
      <c r="C443" s="3" t="s">
        <v>9</v>
      </c>
      <c r="E443" s="34">
        <v>11.0</v>
      </c>
      <c r="F443" s="34">
        <v>8.0</v>
      </c>
      <c r="G443" s="15">
        <v>518.0</v>
      </c>
      <c r="H443" s="16">
        <v>0.015444015444015444</v>
      </c>
      <c r="I443" s="17">
        <v>15.974903474903474</v>
      </c>
      <c r="J443" s="16">
        <v>2.0</v>
      </c>
      <c r="K443" s="16">
        <v>2.0</v>
      </c>
      <c r="L443" s="16">
        <v>0.09090909090909091</v>
      </c>
      <c r="M443" s="16">
        <v>0.09090909090909091</v>
      </c>
      <c r="N443" s="16">
        <v>0.18181818181818182</v>
      </c>
      <c r="O443" s="16">
        <v>0.09090909090909091</v>
      </c>
      <c r="P443" s="35">
        <v>46042.30267361111</v>
      </c>
    </row>
    <row r="444">
      <c r="A444" s="33">
        <v>46042.0</v>
      </c>
      <c r="B444" s="1" t="s">
        <v>59</v>
      </c>
      <c r="C444" s="3" t="s">
        <v>10</v>
      </c>
      <c r="E444" s="34">
        <v>47.0</v>
      </c>
      <c r="F444" s="34">
        <v>2985.0</v>
      </c>
      <c r="G444" s="15">
        <v>429886.0</v>
      </c>
      <c r="H444" s="16">
        <v>0.00694370135338206</v>
      </c>
      <c r="I444" s="17">
        <v>4.20645473451101</v>
      </c>
      <c r="J444" s="16">
        <v>5.558659217877095</v>
      </c>
      <c r="K444" s="16">
        <v>9.167772067134418</v>
      </c>
      <c r="L444" s="16">
        <v>0.02127659574468085</v>
      </c>
      <c r="M444" s="16">
        <v>0.3191489361702128</v>
      </c>
      <c r="N444" s="16">
        <v>0.2553191489361702</v>
      </c>
      <c r="O444" s="16">
        <v>0.574468085106383</v>
      </c>
      <c r="P444" s="35">
        <v>46042.30267361111</v>
      </c>
    </row>
    <row r="445">
      <c r="A445" s="33">
        <v>46042.0</v>
      </c>
      <c r="B445" s="1" t="s">
        <v>60</v>
      </c>
      <c r="D445" s="1" t="s">
        <v>30</v>
      </c>
      <c r="E445" s="34">
        <v>9.0</v>
      </c>
      <c r="F445" s="34">
        <v>443.0</v>
      </c>
      <c r="G445" s="15">
        <v>10605.0</v>
      </c>
      <c r="H445" s="16">
        <v>0.041772748703441775</v>
      </c>
      <c r="I445" s="17">
        <v>10.287034417727487</v>
      </c>
      <c r="J445" s="16">
        <v>1.217032967032967</v>
      </c>
      <c r="K445" s="16">
        <v>0.6633929688477418</v>
      </c>
      <c r="L445" s="16">
        <v>0.0</v>
      </c>
      <c r="M445" s="16">
        <v>0.0</v>
      </c>
      <c r="N445" s="16">
        <v>0.6666666666666666</v>
      </c>
      <c r="O445" s="16">
        <v>0.3333333333333333</v>
      </c>
      <c r="P445" s="35">
        <v>46042.30267361111</v>
      </c>
    </row>
    <row r="446">
      <c r="A446" s="33">
        <v>46042.0</v>
      </c>
      <c r="B446" s="1" t="s">
        <v>60</v>
      </c>
      <c r="D446" s="1" t="s">
        <v>31</v>
      </c>
      <c r="E446" s="34">
        <v>67.0</v>
      </c>
      <c r="F446" s="34">
        <v>430.0</v>
      </c>
      <c r="G446" s="15">
        <v>10668.0</v>
      </c>
      <c r="H446" s="16">
        <v>0.04030746156730409</v>
      </c>
      <c r="I446" s="17">
        <v>7.407761529808774</v>
      </c>
      <c r="J446" s="16">
        <v>2.2751322751322753</v>
      </c>
      <c r="K446" s="16">
        <v>0.8370998116760828</v>
      </c>
      <c r="L446" s="16">
        <v>0.05970149253731343</v>
      </c>
      <c r="M446" s="16">
        <v>0.07462686567164178</v>
      </c>
      <c r="N446" s="16">
        <v>0.3283582089552239</v>
      </c>
      <c r="O446" s="16">
        <v>0.19402985074626866</v>
      </c>
      <c r="P446" s="35">
        <v>46042.30267361111</v>
      </c>
    </row>
    <row r="447">
      <c r="A447" s="33">
        <v>46042.0</v>
      </c>
      <c r="B447" s="1" t="s">
        <v>60</v>
      </c>
      <c r="D447" s="1" t="s">
        <v>32</v>
      </c>
      <c r="E447" s="34">
        <v>487.0</v>
      </c>
      <c r="F447" s="34">
        <v>15450.0</v>
      </c>
      <c r="G447" s="15">
        <v>1507976.0</v>
      </c>
      <c r="H447" s="16">
        <v>0.0102455211488777</v>
      </c>
      <c r="I447" s="17">
        <v>4.58018032117222</v>
      </c>
      <c r="J447" s="16">
        <v>1.504381694255112</v>
      </c>
      <c r="K447" s="16">
        <v>3.5005954356894633</v>
      </c>
      <c r="L447" s="16">
        <v>0.09856262833675565</v>
      </c>
      <c r="M447" s="16">
        <v>0.3490759753593429</v>
      </c>
      <c r="N447" s="16">
        <v>0.48459958932238195</v>
      </c>
      <c r="O447" s="16">
        <v>0.2053388090349076</v>
      </c>
      <c r="P447" s="35">
        <v>46042.30267361111</v>
      </c>
    </row>
    <row r="448">
      <c r="A448" s="33">
        <v>46042.0</v>
      </c>
      <c r="B448" s="1" t="s">
        <v>60</v>
      </c>
      <c r="D448" s="1" t="s">
        <v>33</v>
      </c>
      <c r="E448" s="34">
        <v>105.0</v>
      </c>
      <c r="F448" s="34">
        <v>277.0</v>
      </c>
      <c r="G448" s="15">
        <v>18421.0</v>
      </c>
      <c r="H448" s="16">
        <v>0.015037185820530916</v>
      </c>
      <c r="I448" s="17">
        <v>5.6499104283155095</v>
      </c>
      <c r="J448" s="16">
        <v>0.8738170347003155</v>
      </c>
      <c r="K448" s="16">
        <v>2.1427242061184133</v>
      </c>
      <c r="L448" s="16">
        <v>0.08571428571428572</v>
      </c>
      <c r="M448" s="16">
        <v>0.08571428571428572</v>
      </c>
      <c r="N448" s="16">
        <v>0.3904761904761905</v>
      </c>
      <c r="O448" s="16">
        <v>0.0380952380952381</v>
      </c>
      <c r="P448" s="35">
        <v>46042.30267361111</v>
      </c>
    </row>
    <row r="449">
      <c r="A449" s="33">
        <v>46042.0</v>
      </c>
      <c r="B449" s="1" t="s">
        <v>60</v>
      </c>
      <c r="D449" s="1" t="s">
        <v>34</v>
      </c>
      <c r="E449" s="34">
        <v>89.0</v>
      </c>
      <c r="F449" s="34">
        <v>18.0</v>
      </c>
      <c r="G449" s="15">
        <v>1012.0</v>
      </c>
      <c r="H449" s="16">
        <v>0.017786561264822136</v>
      </c>
      <c r="I449" s="17">
        <v>7.907114624505929</v>
      </c>
      <c r="J449" s="16">
        <v>0.8571428571428571</v>
      </c>
      <c r="K449" s="16">
        <v>0.3837694349639742</v>
      </c>
      <c r="L449" s="16">
        <v>0.02247191011235955</v>
      </c>
      <c r="M449" s="16">
        <v>0.02247191011235955</v>
      </c>
      <c r="N449" s="16">
        <v>0.0898876404494382</v>
      </c>
      <c r="O449" s="16">
        <v>0.0449438202247191</v>
      </c>
      <c r="P449" s="35">
        <v>46042.30267361111</v>
      </c>
    </row>
    <row r="450">
      <c r="A450" s="33">
        <v>46043.0</v>
      </c>
      <c r="B450" s="1" t="s">
        <v>57</v>
      </c>
      <c r="E450" s="34">
        <v>1095.0</v>
      </c>
      <c r="F450" s="34">
        <v>17063.0</v>
      </c>
      <c r="G450" s="15">
        <v>1574411.0</v>
      </c>
      <c r="H450" s="16">
        <v>0.010837703750799505</v>
      </c>
      <c r="I450" s="17">
        <v>4.66676744509534</v>
      </c>
      <c r="J450" s="16">
        <v>1.5171156752911887</v>
      </c>
      <c r="K450" s="16">
        <v>3.2935952738576884</v>
      </c>
      <c r="L450" s="16">
        <v>0.058447488584474884</v>
      </c>
      <c r="M450" s="16">
        <v>0.17077625570776256</v>
      </c>
      <c r="N450" s="16">
        <v>0.3141552511415525</v>
      </c>
      <c r="O450" s="16">
        <v>0.1223744292237443</v>
      </c>
      <c r="P450" s="35">
        <v>46043.30266203704</v>
      </c>
    </row>
    <row r="451">
      <c r="A451" s="33">
        <v>46043.0</v>
      </c>
      <c r="B451" s="1" t="s">
        <v>58</v>
      </c>
      <c r="E451" s="34">
        <v>757.0</v>
      </c>
      <c r="F451" s="34">
        <v>16973.0</v>
      </c>
      <c r="G451" s="15">
        <v>1572617.0</v>
      </c>
      <c r="H451" s="16">
        <v>0.010792837671219375</v>
      </c>
      <c r="I451" s="17">
        <v>4.66561534054382</v>
      </c>
      <c r="J451" s="16">
        <v>1.5218326907558504</v>
      </c>
      <c r="K451" s="16">
        <v>3.357803081902948</v>
      </c>
      <c r="L451" s="16">
        <v>0.08058124174372523</v>
      </c>
      <c r="M451" s="16">
        <v>0.2430647291941876</v>
      </c>
      <c r="N451" s="16">
        <v>0.43064729194187584</v>
      </c>
      <c r="O451" s="16">
        <v>0.1571994715984148</v>
      </c>
      <c r="P451" s="35">
        <v>46043.30266203704</v>
      </c>
    </row>
    <row r="452">
      <c r="A452" s="33">
        <v>46043.0</v>
      </c>
      <c r="B452" s="1" t="s">
        <v>59</v>
      </c>
      <c r="C452" s="3" t="s">
        <v>2</v>
      </c>
      <c r="E452" s="34">
        <v>131.0</v>
      </c>
      <c r="F452" s="34">
        <v>1194.0</v>
      </c>
      <c r="G452" s="15">
        <v>91431.0</v>
      </c>
      <c r="H452" s="16">
        <v>0.013059028119565575</v>
      </c>
      <c r="I452" s="17">
        <v>4.977305290328226</v>
      </c>
      <c r="J452" s="16">
        <v>4.089041095890411</v>
      </c>
      <c r="K452" s="16">
        <v>4.835316515944788</v>
      </c>
      <c r="L452" s="16">
        <v>0.04580152671755725</v>
      </c>
      <c r="M452" s="16">
        <v>0.07633587786259542</v>
      </c>
      <c r="N452" s="16">
        <v>0.44274809160305345</v>
      </c>
      <c r="O452" s="16">
        <v>0.06870229007633588</v>
      </c>
      <c r="P452" s="35">
        <v>46043.30266203704</v>
      </c>
    </row>
    <row r="453">
      <c r="A453" s="33">
        <v>46043.0</v>
      </c>
      <c r="B453" s="1" t="s">
        <v>59</v>
      </c>
      <c r="C453" s="1" t="s">
        <v>3</v>
      </c>
      <c r="E453" s="34">
        <v>169.0</v>
      </c>
      <c r="F453" s="34">
        <v>1012.0</v>
      </c>
      <c r="G453" s="15">
        <v>39074.0</v>
      </c>
      <c r="H453" s="16">
        <v>0.025899575165071402</v>
      </c>
      <c r="I453" s="17">
        <v>6.2619132927266214</v>
      </c>
      <c r="J453" s="16">
        <v>1.5014836795252227</v>
      </c>
      <c r="K453" s="16">
        <v>1.8094003241491086</v>
      </c>
      <c r="L453" s="16">
        <v>0.04142011834319527</v>
      </c>
      <c r="M453" s="16">
        <v>0.047337278106508875</v>
      </c>
      <c r="N453" s="16">
        <v>0.4260355029585799</v>
      </c>
      <c r="O453" s="16">
        <v>0.10650887573964497</v>
      </c>
      <c r="P453" s="35">
        <v>46043.30266203704</v>
      </c>
    </row>
    <row r="454">
      <c r="A454" s="33">
        <v>46043.0</v>
      </c>
      <c r="B454" s="1" t="s">
        <v>59</v>
      </c>
      <c r="C454" s="3" t="s">
        <v>4</v>
      </c>
      <c r="E454" s="34">
        <v>105.0</v>
      </c>
      <c r="F454" s="34">
        <v>531.0</v>
      </c>
      <c r="G454" s="15">
        <v>26334.0</v>
      </c>
      <c r="H454" s="16">
        <v>0.020164046479835954</v>
      </c>
      <c r="I454" s="17">
        <v>5.551986025670236</v>
      </c>
      <c r="J454" s="16">
        <v>1.023121387283237</v>
      </c>
      <c r="K454" s="16">
        <v>1.5968710205566672</v>
      </c>
      <c r="L454" s="16">
        <v>0.08571428571428572</v>
      </c>
      <c r="M454" s="16">
        <v>0.10476190476190476</v>
      </c>
      <c r="N454" s="16">
        <v>0.24761904761904763</v>
      </c>
      <c r="O454" s="16">
        <v>0.13333333333333333</v>
      </c>
      <c r="P454" s="35">
        <v>46043.30266203704</v>
      </c>
    </row>
    <row r="455">
      <c r="A455" s="33">
        <v>46043.0</v>
      </c>
      <c r="B455" s="1" t="s">
        <v>59</v>
      </c>
      <c r="C455" s="3" t="s">
        <v>5</v>
      </c>
      <c r="E455" s="34">
        <v>18.0</v>
      </c>
      <c r="F455" s="34">
        <v>4160.0</v>
      </c>
      <c r="G455" s="15">
        <v>62973.0</v>
      </c>
      <c r="H455" s="16">
        <v>0.06606005748495387</v>
      </c>
      <c r="I455" s="17">
        <v>5.799930128785353</v>
      </c>
      <c r="J455" s="16">
        <v>0.9883582798764552</v>
      </c>
      <c r="K455" s="16">
        <v>2.105768266176225</v>
      </c>
      <c r="L455" s="16">
        <v>0.1111111111111111</v>
      </c>
      <c r="M455" s="16">
        <v>0.16666666666666666</v>
      </c>
      <c r="N455" s="16">
        <v>0.4444444444444444</v>
      </c>
      <c r="O455" s="16">
        <v>0.1111111111111111</v>
      </c>
      <c r="P455" s="35">
        <v>46043.30266203704</v>
      </c>
    </row>
    <row r="456">
      <c r="A456" s="33">
        <v>46043.0</v>
      </c>
      <c r="B456" s="1" t="s">
        <v>59</v>
      </c>
      <c r="C456" s="3" t="s">
        <v>6</v>
      </c>
      <c r="E456" s="34">
        <v>29.0</v>
      </c>
      <c r="F456" s="34">
        <v>5352.0</v>
      </c>
      <c r="G456" s="15">
        <v>437069.0</v>
      </c>
      <c r="H456" s="16">
        <v>0.012245206134500503</v>
      </c>
      <c r="I456" s="17">
        <v>4.253852366559971</v>
      </c>
      <c r="J456" s="16">
        <v>1.4507996747085932</v>
      </c>
      <c r="K456" s="16">
        <v>2.1741805827077956</v>
      </c>
      <c r="L456" s="16">
        <v>0.0</v>
      </c>
      <c r="M456" s="16">
        <v>0.0</v>
      </c>
      <c r="N456" s="16">
        <v>0.7931034482758621</v>
      </c>
      <c r="O456" s="16">
        <v>0.1724137931034483</v>
      </c>
      <c r="P456" s="35">
        <v>46043.30266203704</v>
      </c>
    </row>
    <row r="457">
      <c r="A457" s="33">
        <v>46043.0</v>
      </c>
      <c r="B457" s="1" t="s">
        <v>59</v>
      </c>
      <c r="C457" s="3" t="s">
        <v>7</v>
      </c>
      <c r="E457" s="34">
        <v>128.0</v>
      </c>
      <c r="F457" s="34">
        <v>836.0</v>
      </c>
      <c r="G457" s="15">
        <v>184279.0</v>
      </c>
      <c r="H457" s="16">
        <v>0.004536599395481851</v>
      </c>
      <c r="I457" s="17">
        <v>4.6400566532269005</v>
      </c>
      <c r="J457" s="16">
        <v>2.247311827956989</v>
      </c>
      <c r="K457" s="16">
        <v>6.213885891556514</v>
      </c>
      <c r="L457" s="16">
        <v>0.09375</v>
      </c>
      <c r="M457" s="16">
        <v>0.5</v>
      </c>
      <c r="N457" s="16">
        <v>0.5390625</v>
      </c>
      <c r="O457" s="16">
        <v>0.2109375</v>
      </c>
      <c r="P457" s="35">
        <v>46043.30266203704</v>
      </c>
    </row>
    <row r="458">
      <c r="A458" s="33">
        <v>46043.0</v>
      </c>
      <c r="B458" s="1" t="s">
        <v>59</v>
      </c>
      <c r="C458" s="3" t="s">
        <v>8</v>
      </c>
      <c r="E458" s="34">
        <v>119.0</v>
      </c>
      <c r="F458" s="34">
        <v>851.0</v>
      </c>
      <c r="G458" s="15">
        <v>294922.0</v>
      </c>
      <c r="H458" s="16">
        <v>0.002885508710777765</v>
      </c>
      <c r="I458" s="17">
        <v>5.306036850421467</v>
      </c>
      <c r="J458" s="16">
        <v>0.9895348837209302</v>
      </c>
      <c r="K458" s="16">
        <v>2.8421012055623547</v>
      </c>
      <c r="L458" s="16">
        <v>0.19327731092436976</v>
      </c>
      <c r="M458" s="16">
        <v>0.6050420168067226</v>
      </c>
      <c r="N458" s="16">
        <v>0.4789915966386555</v>
      </c>
      <c r="O458" s="16">
        <v>0.12605042016806722</v>
      </c>
      <c r="P458" s="35">
        <v>46043.30266203704</v>
      </c>
    </row>
    <row r="459">
      <c r="A459" s="33">
        <v>46043.0</v>
      </c>
      <c r="B459" s="1" t="s">
        <v>59</v>
      </c>
      <c r="C459" s="3" t="s">
        <v>9</v>
      </c>
      <c r="E459" s="34">
        <v>11.0</v>
      </c>
      <c r="F459" s="34">
        <v>9.0</v>
      </c>
      <c r="G459" s="15">
        <v>499.0</v>
      </c>
      <c r="H459" s="16">
        <v>0.018036072144288578</v>
      </c>
      <c r="I459" s="17">
        <v>17.18637274549098</v>
      </c>
      <c r="J459" s="16">
        <v>2.25</v>
      </c>
      <c r="K459" s="16">
        <v>1.9568627450980391</v>
      </c>
      <c r="L459" s="16">
        <v>0.09090909090909091</v>
      </c>
      <c r="M459" s="16">
        <v>0.09090909090909091</v>
      </c>
      <c r="N459" s="16">
        <v>0.18181818181818182</v>
      </c>
      <c r="O459" s="16">
        <v>0.09090909090909091</v>
      </c>
      <c r="P459" s="35">
        <v>46043.30266203704</v>
      </c>
    </row>
    <row r="460">
      <c r="A460" s="33">
        <v>46043.0</v>
      </c>
      <c r="B460" s="1" t="s">
        <v>59</v>
      </c>
      <c r="C460" s="3" t="s">
        <v>10</v>
      </c>
      <c r="E460" s="34">
        <v>47.0</v>
      </c>
      <c r="F460" s="34">
        <v>3028.0</v>
      </c>
      <c r="G460" s="15">
        <v>436036.0</v>
      </c>
      <c r="H460" s="16">
        <v>0.00694438073920502</v>
      </c>
      <c r="I460" s="17">
        <v>4.2159087781742794</v>
      </c>
      <c r="J460" s="16">
        <v>5.670411985018727</v>
      </c>
      <c r="K460" s="16">
        <v>9.328968763371844</v>
      </c>
      <c r="L460" s="16">
        <v>0.02127659574468085</v>
      </c>
      <c r="M460" s="16">
        <v>0.3191489361702128</v>
      </c>
      <c r="N460" s="16">
        <v>0.23404255319148937</v>
      </c>
      <c r="O460" s="16">
        <v>0.5957446808510638</v>
      </c>
      <c r="P460" s="35">
        <v>46043.30266203704</v>
      </c>
    </row>
    <row r="461">
      <c r="A461" s="33">
        <v>46043.0</v>
      </c>
      <c r="B461" s="1" t="s">
        <v>60</v>
      </c>
      <c r="D461" s="1" t="s">
        <v>30</v>
      </c>
      <c r="E461" s="34">
        <v>9.0</v>
      </c>
      <c r="F461" s="34">
        <v>456.0</v>
      </c>
      <c r="G461" s="15">
        <v>10786.0</v>
      </c>
      <c r="H461" s="16">
        <v>0.042277025774151676</v>
      </c>
      <c r="I461" s="17">
        <v>10.42332653439644</v>
      </c>
      <c r="J461" s="16">
        <v>1.209549071618037</v>
      </c>
      <c r="K461" s="16">
        <v>0.6830473054271421</v>
      </c>
      <c r="L461" s="16">
        <v>0.0</v>
      </c>
      <c r="M461" s="16">
        <v>0.1111111111111111</v>
      </c>
      <c r="N461" s="16">
        <v>0.5555555555555556</v>
      </c>
      <c r="O461" s="16">
        <v>0.4444444444444444</v>
      </c>
      <c r="P461" s="35">
        <v>46043.30266203704</v>
      </c>
    </row>
    <row r="462">
      <c r="A462" s="33">
        <v>46043.0</v>
      </c>
      <c r="B462" s="1" t="s">
        <v>60</v>
      </c>
      <c r="D462" s="1" t="s">
        <v>31</v>
      </c>
      <c r="E462" s="34">
        <v>67.0</v>
      </c>
      <c r="F462" s="34">
        <v>446.0</v>
      </c>
      <c r="G462" s="15">
        <v>10803.0</v>
      </c>
      <c r="H462" s="16">
        <v>0.041284828288438394</v>
      </c>
      <c r="I462" s="17">
        <v>7.404332129963899</v>
      </c>
      <c r="J462" s="16">
        <v>2.35978835978836</v>
      </c>
      <c r="K462" s="16">
        <v>0.8575851393188855</v>
      </c>
      <c r="L462" s="16">
        <v>0.07462686567164178</v>
      </c>
      <c r="M462" s="16">
        <v>0.08955223880597014</v>
      </c>
      <c r="N462" s="16">
        <v>0.3283582089552239</v>
      </c>
      <c r="O462" s="16">
        <v>0.19402985074626866</v>
      </c>
      <c r="P462" s="35">
        <v>46043.30266203704</v>
      </c>
    </row>
    <row r="463">
      <c r="A463" s="33">
        <v>46043.0</v>
      </c>
      <c r="B463" s="1" t="s">
        <v>60</v>
      </c>
      <c r="D463" s="1" t="s">
        <v>32</v>
      </c>
      <c r="E463" s="34">
        <v>487.0</v>
      </c>
      <c r="F463" s="34">
        <v>15772.0</v>
      </c>
      <c r="G463" s="15">
        <v>1531063.0</v>
      </c>
      <c r="H463" s="16">
        <v>0.010301339657479803</v>
      </c>
      <c r="I463" s="17">
        <v>4.591956699365082</v>
      </c>
      <c r="J463" s="16">
        <v>1.5379814724524623</v>
      </c>
      <c r="K463" s="16">
        <v>3.5701763795097565</v>
      </c>
      <c r="L463" s="16">
        <v>0.09650924024640657</v>
      </c>
      <c r="M463" s="16">
        <v>0.34496919917864477</v>
      </c>
      <c r="N463" s="16">
        <v>0.5092402464065708</v>
      </c>
      <c r="O463" s="16">
        <v>0.19301848049281314</v>
      </c>
      <c r="P463" s="35">
        <v>46043.30266203704</v>
      </c>
    </row>
    <row r="464">
      <c r="A464" s="33">
        <v>46043.0</v>
      </c>
      <c r="B464" s="1" t="s">
        <v>60</v>
      </c>
      <c r="D464" s="1" t="s">
        <v>33</v>
      </c>
      <c r="E464" s="34">
        <v>105.0</v>
      </c>
      <c r="F464" s="34">
        <v>280.0</v>
      </c>
      <c r="G464" s="15">
        <v>18940.0</v>
      </c>
      <c r="H464" s="16">
        <v>0.014783526927138331</v>
      </c>
      <c r="I464" s="17">
        <v>5.6069693769799365</v>
      </c>
      <c r="J464" s="16">
        <v>0.8945686900958466</v>
      </c>
      <c r="K464" s="16">
        <v>2.229022007767447</v>
      </c>
      <c r="L464" s="16">
        <v>0.0761904761904762</v>
      </c>
      <c r="M464" s="16">
        <v>0.0761904761904762</v>
      </c>
      <c r="N464" s="16">
        <v>0.4</v>
      </c>
      <c r="O464" s="16">
        <v>0.0380952380952381</v>
      </c>
      <c r="P464" s="35">
        <v>46043.30266203704</v>
      </c>
    </row>
    <row r="465">
      <c r="A465" s="33">
        <v>46043.0</v>
      </c>
      <c r="B465" s="1" t="s">
        <v>60</v>
      </c>
      <c r="D465" s="1" t="s">
        <v>34</v>
      </c>
      <c r="E465" s="34">
        <v>89.0</v>
      </c>
      <c r="F465" s="34">
        <v>19.0</v>
      </c>
      <c r="G465" s="15">
        <v>1025.0</v>
      </c>
      <c r="H465" s="16">
        <v>0.018536585365853658</v>
      </c>
      <c r="I465" s="17">
        <v>7.84390243902439</v>
      </c>
      <c r="J465" s="16">
        <v>1.0</v>
      </c>
      <c r="K465" s="16">
        <v>0.39211935730680947</v>
      </c>
      <c r="L465" s="16">
        <v>0.011235955056179775</v>
      </c>
      <c r="M465" s="16">
        <v>0.011235955056179775</v>
      </c>
      <c r="N465" s="16">
        <v>0.10112359550561797</v>
      </c>
      <c r="O465" s="16">
        <v>0.0449438202247191</v>
      </c>
      <c r="P465" s="35">
        <v>46043.30266203704</v>
      </c>
    </row>
    <row r="466">
      <c r="A466" s="33">
        <v>46044.0</v>
      </c>
      <c r="B466" s="1" t="s">
        <v>57</v>
      </c>
      <c r="E466" s="34">
        <v>1095.0</v>
      </c>
      <c r="F466" s="34">
        <v>17630.0</v>
      </c>
      <c r="G466" s="15">
        <v>1604895.0</v>
      </c>
      <c r="H466" s="16">
        <v>0.010985142330183594</v>
      </c>
      <c r="I466" s="17">
        <v>4.669921085180027</v>
      </c>
      <c r="J466" s="16">
        <v>1.5471698113207548</v>
      </c>
      <c r="K466" s="16">
        <v>3.32454670309752</v>
      </c>
      <c r="L466" s="16">
        <v>0.0593607305936073</v>
      </c>
      <c r="M466" s="16">
        <v>0.1726027397260274</v>
      </c>
      <c r="N466" s="16">
        <v>0.3187214611872146</v>
      </c>
      <c r="O466" s="16">
        <v>0.1178082191780822</v>
      </c>
      <c r="P466" s="35">
        <v>46044.302615740744</v>
      </c>
    </row>
    <row r="467">
      <c r="A467" s="33">
        <v>46044.0</v>
      </c>
      <c r="B467" s="1" t="s">
        <v>58</v>
      </c>
      <c r="E467" s="34">
        <v>757.0</v>
      </c>
      <c r="F467" s="34">
        <v>17541.0</v>
      </c>
      <c r="G467" s="15">
        <v>1603082.0</v>
      </c>
      <c r="H467" s="16">
        <v>0.010942047880270629</v>
      </c>
      <c r="I467" s="17">
        <v>4.668855367348645</v>
      </c>
      <c r="J467" s="16">
        <v>1.5523008849557522</v>
      </c>
      <c r="K467" s="16">
        <v>3.388735514583712</v>
      </c>
      <c r="L467" s="16">
        <v>0.08190224570673713</v>
      </c>
      <c r="M467" s="16">
        <v>0.24570673712021135</v>
      </c>
      <c r="N467" s="16">
        <v>0.4372523117569353</v>
      </c>
      <c r="O467" s="16">
        <v>0.15059445178335534</v>
      </c>
      <c r="P467" s="35">
        <v>46044.302615740744</v>
      </c>
    </row>
    <row r="468">
      <c r="A468" s="33">
        <v>46044.0</v>
      </c>
      <c r="B468" s="1" t="s">
        <v>59</v>
      </c>
      <c r="C468" s="3" t="s">
        <v>2</v>
      </c>
      <c r="E468" s="34">
        <v>131.0</v>
      </c>
      <c r="F468" s="34">
        <v>1228.0</v>
      </c>
      <c r="G468" s="15">
        <v>94327.0</v>
      </c>
      <c r="H468" s="16">
        <v>0.013018541880903664</v>
      </c>
      <c r="I468" s="17">
        <v>4.962820825426442</v>
      </c>
      <c r="J468" s="16">
        <v>4.205479452054795</v>
      </c>
      <c r="K468" s="16">
        <v>5.02970033059614</v>
      </c>
      <c r="L468" s="16">
        <v>0.04580152671755725</v>
      </c>
      <c r="M468" s="16">
        <v>0.07633587786259542</v>
      </c>
      <c r="N468" s="16">
        <v>0.44274809160305345</v>
      </c>
      <c r="O468" s="16">
        <v>0.06870229007633588</v>
      </c>
      <c r="P468" s="35">
        <v>46044.302615740744</v>
      </c>
    </row>
    <row r="469">
      <c r="A469" s="33">
        <v>46044.0</v>
      </c>
      <c r="B469" s="1" t="s">
        <v>59</v>
      </c>
      <c r="C469" s="1" t="s">
        <v>3</v>
      </c>
      <c r="E469" s="34">
        <v>169.0</v>
      </c>
      <c r="F469" s="34">
        <v>1025.0</v>
      </c>
      <c r="G469" s="15">
        <v>40313.0</v>
      </c>
      <c r="H469" s="16">
        <v>0.02542604122739563</v>
      </c>
      <c r="I469" s="17">
        <v>6.195966561655049</v>
      </c>
      <c r="J469" s="16">
        <v>1.527570789865872</v>
      </c>
      <c r="K469" s="16">
        <v>1.8758957654723127</v>
      </c>
      <c r="L469" s="16">
        <v>0.03550295857988166</v>
      </c>
      <c r="M469" s="16">
        <v>0.04142011834319527</v>
      </c>
      <c r="N469" s="16">
        <v>0.42011834319526625</v>
      </c>
      <c r="O469" s="16">
        <v>0.11242603550295859</v>
      </c>
      <c r="P469" s="35">
        <v>46044.302615740744</v>
      </c>
    </row>
    <row r="470">
      <c r="A470" s="33">
        <v>46044.0</v>
      </c>
      <c r="B470" s="1" t="s">
        <v>59</v>
      </c>
      <c r="C470" s="3" t="s">
        <v>4</v>
      </c>
      <c r="E470" s="34">
        <v>105.0</v>
      </c>
      <c r="F470" s="34">
        <v>549.0</v>
      </c>
      <c r="G470" s="15">
        <v>26925.0</v>
      </c>
      <c r="H470" s="16">
        <v>0.020389972144846797</v>
      </c>
      <c r="I470" s="17">
        <v>5.481782729805014</v>
      </c>
      <c r="J470" s="16">
        <v>1.053742802303263</v>
      </c>
      <c r="K470" s="16">
        <v>1.6233570481128663</v>
      </c>
      <c r="L470" s="16">
        <v>0.08571428571428572</v>
      </c>
      <c r="M470" s="16">
        <v>0.10476190476190476</v>
      </c>
      <c r="N470" s="16">
        <v>0.2571428571428571</v>
      </c>
      <c r="O470" s="16">
        <v>0.13333333333333333</v>
      </c>
      <c r="P470" s="35">
        <v>46044.302615740744</v>
      </c>
    </row>
    <row r="471">
      <c r="A471" s="33">
        <v>46044.0</v>
      </c>
      <c r="B471" s="1" t="s">
        <v>59</v>
      </c>
      <c r="C471" s="3" t="s">
        <v>5</v>
      </c>
      <c r="E471" s="34">
        <v>18.0</v>
      </c>
      <c r="F471" s="34">
        <v>4363.0</v>
      </c>
      <c r="G471" s="15">
        <v>63892.0</v>
      </c>
      <c r="H471" s="16">
        <v>0.06828710949727665</v>
      </c>
      <c r="I471" s="17">
        <v>5.772569335754085</v>
      </c>
      <c r="J471" s="16">
        <v>1.0146511627906978</v>
      </c>
      <c r="K471" s="16">
        <v>2.0946136445595513</v>
      </c>
      <c r="L471" s="16">
        <v>0.1111111111111111</v>
      </c>
      <c r="M471" s="16">
        <v>0.1111111111111111</v>
      </c>
      <c r="N471" s="16">
        <v>0.4444444444444444</v>
      </c>
      <c r="O471" s="16">
        <v>0.1111111111111111</v>
      </c>
      <c r="P471" s="35">
        <v>46044.302615740744</v>
      </c>
    </row>
    <row r="472">
      <c r="A472" s="33">
        <v>46044.0</v>
      </c>
      <c r="B472" s="1" t="s">
        <v>59</v>
      </c>
      <c r="C472" s="3" t="s">
        <v>6</v>
      </c>
      <c r="E472" s="34">
        <v>29.0</v>
      </c>
      <c r="F472" s="34">
        <v>5520.0</v>
      </c>
      <c r="G472" s="15">
        <v>442293.0</v>
      </c>
      <c r="H472" s="16">
        <v>0.012480414566814306</v>
      </c>
      <c r="I472" s="17">
        <v>4.276710235070417</v>
      </c>
      <c r="J472" s="16">
        <v>1.4906832298136645</v>
      </c>
      <c r="K472" s="16">
        <v>2.176006966481189</v>
      </c>
      <c r="L472" s="16">
        <v>0.0</v>
      </c>
      <c r="M472" s="16">
        <v>0.0</v>
      </c>
      <c r="N472" s="16">
        <v>0.8275862068965517</v>
      </c>
      <c r="O472" s="16">
        <v>0.13793103448275862</v>
      </c>
      <c r="P472" s="35">
        <v>46044.302615740744</v>
      </c>
    </row>
    <row r="473">
      <c r="A473" s="33">
        <v>46044.0</v>
      </c>
      <c r="B473" s="1" t="s">
        <v>59</v>
      </c>
      <c r="C473" s="3" t="s">
        <v>7</v>
      </c>
      <c r="E473" s="34">
        <v>128.0</v>
      </c>
      <c r="F473" s="34">
        <v>883.0</v>
      </c>
      <c r="G473" s="15">
        <v>190677.0</v>
      </c>
      <c r="H473" s="16">
        <v>0.004630867907508509</v>
      </c>
      <c r="I473" s="17">
        <v>4.627558646297142</v>
      </c>
      <c r="J473" s="16">
        <v>2.2757731958762886</v>
      </c>
      <c r="K473" s="16">
        <v>6.33625760143555</v>
      </c>
      <c r="L473" s="16">
        <v>0.1015625</v>
      </c>
      <c r="M473" s="16">
        <v>0.515625</v>
      </c>
      <c r="N473" s="16">
        <v>0.5390625</v>
      </c>
      <c r="O473" s="16">
        <v>0.2109375</v>
      </c>
      <c r="P473" s="35">
        <v>46044.302615740744</v>
      </c>
    </row>
    <row r="474">
      <c r="A474" s="33">
        <v>46044.0</v>
      </c>
      <c r="B474" s="1" t="s">
        <v>59</v>
      </c>
      <c r="C474" s="3" t="s">
        <v>8</v>
      </c>
      <c r="E474" s="34">
        <v>119.0</v>
      </c>
      <c r="F474" s="34">
        <v>883.0</v>
      </c>
      <c r="G474" s="15">
        <v>301535.0</v>
      </c>
      <c r="H474" s="16">
        <v>0.0029283499427927105</v>
      </c>
      <c r="I474" s="17">
        <v>5.303964713880644</v>
      </c>
      <c r="J474" s="16">
        <v>1.0</v>
      </c>
      <c r="K474" s="16">
        <v>2.8821376001223453</v>
      </c>
      <c r="L474" s="16">
        <v>0.20168067226890757</v>
      </c>
      <c r="M474" s="16">
        <v>0.6134453781512605</v>
      </c>
      <c r="N474" s="16">
        <v>0.5042016806722689</v>
      </c>
      <c r="O474" s="16">
        <v>0.09243697478991597</v>
      </c>
      <c r="P474" s="35">
        <v>46044.302615740744</v>
      </c>
    </row>
    <row r="475">
      <c r="A475" s="33">
        <v>46044.0</v>
      </c>
      <c r="B475" s="1" t="s">
        <v>59</v>
      </c>
      <c r="C475" s="3" t="s">
        <v>9</v>
      </c>
      <c r="E475" s="34">
        <v>11.0</v>
      </c>
      <c r="F475" s="34">
        <v>8.0</v>
      </c>
      <c r="G475" s="15">
        <v>498.0</v>
      </c>
      <c r="H475" s="16">
        <v>0.01606425702811245</v>
      </c>
      <c r="I475" s="17">
        <v>16.744979919678716</v>
      </c>
      <c r="J475" s="16">
        <v>2.0</v>
      </c>
      <c r="K475" s="16">
        <v>1.9453125</v>
      </c>
      <c r="L475" s="16">
        <v>0.09090909090909091</v>
      </c>
      <c r="M475" s="16">
        <v>0.09090909090909091</v>
      </c>
      <c r="N475" s="16">
        <v>0.18181818181818182</v>
      </c>
      <c r="O475" s="16">
        <v>0.09090909090909091</v>
      </c>
      <c r="P475" s="35">
        <v>46044.302615740744</v>
      </c>
    </row>
    <row r="476">
      <c r="A476" s="33">
        <v>46044.0</v>
      </c>
      <c r="B476" s="1" t="s">
        <v>59</v>
      </c>
      <c r="C476" s="3" t="s">
        <v>10</v>
      </c>
      <c r="E476" s="34">
        <v>47.0</v>
      </c>
      <c r="F476" s="34">
        <v>3082.0</v>
      </c>
      <c r="G476" s="15">
        <v>442622.0</v>
      </c>
      <c r="H476" s="16">
        <v>0.006963051994704285</v>
      </c>
      <c r="I476" s="17">
        <v>4.22174225411299</v>
      </c>
      <c r="J476" s="16">
        <v>5.728624535315985</v>
      </c>
      <c r="K476" s="16">
        <v>9.318554074822627</v>
      </c>
      <c r="L476" s="16">
        <v>0.02127659574468085</v>
      </c>
      <c r="M476" s="16">
        <v>0.3404255319148936</v>
      </c>
      <c r="N476" s="16">
        <v>0.2553191489361702</v>
      </c>
      <c r="O476" s="16">
        <v>0.574468085106383</v>
      </c>
      <c r="P476" s="35">
        <v>46044.302615740744</v>
      </c>
    </row>
    <row r="477">
      <c r="A477" s="33">
        <v>46044.0</v>
      </c>
      <c r="B477" s="1" t="s">
        <v>60</v>
      </c>
      <c r="D477" s="1" t="s">
        <v>30</v>
      </c>
      <c r="E477" s="34">
        <v>9.0</v>
      </c>
      <c r="F477" s="34">
        <v>456.0</v>
      </c>
      <c r="G477" s="15">
        <v>10842.0</v>
      </c>
      <c r="H477" s="16">
        <v>0.042058660763696736</v>
      </c>
      <c r="I477" s="17">
        <v>10.38498432023612</v>
      </c>
      <c r="J477" s="16">
        <v>1.2192513368983957</v>
      </c>
      <c r="K477" s="16">
        <v>0.68978241506553</v>
      </c>
      <c r="L477" s="16">
        <v>0.0</v>
      </c>
      <c r="M477" s="16">
        <v>0.1111111111111111</v>
      </c>
      <c r="N477" s="16">
        <v>0.6666666666666666</v>
      </c>
      <c r="O477" s="16">
        <v>0.3333333333333333</v>
      </c>
      <c r="P477" s="35">
        <v>46044.302615740744</v>
      </c>
    </row>
    <row r="478">
      <c r="A478" s="33">
        <v>46044.0</v>
      </c>
      <c r="B478" s="1" t="s">
        <v>60</v>
      </c>
      <c r="D478" s="1" t="s">
        <v>31</v>
      </c>
      <c r="E478" s="34">
        <v>67.0</v>
      </c>
      <c r="F478" s="34">
        <v>462.0</v>
      </c>
      <c r="G478" s="15">
        <v>11024.0</v>
      </c>
      <c r="H478" s="16">
        <v>0.041908563134978226</v>
      </c>
      <c r="I478" s="17">
        <v>7.334724238026125</v>
      </c>
      <c r="J478" s="16">
        <v>2.4705882352941178</v>
      </c>
      <c r="K478" s="16">
        <v>0.8806518613196996</v>
      </c>
      <c r="L478" s="16">
        <v>0.07462686567164178</v>
      </c>
      <c r="M478" s="16">
        <v>0.08955223880597014</v>
      </c>
      <c r="N478" s="16">
        <v>0.31343283582089554</v>
      </c>
      <c r="O478" s="16">
        <v>0.208955223880597</v>
      </c>
      <c r="P478" s="35">
        <v>46044.302615740744</v>
      </c>
    </row>
    <row r="479">
      <c r="A479" s="33">
        <v>46044.0</v>
      </c>
      <c r="B479" s="1" t="s">
        <v>60</v>
      </c>
      <c r="D479" s="1" t="s">
        <v>32</v>
      </c>
      <c r="E479" s="34">
        <v>487.0</v>
      </c>
      <c r="F479" s="34">
        <v>16311.0</v>
      </c>
      <c r="G479" s="15">
        <v>1560731.0</v>
      </c>
      <c r="H479" s="16">
        <v>0.01045087205931067</v>
      </c>
      <c r="I479" s="17">
        <v>4.597523211879562</v>
      </c>
      <c r="J479" s="16">
        <v>1.56866705135603</v>
      </c>
      <c r="K479" s="16">
        <v>3.599239440257548</v>
      </c>
      <c r="L479" s="16">
        <v>0.10061601642710473</v>
      </c>
      <c r="M479" s="16">
        <v>0.351129363449692</v>
      </c>
      <c r="N479" s="16">
        <v>0.5154004106776181</v>
      </c>
      <c r="O479" s="16">
        <v>0.18275154004106775</v>
      </c>
      <c r="P479" s="35">
        <v>46044.302615740744</v>
      </c>
    </row>
    <row r="480">
      <c r="A480" s="33">
        <v>46044.0</v>
      </c>
      <c r="B480" s="1" t="s">
        <v>60</v>
      </c>
      <c r="D480" s="1" t="s">
        <v>33</v>
      </c>
      <c r="E480" s="34">
        <v>105.0</v>
      </c>
      <c r="F480" s="34">
        <v>291.0</v>
      </c>
      <c r="G480" s="15">
        <v>19436.0</v>
      </c>
      <c r="H480" s="16">
        <v>0.014972216505453797</v>
      </c>
      <c r="I480" s="17">
        <v>5.524079028606709</v>
      </c>
      <c r="J480" s="16">
        <v>0.9037267080745341</v>
      </c>
      <c r="K480" s="16">
        <v>2.2544948381858254</v>
      </c>
      <c r="L480" s="16">
        <v>0.06666666666666667</v>
      </c>
      <c r="M480" s="16">
        <v>0.06666666666666667</v>
      </c>
      <c r="N480" s="16">
        <v>0.4095238095238095</v>
      </c>
      <c r="O480" s="16">
        <v>0.0380952380952381</v>
      </c>
      <c r="P480" s="35">
        <v>46044.302615740744</v>
      </c>
    </row>
    <row r="481">
      <c r="A481" s="33">
        <v>46044.0</v>
      </c>
      <c r="B481" s="1" t="s">
        <v>60</v>
      </c>
      <c r="D481" s="1" t="s">
        <v>34</v>
      </c>
      <c r="E481" s="34">
        <v>89.0</v>
      </c>
      <c r="F481" s="34">
        <v>21.0</v>
      </c>
      <c r="G481" s="15">
        <v>1049.0</v>
      </c>
      <c r="H481" s="16">
        <v>0.02001906577693041</v>
      </c>
      <c r="I481" s="17">
        <v>7.857959961868446</v>
      </c>
      <c r="J481" s="16">
        <v>1.105263157894737</v>
      </c>
      <c r="K481" s="16">
        <v>0.4070624757469926</v>
      </c>
      <c r="L481" s="16">
        <v>0.011235955056179775</v>
      </c>
      <c r="M481" s="16">
        <v>0.011235955056179775</v>
      </c>
      <c r="N481" s="16">
        <v>0.11235955056179775</v>
      </c>
      <c r="O481" s="16">
        <v>0.0449438202247191</v>
      </c>
      <c r="P481" s="35">
        <v>46044.302615740744</v>
      </c>
    </row>
    <row r="482">
      <c r="A482" s="33">
        <v>46045.0</v>
      </c>
      <c r="B482" s="1" t="s">
        <v>57</v>
      </c>
      <c r="E482" s="34">
        <v>1095.0</v>
      </c>
      <c r="F482" s="34">
        <v>17943.0</v>
      </c>
      <c r="G482" s="15">
        <v>1623287.0</v>
      </c>
      <c r="H482" s="16">
        <v>0.011053498241530919</v>
      </c>
      <c r="I482" s="17">
        <v>4.673499510560979</v>
      </c>
      <c r="J482" s="16">
        <v>1.5464104111005774</v>
      </c>
      <c r="K482" s="16">
        <v>3.327171399993441</v>
      </c>
      <c r="L482" s="16">
        <v>0.058447488584474884</v>
      </c>
      <c r="M482" s="16">
        <v>0.1735159817351598</v>
      </c>
      <c r="N482" s="16">
        <v>0.32146118721461187</v>
      </c>
      <c r="O482" s="16">
        <v>0.11689497716894977</v>
      </c>
      <c r="P482" s="35">
        <v>46045.302615740744</v>
      </c>
    </row>
    <row r="483">
      <c r="A483" s="33">
        <v>46045.0</v>
      </c>
      <c r="B483" s="1" t="s">
        <v>58</v>
      </c>
      <c r="E483" s="34">
        <v>757.0</v>
      </c>
      <c r="F483" s="34">
        <v>17850.0</v>
      </c>
      <c r="G483" s="15">
        <v>1621501.0</v>
      </c>
      <c r="H483" s="16">
        <v>0.011008318835449378</v>
      </c>
      <c r="I483" s="17">
        <v>4.6725046731392705</v>
      </c>
      <c r="J483" s="16">
        <v>1.5508253692441356</v>
      </c>
      <c r="K483" s="16">
        <v>3.391665481379841</v>
      </c>
      <c r="L483" s="16">
        <v>0.08058124174372523</v>
      </c>
      <c r="M483" s="16">
        <v>0.24702774108322326</v>
      </c>
      <c r="N483" s="16">
        <v>0.44121532364597094</v>
      </c>
      <c r="O483" s="16">
        <v>0.14927344782034346</v>
      </c>
      <c r="P483" s="35">
        <v>46045.302615740744</v>
      </c>
    </row>
    <row r="484">
      <c r="A484" s="33">
        <v>46045.0</v>
      </c>
      <c r="B484" s="1" t="s">
        <v>59</v>
      </c>
      <c r="C484" s="3" t="s">
        <v>2</v>
      </c>
      <c r="E484" s="34">
        <v>131.0</v>
      </c>
      <c r="F484" s="34">
        <v>1253.0</v>
      </c>
      <c r="G484" s="15">
        <v>96882.0</v>
      </c>
      <c r="H484" s="16">
        <v>0.012933259016122706</v>
      </c>
      <c r="I484" s="17">
        <v>4.96925125410293</v>
      </c>
      <c r="J484" s="16">
        <v>4.1490066225165565</v>
      </c>
      <c r="K484" s="16">
        <v>5.15137980539161</v>
      </c>
      <c r="L484" s="16">
        <v>0.04580152671755725</v>
      </c>
      <c r="M484" s="16">
        <v>0.07633587786259542</v>
      </c>
      <c r="N484" s="16">
        <v>0.4351145038167939</v>
      </c>
      <c r="O484" s="16">
        <v>0.07633587786259542</v>
      </c>
      <c r="P484" s="35">
        <v>46045.302615740744</v>
      </c>
    </row>
    <row r="485">
      <c r="A485" s="33">
        <v>46045.0</v>
      </c>
      <c r="B485" s="1" t="s">
        <v>59</v>
      </c>
      <c r="C485" s="1" t="s">
        <v>3</v>
      </c>
      <c r="E485" s="34">
        <v>169.0</v>
      </c>
      <c r="F485" s="34">
        <v>1047.0</v>
      </c>
      <c r="G485" s="15">
        <v>41463.0</v>
      </c>
      <c r="H485" s="16">
        <v>0.025251428984878085</v>
      </c>
      <c r="I485" s="17">
        <v>6.180884161782794</v>
      </c>
      <c r="J485" s="16">
        <v>1.5580357142857142</v>
      </c>
      <c r="K485" s="16">
        <v>1.9260928136758488</v>
      </c>
      <c r="L485" s="16">
        <v>0.03550295857988166</v>
      </c>
      <c r="M485" s="16">
        <v>0.04142011834319527</v>
      </c>
      <c r="N485" s="16">
        <v>0.4260355029585799</v>
      </c>
      <c r="O485" s="16">
        <v>0.10650887573964497</v>
      </c>
      <c r="P485" s="35">
        <v>46045.302615740744</v>
      </c>
    </row>
    <row r="486">
      <c r="A486" s="33">
        <v>46045.0</v>
      </c>
      <c r="B486" s="1" t="s">
        <v>59</v>
      </c>
      <c r="C486" s="3" t="s">
        <v>4</v>
      </c>
      <c r="E486" s="34">
        <v>105.0</v>
      </c>
      <c r="F486" s="34">
        <v>556.0</v>
      </c>
      <c r="G486" s="15">
        <v>27500.0</v>
      </c>
      <c r="H486" s="16">
        <v>0.02021818181818182</v>
      </c>
      <c r="I486" s="17">
        <v>5.439490909090909</v>
      </c>
      <c r="J486" s="16">
        <v>1.0651340996168583</v>
      </c>
      <c r="K486" s="16">
        <v>1.6570257893468305</v>
      </c>
      <c r="L486" s="16">
        <v>0.08571428571428572</v>
      </c>
      <c r="M486" s="16">
        <v>0.11428571428571428</v>
      </c>
      <c r="N486" s="16">
        <v>0.2571428571428571</v>
      </c>
      <c r="O486" s="16">
        <v>0.13333333333333333</v>
      </c>
      <c r="P486" s="35">
        <v>46045.302615740744</v>
      </c>
    </row>
    <row r="487">
      <c r="A487" s="33">
        <v>46045.0</v>
      </c>
      <c r="B487" s="1" t="s">
        <v>59</v>
      </c>
      <c r="C487" s="3" t="s">
        <v>5</v>
      </c>
      <c r="E487" s="34">
        <v>18.0</v>
      </c>
      <c r="F487" s="34">
        <v>4482.0</v>
      </c>
      <c r="G487" s="15">
        <v>64224.0</v>
      </c>
      <c r="H487" s="16">
        <v>0.06978699551569506</v>
      </c>
      <c r="I487" s="17">
        <v>5.745173143996014</v>
      </c>
      <c r="J487" s="16">
        <v>1.0174801362088535</v>
      </c>
      <c r="K487" s="16">
        <v>2.056286619921237</v>
      </c>
      <c r="L487" s="16">
        <v>0.1111111111111111</v>
      </c>
      <c r="M487" s="16">
        <v>0.1111111111111111</v>
      </c>
      <c r="N487" s="16">
        <v>0.5</v>
      </c>
      <c r="O487" s="16">
        <v>0.05555555555555555</v>
      </c>
      <c r="P487" s="35">
        <v>46045.302615740744</v>
      </c>
    </row>
    <row r="488">
      <c r="A488" s="33">
        <v>46045.0</v>
      </c>
      <c r="B488" s="1" t="s">
        <v>59</v>
      </c>
      <c r="C488" s="3" t="s">
        <v>6</v>
      </c>
      <c r="E488" s="34">
        <v>29.0</v>
      </c>
      <c r="F488" s="34">
        <v>5610.0</v>
      </c>
      <c r="G488" s="15">
        <v>443657.0</v>
      </c>
      <c r="H488" s="16">
        <v>0.012644903607967417</v>
      </c>
      <c r="I488" s="17">
        <v>4.297087614981844</v>
      </c>
      <c r="J488" s="16">
        <v>1.4940079893475366</v>
      </c>
      <c r="K488" s="16">
        <v>2.167161656522631</v>
      </c>
      <c r="L488" s="16">
        <v>0.0</v>
      </c>
      <c r="M488" s="16">
        <v>0.0</v>
      </c>
      <c r="N488" s="16">
        <v>0.8275862068965517</v>
      </c>
      <c r="O488" s="16">
        <v>0.13793103448275862</v>
      </c>
      <c r="P488" s="35">
        <v>46045.302615740744</v>
      </c>
    </row>
    <row r="489">
      <c r="A489" s="33">
        <v>46045.0</v>
      </c>
      <c r="B489" s="1" t="s">
        <v>59</v>
      </c>
      <c r="C489" s="3" t="s">
        <v>7</v>
      </c>
      <c r="E489" s="34">
        <v>128.0</v>
      </c>
      <c r="F489" s="34">
        <v>917.0</v>
      </c>
      <c r="G489" s="15">
        <v>196042.0</v>
      </c>
      <c r="H489" s="16">
        <v>0.004677569092337356</v>
      </c>
      <c r="I489" s="17">
        <v>4.619153038634578</v>
      </c>
      <c r="J489" s="16">
        <v>2.253071253071253</v>
      </c>
      <c r="K489" s="16">
        <v>6.390937245313774</v>
      </c>
      <c r="L489" s="16">
        <v>0.1015625</v>
      </c>
      <c r="M489" s="16">
        <v>0.5234375</v>
      </c>
      <c r="N489" s="16">
        <v>0.5546875</v>
      </c>
      <c r="O489" s="16">
        <v>0.203125</v>
      </c>
      <c r="P489" s="35">
        <v>46045.302615740744</v>
      </c>
    </row>
    <row r="490">
      <c r="A490" s="33">
        <v>46045.0</v>
      </c>
      <c r="B490" s="1" t="s">
        <v>59</v>
      </c>
      <c r="C490" s="3" t="s">
        <v>8</v>
      </c>
      <c r="E490" s="34">
        <v>119.0</v>
      </c>
      <c r="F490" s="34">
        <v>902.0</v>
      </c>
      <c r="G490" s="15">
        <v>306945.0</v>
      </c>
      <c r="H490" s="16">
        <v>0.002938637215136262</v>
      </c>
      <c r="I490" s="17">
        <v>5.3011875091628795</v>
      </c>
      <c r="J490" s="16">
        <v>0.9901207464324918</v>
      </c>
      <c r="K490" s="16">
        <v>2.894669835342047</v>
      </c>
      <c r="L490" s="16">
        <v>0.19327731092436976</v>
      </c>
      <c r="M490" s="16">
        <v>0.6050420168067226</v>
      </c>
      <c r="N490" s="16">
        <v>0.5042016806722689</v>
      </c>
      <c r="O490" s="16">
        <v>0.1092436974789916</v>
      </c>
      <c r="P490" s="35">
        <v>46045.302615740744</v>
      </c>
    </row>
    <row r="491">
      <c r="A491" s="33">
        <v>46045.0</v>
      </c>
      <c r="B491" s="1" t="s">
        <v>59</v>
      </c>
      <c r="C491" s="3" t="s">
        <v>9</v>
      </c>
      <c r="E491" s="34">
        <v>11.0</v>
      </c>
      <c r="F491" s="34">
        <v>7.0</v>
      </c>
      <c r="G491" s="15">
        <v>475.0</v>
      </c>
      <c r="H491" s="16">
        <v>0.014736842105263158</v>
      </c>
      <c r="I491" s="17">
        <v>17.52</v>
      </c>
      <c r="J491" s="16">
        <v>2.3333333333333335</v>
      </c>
      <c r="K491" s="16">
        <v>1.9230769230769231</v>
      </c>
      <c r="L491" s="16">
        <v>0.09090909090909091</v>
      </c>
      <c r="M491" s="16">
        <v>0.09090909090909091</v>
      </c>
      <c r="N491" s="16">
        <v>0.18181818181818182</v>
      </c>
      <c r="O491" s="16">
        <v>0.09090909090909091</v>
      </c>
      <c r="P491" s="35">
        <v>46045.302615740744</v>
      </c>
    </row>
    <row r="492">
      <c r="A492" s="33">
        <v>46045.0</v>
      </c>
      <c r="B492" s="1" t="s">
        <v>59</v>
      </c>
      <c r="C492" s="3" t="s">
        <v>10</v>
      </c>
      <c r="E492" s="34">
        <v>47.0</v>
      </c>
      <c r="F492" s="34">
        <v>3076.0</v>
      </c>
      <c r="G492" s="15">
        <v>444313.0</v>
      </c>
      <c r="H492" s="16">
        <v>0.006923047491295551</v>
      </c>
      <c r="I492" s="17">
        <v>4.214871048112479</v>
      </c>
      <c r="J492" s="16">
        <v>5.771106941838649</v>
      </c>
      <c r="K492" s="16">
        <v>9.209895736168978</v>
      </c>
      <c r="L492" s="16">
        <v>0.02127659574468085</v>
      </c>
      <c r="M492" s="16">
        <v>0.3404255319148936</v>
      </c>
      <c r="N492" s="16">
        <v>0.2553191489361702</v>
      </c>
      <c r="O492" s="16">
        <v>0.5531914893617021</v>
      </c>
      <c r="P492" s="35">
        <v>46045.302615740744</v>
      </c>
    </row>
    <row r="493">
      <c r="A493" s="33">
        <v>46045.0</v>
      </c>
      <c r="B493" s="1" t="s">
        <v>60</v>
      </c>
      <c r="D493" s="1" t="s">
        <v>30</v>
      </c>
      <c r="E493" s="34">
        <v>9.0</v>
      </c>
      <c r="F493" s="34">
        <v>450.0</v>
      </c>
      <c r="G493" s="15">
        <v>10917.0</v>
      </c>
      <c r="H493" s="16">
        <v>0.041220115416323165</v>
      </c>
      <c r="I493" s="17">
        <v>10.474122927544197</v>
      </c>
      <c r="J493" s="16">
        <v>1.2162162162162162</v>
      </c>
      <c r="K493" s="16">
        <v>0.6877283608416278</v>
      </c>
      <c r="L493" s="16">
        <v>0.0</v>
      </c>
      <c r="M493" s="16">
        <v>0.1111111111111111</v>
      </c>
      <c r="N493" s="16">
        <v>0.7777777777777778</v>
      </c>
      <c r="O493" s="16">
        <v>0.2222222222222222</v>
      </c>
      <c r="P493" s="35">
        <v>46045.302615740744</v>
      </c>
    </row>
    <row r="494">
      <c r="A494" s="33">
        <v>46045.0</v>
      </c>
      <c r="B494" s="1" t="s">
        <v>60</v>
      </c>
      <c r="D494" s="1" t="s">
        <v>31</v>
      </c>
      <c r="E494" s="34">
        <v>67.0</v>
      </c>
      <c r="F494" s="34">
        <v>471.0</v>
      </c>
      <c r="G494" s="15">
        <v>11198.0</v>
      </c>
      <c r="H494" s="16">
        <v>0.04206108233613145</v>
      </c>
      <c r="I494" s="17">
        <v>7.305679585640293</v>
      </c>
      <c r="J494" s="16">
        <v>2.5737704918032787</v>
      </c>
      <c r="K494" s="16">
        <v>0.8929824561403509</v>
      </c>
      <c r="L494" s="16">
        <v>0.07462686567164178</v>
      </c>
      <c r="M494" s="16">
        <v>0.08955223880597014</v>
      </c>
      <c r="N494" s="16">
        <v>0.3283582089552239</v>
      </c>
      <c r="O494" s="16">
        <v>0.208955223880597</v>
      </c>
      <c r="P494" s="35">
        <v>46045.302615740744</v>
      </c>
    </row>
    <row r="495">
      <c r="A495" s="33">
        <v>46045.0</v>
      </c>
      <c r="B495" s="1" t="s">
        <v>60</v>
      </c>
      <c r="D495" s="1" t="s">
        <v>32</v>
      </c>
      <c r="E495" s="34">
        <v>487.0</v>
      </c>
      <c r="F495" s="34">
        <v>16617.0</v>
      </c>
      <c r="G495" s="15">
        <v>1578341.0</v>
      </c>
      <c r="H495" s="16">
        <v>0.010528143157910744</v>
      </c>
      <c r="I495" s="17">
        <v>4.601727383372794</v>
      </c>
      <c r="J495" s="16">
        <v>1.5660163980774668</v>
      </c>
      <c r="K495" s="16">
        <v>3.5998198198198197</v>
      </c>
      <c r="L495" s="16">
        <v>0.09856262833675565</v>
      </c>
      <c r="M495" s="16">
        <v>0.351129363449692</v>
      </c>
      <c r="N495" s="16">
        <v>0.5195071868583162</v>
      </c>
      <c r="O495" s="16">
        <v>0.1806981519507187</v>
      </c>
      <c r="P495" s="35">
        <v>46045.302615740744</v>
      </c>
    </row>
    <row r="496">
      <c r="A496" s="33">
        <v>46045.0</v>
      </c>
      <c r="B496" s="1" t="s">
        <v>60</v>
      </c>
      <c r="D496" s="1" t="s">
        <v>33</v>
      </c>
      <c r="E496" s="34">
        <v>105.0</v>
      </c>
      <c r="F496" s="34">
        <v>290.0</v>
      </c>
      <c r="G496" s="15">
        <v>19985.0</v>
      </c>
      <c r="H496" s="16">
        <v>0.01451088316237178</v>
      </c>
      <c r="I496" s="17">
        <v>5.448986740055041</v>
      </c>
      <c r="J496" s="16">
        <v>0.8868501529051988</v>
      </c>
      <c r="K496" s="16">
        <v>2.3122758301515676</v>
      </c>
      <c r="L496" s="16">
        <v>0.06666666666666667</v>
      </c>
      <c r="M496" s="16">
        <v>0.0761904761904762</v>
      </c>
      <c r="N496" s="16">
        <v>0.4</v>
      </c>
      <c r="O496" s="16">
        <v>0.047619047619047616</v>
      </c>
      <c r="P496" s="35">
        <v>46045.302615740744</v>
      </c>
    </row>
    <row r="497">
      <c r="A497" s="33">
        <v>46045.0</v>
      </c>
      <c r="B497" s="1" t="s">
        <v>60</v>
      </c>
      <c r="D497" s="1" t="s">
        <v>34</v>
      </c>
      <c r="E497" s="34">
        <v>89.0</v>
      </c>
      <c r="F497" s="34">
        <v>22.0</v>
      </c>
      <c r="G497" s="15">
        <v>1060.0</v>
      </c>
      <c r="H497" s="16">
        <v>0.020754716981132074</v>
      </c>
      <c r="I497" s="17">
        <v>7.85188679245283</v>
      </c>
      <c r="J497" s="16">
        <v>1.1578947368421053</v>
      </c>
      <c r="K497" s="16">
        <v>0.41133100504462555</v>
      </c>
      <c r="L497" s="16">
        <v>0.011235955056179775</v>
      </c>
      <c r="M497" s="16">
        <v>0.011235955056179775</v>
      </c>
      <c r="N497" s="16">
        <v>0.11235955056179775</v>
      </c>
      <c r="O497" s="16">
        <v>0.0449438202247191</v>
      </c>
      <c r="P497" s="35">
        <v>46045.302615740744</v>
      </c>
    </row>
    <row r="498">
      <c r="A498" s="33">
        <v>46046.0</v>
      </c>
      <c r="B498" s="1" t="s">
        <v>57</v>
      </c>
      <c r="E498" s="34">
        <v>1095.0</v>
      </c>
      <c r="F498" s="34">
        <v>18237.0</v>
      </c>
      <c r="G498" s="15">
        <v>1644370.0</v>
      </c>
      <c r="H498" s="16">
        <v>0.01109056964065265</v>
      </c>
      <c r="I498" s="17">
        <v>4.683097478061507</v>
      </c>
      <c r="J498" s="16">
        <v>1.5482638594108158</v>
      </c>
      <c r="K498" s="16">
        <v>3.3430580064894406</v>
      </c>
      <c r="L498" s="16">
        <v>0.0593607305936073</v>
      </c>
      <c r="M498" s="16">
        <v>0.1771689497716895</v>
      </c>
      <c r="N498" s="16">
        <v>0.3187214611872146</v>
      </c>
      <c r="O498" s="16">
        <v>0.12054794520547946</v>
      </c>
      <c r="P498" s="35">
        <v>46046.30267361111</v>
      </c>
    </row>
    <row r="499">
      <c r="A499" s="33">
        <v>46046.0</v>
      </c>
      <c r="B499" s="1" t="s">
        <v>58</v>
      </c>
      <c r="E499" s="34">
        <v>757.0</v>
      </c>
      <c r="F499" s="34">
        <v>18144.0</v>
      </c>
      <c r="G499" s="15">
        <v>1642523.0</v>
      </c>
      <c r="H499" s="16">
        <v>0.011046420658949677</v>
      </c>
      <c r="I499" s="17">
        <v>4.682003235266721</v>
      </c>
      <c r="J499" s="16">
        <v>1.5526270751326374</v>
      </c>
      <c r="K499" s="16">
        <v>3.408685853269802</v>
      </c>
      <c r="L499" s="16">
        <v>0.08190224570673713</v>
      </c>
      <c r="M499" s="16">
        <v>0.2523117569352708</v>
      </c>
      <c r="N499" s="16">
        <v>0.43593130779392336</v>
      </c>
      <c r="O499" s="16">
        <v>0.15323645970937913</v>
      </c>
      <c r="P499" s="35">
        <v>46046.30267361111</v>
      </c>
    </row>
    <row r="500">
      <c r="A500" s="33">
        <v>46046.0</v>
      </c>
      <c r="B500" s="1" t="s">
        <v>59</v>
      </c>
      <c r="C500" s="3" t="s">
        <v>2</v>
      </c>
      <c r="E500" s="34">
        <v>131.0</v>
      </c>
      <c r="F500" s="34">
        <v>1280.0</v>
      </c>
      <c r="G500" s="15">
        <v>99328.0</v>
      </c>
      <c r="H500" s="16">
        <v>0.01288659793814433</v>
      </c>
      <c r="I500" s="17">
        <v>4.957937338917525</v>
      </c>
      <c r="J500" s="16">
        <v>4.102564102564102</v>
      </c>
      <c r="K500" s="16">
        <v>5.244073702550024</v>
      </c>
      <c r="L500" s="16">
        <v>0.05343511450381679</v>
      </c>
      <c r="M500" s="16">
        <v>0.08396946564885496</v>
      </c>
      <c r="N500" s="16">
        <v>0.4351145038167939</v>
      </c>
      <c r="O500" s="16">
        <v>0.08396946564885496</v>
      </c>
      <c r="P500" s="35">
        <v>46046.30267361111</v>
      </c>
    </row>
    <row r="501">
      <c r="A501" s="33">
        <v>46046.0</v>
      </c>
      <c r="B501" s="1" t="s">
        <v>59</v>
      </c>
      <c r="C501" s="1" t="s">
        <v>3</v>
      </c>
      <c r="E501" s="34">
        <v>169.0</v>
      </c>
      <c r="F501" s="34">
        <v>1069.0</v>
      </c>
      <c r="G501" s="15">
        <v>42577.0</v>
      </c>
      <c r="H501" s="16">
        <v>0.02510745238039317</v>
      </c>
      <c r="I501" s="17">
        <v>6.178570589755032</v>
      </c>
      <c r="J501" s="16">
        <v>1.5651537335285506</v>
      </c>
      <c r="K501" s="16">
        <v>1.978944922147339</v>
      </c>
      <c r="L501" s="16">
        <v>0.03550295857988166</v>
      </c>
      <c r="M501" s="16">
        <v>0.047337278106508875</v>
      </c>
      <c r="N501" s="16">
        <v>0.4319526627218935</v>
      </c>
      <c r="O501" s="16">
        <v>0.09467455621301775</v>
      </c>
      <c r="P501" s="35">
        <v>46046.30267361111</v>
      </c>
    </row>
    <row r="502">
      <c r="A502" s="33">
        <v>46046.0</v>
      </c>
      <c r="B502" s="1" t="s">
        <v>59</v>
      </c>
      <c r="C502" s="3" t="s">
        <v>4</v>
      </c>
      <c r="E502" s="34">
        <v>105.0</v>
      </c>
      <c r="F502" s="34">
        <v>566.0</v>
      </c>
      <c r="G502" s="15">
        <v>28135.0</v>
      </c>
      <c r="H502" s="16">
        <v>0.020117291629642795</v>
      </c>
      <c r="I502" s="17">
        <v>5.472223209525502</v>
      </c>
      <c r="J502" s="16">
        <v>1.0926640926640927</v>
      </c>
      <c r="K502" s="16">
        <v>1.697640740964219</v>
      </c>
      <c r="L502" s="16">
        <v>0.08571428571428572</v>
      </c>
      <c r="M502" s="16">
        <v>0.11428571428571428</v>
      </c>
      <c r="N502" s="16">
        <v>0.2571428571428571</v>
      </c>
      <c r="O502" s="16">
        <v>0.13333333333333333</v>
      </c>
      <c r="P502" s="35">
        <v>46046.30267361111</v>
      </c>
    </row>
    <row r="503">
      <c r="A503" s="33">
        <v>46046.0</v>
      </c>
      <c r="B503" s="1" t="s">
        <v>59</v>
      </c>
      <c r="C503" s="3" t="s">
        <v>5</v>
      </c>
      <c r="E503" s="34">
        <v>18.0</v>
      </c>
      <c r="F503" s="34">
        <v>4573.0</v>
      </c>
      <c r="G503" s="15">
        <v>64652.0</v>
      </c>
      <c r="H503" s="16">
        <v>0.0707325372764957</v>
      </c>
      <c r="I503" s="17">
        <v>5.722669058961826</v>
      </c>
      <c r="J503" s="16">
        <v>1.0017524644030669</v>
      </c>
      <c r="K503" s="16">
        <v>2.0306551919090396</v>
      </c>
      <c r="L503" s="16">
        <v>0.1111111111111111</v>
      </c>
      <c r="M503" s="16">
        <v>0.1111111111111111</v>
      </c>
      <c r="N503" s="16">
        <v>0.5</v>
      </c>
      <c r="O503" s="16">
        <v>0.05555555555555555</v>
      </c>
      <c r="P503" s="35">
        <v>46046.30267361111</v>
      </c>
    </row>
    <row r="504">
      <c r="A504" s="33">
        <v>46046.0</v>
      </c>
      <c r="B504" s="1" t="s">
        <v>59</v>
      </c>
      <c r="C504" s="3" t="s">
        <v>6</v>
      </c>
      <c r="E504" s="34">
        <v>29.0</v>
      </c>
      <c r="F504" s="34">
        <v>5683.0</v>
      </c>
      <c r="G504" s="15">
        <v>445513.0</v>
      </c>
      <c r="H504" s="16">
        <v>0.012756081191794628</v>
      </c>
      <c r="I504" s="17">
        <v>4.321166834637822</v>
      </c>
      <c r="J504" s="16">
        <v>1.5174899866488651</v>
      </c>
      <c r="K504" s="16">
        <v>2.164912434155539</v>
      </c>
      <c r="L504" s="16">
        <v>0.034482758620689655</v>
      </c>
      <c r="M504" s="16">
        <v>0.034482758620689655</v>
      </c>
      <c r="N504" s="16">
        <v>0.8275862068965517</v>
      </c>
      <c r="O504" s="16">
        <v>0.13793103448275862</v>
      </c>
      <c r="P504" s="35">
        <v>46046.30267361111</v>
      </c>
    </row>
    <row r="505">
      <c r="A505" s="33">
        <v>46046.0</v>
      </c>
      <c r="B505" s="1" t="s">
        <v>59</v>
      </c>
      <c r="C505" s="3" t="s">
        <v>7</v>
      </c>
      <c r="E505" s="34">
        <v>128.0</v>
      </c>
      <c r="F505" s="34">
        <v>950.0</v>
      </c>
      <c r="G505" s="15">
        <v>201577.0</v>
      </c>
      <c r="H505" s="16">
        <v>0.004712839262415851</v>
      </c>
      <c r="I505" s="17">
        <v>4.622218804724746</v>
      </c>
      <c r="J505" s="16">
        <v>2.3114355231143553</v>
      </c>
      <c r="K505" s="16">
        <v>6.5060517057741345</v>
      </c>
      <c r="L505" s="16">
        <v>0.09375</v>
      </c>
      <c r="M505" s="16">
        <v>0.5078125</v>
      </c>
      <c r="N505" s="16">
        <v>0.5390625</v>
      </c>
      <c r="O505" s="16">
        <v>0.203125</v>
      </c>
      <c r="P505" s="35">
        <v>46046.30267361111</v>
      </c>
    </row>
    <row r="506">
      <c r="A506" s="33">
        <v>46046.0</v>
      </c>
      <c r="B506" s="1" t="s">
        <v>59</v>
      </c>
      <c r="C506" s="3" t="s">
        <v>8</v>
      </c>
      <c r="E506" s="34">
        <v>119.0</v>
      </c>
      <c r="F506" s="34">
        <v>909.0</v>
      </c>
      <c r="G506" s="15">
        <v>312257.0</v>
      </c>
      <c r="H506" s="16">
        <v>0.0029110636430888658</v>
      </c>
      <c r="I506" s="17">
        <v>5.305792984624844</v>
      </c>
      <c r="J506" s="16">
        <v>1.0022050716648292</v>
      </c>
      <c r="K506" s="16">
        <v>2.9106187431255943</v>
      </c>
      <c r="L506" s="16">
        <v>0.18487394957983194</v>
      </c>
      <c r="M506" s="16">
        <v>0.6302521008403361</v>
      </c>
      <c r="N506" s="16">
        <v>0.47058823529411764</v>
      </c>
      <c r="O506" s="16">
        <v>0.14285714285714285</v>
      </c>
      <c r="P506" s="35">
        <v>46046.30267361111</v>
      </c>
    </row>
    <row r="507">
      <c r="A507" s="33">
        <v>46046.0</v>
      </c>
      <c r="B507" s="1" t="s">
        <v>59</v>
      </c>
      <c r="C507" s="3" t="s">
        <v>9</v>
      </c>
      <c r="E507" s="34">
        <v>11.0</v>
      </c>
      <c r="F507" s="34">
        <v>7.0</v>
      </c>
      <c r="G507" s="15">
        <v>482.0</v>
      </c>
      <c r="H507" s="16">
        <v>0.014522821576763486</v>
      </c>
      <c r="I507" s="17">
        <v>17.566390041493776</v>
      </c>
      <c r="J507" s="16">
        <v>1.75</v>
      </c>
      <c r="K507" s="16">
        <v>1.9203187250996017</v>
      </c>
      <c r="L507" s="16">
        <v>0.09090909090909091</v>
      </c>
      <c r="M507" s="16">
        <v>0.09090909090909091</v>
      </c>
      <c r="N507" s="16">
        <v>0.18181818181818182</v>
      </c>
      <c r="O507" s="16">
        <v>0.09090909090909091</v>
      </c>
      <c r="P507" s="35">
        <v>46046.30267361111</v>
      </c>
    </row>
    <row r="508">
      <c r="A508" s="33">
        <v>46046.0</v>
      </c>
      <c r="B508" s="1" t="s">
        <v>59</v>
      </c>
      <c r="C508" s="3" t="s">
        <v>10</v>
      </c>
      <c r="E508" s="34">
        <v>47.0</v>
      </c>
      <c r="F508" s="34">
        <v>3107.0</v>
      </c>
      <c r="G508" s="15">
        <v>448002.0</v>
      </c>
      <c r="H508" s="16">
        <v>0.006935236896263856</v>
      </c>
      <c r="I508" s="17">
        <v>4.215876268409516</v>
      </c>
      <c r="J508" s="16">
        <v>5.743068391866913</v>
      </c>
      <c r="K508" s="16">
        <v>9.200542172386175</v>
      </c>
      <c r="L508" s="16">
        <v>0.0425531914893617</v>
      </c>
      <c r="M508" s="16">
        <v>0.3404255319148936</v>
      </c>
      <c r="N508" s="16">
        <v>0.2765957446808511</v>
      </c>
      <c r="O508" s="16">
        <v>0.5531914893617021</v>
      </c>
      <c r="P508" s="35">
        <v>46046.30267361111</v>
      </c>
    </row>
    <row r="509">
      <c r="A509" s="33">
        <v>46046.0</v>
      </c>
      <c r="B509" s="1" t="s">
        <v>60</v>
      </c>
      <c r="D509" s="1" t="s">
        <v>30</v>
      </c>
      <c r="E509" s="34">
        <v>9.0</v>
      </c>
      <c r="F509" s="34">
        <v>458.0</v>
      </c>
      <c r="G509" s="15">
        <v>11055.0</v>
      </c>
      <c r="H509" s="16">
        <v>0.041429217548620535</v>
      </c>
      <c r="I509" s="17">
        <v>10.757756671189506</v>
      </c>
      <c r="J509" s="16">
        <v>1.1834625322997416</v>
      </c>
      <c r="K509" s="16">
        <v>0.6908079735049678</v>
      </c>
      <c r="L509" s="16">
        <v>0.0</v>
      </c>
      <c r="M509" s="16">
        <v>0.1111111111111111</v>
      </c>
      <c r="N509" s="16">
        <v>0.7777777777777778</v>
      </c>
      <c r="O509" s="16">
        <v>0.2222222222222222</v>
      </c>
      <c r="P509" s="35">
        <v>46046.30267361111</v>
      </c>
    </row>
    <row r="510">
      <c r="A510" s="33">
        <v>46046.0</v>
      </c>
      <c r="B510" s="1" t="s">
        <v>60</v>
      </c>
      <c r="D510" s="1" t="s">
        <v>31</v>
      </c>
      <c r="E510" s="34">
        <v>67.0</v>
      </c>
      <c r="F510" s="34">
        <v>484.0</v>
      </c>
      <c r="G510" s="15">
        <v>11481.0</v>
      </c>
      <c r="H510" s="16">
        <v>0.04215660656737218</v>
      </c>
      <c r="I510" s="17">
        <v>7.279331068722237</v>
      </c>
      <c r="J510" s="16">
        <v>2.616216216216216</v>
      </c>
      <c r="K510" s="16">
        <v>0.910829036096787</v>
      </c>
      <c r="L510" s="16">
        <v>0.08955223880597014</v>
      </c>
      <c r="M510" s="16">
        <v>0.1044776119402985</v>
      </c>
      <c r="N510" s="16">
        <v>0.34328358208955223</v>
      </c>
      <c r="O510" s="16">
        <v>0.16417910447761194</v>
      </c>
      <c r="P510" s="35">
        <v>46046.30267361111</v>
      </c>
    </row>
    <row r="511">
      <c r="A511" s="33">
        <v>46046.0</v>
      </c>
      <c r="B511" s="1" t="s">
        <v>60</v>
      </c>
      <c r="D511" s="1" t="s">
        <v>32</v>
      </c>
      <c r="E511" s="34">
        <v>487.0</v>
      </c>
      <c r="F511" s="34">
        <v>16885.0</v>
      </c>
      <c r="G511" s="15">
        <v>1598325.0</v>
      </c>
      <c r="H511" s="16">
        <v>0.01056418438052336</v>
      </c>
      <c r="I511" s="17">
        <v>4.609010683058827</v>
      </c>
      <c r="J511" s="16">
        <v>1.567489788340141</v>
      </c>
      <c r="K511" s="16">
        <v>3.6159481110625964</v>
      </c>
      <c r="L511" s="16">
        <v>0.09856262833675565</v>
      </c>
      <c r="M511" s="16">
        <v>0.35728952772073924</v>
      </c>
      <c r="N511" s="16">
        <v>0.5092402464065708</v>
      </c>
      <c r="O511" s="16">
        <v>0.19096509240246407</v>
      </c>
      <c r="P511" s="35">
        <v>46046.30267361111</v>
      </c>
    </row>
    <row r="512">
      <c r="A512" s="33">
        <v>46046.0</v>
      </c>
      <c r="B512" s="1" t="s">
        <v>60</v>
      </c>
      <c r="D512" s="1" t="s">
        <v>33</v>
      </c>
      <c r="E512" s="34">
        <v>105.0</v>
      </c>
      <c r="F512" s="34">
        <v>295.0</v>
      </c>
      <c r="G512" s="15">
        <v>20590.0</v>
      </c>
      <c r="H512" s="16">
        <v>0.014327343370568237</v>
      </c>
      <c r="I512" s="17">
        <v>5.4736765420106845</v>
      </c>
      <c r="J512" s="16">
        <v>0.913312693498452</v>
      </c>
      <c r="K512" s="16">
        <v>2.3866929407673583</v>
      </c>
      <c r="L512" s="16">
        <v>0.05714285714285714</v>
      </c>
      <c r="M512" s="16">
        <v>0.06666666666666667</v>
      </c>
      <c r="N512" s="16">
        <v>0.4</v>
      </c>
      <c r="O512" s="16">
        <v>0.05714285714285714</v>
      </c>
      <c r="P512" s="35">
        <v>46046.30267361111</v>
      </c>
    </row>
    <row r="513">
      <c r="A513" s="33">
        <v>46046.0</v>
      </c>
      <c r="B513" s="1" t="s">
        <v>60</v>
      </c>
      <c r="D513" s="1" t="s">
        <v>34</v>
      </c>
      <c r="E513" s="34">
        <v>89.0</v>
      </c>
      <c r="F513" s="34">
        <v>22.0</v>
      </c>
      <c r="G513" s="15">
        <v>1072.0</v>
      </c>
      <c r="H513" s="16">
        <v>0.020522388059701493</v>
      </c>
      <c r="I513" s="17">
        <v>7.833022388059701</v>
      </c>
      <c r="J513" s="16">
        <v>1.1578947368421053</v>
      </c>
      <c r="K513" s="16">
        <v>0.4110429447852761</v>
      </c>
      <c r="L513" s="16">
        <v>0.02247191011235955</v>
      </c>
      <c r="M513" s="16">
        <v>0.02247191011235955</v>
      </c>
      <c r="N513" s="16">
        <v>0.11235955056179775</v>
      </c>
      <c r="O513" s="16">
        <v>0.0449438202247191</v>
      </c>
      <c r="P513" s="35">
        <v>46046.30267361111</v>
      </c>
    </row>
    <row r="514">
      <c r="A514" s="33">
        <v>46047.0</v>
      </c>
      <c r="B514" s="1" t="s">
        <v>57</v>
      </c>
      <c r="E514" s="34">
        <v>1127.0</v>
      </c>
      <c r="F514" s="34">
        <v>18533.0</v>
      </c>
      <c r="G514" s="15">
        <v>1664669.0</v>
      </c>
      <c r="H514" s="16">
        <v>0.011133144186622085</v>
      </c>
      <c r="I514" s="17">
        <v>4.688105563328206</v>
      </c>
      <c r="J514" s="16">
        <v>1.5532182366744887</v>
      </c>
      <c r="K514" s="16">
        <v>3.3487810226173162</v>
      </c>
      <c r="L514" s="16">
        <v>0.05856255545696539</v>
      </c>
      <c r="M514" s="16">
        <v>0.17213842058562556</v>
      </c>
      <c r="N514" s="16">
        <v>0.30612244897959184</v>
      </c>
      <c r="O514" s="16">
        <v>0.11801242236024845</v>
      </c>
      <c r="P514" s="35">
        <v>46047.30265046296</v>
      </c>
    </row>
    <row r="515">
      <c r="A515" s="33">
        <v>46047.0</v>
      </c>
      <c r="B515" s="1" t="s">
        <v>58</v>
      </c>
      <c r="E515" s="34">
        <v>789.0</v>
      </c>
      <c r="F515" s="34">
        <v>18440.0</v>
      </c>
      <c r="G515" s="15">
        <v>1662849.0</v>
      </c>
      <c r="H515" s="16">
        <v>0.011089401382807458</v>
      </c>
      <c r="I515" s="17">
        <v>4.687207317080505</v>
      </c>
      <c r="J515" s="16">
        <v>1.5566435927739322</v>
      </c>
      <c r="K515" s="16">
        <v>3.4152527578154364</v>
      </c>
      <c r="L515" s="16">
        <v>0.07984790874524715</v>
      </c>
      <c r="M515" s="16">
        <v>0.2420785804816223</v>
      </c>
      <c r="N515" s="16">
        <v>0.41191381495564006</v>
      </c>
      <c r="O515" s="16">
        <v>0.1520912547528517</v>
      </c>
      <c r="P515" s="35">
        <v>46047.30265046296</v>
      </c>
    </row>
    <row r="516">
      <c r="A516" s="33">
        <v>46047.0</v>
      </c>
      <c r="B516" s="1" t="s">
        <v>59</v>
      </c>
      <c r="C516" s="3" t="s">
        <v>2</v>
      </c>
      <c r="E516" s="34">
        <v>132.0</v>
      </c>
      <c r="F516" s="34">
        <v>1297.0</v>
      </c>
      <c r="G516" s="15">
        <v>101285.0</v>
      </c>
      <c r="H516" s="16">
        <v>0.012805449967912327</v>
      </c>
      <c r="I516" s="17">
        <v>4.96864293824357</v>
      </c>
      <c r="J516" s="16">
        <v>4.143769968051118</v>
      </c>
      <c r="K516" s="16">
        <v>5.2890339425587465</v>
      </c>
      <c r="L516" s="16">
        <v>0.05303030303030303</v>
      </c>
      <c r="M516" s="16">
        <v>0.08333333333333333</v>
      </c>
      <c r="N516" s="16">
        <v>0.4393939393939394</v>
      </c>
      <c r="O516" s="16">
        <v>0.08333333333333333</v>
      </c>
      <c r="P516" s="35">
        <v>46047.30265046296</v>
      </c>
    </row>
    <row r="517">
      <c r="A517" s="33">
        <v>46047.0</v>
      </c>
      <c r="B517" s="1" t="s">
        <v>59</v>
      </c>
      <c r="C517" s="1" t="s">
        <v>3</v>
      </c>
      <c r="E517" s="34">
        <v>169.0</v>
      </c>
      <c r="F517" s="34">
        <v>1100.0</v>
      </c>
      <c r="G517" s="15">
        <v>43569.0</v>
      </c>
      <c r="H517" s="16">
        <v>0.025247308866395833</v>
      </c>
      <c r="I517" s="17">
        <v>6.1544217218664645</v>
      </c>
      <c r="J517" s="16">
        <v>1.5647226173541964</v>
      </c>
      <c r="K517" s="16">
        <v>2.025899748907282</v>
      </c>
      <c r="L517" s="16">
        <v>0.03550295857988166</v>
      </c>
      <c r="M517" s="16">
        <v>0.047337278106508875</v>
      </c>
      <c r="N517" s="16">
        <v>0.4437869822485207</v>
      </c>
      <c r="O517" s="16">
        <v>0.10059171597633136</v>
      </c>
      <c r="P517" s="35">
        <v>46047.30265046296</v>
      </c>
    </row>
    <row r="518">
      <c r="A518" s="33">
        <v>46047.0</v>
      </c>
      <c r="B518" s="1" t="s">
        <v>59</v>
      </c>
      <c r="C518" s="3" t="s">
        <v>4</v>
      </c>
      <c r="E518" s="34">
        <v>105.0</v>
      </c>
      <c r="F518" s="34">
        <v>570.0</v>
      </c>
      <c r="G518" s="15">
        <v>28875.0</v>
      </c>
      <c r="H518" s="16">
        <v>0.019740259740259742</v>
      </c>
      <c r="I518" s="17">
        <v>5.441558441558442</v>
      </c>
      <c r="J518" s="16">
        <v>1.0754716981132075</v>
      </c>
      <c r="K518" s="16">
        <v>1.7425019612576187</v>
      </c>
      <c r="L518" s="16">
        <v>0.08571428571428572</v>
      </c>
      <c r="M518" s="16">
        <v>0.11428571428571428</v>
      </c>
      <c r="N518" s="16">
        <v>0.23809523809523808</v>
      </c>
      <c r="O518" s="16">
        <v>0.1523809523809524</v>
      </c>
      <c r="P518" s="35">
        <v>46047.30265046296</v>
      </c>
    </row>
    <row r="519">
      <c r="A519" s="33">
        <v>46047.0</v>
      </c>
      <c r="B519" s="1" t="s">
        <v>59</v>
      </c>
      <c r="C519" s="3" t="s">
        <v>5</v>
      </c>
      <c r="E519" s="34">
        <v>18.0</v>
      </c>
      <c r="F519" s="34">
        <v>4685.0</v>
      </c>
      <c r="G519" s="15">
        <v>64860.0</v>
      </c>
      <c r="H519" s="16">
        <v>0.07223250077089115</v>
      </c>
      <c r="I519" s="17">
        <v>5.673712611779217</v>
      </c>
      <c r="J519" s="16">
        <v>1.006012454369766</v>
      </c>
      <c r="K519" s="16">
        <v>1.9998150032374433</v>
      </c>
      <c r="L519" s="16">
        <v>0.1111111111111111</v>
      </c>
      <c r="M519" s="16">
        <v>0.1111111111111111</v>
      </c>
      <c r="N519" s="16">
        <v>0.5</v>
      </c>
      <c r="O519" s="16">
        <v>0.05555555555555555</v>
      </c>
      <c r="P519" s="35">
        <v>46047.30265046296</v>
      </c>
    </row>
    <row r="520">
      <c r="A520" s="33">
        <v>46047.0</v>
      </c>
      <c r="B520" s="1" t="s">
        <v>59</v>
      </c>
      <c r="C520" s="3" t="s">
        <v>6</v>
      </c>
      <c r="E520" s="34">
        <v>29.0</v>
      </c>
      <c r="F520" s="34">
        <v>5779.0</v>
      </c>
      <c r="G520" s="15">
        <v>445889.0</v>
      </c>
      <c r="H520" s="16">
        <v>0.012960624729473031</v>
      </c>
      <c r="I520" s="17">
        <v>4.338584266487848</v>
      </c>
      <c r="J520" s="16">
        <v>1.5431241655540722</v>
      </c>
      <c r="K520" s="16">
        <v>2.1530858116884684</v>
      </c>
      <c r="L520" s="16">
        <v>0.06896551724137931</v>
      </c>
      <c r="M520" s="16">
        <v>0.06896551724137931</v>
      </c>
      <c r="N520" s="16">
        <v>0.7586206896551724</v>
      </c>
      <c r="O520" s="16">
        <v>0.1724137931034483</v>
      </c>
      <c r="P520" s="35">
        <v>46047.30265046296</v>
      </c>
    </row>
    <row r="521">
      <c r="A521" s="33">
        <v>46047.0</v>
      </c>
      <c r="B521" s="1" t="s">
        <v>59</v>
      </c>
      <c r="C521" s="3" t="s">
        <v>7</v>
      </c>
      <c r="E521" s="34">
        <v>130.0</v>
      </c>
      <c r="F521" s="34">
        <v>978.0</v>
      </c>
      <c r="G521" s="15">
        <v>207235.0</v>
      </c>
      <c r="H521" s="16">
        <v>0.004719280044394045</v>
      </c>
      <c r="I521" s="17">
        <v>4.6155523922117405</v>
      </c>
      <c r="J521" s="16">
        <v>2.2744186046511627</v>
      </c>
      <c r="K521" s="16">
        <v>6.606784199955367</v>
      </c>
      <c r="L521" s="16">
        <v>0.09230769230769231</v>
      </c>
      <c r="M521" s="16">
        <v>0.5</v>
      </c>
      <c r="N521" s="16">
        <v>0.5076923076923077</v>
      </c>
      <c r="O521" s="16">
        <v>0.2153846153846154</v>
      </c>
      <c r="P521" s="35">
        <v>46047.30265046296</v>
      </c>
    </row>
    <row r="522">
      <c r="A522" s="33">
        <v>46047.0</v>
      </c>
      <c r="B522" s="1" t="s">
        <v>59</v>
      </c>
      <c r="C522" s="3" t="s">
        <v>8</v>
      </c>
      <c r="E522" s="34">
        <v>119.0</v>
      </c>
      <c r="F522" s="34">
        <v>912.0</v>
      </c>
      <c r="G522" s="15">
        <v>318350.0</v>
      </c>
      <c r="H522" s="16">
        <v>0.0028647714779330923</v>
      </c>
      <c r="I522" s="17">
        <v>5.304102403015549</v>
      </c>
      <c r="J522" s="16">
        <v>0.9967213114754099</v>
      </c>
      <c r="K522" s="16">
        <v>2.919892137799464</v>
      </c>
      <c r="L522" s="16">
        <v>0.18487394957983194</v>
      </c>
      <c r="M522" s="16">
        <v>0.6218487394957983</v>
      </c>
      <c r="N522" s="16">
        <v>0.4789915966386555</v>
      </c>
      <c r="O522" s="16">
        <v>0.13445378151260504</v>
      </c>
      <c r="P522" s="35">
        <v>46047.30265046296</v>
      </c>
    </row>
    <row r="523">
      <c r="A523" s="33">
        <v>46047.0</v>
      </c>
      <c r="B523" s="1" t="s">
        <v>59</v>
      </c>
      <c r="C523" s="3" t="s">
        <v>9</v>
      </c>
      <c r="E523" s="34">
        <v>11.0</v>
      </c>
      <c r="F523" s="34">
        <v>7.0</v>
      </c>
      <c r="G523" s="15">
        <v>485.0</v>
      </c>
      <c r="H523" s="16">
        <v>0.01443298969072165</v>
      </c>
      <c r="I523" s="17">
        <v>17.628865979381445</v>
      </c>
      <c r="J523" s="16">
        <v>1.4</v>
      </c>
      <c r="K523" s="16">
        <v>1.91699604743083</v>
      </c>
      <c r="L523" s="16">
        <v>0.09090909090909091</v>
      </c>
      <c r="M523" s="16">
        <v>0.09090909090909091</v>
      </c>
      <c r="N523" s="16">
        <v>0.09090909090909091</v>
      </c>
      <c r="O523" s="16">
        <v>0.09090909090909091</v>
      </c>
      <c r="P523" s="35">
        <v>46047.30265046296</v>
      </c>
    </row>
    <row r="524">
      <c r="A524" s="33">
        <v>46047.0</v>
      </c>
      <c r="B524" s="1" t="s">
        <v>59</v>
      </c>
      <c r="C524" s="3" t="s">
        <v>10</v>
      </c>
      <c r="E524" s="34">
        <v>76.0</v>
      </c>
      <c r="F524" s="34">
        <v>3112.0</v>
      </c>
      <c r="G524" s="15">
        <v>452301.0</v>
      </c>
      <c r="H524" s="16">
        <v>0.006880373910294251</v>
      </c>
      <c r="I524" s="17">
        <v>4.221664334149161</v>
      </c>
      <c r="J524" s="16">
        <v>5.678832116788321</v>
      </c>
      <c r="K524" s="16">
        <v>9.139609602327837</v>
      </c>
      <c r="L524" s="16">
        <v>0.02631578947368421</v>
      </c>
      <c r="M524" s="16">
        <v>0.21052631578947367</v>
      </c>
      <c r="N524" s="16">
        <v>0.15789473684210525</v>
      </c>
      <c r="O524" s="16">
        <v>0.32894736842105265</v>
      </c>
      <c r="P524" s="35">
        <v>46047.30265046296</v>
      </c>
    </row>
    <row r="525">
      <c r="A525" s="33">
        <v>46047.0</v>
      </c>
      <c r="B525" s="1" t="s">
        <v>60</v>
      </c>
      <c r="D525" s="1" t="s">
        <v>30</v>
      </c>
      <c r="E525" s="34">
        <v>9.0</v>
      </c>
      <c r="F525" s="34">
        <v>472.0</v>
      </c>
      <c r="G525" s="15">
        <v>11113.0</v>
      </c>
      <c r="H525" s="16">
        <v>0.04247277962746333</v>
      </c>
      <c r="I525" s="17">
        <v>10.73724466840637</v>
      </c>
      <c r="J525" s="16">
        <v>1.2102564102564102</v>
      </c>
      <c r="K525" s="16">
        <v>0.687132875780622</v>
      </c>
      <c r="L525" s="16">
        <v>0.0</v>
      </c>
      <c r="M525" s="16">
        <v>0.0</v>
      </c>
      <c r="N525" s="16">
        <v>0.7777777777777778</v>
      </c>
      <c r="O525" s="16">
        <v>0.2222222222222222</v>
      </c>
      <c r="P525" s="35">
        <v>46047.30265046296</v>
      </c>
    </row>
    <row r="526">
      <c r="A526" s="33">
        <v>46047.0</v>
      </c>
      <c r="B526" s="1" t="s">
        <v>60</v>
      </c>
      <c r="D526" s="1" t="s">
        <v>31</v>
      </c>
      <c r="E526" s="34">
        <v>67.0</v>
      </c>
      <c r="F526" s="34">
        <v>497.0</v>
      </c>
      <c r="G526" s="15">
        <v>11785.0</v>
      </c>
      <c r="H526" s="16">
        <v>0.04217225286380993</v>
      </c>
      <c r="I526" s="17">
        <v>7.201357658039881</v>
      </c>
      <c r="J526" s="16">
        <v>2.602094240837696</v>
      </c>
      <c r="K526" s="16">
        <v>0.930443707563556</v>
      </c>
      <c r="L526" s="16">
        <v>0.08955223880597014</v>
      </c>
      <c r="M526" s="16">
        <v>0.1044776119402985</v>
      </c>
      <c r="N526" s="16">
        <v>0.3283582089552239</v>
      </c>
      <c r="O526" s="16">
        <v>0.1791044776119403</v>
      </c>
      <c r="P526" s="35">
        <v>46047.30265046296</v>
      </c>
    </row>
    <row r="527">
      <c r="A527" s="33">
        <v>46047.0</v>
      </c>
      <c r="B527" s="1" t="s">
        <v>60</v>
      </c>
      <c r="D527" s="1" t="s">
        <v>32</v>
      </c>
      <c r="E527" s="34">
        <v>519.0</v>
      </c>
      <c r="F527" s="34">
        <v>17161.0</v>
      </c>
      <c r="G527" s="15">
        <v>1617670.0</v>
      </c>
      <c r="H527" s="16">
        <v>0.010608467734457583</v>
      </c>
      <c r="I527" s="17">
        <v>4.615455562630203</v>
      </c>
      <c r="J527" s="16">
        <v>1.5732489915658232</v>
      </c>
      <c r="K527" s="16">
        <v>3.6212817206611865</v>
      </c>
      <c r="L527" s="16">
        <v>0.09248554913294797</v>
      </c>
      <c r="M527" s="16">
        <v>0.3333333333333333</v>
      </c>
      <c r="N527" s="16">
        <v>0.47398843930635837</v>
      </c>
      <c r="O527" s="16">
        <v>0.18304431599229287</v>
      </c>
      <c r="P527" s="35">
        <v>46047.30265046296</v>
      </c>
    </row>
    <row r="528">
      <c r="A528" s="33">
        <v>46047.0</v>
      </c>
      <c r="B528" s="1" t="s">
        <v>60</v>
      </c>
      <c r="D528" s="1" t="s">
        <v>33</v>
      </c>
      <c r="E528" s="34">
        <v>105.0</v>
      </c>
      <c r="F528" s="34">
        <v>289.0</v>
      </c>
      <c r="G528" s="15">
        <v>21207.0</v>
      </c>
      <c r="H528" s="16">
        <v>0.01362757580044325</v>
      </c>
      <c r="I528" s="17">
        <v>5.43264016598293</v>
      </c>
      <c r="J528" s="16">
        <v>0.8525073746312685</v>
      </c>
      <c r="K528" s="16">
        <v>2.4429213224282917</v>
      </c>
      <c r="L528" s="16">
        <v>0.05714285714285714</v>
      </c>
      <c r="M528" s="16">
        <v>0.0761904761904762</v>
      </c>
      <c r="N528" s="16">
        <v>0.3904761904761905</v>
      </c>
      <c r="O528" s="16">
        <v>0.06666666666666667</v>
      </c>
      <c r="P528" s="35">
        <v>46047.30265046296</v>
      </c>
    </row>
    <row r="529">
      <c r="A529" s="33">
        <v>46047.0</v>
      </c>
      <c r="B529" s="1" t="s">
        <v>60</v>
      </c>
      <c r="D529" s="1" t="s">
        <v>34</v>
      </c>
      <c r="E529" s="34">
        <v>89.0</v>
      </c>
      <c r="F529" s="34">
        <v>21.0</v>
      </c>
      <c r="G529" s="15">
        <v>1074.0</v>
      </c>
      <c r="H529" s="16">
        <v>0.019553072625698324</v>
      </c>
      <c r="I529" s="17">
        <v>7.851955307262569</v>
      </c>
      <c r="J529" s="16">
        <v>1.1666666666666667</v>
      </c>
      <c r="K529" s="16">
        <v>0.4042152803914189</v>
      </c>
      <c r="L529" s="16">
        <v>0.033707865168539325</v>
      </c>
      <c r="M529" s="16">
        <v>0.033707865168539325</v>
      </c>
      <c r="N529" s="16">
        <v>0.10112359550561797</v>
      </c>
      <c r="O529" s="16">
        <v>0.0449438202247191</v>
      </c>
      <c r="P529" s="35">
        <v>46047.30265046296</v>
      </c>
    </row>
    <row r="530">
      <c r="A530" s="33">
        <v>46048.0</v>
      </c>
      <c r="B530" s="1" t="s">
        <v>57</v>
      </c>
      <c r="E530" s="34">
        <v>1127.0</v>
      </c>
      <c r="F530" s="34">
        <v>18682.0</v>
      </c>
      <c r="G530" s="15">
        <v>1670455.0</v>
      </c>
      <c r="H530" s="16">
        <v>0.011183779269719927</v>
      </c>
      <c r="I530" s="17">
        <v>4.688242424968047</v>
      </c>
      <c r="J530" s="16">
        <v>1.5337000246285197</v>
      </c>
      <c r="K530" s="16">
        <v>3.3392737558596286</v>
      </c>
      <c r="L530" s="16">
        <v>0.05856255545696539</v>
      </c>
      <c r="M530" s="16">
        <v>0.1730257320319432</v>
      </c>
      <c r="N530" s="16">
        <v>0.3052351375332742</v>
      </c>
      <c r="O530" s="16">
        <v>0.12244897959183673</v>
      </c>
      <c r="P530" s="35">
        <v>46048.30260416667</v>
      </c>
    </row>
    <row r="531">
      <c r="A531" s="33">
        <v>46048.0</v>
      </c>
      <c r="B531" s="1" t="s">
        <v>58</v>
      </c>
      <c r="E531" s="34">
        <v>789.0</v>
      </c>
      <c r="F531" s="34">
        <v>18592.0</v>
      </c>
      <c r="G531" s="15">
        <v>1668638.0</v>
      </c>
      <c r="H531" s="16">
        <v>0.011142021217304173</v>
      </c>
      <c r="I531" s="17">
        <v>4.687410331060422</v>
      </c>
      <c r="J531" s="16">
        <v>1.537037037037037</v>
      </c>
      <c r="K531" s="16">
        <v>3.40579375884035</v>
      </c>
      <c r="L531" s="16">
        <v>0.07858048162230671</v>
      </c>
      <c r="M531" s="16">
        <v>0.2420785804816223</v>
      </c>
      <c r="N531" s="16">
        <v>0.41191381495564006</v>
      </c>
      <c r="O531" s="16">
        <v>0.155893536121673</v>
      </c>
      <c r="P531" s="35">
        <v>46048.30260416667</v>
      </c>
    </row>
    <row r="532">
      <c r="A532" s="33">
        <v>46048.0</v>
      </c>
      <c r="B532" s="1" t="s">
        <v>59</v>
      </c>
      <c r="C532" s="3" t="s">
        <v>2</v>
      </c>
      <c r="E532" s="34">
        <v>132.0</v>
      </c>
      <c r="F532" s="34">
        <v>1292.0</v>
      </c>
      <c r="G532" s="15">
        <v>102600.0</v>
      </c>
      <c r="H532" s="16">
        <v>0.012592592592592593</v>
      </c>
      <c r="I532" s="17">
        <v>4.973625730994152</v>
      </c>
      <c r="J532" s="16">
        <v>3.96319018404908</v>
      </c>
      <c r="K532" s="16">
        <v>5.3613419031196115</v>
      </c>
      <c r="L532" s="16">
        <v>0.05303030303030303</v>
      </c>
      <c r="M532" s="16">
        <v>0.08333333333333333</v>
      </c>
      <c r="N532" s="16">
        <v>0.4318181818181818</v>
      </c>
      <c r="O532" s="16">
        <v>0.09090909090909091</v>
      </c>
      <c r="P532" s="35">
        <v>46048.30260416667</v>
      </c>
    </row>
    <row r="533">
      <c r="A533" s="33">
        <v>46048.0</v>
      </c>
      <c r="B533" s="1" t="s">
        <v>59</v>
      </c>
      <c r="C533" s="1" t="s">
        <v>3</v>
      </c>
      <c r="E533" s="34">
        <v>169.0</v>
      </c>
      <c r="F533" s="34">
        <v>1123.0</v>
      </c>
      <c r="G533" s="15">
        <v>44340.0</v>
      </c>
      <c r="H533" s="16">
        <v>0.02532701849345963</v>
      </c>
      <c r="I533" s="17">
        <v>6.119373026612539</v>
      </c>
      <c r="J533" s="16">
        <v>1.5706293706293706</v>
      </c>
      <c r="K533" s="16">
        <v>2.0702213091791952</v>
      </c>
      <c r="L533" s="16">
        <v>0.029585798816568046</v>
      </c>
      <c r="M533" s="16">
        <v>0.04142011834319527</v>
      </c>
      <c r="N533" s="16">
        <v>0.4319526627218935</v>
      </c>
      <c r="O533" s="16">
        <v>0.11242603550295859</v>
      </c>
      <c r="P533" s="35">
        <v>46048.30260416667</v>
      </c>
    </row>
    <row r="534">
      <c r="A534" s="33">
        <v>46048.0</v>
      </c>
      <c r="B534" s="1" t="s">
        <v>59</v>
      </c>
      <c r="C534" s="3" t="s">
        <v>4</v>
      </c>
      <c r="E534" s="34">
        <v>105.0</v>
      </c>
      <c r="F534" s="34">
        <v>579.0</v>
      </c>
      <c r="G534" s="15">
        <v>29410.0</v>
      </c>
      <c r="H534" s="16">
        <v>0.019687181230873853</v>
      </c>
      <c r="I534" s="17">
        <v>5.409078544712683</v>
      </c>
      <c r="J534" s="16">
        <v>1.0742115027829313</v>
      </c>
      <c r="K534" s="16">
        <v>1.786321671525753</v>
      </c>
      <c r="L534" s="16">
        <v>0.10476190476190476</v>
      </c>
      <c r="M534" s="16">
        <v>0.1523809523809524</v>
      </c>
      <c r="N534" s="16">
        <v>0.23809523809523808</v>
      </c>
      <c r="O534" s="16">
        <v>0.14285714285714285</v>
      </c>
      <c r="P534" s="35">
        <v>46048.30260416667</v>
      </c>
    </row>
    <row r="535">
      <c r="A535" s="33">
        <v>46048.0</v>
      </c>
      <c r="B535" s="1" t="s">
        <v>59</v>
      </c>
      <c r="C535" s="3" t="s">
        <v>5</v>
      </c>
      <c r="E535" s="34">
        <v>18.0</v>
      </c>
      <c r="F535" s="34">
        <v>4729.0</v>
      </c>
      <c r="G535" s="15">
        <v>64523.0</v>
      </c>
      <c r="H535" s="16">
        <v>0.07329169443454273</v>
      </c>
      <c r="I535" s="17">
        <v>5.655673170807309</v>
      </c>
      <c r="J535" s="16">
        <v>0.9889167712254286</v>
      </c>
      <c r="K535" s="16">
        <v>1.9562501894915563</v>
      </c>
      <c r="L535" s="16">
        <v>0.1111111111111111</v>
      </c>
      <c r="M535" s="16">
        <v>0.1111111111111111</v>
      </c>
      <c r="N535" s="16">
        <v>0.5</v>
      </c>
      <c r="O535" s="16">
        <v>0.05555555555555555</v>
      </c>
      <c r="P535" s="35">
        <v>46048.30260416667</v>
      </c>
    </row>
    <row r="536">
      <c r="A536" s="33">
        <v>46048.0</v>
      </c>
      <c r="B536" s="1" t="s">
        <v>59</v>
      </c>
      <c r="C536" s="3" t="s">
        <v>6</v>
      </c>
      <c r="E536" s="34">
        <v>29.0</v>
      </c>
      <c r="F536" s="34">
        <v>5803.0</v>
      </c>
      <c r="G536" s="15">
        <v>440383.0</v>
      </c>
      <c r="H536" s="16">
        <v>0.013177166239387078</v>
      </c>
      <c r="I536" s="17">
        <v>4.348296823446863</v>
      </c>
      <c r="J536" s="16">
        <v>1.5259006047856956</v>
      </c>
      <c r="K536" s="16">
        <v>2.1258622770389324</v>
      </c>
      <c r="L536" s="16">
        <v>0.06896551724137931</v>
      </c>
      <c r="M536" s="16">
        <v>0.06896551724137931</v>
      </c>
      <c r="N536" s="16">
        <v>0.7931034482758621</v>
      </c>
      <c r="O536" s="16">
        <v>0.1724137931034483</v>
      </c>
      <c r="P536" s="35">
        <v>46048.30260416667</v>
      </c>
    </row>
    <row r="537">
      <c r="A537" s="33">
        <v>46048.0</v>
      </c>
      <c r="B537" s="1" t="s">
        <v>59</v>
      </c>
      <c r="C537" s="3" t="s">
        <v>7</v>
      </c>
      <c r="E537" s="34">
        <v>130.0</v>
      </c>
      <c r="F537" s="34">
        <v>1006.0</v>
      </c>
      <c r="G537" s="15">
        <v>211344.0</v>
      </c>
      <c r="H537" s="16">
        <v>0.004760012112953289</v>
      </c>
      <c r="I537" s="17">
        <v>4.611921795745325</v>
      </c>
      <c r="J537" s="16">
        <v>2.270880361173815</v>
      </c>
      <c r="K537" s="16">
        <v>6.679434910401062</v>
      </c>
      <c r="L537" s="16">
        <v>0.08461538461538462</v>
      </c>
      <c r="M537" s="16">
        <v>0.47692307692307695</v>
      </c>
      <c r="N537" s="16">
        <v>0.5153846153846153</v>
      </c>
      <c r="O537" s="16">
        <v>0.2076923076923077</v>
      </c>
      <c r="P537" s="35">
        <v>46048.30260416667</v>
      </c>
    </row>
    <row r="538">
      <c r="A538" s="33">
        <v>46048.0</v>
      </c>
      <c r="B538" s="1" t="s">
        <v>59</v>
      </c>
      <c r="C538" s="3" t="s">
        <v>8</v>
      </c>
      <c r="E538" s="34">
        <v>119.0</v>
      </c>
      <c r="F538" s="34">
        <v>919.0</v>
      </c>
      <c r="G538" s="15">
        <v>322114.0</v>
      </c>
      <c r="H538" s="16">
        <v>0.002853027189131798</v>
      </c>
      <c r="I538" s="17">
        <v>5.298121162073055</v>
      </c>
      <c r="J538" s="16">
        <v>0.9881720430107527</v>
      </c>
      <c r="K538" s="16">
        <v>2.910528408269481</v>
      </c>
      <c r="L538" s="16">
        <v>0.17647058823529413</v>
      </c>
      <c r="M538" s="16">
        <v>0.6218487394957983</v>
      </c>
      <c r="N538" s="16">
        <v>0.4789915966386555</v>
      </c>
      <c r="O538" s="16">
        <v>0.15126050420168066</v>
      </c>
      <c r="P538" s="35">
        <v>46048.30260416667</v>
      </c>
    </row>
    <row r="539">
      <c r="A539" s="33">
        <v>46048.0</v>
      </c>
      <c r="B539" s="1" t="s">
        <v>59</v>
      </c>
      <c r="C539" s="3" t="s">
        <v>9</v>
      </c>
      <c r="E539" s="34">
        <v>11.0</v>
      </c>
      <c r="F539" s="34">
        <v>8.0</v>
      </c>
      <c r="G539" s="15">
        <v>481.0</v>
      </c>
      <c r="H539" s="16">
        <v>0.016632016632016633</v>
      </c>
      <c r="I539" s="17">
        <v>17.016632016632016</v>
      </c>
      <c r="J539" s="16">
        <v>1.6</v>
      </c>
      <c r="K539" s="16">
        <v>1.9317269076305221</v>
      </c>
      <c r="L539" s="16">
        <v>0.09090909090909091</v>
      </c>
      <c r="M539" s="16">
        <v>0.09090909090909091</v>
      </c>
      <c r="N539" s="16">
        <v>0.09090909090909091</v>
      </c>
      <c r="O539" s="16">
        <v>0.09090909090909091</v>
      </c>
      <c r="P539" s="35">
        <v>46048.30260416667</v>
      </c>
    </row>
    <row r="540">
      <c r="A540" s="33">
        <v>46048.0</v>
      </c>
      <c r="B540" s="1" t="s">
        <v>59</v>
      </c>
      <c r="C540" s="3" t="s">
        <v>10</v>
      </c>
      <c r="E540" s="34">
        <v>76.0</v>
      </c>
      <c r="F540" s="34">
        <v>3133.0</v>
      </c>
      <c r="G540" s="15">
        <v>453443.0</v>
      </c>
      <c r="H540" s="16">
        <v>0.006909357956788395</v>
      </c>
      <c r="I540" s="17">
        <v>4.215656653647757</v>
      </c>
      <c r="J540" s="16">
        <v>5.665461121157324</v>
      </c>
      <c r="K540" s="16">
        <v>9.028772251204652</v>
      </c>
      <c r="L540" s="16">
        <v>0.02631578947368421</v>
      </c>
      <c r="M540" s="16">
        <v>0.21052631578947367</v>
      </c>
      <c r="N540" s="16">
        <v>0.17105263157894737</v>
      </c>
      <c r="O540" s="16">
        <v>0.32894736842105265</v>
      </c>
      <c r="P540" s="35">
        <v>46048.30260416667</v>
      </c>
    </row>
    <row r="541">
      <c r="A541" s="33">
        <v>46048.0</v>
      </c>
      <c r="B541" s="1" t="s">
        <v>60</v>
      </c>
      <c r="D541" s="1" t="s">
        <v>30</v>
      </c>
      <c r="E541" s="34">
        <v>9.0</v>
      </c>
      <c r="F541" s="34">
        <v>477.0</v>
      </c>
      <c r="G541" s="15">
        <v>11212.0</v>
      </c>
      <c r="H541" s="16">
        <v>0.042543703175169464</v>
      </c>
      <c r="I541" s="17">
        <v>10.706742775597574</v>
      </c>
      <c r="J541" s="16">
        <v>1.2045454545454546</v>
      </c>
      <c r="K541" s="16">
        <v>0.6964840352838862</v>
      </c>
      <c r="L541" s="16">
        <v>0.0</v>
      </c>
      <c r="M541" s="16">
        <v>0.1111111111111111</v>
      </c>
      <c r="N541" s="16">
        <v>0.7777777777777778</v>
      </c>
      <c r="O541" s="16">
        <v>0.2222222222222222</v>
      </c>
      <c r="P541" s="35">
        <v>46048.30260416667</v>
      </c>
    </row>
    <row r="542">
      <c r="A542" s="33">
        <v>46048.0</v>
      </c>
      <c r="B542" s="1" t="s">
        <v>60</v>
      </c>
      <c r="D542" s="1" t="s">
        <v>31</v>
      </c>
      <c r="E542" s="34">
        <v>67.0</v>
      </c>
      <c r="F542" s="34">
        <v>521.0</v>
      </c>
      <c r="G542" s="15">
        <v>12012.0</v>
      </c>
      <c r="H542" s="16">
        <v>0.043373293373293376</v>
      </c>
      <c r="I542" s="17">
        <v>7.142607392607393</v>
      </c>
      <c r="J542" s="16">
        <v>2.7277486910994764</v>
      </c>
      <c r="K542" s="16">
        <v>0.9495652173913044</v>
      </c>
      <c r="L542" s="16">
        <v>0.08955223880597014</v>
      </c>
      <c r="M542" s="16">
        <v>0.1044776119402985</v>
      </c>
      <c r="N542" s="16">
        <v>0.3283582089552239</v>
      </c>
      <c r="O542" s="16">
        <v>0.1791044776119403</v>
      </c>
      <c r="P542" s="35">
        <v>46048.30260416667</v>
      </c>
    </row>
    <row r="543">
      <c r="A543" s="33">
        <v>46048.0</v>
      </c>
      <c r="B543" s="1" t="s">
        <v>60</v>
      </c>
      <c r="D543" s="1" t="s">
        <v>32</v>
      </c>
      <c r="E543" s="34">
        <v>519.0</v>
      </c>
      <c r="F543" s="34">
        <v>17286.0</v>
      </c>
      <c r="G543" s="15">
        <v>1622629.0</v>
      </c>
      <c r="H543" s="16">
        <v>0.010653082127830824</v>
      </c>
      <c r="I543" s="17">
        <v>4.61632880960466</v>
      </c>
      <c r="J543" s="16">
        <v>1.5521235521235521</v>
      </c>
      <c r="K543" s="16">
        <v>3.606996461089771</v>
      </c>
      <c r="L543" s="16">
        <v>0.08863198458574181</v>
      </c>
      <c r="M543" s="16">
        <v>0.32755298651252407</v>
      </c>
      <c r="N543" s="16">
        <v>0.47398843930635837</v>
      </c>
      <c r="O543" s="16">
        <v>0.18689788053949905</v>
      </c>
      <c r="P543" s="35">
        <v>46048.30260416667</v>
      </c>
    </row>
    <row r="544">
      <c r="A544" s="33">
        <v>46048.0</v>
      </c>
      <c r="B544" s="1" t="s">
        <v>60</v>
      </c>
      <c r="D544" s="1" t="s">
        <v>33</v>
      </c>
      <c r="E544" s="34">
        <v>105.0</v>
      </c>
      <c r="F544" s="34">
        <v>288.0</v>
      </c>
      <c r="G544" s="15">
        <v>21718.0</v>
      </c>
      <c r="H544" s="16">
        <v>0.013260889584676305</v>
      </c>
      <c r="I544" s="17">
        <v>5.382908186757528</v>
      </c>
      <c r="J544" s="16">
        <v>0.8158640226628895</v>
      </c>
      <c r="K544" s="16">
        <v>2.5145305082783374</v>
      </c>
      <c r="L544" s="16">
        <v>0.06666666666666667</v>
      </c>
      <c r="M544" s="16">
        <v>0.09523809523809523</v>
      </c>
      <c r="N544" s="16">
        <v>0.3904761904761905</v>
      </c>
      <c r="O544" s="16">
        <v>0.06666666666666667</v>
      </c>
      <c r="P544" s="35">
        <v>46048.30260416667</v>
      </c>
    </row>
    <row r="545">
      <c r="A545" s="33">
        <v>46048.0</v>
      </c>
      <c r="B545" s="1" t="s">
        <v>60</v>
      </c>
      <c r="D545" s="1" t="s">
        <v>34</v>
      </c>
      <c r="E545" s="34">
        <v>89.0</v>
      </c>
      <c r="F545" s="34">
        <v>20.0</v>
      </c>
      <c r="G545" s="15">
        <v>1067.0</v>
      </c>
      <c r="H545" s="16">
        <v>0.01874414245548266</v>
      </c>
      <c r="I545" s="17">
        <v>7.7366447985004685</v>
      </c>
      <c r="J545" s="16">
        <v>1.0526315789473684</v>
      </c>
      <c r="K545" s="16">
        <v>0.3951851851851852</v>
      </c>
      <c r="L545" s="16">
        <v>0.033707865168539325</v>
      </c>
      <c r="M545" s="16">
        <v>0.033707865168539325</v>
      </c>
      <c r="N545" s="16">
        <v>0.10112359550561797</v>
      </c>
      <c r="O545" s="16">
        <v>0.056179775280898875</v>
      </c>
      <c r="P545" s="35">
        <v>46048.30260416667</v>
      </c>
    </row>
    <row r="546">
      <c r="A546" s="33">
        <v>46049.0</v>
      </c>
      <c r="B546" s="1" t="s">
        <v>57</v>
      </c>
      <c r="E546" s="34">
        <v>1149.0</v>
      </c>
      <c r="F546" s="34">
        <v>18931.0</v>
      </c>
      <c r="G546" s="15">
        <v>1683562.0</v>
      </c>
      <c r="H546" s="16">
        <v>0.011244611128072504</v>
      </c>
      <c r="I546" s="17">
        <v>4.67492673272502</v>
      </c>
      <c r="J546" s="16">
        <v>1.5349874320927592</v>
      </c>
      <c r="K546" s="16">
        <v>3.355580802040979</v>
      </c>
      <c r="L546" s="16">
        <v>0.05483028720626632</v>
      </c>
      <c r="M546" s="16">
        <v>0.1679721496953873</v>
      </c>
      <c r="N546" s="16">
        <v>0.30374238468233244</v>
      </c>
      <c r="O546" s="16">
        <v>0.12184508268059181</v>
      </c>
      <c r="P546" s="35">
        <v>46049.302615740744</v>
      </c>
    </row>
    <row r="547">
      <c r="A547" s="33">
        <v>46049.0</v>
      </c>
      <c r="B547" s="1" t="s">
        <v>58</v>
      </c>
      <c r="E547" s="34">
        <v>811.0</v>
      </c>
      <c r="F547" s="34">
        <v>18837.0</v>
      </c>
      <c r="G547" s="15">
        <v>1681719.0</v>
      </c>
      <c r="H547" s="16">
        <v>0.011201038936944876</v>
      </c>
      <c r="I547" s="17">
        <v>4.674204786887702</v>
      </c>
      <c r="J547" s="16">
        <v>1.5383421804818294</v>
      </c>
      <c r="K547" s="16">
        <v>3.4243503439176064</v>
      </c>
      <c r="L547" s="16">
        <v>0.07274969173859433</v>
      </c>
      <c r="M547" s="16">
        <v>0.23304562268803947</v>
      </c>
      <c r="N547" s="16">
        <v>0.40567200986436497</v>
      </c>
      <c r="O547" s="16">
        <v>0.15536374845869297</v>
      </c>
      <c r="P547" s="35">
        <v>46049.302615740744</v>
      </c>
    </row>
    <row r="548">
      <c r="A548" s="33">
        <v>46049.0</v>
      </c>
      <c r="B548" s="1" t="s">
        <v>59</v>
      </c>
      <c r="C548" s="3" t="s">
        <v>2</v>
      </c>
      <c r="E548" s="34">
        <v>133.0</v>
      </c>
      <c r="F548" s="34">
        <v>1323.0</v>
      </c>
      <c r="G548" s="15">
        <v>104537.0</v>
      </c>
      <c r="H548" s="16">
        <v>0.012655806078230674</v>
      </c>
      <c r="I548" s="17">
        <v>4.938758525689469</v>
      </c>
      <c r="J548" s="16">
        <v>4.095975232198143</v>
      </c>
      <c r="K548" s="16">
        <v>5.367202341222981</v>
      </c>
      <c r="L548" s="16">
        <v>0.045112781954887216</v>
      </c>
      <c r="M548" s="16">
        <v>0.07518796992481203</v>
      </c>
      <c r="N548" s="16">
        <v>0.44360902255639095</v>
      </c>
      <c r="O548" s="16">
        <v>0.09022556390977443</v>
      </c>
      <c r="P548" s="35">
        <v>46049.302615740744</v>
      </c>
    </row>
    <row r="549">
      <c r="A549" s="33">
        <v>46049.0</v>
      </c>
      <c r="B549" s="1" t="s">
        <v>59</v>
      </c>
      <c r="C549" s="1" t="s">
        <v>3</v>
      </c>
      <c r="E549" s="34">
        <v>169.0</v>
      </c>
      <c r="F549" s="34">
        <v>1144.0</v>
      </c>
      <c r="G549" s="15">
        <v>45137.0</v>
      </c>
      <c r="H549" s="16">
        <v>0.025345060593304828</v>
      </c>
      <c r="I549" s="17">
        <v>6.092230321022664</v>
      </c>
      <c r="J549" s="16">
        <v>1.5910987482614742</v>
      </c>
      <c r="K549" s="16">
        <v>2.115532433445819</v>
      </c>
      <c r="L549" s="16">
        <v>0.029585798816568046</v>
      </c>
      <c r="M549" s="16">
        <v>0.04142011834319527</v>
      </c>
      <c r="N549" s="16">
        <v>0.4319526627218935</v>
      </c>
      <c r="O549" s="16">
        <v>0.11242603550295859</v>
      </c>
      <c r="P549" s="35">
        <v>46049.302615740744</v>
      </c>
    </row>
    <row r="550">
      <c r="A550" s="33">
        <v>46049.0</v>
      </c>
      <c r="B550" s="1" t="s">
        <v>59</v>
      </c>
      <c r="C550" s="3" t="s">
        <v>4</v>
      </c>
      <c r="E550" s="34">
        <v>105.0</v>
      </c>
      <c r="F550" s="34">
        <v>590.0</v>
      </c>
      <c r="G550" s="15">
        <v>30403.0</v>
      </c>
      <c r="H550" s="16">
        <v>0.01940597967305858</v>
      </c>
      <c r="I550" s="17">
        <v>5.367496628622176</v>
      </c>
      <c r="J550" s="16">
        <v>1.0946196660482375</v>
      </c>
      <c r="K550" s="16">
        <v>1.8485438073812854</v>
      </c>
      <c r="L550" s="16">
        <v>0.09523809523809523</v>
      </c>
      <c r="M550" s="16">
        <v>0.13333333333333333</v>
      </c>
      <c r="N550" s="16">
        <v>0.23809523809523808</v>
      </c>
      <c r="O550" s="16">
        <v>0.1523809523809524</v>
      </c>
      <c r="P550" s="35">
        <v>46049.302615740744</v>
      </c>
    </row>
    <row r="551">
      <c r="A551" s="33">
        <v>46049.0</v>
      </c>
      <c r="B551" s="1" t="s">
        <v>59</v>
      </c>
      <c r="C551" s="3" t="s">
        <v>5</v>
      </c>
      <c r="E551" s="34">
        <v>40.0</v>
      </c>
      <c r="F551" s="34">
        <v>4832.0</v>
      </c>
      <c r="G551" s="15">
        <v>64498.0</v>
      </c>
      <c r="H551" s="16">
        <v>0.07491705169152532</v>
      </c>
      <c r="I551" s="17">
        <v>5.6145306831219575</v>
      </c>
      <c r="J551" s="16">
        <v>0.9855190699571691</v>
      </c>
      <c r="K551" s="16">
        <v>1.9343790300812764</v>
      </c>
      <c r="L551" s="16">
        <v>0.05</v>
      </c>
      <c r="M551" s="16">
        <v>0.05</v>
      </c>
      <c r="N551" s="16">
        <v>0.225</v>
      </c>
      <c r="O551" s="16">
        <v>0.025</v>
      </c>
      <c r="P551" s="35">
        <v>46049.302615740744</v>
      </c>
    </row>
    <row r="552">
      <c r="A552" s="33">
        <v>46049.0</v>
      </c>
      <c r="B552" s="1" t="s">
        <v>59</v>
      </c>
      <c r="C552" s="3" t="s">
        <v>6</v>
      </c>
      <c r="E552" s="34">
        <v>29.0</v>
      </c>
      <c r="F552" s="34">
        <v>5832.0</v>
      </c>
      <c r="G552" s="15">
        <v>440061.0</v>
      </c>
      <c r="H552" s="16">
        <v>0.013252708147279581</v>
      </c>
      <c r="I552" s="17">
        <v>4.345281676858436</v>
      </c>
      <c r="J552" s="16">
        <v>1.5343330702446725</v>
      </c>
      <c r="K552" s="16">
        <v>2.1269466113737203</v>
      </c>
      <c r="L552" s="16">
        <v>0.06896551724137931</v>
      </c>
      <c r="M552" s="16">
        <v>0.10344827586206896</v>
      </c>
      <c r="N552" s="16">
        <v>0.7586206896551724</v>
      </c>
      <c r="O552" s="16">
        <v>0.20689655172413793</v>
      </c>
      <c r="P552" s="35">
        <v>46049.302615740744</v>
      </c>
    </row>
    <row r="553">
      <c r="A553" s="33">
        <v>46049.0</v>
      </c>
      <c r="B553" s="1" t="s">
        <v>59</v>
      </c>
      <c r="C553" s="3" t="s">
        <v>7</v>
      </c>
      <c r="E553" s="34">
        <v>130.0</v>
      </c>
      <c r="F553" s="34">
        <v>1030.0</v>
      </c>
      <c r="G553" s="15">
        <v>215641.0</v>
      </c>
      <c r="H553" s="16">
        <v>0.004776457167236286</v>
      </c>
      <c r="I553" s="17">
        <v>4.589002091439012</v>
      </c>
      <c r="J553" s="16">
        <v>2.3042505592841165</v>
      </c>
      <c r="K553" s="16">
        <v>6.799766657206824</v>
      </c>
      <c r="L553" s="16">
        <v>0.07692307692307693</v>
      </c>
      <c r="M553" s="16">
        <v>0.47692307692307695</v>
      </c>
      <c r="N553" s="16">
        <v>0.5307692307692308</v>
      </c>
      <c r="O553" s="16">
        <v>0.2</v>
      </c>
      <c r="P553" s="35">
        <v>46049.302615740744</v>
      </c>
    </row>
    <row r="554">
      <c r="A554" s="33">
        <v>46049.0</v>
      </c>
      <c r="B554" s="1" t="s">
        <v>59</v>
      </c>
      <c r="C554" s="3" t="s">
        <v>8</v>
      </c>
      <c r="E554" s="34">
        <v>119.0</v>
      </c>
      <c r="F554" s="34">
        <v>921.0</v>
      </c>
      <c r="G554" s="15">
        <v>325484.0</v>
      </c>
      <c r="H554" s="16">
        <v>0.0028296321785402662</v>
      </c>
      <c r="I554" s="17">
        <v>5.277337749321011</v>
      </c>
      <c r="J554" s="16">
        <v>0.9664218258132214</v>
      </c>
      <c r="K554" s="16">
        <v>2.925304453332135</v>
      </c>
      <c r="L554" s="16">
        <v>0.17647058823529413</v>
      </c>
      <c r="M554" s="16">
        <v>0.6302521008403361</v>
      </c>
      <c r="N554" s="16">
        <v>0.48739495798319327</v>
      </c>
      <c r="O554" s="16">
        <v>0.15966386554621848</v>
      </c>
      <c r="P554" s="35">
        <v>46049.302615740744</v>
      </c>
    </row>
    <row r="555">
      <c r="A555" s="33">
        <v>46049.0</v>
      </c>
      <c r="B555" s="1" t="s">
        <v>59</v>
      </c>
      <c r="C555" s="3" t="s">
        <v>9</v>
      </c>
      <c r="E555" s="34">
        <v>11.0</v>
      </c>
      <c r="F555" s="34">
        <v>7.0</v>
      </c>
      <c r="G555" s="15">
        <v>454.0</v>
      </c>
      <c r="H555" s="16">
        <v>0.015418502202643172</v>
      </c>
      <c r="I555" s="17">
        <v>16.969162995594715</v>
      </c>
      <c r="J555" s="16">
        <v>1.4</v>
      </c>
      <c r="K555" s="16">
        <v>1.853061224489796</v>
      </c>
      <c r="L555" s="16">
        <v>0.09090909090909091</v>
      </c>
      <c r="M555" s="16">
        <v>0.09090909090909091</v>
      </c>
      <c r="N555" s="16">
        <v>0.09090909090909091</v>
      </c>
      <c r="O555" s="16">
        <v>0.18181818181818182</v>
      </c>
      <c r="P555" s="35">
        <v>46049.302615740744</v>
      </c>
    </row>
    <row r="556">
      <c r="A556" s="33">
        <v>46049.0</v>
      </c>
      <c r="B556" s="1" t="s">
        <v>59</v>
      </c>
      <c r="C556" s="3" t="s">
        <v>10</v>
      </c>
      <c r="E556" s="34">
        <v>75.0</v>
      </c>
      <c r="F556" s="34">
        <v>3158.0</v>
      </c>
      <c r="G556" s="15">
        <v>455504.0</v>
      </c>
      <c r="H556" s="16">
        <v>0.006932979732340441</v>
      </c>
      <c r="I556" s="17">
        <v>4.208432856791598</v>
      </c>
      <c r="J556" s="16">
        <v>5.69009009009009</v>
      </c>
      <c r="K556" s="16">
        <v>9.041006708745186</v>
      </c>
      <c r="L556" s="16">
        <v>0.02666666666666667</v>
      </c>
      <c r="M556" s="16">
        <v>0.2</v>
      </c>
      <c r="N556" s="16">
        <v>0.17333333333333334</v>
      </c>
      <c r="O556" s="16">
        <v>0.3333333333333333</v>
      </c>
      <c r="P556" s="35">
        <v>46049.302615740744</v>
      </c>
    </row>
    <row r="557">
      <c r="A557" s="33">
        <v>46049.0</v>
      </c>
      <c r="B557" s="1" t="s">
        <v>60</v>
      </c>
      <c r="D557" s="1" t="s">
        <v>30</v>
      </c>
      <c r="E557" s="34">
        <v>9.0</v>
      </c>
      <c r="F557" s="34">
        <v>493.0</v>
      </c>
      <c r="G557" s="15">
        <v>11343.0</v>
      </c>
      <c r="H557" s="16">
        <v>0.04346292867848012</v>
      </c>
      <c r="I557" s="17">
        <v>10.768844221105528</v>
      </c>
      <c r="J557" s="16">
        <v>1.2263681592039801</v>
      </c>
      <c r="K557" s="16">
        <v>0.6903414277889356</v>
      </c>
      <c r="L557" s="16">
        <v>0.0</v>
      </c>
      <c r="M557" s="16">
        <v>0.1111111111111111</v>
      </c>
      <c r="N557" s="16">
        <v>0.7777777777777778</v>
      </c>
      <c r="O557" s="16">
        <v>0.2222222222222222</v>
      </c>
      <c r="P557" s="35">
        <v>46049.302615740744</v>
      </c>
    </row>
    <row r="558">
      <c r="A558" s="33">
        <v>46049.0</v>
      </c>
      <c r="B558" s="1" t="s">
        <v>60</v>
      </c>
      <c r="D558" s="1" t="s">
        <v>31</v>
      </c>
      <c r="E558" s="34">
        <v>67.0</v>
      </c>
      <c r="F558" s="34">
        <v>542.0</v>
      </c>
      <c r="G558" s="15">
        <v>12247.0</v>
      </c>
      <c r="H558" s="16">
        <v>0.0442557360986364</v>
      </c>
      <c r="I558" s="17">
        <v>7.063035845513187</v>
      </c>
      <c r="J558" s="16">
        <v>2.7794871794871794</v>
      </c>
      <c r="K558" s="16">
        <v>0.9588193846394739</v>
      </c>
      <c r="L558" s="16">
        <v>0.08955223880597014</v>
      </c>
      <c r="M558" s="16">
        <v>0.08955223880597014</v>
      </c>
      <c r="N558" s="16">
        <v>0.31343283582089554</v>
      </c>
      <c r="O558" s="16">
        <v>0.1791044776119403</v>
      </c>
      <c r="P558" s="35">
        <v>46049.302615740744</v>
      </c>
    </row>
    <row r="559">
      <c r="A559" s="33">
        <v>46049.0</v>
      </c>
      <c r="B559" s="1" t="s">
        <v>60</v>
      </c>
      <c r="D559" s="1" t="s">
        <v>32</v>
      </c>
      <c r="E559" s="34">
        <v>541.0</v>
      </c>
      <c r="F559" s="34">
        <v>17489.0</v>
      </c>
      <c r="G559" s="15">
        <v>1634546.0</v>
      </c>
      <c r="H559" s="16">
        <v>0.010699607108028773</v>
      </c>
      <c r="I559" s="17">
        <v>4.603288619592229</v>
      </c>
      <c r="J559" s="16">
        <v>1.551130820399113</v>
      </c>
      <c r="K559" s="16">
        <v>3.629050234677158</v>
      </c>
      <c r="L559" s="16">
        <v>0.07948243992606285</v>
      </c>
      <c r="M559" s="16">
        <v>0.3123844731977819</v>
      </c>
      <c r="N559" s="16">
        <v>0.46395563770794823</v>
      </c>
      <c r="O559" s="16">
        <v>0.18299445471349354</v>
      </c>
      <c r="P559" s="35">
        <v>46049.302615740744</v>
      </c>
    </row>
    <row r="560">
      <c r="A560" s="33">
        <v>46049.0</v>
      </c>
      <c r="B560" s="1" t="s">
        <v>60</v>
      </c>
      <c r="D560" s="1" t="s">
        <v>33</v>
      </c>
      <c r="E560" s="34">
        <v>105.0</v>
      </c>
      <c r="F560" s="34">
        <v>293.0</v>
      </c>
      <c r="G560" s="15">
        <v>22527.0</v>
      </c>
      <c r="H560" s="16">
        <v>0.013006614285080126</v>
      </c>
      <c r="I560" s="17">
        <v>5.302836596084698</v>
      </c>
      <c r="J560" s="16">
        <v>0.8230337078651685</v>
      </c>
      <c r="K560" s="16">
        <v>2.5878230901780586</v>
      </c>
      <c r="L560" s="16">
        <v>0.06666666666666667</v>
      </c>
      <c r="M560" s="16">
        <v>0.09523809523809523</v>
      </c>
      <c r="N560" s="16">
        <v>0.3904761904761905</v>
      </c>
      <c r="O560" s="16">
        <v>0.06666666666666667</v>
      </c>
      <c r="P560" s="35">
        <v>46049.302615740744</v>
      </c>
    </row>
    <row r="561">
      <c r="A561" s="33">
        <v>46049.0</v>
      </c>
      <c r="B561" s="1" t="s">
        <v>60</v>
      </c>
      <c r="D561" s="1" t="s">
        <v>34</v>
      </c>
      <c r="E561" s="34">
        <v>89.0</v>
      </c>
      <c r="F561" s="34">
        <v>20.0</v>
      </c>
      <c r="G561" s="15">
        <v>1056.0</v>
      </c>
      <c r="H561" s="16">
        <v>0.01893939393939394</v>
      </c>
      <c r="I561" s="17">
        <v>7.862689393939394</v>
      </c>
      <c r="J561" s="16">
        <v>1.1764705882352942</v>
      </c>
      <c r="K561" s="16">
        <v>0.37835901110713005</v>
      </c>
      <c r="L561" s="16">
        <v>0.033707865168539325</v>
      </c>
      <c r="M561" s="16">
        <v>0.033707865168539325</v>
      </c>
      <c r="N561" s="16">
        <v>0.10112359550561797</v>
      </c>
      <c r="O561" s="16">
        <v>0.06741573033707865</v>
      </c>
      <c r="P561" s="35">
        <v>46049.302615740744</v>
      </c>
    </row>
    <row r="562">
      <c r="A562" s="33">
        <v>46050.0</v>
      </c>
      <c r="B562" s="1" t="s">
        <v>57</v>
      </c>
      <c r="E562" s="34">
        <v>1150.0</v>
      </c>
      <c r="F562" s="34">
        <v>19249.0</v>
      </c>
      <c r="G562" s="15">
        <v>1703948.0</v>
      </c>
      <c r="H562" s="16">
        <v>0.01129670623751429</v>
      </c>
      <c r="I562" s="17">
        <v>4.677140969090606</v>
      </c>
      <c r="J562" s="16">
        <v>1.538443094629156</v>
      </c>
      <c r="K562" s="16">
        <v>3.3856186294184267</v>
      </c>
      <c r="L562" s="16">
        <v>0.057391304347826085</v>
      </c>
      <c r="M562" s="16">
        <v>0.17043478260869566</v>
      </c>
      <c r="N562" s="16">
        <v>0.3008695652173913</v>
      </c>
      <c r="O562" s="16">
        <v>0.12</v>
      </c>
      <c r="P562" s="35">
        <v>46050.380520833336</v>
      </c>
    </row>
    <row r="563">
      <c r="A563" s="33">
        <v>46050.0</v>
      </c>
      <c r="B563" s="1" t="s">
        <v>58</v>
      </c>
      <c r="E563" s="34">
        <v>812.0</v>
      </c>
      <c r="F563" s="34">
        <v>19152.0</v>
      </c>
      <c r="G563" s="15">
        <v>1702088.0</v>
      </c>
      <c r="H563" s="16">
        <v>0.011252062173048633</v>
      </c>
      <c r="I563" s="17">
        <v>4.6764168480125585</v>
      </c>
      <c r="J563" s="16">
        <v>1.5424015462672143</v>
      </c>
      <c r="K563" s="16">
        <v>3.4564934853949376</v>
      </c>
      <c r="L563" s="16">
        <v>0.07635467980295567</v>
      </c>
      <c r="M563" s="16">
        <v>0.23645320197044334</v>
      </c>
      <c r="N563" s="16">
        <v>0.4027093596059113</v>
      </c>
      <c r="O563" s="16">
        <v>0.15147783251231528</v>
      </c>
      <c r="P563" s="35">
        <v>46050.380520833336</v>
      </c>
    </row>
    <row r="564">
      <c r="A564" s="33">
        <v>46050.0</v>
      </c>
      <c r="B564" s="1" t="s">
        <v>59</v>
      </c>
      <c r="C564" s="3" t="s">
        <v>2</v>
      </c>
      <c r="E564" s="34">
        <v>133.0</v>
      </c>
      <c r="F564" s="34">
        <v>1348.0</v>
      </c>
      <c r="G564" s="15">
        <v>106972.0</v>
      </c>
      <c r="H564" s="16">
        <v>0.012601428411173017</v>
      </c>
      <c r="I564" s="17">
        <v>4.916239763676476</v>
      </c>
      <c r="J564" s="16">
        <v>4.134969325153374</v>
      </c>
      <c r="K564" s="16">
        <v>5.457755102040816</v>
      </c>
      <c r="L564" s="16">
        <v>0.045112781954887216</v>
      </c>
      <c r="M564" s="16">
        <v>0.07518796992481203</v>
      </c>
      <c r="N564" s="16">
        <v>0.42105263157894735</v>
      </c>
      <c r="O564" s="16">
        <v>0.09022556390977443</v>
      </c>
      <c r="P564" s="35">
        <v>46050.380520833336</v>
      </c>
    </row>
    <row r="565">
      <c r="A565" s="33">
        <v>46050.0</v>
      </c>
      <c r="B565" s="1" t="s">
        <v>59</v>
      </c>
      <c r="C565" s="1" t="s">
        <v>3</v>
      </c>
      <c r="E565" s="34">
        <v>169.0</v>
      </c>
      <c r="F565" s="34">
        <v>1172.0</v>
      </c>
      <c r="G565" s="15">
        <v>46136.0</v>
      </c>
      <c r="H565" s="16">
        <v>0.02540315588694295</v>
      </c>
      <c r="I565" s="17">
        <v>6.070942431073348</v>
      </c>
      <c r="J565" s="16">
        <v>1.5989085948158255</v>
      </c>
      <c r="K565" s="16">
        <v>2.1525684691830356</v>
      </c>
      <c r="L565" s="16">
        <v>0.03550295857988166</v>
      </c>
      <c r="M565" s="16">
        <v>0.047337278106508875</v>
      </c>
      <c r="N565" s="16">
        <v>0.4260355029585799</v>
      </c>
      <c r="O565" s="16">
        <v>0.1242603550295858</v>
      </c>
      <c r="P565" s="35">
        <v>46050.380520833336</v>
      </c>
    </row>
    <row r="566">
      <c r="A566" s="33">
        <v>46050.0</v>
      </c>
      <c r="B566" s="1" t="s">
        <v>59</v>
      </c>
      <c r="C566" s="3" t="s">
        <v>4</v>
      </c>
      <c r="E566" s="34">
        <v>105.0</v>
      </c>
      <c r="F566" s="34">
        <v>611.0</v>
      </c>
      <c r="G566" s="15">
        <v>31674.0</v>
      </c>
      <c r="H566" s="16">
        <v>0.0192902696217718</v>
      </c>
      <c r="I566" s="17">
        <v>5.286039022542148</v>
      </c>
      <c r="J566" s="16">
        <v>1.1211009174311926</v>
      </c>
      <c r="K566" s="16">
        <v>1.9107196718344694</v>
      </c>
      <c r="L566" s="16">
        <v>0.09523809523809523</v>
      </c>
      <c r="M566" s="16">
        <v>0.14285714285714285</v>
      </c>
      <c r="N566" s="16">
        <v>0.22857142857142856</v>
      </c>
      <c r="O566" s="16">
        <v>0.1523809523809524</v>
      </c>
      <c r="P566" s="35">
        <v>46050.380520833336</v>
      </c>
    </row>
    <row r="567">
      <c r="A567" s="33">
        <v>46050.0</v>
      </c>
      <c r="B567" s="1" t="s">
        <v>59</v>
      </c>
      <c r="C567" s="3" t="s">
        <v>5</v>
      </c>
      <c r="E567" s="34">
        <v>40.0</v>
      </c>
      <c r="F567" s="34">
        <v>4957.0</v>
      </c>
      <c r="G567" s="15">
        <v>65216.0</v>
      </c>
      <c r="H567" s="16">
        <v>0.07600895485770363</v>
      </c>
      <c r="I567" s="17">
        <v>5.591311947988224</v>
      </c>
      <c r="J567" s="16">
        <v>0.9852911945935202</v>
      </c>
      <c r="K567" s="16">
        <v>1.9262759924385633</v>
      </c>
      <c r="L567" s="16">
        <v>0.05</v>
      </c>
      <c r="M567" s="16">
        <v>0.05</v>
      </c>
      <c r="N567" s="16">
        <v>0.2</v>
      </c>
      <c r="O567" s="16">
        <v>0.05</v>
      </c>
      <c r="P567" s="35">
        <v>46050.380520833336</v>
      </c>
    </row>
    <row r="568">
      <c r="A568" s="33">
        <v>46050.0</v>
      </c>
      <c r="B568" s="1" t="s">
        <v>59</v>
      </c>
      <c r="C568" s="3" t="s">
        <v>6</v>
      </c>
      <c r="E568" s="34">
        <v>29.0</v>
      </c>
      <c r="F568" s="34">
        <v>5887.0</v>
      </c>
      <c r="G568" s="15">
        <v>439410.0</v>
      </c>
      <c r="H568" s="16">
        <v>0.013397510297899456</v>
      </c>
      <c r="I568" s="17">
        <v>4.359388725791402</v>
      </c>
      <c r="J568" s="16">
        <v>1.5475814931650893</v>
      </c>
      <c r="K568" s="16">
        <v>2.1235948540001353</v>
      </c>
      <c r="L568" s="16">
        <v>0.034482758620689655</v>
      </c>
      <c r="M568" s="16">
        <v>0.034482758620689655</v>
      </c>
      <c r="N568" s="16">
        <v>0.7586206896551724</v>
      </c>
      <c r="O568" s="16">
        <v>0.20689655172413793</v>
      </c>
      <c r="P568" s="35">
        <v>46050.380520833336</v>
      </c>
    </row>
    <row r="569">
      <c r="A569" s="33">
        <v>46050.0</v>
      </c>
      <c r="B569" s="1" t="s">
        <v>59</v>
      </c>
      <c r="C569" s="3" t="s">
        <v>7</v>
      </c>
      <c r="E569" s="34">
        <v>130.0</v>
      </c>
      <c r="F569" s="34">
        <v>1028.0</v>
      </c>
      <c r="G569" s="15">
        <v>221135.0</v>
      </c>
      <c r="H569" s="16">
        <v>0.004648743979921767</v>
      </c>
      <c r="I569" s="17">
        <v>4.575797589707645</v>
      </c>
      <c r="J569" s="16">
        <v>2.304932735426009</v>
      </c>
      <c r="K569" s="16">
        <v>7.008811131184432</v>
      </c>
      <c r="L569" s="16">
        <v>0.08461538461538462</v>
      </c>
      <c r="M569" s="16">
        <v>0.5076923076923077</v>
      </c>
      <c r="N569" s="16">
        <v>0.5461538461538461</v>
      </c>
      <c r="O569" s="16">
        <v>0.18461538461538463</v>
      </c>
      <c r="P569" s="35">
        <v>46050.380520833336</v>
      </c>
    </row>
    <row r="570">
      <c r="A570" s="33">
        <v>46050.0</v>
      </c>
      <c r="B570" s="1" t="s">
        <v>59</v>
      </c>
      <c r="C570" s="3" t="s">
        <v>8</v>
      </c>
      <c r="E570" s="34">
        <v>119.0</v>
      </c>
      <c r="F570" s="34">
        <v>935.0</v>
      </c>
      <c r="G570" s="15">
        <v>329865.0</v>
      </c>
      <c r="H570" s="16">
        <v>0.0028344928986100376</v>
      </c>
      <c r="I570" s="17">
        <v>5.271377684810453</v>
      </c>
      <c r="J570" s="16">
        <v>0.9689119170984456</v>
      </c>
      <c r="K570" s="16">
        <v>2.956547848455244</v>
      </c>
      <c r="L570" s="16">
        <v>0.18487394957983194</v>
      </c>
      <c r="M570" s="16">
        <v>0.6050420168067226</v>
      </c>
      <c r="N570" s="16">
        <v>0.5042016806722689</v>
      </c>
      <c r="O570" s="16">
        <v>0.13445378151260504</v>
      </c>
      <c r="P570" s="35">
        <v>46050.380520833336</v>
      </c>
    </row>
    <row r="571">
      <c r="A571" s="33">
        <v>46050.0</v>
      </c>
      <c r="B571" s="1" t="s">
        <v>59</v>
      </c>
      <c r="C571" s="3" t="s">
        <v>9</v>
      </c>
      <c r="E571" s="34">
        <v>11.0</v>
      </c>
      <c r="F571" s="34">
        <v>7.0</v>
      </c>
      <c r="G571" s="15">
        <v>456.0</v>
      </c>
      <c r="H571" s="16">
        <v>0.015350877192982455</v>
      </c>
      <c r="I571" s="17">
        <v>16.94517543859649</v>
      </c>
      <c r="J571" s="16">
        <v>1.4</v>
      </c>
      <c r="K571" s="16">
        <v>1.884297520661157</v>
      </c>
      <c r="L571" s="16">
        <v>0.09090909090909091</v>
      </c>
      <c r="M571" s="16">
        <v>0.09090909090909091</v>
      </c>
      <c r="N571" s="16">
        <v>0.09090909090909091</v>
      </c>
      <c r="O571" s="16">
        <v>0.09090909090909091</v>
      </c>
      <c r="P571" s="35">
        <v>46050.380520833336</v>
      </c>
    </row>
    <row r="572">
      <c r="A572" s="33">
        <v>46050.0</v>
      </c>
      <c r="B572" s="1" t="s">
        <v>59</v>
      </c>
      <c r="C572" s="3" t="s">
        <v>10</v>
      </c>
      <c r="E572" s="34">
        <v>76.0</v>
      </c>
      <c r="F572" s="34">
        <v>3207.0</v>
      </c>
      <c r="G572" s="15">
        <v>461224.0</v>
      </c>
      <c r="H572" s="16">
        <v>0.006953237472464573</v>
      </c>
      <c r="I572" s="17">
        <v>4.222705236501136</v>
      </c>
      <c r="J572" s="16">
        <v>5.7064056939501775</v>
      </c>
      <c r="K572" s="16">
        <v>9.099992107963065</v>
      </c>
      <c r="L572" s="16">
        <v>0.039473684210526314</v>
      </c>
      <c r="M572" s="16">
        <v>0.2236842105263158</v>
      </c>
      <c r="N572" s="16">
        <v>0.17105263157894737</v>
      </c>
      <c r="O572" s="16">
        <v>0.32894736842105265</v>
      </c>
      <c r="P572" s="35">
        <v>46050.380520833336</v>
      </c>
    </row>
    <row r="573">
      <c r="A573" s="33">
        <v>46050.0</v>
      </c>
      <c r="B573" s="1" t="s">
        <v>60</v>
      </c>
      <c r="D573" s="1" t="s">
        <v>30</v>
      </c>
      <c r="E573" s="34">
        <v>9.0</v>
      </c>
      <c r="F573" s="34">
        <v>507.0</v>
      </c>
      <c r="G573" s="15">
        <v>11399.0</v>
      </c>
      <c r="H573" s="16">
        <v>0.04447758575313624</v>
      </c>
      <c r="I573" s="17">
        <v>10.72023861742258</v>
      </c>
      <c r="J573" s="16">
        <v>1.2305825242718447</v>
      </c>
      <c r="K573" s="16">
        <v>0.688761329305136</v>
      </c>
      <c r="L573" s="16">
        <v>0.0</v>
      </c>
      <c r="M573" s="16">
        <v>0.0</v>
      </c>
      <c r="N573" s="16">
        <v>0.6666666666666666</v>
      </c>
      <c r="O573" s="16">
        <v>0.3333333333333333</v>
      </c>
      <c r="P573" s="35">
        <v>46050.380520833336</v>
      </c>
    </row>
    <row r="574">
      <c r="A574" s="33">
        <v>46050.0</v>
      </c>
      <c r="B574" s="1" t="s">
        <v>60</v>
      </c>
      <c r="D574" s="1" t="s">
        <v>31</v>
      </c>
      <c r="E574" s="34">
        <v>67.0</v>
      </c>
      <c r="F574" s="34">
        <v>553.0</v>
      </c>
      <c r="G574" s="15">
        <v>12448.0</v>
      </c>
      <c r="H574" s="16">
        <v>0.04442480719794344</v>
      </c>
      <c r="I574" s="17">
        <v>7.064428020565552</v>
      </c>
      <c r="J574" s="16">
        <v>2.9105263157894736</v>
      </c>
      <c r="K574" s="16">
        <v>0.9707556733993605</v>
      </c>
      <c r="L574" s="16">
        <v>0.08955223880597014</v>
      </c>
      <c r="M574" s="16">
        <v>0.08955223880597014</v>
      </c>
      <c r="N574" s="16">
        <v>0.3283582089552239</v>
      </c>
      <c r="O574" s="16">
        <v>0.1791044776119403</v>
      </c>
      <c r="P574" s="35">
        <v>46050.380520833336</v>
      </c>
    </row>
    <row r="575">
      <c r="A575" s="33">
        <v>46050.0</v>
      </c>
      <c r="B575" s="1" t="s">
        <v>60</v>
      </c>
      <c r="D575" s="1" t="s">
        <v>32</v>
      </c>
      <c r="E575" s="34">
        <v>542.0</v>
      </c>
      <c r="F575" s="34">
        <v>17770.0</v>
      </c>
      <c r="G575" s="15">
        <v>1653541.0</v>
      </c>
      <c r="H575" s="16">
        <v>0.010746634041732258</v>
      </c>
      <c r="I575" s="17">
        <v>4.607024561229506</v>
      </c>
      <c r="J575" s="16">
        <v>1.5534574700585715</v>
      </c>
      <c r="K575" s="16">
        <v>3.6631878137502936</v>
      </c>
      <c r="L575" s="16">
        <v>0.08671586715867159</v>
      </c>
      <c r="M575" s="16">
        <v>0.3191881918819188</v>
      </c>
      <c r="N575" s="16">
        <v>0.46494464944649444</v>
      </c>
      <c r="O575" s="16">
        <v>0.17712177121771217</v>
      </c>
      <c r="P575" s="35">
        <v>46050.380520833336</v>
      </c>
    </row>
    <row r="576">
      <c r="A576" s="33">
        <v>46050.0</v>
      </c>
      <c r="B576" s="1" t="s">
        <v>60</v>
      </c>
      <c r="D576" s="1" t="s">
        <v>33</v>
      </c>
      <c r="E576" s="34">
        <v>105.0</v>
      </c>
      <c r="F576" s="34">
        <v>300.0</v>
      </c>
      <c r="G576" s="15">
        <v>23622.0</v>
      </c>
      <c r="H576" s="16">
        <v>0.0127000254000508</v>
      </c>
      <c r="I576" s="17">
        <v>5.209804419608839</v>
      </c>
      <c r="J576" s="16">
        <v>0.8333333333333334</v>
      </c>
      <c r="K576" s="16">
        <v>2.67489525535047</v>
      </c>
      <c r="L576" s="16">
        <v>0.06666666666666667</v>
      </c>
      <c r="M576" s="16">
        <v>0.10476190476190476</v>
      </c>
      <c r="N576" s="16">
        <v>0.3619047619047619</v>
      </c>
      <c r="O576" s="16">
        <v>0.05714285714285714</v>
      </c>
      <c r="P576" s="35">
        <v>46050.380520833336</v>
      </c>
    </row>
    <row r="577">
      <c r="A577" s="33">
        <v>46050.0</v>
      </c>
      <c r="B577" s="1" t="s">
        <v>60</v>
      </c>
      <c r="D577" s="1" t="s">
        <v>34</v>
      </c>
      <c r="E577" s="34">
        <v>89.0</v>
      </c>
      <c r="F577" s="34">
        <v>22.0</v>
      </c>
      <c r="G577" s="15">
        <v>1078.0</v>
      </c>
      <c r="H577" s="16">
        <v>0.02040816326530612</v>
      </c>
      <c r="I577" s="17">
        <v>7.945269016697588</v>
      </c>
      <c r="J577" s="16">
        <v>1.375</v>
      </c>
      <c r="K577" s="16">
        <v>0.3803810868031052</v>
      </c>
      <c r="L577" s="16">
        <v>0.02247191011235955</v>
      </c>
      <c r="M577" s="16">
        <v>0.02247191011235955</v>
      </c>
      <c r="N577" s="16">
        <v>0.10112359550561797</v>
      </c>
      <c r="O577" s="16">
        <v>0.06741573033707865</v>
      </c>
      <c r="P577" s="35">
        <v>46050.380520833336</v>
      </c>
    </row>
    <row r="578">
      <c r="A578" s="33">
        <v>46051.0</v>
      </c>
      <c r="B578" s="1" t="s">
        <v>57</v>
      </c>
      <c r="E578" s="34">
        <v>1150.0</v>
      </c>
      <c r="F578" s="34">
        <v>19662.0</v>
      </c>
      <c r="G578" s="15">
        <v>1729088.0</v>
      </c>
      <c r="H578" s="16">
        <v>0.011371312506940075</v>
      </c>
      <c r="I578" s="17">
        <v>4.683238215753044</v>
      </c>
      <c r="J578" s="16">
        <v>1.545268783401446</v>
      </c>
      <c r="K578" s="16">
        <v>3.39851840786828</v>
      </c>
      <c r="L578" s="16">
        <v>0.06086956521739131</v>
      </c>
      <c r="M578" s="16">
        <v>0.16869565217391305</v>
      </c>
      <c r="N578" s="16">
        <v>0.2965217391304348</v>
      </c>
      <c r="O578" s="16">
        <v>0.12521739130434784</v>
      </c>
      <c r="P578" s="35">
        <v>46051.30262731481</v>
      </c>
    </row>
    <row r="579">
      <c r="A579" s="33">
        <v>46051.0</v>
      </c>
      <c r="B579" s="1" t="s">
        <v>58</v>
      </c>
      <c r="E579" s="34">
        <v>812.0</v>
      </c>
      <c r="F579" s="34">
        <v>19562.0</v>
      </c>
      <c r="G579" s="15">
        <v>1727184.0</v>
      </c>
      <c r="H579" s="16">
        <v>0.011325950217232211</v>
      </c>
      <c r="I579" s="17">
        <v>4.6825578513927875</v>
      </c>
      <c r="J579" s="16">
        <v>1.5489745823105552</v>
      </c>
      <c r="K579" s="16">
        <v>3.4701223554939427</v>
      </c>
      <c r="L579" s="16">
        <v>0.08004926108374384</v>
      </c>
      <c r="M579" s="16">
        <v>0.23275862068965517</v>
      </c>
      <c r="N579" s="16">
        <v>0.39532019704433496</v>
      </c>
      <c r="O579" s="16">
        <v>0.1564039408866995</v>
      </c>
      <c r="P579" s="35">
        <v>46051.30262731481</v>
      </c>
    </row>
    <row r="580">
      <c r="A580" s="33">
        <v>46051.0</v>
      </c>
      <c r="B580" s="1" t="s">
        <v>59</v>
      </c>
      <c r="C580" s="3" t="s">
        <v>2</v>
      </c>
      <c r="E580" s="34">
        <v>133.0</v>
      </c>
      <c r="F580" s="34">
        <v>1380.0</v>
      </c>
      <c r="G580" s="15">
        <v>109880.0</v>
      </c>
      <c r="H580" s="16">
        <v>0.012559155442300692</v>
      </c>
      <c r="I580" s="17">
        <v>4.89237349836185</v>
      </c>
      <c r="J580" s="16">
        <v>4.1441441441441444</v>
      </c>
      <c r="K580" s="16">
        <v>5.5722906841117705</v>
      </c>
      <c r="L580" s="16">
        <v>0.05263157894736842</v>
      </c>
      <c r="M580" s="16">
        <v>0.08270676691729323</v>
      </c>
      <c r="N580" s="16">
        <v>0.39849624060150374</v>
      </c>
      <c r="O580" s="16">
        <v>0.09774436090225563</v>
      </c>
      <c r="P580" s="35">
        <v>46051.30262731481</v>
      </c>
    </row>
    <row r="581">
      <c r="A581" s="33">
        <v>46051.0</v>
      </c>
      <c r="B581" s="1" t="s">
        <v>59</v>
      </c>
      <c r="C581" s="1" t="s">
        <v>3</v>
      </c>
      <c r="E581" s="34">
        <v>169.0</v>
      </c>
      <c r="F581" s="34">
        <v>1206.0</v>
      </c>
      <c r="G581" s="15">
        <v>47072.0</v>
      </c>
      <c r="H581" s="16">
        <v>0.025620326308633583</v>
      </c>
      <c r="I581" s="17">
        <v>6.0579112848402445</v>
      </c>
      <c r="J581" s="16">
        <v>1.6209677419354838</v>
      </c>
      <c r="K581" s="16">
        <v>2.1979828165857302</v>
      </c>
      <c r="L581" s="16">
        <v>0.04142011834319527</v>
      </c>
      <c r="M581" s="16">
        <v>0.05325443786982249</v>
      </c>
      <c r="N581" s="16">
        <v>0.4260355029585799</v>
      </c>
      <c r="O581" s="16">
        <v>0.11834319526627218</v>
      </c>
      <c r="P581" s="35">
        <v>46051.30262731481</v>
      </c>
    </row>
    <row r="582">
      <c r="A582" s="33">
        <v>46051.0</v>
      </c>
      <c r="B582" s="1" t="s">
        <v>59</v>
      </c>
      <c r="C582" s="3" t="s">
        <v>4</v>
      </c>
      <c r="E582" s="34">
        <v>105.0</v>
      </c>
      <c r="F582" s="34">
        <v>620.0</v>
      </c>
      <c r="G582" s="15">
        <v>32957.0</v>
      </c>
      <c r="H582" s="16">
        <v>0.018812391904602967</v>
      </c>
      <c r="I582" s="17">
        <v>5.222077252177079</v>
      </c>
      <c r="J582" s="16">
        <v>1.1293260473588342</v>
      </c>
      <c r="K582" s="16">
        <v>1.981660754013589</v>
      </c>
      <c r="L582" s="16">
        <v>0.09523809523809523</v>
      </c>
      <c r="M582" s="16">
        <v>0.13333333333333333</v>
      </c>
      <c r="N582" s="16">
        <v>0.24761904761904763</v>
      </c>
      <c r="O582" s="16">
        <v>0.13333333333333333</v>
      </c>
      <c r="P582" s="35">
        <v>46051.30262731481</v>
      </c>
    </row>
    <row r="583">
      <c r="A583" s="33">
        <v>46051.0</v>
      </c>
      <c r="B583" s="1" t="s">
        <v>59</v>
      </c>
      <c r="C583" s="3" t="s">
        <v>5</v>
      </c>
      <c r="E583" s="34">
        <v>40.0</v>
      </c>
      <c r="F583" s="34">
        <v>5087.0</v>
      </c>
      <c r="G583" s="15">
        <v>66056.0</v>
      </c>
      <c r="H583" s="16">
        <v>0.07701041540511082</v>
      </c>
      <c r="I583" s="17">
        <v>5.554045052682572</v>
      </c>
      <c r="J583" s="16">
        <v>0.9951095461658842</v>
      </c>
      <c r="K583" s="16">
        <v>1.908801941859793</v>
      </c>
      <c r="L583" s="16">
        <v>0.05</v>
      </c>
      <c r="M583" s="16">
        <v>0.05</v>
      </c>
      <c r="N583" s="16">
        <v>0.225</v>
      </c>
      <c r="O583" s="16">
        <v>0.05</v>
      </c>
      <c r="P583" s="35">
        <v>46051.30262731481</v>
      </c>
    </row>
    <row r="584">
      <c r="A584" s="33">
        <v>46051.0</v>
      </c>
      <c r="B584" s="1" t="s">
        <v>59</v>
      </c>
      <c r="C584" s="3" t="s">
        <v>6</v>
      </c>
      <c r="E584" s="34">
        <v>29.0</v>
      </c>
      <c r="F584" s="34">
        <v>5963.0</v>
      </c>
      <c r="G584" s="15">
        <v>440304.0</v>
      </c>
      <c r="H584" s="16">
        <v>0.013542915803626585</v>
      </c>
      <c r="I584" s="17">
        <v>4.382124622987754</v>
      </c>
      <c r="J584" s="16">
        <v>1.5392359318533815</v>
      </c>
      <c r="K584" s="16">
        <v>2.1045426736004895</v>
      </c>
      <c r="L584" s="16">
        <v>0.034482758620689655</v>
      </c>
      <c r="M584" s="16">
        <v>0.034482758620689655</v>
      </c>
      <c r="N584" s="16">
        <v>0.7241379310344828</v>
      </c>
      <c r="O584" s="16">
        <v>0.2413793103448276</v>
      </c>
      <c r="P584" s="35">
        <v>46051.30262731481</v>
      </c>
    </row>
    <row r="585">
      <c r="A585" s="33">
        <v>46051.0</v>
      </c>
      <c r="B585" s="1" t="s">
        <v>59</v>
      </c>
      <c r="C585" s="3" t="s">
        <v>7</v>
      </c>
      <c r="E585" s="34">
        <v>130.0</v>
      </c>
      <c r="F585" s="34">
        <v>1075.0</v>
      </c>
      <c r="G585" s="15">
        <v>227376.0</v>
      </c>
      <c r="H585" s="16">
        <v>0.004727851664203786</v>
      </c>
      <c r="I585" s="17">
        <v>4.555986559707269</v>
      </c>
      <c r="J585" s="16">
        <v>2.326839826839827</v>
      </c>
      <c r="K585" s="16">
        <v>7.156715243461018</v>
      </c>
      <c r="L585" s="16">
        <v>0.07692307692307693</v>
      </c>
      <c r="M585" s="16">
        <v>0.49230769230769234</v>
      </c>
      <c r="N585" s="16">
        <v>0.5384615384615384</v>
      </c>
      <c r="O585" s="16">
        <v>0.2</v>
      </c>
      <c r="P585" s="35">
        <v>46051.30262731481</v>
      </c>
    </row>
    <row r="586">
      <c r="A586" s="33">
        <v>46051.0</v>
      </c>
      <c r="B586" s="1" t="s">
        <v>59</v>
      </c>
      <c r="C586" s="3" t="s">
        <v>8</v>
      </c>
      <c r="E586" s="34">
        <v>119.0</v>
      </c>
      <c r="F586" s="34">
        <v>946.0</v>
      </c>
      <c r="G586" s="15">
        <v>335412.0</v>
      </c>
      <c r="H586" s="16">
        <v>0.0028204119113210023</v>
      </c>
      <c r="I586" s="17">
        <v>5.270106615147937</v>
      </c>
      <c r="J586" s="16">
        <v>0.9722507708119219</v>
      </c>
      <c r="K586" s="16">
        <v>2.981122013651877</v>
      </c>
      <c r="L586" s="16">
        <v>0.20168067226890757</v>
      </c>
      <c r="M586" s="16">
        <v>0.6050420168067226</v>
      </c>
      <c r="N586" s="16">
        <v>0.4789915966386555</v>
      </c>
      <c r="O586" s="16">
        <v>0.14285714285714285</v>
      </c>
      <c r="P586" s="35">
        <v>46051.30262731481</v>
      </c>
    </row>
    <row r="587">
      <c r="A587" s="33">
        <v>46051.0</v>
      </c>
      <c r="B587" s="1" t="s">
        <v>59</v>
      </c>
      <c r="C587" s="3" t="s">
        <v>9</v>
      </c>
      <c r="E587" s="34">
        <v>11.0</v>
      </c>
      <c r="F587" s="34">
        <v>9.0</v>
      </c>
      <c r="G587" s="15">
        <v>472.0</v>
      </c>
      <c r="H587" s="16">
        <v>0.019067796610169493</v>
      </c>
      <c r="I587" s="17">
        <v>16.324152542372882</v>
      </c>
      <c r="J587" s="16">
        <v>2.25</v>
      </c>
      <c r="K587" s="16">
        <v>1.9504132231404958</v>
      </c>
      <c r="L587" s="16">
        <v>0.09090909090909091</v>
      </c>
      <c r="M587" s="16">
        <v>0.09090909090909091</v>
      </c>
      <c r="N587" s="16">
        <v>0.09090909090909091</v>
      </c>
      <c r="O587" s="16">
        <v>0.09090909090909091</v>
      </c>
      <c r="P587" s="35">
        <v>46051.30262731481</v>
      </c>
    </row>
    <row r="588">
      <c r="A588" s="33">
        <v>46051.0</v>
      </c>
      <c r="B588" s="1" t="s">
        <v>59</v>
      </c>
      <c r="C588" s="3" t="s">
        <v>10</v>
      </c>
      <c r="E588" s="34">
        <v>76.0</v>
      </c>
      <c r="F588" s="34">
        <v>3276.0</v>
      </c>
      <c r="G588" s="15">
        <v>467655.0</v>
      </c>
      <c r="H588" s="16">
        <v>0.007005164063251756</v>
      </c>
      <c r="I588" s="17">
        <v>4.244954079396136</v>
      </c>
      <c r="J588" s="16">
        <v>5.6678200692041525</v>
      </c>
      <c r="K588" s="16">
        <v>9.060096479841912</v>
      </c>
      <c r="L588" s="16">
        <v>0.039473684210526314</v>
      </c>
      <c r="M588" s="16">
        <v>0.19736842105263158</v>
      </c>
      <c r="N588" s="16">
        <v>0.15789473684210525</v>
      </c>
      <c r="O588" s="16">
        <v>0.35526315789473684</v>
      </c>
      <c r="P588" s="35">
        <v>46051.30262731481</v>
      </c>
    </row>
    <row r="589">
      <c r="A589" s="33">
        <v>46051.0</v>
      </c>
      <c r="B589" s="1" t="s">
        <v>60</v>
      </c>
      <c r="D589" s="1" t="s">
        <v>30</v>
      </c>
      <c r="E589" s="34">
        <v>9.0</v>
      </c>
      <c r="F589" s="34">
        <v>524.0</v>
      </c>
      <c r="G589" s="15">
        <v>11507.0</v>
      </c>
      <c r="H589" s="16">
        <v>0.045537498913704705</v>
      </c>
      <c r="I589" s="17">
        <v>10.667419831406969</v>
      </c>
      <c r="J589" s="16">
        <v>1.2535885167464116</v>
      </c>
      <c r="K589" s="16">
        <v>0.6935270009643202</v>
      </c>
      <c r="L589" s="16">
        <v>0.0</v>
      </c>
      <c r="M589" s="16">
        <v>0.0</v>
      </c>
      <c r="N589" s="16">
        <v>0.7777777777777778</v>
      </c>
      <c r="O589" s="16">
        <v>0.2222222222222222</v>
      </c>
      <c r="P589" s="35">
        <v>46051.30262731481</v>
      </c>
    </row>
    <row r="590">
      <c r="A590" s="33">
        <v>46051.0</v>
      </c>
      <c r="B590" s="1" t="s">
        <v>60</v>
      </c>
      <c r="D590" s="1" t="s">
        <v>31</v>
      </c>
      <c r="E590" s="34">
        <v>67.0</v>
      </c>
      <c r="F590" s="34">
        <v>565.0</v>
      </c>
      <c r="G590" s="15">
        <v>12798.0</v>
      </c>
      <c r="H590" s="16">
        <v>0.04414752305047664</v>
      </c>
      <c r="I590" s="17">
        <v>6.985622753555243</v>
      </c>
      <c r="J590" s="16">
        <v>3.00531914893617</v>
      </c>
      <c r="K590" s="16">
        <v>0.9937878552570275</v>
      </c>
      <c r="L590" s="16">
        <v>0.08955223880597014</v>
      </c>
      <c r="M590" s="16">
        <v>0.08955223880597014</v>
      </c>
      <c r="N590" s="16">
        <v>0.3283582089552239</v>
      </c>
      <c r="O590" s="16">
        <v>0.1791044776119403</v>
      </c>
      <c r="P590" s="35">
        <v>46051.30262731481</v>
      </c>
    </row>
    <row r="591">
      <c r="A591" s="33">
        <v>46051.0</v>
      </c>
      <c r="B591" s="1" t="s">
        <v>60</v>
      </c>
      <c r="D591" s="1" t="s">
        <v>32</v>
      </c>
      <c r="E591" s="34">
        <v>542.0</v>
      </c>
      <c r="F591" s="34">
        <v>18144.0</v>
      </c>
      <c r="G591" s="15">
        <v>1677130.0</v>
      </c>
      <c r="H591" s="16">
        <v>0.010818481572686674</v>
      </c>
      <c r="I591" s="17">
        <v>4.6149791608283195</v>
      </c>
      <c r="J591" s="16">
        <v>1.5583612471012627</v>
      </c>
      <c r="K591" s="16">
        <v>3.673799755099001</v>
      </c>
      <c r="L591" s="16">
        <v>0.09040590405904059</v>
      </c>
      <c r="M591" s="16">
        <v>0.31365313653136534</v>
      </c>
      <c r="N591" s="16">
        <v>0.45571955719557194</v>
      </c>
      <c r="O591" s="16">
        <v>0.1881918819188192</v>
      </c>
      <c r="P591" s="35">
        <v>46051.30262731481</v>
      </c>
    </row>
    <row r="592">
      <c r="A592" s="33">
        <v>46051.0</v>
      </c>
      <c r="B592" s="1" t="s">
        <v>60</v>
      </c>
      <c r="D592" s="1" t="s">
        <v>33</v>
      </c>
      <c r="E592" s="34">
        <v>105.0</v>
      </c>
      <c r="F592" s="34">
        <v>309.0</v>
      </c>
      <c r="G592" s="15">
        <v>24652.0</v>
      </c>
      <c r="H592" s="16">
        <v>0.012534479961057927</v>
      </c>
      <c r="I592" s="17">
        <v>5.146438422846017</v>
      </c>
      <c r="J592" s="16">
        <v>0.8489010989010989</v>
      </c>
      <c r="K592" s="16">
        <v>2.7792559188275083</v>
      </c>
      <c r="L592" s="16">
        <v>0.0761904761904762</v>
      </c>
      <c r="M592" s="16">
        <v>0.10476190476190476</v>
      </c>
      <c r="N592" s="16">
        <v>0.34285714285714286</v>
      </c>
      <c r="O592" s="16">
        <v>0.047619047619047616</v>
      </c>
      <c r="P592" s="35">
        <v>46051.30262731481</v>
      </c>
    </row>
    <row r="593">
      <c r="A593" s="33">
        <v>46051.0</v>
      </c>
      <c r="B593" s="1" t="s">
        <v>60</v>
      </c>
      <c r="D593" s="1" t="s">
        <v>34</v>
      </c>
      <c r="E593" s="34">
        <v>89.0</v>
      </c>
      <c r="F593" s="34">
        <v>20.0</v>
      </c>
      <c r="G593" s="15">
        <v>1097.0</v>
      </c>
      <c r="H593" s="16">
        <v>0.018231540565177756</v>
      </c>
      <c r="I593" s="17">
        <v>7.927985414767548</v>
      </c>
      <c r="J593" s="16">
        <v>1.25</v>
      </c>
      <c r="K593" s="16">
        <v>0.38103508162556443</v>
      </c>
      <c r="L593" s="16">
        <v>0.02247191011235955</v>
      </c>
      <c r="M593" s="16">
        <v>0.02247191011235955</v>
      </c>
      <c r="N593" s="16">
        <v>0.10112359550561797</v>
      </c>
      <c r="O593" s="16">
        <v>0.06741573033707865</v>
      </c>
      <c r="P593" s="35">
        <v>46051.30262731481</v>
      </c>
    </row>
    <row r="594">
      <c r="A594" s="33">
        <v>46052.0</v>
      </c>
      <c r="B594" s="1" t="s">
        <v>57</v>
      </c>
      <c r="E594" s="34">
        <v>1150.0</v>
      </c>
      <c r="F594" s="34">
        <v>19986.0</v>
      </c>
      <c r="G594" s="15">
        <v>1751516.0</v>
      </c>
      <c r="H594" s="16">
        <v>0.011410686513854284</v>
      </c>
      <c r="I594" s="17">
        <v>4.692579456881924</v>
      </c>
      <c r="J594" s="16">
        <v>1.5372663641258364</v>
      </c>
      <c r="K594" s="16">
        <v>3.4040887562119435</v>
      </c>
      <c r="L594" s="16">
        <v>0.06</v>
      </c>
      <c r="M594" s="16">
        <v>0.16695652173913045</v>
      </c>
      <c r="N594" s="16">
        <v>0.29043478260869565</v>
      </c>
      <c r="O594" s="16">
        <v>0.12782608695652173</v>
      </c>
      <c r="P594" s="35">
        <v>46052.30273148148</v>
      </c>
    </row>
    <row r="595">
      <c r="A595" s="33">
        <v>46052.0</v>
      </c>
      <c r="B595" s="1" t="s">
        <v>58</v>
      </c>
      <c r="E595" s="34">
        <v>812.0</v>
      </c>
      <c r="F595" s="34">
        <v>19888.0</v>
      </c>
      <c r="G595" s="15">
        <v>1749596.0</v>
      </c>
      <c r="H595" s="16">
        <v>0.011367195626876147</v>
      </c>
      <c r="I595" s="17">
        <v>4.69178713257232</v>
      </c>
      <c r="J595" s="16">
        <v>1.5413469735720375</v>
      </c>
      <c r="K595" s="16">
        <v>3.4754615485465243</v>
      </c>
      <c r="L595" s="16">
        <v>0.08004926108374384</v>
      </c>
      <c r="M595" s="16">
        <v>0.2315270935960591</v>
      </c>
      <c r="N595" s="16">
        <v>0.3866995073891626</v>
      </c>
      <c r="O595" s="16">
        <v>0.15763546798029557</v>
      </c>
      <c r="P595" s="35">
        <v>46052.30273148148</v>
      </c>
    </row>
    <row r="596">
      <c r="A596" s="33">
        <v>46052.0</v>
      </c>
      <c r="B596" s="1" t="s">
        <v>59</v>
      </c>
      <c r="C596" s="3" t="s">
        <v>2</v>
      </c>
      <c r="E596" s="34">
        <v>133.0</v>
      </c>
      <c r="F596" s="34">
        <v>1384.0</v>
      </c>
      <c r="G596" s="15">
        <v>113094.0</v>
      </c>
      <c r="H596" s="16">
        <v>0.012237607653810104</v>
      </c>
      <c r="I596" s="17">
        <v>4.874732523387625</v>
      </c>
      <c r="J596" s="16">
        <v>4.106824925816023</v>
      </c>
      <c r="K596" s="16">
        <v>5.74110360932027</v>
      </c>
      <c r="L596" s="16">
        <v>0.05263157894736842</v>
      </c>
      <c r="M596" s="16">
        <v>0.08270676691729323</v>
      </c>
      <c r="N596" s="16">
        <v>0.38345864661654133</v>
      </c>
      <c r="O596" s="16">
        <v>0.09022556390977443</v>
      </c>
      <c r="P596" s="35">
        <v>46052.30273148148</v>
      </c>
    </row>
    <row r="597">
      <c r="A597" s="33">
        <v>46052.0</v>
      </c>
      <c r="B597" s="1" t="s">
        <v>59</v>
      </c>
      <c r="C597" s="1" t="s">
        <v>3</v>
      </c>
      <c r="E597" s="34">
        <v>169.0</v>
      </c>
      <c r="F597" s="34">
        <v>1230.0</v>
      </c>
      <c r="G597" s="15">
        <v>48132.0</v>
      </c>
      <c r="H597" s="16">
        <v>0.025554724507604088</v>
      </c>
      <c r="I597" s="17">
        <v>6.062806448932103</v>
      </c>
      <c r="J597" s="16">
        <v>1.6120576671035387</v>
      </c>
      <c r="K597" s="16">
        <v>2.244125326370757</v>
      </c>
      <c r="L597" s="16">
        <v>0.03550295857988166</v>
      </c>
      <c r="M597" s="16">
        <v>0.047337278106508875</v>
      </c>
      <c r="N597" s="16">
        <v>0.42011834319526625</v>
      </c>
      <c r="O597" s="16">
        <v>0.11834319526627218</v>
      </c>
      <c r="P597" s="35">
        <v>46052.30273148148</v>
      </c>
    </row>
    <row r="598">
      <c r="A598" s="33">
        <v>46052.0</v>
      </c>
      <c r="B598" s="1" t="s">
        <v>59</v>
      </c>
      <c r="C598" s="3" t="s">
        <v>4</v>
      </c>
      <c r="E598" s="34">
        <v>105.0</v>
      </c>
      <c r="F598" s="34">
        <v>636.0</v>
      </c>
      <c r="G598" s="15">
        <v>33810.0</v>
      </c>
      <c r="H598" s="16">
        <v>0.018811002661934337</v>
      </c>
      <c r="I598" s="17">
        <v>5.197338065661047</v>
      </c>
      <c r="J598" s="16">
        <v>1.145945945945946</v>
      </c>
      <c r="K598" s="16">
        <v>2.022371097021175</v>
      </c>
      <c r="L598" s="16">
        <v>0.08571428571428572</v>
      </c>
      <c r="M598" s="16">
        <v>0.12380952380952381</v>
      </c>
      <c r="N598" s="16">
        <v>0.2571428571428571</v>
      </c>
      <c r="O598" s="16">
        <v>0.11428571428571428</v>
      </c>
      <c r="P598" s="35">
        <v>46052.30273148148</v>
      </c>
    </row>
    <row r="599">
      <c r="A599" s="33">
        <v>46052.0</v>
      </c>
      <c r="B599" s="1" t="s">
        <v>59</v>
      </c>
      <c r="C599" s="3" t="s">
        <v>5</v>
      </c>
      <c r="E599" s="34">
        <v>40.0</v>
      </c>
      <c r="F599" s="34">
        <v>5244.0</v>
      </c>
      <c r="G599" s="15">
        <v>66981.0</v>
      </c>
      <c r="H599" s="16">
        <v>0.07829085860169302</v>
      </c>
      <c r="I599" s="17">
        <v>5.529403860796346</v>
      </c>
      <c r="J599" s="16">
        <v>0.9990474376071633</v>
      </c>
      <c r="K599" s="16">
        <v>1.8849833961839366</v>
      </c>
      <c r="L599" s="16">
        <v>0.05</v>
      </c>
      <c r="M599" s="16">
        <v>0.05</v>
      </c>
      <c r="N599" s="16">
        <v>0.225</v>
      </c>
      <c r="O599" s="16">
        <v>0.05</v>
      </c>
      <c r="P599" s="35">
        <v>46052.30273148148</v>
      </c>
    </row>
    <row r="600">
      <c r="A600" s="33">
        <v>46052.0</v>
      </c>
      <c r="B600" s="1" t="s">
        <v>59</v>
      </c>
      <c r="C600" s="3" t="s">
        <v>6</v>
      </c>
      <c r="E600" s="34">
        <v>29.0</v>
      </c>
      <c r="F600" s="34">
        <v>6011.0</v>
      </c>
      <c r="G600" s="15">
        <v>441639.0</v>
      </c>
      <c r="H600" s="16">
        <v>0.013610663913286643</v>
      </c>
      <c r="I600" s="17">
        <v>4.4085576681407215</v>
      </c>
      <c r="J600" s="16">
        <v>1.5240872210953347</v>
      </c>
      <c r="K600" s="16">
        <v>2.096732690189525</v>
      </c>
      <c r="L600" s="16">
        <v>0.06896551724137931</v>
      </c>
      <c r="M600" s="16">
        <v>0.10344827586206896</v>
      </c>
      <c r="N600" s="16">
        <v>0.6896551724137931</v>
      </c>
      <c r="O600" s="16">
        <v>0.2413793103448276</v>
      </c>
      <c r="P600" s="35">
        <v>46052.30273148148</v>
      </c>
    </row>
    <row r="601">
      <c r="A601" s="33">
        <v>46052.0</v>
      </c>
      <c r="B601" s="1" t="s">
        <v>59</v>
      </c>
      <c r="C601" s="3" t="s">
        <v>7</v>
      </c>
      <c r="E601" s="34">
        <v>130.0</v>
      </c>
      <c r="F601" s="34">
        <v>1112.0</v>
      </c>
      <c r="G601" s="15">
        <v>233180.0</v>
      </c>
      <c r="H601" s="16">
        <v>0.0047688481001801186</v>
      </c>
      <c r="I601" s="17">
        <v>4.540273608371216</v>
      </c>
      <c r="J601" s="16">
        <v>2.288065843621399</v>
      </c>
      <c r="K601" s="16">
        <v>7.242964527551718</v>
      </c>
      <c r="L601" s="16">
        <v>0.07692307692307693</v>
      </c>
      <c r="M601" s="16">
        <v>0.47692307692307695</v>
      </c>
      <c r="N601" s="16">
        <v>0.5153846153846153</v>
      </c>
      <c r="O601" s="16">
        <v>0.23076923076923078</v>
      </c>
      <c r="P601" s="35">
        <v>46052.30273148148</v>
      </c>
    </row>
    <row r="602">
      <c r="A602" s="33">
        <v>46052.0</v>
      </c>
      <c r="B602" s="1" t="s">
        <v>59</v>
      </c>
      <c r="C602" s="3" t="s">
        <v>8</v>
      </c>
      <c r="E602" s="34">
        <v>119.0</v>
      </c>
      <c r="F602" s="34">
        <v>953.0</v>
      </c>
      <c r="G602" s="15">
        <v>341319.0</v>
      </c>
      <c r="H602" s="16">
        <v>0.002792109434282885</v>
      </c>
      <c r="I602" s="17">
        <v>5.270275021314371</v>
      </c>
      <c r="J602" s="16">
        <v>0.9684959349593496</v>
      </c>
      <c r="K602" s="16">
        <v>2.986768991135574</v>
      </c>
      <c r="L602" s="16">
        <v>0.21008403361344538</v>
      </c>
      <c r="M602" s="16">
        <v>0.6050420168067226</v>
      </c>
      <c r="N602" s="16">
        <v>0.46218487394957986</v>
      </c>
      <c r="O602" s="16">
        <v>0.15126050420168066</v>
      </c>
      <c r="P602" s="35">
        <v>46052.30273148148</v>
      </c>
    </row>
    <row r="603">
      <c r="A603" s="33">
        <v>46052.0</v>
      </c>
      <c r="B603" s="1" t="s">
        <v>59</v>
      </c>
      <c r="C603" s="3" t="s">
        <v>9</v>
      </c>
      <c r="E603" s="34">
        <v>11.0</v>
      </c>
      <c r="F603" s="34">
        <v>10.0</v>
      </c>
      <c r="G603" s="15">
        <v>478.0</v>
      </c>
      <c r="H603" s="16">
        <v>0.02092050209205021</v>
      </c>
      <c r="I603" s="17">
        <v>16.397489539748953</v>
      </c>
      <c r="J603" s="16">
        <v>2.5</v>
      </c>
      <c r="K603" s="16">
        <v>1.9670781893004115</v>
      </c>
      <c r="L603" s="16">
        <v>0.09090909090909091</v>
      </c>
      <c r="M603" s="16">
        <v>0.09090909090909091</v>
      </c>
      <c r="N603" s="16">
        <v>0.09090909090909091</v>
      </c>
      <c r="O603" s="16">
        <v>0.09090909090909091</v>
      </c>
      <c r="P603" s="35">
        <v>46052.30273148148</v>
      </c>
    </row>
    <row r="604">
      <c r="A604" s="33">
        <v>46052.0</v>
      </c>
      <c r="B604" s="1" t="s">
        <v>59</v>
      </c>
      <c r="C604" s="3" t="s">
        <v>10</v>
      </c>
      <c r="E604" s="34">
        <v>76.0</v>
      </c>
      <c r="F604" s="34">
        <v>3308.0</v>
      </c>
      <c r="G604" s="15">
        <v>470963.0</v>
      </c>
      <c r="H604" s="16">
        <v>0.0070239063365911975</v>
      </c>
      <c r="I604" s="17">
        <v>4.261804005834853</v>
      </c>
      <c r="J604" s="16">
        <v>5.693631669535284</v>
      </c>
      <c r="K604" s="16">
        <v>8.941939281171088</v>
      </c>
      <c r="L604" s="16">
        <v>0.039473684210526314</v>
      </c>
      <c r="M604" s="16">
        <v>0.21052631578947367</v>
      </c>
      <c r="N604" s="16">
        <v>0.17105263157894737</v>
      </c>
      <c r="O604" s="16">
        <v>0.34210526315789475</v>
      </c>
      <c r="P604" s="35">
        <v>46052.30273148148</v>
      </c>
    </row>
    <row r="605">
      <c r="A605" s="33">
        <v>46052.0</v>
      </c>
      <c r="B605" s="1" t="s">
        <v>60</v>
      </c>
      <c r="D605" s="1" t="s">
        <v>30</v>
      </c>
      <c r="E605" s="34">
        <v>9.0</v>
      </c>
      <c r="F605" s="34">
        <v>528.0</v>
      </c>
      <c r="G605" s="15">
        <v>11632.0</v>
      </c>
      <c r="H605" s="16">
        <v>0.0453920220082531</v>
      </c>
      <c r="I605" s="17">
        <v>10.911279229711141</v>
      </c>
      <c r="J605" s="16">
        <v>1.2452830188679245</v>
      </c>
      <c r="K605" s="16">
        <v>0.698660580215028</v>
      </c>
      <c r="L605" s="16">
        <v>0.0</v>
      </c>
      <c r="M605" s="16">
        <v>0.0</v>
      </c>
      <c r="N605" s="16">
        <v>0.7777777777777778</v>
      </c>
      <c r="O605" s="16">
        <v>0.2222222222222222</v>
      </c>
      <c r="P605" s="35">
        <v>46052.30273148148</v>
      </c>
    </row>
    <row r="606">
      <c r="A606" s="33">
        <v>46052.0</v>
      </c>
      <c r="B606" s="1" t="s">
        <v>60</v>
      </c>
      <c r="D606" s="1" t="s">
        <v>31</v>
      </c>
      <c r="E606" s="34">
        <v>63.0</v>
      </c>
      <c r="F606" s="34">
        <v>245.0</v>
      </c>
      <c r="G606" s="15">
        <v>6103.0</v>
      </c>
      <c r="H606" s="16">
        <v>0.04014419138128789</v>
      </c>
      <c r="I606" s="17">
        <v>8.45682451253482</v>
      </c>
      <c r="J606" s="16">
        <v>2.130434782608696</v>
      </c>
      <c r="K606" s="16">
        <v>0.6516122143924834</v>
      </c>
      <c r="L606" s="16">
        <v>0.1111111111111111</v>
      </c>
      <c r="M606" s="16">
        <v>0.1111111111111111</v>
      </c>
      <c r="N606" s="16">
        <v>0.2698412698412698</v>
      </c>
      <c r="O606" s="16">
        <v>0.15873015873015872</v>
      </c>
      <c r="P606" s="35">
        <v>46052.30273148148</v>
      </c>
    </row>
    <row r="607">
      <c r="A607" s="33">
        <v>46052.0</v>
      </c>
      <c r="B607" s="1" t="s">
        <v>60</v>
      </c>
      <c r="D607" s="1" t="s">
        <v>32</v>
      </c>
      <c r="E607" s="34">
        <v>546.0</v>
      </c>
      <c r="F607" s="34">
        <v>18780.0</v>
      </c>
      <c r="G607" s="15">
        <v>1705321.0</v>
      </c>
      <c r="H607" s="16">
        <v>0.01101258941864904</v>
      </c>
      <c r="I607" s="17">
        <v>4.627383348941343</v>
      </c>
      <c r="J607" s="16">
        <v>1.5676126878130217</v>
      </c>
      <c r="K607" s="16">
        <v>3.662756881679783</v>
      </c>
      <c r="L607" s="16">
        <v>0.09157509157509157</v>
      </c>
      <c r="M607" s="16">
        <v>0.31135531135531136</v>
      </c>
      <c r="N607" s="16">
        <v>0.4523809523809524</v>
      </c>
      <c r="O607" s="16">
        <v>0.19413919413919414</v>
      </c>
      <c r="P607" s="35">
        <v>46052.30273148148</v>
      </c>
    </row>
    <row r="608">
      <c r="A608" s="33">
        <v>46052.0</v>
      </c>
      <c r="B608" s="1" t="s">
        <v>60</v>
      </c>
      <c r="D608" s="1" t="s">
        <v>33</v>
      </c>
      <c r="E608" s="34">
        <v>105.0</v>
      </c>
      <c r="F608" s="34">
        <v>314.0</v>
      </c>
      <c r="G608" s="15">
        <v>25455.0</v>
      </c>
      <c r="H608" s="16">
        <v>0.012335494009035552</v>
      </c>
      <c r="I608" s="17">
        <v>5.113455116872913</v>
      </c>
      <c r="J608" s="16">
        <v>0.8486486486486486</v>
      </c>
      <c r="K608" s="16">
        <v>2.8476339635305963</v>
      </c>
      <c r="L608" s="16">
        <v>0.05714285714285714</v>
      </c>
      <c r="M608" s="16">
        <v>0.08571428571428572</v>
      </c>
      <c r="N608" s="16">
        <v>0.3238095238095238</v>
      </c>
      <c r="O608" s="16">
        <v>0.047619047619047616</v>
      </c>
      <c r="P608" s="35">
        <v>46052.30273148148</v>
      </c>
    </row>
    <row r="609">
      <c r="A609" s="33">
        <v>46052.0</v>
      </c>
      <c r="B609" s="1" t="s">
        <v>60</v>
      </c>
      <c r="D609" s="1" t="s">
        <v>34</v>
      </c>
      <c r="E609" s="34">
        <v>89.0</v>
      </c>
      <c r="F609" s="34">
        <v>21.0</v>
      </c>
      <c r="G609" s="15">
        <v>1085.0</v>
      </c>
      <c r="H609" s="16">
        <v>0.01935483870967742</v>
      </c>
      <c r="I609" s="17">
        <v>8.168663594470045</v>
      </c>
      <c r="J609" s="16">
        <v>1.5</v>
      </c>
      <c r="K609" s="16">
        <v>0.37726008344923506</v>
      </c>
      <c r="L609" s="16">
        <v>0.02247191011235955</v>
      </c>
      <c r="M609" s="16">
        <v>0.02247191011235955</v>
      </c>
      <c r="N609" s="16">
        <v>0.10112359550561797</v>
      </c>
      <c r="O609" s="16">
        <v>0.056179775280898875</v>
      </c>
      <c r="P609" s="35">
        <v>46052.30273148148</v>
      </c>
    </row>
    <row r="610">
      <c r="A610" s="33">
        <v>46053.0</v>
      </c>
      <c r="B610" s="1" t="s">
        <v>57</v>
      </c>
      <c r="E610" s="34">
        <v>1150.0</v>
      </c>
      <c r="F610" s="34">
        <v>20280.0</v>
      </c>
      <c r="G610" s="15">
        <v>1776918.0</v>
      </c>
      <c r="H610" s="16">
        <v>0.011413019621614503</v>
      </c>
      <c r="I610" s="17">
        <v>4.693923411209746</v>
      </c>
      <c r="J610" s="16">
        <v>1.5294117647058822</v>
      </c>
      <c r="K610" s="16">
        <v>3.4142347687743544</v>
      </c>
      <c r="L610" s="16">
        <v>0.058260869565217394</v>
      </c>
      <c r="M610" s="16">
        <v>0.16782608695652174</v>
      </c>
      <c r="N610" s="16">
        <v>0.29391304347826086</v>
      </c>
      <c r="O610" s="16">
        <v>0.12782608695652173</v>
      </c>
      <c r="P610" s="35">
        <v>46053.302615740744</v>
      </c>
    </row>
    <row r="611">
      <c r="A611" s="33">
        <v>46053.0</v>
      </c>
      <c r="B611" s="1" t="s">
        <v>58</v>
      </c>
      <c r="E611" s="34">
        <v>812.0</v>
      </c>
      <c r="F611" s="34">
        <v>20186.0</v>
      </c>
      <c r="G611" s="15">
        <v>1774976.0</v>
      </c>
      <c r="H611" s="16">
        <v>0.011372548135862118</v>
      </c>
      <c r="I611" s="17">
        <v>4.693084300858152</v>
      </c>
      <c r="J611" s="16">
        <v>1.5335409860973943</v>
      </c>
      <c r="K611" s="16">
        <v>3.485429724932058</v>
      </c>
      <c r="L611" s="16">
        <v>0.07758620689655173</v>
      </c>
      <c r="M611" s="16">
        <v>0.23275862068965517</v>
      </c>
      <c r="N611" s="16">
        <v>0.3916256157635468</v>
      </c>
      <c r="O611" s="16">
        <v>0.15886699507389163</v>
      </c>
      <c r="P611" s="35">
        <v>46053.302615740744</v>
      </c>
    </row>
    <row r="612">
      <c r="A612" s="33">
        <v>46053.0</v>
      </c>
      <c r="B612" s="1" t="s">
        <v>59</v>
      </c>
      <c r="C612" s="3" t="s">
        <v>2</v>
      </c>
      <c r="E612" s="34">
        <v>133.0</v>
      </c>
      <c r="F612" s="34">
        <v>1410.0</v>
      </c>
      <c r="G612" s="15">
        <v>116311.0</v>
      </c>
      <c r="H612" s="16">
        <v>0.012122671114511955</v>
      </c>
      <c r="I612" s="17">
        <v>4.835509968962523</v>
      </c>
      <c r="J612" s="16">
        <v>4.15929203539823</v>
      </c>
      <c r="K612" s="16">
        <v>5.896628643852979</v>
      </c>
      <c r="L612" s="16">
        <v>0.045112781954887216</v>
      </c>
      <c r="M612" s="16">
        <v>0.07518796992481203</v>
      </c>
      <c r="N612" s="16">
        <v>0.41353383458646614</v>
      </c>
      <c r="O612" s="16">
        <v>0.08270676691729323</v>
      </c>
      <c r="P612" s="35">
        <v>46053.302615740744</v>
      </c>
    </row>
    <row r="613">
      <c r="A613" s="33">
        <v>46053.0</v>
      </c>
      <c r="B613" s="1" t="s">
        <v>59</v>
      </c>
      <c r="C613" s="1" t="s">
        <v>3</v>
      </c>
      <c r="E613" s="34">
        <v>169.0</v>
      </c>
      <c r="F613" s="34">
        <v>1255.0</v>
      </c>
      <c r="G613" s="15">
        <v>49376.0</v>
      </c>
      <c r="H613" s="16">
        <v>0.025417206740116657</v>
      </c>
      <c r="I613" s="17">
        <v>6.035037265068049</v>
      </c>
      <c r="J613" s="16">
        <v>1.62987012987013</v>
      </c>
      <c r="K613" s="16">
        <v>2.3107450393111195</v>
      </c>
      <c r="L613" s="16">
        <v>0.03550295857988166</v>
      </c>
      <c r="M613" s="16">
        <v>0.047337278106508875</v>
      </c>
      <c r="N613" s="16">
        <v>0.42011834319526625</v>
      </c>
      <c r="O613" s="16">
        <v>0.11242603550295859</v>
      </c>
      <c r="P613" s="35">
        <v>46053.302615740744</v>
      </c>
    </row>
    <row r="614">
      <c r="A614" s="33">
        <v>46053.0</v>
      </c>
      <c r="B614" s="1" t="s">
        <v>59</v>
      </c>
      <c r="C614" s="3" t="s">
        <v>4</v>
      </c>
      <c r="E614" s="34">
        <v>105.0</v>
      </c>
      <c r="F614" s="34">
        <v>644.0</v>
      </c>
      <c r="G614" s="15">
        <v>34892.0</v>
      </c>
      <c r="H614" s="16">
        <v>0.01845695288318239</v>
      </c>
      <c r="I614" s="17">
        <v>5.135417860827697</v>
      </c>
      <c r="J614" s="16">
        <v>1.1398230088495576</v>
      </c>
      <c r="K614" s="16">
        <v>2.0793802145411204</v>
      </c>
      <c r="L614" s="16">
        <v>0.09523809523809523</v>
      </c>
      <c r="M614" s="16">
        <v>0.13333333333333333</v>
      </c>
      <c r="N614" s="16">
        <v>0.2571428571428571</v>
      </c>
      <c r="O614" s="16">
        <v>0.13333333333333333</v>
      </c>
      <c r="P614" s="35">
        <v>46053.302615740744</v>
      </c>
    </row>
    <row r="615">
      <c r="A615" s="33">
        <v>46053.0</v>
      </c>
      <c r="B615" s="1" t="s">
        <v>59</v>
      </c>
      <c r="C615" s="3" t="s">
        <v>5</v>
      </c>
      <c r="E615" s="34">
        <v>40.0</v>
      </c>
      <c r="F615" s="34">
        <v>5404.0</v>
      </c>
      <c r="G615" s="15">
        <v>68119.0</v>
      </c>
      <c r="H615" s="16">
        <v>0.07933175765939018</v>
      </c>
      <c r="I615" s="17">
        <v>5.506495984967484</v>
      </c>
      <c r="J615" s="16">
        <v>1.0089619118745332</v>
      </c>
      <c r="K615" s="16">
        <v>1.8773839708962627</v>
      </c>
      <c r="L615" s="16">
        <v>0.05</v>
      </c>
      <c r="M615" s="16">
        <v>0.05</v>
      </c>
      <c r="N615" s="16">
        <v>0.225</v>
      </c>
      <c r="O615" s="16">
        <v>0.05</v>
      </c>
      <c r="P615" s="35">
        <v>46053.302615740744</v>
      </c>
    </row>
    <row r="616">
      <c r="A616" s="33">
        <v>46053.0</v>
      </c>
      <c r="B616" s="1" t="s">
        <v>59</v>
      </c>
      <c r="C616" s="3" t="s">
        <v>6</v>
      </c>
      <c r="E616" s="34">
        <v>29.0</v>
      </c>
      <c r="F616" s="34">
        <v>6039.0</v>
      </c>
      <c r="G616" s="15">
        <v>443209.0</v>
      </c>
      <c r="H616" s="16">
        <v>0.013625625833410423</v>
      </c>
      <c r="I616" s="17">
        <v>4.4223018936889815</v>
      </c>
      <c r="J616" s="16">
        <v>1.4992552135054618</v>
      </c>
      <c r="K616" s="16">
        <v>2.0843554242931583</v>
      </c>
      <c r="L616" s="16">
        <v>0.06896551724137931</v>
      </c>
      <c r="M616" s="16">
        <v>0.10344827586206896</v>
      </c>
      <c r="N616" s="16">
        <v>0.6896551724137931</v>
      </c>
      <c r="O616" s="16">
        <v>0.2413793103448276</v>
      </c>
      <c r="P616" s="35">
        <v>46053.302615740744</v>
      </c>
    </row>
    <row r="617">
      <c r="A617" s="33">
        <v>46053.0</v>
      </c>
      <c r="B617" s="1" t="s">
        <v>59</v>
      </c>
      <c r="C617" s="3" t="s">
        <v>7</v>
      </c>
      <c r="E617" s="34">
        <v>130.0</v>
      </c>
      <c r="F617" s="34">
        <v>1126.0</v>
      </c>
      <c r="G617" s="15">
        <v>238970.0</v>
      </c>
      <c r="H617" s="16">
        <v>0.004711888521571745</v>
      </c>
      <c r="I617" s="17">
        <v>4.521132359710424</v>
      </c>
      <c r="J617" s="16">
        <v>2.243027888446215</v>
      </c>
      <c r="K617" s="16">
        <v>7.329693586479772</v>
      </c>
      <c r="L617" s="16">
        <v>0.07692307692307693</v>
      </c>
      <c r="M617" s="16">
        <v>0.49230769230769234</v>
      </c>
      <c r="N617" s="16">
        <v>0.5</v>
      </c>
      <c r="O617" s="16">
        <v>0.23076923076923078</v>
      </c>
      <c r="P617" s="35">
        <v>46053.302615740744</v>
      </c>
    </row>
    <row r="618">
      <c r="A618" s="33">
        <v>46053.0</v>
      </c>
      <c r="B618" s="1" t="s">
        <v>59</v>
      </c>
      <c r="C618" s="3" t="s">
        <v>8</v>
      </c>
      <c r="E618" s="34">
        <v>119.0</v>
      </c>
      <c r="F618" s="34">
        <v>961.0</v>
      </c>
      <c r="G618" s="15">
        <v>347295.0</v>
      </c>
      <c r="H618" s="16">
        <v>0.0027671000158366807</v>
      </c>
      <c r="I618" s="17">
        <v>5.272745072632776</v>
      </c>
      <c r="J618" s="16">
        <v>0.950544015825915</v>
      </c>
      <c r="K618" s="16">
        <v>2.992219943825065</v>
      </c>
      <c r="L618" s="16">
        <v>0.19327731092436976</v>
      </c>
      <c r="M618" s="16">
        <v>0.6050420168067226</v>
      </c>
      <c r="N618" s="16">
        <v>0.47058823529411764</v>
      </c>
      <c r="O618" s="16">
        <v>0.15966386554621848</v>
      </c>
      <c r="P618" s="35">
        <v>46053.302615740744</v>
      </c>
    </row>
    <row r="619">
      <c r="A619" s="33">
        <v>46053.0</v>
      </c>
      <c r="B619" s="1" t="s">
        <v>59</v>
      </c>
      <c r="C619" s="3" t="s">
        <v>9</v>
      </c>
      <c r="E619" s="34">
        <v>11.0</v>
      </c>
      <c r="F619" s="34">
        <v>12.0</v>
      </c>
      <c r="G619" s="15">
        <v>476.0</v>
      </c>
      <c r="H619" s="16">
        <v>0.025210084033613446</v>
      </c>
      <c r="I619" s="17">
        <v>16.33823529411765</v>
      </c>
      <c r="J619" s="16">
        <v>3.0</v>
      </c>
      <c r="K619" s="16">
        <v>2.016949152542373</v>
      </c>
      <c r="L619" s="16">
        <v>0.09090909090909091</v>
      </c>
      <c r="M619" s="16">
        <v>0.09090909090909091</v>
      </c>
      <c r="N619" s="16">
        <v>0.18181818181818182</v>
      </c>
      <c r="O619" s="16">
        <v>0.09090909090909091</v>
      </c>
      <c r="P619" s="35">
        <v>46053.302615740744</v>
      </c>
    </row>
    <row r="620">
      <c r="A620" s="33">
        <v>46053.0</v>
      </c>
      <c r="B620" s="1" t="s">
        <v>59</v>
      </c>
      <c r="C620" s="3" t="s">
        <v>10</v>
      </c>
      <c r="E620" s="34">
        <v>76.0</v>
      </c>
      <c r="F620" s="34">
        <v>3335.0</v>
      </c>
      <c r="G620" s="15">
        <v>476328.0</v>
      </c>
      <c r="H620" s="16">
        <v>0.007001477973161351</v>
      </c>
      <c r="I620" s="17">
        <v>4.274422246855108</v>
      </c>
      <c r="J620" s="16">
        <v>5.671768707482993</v>
      </c>
      <c r="K620" s="16">
        <v>8.893685350461181</v>
      </c>
      <c r="L620" s="16">
        <v>0.039473684210526314</v>
      </c>
      <c r="M620" s="16">
        <v>0.19736842105263158</v>
      </c>
      <c r="N620" s="16">
        <v>0.17105263157894737</v>
      </c>
      <c r="O620" s="16">
        <v>0.34210526315789475</v>
      </c>
      <c r="P620" s="35">
        <v>46053.302615740744</v>
      </c>
    </row>
    <row r="621">
      <c r="A621" s="33">
        <v>46053.0</v>
      </c>
      <c r="B621" s="1" t="s">
        <v>60</v>
      </c>
      <c r="D621" s="1" t="s">
        <v>30</v>
      </c>
      <c r="E621" s="34">
        <v>9.0</v>
      </c>
      <c r="F621" s="34">
        <v>528.0</v>
      </c>
      <c r="G621" s="15">
        <v>11799.0</v>
      </c>
      <c r="H621" s="16">
        <v>0.044749555047037884</v>
      </c>
      <c r="I621" s="17">
        <v>10.921942537503178</v>
      </c>
      <c r="J621" s="16">
        <v>1.260143198090692</v>
      </c>
      <c r="K621" s="16">
        <v>0.7079258414831703</v>
      </c>
      <c r="L621" s="16">
        <v>0.0</v>
      </c>
      <c r="M621" s="16">
        <v>0.0</v>
      </c>
      <c r="N621" s="16">
        <v>0.7777777777777778</v>
      </c>
      <c r="O621" s="16">
        <v>0.2222222222222222</v>
      </c>
      <c r="P621" s="35">
        <v>46053.302615740744</v>
      </c>
    </row>
    <row r="622">
      <c r="A622" s="33">
        <v>46053.0</v>
      </c>
      <c r="B622" s="1" t="s">
        <v>60</v>
      </c>
      <c r="D622" s="1" t="s">
        <v>31</v>
      </c>
      <c r="E622" s="34">
        <v>63.0</v>
      </c>
      <c r="F622" s="34">
        <v>247.0</v>
      </c>
      <c r="G622" s="15">
        <v>6229.0</v>
      </c>
      <c r="H622" s="16">
        <v>0.03965323486916038</v>
      </c>
      <c r="I622" s="17">
        <v>8.44276769947022</v>
      </c>
      <c r="J622" s="16">
        <v>2.041322314049587</v>
      </c>
      <c r="K622" s="16">
        <v>0.6621664717763368</v>
      </c>
      <c r="L622" s="16">
        <v>0.1111111111111111</v>
      </c>
      <c r="M622" s="16">
        <v>0.1111111111111111</v>
      </c>
      <c r="N622" s="16">
        <v>0.2857142857142857</v>
      </c>
      <c r="O622" s="16">
        <v>0.19047619047619047</v>
      </c>
      <c r="P622" s="35">
        <v>46053.302615740744</v>
      </c>
    </row>
    <row r="623">
      <c r="A623" s="33">
        <v>46053.0</v>
      </c>
      <c r="B623" s="1" t="s">
        <v>60</v>
      </c>
      <c r="D623" s="1" t="s">
        <v>32</v>
      </c>
      <c r="E623" s="34">
        <v>546.0</v>
      </c>
      <c r="F623" s="34">
        <v>19073.0</v>
      </c>
      <c r="G623" s="15">
        <v>1729519.0</v>
      </c>
      <c r="H623" s="16">
        <v>0.011027921636015563</v>
      </c>
      <c r="I623" s="17">
        <v>4.629174932452318</v>
      </c>
      <c r="J623" s="16">
        <v>1.5593982503474777</v>
      </c>
      <c r="K623" s="16">
        <v>3.6692959993550427</v>
      </c>
      <c r="L623" s="16">
        <v>0.08974358974358974</v>
      </c>
      <c r="M623" s="16">
        <v>0.315018315018315</v>
      </c>
      <c r="N623" s="16">
        <v>0.45604395604395603</v>
      </c>
      <c r="O623" s="16">
        <v>0.19047619047619047</v>
      </c>
      <c r="P623" s="35">
        <v>46053.302615740744</v>
      </c>
    </row>
    <row r="624">
      <c r="A624" s="33">
        <v>46053.0</v>
      </c>
      <c r="B624" s="1" t="s">
        <v>60</v>
      </c>
      <c r="D624" s="1" t="s">
        <v>33</v>
      </c>
      <c r="E624" s="34">
        <v>105.0</v>
      </c>
      <c r="F624" s="34">
        <v>317.0</v>
      </c>
      <c r="G624" s="15">
        <v>26329.0</v>
      </c>
      <c r="H624" s="16">
        <v>0.012039955942117058</v>
      </c>
      <c r="I624" s="17">
        <v>5.062212769189867</v>
      </c>
      <c r="J624" s="16">
        <v>0.8430851063829787</v>
      </c>
      <c r="K624" s="16">
        <v>2.9394886680808305</v>
      </c>
      <c r="L624" s="16">
        <v>0.047619047619047616</v>
      </c>
      <c r="M624" s="16">
        <v>0.0761904761904762</v>
      </c>
      <c r="N624" s="16">
        <v>0.3333333333333333</v>
      </c>
      <c r="O624" s="16">
        <v>0.047619047619047616</v>
      </c>
      <c r="P624" s="35">
        <v>46053.302615740744</v>
      </c>
    </row>
    <row r="625">
      <c r="A625" s="33">
        <v>46053.0</v>
      </c>
      <c r="B625" s="1" t="s">
        <v>60</v>
      </c>
      <c r="D625" s="1" t="s">
        <v>34</v>
      </c>
      <c r="E625" s="34">
        <v>89.0</v>
      </c>
      <c r="F625" s="34">
        <v>21.0</v>
      </c>
      <c r="G625" s="15">
        <v>1100.0</v>
      </c>
      <c r="H625" s="16">
        <v>0.019090909090909092</v>
      </c>
      <c r="I625" s="17">
        <v>8.295454545454545</v>
      </c>
      <c r="J625" s="16">
        <v>1.3125</v>
      </c>
      <c r="K625" s="16">
        <v>0.38247566063977745</v>
      </c>
      <c r="L625" s="16">
        <v>0.02247191011235955</v>
      </c>
      <c r="M625" s="16">
        <v>0.02247191011235955</v>
      </c>
      <c r="N625" s="16">
        <v>0.10112359550561797</v>
      </c>
      <c r="O625" s="16">
        <v>0.06741573033707865</v>
      </c>
      <c r="P625" s="35">
        <v>46053.302615740744</v>
      </c>
    </row>
    <row r="626">
      <c r="A626" s="33">
        <v>46054.0</v>
      </c>
      <c r="B626" s="1" t="s">
        <v>57</v>
      </c>
      <c r="E626" s="34">
        <v>1150.0</v>
      </c>
      <c r="F626" s="34">
        <v>20658.0</v>
      </c>
      <c r="G626" s="15">
        <v>1800674.0</v>
      </c>
      <c r="H626" s="16">
        <v>0.011472370901118138</v>
      </c>
      <c r="I626" s="17">
        <v>4.685965366301729</v>
      </c>
      <c r="J626" s="16">
        <v>1.5228897899004792</v>
      </c>
      <c r="K626" s="16">
        <v>3.41817484633462</v>
      </c>
      <c r="L626" s="16">
        <v>0.05478260869565217</v>
      </c>
      <c r="M626" s="16">
        <v>0.16521739130434782</v>
      </c>
      <c r="N626" s="16">
        <v>0.29304347826086957</v>
      </c>
      <c r="O626" s="16">
        <v>0.12956521739130436</v>
      </c>
      <c r="P626" s="35">
        <v>46054.30262731481</v>
      </c>
    </row>
    <row r="627">
      <c r="A627" s="33">
        <v>46054.0</v>
      </c>
      <c r="B627" s="1" t="s">
        <v>58</v>
      </c>
      <c r="E627" s="34">
        <v>812.0</v>
      </c>
      <c r="F627" s="34">
        <v>20556.0</v>
      </c>
      <c r="G627" s="15">
        <v>1798729.0</v>
      </c>
      <c r="H627" s="16">
        <v>0.01142806948684321</v>
      </c>
      <c r="I627" s="17">
        <v>4.685407307048477</v>
      </c>
      <c r="J627" s="16">
        <v>1.5269647897786363</v>
      </c>
      <c r="K627" s="16">
        <v>3.4896013999309345</v>
      </c>
      <c r="L627" s="16">
        <v>0.07389162561576355</v>
      </c>
      <c r="M627" s="16">
        <v>0.23029556650246305</v>
      </c>
      <c r="N627" s="16">
        <v>0.3916256157635468</v>
      </c>
      <c r="O627" s="16">
        <v>0.16009852216748768</v>
      </c>
      <c r="P627" s="35">
        <v>46054.30262731481</v>
      </c>
    </row>
    <row r="628">
      <c r="A628" s="33">
        <v>46054.0</v>
      </c>
      <c r="B628" s="1" t="s">
        <v>59</v>
      </c>
      <c r="C628" s="3" t="s">
        <v>2</v>
      </c>
      <c r="E628" s="34">
        <v>133.0</v>
      </c>
      <c r="F628" s="34">
        <v>1434.0</v>
      </c>
      <c r="G628" s="15">
        <v>119314.0</v>
      </c>
      <c r="H628" s="16">
        <v>0.01201870694134804</v>
      </c>
      <c r="I628" s="17">
        <v>4.777335434232362</v>
      </c>
      <c r="J628" s="16">
        <v>4.1686046511627906</v>
      </c>
      <c r="K628" s="16">
        <v>5.998089684295194</v>
      </c>
      <c r="L628" s="16">
        <v>0.045112781954887216</v>
      </c>
      <c r="M628" s="16">
        <v>0.08270676691729323</v>
      </c>
      <c r="N628" s="16">
        <v>0.40601503759398494</v>
      </c>
      <c r="O628" s="16">
        <v>0.09022556390977443</v>
      </c>
      <c r="P628" s="35">
        <v>46054.30262731481</v>
      </c>
    </row>
    <row r="629">
      <c r="A629" s="33">
        <v>46054.0</v>
      </c>
      <c r="B629" s="1" t="s">
        <v>59</v>
      </c>
      <c r="C629" s="1" t="s">
        <v>3</v>
      </c>
      <c r="E629" s="34">
        <v>169.0</v>
      </c>
      <c r="F629" s="34">
        <v>1293.0</v>
      </c>
      <c r="G629" s="15">
        <v>50571.0</v>
      </c>
      <c r="H629" s="16">
        <v>0.025568013288248207</v>
      </c>
      <c r="I629" s="17">
        <v>5.948409167309327</v>
      </c>
      <c r="J629" s="16">
        <v>1.6555697823303457</v>
      </c>
      <c r="K629" s="16">
        <v>2.35257722366952</v>
      </c>
      <c r="L629" s="16">
        <v>0.03550295857988166</v>
      </c>
      <c r="M629" s="16">
        <v>0.047337278106508875</v>
      </c>
      <c r="N629" s="16">
        <v>0.41420118343195267</v>
      </c>
      <c r="O629" s="16">
        <v>0.11834319526627218</v>
      </c>
      <c r="P629" s="35">
        <v>46054.30262731481</v>
      </c>
    </row>
    <row r="630">
      <c r="A630" s="33">
        <v>46054.0</v>
      </c>
      <c r="B630" s="1" t="s">
        <v>59</v>
      </c>
      <c r="C630" s="3" t="s">
        <v>4</v>
      </c>
      <c r="E630" s="34">
        <v>105.0</v>
      </c>
      <c r="F630" s="34">
        <v>662.0</v>
      </c>
      <c r="G630" s="15">
        <v>35843.0</v>
      </c>
      <c r="H630" s="16">
        <v>0.018469436152107804</v>
      </c>
      <c r="I630" s="17">
        <v>4.9905978852216615</v>
      </c>
      <c r="J630" s="16">
        <v>1.151304347826087</v>
      </c>
      <c r="K630" s="16">
        <v>2.123652091480033</v>
      </c>
      <c r="L630" s="16">
        <v>0.0761904761904762</v>
      </c>
      <c r="M630" s="16">
        <v>0.11428571428571428</v>
      </c>
      <c r="N630" s="16">
        <v>0.2571428571428571</v>
      </c>
      <c r="O630" s="16">
        <v>0.14285714285714285</v>
      </c>
      <c r="P630" s="35">
        <v>46054.30262731481</v>
      </c>
    </row>
    <row r="631">
      <c r="A631" s="33">
        <v>46054.0</v>
      </c>
      <c r="B631" s="1" t="s">
        <v>59</v>
      </c>
      <c r="C631" s="3" t="s">
        <v>5</v>
      </c>
      <c r="E631" s="34">
        <v>40.0</v>
      </c>
      <c r="F631" s="34">
        <v>5504.0</v>
      </c>
      <c r="G631" s="15">
        <v>69053.0</v>
      </c>
      <c r="H631" s="16">
        <v>0.07970689180774188</v>
      </c>
      <c r="I631" s="17">
        <v>5.475866363517878</v>
      </c>
      <c r="J631" s="16">
        <v>1.0052968036529681</v>
      </c>
      <c r="K631" s="16">
        <v>1.862672637030643</v>
      </c>
      <c r="L631" s="16">
        <v>0.05</v>
      </c>
      <c r="M631" s="16">
        <v>0.05</v>
      </c>
      <c r="N631" s="16">
        <v>0.225</v>
      </c>
      <c r="O631" s="16">
        <v>0.05</v>
      </c>
      <c r="P631" s="35">
        <v>46054.30262731481</v>
      </c>
    </row>
    <row r="632">
      <c r="A632" s="33">
        <v>46054.0</v>
      </c>
      <c r="B632" s="1" t="s">
        <v>59</v>
      </c>
      <c r="C632" s="3" t="s">
        <v>6</v>
      </c>
      <c r="E632" s="34">
        <v>29.0</v>
      </c>
      <c r="F632" s="34">
        <v>6093.0</v>
      </c>
      <c r="G632" s="15">
        <v>443171.0</v>
      </c>
      <c r="H632" s="16">
        <v>0.013748643300215944</v>
      </c>
      <c r="I632" s="17">
        <v>4.434229676580824</v>
      </c>
      <c r="J632" s="16">
        <v>1.4735187424425635</v>
      </c>
      <c r="K632" s="16">
        <v>2.067279614132311</v>
      </c>
      <c r="L632" s="16">
        <v>0.06896551724137931</v>
      </c>
      <c r="M632" s="16">
        <v>0.10344827586206896</v>
      </c>
      <c r="N632" s="16">
        <v>0.6896551724137931</v>
      </c>
      <c r="O632" s="16">
        <v>0.2413793103448276</v>
      </c>
      <c r="P632" s="35">
        <v>46054.30262731481</v>
      </c>
    </row>
    <row r="633">
      <c r="A633" s="33">
        <v>46054.0</v>
      </c>
      <c r="B633" s="1" t="s">
        <v>59</v>
      </c>
      <c r="C633" s="3" t="s">
        <v>7</v>
      </c>
      <c r="E633" s="34">
        <v>130.0</v>
      </c>
      <c r="F633" s="34">
        <v>1165.0</v>
      </c>
      <c r="G633" s="15">
        <v>245239.0</v>
      </c>
      <c r="H633" s="16">
        <v>0.004750467910895086</v>
      </c>
      <c r="I633" s="17">
        <v>4.495117008306183</v>
      </c>
      <c r="J633" s="16">
        <v>2.206439393939394</v>
      </c>
      <c r="K633" s="16">
        <v>7.4348643322722445</v>
      </c>
      <c r="L633" s="16">
        <v>0.06923076923076923</v>
      </c>
      <c r="M633" s="16">
        <v>0.4846153846153846</v>
      </c>
      <c r="N633" s="16">
        <v>0.47692307692307695</v>
      </c>
      <c r="O633" s="16">
        <v>0.25384615384615383</v>
      </c>
      <c r="P633" s="35">
        <v>46054.30262731481</v>
      </c>
    </row>
    <row r="634">
      <c r="A634" s="33">
        <v>46054.0</v>
      </c>
      <c r="B634" s="1" t="s">
        <v>59</v>
      </c>
      <c r="C634" s="3" t="s">
        <v>8</v>
      </c>
      <c r="E634" s="34">
        <v>119.0</v>
      </c>
      <c r="F634" s="34">
        <v>976.0</v>
      </c>
      <c r="G634" s="15">
        <v>353809.0</v>
      </c>
      <c r="H634" s="16">
        <v>0.002758550517369541</v>
      </c>
      <c r="I634" s="17">
        <v>5.260199712274137</v>
      </c>
      <c r="J634" s="16">
        <v>0.9420849420849421</v>
      </c>
      <c r="K634" s="16">
        <v>3.001128151189224</v>
      </c>
      <c r="L634" s="16">
        <v>0.19327731092436976</v>
      </c>
      <c r="M634" s="16">
        <v>0.6050420168067226</v>
      </c>
      <c r="N634" s="16">
        <v>0.4957983193277311</v>
      </c>
      <c r="O634" s="16">
        <v>0.14285714285714285</v>
      </c>
      <c r="P634" s="35">
        <v>46054.30262731481</v>
      </c>
    </row>
    <row r="635">
      <c r="A635" s="33">
        <v>46054.0</v>
      </c>
      <c r="B635" s="1" t="s">
        <v>59</v>
      </c>
      <c r="C635" s="3" t="s">
        <v>9</v>
      </c>
      <c r="E635" s="34">
        <v>11.0</v>
      </c>
      <c r="F635" s="34">
        <v>12.0</v>
      </c>
      <c r="G635" s="15">
        <v>460.0</v>
      </c>
      <c r="H635" s="16">
        <v>0.02608695652173913</v>
      </c>
      <c r="I635" s="17">
        <v>15.178260869565218</v>
      </c>
      <c r="J635" s="16">
        <v>3.0</v>
      </c>
      <c r="K635" s="16">
        <v>1.9491525423728813</v>
      </c>
      <c r="L635" s="16">
        <v>0.09090909090909091</v>
      </c>
      <c r="M635" s="16">
        <v>0.09090909090909091</v>
      </c>
      <c r="N635" s="16">
        <v>0.18181818181818182</v>
      </c>
      <c r="O635" s="16">
        <v>0.09090909090909091</v>
      </c>
      <c r="P635" s="35">
        <v>46054.30262731481</v>
      </c>
    </row>
    <row r="636">
      <c r="A636" s="33">
        <v>46054.0</v>
      </c>
      <c r="B636" s="1" t="s">
        <v>59</v>
      </c>
      <c r="C636" s="3" t="s">
        <v>10</v>
      </c>
      <c r="E636" s="34">
        <v>76.0</v>
      </c>
      <c r="F636" s="34">
        <v>3417.0</v>
      </c>
      <c r="G636" s="15">
        <v>481269.0</v>
      </c>
      <c r="H636" s="16">
        <v>0.007099979429383567</v>
      </c>
      <c r="I636" s="17">
        <v>4.2894244175294896</v>
      </c>
      <c r="J636" s="16">
        <v>5.851027397260274</v>
      </c>
      <c r="K636" s="16">
        <v>8.809771366856431</v>
      </c>
      <c r="L636" s="16">
        <v>0.039473684210526314</v>
      </c>
      <c r="M636" s="16">
        <v>0.19736842105263158</v>
      </c>
      <c r="N636" s="16">
        <v>0.19736842105263158</v>
      </c>
      <c r="O636" s="16">
        <v>0.3026315789473684</v>
      </c>
      <c r="P636" s="35">
        <v>46054.30262731481</v>
      </c>
    </row>
    <row r="637">
      <c r="A637" s="33">
        <v>46054.0</v>
      </c>
      <c r="B637" s="1" t="s">
        <v>60</v>
      </c>
      <c r="D637" s="1" t="s">
        <v>30</v>
      </c>
      <c r="E637" s="34">
        <v>9.0</v>
      </c>
      <c r="F637" s="34">
        <v>536.0</v>
      </c>
      <c r="G637" s="15">
        <v>11849.0</v>
      </c>
      <c r="H637" s="16">
        <v>0.045235884884800404</v>
      </c>
      <c r="I637" s="17">
        <v>10.669001603510845</v>
      </c>
      <c r="J637" s="16">
        <v>1.2494172494172495</v>
      </c>
      <c r="K637" s="16">
        <v>0.7008754288418313</v>
      </c>
      <c r="L637" s="16">
        <v>0.0</v>
      </c>
      <c r="M637" s="16">
        <v>0.0</v>
      </c>
      <c r="N637" s="16">
        <v>0.6666666666666666</v>
      </c>
      <c r="O637" s="16">
        <v>0.3333333333333333</v>
      </c>
      <c r="P637" s="35">
        <v>46054.30262731481</v>
      </c>
    </row>
    <row r="638">
      <c r="A638" s="33">
        <v>46054.0</v>
      </c>
      <c r="B638" s="1" t="s">
        <v>60</v>
      </c>
      <c r="D638" s="1" t="s">
        <v>31</v>
      </c>
      <c r="E638" s="34">
        <v>63.0</v>
      </c>
      <c r="F638" s="34">
        <v>253.0</v>
      </c>
      <c r="G638" s="15">
        <v>6342.0</v>
      </c>
      <c r="H638" s="16">
        <v>0.03989277830337433</v>
      </c>
      <c r="I638" s="17">
        <v>8.258593503626615</v>
      </c>
      <c r="J638" s="16">
        <v>2.007936507936508</v>
      </c>
      <c r="K638" s="16">
        <v>0.6649192702872719</v>
      </c>
      <c r="L638" s="16">
        <v>0.1111111111111111</v>
      </c>
      <c r="M638" s="16">
        <v>0.1111111111111111</v>
      </c>
      <c r="N638" s="16">
        <v>0.2857142857142857</v>
      </c>
      <c r="O638" s="16">
        <v>0.19047619047619047</v>
      </c>
      <c r="P638" s="35">
        <v>46054.30262731481</v>
      </c>
    </row>
    <row r="639">
      <c r="A639" s="33">
        <v>46054.0</v>
      </c>
      <c r="B639" s="1" t="s">
        <v>60</v>
      </c>
      <c r="D639" s="1" t="s">
        <v>32</v>
      </c>
      <c r="E639" s="34">
        <v>546.0</v>
      </c>
      <c r="F639" s="34">
        <v>19423.0</v>
      </c>
      <c r="G639" s="15">
        <v>1752346.0</v>
      </c>
      <c r="H639" s="16">
        <v>0.011083998251486864</v>
      </c>
      <c r="I639" s="17">
        <v>4.626081835436609</v>
      </c>
      <c r="J639" s="16">
        <v>1.5543373879641484</v>
      </c>
      <c r="K639" s="16">
        <v>3.672826658785901</v>
      </c>
      <c r="L639" s="16">
        <v>0.08424908424908426</v>
      </c>
      <c r="M639" s="16">
        <v>0.3131868131868132</v>
      </c>
      <c r="N639" s="16">
        <v>0.4597069597069597</v>
      </c>
      <c r="O639" s="16">
        <v>0.18864468864468864</v>
      </c>
      <c r="P639" s="35">
        <v>46054.30262731481</v>
      </c>
    </row>
    <row r="640">
      <c r="A640" s="33">
        <v>46054.0</v>
      </c>
      <c r="B640" s="1" t="s">
        <v>60</v>
      </c>
      <c r="D640" s="1" t="s">
        <v>33</v>
      </c>
      <c r="E640" s="34">
        <v>105.0</v>
      </c>
      <c r="F640" s="34">
        <v>323.0</v>
      </c>
      <c r="G640" s="15">
        <v>27083.0</v>
      </c>
      <c r="H640" s="16">
        <v>0.011926300631392387</v>
      </c>
      <c r="I640" s="17">
        <v>4.9235682900712625</v>
      </c>
      <c r="J640" s="16">
        <v>0.8177215189873418</v>
      </c>
      <c r="K640" s="16">
        <v>3.00654973357016</v>
      </c>
      <c r="L640" s="16">
        <v>0.047619047619047616</v>
      </c>
      <c r="M640" s="16">
        <v>0.06666666666666667</v>
      </c>
      <c r="N640" s="16">
        <v>0.3238095238095238</v>
      </c>
      <c r="O640" s="16">
        <v>0.05714285714285714</v>
      </c>
      <c r="P640" s="35">
        <v>46054.30262731481</v>
      </c>
    </row>
    <row r="641">
      <c r="A641" s="33">
        <v>46054.0</v>
      </c>
      <c r="B641" s="1" t="s">
        <v>60</v>
      </c>
      <c r="D641" s="1" t="s">
        <v>34</v>
      </c>
      <c r="E641" s="34">
        <v>89.0</v>
      </c>
      <c r="F641" s="34">
        <v>21.0</v>
      </c>
      <c r="G641" s="15">
        <v>1109.0</v>
      </c>
      <c r="H641" s="16">
        <v>0.018935978358881875</v>
      </c>
      <c r="I641" s="17">
        <v>8.24526600541028</v>
      </c>
      <c r="J641" s="16">
        <v>1.3125</v>
      </c>
      <c r="K641" s="16">
        <v>0.3836042891732964</v>
      </c>
      <c r="L641" s="16">
        <v>0.02247191011235955</v>
      </c>
      <c r="M641" s="16">
        <v>0.02247191011235955</v>
      </c>
      <c r="N641" s="16">
        <v>0.10112359550561797</v>
      </c>
      <c r="O641" s="16">
        <v>0.06741573033707865</v>
      </c>
      <c r="P641" s="35">
        <v>46054.30262731481</v>
      </c>
    </row>
    <row r="642">
      <c r="A642" s="33">
        <v>46055.0</v>
      </c>
      <c r="B642" s="1" t="s">
        <v>57</v>
      </c>
      <c r="E642" s="34">
        <v>1150.0</v>
      </c>
      <c r="F642" s="34">
        <v>20985.0</v>
      </c>
      <c r="G642" s="15">
        <v>1815693.0</v>
      </c>
      <c r="H642" s="16">
        <v>0.011557570580489103</v>
      </c>
      <c r="I642" s="17">
        <v>4.687914752108424</v>
      </c>
      <c r="J642" s="16">
        <v>1.5117786902960881</v>
      </c>
      <c r="K642" s="16">
        <v>3.3935522818769366</v>
      </c>
      <c r="L642" s="16">
        <v>0.05565217391304348</v>
      </c>
      <c r="M642" s="16">
        <v>0.16608695652173913</v>
      </c>
      <c r="N642" s="16">
        <v>0.2956521739130435</v>
      </c>
      <c r="O642" s="16">
        <v>0.13130434782608696</v>
      </c>
      <c r="P642" s="35">
        <v>46055.30265046296</v>
      </c>
    </row>
    <row r="643">
      <c r="A643" s="33">
        <v>46055.0</v>
      </c>
      <c r="B643" s="1" t="s">
        <v>58</v>
      </c>
      <c r="E643" s="34">
        <v>812.0</v>
      </c>
      <c r="F643" s="34">
        <v>20879.0</v>
      </c>
      <c r="G643" s="15">
        <v>1813721.0</v>
      </c>
      <c r="H643" s="16">
        <v>0.011511693364084112</v>
      </c>
      <c r="I643" s="17">
        <v>4.6877044484791215</v>
      </c>
      <c r="J643" s="16">
        <v>1.5159369781456473</v>
      </c>
      <c r="K643" s="16">
        <v>3.4644136236961085</v>
      </c>
      <c r="L643" s="16">
        <v>0.07512315270935961</v>
      </c>
      <c r="M643" s="16">
        <v>0.2315270935960591</v>
      </c>
      <c r="N643" s="16">
        <v>0.39408866995073893</v>
      </c>
      <c r="O643" s="16">
        <v>0.16133004926108374</v>
      </c>
      <c r="P643" s="35">
        <v>46055.30265046296</v>
      </c>
    </row>
    <row r="644">
      <c r="A644" s="33">
        <v>46055.0</v>
      </c>
      <c r="B644" s="1" t="s">
        <v>59</v>
      </c>
      <c r="C644" s="3" t="s">
        <v>2</v>
      </c>
      <c r="E644" s="34">
        <v>133.0</v>
      </c>
      <c r="F644" s="34">
        <v>1445.0</v>
      </c>
      <c r="G644" s="15">
        <v>121904.0</v>
      </c>
      <c r="H644" s="16">
        <v>0.011853589709935688</v>
      </c>
      <c r="I644" s="17">
        <v>4.752862908518178</v>
      </c>
      <c r="J644" s="16">
        <v>4.164265129682997</v>
      </c>
      <c r="K644" s="16">
        <v>6.048325477548995</v>
      </c>
      <c r="L644" s="16">
        <v>0.05263157894736842</v>
      </c>
      <c r="M644" s="16">
        <v>0.09774436090225563</v>
      </c>
      <c r="N644" s="16">
        <v>0.41353383458646614</v>
      </c>
      <c r="O644" s="16">
        <v>0.08270676691729323</v>
      </c>
      <c r="P644" s="35">
        <v>46055.30265046296</v>
      </c>
    </row>
    <row r="645">
      <c r="A645" s="33">
        <v>46055.0</v>
      </c>
      <c r="B645" s="1" t="s">
        <v>59</v>
      </c>
      <c r="C645" s="1" t="s">
        <v>3</v>
      </c>
      <c r="E645" s="34">
        <v>169.0</v>
      </c>
      <c r="F645" s="34">
        <v>1327.0</v>
      </c>
      <c r="G645" s="15">
        <v>51770.0</v>
      </c>
      <c r="H645" s="16">
        <v>0.025632605756229478</v>
      </c>
      <c r="I645" s="17">
        <v>5.98761831176357</v>
      </c>
      <c r="J645" s="16">
        <v>1.6926020408163265</v>
      </c>
      <c r="K645" s="16">
        <v>2.3977583252281045</v>
      </c>
      <c r="L645" s="16">
        <v>0.03550295857988166</v>
      </c>
      <c r="M645" s="16">
        <v>0.047337278106508875</v>
      </c>
      <c r="N645" s="16">
        <v>0.42011834319526625</v>
      </c>
      <c r="O645" s="16">
        <v>0.11834319526627218</v>
      </c>
      <c r="P645" s="35">
        <v>46055.30265046296</v>
      </c>
    </row>
    <row r="646">
      <c r="A646" s="33">
        <v>46055.0</v>
      </c>
      <c r="B646" s="1" t="s">
        <v>59</v>
      </c>
      <c r="C646" s="3" t="s">
        <v>4</v>
      </c>
      <c r="E646" s="34">
        <v>105.0</v>
      </c>
      <c r="F646" s="34">
        <v>686.0</v>
      </c>
      <c r="G646" s="15">
        <v>36593.0</v>
      </c>
      <c r="H646" s="16">
        <v>0.01874675484382259</v>
      </c>
      <c r="I646" s="17">
        <v>5.000519224988386</v>
      </c>
      <c r="J646" s="16">
        <v>1.1607445008460238</v>
      </c>
      <c r="K646" s="16">
        <v>2.1435768261964734</v>
      </c>
      <c r="L646" s="16">
        <v>0.0761904761904762</v>
      </c>
      <c r="M646" s="16">
        <v>0.11428571428571428</v>
      </c>
      <c r="N646" s="16">
        <v>0.24761904761904763</v>
      </c>
      <c r="O646" s="16">
        <v>0.1523809523809524</v>
      </c>
      <c r="P646" s="35">
        <v>46055.30265046296</v>
      </c>
    </row>
    <row r="647">
      <c r="A647" s="33">
        <v>46055.0</v>
      </c>
      <c r="B647" s="1" t="s">
        <v>59</v>
      </c>
      <c r="C647" s="3" t="s">
        <v>5</v>
      </c>
      <c r="E647" s="34">
        <v>40.0</v>
      </c>
      <c r="F647" s="34">
        <v>5632.0</v>
      </c>
      <c r="G647" s="15">
        <v>69867.0</v>
      </c>
      <c r="H647" s="16">
        <v>0.0806103024317632</v>
      </c>
      <c r="I647" s="17">
        <v>5.446018864413815</v>
      </c>
      <c r="J647" s="16">
        <v>1.000532954343578</v>
      </c>
      <c r="K647" s="16">
        <v>1.8345981146443295</v>
      </c>
      <c r="L647" s="16">
        <v>0.075</v>
      </c>
      <c r="M647" s="16">
        <v>0.075</v>
      </c>
      <c r="N647" s="16">
        <v>0.225</v>
      </c>
      <c r="O647" s="16">
        <v>0.05</v>
      </c>
      <c r="P647" s="35">
        <v>46055.30265046296</v>
      </c>
    </row>
    <row r="648">
      <c r="A648" s="33">
        <v>46055.0</v>
      </c>
      <c r="B648" s="1" t="s">
        <v>59</v>
      </c>
      <c r="C648" s="3" t="s">
        <v>6</v>
      </c>
      <c r="E648" s="34">
        <v>29.0</v>
      </c>
      <c r="F648" s="34">
        <v>6112.0</v>
      </c>
      <c r="G648" s="15">
        <v>436218.0</v>
      </c>
      <c r="H648" s="16">
        <v>0.014011342952377022</v>
      </c>
      <c r="I648" s="17">
        <v>4.462844265940424</v>
      </c>
      <c r="J648" s="16">
        <v>1.4479981047145227</v>
      </c>
      <c r="K648" s="16">
        <v>2.0153291753291755</v>
      </c>
      <c r="L648" s="16">
        <v>0.06896551724137931</v>
      </c>
      <c r="M648" s="16">
        <v>0.10344827586206896</v>
      </c>
      <c r="N648" s="16">
        <v>0.7241379310344828</v>
      </c>
      <c r="O648" s="16">
        <v>0.20689655172413793</v>
      </c>
      <c r="P648" s="35">
        <v>46055.30265046296</v>
      </c>
    </row>
    <row r="649">
      <c r="A649" s="33">
        <v>46055.0</v>
      </c>
      <c r="B649" s="1" t="s">
        <v>59</v>
      </c>
      <c r="C649" s="3" t="s">
        <v>7</v>
      </c>
      <c r="E649" s="34">
        <v>130.0</v>
      </c>
      <c r="F649" s="34">
        <v>1194.0</v>
      </c>
      <c r="G649" s="15">
        <v>250480.0</v>
      </c>
      <c r="H649" s="16">
        <v>0.004766847652507187</v>
      </c>
      <c r="I649" s="17">
        <v>4.473387096774194</v>
      </c>
      <c r="J649" s="16">
        <v>2.2070240295748613</v>
      </c>
      <c r="K649" s="16">
        <v>7.470102293400137</v>
      </c>
      <c r="L649" s="16">
        <v>0.06923076923076923</v>
      </c>
      <c r="M649" s="16">
        <v>0.4846153846153846</v>
      </c>
      <c r="N649" s="16">
        <v>0.47692307692307695</v>
      </c>
      <c r="O649" s="16">
        <v>0.25384615384615383</v>
      </c>
      <c r="P649" s="35">
        <v>46055.30265046296</v>
      </c>
    </row>
    <row r="650">
      <c r="A650" s="33">
        <v>46055.0</v>
      </c>
      <c r="B650" s="1" t="s">
        <v>59</v>
      </c>
      <c r="C650" s="3" t="s">
        <v>8</v>
      </c>
      <c r="E650" s="34">
        <v>119.0</v>
      </c>
      <c r="F650" s="34">
        <v>995.0</v>
      </c>
      <c r="G650" s="15">
        <v>360219.0</v>
      </c>
      <c r="H650" s="16">
        <v>0.00276220854535713</v>
      </c>
      <c r="I650" s="17">
        <v>5.249978485310325</v>
      </c>
      <c r="J650" s="16">
        <v>0.9404536862003781</v>
      </c>
      <c r="K650" s="16">
        <v>2.9940156092857797</v>
      </c>
      <c r="L650" s="16">
        <v>0.19327731092436976</v>
      </c>
      <c r="M650" s="16">
        <v>0.6050420168067226</v>
      </c>
      <c r="N650" s="16">
        <v>0.48739495798319327</v>
      </c>
      <c r="O650" s="16">
        <v>0.15126050420168066</v>
      </c>
      <c r="P650" s="35">
        <v>46055.30265046296</v>
      </c>
    </row>
    <row r="651">
      <c r="A651" s="33">
        <v>46055.0</v>
      </c>
      <c r="B651" s="1" t="s">
        <v>59</v>
      </c>
      <c r="C651" s="3" t="s">
        <v>9</v>
      </c>
      <c r="E651" s="34">
        <v>11.0</v>
      </c>
      <c r="F651" s="34">
        <v>12.0</v>
      </c>
      <c r="G651" s="15">
        <v>469.0</v>
      </c>
      <c r="H651" s="16">
        <v>0.0255863539445629</v>
      </c>
      <c r="I651" s="17">
        <v>16.17910447761194</v>
      </c>
      <c r="J651" s="16">
        <v>3.0</v>
      </c>
      <c r="K651" s="16">
        <v>2.0391304347826087</v>
      </c>
      <c r="L651" s="16">
        <v>0.09090909090909091</v>
      </c>
      <c r="M651" s="16">
        <v>0.09090909090909091</v>
      </c>
      <c r="N651" s="16">
        <v>0.18181818181818182</v>
      </c>
      <c r="O651" s="16">
        <v>0.09090909090909091</v>
      </c>
      <c r="P651" s="35">
        <v>46055.30265046296</v>
      </c>
    </row>
    <row r="652">
      <c r="A652" s="33">
        <v>46055.0</v>
      </c>
      <c r="B652" s="1" t="s">
        <v>59</v>
      </c>
      <c r="C652" s="3" t="s">
        <v>10</v>
      </c>
      <c r="E652" s="34">
        <v>76.0</v>
      </c>
      <c r="F652" s="34">
        <v>3476.0</v>
      </c>
      <c r="G652" s="15">
        <v>486201.0</v>
      </c>
      <c r="H652" s="16">
        <v>0.007149306562512212</v>
      </c>
      <c r="I652" s="17">
        <v>4.28493154065911</v>
      </c>
      <c r="J652" s="16">
        <v>5.812709030100335</v>
      </c>
      <c r="K652" s="16">
        <v>8.665912129043758</v>
      </c>
      <c r="L652" s="16">
        <v>0.02631578947368421</v>
      </c>
      <c r="M652" s="16">
        <v>0.17105263157894737</v>
      </c>
      <c r="N652" s="16">
        <v>0.21052631578947367</v>
      </c>
      <c r="O652" s="16">
        <v>0.3157894736842105</v>
      </c>
      <c r="P652" s="35">
        <v>46055.30265046296</v>
      </c>
    </row>
    <row r="653">
      <c r="A653" s="33">
        <v>46055.0</v>
      </c>
      <c r="B653" s="1" t="s">
        <v>60</v>
      </c>
      <c r="D653" s="1" t="s">
        <v>30</v>
      </c>
      <c r="E653" s="34">
        <v>9.0</v>
      </c>
      <c r="F653" s="34">
        <v>544.0</v>
      </c>
      <c r="G653" s="15">
        <v>12122.0</v>
      </c>
      <c r="H653" s="16">
        <v>0.044877082989605674</v>
      </c>
      <c r="I653" s="17">
        <v>10.85645933014354</v>
      </c>
      <c r="J653" s="16">
        <v>1.2621809744779582</v>
      </c>
      <c r="K653" s="16">
        <v>0.7113432310310428</v>
      </c>
      <c r="L653" s="16">
        <v>0.0</v>
      </c>
      <c r="M653" s="16">
        <v>0.0</v>
      </c>
      <c r="N653" s="16">
        <v>0.6666666666666666</v>
      </c>
      <c r="O653" s="16">
        <v>0.3333333333333333</v>
      </c>
      <c r="P653" s="35">
        <v>46055.30265046296</v>
      </c>
    </row>
    <row r="654">
      <c r="A654" s="33">
        <v>46055.0</v>
      </c>
      <c r="B654" s="1" t="s">
        <v>60</v>
      </c>
      <c r="D654" s="1" t="s">
        <v>31</v>
      </c>
      <c r="E654" s="34">
        <v>63.0</v>
      </c>
      <c r="F654" s="34">
        <v>271.0</v>
      </c>
      <c r="G654" s="15">
        <v>6512.0</v>
      </c>
      <c r="H654" s="16">
        <v>0.041615479115479116</v>
      </c>
      <c r="I654" s="17">
        <v>8.351658476658477</v>
      </c>
      <c r="J654" s="16">
        <v>2.1171875</v>
      </c>
      <c r="K654" s="16">
        <v>0.6673498667759787</v>
      </c>
      <c r="L654" s="16">
        <v>0.1111111111111111</v>
      </c>
      <c r="M654" s="16">
        <v>0.1111111111111111</v>
      </c>
      <c r="N654" s="16">
        <v>0.30158730158730157</v>
      </c>
      <c r="O654" s="16">
        <v>0.1746031746031746</v>
      </c>
      <c r="P654" s="35">
        <v>46055.30265046296</v>
      </c>
    </row>
    <row r="655">
      <c r="A655" s="33">
        <v>46055.0</v>
      </c>
      <c r="B655" s="1" t="s">
        <v>60</v>
      </c>
      <c r="D655" s="1" t="s">
        <v>32</v>
      </c>
      <c r="E655" s="34">
        <v>546.0</v>
      </c>
      <c r="F655" s="34">
        <v>19707.0</v>
      </c>
      <c r="G655" s="15">
        <v>1766323.0</v>
      </c>
      <c r="H655" s="16">
        <v>0.011157076027430997</v>
      </c>
      <c r="I655" s="17">
        <v>4.6254977147441325</v>
      </c>
      <c r="J655" s="16">
        <v>1.5408131352619234</v>
      </c>
      <c r="K655" s="16">
        <v>3.643894086459612</v>
      </c>
      <c r="L655" s="16">
        <v>0.08608058608058608</v>
      </c>
      <c r="M655" s="16">
        <v>0.315018315018315</v>
      </c>
      <c r="N655" s="16">
        <v>0.46153846153846156</v>
      </c>
      <c r="O655" s="16">
        <v>0.19047619047619047</v>
      </c>
      <c r="P655" s="35">
        <v>46055.30265046296</v>
      </c>
    </row>
    <row r="656">
      <c r="A656" s="33">
        <v>46055.0</v>
      </c>
      <c r="B656" s="1" t="s">
        <v>60</v>
      </c>
      <c r="D656" s="1" t="s">
        <v>33</v>
      </c>
      <c r="E656" s="34">
        <v>105.0</v>
      </c>
      <c r="F656" s="34">
        <v>334.0</v>
      </c>
      <c r="G656" s="15">
        <v>27641.0</v>
      </c>
      <c r="H656" s="16">
        <v>0.012083499149813683</v>
      </c>
      <c r="I656" s="17">
        <v>4.947288448319525</v>
      </c>
      <c r="J656" s="16">
        <v>0.8206388206388207</v>
      </c>
      <c r="K656" s="16">
        <v>3.037806352346412</v>
      </c>
      <c r="L656" s="16">
        <v>0.047619047619047616</v>
      </c>
      <c r="M656" s="16">
        <v>0.06666666666666667</v>
      </c>
      <c r="N656" s="16">
        <v>0.3238095238095238</v>
      </c>
      <c r="O656" s="16">
        <v>0.06666666666666667</v>
      </c>
      <c r="P656" s="35">
        <v>46055.30265046296</v>
      </c>
    </row>
    <row r="657">
      <c r="A657" s="33">
        <v>46055.0</v>
      </c>
      <c r="B657" s="1" t="s">
        <v>60</v>
      </c>
      <c r="D657" s="1" t="s">
        <v>34</v>
      </c>
      <c r="E657" s="34">
        <v>89.0</v>
      </c>
      <c r="F657" s="34">
        <v>23.0</v>
      </c>
      <c r="G657" s="15">
        <v>1123.0</v>
      </c>
      <c r="H657" s="16">
        <v>0.020480854853072127</v>
      </c>
      <c r="I657" s="17">
        <v>8.307212822796082</v>
      </c>
      <c r="J657" s="16">
        <v>1.3529411764705883</v>
      </c>
      <c r="K657" s="16">
        <v>0.38777624309392267</v>
      </c>
      <c r="L657" s="16">
        <v>0.02247191011235955</v>
      </c>
      <c r="M657" s="16">
        <v>0.02247191011235955</v>
      </c>
      <c r="N657" s="16">
        <v>0.10112359550561797</v>
      </c>
      <c r="O657" s="16">
        <v>0.06741573033707865</v>
      </c>
      <c r="P657" s="35">
        <v>46055.30265046296</v>
      </c>
    </row>
    <row r="658">
      <c r="A658" s="33">
        <v>46056.0</v>
      </c>
      <c r="B658" s="1" t="s">
        <v>57</v>
      </c>
      <c r="E658" s="34">
        <v>1150.0</v>
      </c>
      <c r="F658" s="34">
        <v>21174.0</v>
      </c>
      <c r="G658" s="15">
        <v>1835269.0</v>
      </c>
      <c r="H658" s="16">
        <v>0.01153727328255422</v>
      </c>
      <c r="I658" s="17">
        <v>4.6840506759499565</v>
      </c>
      <c r="J658" s="16">
        <v>1.4948111542534417</v>
      </c>
      <c r="K658" s="16">
        <v>3.3950249363641745</v>
      </c>
      <c r="L658" s="16">
        <v>0.058260869565217394</v>
      </c>
      <c r="M658" s="16">
        <v>0.17130434782608694</v>
      </c>
      <c r="N658" s="16">
        <v>0.2956521739130435</v>
      </c>
      <c r="O658" s="16">
        <v>0.13217391304347825</v>
      </c>
      <c r="P658" s="35">
        <v>46056.30267361111</v>
      </c>
    </row>
    <row r="659">
      <c r="A659" s="33">
        <v>46056.0</v>
      </c>
      <c r="B659" s="1" t="s">
        <v>58</v>
      </c>
      <c r="E659" s="34">
        <v>812.0</v>
      </c>
      <c r="F659" s="34">
        <v>21058.0</v>
      </c>
      <c r="G659" s="15">
        <v>1833203.0</v>
      </c>
      <c r="H659" s="16">
        <v>0.011486998439343596</v>
      </c>
      <c r="I659" s="17">
        <v>4.683966805640183</v>
      </c>
      <c r="J659" s="16">
        <v>1.4981502561183837</v>
      </c>
      <c r="K659" s="16">
        <v>3.46606075617176</v>
      </c>
      <c r="L659" s="16">
        <v>0.07758620689655173</v>
      </c>
      <c r="M659" s="16">
        <v>0.2376847290640394</v>
      </c>
      <c r="N659" s="16">
        <v>0.3916256157635468</v>
      </c>
      <c r="O659" s="16">
        <v>0.16502463054187191</v>
      </c>
      <c r="P659" s="35">
        <v>46056.30267361111</v>
      </c>
    </row>
    <row r="660">
      <c r="A660" s="33">
        <v>46056.0</v>
      </c>
      <c r="B660" s="1" t="s">
        <v>59</v>
      </c>
      <c r="C660" s="3" t="s">
        <v>2</v>
      </c>
      <c r="E660" s="34">
        <v>133.0</v>
      </c>
      <c r="F660" s="34">
        <v>1468.0</v>
      </c>
      <c r="G660" s="15">
        <v>124238.0</v>
      </c>
      <c r="H660" s="16">
        <v>0.011816030522062492</v>
      </c>
      <c r="I660" s="17">
        <v>4.713799320658736</v>
      </c>
      <c r="J660" s="16">
        <v>4.242774566473988</v>
      </c>
      <c r="K660" s="16">
        <v>6.101763174696724</v>
      </c>
      <c r="L660" s="16">
        <v>0.06015037593984962</v>
      </c>
      <c r="M660" s="16">
        <v>0.10526315789473684</v>
      </c>
      <c r="N660" s="16">
        <v>0.41353383458646614</v>
      </c>
      <c r="O660" s="16">
        <v>0.08270676691729323</v>
      </c>
      <c r="P660" s="35">
        <v>46056.30267361111</v>
      </c>
    </row>
    <row r="661">
      <c r="A661" s="33">
        <v>46056.0</v>
      </c>
      <c r="B661" s="1" t="s">
        <v>59</v>
      </c>
      <c r="C661" s="1" t="s">
        <v>3</v>
      </c>
      <c r="E661" s="34">
        <v>169.0</v>
      </c>
      <c r="F661" s="34">
        <v>1338.0</v>
      </c>
      <c r="G661" s="15">
        <v>52853.0</v>
      </c>
      <c r="H661" s="16">
        <v>0.025315497701171173</v>
      </c>
      <c r="I661" s="17">
        <v>5.964202599663217</v>
      </c>
      <c r="J661" s="16">
        <v>1.6893939393939394</v>
      </c>
      <c r="K661" s="16">
        <v>2.44406936416185</v>
      </c>
      <c r="L661" s="16">
        <v>0.04142011834319527</v>
      </c>
      <c r="M661" s="16">
        <v>0.05325443786982249</v>
      </c>
      <c r="N661" s="16">
        <v>0.42011834319526625</v>
      </c>
      <c r="O661" s="16">
        <v>0.1242603550295858</v>
      </c>
      <c r="P661" s="35">
        <v>46056.30267361111</v>
      </c>
    </row>
    <row r="662">
      <c r="A662" s="33">
        <v>46056.0</v>
      </c>
      <c r="B662" s="1" t="s">
        <v>59</v>
      </c>
      <c r="C662" s="3" t="s">
        <v>4</v>
      </c>
      <c r="E662" s="34">
        <v>105.0</v>
      </c>
      <c r="F662" s="34">
        <v>716.0</v>
      </c>
      <c r="G662" s="15">
        <v>37235.0</v>
      </c>
      <c r="H662" s="16">
        <v>0.01922921982006177</v>
      </c>
      <c r="I662" s="17">
        <v>4.978407412380824</v>
      </c>
      <c r="J662" s="16">
        <v>1.187396351575456</v>
      </c>
      <c r="K662" s="16">
        <v>2.1711370262390672</v>
      </c>
      <c r="L662" s="16">
        <v>0.0761904761904762</v>
      </c>
      <c r="M662" s="16">
        <v>0.11428571428571428</v>
      </c>
      <c r="N662" s="16">
        <v>0.2571428571428571</v>
      </c>
      <c r="O662" s="16">
        <v>0.14285714285714285</v>
      </c>
      <c r="P662" s="35">
        <v>46056.30267361111</v>
      </c>
    </row>
    <row r="663">
      <c r="A663" s="33">
        <v>46056.0</v>
      </c>
      <c r="B663" s="1" t="s">
        <v>59</v>
      </c>
      <c r="C663" s="3" t="s">
        <v>5</v>
      </c>
      <c r="E663" s="34">
        <v>40.0</v>
      </c>
      <c r="F663" s="34">
        <v>5687.0</v>
      </c>
      <c r="G663" s="15">
        <v>70581.0</v>
      </c>
      <c r="H663" s="16">
        <v>0.08057409217778155</v>
      </c>
      <c r="I663" s="17">
        <v>5.414970034428529</v>
      </c>
      <c r="J663" s="16">
        <v>0.9852737352737353</v>
      </c>
      <c r="K663" s="16">
        <v>1.8169438294805127</v>
      </c>
      <c r="L663" s="16">
        <v>0.075</v>
      </c>
      <c r="M663" s="16">
        <v>0.075</v>
      </c>
      <c r="N663" s="16">
        <v>0.2</v>
      </c>
      <c r="O663" s="16">
        <v>0.075</v>
      </c>
      <c r="P663" s="35">
        <v>46056.30267361111</v>
      </c>
    </row>
    <row r="664">
      <c r="A664" s="33">
        <v>46056.0</v>
      </c>
      <c r="B664" s="1" t="s">
        <v>59</v>
      </c>
      <c r="C664" s="3" t="s">
        <v>6</v>
      </c>
      <c r="E664" s="34">
        <v>29.0</v>
      </c>
      <c r="F664" s="34">
        <v>6114.0</v>
      </c>
      <c r="G664" s="15">
        <v>434107.0</v>
      </c>
      <c r="H664" s="16">
        <v>0.014084085260085647</v>
      </c>
      <c r="I664" s="17">
        <v>4.476781070104836</v>
      </c>
      <c r="J664" s="16">
        <v>1.4133148404993066</v>
      </c>
      <c r="K664" s="16">
        <v>1.9845345036457975</v>
      </c>
      <c r="L664" s="16">
        <v>0.06896551724137931</v>
      </c>
      <c r="M664" s="16">
        <v>0.10344827586206896</v>
      </c>
      <c r="N664" s="16">
        <v>0.6896551724137931</v>
      </c>
      <c r="O664" s="16">
        <v>0.20689655172413793</v>
      </c>
      <c r="P664" s="35">
        <v>46056.30267361111</v>
      </c>
    </row>
    <row r="665">
      <c r="A665" s="33">
        <v>46056.0</v>
      </c>
      <c r="B665" s="1" t="s">
        <v>59</v>
      </c>
      <c r="C665" s="3" t="s">
        <v>7</v>
      </c>
      <c r="E665" s="34">
        <v>130.0</v>
      </c>
      <c r="F665" s="34">
        <v>1211.0</v>
      </c>
      <c r="G665" s="15">
        <v>255521.0</v>
      </c>
      <c r="H665" s="16">
        <v>0.004739336492890996</v>
      </c>
      <c r="I665" s="17">
        <v>4.444010472720442</v>
      </c>
      <c r="J665" s="16">
        <v>2.222018348623853</v>
      </c>
      <c r="K665" s="16">
        <v>7.571441270593813</v>
      </c>
      <c r="L665" s="16">
        <v>0.06153846153846154</v>
      </c>
      <c r="M665" s="16">
        <v>0.4846153846153846</v>
      </c>
      <c r="N665" s="16">
        <v>0.46923076923076923</v>
      </c>
      <c r="O665" s="16">
        <v>0.2692307692307692</v>
      </c>
      <c r="P665" s="35">
        <v>46056.30267361111</v>
      </c>
    </row>
    <row r="666">
      <c r="A666" s="33">
        <v>46056.0</v>
      </c>
      <c r="B666" s="1" t="s">
        <v>59</v>
      </c>
      <c r="C666" s="3" t="s">
        <v>8</v>
      </c>
      <c r="E666" s="34">
        <v>119.0</v>
      </c>
      <c r="F666" s="34">
        <v>1005.0</v>
      </c>
      <c r="G666" s="15">
        <v>365870.0</v>
      </c>
      <c r="H666" s="16">
        <v>0.0027468773061469923</v>
      </c>
      <c r="I666" s="17">
        <v>5.2382704239210645</v>
      </c>
      <c r="J666" s="16">
        <v>0.9296947271045328</v>
      </c>
      <c r="K666" s="16">
        <v>3.0104828357963336</v>
      </c>
      <c r="L666" s="16">
        <v>0.20168067226890757</v>
      </c>
      <c r="M666" s="16">
        <v>0.6134453781512605</v>
      </c>
      <c r="N666" s="16">
        <v>0.48739495798319327</v>
      </c>
      <c r="O666" s="16">
        <v>0.15126050420168066</v>
      </c>
      <c r="P666" s="35">
        <v>46056.30267361111</v>
      </c>
    </row>
    <row r="667">
      <c r="A667" s="33">
        <v>46056.0</v>
      </c>
      <c r="B667" s="1" t="s">
        <v>59</v>
      </c>
      <c r="C667" s="3" t="s">
        <v>9</v>
      </c>
      <c r="E667" s="34">
        <v>11.0</v>
      </c>
      <c r="F667" s="34">
        <v>11.0</v>
      </c>
      <c r="G667" s="15">
        <v>480.0</v>
      </c>
      <c r="H667" s="16">
        <v>0.022916666666666665</v>
      </c>
      <c r="I667" s="17">
        <v>16.129166666666666</v>
      </c>
      <c r="J667" s="16">
        <v>2.75</v>
      </c>
      <c r="K667" s="16">
        <v>2.096069868995633</v>
      </c>
      <c r="L667" s="16">
        <v>0.09090909090909091</v>
      </c>
      <c r="M667" s="16">
        <v>0.09090909090909091</v>
      </c>
      <c r="N667" s="16">
        <v>0.18181818181818182</v>
      </c>
      <c r="O667" s="16">
        <v>0.09090909090909091</v>
      </c>
      <c r="P667" s="35">
        <v>46056.30267361111</v>
      </c>
    </row>
    <row r="668">
      <c r="A668" s="33">
        <v>46056.0</v>
      </c>
      <c r="B668" s="1" t="s">
        <v>59</v>
      </c>
      <c r="C668" s="3" t="s">
        <v>10</v>
      </c>
      <c r="E668" s="34">
        <v>76.0</v>
      </c>
      <c r="F668" s="34">
        <v>3508.0</v>
      </c>
      <c r="G668" s="15">
        <v>492318.0</v>
      </c>
      <c r="H668" s="16">
        <v>0.007125475810350221</v>
      </c>
      <c r="I668" s="17">
        <v>4.296064738644534</v>
      </c>
      <c r="J668" s="16">
        <v>5.976149914821124</v>
      </c>
      <c r="K668" s="16">
        <v>8.688220241771816</v>
      </c>
      <c r="L668" s="16">
        <v>0.02631578947368421</v>
      </c>
      <c r="M668" s="16">
        <v>0.19736842105263158</v>
      </c>
      <c r="N668" s="16">
        <v>0.21052631578947367</v>
      </c>
      <c r="O668" s="16">
        <v>0.3157894736842105</v>
      </c>
      <c r="P668" s="35">
        <v>46056.30267361111</v>
      </c>
    </row>
    <row r="669">
      <c r="A669" s="33">
        <v>46056.0</v>
      </c>
      <c r="B669" s="1" t="s">
        <v>60</v>
      </c>
      <c r="D669" s="1" t="s">
        <v>30</v>
      </c>
      <c r="E669" s="34">
        <v>9.0</v>
      </c>
      <c r="F669" s="34">
        <v>554.0</v>
      </c>
      <c r="G669" s="15">
        <v>12331.0</v>
      </c>
      <c r="H669" s="16">
        <v>0.044927418700835296</v>
      </c>
      <c r="I669" s="17">
        <v>10.832779174438407</v>
      </c>
      <c r="J669" s="16">
        <v>1.264840182648402</v>
      </c>
      <c r="K669" s="16">
        <v>0.7189668240918897</v>
      </c>
      <c r="L669" s="16">
        <v>0.0</v>
      </c>
      <c r="M669" s="16">
        <v>0.0</v>
      </c>
      <c r="N669" s="16">
        <v>0.6666666666666666</v>
      </c>
      <c r="O669" s="16">
        <v>0.3333333333333333</v>
      </c>
      <c r="P669" s="35">
        <v>46056.30267361111</v>
      </c>
    </row>
    <row r="670">
      <c r="A670" s="33">
        <v>46056.0</v>
      </c>
      <c r="B670" s="1" t="s">
        <v>60</v>
      </c>
      <c r="D670" s="1" t="s">
        <v>31</v>
      </c>
      <c r="E670" s="34">
        <v>63.0</v>
      </c>
      <c r="F670" s="34">
        <v>271.0</v>
      </c>
      <c r="G670" s="15">
        <v>6614.0</v>
      </c>
      <c r="H670" s="16">
        <v>0.04097369216812821</v>
      </c>
      <c r="I670" s="17">
        <v>8.355760508013304</v>
      </c>
      <c r="J670" s="16">
        <v>2.1171875</v>
      </c>
      <c r="K670" s="16">
        <v>0.6696365293105194</v>
      </c>
      <c r="L670" s="16">
        <v>0.1111111111111111</v>
      </c>
      <c r="M670" s="16">
        <v>0.1111111111111111</v>
      </c>
      <c r="N670" s="16">
        <v>0.30158730158730157</v>
      </c>
      <c r="O670" s="16">
        <v>0.1746031746031746</v>
      </c>
      <c r="P670" s="35">
        <v>46056.30267361111</v>
      </c>
    </row>
    <row r="671">
      <c r="A671" s="33">
        <v>46056.0</v>
      </c>
      <c r="B671" s="1" t="s">
        <v>60</v>
      </c>
      <c r="D671" s="1" t="s">
        <v>32</v>
      </c>
      <c r="E671" s="34">
        <v>546.0</v>
      </c>
      <c r="F671" s="34">
        <v>19868.0</v>
      </c>
      <c r="G671" s="15">
        <v>1784974.0</v>
      </c>
      <c r="H671" s="16">
        <v>0.011130694340645859</v>
      </c>
      <c r="I671" s="17">
        <v>4.621388322743076</v>
      </c>
      <c r="J671" s="16">
        <v>1.521985598284051</v>
      </c>
      <c r="K671" s="16">
        <v>3.6443808341568187</v>
      </c>
      <c r="L671" s="16">
        <v>0.08791208791208792</v>
      </c>
      <c r="M671" s="16">
        <v>0.32234432234432236</v>
      </c>
      <c r="N671" s="16">
        <v>0.4523809523809524</v>
      </c>
      <c r="O671" s="16">
        <v>0.19963369963369965</v>
      </c>
      <c r="P671" s="35">
        <v>46056.30267361111</v>
      </c>
    </row>
    <row r="672">
      <c r="A672" s="33">
        <v>46056.0</v>
      </c>
      <c r="B672" s="1" t="s">
        <v>60</v>
      </c>
      <c r="D672" s="1" t="s">
        <v>33</v>
      </c>
      <c r="E672" s="34">
        <v>105.0</v>
      </c>
      <c r="F672" s="34">
        <v>342.0</v>
      </c>
      <c r="G672" s="15">
        <v>28135.0</v>
      </c>
      <c r="H672" s="16">
        <v>0.012155677981162254</v>
      </c>
      <c r="I672" s="17">
        <v>4.95166163141994</v>
      </c>
      <c r="J672" s="16">
        <v>0.8201438848920863</v>
      </c>
      <c r="K672" s="16">
        <v>3.066819271855243</v>
      </c>
      <c r="L672" s="16">
        <v>0.05714285714285714</v>
      </c>
      <c r="M672" s="16">
        <v>0.0761904761904762</v>
      </c>
      <c r="N672" s="16">
        <v>0.3523809523809524</v>
      </c>
      <c r="O672" s="16">
        <v>0.047619047619047616</v>
      </c>
      <c r="P672" s="35">
        <v>46056.30267361111</v>
      </c>
    </row>
    <row r="673">
      <c r="A673" s="33">
        <v>46056.0</v>
      </c>
      <c r="B673" s="1" t="s">
        <v>60</v>
      </c>
      <c r="D673" s="1" t="s">
        <v>34</v>
      </c>
      <c r="E673" s="34">
        <v>89.0</v>
      </c>
      <c r="F673" s="34">
        <v>23.0</v>
      </c>
      <c r="G673" s="15">
        <v>1149.0</v>
      </c>
      <c r="H673" s="16">
        <v>0.020017406440382943</v>
      </c>
      <c r="I673" s="17">
        <v>8.220191470844213</v>
      </c>
      <c r="J673" s="16">
        <v>1.2105263157894737</v>
      </c>
      <c r="K673" s="16">
        <v>0.39470972174510477</v>
      </c>
      <c r="L673" s="16">
        <v>0.02247191011235955</v>
      </c>
      <c r="M673" s="16">
        <v>0.02247191011235955</v>
      </c>
      <c r="N673" s="16">
        <v>0.10112359550561797</v>
      </c>
      <c r="O673" s="16">
        <v>0.06741573033707865</v>
      </c>
      <c r="P673" s="35">
        <v>46056.30267361111</v>
      </c>
    </row>
    <row r="674">
      <c r="A674" s="33">
        <v>46057.0</v>
      </c>
      <c r="B674" s="1" t="s">
        <v>57</v>
      </c>
      <c r="E674" s="34">
        <v>1150.0</v>
      </c>
      <c r="F674" s="34">
        <v>21514.0</v>
      </c>
      <c r="G674" s="15">
        <v>1858276.0</v>
      </c>
      <c r="H674" s="16">
        <v>0.011577397544821113</v>
      </c>
      <c r="I674" s="17">
        <v>4.683363504667767</v>
      </c>
      <c r="J674" s="16">
        <v>1.4844407645070035</v>
      </c>
      <c r="K674" s="16">
        <v>3.3983508193783294</v>
      </c>
      <c r="L674" s="16">
        <v>0.05478260869565217</v>
      </c>
      <c r="M674" s="16">
        <v>0.16608695652173913</v>
      </c>
      <c r="N674" s="16">
        <v>0.3017391304347826</v>
      </c>
      <c r="O674" s="16">
        <v>0.12956521739130436</v>
      </c>
      <c r="P674" s="35">
        <v>46057.30263888889</v>
      </c>
    </row>
    <row r="675">
      <c r="A675" s="33">
        <v>46057.0</v>
      </c>
      <c r="B675" s="1" t="s">
        <v>58</v>
      </c>
      <c r="E675" s="34">
        <v>812.0</v>
      </c>
      <c r="F675" s="34">
        <v>21397.0</v>
      </c>
      <c r="G675" s="15">
        <v>1856156.0</v>
      </c>
      <c r="H675" s="16">
        <v>0.011527587120910097</v>
      </c>
      <c r="I675" s="17">
        <v>4.683352584588795</v>
      </c>
      <c r="J675" s="16">
        <v>1.4877624808788763</v>
      </c>
      <c r="K675" s="16">
        <v>3.4697293427322196</v>
      </c>
      <c r="L675" s="16">
        <v>0.07266009852216748</v>
      </c>
      <c r="M675" s="16">
        <v>0.23029556650246305</v>
      </c>
      <c r="N675" s="16">
        <v>0.39901477832512317</v>
      </c>
      <c r="O675" s="16">
        <v>0.1625615763546798</v>
      </c>
      <c r="P675" s="35">
        <v>46057.30263888889</v>
      </c>
    </row>
    <row r="676">
      <c r="A676" s="33">
        <v>46057.0</v>
      </c>
      <c r="B676" s="1" t="s">
        <v>59</v>
      </c>
      <c r="C676" s="3" t="s">
        <v>2</v>
      </c>
      <c r="E676" s="34">
        <v>133.0</v>
      </c>
      <c r="F676" s="34">
        <v>1492.0</v>
      </c>
      <c r="G676" s="15">
        <v>126682.0</v>
      </c>
      <c r="H676" s="16">
        <v>0.011777521668429611</v>
      </c>
      <c r="I676" s="17">
        <v>4.674878830457366</v>
      </c>
      <c r="J676" s="16">
        <v>4.214689265536723</v>
      </c>
      <c r="K676" s="16">
        <v>6.18866634098681</v>
      </c>
      <c r="L676" s="16">
        <v>0.05263157894736842</v>
      </c>
      <c r="M676" s="16">
        <v>0.09774436090225563</v>
      </c>
      <c r="N676" s="16">
        <v>0.39097744360902253</v>
      </c>
      <c r="O676" s="16">
        <v>0.10526315789473684</v>
      </c>
      <c r="P676" s="35">
        <v>46057.30263888889</v>
      </c>
    </row>
    <row r="677">
      <c r="A677" s="33">
        <v>46057.0</v>
      </c>
      <c r="B677" s="1" t="s">
        <v>59</v>
      </c>
      <c r="C677" s="1" t="s">
        <v>3</v>
      </c>
      <c r="E677" s="34">
        <v>169.0</v>
      </c>
      <c r="F677" s="34">
        <v>1360.0</v>
      </c>
      <c r="G677" s="15">
        <v>54129.0</v>
      </c>
      <c r="H677" s="16">
        <v>0.025125163960169224</v>
      </c>
      <c r="I677" s="17">
        <v>5.938147758133348</v>
      </c>
      <c r="J677" s="16">
        <v>1.7063989962358845</v>
      </c>
      <c r="K677" s="16">
        <v>2.491438829052748</v>
      </c>
      <c r="L677" s="16">
        <v>0.04142011834319527</v>
      </c>
      <c r="M677" s="16">
        <v>0.05325443786982249</v>
      </c>
      <c r="N677" s="16">
        <v>0.4260355029585799</v>
      </c>
      <c r="O677" s="16">
        <v>0.10650887573964497</v>
      </c>
      <c r="P677" s="35">
        <v>46057.30263888889</v>
      </c>
    </row>
    <row r="678">
      <c r="A678" s="33">
        <v>46057.0</v>
      </c>
      <c r="B678" s="1" t="s">
        <v>59</v>
      </c>
      <c r="C678" s="3" t="s">
        <v>4</v>
      </c>
      <c r="E678" s="34">
        <v>105.0</v>
      </c>
      <c r="F678" s="34">
        <v>735.0</v>
      </c>
      <c r="G678" s="15">
        <v>38222.0</v>
      </c>
      <c r="H678" s="16">
        <v>0.01922976296373816</v>
      </c>
      <c r="I678" s="17">
        <v>4.917717544869447</v>
      </c>
      <c r="J678" s="16">
        <v>1.187399030694669</v>
      </c>
      <c r="K678" s="16">
        <v>2.213971269694161</v>
      </c>
      <c r="L678" s="16">
        <v>0.06666666666666667</v>
      </c>
      <c r="M678" s="16">
        <v>0.09523809523809523</v>
      </c>
      <c r="N678" s="16">
        <v>0.2571428571428571</v>
      </c>
      <c r="O678" s="16">
        <v>0.14285714285714285</v>
      </c>
      <c r="P678" s="35">
        <v>46057.30263888889</v>
      </c>
    </row>
    <row r="679">
      <c r="A679" s="33">
        <v>46057.0</v>
      </c>
      <c r="B679" s="1" t="s">
        <v>59</v>
      </c>
      <c r="C679" s="3" t="s">
        <v>5</v>
      </c>
      <c r="E679" s="34">
        <v>40.0</v>
      </c>
      <c r="F679" s="34">
        <v>5832.0</v>
      </c>
      <c r="G679" s="15">
        <v>71700.0</v>
      </c>
      <c r="H679" s="16">
        <v>0.08133891213389122</v>
      </c>
      <c r="I679" s="17">
        <v>5.38928870292887</v>
      </c>
      <c r="J679" s="16">
        <v>0.9921742089145968</v>
      </c>
      <c r="K679" s="16">
        <v>1.8132159927167892</v>
      </c>
      <c r="L679" s="16">
        <v>0.075</v>
      </c>
      <c r="M679" s="16">
        <v>0.075</v>
      </c>
      <c r="N679" s="16">
        <v>0.2</v>
      </c>
      <c r="O679" s="16">
        <v>0.075</v>
      </c>
      <c r="P679" s="35">
        <v>46057.30263888889</v>
      </c>
    </row>
    <row r="680">
      <c r="A680" s="33">
        <v>46057.0</v>
      </c>
      <c r="B680" s="1" t="s">
        <v>59</v>
      </c>
      <c r="C680" s="3" t="s">
        <v>6</v>
      </c>
      <c r="E680" s="34">
        <v>29.0</v>
      </c>
      <c r="F680" s="34">
        <v>6165.0</v>
      </c>
      <c r="G680" s="15">
        <v>435128.0</v>
      </c>
      <c r="H680" s="16">
        <v>0.01416824474637348</v>
      </c>
      <c r="I680" s="17">
        <v>4.4991106065341695</v>
      </c>
      <c r="J680" s="16">
        <v>1.3690872751499001</v>
      </c>
      <c r="K680" s="16">
        <v>1.9566867524057918</v>
      </c>
      <c r="L680" s="16">
        <v>0.034482758620689655</v>
      </c>
      <c r="M680" s="16">
        <v>0.06896551724137931</v>
      </c>
      <c r="N680" s="16">
        <v>0.7586206896551724</v>
      </c>
      <c r="O680" s="16">
        <v>0.1724137931034483</v>
      </c>
      <c r="P680" s="35">
        <v>46057.30263888889</v>
      </c>
    </row>
    <row r="681">
      <c r="A681" s="33">
        <v>46057.0</v>
      </c>
      <c r="B681" s="1" t="s">
        <v>59</v>
      </c>
      <c r="C681" s="3" t="s">
        <v>7</v>
      </c>
      <c r="E681" s="34">
        <v>130.0</v>
      </c>
      <c r="F681" s="34">
        <v>1240.0</v>
      </c>
      <c r="G681" s="15">
        <v>261159.0</v>
      </c>
      <c r="H681" s="16">
        <v>0.004748065354822158</v>
      </c>
      <c r="I681" s="17">
        <v>4.425786589778641</v>
      </c>
      <c r="J681" s="16">
        <v>2.2222222222222223</v>
      </c>
      <c r="K681" s="16">
        <v>7.7325457452478235</v>
      </c>
      <c r="L681" s="16">
        <v>0.06153846153846154</v>
      </c>
      <c r="M681" s="16">
        <v>0.47692307692307695</v>
      </c>
      <c r="N681" s="16">
        <v>0.49230769230769234</v>
      </c>
      <c r="O681" s="16">
        <v>0.26153846153846155</v>
      </c>
      <c r="P681" s="35">
        <v>46057.30263888889</v>
      </c>
    </row>
    <row r="682">
      <c r="A682" s="33">
        <v>46057.0</v>
      </c>
      <c r="B682" s="1" t="s">
        <v>59</v>
      </c>
      <c r="C682" s="3" t="s">
        <v>8</v>
      </c>
      <c r="E682" s="34">
        <v>119.0</v>
      </c>
      <c r="F682" s="34">
        <v>1032.0</v>
      </c>
      <c r="G682" s="15">
        <v>371776.0</v>
      </c>
      <c r="H682" s="16">
        <v>0.002775865037011534</v>
      </c>
      <c r="I682" s="17">
        <v>5.2256197280082635</v>
      </c>
      <c r="J682" s="16">
        <v>0.9529085872576177</v>
      </c>
      <c r="K682" s="16">
        <v>3.0378075386287313</v>
      </c>
      <c r="L682" s="16">
        <v>0.19327731092436976</v>
      </c>
      <c r="M682" s="16">
        <v>0.6134453781512605</v>
      </c>
      <c r="N682" s="16">
        <v>0.4957983193277311</v>
      </c>
      <c r="O682" s="16">
        <v>0.15966386554621848</v>
      </c>
      <c r="P682" s="35">
        <v>46057.30263888889</v>
      </c>
    </row>
    <row r="683">
      <c r="A683" s="33">
        <v>46057.0</v>
      </c>
      <c r="B683" s="1" t="s">
        <v>59</v>
      </c>
      <c r="C683" s="3" t="s">
        <v>9</v>
      </c>
      <c r="E683" s="34">
        <v>11.0</v>
      </c>
      <c r="F683" s="34">
        <v>12.0</v>
      </c>
      <c r="G683" s="15">
        <v>491.0</v>
      </c>
      <c r="H683" s="16">
        <v>0.024439918533604887</v>
      </c>
      <c r="I683" s="17">
        <v>15.89409368635438</v>
      </c>
      <c r="J683" s="16">
        <v>2.4</v>
      </c>
      <c r="K683" s="16">
        <v>2.1535087719298245</v>
      </c>
      <c r="L683" s="16">
        <v>0.09090909090909091</v>
      </c>
      <c r="M683" s="16">
        <v>0.09090909090909091</v>
      </c>
      <c r="N683" s="16">
        <v>0.18181818181818182</v>
      </c>
      <c r="O683" s="16">
        <v>0.18181818181818182</v>
      </c>
      <c r="P683" s="35">
        <v>46057.30263888889</v>
      </c>
    </row>
    <row r="684">
      <c r="A684" s="33">
        <v>46057.0</v>
      </c>
      <c r="B684" s="1" t="s">
        <v>59</v>
      </c>
      <c r="C684" s="3" t="s">
        <v>10</v>
      </c>
      <c r="E684" s="34">
        <v>76.0</v>
      </c>
      <c r="F684" s="34">
        <v>3529.0</v>
      </c>
      <c r="G684" s="15">
        <v>496869.0</v>
      </c>
      <c r="H684" s="16">
        <v>0.007102475702851254</v>
      </c>
      <c r="I684" s="17">
        <v>4.308821842376965</v>
      </c>
      <c r="J684" s="16">
        <v>6.032478632478632</v>
      </c>
      <c r="K684" s="16">
        <v>8.688191785133505</v>
      </c>
      <c r="L684" s="16">
        <v>0.02631578947368421</v>
      </c>
      <c r="M684" s="16">
        <v>0.18421052631578946</v>
      </c>
      <c r="N684" s="16">
        <v>0.23684210526315788</v>
      </c>
      <c r="O684" s="16">
        <v>0.2894736842105263</v>
      </c>
      <c r="P684" s="35">
        <v>46057.30263888889</v>
      </c>
    </row>
    <row r="685">
      <c r="A685" s="33">
        <v>46057.0</v>
      </c>
      <c r="B685" s="1" t="s">
        <v>60</v>
      </c>
      <c r="D685" s="1" t="s">
        <v>30</v>
      </c>
      <c r="E685" s="34">
        <v>9.0</v>
      </c>
      <c r="F685" s="34">
        <v>566.0</v>
      </c>
      <c r="G685" s="15">
        <v>12475.0</v>
      </c>
      <c r="H685" s="16">
        <v>0.04537074148296593</v>
      </c>
      <c r="I685" s="17">
        <v>10.767374749498998</v>
      </c>
      <c r="J685" s="16">
        <v>1.2662192393736018</v>
      </c>
      <c r="K685" s="16">
        <v>0.7222254385457072</v>
      </c>
      <c r="L685" s="16">
        <v>0.0</v>
      </c>
      <c r="M685" s="16">
        <v>0.0</v>
      </c>
      <c r="N685" s="16">
        <v>0.5555555555555556</v>
      </c>
      <c r="O685" s="16">
        <v>0.4444444444444444</v>
      </c>
      <c r="P685" s="35">
        <v>46057.30263888889</v>
      </c>
    </row>
    <row r="686">
      <c r="A686" s="33">
        <v>46057.0</v>
      </c>
      <c r="B686" s="1" t="s">
        <v>60</v>
      </c>
      <c r="D686" s="1" t="s">
        <v>31</v>
      </c>
      <c r="E686" s="34">
        <v>63.0</v>
      </c>
      <c r="F686" s="34">
        <v>273.0</v>
      </c>
      <c r="G686" s="15">
        <v>6740.0</v>
      </c>
      <c r="H686" s="16">
        <v>0.04050445103857567</v>
      </c>
      <c r="I686" s="17">
        <v>8.347477744807122</v>
      </c>
      <c r="J686" s="16">
        <v>2.037313432835821</v>
      </c>
      <c r="K686" s="16">
        <v>0.6734612310151878</v>
      </c>
      <c r="L686" s="16">
        <v>0.09523809523809523</v>
      </c>
      <c r="M686" s="16">
        <v>0.09523809523809523</v>
      </c>
      <c r="N686" s="16">
        <v>0.31746031746031744</v>
      </c>
      <c r="O686" s="16">
        <v>0.1746031746031746</v>
      </c>
      <c r="P686" s="35">
        <v>46057.30263888889</v>
      </c>
    </row>
    <row r="687">
      <c r="A687" s="33">
        <v>46057.0</v>
      </c>
      <c r="B687" s="1" t="s">
        <v>60</v>
      </c>
      <c r="D687" s="1" t="s">
        <v>32</v>
      </c>
      <c r="E687" s="34">
        <v>546.0</v>
      </c>
      <c r="F687" s="34">
        <v>20183.0</v>
      </c>
      <c r="G687" s="15">
        <v>1806872.0</v>
      </c>
      <c r="H687" s="16">
        <v>0.011170132693406063</v>
      </c>
      <c r="I687" s="17">
        <v>4.621964920592051</v>
      </c>
      <c r="J687" s="16">
        <v>1.5112691875701985</v>
      </c>
      <c r="K687" s="16">
        <v>3.6460553424447455</v>
      </c>
      <c r="L687" s="16">
        <v>0.08058608058608059</v>
      </c>
      <c r="M687" s="16">
        <v>0.31135531135531136</v>
      </c>
      <c r="N687" s="16">
        <v>0.4652014652014652</v>
      </c>
      <c r="O687" s="16">
        <v>0.19413919413919414</v>
      </c>
      <c r="P687" s="35">
        <v>46057.30263888889</v>
      </c>
    </row>
    <row r="688">
      <c r="A688" s="33">
        <v>46057.0</v>
      </c>
      <c r="B688" s="1" t="s">
        <v>60</v>
      </c>
      <c r="D688" s="1" t="s">
        <v>33</v>
      </c>
      <c r="E688" s="34">
        <v>105.0</v>
      </c>
      <c r="F688" s="34">
        <v>351.0</v>
      </c>
      <c r="G688" s="15">
        <v>28895.0</v>
      </c>
      <c r="H688" s="16">
        <v>0.012147430351271846</v>
      </c>
      <c r="I688" s="17">
        <v>4.895206783180481</v>
      </c>
      <c r="J688" s="16">
        <v>0.8220140515222483</v>
      </c>
      <c r="K688" s="16">
        <v>3.1428105286056125</v>
      </c>
      <c r="L688" s="16">
        <v>0.06666666666666667</v>
      </c>
      <c r="M688" s="16">
        <v>0.08571428571428572</v>
      </c>
      <c r="N688" s="16">
        <v>0.34285714285714286</v>
      </c>
      <c r="O688" s="16">
        <v>0.047619047619047616</v>
      </c>
      <c r="P688" s="35">
        <v>46057.30263888889</v>
      </c>
    </row>
    <row r="689">
      <c r="A689" s="33">
        <v>46057.0</v>
      </c>
      <c r="B689" s="1" t="s">
        <v>60</v>
      </c>
      <c r="D689" s="1" t="s">
        <v>34</v>
      </c>
      <c r="E689" s="34">
        <v>89.0</v>
      </c>
      <c r="F689" s="34">
        <v>24.0</v>
      </c>
      <c r="G689" s="15">
        <v>1174.0</v>
      </c>
      <c r="H689" s="16">
        <v>0.020442930153321975</v>
      </c>
      <c r="I689" s="17">
        <v>8.264054514480408</v>
      </c>
      <c r="J689" s="16">
        <v>1.263157894736842</v>
      </c>
      <c r="K689" s="16">
        <v>0.4030209406110539</v>
      </c>
      <c r="L689" s="16">
        <v>0.02247191011235955</v>
      </c>
      <c r="M689" s="16">
        <v>0.02247191011235955</v>
      </c>
      <c r="N689" s="16">
        <v>0.10112359550561797</v>
      </c>
      <c r="O689" s="16">
        <v>0.06741573033707865</v>
      </c>
      <c r="P689" s="35">
        <v>46057.30263888889</v>
      </c>
    </row>
    <row r="690">
      <c r="A690" s="33">
        <v>46058.0</v>
      </c>
      <c r="B690" s="1" t="s">
        <v>57</v>
      </c>
      <c r="E690" s="34">
        <v>1166.0</v>
      </c>
      <c r="F690" s="34">
        <v>21776.0</v>
      </c>
      <c r="G690" s="15">
        <v>1878616.0</v>
      </c>
      <c r="H690" s="16">
        <v>0.011591512049295864</v>
      </c>
      <c r="I690" s="17">
        <v>4.685938478113675</v>
      </c>
      <c r="J690" s="16">
        <v>1.4780424896490871</v>
      </c>
      <c r="K690" s="16">
        <v>3.235205681624443</v>
      </c>
      <c r="L690" s="16">
        <v>0.05574614065180103</v>
      </c>
      <c r="M690" s="16">
        <v>0.16638078902229847</v>
      </c>
      <c r="N690" s="16">
        <v>0.2950257289879931</v>
      </c>
      <c r="O690" s="16">
        <v>0.12778730703259006</v>
      </c>
      <c r="P690" s="35">
        <v>46058.302615740744</v>
      </c>
    </row>
    <row r="691">
      <c r="A691" s="33">
        <v>46058.0</v>
      </c>
      <c r="B691" s="1" t="s">
        <v>58</v>
      </c>
      <c r="E691" s="34">
        <v>828.0</v>
      </c>
      <c r="F691" s="34">
        <v>21657.0</v>
      </c>
      <c r="G691" s="15">
        <v>1876452.0</v>
      </c>
      <c r="H691" s="16">
        <v>0.011541462291601384</v>
      </c>
      <c r="I691" s="17">
        <v>4.685939741597441</v>
      </c>
      <c r="J691" s="16">
        <v>1.481023045886617</v>
      </c>
      <c r="K691" s="16">
        <v>3.2988328531019318</v>
      </c>
      <c r="L691" s="16">
        <v>0.07367149758454106</v>
      </c>
      <c r="M691" s="16">
        <v>0.22946859903381642</v>
      </c>
      <c r="N691" s="16">
        <v>0.38768115942028986</v>
      </c>
      <c r="O691" s="16">
        <v>0.15942028985507245</v>
      </c>
      <c r="P691" s="35">
        <v>46058.302615740744</v>
      </c>
    </row>
    <row r="692">
      <c r="A692" s="33">
        <v>46058.0</v>
      </c>
      <c r="B692" s="1" t="s">
        <v>59</v>
      </c>
      <c r="C692" s="3" t="s">
        <v>2</v>
      </c>
      <c r="E692" s="34">
        <v>133.0</v>
      </c>
      <c r="F692" s="34">
        <v>1482.0</v>
      </c>
      <c r="G692" s="15">
        <v>128032.0</v>
      </c>
      <c r="H692" s="16">
        <v>0.011575231192201949</v>
      </c>
      <c r="I692" s="17">
        <v>4.650392089477631</v>
      </c>
      <c r="J692" s="16">
        <v>4.222222222222222</v>
      </c>
      <c r="K692" s="16">
        <v>6.278848511598254</v>
      </c>
      <c r="L692" s="16">
        <v>0.07518796992481203</v>
      </c>
      <c r="M692" s="16">
        <v>0.12030075187969924</v>
      </c>
      <c r="N692" s="16">
        <v>0.37593984962406013</v>
      </c>
      <c r="O692" s="16">
        <v>0.10526315789473684</v>
      </c>
      <c r="P692" s="35">
        <v>46058.302615740744</v>
      </c>
    </row>
    <row r="693">
      <c r="A693" s="33">
        <v>46058.0</v>
      </c>
      <c r="B693" s="1" t="s">
        <v>59</v>
      </c>
      <c r="C693" s="1" t="s">
        <v>3</v>
      </c>
      <c r="E693" s="34">
        <v>185.0</v>
      </c>
      <c r="F693" s="34">
        <v>1365.0</v>
      </c>
      <c r="G693" s="15">
        <v>55173.0</v>
      </c>
      <c r="H693" s="16">
        <v>0.02474036213365233</v>
      </c>
      <c r="I693" s="17">
        <v>5.931814474471209</v>
      </c>
      <c r="J693" s="16">
        <v>1.7234848484848484</v>
      </c>
      <c r="K693" s="16">
        <v>2.516901601204325</v>
      </c>
      <c r="L693" s="16">
        <v>0.03783783783783784</v>
      </c>
      <c r="M693" s="16">
        <v>0.04864864864864865</v>
      </c>
      <c r="N693" s="16">
        <v>0.3945945945945946</v>
      </c>
      <c r="O693" s="16">
        <v>0.0918918918918919</v>
      </c>
      <c r="P693" s="35">
        <v>46058.302615740744</v>
      </c>
    </row>
    <row r="694">
      <c r="A694" s="33">
        <v>46058.0</v>
      </c>
      <c r="B694" s="1" t="s">
        <v>59</v>
      </c>
      <c r="C694" s="3" t="s">
        <v>4</v>
      </c>
      <c r="E694" s="34">
        <v>105.0</v>
      </c>
      <c r="F694" s="34">
        <v>802.0</v>
      </c>
      <c r="G694" s="15">
        <v>39634.0</v>
      </c>
      <c r="H694" s="16">
        <v>0.02023515163748297</v>
      </c>
      <c r="I694" s="17">
        <v>4.858530554574355</v>
      </c>
      <c r="J694" s="16">
        <v>1.2709984152139462</v>
      </c>
      <c r="K694" s="16">
        <v>2.280174893568059</v>
      </c>
      <c r="L694" s="16">
        <v>0.05714285714285714</v>
      </c>
      <c r="M694" s="16">
        <v>0.08571428571428572</v>
      </c>
      <c r="N694" s="16">
        <v>0.24761904761904763</v>
      </c>
      <c r="O694" s="16">
        <v>0.14285714285714285</v>
      </c>
      <c r="P694" s="35">
        <v>46058.302615740744</v>
      </c>
    </row>
    <row r="695">
      <c r="A695" s="33">
        <v>46058.0</v>
      </c>
      <c r="B695" s="1" t="s">
        <v>59</v>
      </c>
      <c r="C695" s="3" t="s">
        <v>5</v>
      </c>
      <c r="E695" s="34">
        <v>40.0</v>
      </c>
      <c r="F695" s="34">
        <v>5909.0</v>
      </c>
      <c r="G695" s="15">
        <v>72332.0</v>
      </c>
      <c r="H695" s="16">
        <v>0.08169275009677597</v>
      </c>
      <c r="I695" s="17">
        <v>5.3702510645357515</v>
      </c>
      <c r="J695" s="16">
        <v>0.9835219707057257</v>
      </c>
      <c r="K695" s="16">
        <v>1.7899529819351645</v>
      </c>
      <c r="L695" s="16">
        <v>0.075</v>
      </c>
      <c r="M695" s="16">
        <v>0.1</v>
      </c>
      <c r="N695" s="16">
        <v>0.2</v>
      </c>
      <c r="O695" s="16">
        <v>0.1</v>
      </c>
      <c r="P695" s="35">
        <v>46058.302615740744</v>
      </c>
    </row>
    <row r="696">
      <c r="A696" s="33">
        <v>46058.0</v>
      </c>
      <c r="B696" s="1" t="s">
        <v>59</v>
      </c>
      <c r="C696" s="3" t="s">
        <v>6</v>
      </c>
      <c r="E696" s="34">
        <v>29.0</v>
      </c>
      <c r="F696" s="34">
        <v>6221.0</v>
      </c>
      <c r="G696" s="15">
        <v>437887.0</v>
      </c>
      <c r="H696" s="16">
        <v>0.01420686158757853</v>
      </c>
      <c r="I696" s="17">
        <v>4.517779701155778</v>
      </c>
      <c r="J696" s="16">
        <v>1.3621633457411868</v>
      </c>
      <c r="K696" s="16">
        <v>1.7281829662956825</v>
      </c>
      <c r="L696" s="16">
        <v>0.034482758620689655</v>
      </c>
      <c r="M696" s="16">
        <v>0.06896551724137931</v>
      </c>
      <c r="N696" s="16">
        <v>0.7586206896551724</v>
      </c>
      <c r="O696" s="16">
        <v>0.1724137931034483</v>
      </c>
      <c r="P696" s="35">
        <v>46058.302615740744</v>
      </c>
    </row>
    <row r="697">
      <c r="A697" s="33">
        <v>46058.0</v>
      </c>
      <c r="B697" s="1" t="s">
        <v>59</v>
      </c>
      <c r="C697" s="3" t="s">
        <v>7</v>
      </c>
      <c r="E697" s="34">
        <v>130.0</v>
      </c>
      <c r="F697" s="34">
        <v>1265.0</v>
      </c>
      <c r="G697" s="15">
        <v>266166.0</v>
      </c>
      <c r="H697" s="16">
        <v>0.0047526731438275365</v>
      </c>
      <c r="I697" s="17">
        <v>4.4116077936325455</v>
      </c>
      <c r="J697" s="16">
        <v>2.219298245614035</v>
      </c>
      <c r="K697" s="16">
        <v>7.845024758311719</v>
      </c>
      <c r="L697" s="16">
        <v>0.05384615384615385</v>
      </c>
      <c r="M697" s="16">
        <v>0.46923076923076923</v>
      </c>
      <c r="N697" s="16">
        <v>0.5</v>
      </c>
      <c r="O697" s="16">
        <v>0.25384615384615383</v>
      </c>
      <c r="P697" s="35">
        <v>46058.302615740744</v>
      </c>
    </row>
    <row r="698">
      <c r="A698" s="33">
        <v>46058.0</v>
      </c>
      <c r="B698" s="1" t="s">
        <v>59</v>
      </c>
      <c r="C698" s="3" t="s">
        <v>8</v>
      </c>
      <c r="E698" s="34">
        <v>119.0</v>
      </c>
      <c r="F698" s="34">
        <v>1071.0</v>
      </c>
      <c r="G698" s="15">
        <v>377062.0</v>
      </c>
      <c r="H698" s="16">
        <v>0.0028403816878921767</v>
      </c>
      <c r="I698" s="17">
        <v>5.220536675666071</v>
      </c>
      <c r="J698" s="16">
        <v>0.9666064981949458</v>
      </c>
      <c r="K698" s="16">
        <v>3.06071724272286</v>
      </c>
      <c r="L698" s="16">
        <v>0.20168067226890757</v>
      </c>
      <c r="M698" s="16">
        <v>0.6218487394957983</v>
      </c>
      <c r="N698" s="16">
        <v>0.48739495798319327</v>
      </c>
      <c r="O698" s="16">
        <v>0.16806722689075632</v>
      </c>
      <c r="P698" s="35">
        <v>46058.302615740744</v>
      </c>
    </row>
    <row r="699">
      <c r="A699" s="33">
        <v>46058.0</v>
      </c>
      <c r="B699" s="1" t="s">
        <v>59</v>
      </c>
      <c r="C699" s="3" t="s">
        <v>9</v>
      </c>
      <c r="E699" s="34">
        <v>11.0</v>
      </c>
      <c r="F699" s="34">
        <v>13.0</v>
      </c>
      <c r="G699" s="15">
        <v>512.0</v>
      </c>
      <c r="H699" s="16">
        <v>0.025390625</v>
      </c>
      <c r="I699" s="17">
        <v>15.25390625</v>
      </c>
      <c r="J699" s="16">
        <v>2.1666666666666665</v>
      </c>
      <c r="K699" s="16">
        <v>2.245614035087719</v>
      </c>
      <c r="L699" s="16">
        <v>0.09090909090909091</v>
      </c>
      <c r="M699" s="16">
        <v>0.09090909090909091</v>
      </c>
      <c r="N699" s="16">
        <v>0.2727272727272727</v>
      </c>
      <c r="O699" s="16">
        <v>0.09090909090909091</v>
      </c>
      <c r="P699" s="35">
        <v>46058.302615740744</v>
      </c>
    </row>
    <row r="700">
      <c r="A700" s="33">
        <v>46058.0</v>
      </c>
      <c r="B700" s="1" t="s">
        <v>59</v>
      </c>
      <c r="C700" s="3" t="s">
        <v>10</v>
      </c>
      <c r="E700" s="34">
        <v>76.0</v>
      </c>
      <c r="F700" s="34">
        <v>3529.0</v>
      </c>
      <c r="G700" s="15">
        <v>499654.0</v>
      </c>
      <c r="H700" s="16">
        <v>0.007062887518162569</v>
      </c>
      <c r="I700" s="17">
        <v>4.323970187369659</v>
      </c>
      <c r="J700" s="16">
        <v>5.98135593220339</v>
      </c>
      <c r="K700" s="16">
        <v>8.61635827484523</v>
      </c>
      <c r="L700" s="16">
        <v>0.02631578947368421</v>
      </c>
      <c r="M700" s="16">
        <v>0.18421052631578946</v>
      </c>
      <c r="N700" s="16">
        <v>0.21052631578947367</v>
      </c>
      <c r="O700" s="16">
        <v>0.3026315789473684</v>
      </c>
      <c r="P700" s="35">
        <v>46058.302615740744</v>
      </c>
    </row>
    <row r="701">
      <c r="A701" s="33">
        <v>46058.0</v>
      </c>
      <c r="B701" s="1" t="s">
        <v>60</v>
      </c>
      <c r="D701" s="1" t="s">
        <v>30</v>
      </c>
      <c r="E701" s="34">
        <v>9.0</v>
      </c>
      <c r="F701" s="34">
        <v>574.0</v>
      </c>
      <c r="G701" s="15">
        <v>12562.0</v>
      </c>
      <c r="H701" s="16">
        <v>0.04569336092978825</v>
      </c>
      <c r="I701" s="17">
        <v>10.903279732526668</v>
      </c>
      <c r="J701" s="16">
        <v>1.2671081677704195</v>
      </c>
      <c r="K701" s="16">
        <v>0.7230760375294998</v>
      </c>
      <c r="L701" s="16">
        <v>0.0</v>
      </c>
      <c r="M701" s="16">
        <v>0.0</v>
      </c>
      <c r="N701" s="16">
        <v>0.5555555555555556</v>
      </c>
      <c r="O701" s="16">
        <v>0.4444444444444444</v>
      </c>
      <c r="P701" s="35">
        <v>46058.302615740744</v>
      </c>
    </row>
    <row r="702">
      <c r="A702" s="33">
        <v>46058.0</v>
      </c>
      <c r="B702" s="1" t="s">
        <v>60</v>
      </c>
      <c r="D702" s="1" t="s">
        <v>31</v>
      </c>
      <c r="E702" s="34">
        <v>63.0</v>
      </c>
      <c r="F702" s="34">
        <v>269.0</v>
      </c>
      <c r="G702" s="15">
        <v>6852.0</v>
      </c>
      <c r="H702" s="16">
        <v>0.03925861062463514</v>
      </c>
      <c r="I702" s="17">
        <v>8.378721541155867</v>
      </c>
      <c r="J702" s="16">
        <v>2.037878787878788</v>
      </c>
      <c r="K702" s="16">
        <v>0.685611366820092</v>
      </c>
      <c r="L702" s="16">
        <v>0.09523809523809523</v>
      </c>
      <c r="M702" s="16">
        <v>0.09523809523809523</v>
      </c>
      <c r="N702" s="16">
        <v>0.3333333333333333</v>
      </c>
      <c r="O702" s="16">
        <v>0.14285714285714285</v>
      </c>
      <c r="P702" s="35">
        <v>46058.302615740744</v>
      </c>
    </row>
    <row r="703">
      <c r="A703" s="33">
        <v>46058.0</v>
      </c>
      <c r="B703" s="1" t="s">
        <v>60</v>
      </c>
      <c r="D703" s="1" t="s">
        <v>32</v>
      </c>
      <c r="E703" s="34">
        <v>562.0</v>
      </c>
      <c r="F703" s="34">
        <v>20441.0</v>
      </c>
      <c r="G703" s="15">
        <v>1826263.0</v>
      </c>
      <c r="H703" s="16">
        <v>0.011192801912977484</v>
      </c>
      <c r="I703" s="17">
        <v>4.624089191972898</v>
      </c>
      <c r="J703" s="16">
        <v>1.504120676968359</v>
      </c>
      <c r="K703" s="16">
        <v>3.4501668159130667</v>
      </c>
      <c r="L703" s="16">
        <v>0.08185053380782918</v>
      </c>
      <c r="M703" s="16">
        <v>0.30782918149466193</v>
      </c>
      <c r="N703" s="16">
        <v>0.4483985765124555</v>
      </c>
      <c r="O703" s="16">
        <v>0.1903914590747331</v>
      </c>
      <c r="P703" s="35">
        <v>46058.302615740744</v>
      </c>
    </row>
    <row r="704">
      <c r="A704" s="33">
        <v>46058.0</v>
      </c>
      <c r="B704" s="1" t="s">
        <v>60</v>
      </c>
      <c r="D704" s="1" t="s">
        <v>33</v>
      </c>
      <c r="E704" s="34">
        <v>105.0</v>
      </c>
      <c r="F704" s="34">
        <v>349.0</v>
      </c>
      <c r="G704" s="15">
        <v>29591.0</v>
      </c>
      <c r="H704" s="16">
        <v>0.01179412659254503</v>
      </c>
      <c r="I704" s="17">
        <v>4.8608022709607654</v>
      </c>
      <c r="J704" s="16">
        <v>0.8154205607476636</v>
      </c>
      <c r="K704" s="16">
        <v>3.2063062086899987</v>
      </c>
      <c r="L704" s="16">
        <v>0.06666666666666667</v>
      </c>
      <c r="M704" s="16">
        <v>0.08571428571428572</v>
      </c>
      <c r="N704" s="16">
        <v>0.3333333333333333</v>
      </c>
      <c r="O704" s="16">
        <v>0.05714285714285714</v>
      </c>
      <c r="P704" s="35">
        <v>46058.302615740744</v>
      </c>
    </row>
    <row r="705">
      <c r="A705" s="33">
        <v>46058.0</v>
      </c>
      <c r="B705" s="1" t="s">
        <v>60</v>
      </c>
      <c r="D705" s="1" t="s">
        <v>34</v>
      </c>
      <c r="E705" s="34">
        <v>89.0</v>
      </c>
      <c r="F705" s="34">
        <v>24.0</v>
      </c>
      <c r="G705" s="15">
        <v>1184.0</v>
      </c>
      <c r="H705" s="16">
        <v>0.02027027027027027</v>
      </c>
      <c r="I705" s="17">
        <v>8.381756756756756</v>
      </c>
      <c r="J705" s="16">
        <v>1.2</v>
      </c>
      <c r="K705" s="16">
        <v>0.4081351258186832</v>
      </c>
      <c r="L705" s="16">
        <v>0.02247191011235955</v>
      </c>
      <c r="M705" s="16">
        <v>0.02247191011235955</v>
      </c>
      <c r="N705" s="16">
        <v>0.0898876404494382</v>
      </c>
      <c r="O705" s="16">
        <v>0.06741573033707865</v>
      </c>
      <c r="P705" s="35">
        <v>46058.302615740744</v>
      </c>
    </row>
    <row r="706">
      <c r="A706" s="33">
        <v>46059.0</v>
      </c>
      <c r="B706" s="1" t="s">
        <v>57</v>
      </c>
      <c r="E706" s="34">
        <v>1166.0</v>
      </c>
      <c r="F706" s="34">
        <v>22000.0</v>
      </c>
      <c r="G706" s="15">
        <v>1895373.0</v>
      </c>
      <c r="H706" s="16">
        <v>0.0116072139890143</v>
      </c>
      <c r="I706" s="17">
        <v>4.677238200607479</v>
      </c>
      <c r="J706" s="16">
        <v>1.469802244788883</v>
      </c>
      <c r="K706" s="16">
        <v>3.255479981449992</v>
      </c>
      <c r="L706" s="16">
        <v>0.05574614065180103</v>
      </c>
      <c r="M706" s="16">
        <v>0.1680960548885077</v>
      </c>
      <c r="N706" s="16">
        <v>0.29588336192109777</v>
      </c>
      <c r="O706" s="16">
        <v>0.1312178387650086</v>
      </c>
      <c r="P706" s="35">
        <v>46059.30266203704</v>
      </c>
    </row>
    <row r="707">
      <c r="A707" s="33">
        <v>46059.0</v>
      </c>
      <c r="B707" s="1" t="s">
        <v>58</v>
      </c>
      <c r="E707" s="34">
        <v>828.0</v>
      </c>
      <c r="F707" s="34">
        <v>21882.0</v>
      </c>
      <c r="G707" s="15">
        <v>1893166.0</v>
      </c>
      <c r="H707" s="16">
        <v>0.011558415902250516</v>
      </c>
      <c r="I707" s="17">
        <v>4.6771598475780785</v>
      </c>
      <c r="J707" s="16">
        <v>1.4735353535353535</v>
      </c>
      <c r="K707" s="16">
        <v>3.319980920113497</v>
      </c>
      <c r="L707" s="16">
        <v>0.07367149758454106</v>
      </c>
      <c r="M707" s="16">
        <v>0.2318840579710145</v>
      </c>
      <c r="N707" s="16">
        <v>0.39009661835748793</v>
      </c>
      <c r="O707" s="16">
        <v>0.16183574879227053</v>
      </c>
      <c r="P707" s="35">
        <v>46059.30266203704</v>
      </c>
    </row>
    <row r="708">
      <c r="A708" s="33">
        <v>46059.0</v>
      </c>
      <c r="B708" s="1" t="s">
        <v>59</v>
      </c>
      <c r="C708" s="3" t="s">
        <v>2</v>
      </c>
      <c r="E708" s="34">
        <v>133.0</v>
      </c>
      <c r="F708" s="34">
        <v>1498.0</v>
      </c>
      <c r="G708" s="15">
        <v>129351.0</v>
      </c>
      <c r="H708" s="16">
        <v>0.011580892300793963</v>
      </c>
      <c r="I708" s="17">
        <v>4.62895532311308</v>
      </c>
      <c r="J708" s="16">
        <v>4.304597701149425</v>
      </c>
      <c r="K708" s="16">
        <v>6.320905003909304</v>
      </c>
      <c r="L708" s="16">
        <v>0.06015037593984962</v>
      </c>
      <c r="M708" s="16">
        <v>0.09774436090225563</v>
      </c>
      <c r="N708" s="16">
        <v>0.37593984962406013</v>
      </c>
      <c r="O708" s="16">
        <v>0.10526315789473684</v>
      </c>
      <c r="P708" s="35">
        <v>46059.30266203704</v>
      </c>
    </row>
    <row r="709">
      <c r="A709" s="33">
        <v>46059.0</v>
      </c>
      <c r="B709" s="1" t="s">
        <v>59</v>
      </c>
      <c r="C709" s="1" t="s">
        <v>3</v>
      </c>
      <c r="E709" s="34">
        <v>185.0</v>
      </c>
      <c r="F709" s="34">
        <v>1379.0</v>
      </c>
      <c r="G709" s="15">
        <v>55863.0</v>
      </c>
      <c r="H709" s="16">
        <v>0.024685391045951702</v>
      </c>
      <c r="I709" s="17">
        <v>5.932620876071819</v>
      </c>
      <c r="J709" s="16">
        <v>1.7302383939774153</v>
      </c>
      <c r="K709" s="16">
        <v>2.54466359950804</v>
      </c>
      <c r="L709" s="16">
        <v>0.03783783783783784</v>
      </c>
      <c r="M709" s="16">
        <v>0.05945945945945946</v>
      </c>
      <c r="N709" s="16">
        <v>0.3837837837837838</v>
      </c>
      <c r="O709" s="16">
        <v>0.0972972972972973</v>
      </c>
      <c r="P709" s="35">
        <v>46059.30266203704</v>
      </c>
    </row>
    <row r="710">
      <c r="A710" s="33">
        <v>46059.0</v>
      </c>
      <c r="B710" s="1" t="s">
        <v>59</v>
      </c>
      <c r="C710" s="3" t="s">
        <v>4</v>
      </c>
      <c r="E710" s="34">
        <v>105.0</v>
      </c>
      <c r="F710" s="34">
        <v>904.0</v>
      </c>
      <c r="G710" s="15">
        <v>41190.0</v>
      </c>
      <c r="H710" s="16">
        <v>0.021947074532653557</v>
      </c>
      <c r="I710" s="17">
        <v>4.789827628065065</v>
      </c>
      <c r="J710" s="16">
        <v>1.405909797822706</v>
      </c>
      <c r="K710" s="16">
        <v>2.3537142857142856</v>
      </c>
      <c r="L710" s="16">
        <v>0.05714285714285714</v>
      </c>
      <c r="M710" s="16">
        <v>0.09523809523809523</v>
      </c>
      <c r="N710" s="16">
        <v>0.22857142857142856</v>
      </c>
      <c r="O710" s="16">
        <v>0.1619047619047619</v>
      </c>
      <c r="P710" s="35">
        <v>46059.30266203704</v>
      </c>
    </row>
    <row r="711">
      <c r="A711" s="33">
        <v>46059.0</v>
      </c>
      <c r="B711" s="1" t="s">
        <v>59</v>
      </c>
      <c r="C711" s="3" t="s">
        <v>5</v>
      </c>
      <c r="E711" s="34">
        <v>40.0</v>
      </c>
      <c r="F711" s="34">
        <v>5936.0</v>
      </c>
      <c r="G711" s="15">
        <v>72679.0</v>
      </c>
      <c r="H711" s="16">
        <v>0.08167421125772231</v>
      </c>
      <c r="I711" s="17">
        <v>5.3479959823332734</v>
      </c>
      <c r="J711" s="16">
        <v>0.9727958046542118</v>
      </c>
      <c r="K711" s="16">
        <v>1.7652102105748912</v>
      </c>
      <c r="L711" s="16">
        <v>0.1</v>
      </c>
      <c r="M711" s="16">
        <v>0.125</v>
      </c>
      <c r="N711" s="16">
        <v>0.225</v>
      </c>
      <c r="O711" s="16">
        <v>0.075</v>
      </c>
      <c r="P711" s="35">
        <v>46059.30266203704</v>
      </c>
    </row>
    <row r="712">
      <c r="A712" s="33">
        <v>46059.0</v>
      </c>
      <c r="B712" s="1" t="s">
        <v>59</v>
      </c>
      <c r="C712" s="3" t="s">
        <v>6</v>
      </c>
      <c r="E712" s="34">
        <v>29.0</v>
      </c>
      <c r="F712" s="34">
        <v>6285.0</v>
      </c>
      <c r="G712" s="15">
        <v>443366.0</v>
      </c>
      <c r="H712" s="16">
        <v>0.01417564720795009</v>
      </c>
      <c r="I712" s="17">
        <v>4.518573819372708</v>
      </c>
      <c r="J712" s="16">
        <v>1.3449604108709607</v>
      </c>
      <c r="K712" s="16">
        <v>1.7490059014737904</v>
      </c>
      <c r="L712" s="16">
        <v>0.0</v>
      </c>
      <c r="M712" s="16">
        <v>0.034482758620689655</v>
      </c>
      <c r="N712" s="16">
        <v>0.7931034482758621</v>
      </c>
      <c r="O712" s="16">
        <v>0.1724137931034483</v>
      </c>
      <c r="P712" s="35">
        <v>46059.30266203704</v>
      </c>
    </row>
    <row r="713">
      <c r="A713" s="33">
        <v>46059.0</v>
      </c>
      <c r="B713" s="1" t="s">
        <v>59</v>
      </c>
      <c r="C713" s="3" t="s">
        <v>7</v>
      </c>
      <c r="E713" s="34">
        <v>130.0</v>
      </c>
      <c r="F713" s="34">
        <v>1286.0</v>
      </c>
      <c r="G713" s="15">
        <v>270217.0</v>
      </c>
      <c r="H713" s="16">
        <v>0.004759138026104945</v>
      </c>
      <c r="I713" s="17">
        <v>4.377481801663108</v>
      </c>
      <c r="J713" s="16">
        <v>2.2249134948096887</v>
      </c>
      <c r="K713" s="16">
        <v>7.896925594716231</v>
      </c>
      <c r="L713" s="16">
        <v>0.05384615384615385</v>
      </c>
      <c r="M713" s="16">
        <v>0.46923076923076923</v>
      </c>
      <c r="N713" s="16">
        <v>0.5</v>
      </c>
      <c r="O713" s="16">
        <v>0.26153846153846155</v>
      </c>
      <c r="P713" s="35">
        <v>46059.30266203704</v>
      </c>
    </row>
    <row r="714">
      <c r="A714" s="33">
        <v>46059.0</v>
      </c>
      <c r="B714" s="1" t="s">
        <v>59</v>
      </c>
      <c r="C714" s="3" t="s">
        <v>8</v>
      </c>
      <c r="E714" s="34">
        <v>119.0</v>
      </c>
      <c r="F714" s="34">
        <v>1071.0</v>
      </c>
      <c r="G714" s="15">
        <v>380085.0</v>
      </c>
      <c r="H714" s="16">
        <v>0.0028177907573305972</v>
      </c>
      <c r="I714" s="17">
        <v>5.201283923332939</v>
      </c>
      <c r="J714" s="16">
        <v>0.9605381165919282</v>
      </c>
      <c r="K714" s="16">
        <v>3.0971724250325945</v>
      </c>
      <c r="L714" s="16">
        <v>0.21008403361344538</v>
      </c>
      <c r="M714" s="16">
        <v>0.6302521008403361</v>
      </c>
      <c r="N714" s="16">
        <v>0.5042016806722689</v>
      </c>
      <c r="O714" s="16">
        <v>0.16806722689075632</v>
      </c>
      <c r="P714" s="35">
        <v>46059.30266203704</v>
      </c>
    </row>
    <row r="715">
      <c r="A715" s="33">
        <v>46059.0</v>
      </c>
      <c r="B715" s="1" t="s">
        <v>59</v>
      </c>
      <c r="C715" s="3" t="s">
        <v>9</v>
      </c>
      <c r="E715" s="34">
        <v>11.0</v>
      </c>
      <c r="F715" s="34">
        <v>13.0</v>
      </c>
      <c r="G715" s="15">
        <v>524.0</v>
      </c>
      <c r="H715" s="16">
        <v>0.02480916030534351</v>
      </c>
      <c r="I715" s="17">
        <v>15.23091603053435</v>
      </c>
      <c r="J715" s="16">
        <v>2.1666666666666665</v>
      </c>
      <c r="K715" s="16">
        <v>2.328888888888889</v>
      </c>
      <c r="L715" s="16">
        <v>0.09090909090909091</v>
      </c>
      <c r="M715" s="16">
        <v>0.09090909090909091</v>
      </c>
      <c r="N715" s="16">
        <v>0.2727272727272727</v>
      </c>
      <c r="O715" s="16">
        <v>0.09090909090909091</v>
      </c>
      <c r="P715" s="35">
        <v>46059.30266203704</v>
      </c>
    </row>
    <row r="716">
      <c r="A716" s="33">
        <v>46059.0</v>
      </c>
      <c r="B716" s="1" t="s">
        <v>59</v>
      </c>
      <c r="C716" s="3" t="s">
        <v>10</v>
      </c>
      <c r="E716" s="34">
        <v>76.0</v>
      </c>
      <c r="F716" s="34">
        <v>3510.0</v>
      </c>
      <c r="G716" s="15">
        <v>499891.0</v>
      </c>
      <c r="H716" s="16">
        <v>0.007021530693691225</v>
      </c>
      <c r="I716" s="17">
        <v>4.335591158872634</v>
      </c>
      <c r="J716" s="16">
        <v>5.969387755102041</v>
      </c>
      <c r="K716" s="16">
        <v>8.547336923997607</v>
      </c>
      <c r="L716" s="16">
        <v>0.039473684210526314</v>
      </c>
      <c r="M716" s="16">
        <v>0.19736842105263158</v>
      </c>
      <c r="N716" s="16">
        <v>0.23684210526315788</v>
      </c>
      <c r="O716" s="16">
        <v>0.2894736842105263</v>
      </c>
      <c r="P716" s="35">
        <v>46059.30266203704</v>
      </c>
    </row>
    <row r="717">
      <c r="A717" s="33">
        <v>46059.0</v>
      </c>
      <c r="B717" s="1" t="s">
        <v>60</v>
      </c>
      <c r="D717" s="1" t="s">
        <v>30</v>
      </c>
      <c r="E717" s="34">
        <v>9.0</v>
      </c>
      <c r="F717" s="34">
        <v>583.0</v>
      </c>
      <c r="G717" s="15">
        <v>12711.0</v>
      </c>
      <c r="H717" s="16">
        <v>0.045865785540083394</v>
      </c>
      <c r="I717" s="17">
        <v>10.906852332625284</v>
      </c>
      <c r="J717" s="16">
        <v>1.3013392857142858</v>
      </c>
      <c r="K717" s="16">
        <v>0.7302234733153329</v>
      </c>
      <c r="L717" s="16">
        <v>0.0</v>
      </c>
      <c r="M717" s="16">
        <v>0.0</v>
      </c>
      <c r="N717" s="16">
        <v>0.7777777777777778</v>
      </c>
      <c r="O717" s="16">
        <v>0.2222222222222222</v>
      </c>
      <c r="P717" s="35">
        <v>46059.30266203704</v>
      </c>
    </row>
    <row r="718">
      <c r="A718" s="33">
        <v>46059.0</v>
      </c>
      <c r="B718" s="1" t="s">
        <v>60</v>
      </c>
      <c r="D718" s="1" t="s">
        <v>31</v>
      </c>
      <c r="E718" s="34">
        <v>63.0</v>
      </c>
      <c r="F718" s="34">
        <v>276.0</v>
      </c>
      <c r="G718" s="15">
        <v>7009.0</v>
      </c>
      <c r="H718" s="16">
        <v>0.03937794264517049</v>
      </c>
      <c r="I718" s="17">
        <v>8.413753745184762</v>
      </c>
      <c r="J718" s="16">
        <v>2.075187969924812</v>
      </c>
      <c r="K718" s="16">
        <v>0.6948547635570537</v>
      </c>
      <c r="L718" s="16">
        <v>0.06349206349206349</v>
      </c>
      <c r="M718" s="16">
        <v>0.06349206349206349</v>
      </c>
      <c r="N718" s="16">
        <v>0.38095238095238093</v>
      </c>
      <c r="O718" s="16">
        <v>0.12698412698412698</v>
      </c>
      <c r="P718" s="35">
        <v>46059.30266203704</v>
      </c>
    </row>
    <row r="719">
      <c r="A719" s="33">
        <v>46059.0</v>
      </c>
      <c r="B719" s="1" t="s">
        <v>60</v>
      </c>
      <c r="D719" s="1" t="s">
        <v>32</v>
      </c>
      <c r="E719" s="34">
        <v>562.0</v>
      </c>
      <c r="F719" s="34">
        <v>20641.0</v>
      </c>
      <c r="G719" s="15">
        <v>1842145.0</v>
      </c>
      <c r="H719" s="16">
        <v>0.01120487258060576</v>
      </c>
      <c r="I719" s="17">
        <v>4.614848993971702</v>
      </c>
      <c r="J719" s="16">
        <v>1.4946415640839972</v>
      </c>
      <c r="K719" s="16">
        <v>3.4723057348852553</v>
      </c>
      <c r="L719" s="16">
        <v>0.08718861209964412</v>
      </c>
      <c r="M719" s="16">
        <v>0.31494661921708184</v>
      </c>
      <c r="N719" s="16">
        <v>0.4483985765124555</v>
      </c>
      <c r="O719" s="16">
        <v>0.19572953736654805</v>
      </c>
      <c r="P719" s="35">
        <v>46059.30266203704</v>
      </c>
    </row>
    <row r="720">
      <c r="A720" s="33">
        <v>46059.0</v>
      </c>
      <c r="B720" s="1" t="s">
        <v>60</v>
      </c>
      <c r="D720" s="1" t="s">
        <v>33</v>
      </c>
      <c r="E720" s="34">
        <v>105.0</v>
      </c>
      <c r="F720" s="34">
        <v>357.0</v>
      </c>
      <c r="G720" s="15">
        <v>30116.0</v>
      </c>
      <c r="H720" s="16">
        <v>0.011854163899588259</v>
      </c>
      <c r="I720" s="17">
        <v>4.832514278124585</v>
      </c>
      <c r="J720" s="16">
        <v>0.8132118451025057</v>
      </c>
      <c r="K720" s="16">
        <v>3.233412067854842</v>
      </c>
      <c r="L720" s="16">
        <v>0.05714285714285714</v>
      </c>
      <c r="M720" s="16">
        <v>0.08571428571428572</v>
      </c>
      <c r="N720" s="16">
        <v>0.3047619047619048</v>
      </c>
      <c r="O720" s="16">
        <v>0.0761904761904762</v>
      </c>
      <c r="P720" s="35">
        <v>46059.30266203704</v>
      </c>
    </row>
    <row r="721">
      <c r="A721" s="33">
        <v>46059.0</v>
      </c>
      <c r="B721" s="1" t="s">
        <v>60</v>
      </c>
      <c r="D721" s="1" t="s">
        <v>34</v>
      </c>
      <c r="E721" s="34">
        <v>89.0</v>
      </c>
      <c r="F721" s="34">
        <v>25.0</v>
      </c>
      <c r="G721" s="15">
        <v>1185.0</v>
      </c>
      <c r="H721" s="16">
        <v>0.02109704641350211</v>
      </c>
      <c r="I721" s="17">
        <v>8.670042194092828</v>
      </c>
      <c r="J721" s="16">
        <v>1.25</v>
      </c>
      <c r="K721" s="16">
        <v>0.40847983453981385</v>
      </c>
      <c r="L721" s="16">
        <v>0.02247191011235955</v>
      </c>
      <c r="M721" s="16">
        <v>0.02247191011235955</v>
      </c>
      <c r="N721" s="16">
        <v>0.0898876404494382</v>
      </c>
      <c r="O721" s="16">
        <v>0.06741573033707865</v>
      </c>
      <c r="P721" s="35">
        <v>46059.30266203704</v>
      </c>
    </row>
    <row r="722">
      <c r="A722" s="33">
        <v>46060.0</v>
      </c>
      <c r="B722" s="1" t="s">
        <v>57</v>
      </c>
      <c r="D722" s="1"/>
      <c r="E722" s="34">
        <v>1166.0</v>
      </c>
      <c r="F722" s="34">
        <v>22114.0</v>
      </c>
      <c r="G722" s="15">
        <v>1901377.0</v>
      </c>
      <c r="H722" s="16">
        <v>0.011630518303313861</v>
      </c>
      <c r="I722" s="17">
        <v>4.675172782672768</v>
      </c>
      <c r="J722" s="16">
        <v>1.4692711447744335</v>
      </c>
      <c r="K722" s="16">
        <v>3.2706404264578643</v>
      </c>
      <c r="L722" s="16">
        <v>0.05574614065180103</v>
      </c>
      <c r="M722" s="16">
        <v>0.1672384219554031</v>
      </c>
      <c r="N722" s="16">
        <v>0.29588336192109777</v>
      </c>
      <c r="O722" s="16">
        <v>0.12864493996569468</v>
      </c>
      <c r="P722" s="35">
        <v>46060.30268518518</v>
      </c>
    </row>
    <row r="723">
      <c r="A723" s="33">
        <v>46060.0</v>
      </c>
      <c r="B723" s="1" t="s">
        <v>58</v>
      </c>
      <c r="D723" s="1"/>
      <c r="E723" s="34">
        <v>828.0</v>
      </c>
      <c r="F723" s="34">
        <v>21998.0</v>
      </c>
      <c r="G723" s="15">
        <v>1899128.0</v>
      </c>
      <c r="H723" s="16">
        <v>0.011583210820966253</v>
      </c>
      <c r="I723" s="17">
        <v>4.674963983470309</v>
      </c>
      <c r="J723" s="16">
        <v>1.4728173540439207</v>
      </c>
      <c r="K723" s="16">
        <v>3.3348985286344695</v>
      </c>
      <c r="L723" s="16">
        <v>0.07246376811594203</v>
      </c>
      <c r="M723" s="16">
        <v>0.22946859903381642</v>
      </c>
      <c r="N723" s="16">
        <v>0.391304347826087</v>
      </c>
      <c r="O723" s="16">
        <v>0.15821256038647344</v>
      </c>
      <c r="P723" s="35">
        <v>46060.30268518518</v>
      </c>
    </row>
    <row r="724">
      <c r="A724" s="33">
        <v>46060.0</v>
      </c>
      <c r="B724" s="1" t="s">
        <v>59</v>
      </c>
      <c r="C724" s="3" t="s">
        <v>2</v>
      </c>
      <c r="D724" s="1"/>
      <c r="E724" s="34">
        <v>133.0</v>
      </c>
      <c r="F724" s="34">
        <v>1496.0</v>
      </c>
      <c r="G724" s="15">
        <v>130088.0</v>
      </c>
      <c r="H724" s="16">
        <v>0.01149990775475063</v>
      </c>
      <c r="I724" s="17">
        <v>4.623593259947112</v>
      </c>
      <c r="J724" s="16">
        <v>4.323699421965318</v>
      </c>
      <c r="K724" s="16">
        <v>6.379051635365077</v>
      </c>
      <c r="L724" s="16">
        <v>0.05263157894736842</v>
      </c>
      <c r="M724" s="16">
        <v>0.08270676691729323</v>
      </c>
      <c r="N724" s="16">
        <v>0.39849624060150374</v>
      </c>
      <c r="O724" s="16">
        <v>0.09022556390977443</v>
      </c>
      <c r="P724" s="35">
        <v>46060.30268518518</v>
      </c>
    </row>
    <row r="725">
      <c r="A725" s="33">
        <v>46060.0</v>
      </c>
      <c r="B725" s="1" t="s">
        <v>59</v>
      </c>
      <c r="C725" s="1" t="s">
        <v>3</v>
      </c>
      <c r="D725" s="1"/>
      <c r="E725" s="34">
        <v>185.0</v>
      </c>
      <c r="F725" s="34">
        <v>1373.0</v>
      </c>
      <c r="G725" s="15">
        <v>56607.0</v>
      </c>
      <c r="H725" s="16">
        <v>0.024254950801137667</v>
      </c>
      <c r="I725" s="17">
        <v>5.945801755966577</v>
      </c>
      <c r="J725" s="16">
        <v>1.744599745870394</v>
      </c>
      <c r="K725" s="16">
        <v>2.593914677175457</v>
      </c>
      <c r="L725" s="16">
        <v>0.043243243243243246</v>
      </c>
      <c r="M725" s="16">
        <v>0.06486486486486487</v>
      </c>
      <c r="N725" s="16">
        <v>0.3891891891891892</v>
      </c>
      <c r="O725" s="16">
        <v>0.08108108108108109</v>
      </c>
      <c r="P725" s="35">
        <v>46060.30268518518</v>
      </c>
    </row>
    <row r="726">
      <c r="A726" s="33">
        <v>46060.0</v>
      </c>
      <c r="B726" s="1" t="s">
        <v>59</v>
      </c>
      <c r="C726" s="3" t="s">
        <v>4</v>
      </c>
      <c r="D726" s="1"/>
      <c r="E726" s="34">
        <v>105.0</v>
      </c>
      <c r="F726" s="34">
        <v>947.0</v>
      </c>
      <c r="G726" s="15">
        <v>41898.0</v>
      </c>
      <c r="H726" s="16">
        <v>0.022602510859706906</v>
      </c>
      <c r="I726" s="17">
        <v>4.75020287364552</v>
      </c>
      <c r="J726" s="16">
        <v>1.456923076923077</v>
      </c>
      <c r="K726" s="16">
        <v>2.405995176294935</v>
      </c>
      <c r="L726" s="16">
        <v>0.06666666666666667</v>
      </c>
      <c r="M726" s="16">
        <v>0.10476190476190476</v>
      </c>
      <c r="N726" s="16">
        <v>0.22857142857142856</v>
      </c>
      <c r="O726" s="16">
        <v>0.1619047619047619</v>
      </c>
      <c r="P726" s="35">
        <v>46060.30268518518</v>
      </c>
    </row>
    <row r="727">
      <c r="A727" s="33">
        <v>46060.0</v>
      </c>
      <c r="B727" s="1" t="s">
        <v>59</v>
      </c>
      <c r="C727" s="3" t="s">
        <v>5</v>
      </c>
      <c r="D727" s="1"/>
      <c r="E727" s="34">
        <v>40.0</v>
      </c>
      <c r="F727" s="34">
        <v>5968.0</v>
      </c>
      <c r="G727" s="15">
        <v>73021.0</v>
      </c>
      <c r="H727" s="16">
        <v>0.0817299133126087</v>
      </c>
      <c r="I727" s="17">
        <v>5.321291135426795</v>
      </c>
      <c r="J727" s="16">
        <v>0.971986970684039</v>
      </c>
      <c r="K727" s="16">
        <v>1.7526161674347158</v>
      </c>
      <c r="L727" s="16">
        <v>0.1</v>
      </c>
      <c r="M727" s="16">
        <v>0.125</v>
      </c>
      <c r="N727" s="16">
        <v>0.25</v>
      </c>
      <c r="O727" s="16">
        <v>0.05</v>
      </c>
      <c r="P727" s="35">
        <v>46060.30268518518</v>
      </c>
    </row>
    <row r="728">
      <c r="A728" s="33">
        <v>46060.0</v>
      </c>
      <c r="B728" s="1" t="s">
        <v>59</v>
      </c>
      <c r="C728" s="3" t="s">
        <v>6</v>
      </c>
      <c r="D728" s="1"/>
      <c r="E728" s="34">
        <v>29.0</v>
      </c>
      <c r="F728" s="34">
        <v>6267.0</v>
      </c>
      <c r="G728" s="15">
        <v>439617.0</v>
      </c>
      <c r="H728" s="16">
        <v>0.014255590661871584</v>
      </c>
      <c r="I728" s="17">
        <v>4.542130991294695</v>
      </c>
      <c r="J728" s="16">
        <v>1.3260685569191706</v>
      </c>
      <c r="K728" s="16">
        <v>1.742292555910923</v>
      </c>
      <c r="L728" s="16">
        <v>0.0</v>
      </c>
      <c r="M728" s="16">
        <v>0.0</v>
      </c>
      <c r="N728" s="16">
        <v>0.7586206896551724</v>
      </c>
      <c r="O728" s="16">
        <v>0.20689655172413793</v>
      </c>
      <c r="P728" s="35">
        <v>46060.30268518518</v>
      </c>
    </row>
    <row r="729">
      <c r="A729" s="33">
        <v>46060.0</v>
      </c>
      <c r="B729" s="1" t="s">
        <v>59</v>
      </c>
      <c r="C729" s="3" t="s">
        <v>7</v>
      </c>
      <c r="D729" s="1"/>
      <c r="E729" s="34">
        <v>130.0</v>
      </c>
      <c r="F729" s="34">
        <v>1317.0</v>
      </c>
      <c r="G729" s="15">
        <v>274679.0</v>
      </c>
      <c r="H729" s="16">
        <v>0.004794687617182238</v>
      </c>
      <c r="I729" s="17">
        <v>4.345435945230615</v>
      </c>
      <c r="J729" s="16">
        <v>2.2746113989637307</v>
      </c>
      <c r="K729" s="16">
        <v>8.047786469778208</v>
      </c>
      <c r="L729" s="16">
        <v>0.05384615384615385</v>
      </c>
      <c r="M729" s="16">
        <v>0.47692307692307695</v>
      </c>
      <c r="N729" s="16">
        <v>0.49230769230769234</v>
      </c>
      <c r="O729" s="16">
        <v>0.2692307692307692</v>
      </c>
      <c r="P729" s="35">
        <v>46060.30268518518</v>
      </c>
    </row>
    <row r="730">
      <c r="A730" s="33">
        <v>46060.0</v>
      </c>
      <c r="B730" s="1" t="s">
        <v>59</v>
      </c>
      <c r="C730" s="3" t="s">
        <v>8</v>
      </c>
      <c r="D730" s="1"/>
      <c r="E730" s="34">
        <v>119.0</v>
      </c>
      <c r="F730" s="34">
        <v>1091.0</v>
      </c>
      <c r="G730" s="15">
        <v>382371.0</v>
      </c>
      <c r="H730" s="16">
        <v>0.002853249854199194</v>
      </c>
      <c r="I730" s="17">
        <v>5.176755036339053</v>
      </c>
      <c r="J730" s="16">
        <v>0.9767233661593554</v>
      </c>
      <c r="K730" s="16">
        <v>3.1188753578740447</v>
      </c>
      <c r="L730" s="16">
        <v>0.19327731092436976</v>
      </c>
      <c r="M730" s="16">
        <v>0.6050420168067226</v>
      </c>
      <c r="N730" s="16">
        <v>0.48739495798319327</v>
      </c>
      <c r="O730" s="16">
        <v>0.18487394957983194</v>
      </c>
      <c r="P730" s="35">
        <v>46060.30268518518</v>
      </c>
    </row>
    <row r="731">
      <c r="A731" s="33">
        <v>46060.0</v>
      </c>
      <c r="B731" s="1" t="s">
        <v>59</v>
      </c>
      <c r="C731" s="3" t="s">
        <v>9</v>
      </c>
      <c r="D731" s="1"/>
      <c r="E731" s="34">
        <v>11.0</v>
      </c>
      <c r="F731" s="34">
        <v>13.0</v>
      </c>
      <c r="G731" s="15">
        <v>540.0</v>
      </c>
      <c r="H731" s="16">
        <v>0.024074074074074074</v>
      </c>
      <c r="I731" s="17">
        <v>15.564814814814815</v>
      </c>
      <c r="J731" s="16">
        <v>1.8571428571428572</v>
      </c>
      <c r="K731" s="16">
        <v>2.3788546255506606</v>
      </c>
      <c r="L731" s="16">
        <v>0.09090909090909091</v>
      </c>
      <c r="M731" s="16">
        <v>0.09090909090909091</v>
      </c>
      <c r="N731" s="16">
        <v>0.18181818181818182</v>
      </c>
      <c r="O731" s="16">
        <v>0.09090909090909091</v>
      </c>
      <c r="P731" s="35">
        <v>46060.30268518518</v>
      </c>
    </row>
    <row r="732">
      <c r="A732" s="33">
        <v>46060.0</v>
      </c>
      <c r="B732" s="1" t="s">
        <v>59</v>
      </c>
      <c r="C732" s="3" t="s">
        <v>10</v>
      </c>
      <c r="D732" s="1"/>
      <c r="E732" s="34">
        <v>76.0</v>
      </c>
      <c r="F732" s="34">
        <v>3526.0</v>
      </c>
      <c r="G732" s="15">
        <v>500307.0</v>
      </c>
      <c r="H732" s="16">
        <v>0.007047672728944428</v>
      </c>
      <c r="I732" s="17">
        <v>4.346277385685189</v>
      </c>
      <c r="J732" s="16">
        <v>6.037671232876712</v>
      </c>
      <c r="K732" s="16">
        <v>8.49432078643101</v>
      </c>
      <c r="L732" s="16">
        <v>0.039473684210526314</v>
      </c>
      <c r="M732" s="16">
        <v>0.21052631578947367</v>
      </c>
      <c r="N732" s="16">
        <v>0.25</v>
      </c>
      <c r="O732" s="16">
        <v>0.27631578947368424</v>
      </c>
      <c r="P732" s="35">
        <v>46060.30268518518</v>
      </c>
    </row>
    <row r="733">
      <c r="A733" s="33">
        <v>46060.0</v>
      </c>
      <c r="B733" s="1" t="s">
        <v>60</v>
      </c>
      <c r="D733" s="1" t="s">
        <v>30</v>
      </c>
      <c r="E733" s="34">
        <v>9.0</v>
      </c>
      <c r="F733" s="34">
        <v>581.0</v>
      </c>
      <c r="G733" s="15">
        <v>12835.0</v>
      </c>
      <c r="H733" s="16">
        <v>0.0452668484612388</v>
      </c>
      <c r="I733" s="17">
        <v>11.04448772886638</v>
      </c>
      <c r="J733" s="16">
        <v>1.3085585585585586</v>
      </c>
      <c r="K733" s="16">
        <v>0.7383225954901058</v>
      </c>
      <c r="L733" s="16">
        <v>0.0</v>
      </c>
      <c r="M733" s="16">
        <v>0.0</v>
      </c>
      <c r="N733" s="16">
        <v>0.7777777777777778</v>
      </c>
      <c r="O733" s="16">
        <v>0.2222222222222222</v>
      </c>
      <c r="P733" s="35">
        <v>46060.30268518518</v>
      </c>
    </row>
    <row r="734">
      <c r="A734" s="33">
        <v>46060.0</v>
      </c>
      <c r="B734" s="1" t="s">
        <v>60</v>
      </c>
      <c r="D734" s="1" t="s">
        <v>31</v>
      </c>
      <c r="E734" s="34">
        <v>63.0</v>
      </c>
      <c r="F734" s="34">
        <v>271.0</v>
      </c>
      <c r="G734" s="15">
        <v>7177.0</v>
      </c>
      <c r="H734" s="16">
        <v>0.03775950954437787</v>
      </c>
      <c r="I734" s="17">
        <v>8.461892155496725</v>
      </c>
      <c r="J734" s="16">
        <v>2.10077519379845</v>
      </c>
      <c r="K734" s="16">
        <v>0.7156246884036295</v>
      </c>
      <c r="L734" s="16">
        <v>0.07936507936507936</v>
      </c>
      <c r="M734" s="16">
        <v>0.07936507936507936</v>
      </c>
      <c r="N734" s="16">
        <v>0.38095238095238093</v>
      </c>
      <c r="O734" s="16">
        <v>0.1111111111111111</v>
      </c>
      <c r="P734" s="35">
        <v>46060.30268518518</v>
      </c>
    </row>
    <row r="735">
      <c r="A735" s="33">
        <v>46060.0</v>
      </c>
      <c r="B735" s="1" t="s">
        <v>60</v>
      </c>
      <c r="D735" s="1" t="s">
        <v>32</v>
      </c>
      <c r="E735" s="34">
        <v>562.0</v>
      </c>
      <c r="F735" s="34">
        <v>20758.0</v>
      </c>
      <c r="G735" s="15">
        <v>1847471.0</v>
      </c>
      <c r="H735" s="16">
        <v>0.011235900319950896</v>
      </c>
      <c r="I735" s="17">
        <v>4.611024476162278</v>
      </c>
      <c r="J735" s="16">
        <v>1.49295166858458</v>
      </c>
      <c r="K735" s="16">
        <v>3.4859785045247675</v>
      </c>
      <c r="L735" s="16">
        <v>0.08185053380782918</v>
      </c>
      <c r="M735" s="16">
        <v>0.30782918149466193</v>
      </c>
      <c r="N735" s="16">
        <v>0.45195729537366547</v>
      </c>
      <c r="O735" s="16">
        <v>0.19217081850533807</v>
      </c>
      <c r="P735" s="35">
        <v>46060.30268518518</v>
      </c>
    </row>
    <row r="736">
      <c r="A736" s="33">
        <v>46060.0</v>
      </c>
      <c r="B736" s="1" t="s">
        <v>60</v>
      </c>
      <c r="D736" s="1" t="s">
        <v>33</v>
      </c>
      <c r="E736" s="34">
        <v>105.0</v>
      </c>
      <c r="F736" s="34">
        <v>362.0</v>
      </c>
      <c r="G736" s="15">
        <v>30443.0</v>
      </c>
      <c r="H736" s="16">
        <v>0.011891075124002233</v>
      </c>
      <c r="I736" s="17">
        <v>4.82442597641494</v>
      </c>
      <c r="J736" s="16">
        <v>0.8190045248868778</v>
      </c>
      <c r="K736" s="16">
        <v>3.3075836592785746</v>
      </c>
      <c r="L736" s="16">
        <v>0.06666666666666667</v>
      </c>
      <c r="M736" s="16">
        <v>0.09523809523809523</v>
      </c>
      <c r="N736" s="16">
        <v>0.29523809523809524</v>
      </c>
      <c r="O736" s="16">
        <v>0.0761904761904762</v>
      </c>
      <c r="P736" s="35">
        <v>46060.30268518518</v>
      </c>
    </row>
    <row r="737">
      <c r="A737" s="33">
        <v>46060.0</v>
      </c>
      <c r="B737" s="1" t="s">
        <v>60</v>
      </c>
      <c r="D737" s="1" t="s">
        <v>34</v>
      </c>
      <c r="E737" s="34">
        <v>89.0</v>
      </c>
      <c r="F737" s="34">
        <v>26.0</v>
      </c>
      <c r="G737" s="15">
        <v>1202.0</v>
      </c>
      <c r="H737" s="16">
        <v>0.021630615640599003</v>
      </c>
      <c r="I737" s="17">
        <v>8.53910149750416</v>
      </c>
      <c r="J737" s="16">
        <v>1.5294117647058822</v>
      </c>
      <c r="K737" s="16">
        <v>0.4170714781401804</v>
      </c>
      <c r="L737" s="16">
        <v>0.02247191011235955</v>
      </c>
      <c r="M737" s="16">
        <v>0.02247191011235955</v>
      </c>
      <c r="N737" s="16">
        <v>0.0898876404494382</v>
      </c>
      <c r="O737" s="16">
        <v>0.06741573033707865</v>
      </c>
      <c r="P737" s="35">
        <v>46060.30268518518</v>
      </c>
    </row>
    <row r="738">
      <c r="A738" s="33">
        <v>46061.0</v>
      </c>
      <c r="B738" s="1" t="s">
        <v>57</v>
      </c>
      <c r="D738" s="1"/>
      <c r="E738" s="34">
        <v>1166.0</v>
      </c>
      <c r="F738" s="34">
        <v>22164.0</v>
      </c>
      <c r="G738" s="15">
        <v>1902430.0</v>
      </c>
      <c r="H738" s="16">
        <v>0.011650362956849923</v>
      </c>
      <c r="I738" s="17">
        <v>4.67787408735144</v>
      </c>
      <c r="J738" s="16">
        <v>1.462680657295585</v>
      </c>
      <c r="K738" s="16">
        <v>3.2831820684204076</v>
      </c>
      <c r="L738" s="16">
        <v>0.054030874785591765</v>
      </c>
      <c r="M738" s="16">
        <v>0.1672384219554031</v>
      </c>
      <c r="N738" s="16">
        <v>0.29416809605488853</v>
      </c>
      <c r="O738" s="16">
        <v>0.13036020583190394</v>
      </c>
      <c r="P738" s="35">
        <v>46061.30262731481</v>
      </c>
    </row>
    <row r="739">
      <c r="A739" s="33">
        <v>46061.0</v>
      </c>
      <c r="B739" s="1" t="s">
        <v>58</v>
      </c>
      <c r="D739" s="1"/>
      <c r="E739" s="34">
        <v>828.0</v>
      </c>
      <c r="F739" s="34">
        <v>22052.0</v>
      </c>
      <c r="G739" s="15">
        <v>1900120.0</v>
      </c>
      <c r="H739" s="16">
        <v>0.011605582805296508</v>
      </c>
      <c r="I739" s="17">
        <v>4.677547733827337</v>
      </c>
      <c r="J739" s="16">
        <v>1.4666134610268688</v>
      </c>
      <c r="K739" s="16">
        <v>3.348358879110732</v>
      </c>
      <c r="L739" s="16">
        <v>0.07004830917874397</v>
      </c>
      <c r="M739" s="16">
        <v>0.22946859903381642</v>
      </c>
      <c r="N739" s="16">
        <v>0.39009661835748793</v>
      </c>
      <c r="O739" s="16">
        <v>0.15942028985507245</v>
      </c>
      <c r="P739" s="35">
        <v>46061.30262731481</v>
      </c>
    </row>
    <row r="740">
      <c r="A740" s="33">
        <v>46061.0</v>
      </c>
      <c r="B740" s="1" t="s">
        <v>59</v>
      </c>
      <c r="C740" s="3" t="s">
        <v>2</v>
      </c>
      <c r="D740" s="1"/>
      <c r="E740" s="34">
        <v>133.0</v>
      </c>
      <c r="F740" s="34">
        <v>1492.0</v>
      </c>
      <c r="G740" s="15">
        <v>130550.0</v>
      </c>
      <c r="H740" s="16">
        <v>0.011428571428571429</v>
      </c>
      <c r="I740" s="17">
        <v>4.601777096897741</v>
      </c>
      <c r="J740" s="16">
        <v>4.287356321839081</v>
      </c>
      <c r="K740" s="16">
        <v>6.389174374785886</v>
      </c>
      <c r="L740" s="16">
        <v>0.045112781954887216</v>
      </c>
      <c r="M740" s="16">
        <v>0.08270676691729323</v>
      </c>
      <c r="N740" s="16">
        <v>0.39097744360902253</v>
      </c>
      <c r="O740" s="16">
        <v>0.09774436090225563</v>
      </c>
      <c r="P740" s="35">
        <v>46061.30262731481</v>
      </c>
    </row>
    <row r="741">
      <c r="A741" s="33">
        <v>46061.0</v>
      </c>
      <c r="B741" s="1" t="s">
        <v>59</v>
      </c>
      <c r="C741" s="1" t="s">
        <v>3</v>
      </c>
      <c r="D741" s="1"/>
      <c r="E741" s="34">
        <v>185.0</v>
      </c>
      <c r="F741" s="34">
        <v>1388.0</v>
      </c>
      <c r="G741" s="15">
        <v>57261.0</v>
      </c>
      <c r="H741" s="16">
        <v>0.024239884039747823</v>
      </c>
      <c r="I741" s="17">
        <v>5.941984946123889</v>
      </c>
      <c r="J741" s="16">
        <v>1.748110831234257</v>
      </c>
      <c r="K741" s="16">
        <v>2.630996140415365</v>
      </c>
      <c r="L741" s="16">
        <v>0.043243243243243246</v>
      </c>
      <c r="M741" s="16">
        <v>0.06486486486486487</v>
      </c>
      <c r="N741" s="16">
        <v>0.3891891891891892</v>
      </c>
      <c r="O741" s="16">
        <v>0.07567567567567568</v>
      </c>
      <c r="P741" s="35">
        <v>46061.30262731481</v>
      </c>
    </row>
    <row r="742">
      <c r="A742" s="33">
        <v>46061.0</v>
      </c>
      <c r="B742" s="1" t="s">
        <v>59</v>
      </c>
      <c r="C742" s="3" t="s">
        <v>4</v>
      </c>
      <c r="D742" s="1"/>
      <c r="E742" s="34">
        <v>105.0</v>
      </c>
      <c r="F742" s="34">
        <v>987.0</v>
      </c>
      <c r="G742" s="15">
        <v>42591.0</v>
      </c>
      <c r="H742" s="16">
        <v>0.023173909980981896</v>
      </c>
      <c r="I742" s="17">
        <v>4.750322838158296</v>
      </c>
      <c r="J742" s="16">
        <v>1.5421875</v>
      </c>
      <c r="K742" s="16">
        <v>2.480980951826178</v>
      </c>
      <c r="L742" s="16">
        <v>0.0761904761904762</v>
      </c>
      <c r="M742" s="16">
        <v>0.10476190476190476</v>
      </c>
      <c r="N742" s="16">
        <v>0.23809523809523808</v>
      </c>
      <c r="O742" s="16">
        <v>0.14285714285714285</v>
      </c>
      <c r="P742" s="35">
        <v>46061.30262731481</v>
      </c>
    </row>
    <row r="743">
      <c r="A743" s="33">
        <v>46061.0</v>
      </c>
      <c r="B743" s="1" t="s">
        <v>59</v>
      </c>
      <c r="C743" s="3" t="s">
        <v>5</v>
      </c>
      <c r="D743" s="1"/>
      <c r="E743" s="34">
        <v>40.0</v>
      </c>
      <c r="F743" s="34">
        <v>5971.0</v>
      </c>
      <c r="G743" s="15">
        <v>73365.0</v>
      </c>
      <c r="H743" s="16">
        <v>0.08138758263477135</v>
      </c>
      <c r="I743" s="17">
        <v>5.3012471887139645</v>
      </c>
      <c r="J743" s="16">
        <v>0.9590427240603919</v>
      </c>
      <c r="K743" s="16">
        <v>1.7422641240589898</v>
      </c>
      <c r="L743" s="16">
        <v>0.1</v>
      </c>
      <c r="M743" s="16">
        <v>0.125</v>
      </c>
      <c r="N743" s="16">
        <v>0.225</v>
      </c>
      <c r="O743" s="16">
        <v>0.075</v>
      </c>
      <c r="P743" s="35">
        <v>46061.30262731481</v>
      </c>
    </row>
    <row r="744">
      <c r="A744" s="33">
        <v>46061.0</v>
      </c>
      <c r="B744" s="1" t="s">
        <v>59</v>
      </c>
      <c r="C744" s="3" t="s">
        <v>6</v>
      </c>
      <c r="D744" s="1"/>
      <c r="E744" s="34">
        <v>29.0</v>
      </c>
      <c r="F744" s="34">
        <v>6243.0</v>
      </c>
      <c r="G744" s="15">
        <v>435346.0</v>
      </c>
      <c r="H744" s="16">
        <v>0.014340317816173802</v>
      </c>
      <c r="I744" s="17">
        <v>4.565164260151695</v>
      </c>
      <c r="J744" s="16">
        <v>1.3251963489704945</v>
      </c>
      <c r="K744" s="16">
        <v>1.742352748127959</v>
      </c>
      <c r="L744" s="16">
        <v>0.0</v>
      </c>
      <c r="M744" s="16">
        <v>0.034482758620689655</v>
      </c>
      <c r="N744" s="16">
        <v>0.7586206896551724</v>
      </c>
      <c r="O744" s="16">
        <v>0.20689655172413793</v>
      </c>
      <c r="P744" s="35">
        <v>46061.30262731481</v>
      </c>
    </row>
    <row r="745">
      <c r="A745" s="33">
        <v>46061.0</v>
      </c>
      <c r="B745" s="1" t="s">
        <v>59</v>
      </c>
      <c r="C745" s="3" t="s">
        <v>7</v>
      </c>
      <c r="D745" s="1"/>
      <c r="E745" s="34">
        <v>130.0</v>
      </c>
      <c r="F745" s="34">
        <v>1351.0</v>
      </c>
      <c r="G745" s="15">
        <v>277946.0</v>
      </c>
      <c r="H745" s="16">
        <v>0.00486065638649234</v>
      </c>
      <c r="I745" s="17">
        <v>4.327646377353875</v>
      </c>
      <c r="J745" s="16">
        <v>2.3173241852487134</v>
      </c>
      <c r="K745" s="16">
        <v>8.151626242777956</v>
      </c>
      <c r="L745" s="16">
        <v>0.05384615384615385</v>
      </c>
      <c r="M745" s="16">
        <v>0.47692307692307695</v>
      </c>
      <c r="N745" s="16">
        <v>0.5076923076923077</v>
      </c>
      <c r="O745" s="16">
        <v>0.26153846153846155</v>
      </c>
      <c r="P745" s="35">
        <v>46061.30262731481</v>
      </c>
    </row>
    <row r="746">
      <c r="A746" s="33">
        <v>46061.0</v>
      </c>
      <c r="B746" s="1" t="s">
        <v>59</v>
      </c>
      <c r="C746" s="3" t="s">
        <v>8</v>
      </c>
      <c r="D746" s="1"/>
      <c r="E746" s="34">
        <v>119.0</v>
      </c>
      <c r="F746" s="34">
        <v>1107.0</v>
      </c>
      <c r="G746" s="15">
        <v>383906.0</v>
      </c>
      <c r="H746" s="16">
        <v>0.002883518361265518</v>
      </c>
      <c r="I746" s="17">
        <v>5.168434460518982</v>
      </c>
      <c r="J746" s="16">
        <v>0.9753303964757709</v>
      </c>
      <c r="K746" s="16">
        <v>3.13341495266079</v>
      </c>
      <c r="L746" s="16">
        <v>0.18487394957983194</v>
      </c>
      <c r="M746" s="16">
        <v>0.6050420168067226</v>
      </c>
      <c r="N746" s="16">
        <v>0.47058823529411764</v>
      </c>
      <c r="O746" s="16">
        <v>0.19327731092436976</v>
      </c>
      <c r="P746" s="35">
        <v>46061.30262731481</v>
      </c>
    </row>
    <row r="747">
      <c r="A747" s="33">
        <v>46061.0</v>
      </c>
      <c r="B747" s="1" t="s">
        <v>59</v>
      </c>
      <c r="C747" s="3" t="s">
        <v>9</v>
      </c>
      <c r="D747" s="1"/>
      <c r="E747" s="34">
        <v>11.0</v>
      </c>
      <c r="F747" s="34">
        <v>13.0</v>
      </c>
      <c r="G747" s="15">
        <v>555.0</v>
      </c>
      <c r="H747" s="16">
        <v>0.023423423423423424</v>
      </c>
      <c r="I747" s="17">
        <v>15.571171171171171</v>
      </c>
      <c r="J747" s="16">
        <v>1.625</v>
      </c>
      <c r="K747" s="16">
        <v>2.466666666666667</v>
      </c>
      <c r="L747" s="16">
        <v>0.09090909090909091</v>
      </c>
      <c r="M747" s="16">
        <v>0.09090909090909091</v>
      </c>
      <c r="N747" s="16">
        <v>0.18181818181818182</v>
      </c>
      <c r="O747" s="16">
        <v>0.18181818181818182</v>
      </c>
      <c r="P747" s="35">
        <v>46061.30262731481</v>
      </c>
    </row>
    <row r="748">
      <c r="A748" s="33">
        <v>46061.0</v>
      </c>
      <c r="B748" s="1" t="s">
        <v>59</v>
      </c>
      <c r="C748" s="3" t="s">
        <v>10</v>
      </c>
      <c r="D748" s="1"/>
      <c r="E748" s="34">
        <v>76.0</v>
      </c>
      <c r="F748" s="34">
        <v>3500.0</v>
      </c>
      <c r="G748" s="15">
        <v>498600.0</v>
      </c>
      <c r="H748" s="16">
        <v>0.007019655034095467</v>
      </c>
      <c r="I748" s="17">
        <v>4.357272362615323</v>
      </c>
      <c r="J748" s="16">
        <v>5.922165820642978</v>
      </c>
      <c r="K748" s="16">
        <v>8.4078108664126</v>
      </c>
      <c r="L748" s="16">
        <v>0.02631578947368421</v>
      </c>
      <c r="M748" s="16">
        <v>0.19736842105263158</v>
      </c>
      <c r="N748" s="16">
        <v>0.25</v>
      </c>
      <c r="O748" s="16">
        <v>0.2894736842105263</v>
      </c>
      <c r="P748" s="35">
        <v>46061.30262731481</v>
      </c>
    </row>
    <row r="749">
      <c r="A749" s="33">
        <v>46061.0</v>
      </c>
      <c r="B749" s="1" t="s">
        <v>60</v>
      </c>
      <c r="D749" s="1" t="s">
        <v>30</v>
      </c>
      <c r="E749" s="34">
        <v>9.0</v>
      </c>
      <c r="F749" s="34">
        <v>584.0</v>
      </c>
      <c r="G749" s="15">
        <v>12984.0</v>
      </c>
      <c r="H749" s="16">
        <v>0.04497843499691929</v>
      </c>
      <c r="I749" s="17">
        <v>11.093422674060381</v>
      </c>
      <c r="J749" s="16">
        <v>1.2977777777777777</v>
      </c>
      <c r="K749" s="16">
        <v>0.7416885639209414</v>
      </c>
      <c r="L749" s="16">
        <v>0.0</v>
      </c>
      <c r="M749" s="16">
        <v>0.1111111111111111</v>
      </c>
      <c r="N749" s="16">
        <v>0.6666666666666666</v>
      </c>
      <c r="O749" s="16">
        <v>0.3333333333333333</v>
      </c>
      <c r="P749" s="35">
        <v>46061.30262731481</v>
      </c>
    </row>
    <row r="750">
      <c r="A750" s="33">
        <v>46061.0</v>
      </c>
      <c r="B750" s="1" t="s">
        <v>60</v>
      </c>
      <c r="D750" s="1" t="s">
        <v>31</v>
      </c>
      <c r="E750" s="34">
        <v>63.0</v>
      </c>
      <c r="F750" s="34">
        <v>270.0</v>
      </c>
      <c r="G750" s="15">
        <v>7315.0</v>
      </c>
      <c r="H750" s="16">
        <v>0.03691045796308954</v>
      </c>
      <c r="I750" s="17">
        <v>8.449077238550922</v>
      </c>
      <c r="J750" s="16">
        <v>2.142857142857143</v>
      </c>
      <c r="K750" s="16">
        <v>0.7274264120922832</v>
      </c>
      <c r="L750" s="16">
        <v>0.07936507936507936</v>
      </c>
      <c r="M750" s="16">
        <v>0.07936507936507936</v>
      </c>
      <c r="N750" s="16">
        <v>0.38095238095238093</v>
      </c>
      <c r="O750" s="16">
        <v>0.1111111111111111</v>
      </c>
      <c r="P750" s="35">
        <v>46061.30262731481</v>
      </c>
    </row>
    <row r="751">
      <c r="A751" s="33">
        <v>46061.0</v>
      </c>
      <c r="B751" s="1" t="s">
        <v>60</v>
      </c>
      <c r="D751" s="1" t="s">
        <v>32</v>
      </c>
      <c r="E751" s="34">
        <v>562.0</v>
      </c>
      <c r="F751" s="34">
        <v>20815.0</v>
      </c>
      <c r="G751" s="15">
        <v>1847902.0</v>
      </c>
      <c r="H751" s="16">
        <v>0.011264125478515635</v>
      </c>
      <c r="I751" s="17">
        <v>4.612474579279637</v>
      </c>
      <c r="J751" s="16">
        <v>1.4850884703196348</v>
      </c>
      <c r="K751" s="16">
        <v>3.4994830035034563</v>
      </c>
      <c r="L751" s="16">
        <v>0.07651245551601424</v>
      </c>
      <c r="M751" s="16">
        <v>0.30604982206405695</v>
      </c>
      <c r="N751" s="16">
        <v>0.45195729537366547</v>
      </c>
      <c r="O751" s="16">
        <v>0.19572953736654805</v>
      </c>
      <c r="P751" s="35">
        <v>46061.30262731481</v>
      </c>
    </row>
    <row r="752">
      <c r="A752" s="33">
        <v>46061.0</v>
      </c>
      <c r="B752" s="1" t="s">
        <v>60</v>
      </c>
      <c r="D752" s="1" t="s">
        <v>33</v>
      </c>
      <c r="E752" s="34">
        <v>105.0</v>
      </c>
      <c r="F752" s="34">
        <v>359.0</v>
      </c>
      <c r="G752" s="15">
        <v>30695.0</v>
      </c>
      <c r="H752" s="16">
        <v>0.011695715914644078</v>
      </c>
      <c r="I752" s="17">
        <v>4.826323505456915</v>
      </c>
      <c r="J752" s="16">
        <v>0.8407494145199064</v>
      </c>
      <c r="K752" s="16">
        <v>3.41815144766147</v>
      </c>
      <c r="L752" s="16">
        <v>0.0761904761904762</v>
      </c>
      <c r="M752" s="16">
        <v>0.09523809523809523</v>
      </c>
      <c r="N752" s="16">
        <v>0.29523809523809524</v>
      </c>
      <c r="O752" s="16">
        <v>0.06666666666666667</v>
      </c>
      <c r="P752" s="35">
        <v>46061.30262731481</v>
      </c>
    </row>
    <row r="753">
      <c r="A753" s="33">
        <v>46061.0</v>
      </c>
      <c r="B753" s="1" t="s">
        <v>60</v>
      </c>
      <c r="D753" s="1" t="s">
        <v>34</v>
      </c>
      <c r="E753" s="34">
        <v>89.0</v>
      </c>
      <c r="F753" s="34">
        <v>24.0</v>
      </c>
      <c r="G753" s="15">
        <v>1224.0</v>
      </c>
      <c r="H753" s="16">
        <v>0.0196078431372549</v>
      </c>
      <c r="I753" s="17">
        <v>8.590686274509803</v>
      </c>
      <c r="J753" s="16">
        <v>1.411764705882353</v>
      </c>
      <c r="K753" s="16">
        <v>0.42411642411642414</v>
      </c>
      <c r="L753" s="16">
        <v>0.02247191011235955</v>
      </c>
      <c r="M753" s="16">
        <v>0.02247191011235955</v>
      </c>
      <c r="N753" s="16">
        <v>0.0898876404494382</v>
      </c>
      <c r="O753" s="16">
        <v>0.056179775280898875</v>
      </c>
      <c r="P753" s="35">
        <v>46061.30262731481</v>
      </c>
    </row>
    <row r="754">
      <c r="A754" s="33">
        <v>46062.0</v>
      </c>
      <c r="B754" s="1" t="s">
        <v>57</v>
      </c>
      <c r="D754" s="1"/>
      <c r="E754" s="34">
        <v>1166.0</v>
      </c>
      <c r="F754" s="34">
        <v>22009.0</v>
      </c>
      <c r="G754" s="15">
        <v>1887565.0</v>
      </c>
      <c r="H754" s="16">
        <v>0.011659995814713666</v>
      </c>
      <c r="I754" s="17">
        <v>4.673309263522051</v>
      </c>
      <c r="J754" s="16">
        <v>1.4469134179212413</v>
      </c>
      <c r="K754" s="16">
        <v>3.275185963426759</v>
      </c>
      <c r="L754" s="16">
        <v>0.054030874785591765</v>
      </c>
      <c r="M754" s="16">
        <v>0.16552315608919382</v>
      </c>
      <c r="N754" s="16">
        <v>0.2967409948542024</v>
      </c>
      <c r="O754" s="16">
        <v>0.12521440823327615</v>
      </c>
      <c r="P754" s="35">
        <v>46062.302615740744</v>
      </c>
    </row>
    <row r="755">
      <c r="A755" s="33">
        <v>46062.0</v>
      </c>
      <c r="B755" s="1" t="s">
        <v>58</v>
      </c>
      <c r="D755" s="1"/>
      <c r="E755" s="34">
        <v>828.0</v>
      </c>
      <c r="F755" s="34">
        <v>21898.0</v>
      </c>
      <c r="G755" s="15">
        <v>1885241.0</v>
      </c>
      <c r="H755" s="16">
        <v>0.011615491069841999</v>
      </c>
      <c r="I755" s="17">
        <v>4.6728725929470025</v>
      </c>
      <c r="J755" s="16">
        <v>1.450775142440705</v>
      </c>
      <c r="K755" s="16">
        <v>3.3411034333645837</v>
      </c>
      <c r="L755" s="16">
        <v>0.07004830917874397</v>
      </c>
      <c r="M755" s="16">
        <v>0.22705314009661837</v>
      </c>
      <c r="N755" s="16">
        <v>0.39371980676328505</v>
      </c>
      <c r="O755" s="16">
        <v>0.15458937198067632</v>
      </c>
      <c r="P755" s="35">
        <v>46062.302615740744</v>
      </c>
    </row>
    <row r="756">
      <c r="A756" s="33">
        <v>46062.0</v>
      </c>
      <c r="B756" s="1" t="s">
        <v>59</v>
      </c>
      <c r="C756" s="3" t="s">
        <v>2</v>
      </c>
      <c r="D756" s="1"/>
      <c r="E756" s="34">
        <v>133.0</v>
      </c>
      <c r="F756" s="34">
        <v>1491.0</v>
      </c>
      <c r="G756" s="15">
        <v>130566.0</v>
      </c>
      <c r="H756" s="16">
        <v>0.011419511970957218</v>
      </c>
      <c r="I756" s="17">
        <v>4.559310999800867</v>
      </c>
      <c r="J756" s="16">
        <v>4.247863247863248</v>
      </c>
      <c r="K756" s="16">
        <v>6.342157672317482</v>
      </c>
      <c r="L756" s="16">
        <v>0.03759398496240601</v>
      </c>
      <c r="M756" s="16">
        <v>0.07518796992481203</v>
      </c>
      <c r="N756" s="16">
        <v>0.40601503759398494</v>
      </c>
      <c r="O756" s="16">
        <v>0.09022556390977443</v>
      </c>
      <c r="P756" s="35">
        <v>46062.302615740744</v>
      </c>
    </row>
    <row r="757">
      <c r="A757" s="33">
        <v>46062.0</v>
      </c>
      <c r="B757" s="1" t="s">
        <v>59</v>
      </c>
      <c r="C757" s="1" t="s">
        <v>3</v>
      </c>
      <c r="D757" s="1"/>
      <c r="E757" s="34">
        <v>185.0</v>
      </c>
      <c r="F757" s="34">
        <v>1411.0</v>
      </c>
      <c r="G757" s="15">
        <v>57398.0</v>
      </c>
      <c r="H757" s="16">
        <v>0.02458273807449737</v>
      </c>
      <c r="I757" s="17">
        <v>5.945677549740409</v>
      </c>
      <c r="J757" s="16">
        <v>1.768170426065163</v>
      </c>
      <c r="K757" s="16">
        <v>2.65719179667608</v>
      </c>
      <c r="L757" s="16">
        <v>0.04864864864864865</v>
      </c>
      <c r="M757" s="16">
        <v>0.06486486486486487</v>
      </c>
      <c r="N757" s="16">
        <v>0.4</v>
      </c>
      <c r="O757" s="16">
        <v>0.06486486486486487</v>
      </c>
      <c r="P757" s="35">
        <v>46062.302615740744</v>
      </c>
    </row>
    <row r="758">
      <c r="A758" s="33">
        <v>46062.0</v>
      </c>
      <c r="B758" s="1" t="s">
        <v>59</v>
      </c>
      <c r="C758" s="3" t="s">
        <v>4</v>
      </c>
      <c r="D758" s="1"/>
      <c r="E758" s="34">
        <v>105.0</v>
      </c>
      <c r="F758" s="34">
        <v>1033.0</v>
      </c>
      <c r="G758" s="15">
        <v>42799.0</v>
      </c>
      <c r="H758" s="16">
        <v>0.024136077945746397</v>
      </c>
      <c r="I758" s="17">
        <v>4.7235449426388465</v>
      </c>
      <c r="J758" s="16">
        <v>1.6191222570532915</v>
      </c>
      <c r="K758" s="16">
        <v>2.505502868516567</v>
      </c>
      <c r="L758" s="16">
        <v>0.06666666666666667</v>
      </c>
      <c r="M758" s="16">
        <v>0.10476190476190476</v>
      </c>
      <c r="N758" s="16">
        <v>0.23809523809523808</v>
      </c>
      <c r="O758" s="16">
        <v>0.12380952380952381</v>
      </c>
      <c r="P758" s="35">
        <v>46062.302615740744</v>
      </c>
    </row>
    <row r="759">
      <c r="A759" s="33">
        <v>46062.0</v>
      </c>
      <c r="B759" s="1" t="s">
        <v>59</v>
      </c>
      <c r="C759" s="3" t="s">
        <v>5</v>
      </c>
      <c r="D759" s="1"/>
      <c r="E759" s="34">
        <v>40.0</v>
      </c>
      <c r="F759" s="34">
        <v>5928.0</v>
      </c>
      <c r="G759" s="15">
        <v>72419.0</v>
      </c>
      <c r="H759" s="16">
        <v>0.08185697123683011</v>
      </c>
      <c r="I759" s="17">
        <v>5.285670887474281</v>
      </c>
      <c r="J759" s="16">
        <v>0.9419990465596695</v>
      </c>
      <c r="K759" s="16">
        <v>1.7081967213114755</v>
      </c>
      <c r="L759" s="16">
        <v>0.1</v>
      </c>
      <c r="M759" s="16">
        <v>0.125</v>
      </c>
      <c r="N759" s="16">
        <v>0.225</v>
      </c>
      <c r="O759" s="16">
        <v>0.075</v>
      </c>
      <c r="P759" s="35">
        <v>46062.302615740744</v>
      </c>
    </row>
    <row r="760">
      <c r="A760" s="33">
        <v>46062.0</v>
      </c>
      <c r="B760" s="1" t="s">
        <v>59</v>
      </c>
      <c r="C760" s="3" t="s">
        <v>6</v>
      </c>
      <c r="D760" s="1"/>
      <c r="E760" s="34">
        <v>29.0</v>
      </c>
      <c r="F760" s="34">
        <v>6088.0</v>
      </c>
      <c r="G760" s="15">
        <v>426892.0</v>
      </c>
      <c r="H760" s="16">
        <v>0.014261218294088435</v>
      </c>
      <c r="I760" s="17">
        <v>4.570762628486831</v>
      </c>
      <c r="J760" s="16">
        <v>1.300854700854701</v>
      </c>
      <c r="K760" s="16">
        <v>1.7337123827315923</v>
      </c>
      <c r="L760" s="16">
        <v>0.0</v>
      </c>
      <c r="M760" s="16">
        <v>0.034482758620689655</v>
      </c>
      <c r="N760" s="16">
        <v>0.6896551724137931</v>
      </c>
      <c r="O760" s="16">
        <v>0.27586206896551724</v>
      </c>
      <c r="P760" s="35">
        <v>46062.302615740744</v>
      </c>
    </row>
    <row r="761">
      <c r="A761" s="33">
        <v>46062.0</v>
      </c>
      <c r="B761" s="1" t="s">
        <v>59</v>
      </c>
      <c r="C761" s="3" t="s">
        <v>7</v>
      </c>
      <c r="D761" s="1"/>
      <c r="E761" s="34">
        <v>130.0</v>
      </c>
      <c r="F761" s="34">
        <v>1346.0</v>
      </c>
      <c r="G761" s="15">
        <v>278733.0</v>
      </c>
      <c r="H761" s="16">
        <v>0.004828994055242831</v>
      </c>
      <c r="I761" s="17">
        <v>4.313737519418225</v>
      </c>
      <c r="J761" s="16">
        <v>2.2852292020373515</v>
      </c>
      <c r="K761" s="16">
        <v>8.183587786259542</v>
      </c>
      <c r="L761" s="16">
        <v>0.05384615384615385</v>
      </c>
      <c r="M761" s="16">
        <v>0.47692307692307695</v>
      </c>
      <c r="N761" s="16">
        <v>0.5076923076923077</v>
      </c>
      <c r="O761" s="16">
        <v>0.25384615384615383</v>
      </c>
      <c r="P761" s="35">
        <v>46062.302615740744</v>
      </c>
    </row>
    <row r="762">
      <c r="A762" s="33">
        <v>46062.0</v>
      </c>
      <c r="B762" s="1" t="s">
        <v>59</v>
      </c>
      <c r="C762" s="3" t="s">
        <v>8</v>
      </c>
      <c r="D762" s="1"/>
      <c r="E762" s="34">
        <v>119.0</v>
      </c>
      <c r="F762" s="34">
        <v>1107.0</v>
      </c>
      <c r="G762" s="15">
        <v>383516.0</v>
      </c>
      <c r="H762" s="16">
        <v>0.0028864506304821704</v>
      </c>
      <c r="I762" s="17">
        <v>5.156368965049698</v>
      </c>
      <c r="J762" s="16">
        <v>0.9693520140105079</v>
      </c>
      <c r="K762" s="16">
        <v>3.1295421348543826</v>
      </c>
      <c r="L762" s="16">
        <v>0.20168067226890757</v>
      </c>
      <c r="M762" s="16">
        <v>0.6050420168067226</v>
      </c>
      <c r="N762" s="16">
        <v>0.46218487394957986</v>
      </c>
      <c r="O762" s="16">
        <v>0.21008403361344538</v>
      </c>
      <c r="P762" s="35">
        <v>46062.302615740744</v>
      </c>
    </row>
    <row r="763">
      <c r="A763" s="33">
        <v>46062.0</v>
      </c>
      <c r="B763" s="1" t="s">
        <v>59</v>
      </c>
      <c r="C763" s="3" t="s">
        <v>9</v>
      </c>
      <c r="D763" s="1"/>
      <c r="E763" s="34">
        <v>11.0</v>
      </c>
      <c r="F763" s="34">
        <v>13.0</v>
      </c>
      <c r="G763" s="15">
        <v>553.0</v>
      </c>
      <c r="H763" s="16">
        <v>0.023508137432188065</v>
      </c>
      <c r="I763" s="17">
        <v>15.701627486437612</v>
      </c>
      <c r="J763" s="16">
        <v>1.625</v>
      </c>
      <c r="K763" s="16">
        <v>2.572093023255814</v>
      </c>
      <c r="L763" s="16">
        <v>0.09090909090909091</v>
      </c>
      <c r="M763" s="16">
        <v>0.09090909090909091</v>
      </c>
      <c r="N763" s="16">
        <v>0.18181818181818182</v>
      </c>
      <c r="O763" s="16">
        <v>0.18181818181818182</v>
      </c>
      <c r="P763" s="35">
        <v>46062.302615740744</v>
      </c>
    </row>
    <row r="764">
      <c r="A764" s="33">
        <v>46062.0</v>
      </c>
      <c r="B764" s="1" t="s">
        <v>59</v>
      </c>
      <c r="C764" s="3" t="s">
        <v>10</v>
      </c>
      <c r="D764" s="1"/>
      <c r="E764" s="34">
        <v>76.0</v>
      </c>
      <c r="F764" s="34">
        <v>3481.0</v>
      </c>
      <c r="G764" s="15">
        <v>492365.0</v>
      </c>
      <c r="H764" s="16">
        <v>0.007069958262670986</v>
      </c>
      <c r="I764" s="17">
        <v>4.362917754105186</v>
      </c>
      <c r="J764" s="16">
        <v>5.8504201680672265</v>
      </c>
      <c r="K764" s="16">
        <v>8.269482700705408</v>
      </c>
      <c r="L764" s="16">
        <v>0.013157894736842105</v>
      </c>
      <c r="M764" s="16">
        <v>0.18421052631578946</v>
      </c>
      <c r="N764" s="16">
        <v>0.27631578947368424</v>
      </c>
      <c r="O764" s="16">
        <v>0.2631578947368421</v>
      </c>
      <c r="P764" s="35">
        <v>46062.302615740744</v>
      </c>
    </row>
    <row r="765">
      <c r="A765" s="33">
        <v>46062.0</v>
      </c>
      <c r="B765" s="1" t="s">
        <v>60</v>
      </c>
      <c r="D765" s="1" t="s">
        <v>30</v>
      </c>
      <c r="E765" s="34">
        <v>9.0</v>
      </c>
      <c r="F765" s="34">
        <v>589.0</v>
      </c>
      <c r="G765" s="15">
        <v>13001.0</v>
      </c>
      <c r="H765" s="16">
        <v>0.045304207368663946</v>
      </c>
      <c r="I765" s="17">
        <v>11.077070994538882</v>
      </c>
      <c r="J765" s="16">
        <v>1.2973568281938326</v>
      </c>
      <c r="K765" s="16">
        <v>0.7432540589983992</v>
      </c>
      <c r="L765" s="16">
        <v>0.0</v>
      </c>
      <c r="M765" s="16">
        <v>0.1111111111111111</v>
      </c>
      <c r="N765" s="16">
        <v>0.6666666666666666</v>
      </c>
      <c r="O765" s="16">
        <v>0.3333333333333333</v>
      </c>
      <c r="P765" s="35">
        <v>46062.302615740744</v>
      </c>
    </row>
    <row r="766">
      <c r="A766" s="33">
        <v>46062.0</v>
      </c>
      <c r="B766" s="1" t="s">
        <v>60</v>
      </c>
      <c r="D766" s="1" t="s">
        <v>31</v>
      </c>
      <c r="E766" s="34">
        <v>63.0</v>
      </c>
      <c r="F766" s="34">
        <v>274.0</v>
      </c>
      <c r="G766" s="15">
        <v>7390.0</v>
      </c>
      <c r="H766" s="16">
        <v>0.03707713125845737</v>
      </c>
      <c r="I766" s="17">
        <v>8.485791610284167</v>
      </c>
      <c r="J766" s="16">
        <v>2.2459016393442623</v>
      </c>
      <c r="K766" s="16">
        <v>0.7240838722320204</v>
      </c>
      <c r="L766" s="16">
        <v>0.047619047619047616</v>
      </c>
      <c r="M766" s="16">
        <v>0.047619047619047616</v>
      </c>
      <c r="N766" s="16">
        <v>0.4126984126984127</v>
      </c>
      <c r="O766" s="16">
        <v>0.1111111111111111</v>
      </c>
      <c r="P766" s="35">
        <v>46062.302615740744</v>
      </c>
    </row>
    <row r="767">
      <c r="A767" s="33">
        <v>46062.0</v>
      </c>
      <c r="B767" s="1" t="s">
        <v>60</v>
      </c>
      <c r="D767" s="1" t="s">
        <v>32</v>
      </c>
      <c r="E767" s="34">
        <v>562.0</v>
      </c>
      <c r="F767" s="34">
        <v>20647.0</v>
      </c>
      <c r="G767" s="15">
        <v>1833062.0</v>
      </c>
      <c r="H767" s="16">
        <v>0.011263667022719363</v>
      </c>
      <c r="I767" s="17">
        <v>4.6069265524024825</v>
      </c>
      <c r="J767" s="16">
        <v>1.46588569400071</v>
      </c>
      <c r="K767" s="16">
        <v>3.4930303729012513</v>
      </c>
      <c r="L767" s="16">
        <v>0.0800711743772242</v>
      </c>
      <c r="M767" s="16">
        <v>0.30604982206405695</v>
      </c>
      <c r="N767" s="16">
        <v>0.45195729537366547</v>
      </c>
      <c r="O767" s="16">
        <v>0.19395017793594305</v>
      </c>
      <c r="P767" s="35">
        <v>46062.302615740744</v>
      </c>
    </row>
    <row r="768">
      <c r="A768" s="33">
        <v>46062.0</v>
      </c>
      <c r="B768" s="1" t="s">
        <v>60</v>
      </c>
      <c r="D768" s="1" t="s">
        <v>33</v>
      </c>
      <c r="E768" s="34">
        <v>105.0</v>
      </c>
      <c r="F768" s="34">
        <v>362.0</v>
      </c>
      <c r="G768" s="15">
        <v>30566.0</v>
      </c>
      <c r="H768" s="16">
        <v>0.011843224497808022</v>
      </c>
      <c r="I768" s="17">
        <v>4.825426944971537</v>
      </c>
      <c r="J768" s="16">
        <v>0.8660287081339713</v>
      </c>
      <c r="K768" s="16">
        <v>3.43438202247191</v>
      </c>
      <c r="L768" s="16">
        <v>0.0761904761904762</v>
      </c>
      <c r="M768" s="16">
        <v>0.09523809523809523</v>
      </c>
      <c r="N768" s="16">
        <v>0.3047619047619048</v>
      </c>
      <c r="O768" s="16">
        <v>0.047619047619047616</v>
      </c>
      <c r="P768" s="35">
        <v>46062.302615740744</v>
      </c>
    </row>
    <row r="769">
      <c r="A769" s="33">
        <v>46062.0</v>
      </c>
      <c r="B769" s="1" t="s">
        <v>60</v>
      </c>
      <c r="D769" s="1" t="s">
        <v>34</v>
      </c>
      <c r="E769" s="34">
        <v>89.0</v>
      </c>
      <c r="F769" s="34">
        <v>26.0</v>
      </c>
      <c r="G769" s="15">
        <v>1222.0</v>
      </c>
      <c r="H769" s="16">
        <v>0.02127659574468085</v>
      </c>
      <c r="I769" s="17">
        <v>8.585924713584289</v>
      </c>
      <c r="J769" s="16">
        <v>1.7333333333333334</v>
      </c>
      <c r="K769" s="16">
        <v>0.42401110340041637</v>
      </c>
      <c r="L769" s="16">
        <v>0.02247191011235955</v>
      </c>
      <c r="M769" s="16">
        <v>0.02247191011235955</v>
      </c>
      <c r="N769" s="16">
        <v>0.0898876404494382</v>
      </c>
      <c r="O769" s="16">
        <v>0.0449438202247191</v>
      </c>
      <c r="P769" s="35">
        <v>46062.302615740744</v>
      </c>
    </row>
    <row r="770">
      <c r="A770" s="33">
        <v>46063.0</v>
      </c>
      <c r="B770" s="1" t="s">
        <v>57</v>
      </c>
      <c r="D770" s="1"/>
      <c r="E770" s="34">
        <v>1166.0</v>
      </c>
      <c r="F770" s="34">
        <v>21918.0</v>
      </c>
      <c r="G770" s="15">
        <v>1880021.0</v>
      </c>
      <c r="H770" s="16">
        <v>0.011658380411708167</v>
      </c>
      <c r="I770" s="17">
        <v>4.656412348585468</v>
      </c>
      <c r="J770" s="16">
        <v>1.4491239669421487</v>
      </c>
      <c r="K770" s="16">
        <v>3.291376340170449</v>
      </c>
      <c r="L770" s="16">
        <v>0.05317324185248713</v>
      </c>
      <c r="M770" s="16">
        <v>0.16380789022298456</v>
      </c>
      <c r="N770" s="16">
        <v>0.29759862778730706</v>
      </c>
      <c r="O770" s="16">
        <v>0.12950257289879932</v>
      </c>
      <c r="P770" s="35">
        <v>46063.30263888889</v>
      </c>
    </row>
    <row r="771">
      <c r="A771" s="33">
        <v>46063.0</v>
      </c>
      <c r="B771" s="1" t="s">
        <v>58</v>
      </c>
      <c r="D771" s="1"/>
      <c r="E771" s="34">
        <v>828.0</v>
      </c>
      <c r="F771" s="34">
        <v>21801.0</v>
      </c>
      <c r="G771" s="15">
        <v>1877660.0</v>
      </c>
      <c r="H771" s="16">
        <v>0.011610728246860455</v>
      </c>
      <c r="I771" s="17">
        <v>4.656012803169903</v>
      </c>
      <c r="J771" s="16">
        <v>1.4527220630372493</v>
      </c>
      <c r="K771" s="16">
        <v>3.3590044955840233</v>
      </c>
      <c r="L771" s="16">
        <v>0.06884057971014493</v>
      </c>
      <c r="M771" s="16">
        <v>0.2246376811594203</v>
      </c>
      <c r="N771" s="16">
        <v>0.39371980676328505</v>
      </c>
      <c r="O771" s="16">
        <v>0.1606280193236715</v>
      </c>
      <c r="P771" s="35">
        <v>46063.30263888889</v>
      </c>
    </row>
    <row r="772">
      <c r="A772" s="33">
        <v>46063.0</v>
      </c>
      <c r="B772" s="1" t="s">
        <v>59</v>
      </c>
      <c r="C772" s="3" t="s">
        <v>2</v>
      </c>
      <c r="D772" s="1"/>
      <c r="E772" s="34">
        <v>133.0</v>
      </c>
      <c r="F772" s="34">
        <v>1495.0</v>
      </c>
      <c r="G772" s="15">
        <v>131158.0</v>
      </c>
      <c r="H772" s="16">
        <v>0.011398465972338706</v>
      </c>
      <c r="I772" s="17">
        <v>4.545029658884704</v>
      </c>
      <c r="J772" s="16">
        <v>4.283667621776504</v>
      </c>
      <c r="K772" s="16">
        <v>6.353015257931703</v>
      </c>
      <c r="L772" s="16">
        <v>0.03007518796992481</v>
      </c>
      <c r="M772" s="16">
        <v>0.06015037593984962</v>
      </c>
      <c r="N772" s="16">
        <v>0.40601503759398494</v>
      </c>
      <c r="O772" s="16">
        <v>0.09774436090225563</v>
      </c>
      <c r="P772" s="35">
        <v>46063.30263888889</v>
      </c>
    </row>
    <row r="773">
      <c r="A773" s="33">
        <v>46063.0</v>
      </c>
      <c r="B773" s="1" t="s">
        <v>59</v>
      </c>
      <c r="C773" s="1" t="s">
        <v>3</v>
      </c>
      <c r="D773" s="1"/>
      <c r="E773" s="34">
        <v>185.0</v>
      </c>
      <c r="F773" s="34">
        <v>1444.0</v>
      </c>
      <c r="G773" s="15">
        <v>57671.0</v>
      </c>
      <c r="H773" s="16">
        <v>0.025038580915884935</v>
      </c>
      <c r="I773" s="17">
        <v>5.92816146763538</v>
      </c>
      <c r="J773" s="16">
        <v>1.7871287128712872</v>
      </c>
      <c r="K773" s="16">
        <v>2.6871214239120307</v>
      </c>
      <c r="L773" s="16">
        <v>0.05945945945945946</v>
      </c>
      <c r="M773" s="16">
        <v>0.07567567567567568</v>
      </c>
      <c r="N773" s="16">
        <v>0.3945945945945946</v>
      </c>
      <c r="O773" s="16">
        <v>0.07027027027027027</v>
      </c>
      <c r="P773" s="35">
        <v>46063.30263888889</v>
      </c>
    </row>
    <row r="774">
      <c r="A774" s="33">
        <v>46063.0</v>
      </c>
      <c r="B774" s="1" t="s">
        <v>59</v>
      </c>
      <c r="C774" s="3" t="s">
        <v>4</v>
      </c>
      <c r="D774" s="1"/>
      <c r="E774" s="34">
        <v>105.0</v>
      </c>
      <c r="F774" s="34">
        <v>1055.0</v>
      </c>
      <c r="G774" s="15">
        <v>43381.0</v>
      </c>
      <c r="H774" s="16">
        <v>0.024319402503400107</v>
      </c>
      <c r="I774" s="17">
        <v>4.678499804061686</v>
      </c>
      <c r="J774" s="16">
        <v>1.6536050156739812</v>
      </c>
      <c r="K774" s="16">
        <v>2.541359109548916</v>
      </c>
      <c r="L774" s="16">
        <v>0.047619047619047616</v>
      </c>
      <c r="M774" s="16">
        <v>0.10476190476190476</v>
      </c>
      <c r="N774" s="16">
        <v>0.23809523809523808</v>
      </c>
      <c r="O774" s="16">
        <v>0.13333333333333333</v>
      </c>
      <c r="P774" s="35">
        <v>46063.30263888889</v>
      </c>
    </row>
    <row r="775">
      <c r="A775" s="33">
        <v>46063.0</v>
      </c>
      <c r="B775" s="1" t="s">
        <v>59</v>
      </c>
      <c r="C775" s="3" t="s">
        <v>5</v>
      </c>
      <c r="D775" s="1"/>
      <c r="E775" s="34">
        <v>40.0</v>
      </c>
      <c r="F775" s="34">
        <v>5903.0</v>
      </c>
      <c r="G775" s="15">
        <v>71642.0</v>
      </c>
      <c r="H775" s="16">
        <v>0.0823958013455794</v>
      </c>
      <c r="I775" s="17">
        <v>5.2589542447167865</v>
      </c>
      <c r="J775" s="16">
        <v>0.943121904457581</v>
      </c>
      <c r="K775" s="16">
        <v>1.6932239843066814</v>
      </c>
      <c r="L775" s="16">
        <v>0.1</v>
      </c>
      <c r="M775" s="16">
        <v>0.125</v>
      </c>
      <c r="N775" s="16">
        <v>0.2</v>
      </c>
      <c r="O775" s="16">
        <v>0.075</v>
      </c>
      <c r="P775" s="35">
        <v>46063.30263888889</v>
      </c>
    </row>
    <row r="776">
      <c r="A776" s="33">
        <v>46063.0</v>
      </c>
      <c r="B776" s="1" t="s">
        <v>59</v>
      </c>
      <c r="C776" s="3" t="s">
        <v>6</v>
      </c>
      <c r="D776" s="1"/>
      <c r="E776" s="34">
        <v>29.0</v>
      </c>
      <c r="F776" s="34">
        <v>5952.0</v>
      </c>
      <c r="G776" s="15">
        <v>420970.0</v>
      </c>
      <c r="H776" s="16">
        <v>0.014138774734541653</v>
      </c>
      <c r="I776" s="17">
        <v>4.565850298121006</v>
      </c>
      <c r="J776" s="16">
        <v>1.2849740932642486</v>
      </c>
      <c r="K776" s="16">
        <v>1.7366820820217905</v>
      </c>
      <c r="L776" s="16">
        <v>0.0</v>
      </c>
      <c r="M776" s="16">
        <v>0.0</v>
      </c>
      <c r="N776" s="16">
        <v>0.6896551724137931</v>
      </c>
      <c r="O776" s="16">
        <v>0.27586206896551724</v>
      </c>
      <c r="P776" s="35">
        <v>46063.30263888889</v>
      </c>
    </row>
    <row r="777">
      <c r="A777" s="33">
        <v>46063.0</v>
      </c>
      <c r="B777" s="1" t="s">
        <v>59</v>
      </c>
      <c r="C777" s="3" t="s">
        <v>7</v>
      </c>
      <c r="D777" s="1"/>
      <c r="E777" s="34">
        <v>130.0</v>
      </c>
      <c r="F777" s="34">
        <v>1346.0</v>
      </c>
      <c r="G777" s="15">
        <v>279635.0</v>
      </c>
      <c r="H777" s="16">
        <v>0.004813417490657464</v>
      </c>
      <c r="I777" s="17">
        <v>4.274793927798737</v>
      </c>
      <c r="J777" s="16">
        <v>2.2969283276450514</v>
      </c>
      <c r="K777" s="16">
        <v>8.284745059698396</v>
      </c>
      <c r="L777" s="16">
        <v>0.06153846153846154</v>
      </c>
      <c r="M777" s="16">
        <v>0.4846153846153846</v>
      </c>
      <c r="N777" s="16">
        <v>0.5230769230769231</v>
      </c>
      <c r="O777" s="16">
        <v>0.25384615384615383</v>
      </c>
      <c r="P777" s="35">
        <v>46063.30263888889</v>
      </c>
    </row>
    <row r="778">
      <c r="A778" s="33">
        <v>46063.0</v>
      </c>
      <c r="B778" s="1" t="s">
        <v>59</v>
      </c>
      <c r="C778" s="3" t="s">
        <v>8</v>
      </c>
      <c r="D778" s="1"/>
      <c r="E778" s="34">
        <v>119.0</v>
      </c>
      <c r="F778" s="34">
        <v>1126.0</v>
      </c>
      <c r="G778" s="15">
        <v>384732.0</v>
      </c>
      <c r="H778" s="16">
        <v>0.0029267126207333937</v>
      </c>
      <c r="I778" s="17">
        <v>5.134802927752306</v>
      </c>
      <c r="J778" s="16">
        <v>0.9868536371603857</v>
      </c>
      <c r="K778" s="16">
        <v>3.153204986353913</v>
      </c>
      <c r="L778" s="16">
        <v>0.19327731092436976</v>
      </c>
      <c r="M778" s="16">
        <v>0.5882352941176471</v>
      </c>
      <c r="N778" s="16">
        <v>0.46218487394957986</v>
      </c>
      <c r="O778" s="16">
        <v>0.2184873949579832</v>
      </c>
      <c r="P778" s="35">
        <v>46063.30263888889</v>
      </c>
    </row>
    <row r="779">
      <c r="A779" s="33">
        <v>46063.0</v>
      </c>
      <c r="B779" s="1" t="s">
        <v>59</v>
      </c>
      <c r="C779" s="3" t="s">
        <v>9</v>
      </c>
      <c r="D779" s="1"/>
      <c r="E779" s="34">
        <v>11.0</v>
      </c>
      <c r="F779" s="34">
        <v>13.0</v>
      </c>
      <c r="G779" s="15">
        <v>576.0</v>
      </c>
      <c r="H779" s="16">
        <v>0.022569444444444444</v>
      </c>
      <c r="I779" s="17">
        <v>14.690972222222221</v>
      </c>
      <c r="J779" s="16">
        <v>1.625</v>
      </c>
      <c r="K779" s="16">
        <v>2.782608695652174</v>
      </c>
      <c r="L779" s="16">
        <v>0.09090909090909091</v>
      </c>
      <c r="M779" s="16">
        <v>0.09090909090909091</v>
      </c>
      <c r="N779" s="16">
        <v>0.18181818181818182</v>
      </c>
      <c r="O779" s="16">
        <v>0.18181818181818182</v>
      </c>
      <c r="P779" s="35">
        <v>46063.30263888889</v>
      </c>
    </row>
    <row r="780">
      <c r="A780" s="33">
        <v>46063.0</v>
      </c>
      <c r="B780" s="1" t="s">
        <v>59</v>
      </c>
      <c r="C780" s="3" t="s">
        <v>10</v>
      </c>
      <c r="D780" s="1"/>
      <c r="E780" s="34">
        <v>76.0</v>
      </c>
      <c r="F780" s="34">
        <v>3467.0</v>
      </c>
      <c r="G780" s="15">
        <v>487895.0</v>
      </c>
      <c r="H780" s="16">
        <v>0.007106037159634758</v>
      </c>
      <c r="I780" s="17">
        <v>4.351829799444553</v>
      </c>
      <c r="J780" s="16">
        <v>5.916382252559727</v>
      </c>
      <c r="K780" s="16">
        <v>8.25080750173338</v>
      </c>
      <c r="L780" s="16">
        <v>0.013157894736842105</v>
      </c>
      <c r="M780" s="16">
        <v>0.18421052631578946</v>
      </c>
      <c r="N780" s="16">
        <v>0.27631578947368424</v>
      </c>
      <c r="O780" s="16">
        <v>0.27631578947368424</v>
      </c>
      <c r="P780" s="35">
        <v>46063.30263888889</v>
      </c>
    </row>
    <row r="781">
      <c r="A781" s="33">
        <v>46063.0</v>
      </c>
      <c r="B781" s="1" t="s">
        <v>60</v>
      </c>
      <c r="D781" s="1" t="s">
        <v>30</v>
      </c>
      <c r="E781" s="34">
        <v>9.0</v>
      </c>
      <c r="F781" s="34">
        <v>601.0</v>
      </c>
      <c r="G781" s="15">
        <v>13149.0</v>
      </c>
      <c r="H781" s="16">
        <v>0.045706897862955356</v>
      </c>
      <c r="I781" s="17">
        <v>10.97634801125561</v>
      </c>
      <c r="J781" s="16">
        <v>1.29247311827957</v>
      </c>
      <c r="K781" s="16">
        <v>0.7479096752175645</v>
      </c>
      <c r="L781" s="16">
        <v>0.0</v>
      </c>
      <c r="M781" s="16">
        <v>0.1111111111111111</v>
      </c>
      <c r="N781" s="16">
        <v>0.6666666666666666</v>
      </c>
      <c r="O781" s="16">
        <v>0.3333333333333333</v>
      </c>
      <c r="P781" s="35">
        <v>46063.30263888889</v>
      </c>
    </row>
    <row r="782">
      <c r="A782" s="33">
        <v>46063.0</v>
      </c>
      <c r="B782" s="1" t="s">
        <v>60</v>
      </c>
      <c r="D782" s="1" t="s">
        <v>31</v>
      </c>
      <c r="E782" s="34">
        <v>63.0</v>
      </c>
      <c r="F782" s="34">
        <v>269.0</v>
      </c>
      <c r="G782" s="15">
        <v>7426.0</v>
      </c>
      <c r="H782" s="16">
        <v>0.03622407756531107</v>
      </c>
      <c r="I782" s="17">
        <v>8.470374360355507</v>
      </c>
      <c r="J782" s="16">
        <v>2.1693548387096775</v>
      </c>
      <c r="K782" s="16">
        <v>0.722443817491974</v>
      </c>
      <c r="L782" s="16">
        <v>0.09523809523809523</v>
      </c>
      <c r="M782" s="16">
        <v>0.09523809523809523</v>
      </c>
      <c r="N782" s="16">
        <v>0.3968253968253968</v>
      </c>
      <c r="O782" s="16">
        <v>0.12698412698412698</v>
      </c>
      <c r="P782" s="35">
        <v>46063.30263888889</v>
      </c>
    </row>
    <row r="783">
      <c r="A783" s="33">
        <v>46063.0</v>
      </c>
      <c r="B783" s="1" t="s">
        <v>60</v>
      </c>
      <c r="D783" s="1" t="s">
        <v>32</v>
      </c>
      <c r="E783" s="34">
        <v>562.0</v>
      </c>
      <c r="F783" s="34">
        <v>20550.0</v>
      </c>
      <c r="G783" s="15">
        <v>1825300.0</v>
      </c>
      <c r="H783" s="16">
        <v>0.011258423272886649</v>
      </c>
      <c r="I783" s="17">
        <v>4.589956171588232</v>
      </c>
      <c r="J783" s="16">
        <v>1.4690113660733433</v>
      </c>
      <c r="K783" s="16">
        <v>3.5141389560583423</v>
      </c>
      <c r="L783" s="16">
        <v>0.07651245551601424</v>
      </c>
      <c r="M783" s="16">
        <v>0.298932384341637</v>
      </c>
      <c r="N783" s="16">
        <v>0.45373665480427045</v>
      </c>
      <c r="O783" s="16">
        <v>0.199288256227758</v>
      </c>
      <c r="P783" s="35">
        <v>46063.30263888889</v>
      </c>
    </row>
    <row r="784">
      <c r="A784" s="33">
        <v>46063.0</v>
      </c>
      <c r="B784" s="1" t="s">
        <v>60</v>
      </c>
      <c r="D784" s="1" t="s">
        <v>33</v>
      </c>
      <c r="E784" s="34">
        <v>105.0</v>
      </c>
      <c r="F784" s="34">
        <v>354.0</v>
      </c>
      <c r="G784" s="15">
        <v>30525.0</v>
      </c>
      <c r="H784" s="16">
        <v>0.011597051597051596</v>
      </c>
      <c r="I784" s="17">
        <v>4.795085995085995</v>
      </c>
      <c r="J784" s="16">
        <v>0.8571428571428571</v>
      </c>
      <c r="K784" s="16">
        <v>3.45657343449213</v>
      </c>
      <c r="L784" s="16">
        <v>0.05714285714285714</v>
      </c>
      <c r="M784" s="16">
        <v>0.08571428571428572</v>
      </c>
      <c r="N784" s="16">
        <v>0.3142857142857143</v>
      </c>
      <c r="O784" s="16">
        <v>0.047619047619047616</v>
      </c>
      <c r="P784" s="35">
        <v>46063.30263888889</v>
      </c>
    </row>
    <row r="785">
      <c r="A785" s="33">
        <v>46063.0</v>
      </c>
      <c r="B785" s="1" t="s">
        <v>60</v>
      </c>
      <c r="D785" s="1" t="s">
        <v>34</v>
      </c>
      <c r="E785" s="34">
        <v>89.0</v>
      </c>
      <c r="F785" s="34">
        <v>27.0</v>
      </c>
      <c r="G785" s="15">
        <v>1260.0</v>
      </c>
      <c r="H785" s="16">
        <v>0.02142857142857143</v>
      </c>
      <c r="I785" s="17">
        <v>8.542063492063493</v>
      </c>
      <c r="J785" s="16">
        <v>1.6875</v>
      </c>
      <c r="K785" s="16">
        <v>0.4365904365904366</v>
      </c>
      <c r="L785" s="16">
        <v>0.02247191011235955</v>
      </c>
      <c r="M785" s="16">
        <v>0.02247191011235955</v>
      </c>
      <c r="N785" s="16">
        <v>0.07865168539325842</v>
      </c>
      <c r="O785" s="16">
        <v>0.056179775280898875</v>
      </c>
      <c r="P785" s="35">
        <v>46063.30263888889</v>
      </c>
    </row>
    <row r="786">
      <c r="A786" s="33">
        <v>46064.0</v>
      </c>
      <c r="B786" s="1" t="s">
        <v>57</v>
      </c>
      <c r="D786" s="1"/>
      <c r="E786" s="34">
        <v>1166.0</v>
      </c>
      <c r="F786" s="34">
        <v>22070.0</v>
      </c>
      <c r="G786" s="15">
        <v>1892383.0</v>
      </c>
      <c r="H786" s="16">
        <v>0.011662543998757123</v>
      </c>
      <c r="I786" s="17">
        <v>4.654226972024162</v>
      </c>
      <c r="J786" s="16">
        <v>1.458498546127412</v>
      </c>
      <c r="K786" s="16">
        <v>3.3270386733920665</v>
      </c>
      <c r="L786" s="16">
        <v>0.0548885077186964</v>
      </c>
      <c r="M786" s="16">
        <v>0.16295025728987994</v>
      </c>
      <c r="N786" s="16">
        <v>0.30102915951972553</v>
      </c>
      <c r="O786" s="16">
        <v>0.12521440823327615</v>
      </c>
      <c r="P786" s="35">
        <v>46064.30269675926</v>
      </c>
    </row>
    <row r="787">
      <c r="A787" s="33">
        <v>46064.0</v>
      </c>
      <c r="B787" s="1" t="s">
        <v>58</v>
      </c>
      <c r="D787" s="1"/>
      <c r="E787" s="34">
        <v>828.0</v>
      </c>
      <c r="F787" s="34">
        <v>21949.0</v>
      </c>
      <c r="G787" s="15">
        <v>1889994.0</v>
      </c>
      <c r="H787" s="16">
        <v>0.011613264380733485</v>
      </c>
      <c r="I787" s="17">
        <v>4.653820594139452</v>
      </c>
      <c r="J787" s="16">
        <v>1.4618048618048618</v>
      </c>
      <c r="K787" s="16">
        <v>3.396246147764131</v>
      </c>
      <c r="L787" s="16">
        <v>0.07125603864734299</v>
      </c>
      <c r="M787" s="16">
        <v>0.22342995169082125</v>
      </c>
      <c r="N787" s="16">
        <v>0.3973429951690821</v>
      </c>
      <c r="O787" s="16">
        <v>0.15579710144927536</v>
      </c>
      <c r="P787" s="35">
        <v>46064.30269675926</v>
      </c>
    </row>
    <row r="788">
      <c r="A788" s="33">
        <v>46064.0</v>
      </c>
      <c r="B788" s="1" t="s">
        <v>59</v>
      </c>
      <c r="C788" s="3" t="s">
        <v>2</v>
      </c>
      <c r="D788" s="1"/>
      <c r="E788" s="34">
        <v>133.0</v>
      </c>
      <c r="F788" s="34">
        <v>1497.0</v>
      </c>
      <c r="G788" s="15">
        <v>132149.0</v>
      </c>
      <c r="H788" s="16">
        <v>0.011328122044056331</v>
      </c>
      <c r="I788" s="17">
        <v>4.5221530242377925</v>
      </c>
      <c r="J788" s="16">
        <v>4.264957264957265</v>
      </c>
      <c r="K788" s="16">
        <v>6.401637358911011</v>
      </c>
      <c r="L788" s="16">
        <v>0.03759398496240601</v>
      </c>
      <c r="M788" s="16">
        <v>0.06766917293233082</v>
      </c>
      <c r="N788" s="16">
        <v>0.40601503759398494</v>
      </c>
      <c r="O788" s="16">
        <v>0.10526315789473684</v>
      </c>
      <c r="P788" s="35">
        <v>46064.30269675926</v>
      </c>
    </row>
    <row r="789">
      <c r="A789" s="33">
        <v>46064.0</v>
      </c>
      <c r="B789" s="1" t="s">
        <v>59</v>
      </c>
      <c r="C789" s="1" t="s">
        <v>3</v>
      </c>
      <c r="D789" s="1"/>
      <c r="E789" s="34">
        <v>185.0</v>
      </c>
      <c r="F789" s="34">
        <v>1453.0</v>
      </c>
      <c r="G789" s="15">
        <v>58688.0</v>
      </c>
      <c r="H789" s="16">
        <v>0.024758042529989095</v>
      </c>
      <c r="I789" s="17">
        <v>5.8815601145038165</v>
      </c>
      <c r="J789" s="16">
        <v>1.7982673267326732</v>
      </c>
      <c r="K789" s="16">
        <v>2.7581539618385187</v>
      </c>
      <c r="L789" s="16">
        <v>0.06486486486486487</v>
      </c>
      <c r="M789" s="16">
        <v>0.08108108108108109</v>
      </c>
      <c r="N789" s="16">
        <v>0.3891891891891892</v>
      </c>
      <c r="O789" s="16">
        <v>0.07567567567567568</v>
      </c>
      <c r="P789" s="35">
        <v>46064.30269675926</v>
      </c>
    </row>
    <row r="790">
      <c r="A790" s="33">
        <v>46064.0</v>
      </c>
      <c r="B790" s="1" t="s">
        <v>59</v>
      </c>
      <c r="C790" s="3" t="s">
        <v>4</v>
      </c>
      <c r="D790" s="1"/>
      <c r="E790" s="34">
        <v>105.0</v>
      </c>
      <c r="F790" s="34">
        <v>1083.0</v>
      </c>
      <c r="G790" s="15">
        <v>44119.0</v>
      </c>
      <c r="H790" s="16">
        <v>0.024547247217751988</v>
      </c>
      <c r="I790" s="17">
        <v>4.650898705773023</v>
      </c>
      <c r="J790" s="16">
        <v>1.6974921630094044</v>
      </c>
      <c r="K790" s="16">
        <v>2.581719234595354</v>
      </c>
      <c r="L790" s="16">
        <v>0.05714285714285714</v>
      </c>
      <c r="M790" s="16">
        <v>0.09523809523809523</v>
      </c>
      <c r="N790" s="16">
        <v>0.23809523809523808</v>
      </c>
      <c r="O790" s="16">
        <v>0.12380952380952381</v>
      </c>
      <c r="P790" s="35">
        <v>46064.30269675926</v>
      </c>
    </row>
    <row r="791">
      <c r="A791" s="33">
        <v>46064.0</v>
      </c>
      <c r="B791" s="1" t="s">
        <v>59</v>
      </c>
      <c r="C791" s="3" t="s">
        <v>5</v>
      </c>
      <c r="D791" s="1"/>
      <c r="E791" s="34">
        <v>40.0</v>
      </c>
      <c r="F791" s="34">
        <v>5987.0</v>
      </c>
      <c r="G791" s="15">
        <v>71386.0</v>
      </c>
      <c r="H791" s="16">
        <v>0.08386798531925027</v>
      </c>
      <c r="I791" s="17">
        <v>5.283416916482223</v>
      </c>
      <c r="J791" s="16">
        <v>0.952282487672976</v>
      </c>
      <c r="K791" s="16">
        <v>1.6805800786307885</v>
      </c>
      <c r="L791" s="16">
        <v>0.1</v>
      </c>
      <c r="M791" s="16">
        <v>0.125</v>
      </c>
      <c r="N791" s="16">
        <v>0.2</v>
      </c>
      <c r="O791" s="16">
        <v>0.075</v>
      </c>
      <c r="P791" s="35">
        <v>46064.30269675926</v>
      </c>
    </row>
    <row r="792">
      <c r="A792" s="33">
        <v>46064.0</v>
      </c>
      <c r="B792" s="1" t="s">
        <v>59</v>
      </c>
      <c r="C792" s="3" t="s">
        <v>6</v>
      </c>
      <c r="D792" s="1"/>
      <c r="E792" s="34">
        <v>29.0</v>
      </c>
      <c r="F792" s="34">
        <v>5939.0</v>
      </c>
      <c r="G792" s="15">
        <v>418611.0</v>
      </c>
      <c r="H792" s="16">
        <v>0.014187395935606088</v>
      </c>
      <c r="I792" s="17">
        <v>4.585732338615086</v>
      </c>
      <c r="J792" s="16">
        <v>1.288565849425038</v>
      </c>
      <c r="K792" s="16">
        <v>1.7439799693374216</v>
      </c>
      <c r="L792" s="16">
        <v>0.0</v>
      </c>
      <c r="M792" s="16">
        <v>0.0</v>
      </c>
      <c r="N792" s="16">
        <v>0.6551724137931034</v>
      </c>
      <c r="O792" s="16">
        <v>0.3103448275862069</v>
      </c>
      <c r="P792" s="35">
        <v>46064.30269675926</v>
      </c>
    </row>
    <row r="793">
      <c r="A793" s="33">
        <v>46064.0</v>
      </c>
      <c r="B793" s="1" t="s">
        <v>59</v>
      </c>
      <c r="C793" s="3" t="s">
        <v>7</v>
      </c>
      <c r="D793" s="1"/>
      <c r="E793" s="34">
        <v>130.0</v>
      </c>
      <c r="F793" s="34">
        <v>1363.0</v>
      </c>
      <c r="G793" s="15">
        <v>283943.0</v>
      </c>
      <c r="H793" s="16">
        <v>0.0048002592069535084</v>
      </c>
      <c r="I793" s="17">
        <v>4.241597785471027</v>
      </c>
      <c r="J793" s="16">
        <v>2.3379073756432245</v>
      </c>
      <c r="K793" s="16">
        <v>8.452193844138835</v>
      </c>
      <c r="L793" s="16">
        <v>0.06153846153846154</v>
      </c>
      <c r="M793" s="16">
        <v>0.47692307692307695</v>
      </c>
      <c r="N793" s="16">
        <v>0.5461538461538461</v>
      </c>
      <c r="O793" s="16">
        <v>0.23076923076923078</v>
      </c>
      <c r="P793" s="35">
        <v>46064.30269675926</v>
      </c>
    </row>
    <row r="794">
      <c r="A794" s="33">
        <v>46064.0</v>
      </c>
      <c r="B794" s="1" t="s">
        <v>59</v>
      </c>
      <c r="C794" s="3" t="s">
        <v>8</v>
      </c>
      <c r="D794" s="1"/>
      <c r="E794" s="34">
        <v>119.0</v>
      </c>
      <c r="F794" s="34">
        <v>1146.0</v>
      </c>
      <c r="G794" s="15">
        <v>389402.0</v>
      </c>
      <c r="H794" s="16">
        <v>0.002942974098746283</v>
      </c>
      <c r="I794" s="17">
        <v>5.1213835573520425</v>
      </c>
      <c r="J794" s="16">
        <v>1.0026246719160106</v>
      </c>
      <c r="K794" s="16">
        <v>3.1992671464721156</v>
      </c>
      <c r="L794" s="16">
        <v>0.18487394957983194</v>
      </c>
      <c r="M794" s="16">
        <v>0.5882352941176471</v>
      </c>
      <c r="N794" s="16">
        <v>0.4789915966386555</v>
      </c>
      <c r="O794" s="16">
        <v>0.20168067226890757</v>
      </c>
      <c r="P794" s="35">
        <v>46064.30269675926</v>
      </c>
    </row>
    <row r="795">
      <c r="A795" s="33">
        <v>46064.0</v>
      </c>
      <c r="B795" s="1" t="s">
        <v>59</v>
      </c>
      <c r="C795" s="3" t="s">
        <v>9</v>
      </c>
      <c r="D795" s="1"/>
      <c r="E795" s="34">
        <v>11.0</v>
      </c>
      <c r="F795" s="34">
        <v>15.0</v>
      </c>
      <c r="G795" s="15">
        <v>584.0</v>
      </c>
      <c r="H795" s="16">
        <v>0.025684931506849314</v>
      </c>
      <c r="I795" s="17">
        <v>14.169520547945206</v>
      </c>
      <c r="J795" s="16">
        <v>1.875</v>
      </c>
      <c r="K795" s="16">
        <v>2.7677725118483414</v>
      </c>
      <c r="L795" s="16">
        <v>0.09090909090909091</v>
      </c>
      <c r="M795" s="16">
        <v>0.09090909090909091</v>
      </c>
      <c r="N795" s="16">
        <v>0.18181818181818182</v>
      </c>
      <c r="O795" s="16">
        <v>0.09090909090909091</v>
      </c>
      <c r="P795" s="35">
        <v>46064.30269675926</v>
      </c>
    </row>
    <row r="796">
      <c r="A796" s="33">
        <v>46064.0</v>
      </c>
      <c r="B796" s="1" t="s">
        <v>59</v>
      </c>
      <c r="C796" s="3" t="s">
        <v>10</v>
      </c>
      <c r="D796" s="1"/>
      <c r="E796" s="34">
        <v>76.0</v>
      </c>
      <c r="F796" s="34">
        <v>3466.0</v>
      </c>
      <c r="G796" s="15">
        <v>491112.0</v>
      </c>
      <c r="H796" s="16">
        <v>0.007057453289677304</v>
      </c>
      <c r="I796" s="17">
        <v>4.3656049943801</v>
      </c>
      <c r="J796" s="16">
        <v>5.894557823129252</v>
      </c>
      <c r="K796" s="16">
        <v>8.260230426372887</v>
      </c>
      <c r="L796" s="16">
        <v>0.013157894736842105</v>
      </c>
      <c r="M796" s="16">
        <v>0.17105263157894737</v>
      </c>
      <c r="N796" s="16">
        <v>0.27631578947368424</v>
      </c>
      <c r="O796" s="16">
        <v>0.27631578947368424</v>
      </c>
      <c r="P796" s="35">
        <v>46064.30269675926</v>
      </c>
    </row>
    <row r="797">
      <c r="A797" s="33">
        <v>46064.0</v>
      </c>
      <c r="B797" s="1" t="s">
        <v>60</v>
      </c>
      <c r="D797" s="1" t="s">
        <v>30</v>
      </c>
      <c r="E797" s="34">
        <v>9.0</v>
      </c>
      <c r="F797" s="34">
        <v>610.0</v>
      </c>
      <c r="G797" s="15">
        <v>13266.0</v>
      </c>
      <c r="H797" s="16">
        <v>0.04598221016131464</v>
      </c>
      <c r="I797" s="17">
        <v>10.832654907281773</v>
      </c>
      <c r="J797" s="16">
        <v>1.297872340425532</v>
      </c>
      <c r="K797" s="16">
        <v>0.7583171373042186</v>
      </c>
      <c r="L797" s="16">
        <v>0.0</v>
      </c>
      <c r="M797" s="16">
        <v>0.1111111111111111</v>
      </c>
      <c r="N797" s="16">
        <v>0.6666666666666666</v>
      </c>
      <c r="O797" s="16">
        <v>0.3333333333333333</v>
      </c>
      <c r="P797" s="35">
        <v>46064.30269675926</v>
      </c>
    </row>
    <row r="798">
      <c r="A798" s="33">
        <v>46064.0</v>
      </c>
      <c r="B798" s="1" t="s">
        <v>60</v>
      </c>
      <c r="D798" s="1" t="s">
        <v>31</v>
      </c>
      <c r="E798" s="34">
        <v>63.0</v>
      </c>
      <c r="F798" s="34">
        <v>270.0</v>
      </c>
      <c r="G798" s="15">
        <v>7404.0</v>
      </c>
      <c r="H798" s="16">
        <v>0.03646677471636953</v>
      </c>
      <c r="I798" s="17">
        <v>8.415045921123717</v>
      </c>
      <c r="J798" s="16">
        <v>2.0930232558139537</v>
      </c>
      <c r="K798" s="16">
        <v>0.7156388942586507</v>
      </c>
      <c r="L798" s="16">
        <v>0.1111111111111111</v>
      </c>
      <c r="M798" s="16">
        <v>0.1111111111111111</v>
      </c>
      <c r="N798" s="16">
        <v>0.3968253968253968</v>
      </c>
      <c r="O798" s="16">
        <v>0.14285714285714285</v>
      </c>
      <c r="P798" s="35">
        <v>46064.30269675926</v>
      </c>
    </row>
    <row r="799">
      <c r="A799" s="33">
        <v>46064.0</v>
      </c>
      <c r="B799" s="1" t="s">
        <v>60</v>
      </c>
      <c r="D799" s="1" t="s">
        <v>32</v>
      </c>
      <c r="E799" s="34">
        <v>562.0</v>
      </c>
      <c r="F799" s="34">
        <v>20684.0</v>
      </c>
      <c r="G799" s="15">
        <v>1837216.0</v>
      </c>
      <c r="H799" s="16">
        <v>0.01125833870377789</v>
      </c>
      <c r="I799" s="17">
        <v>4.589636711197812</v>
      </c>
      <c r="J799" s="16">
        <v>1.4779564130046445</v>
      </c>
      <c r="K799" s="16">
        <v>3.553354982332019</v>
      </c>
      <c r="L799" s="16">
        <v>0.07651245551601424</v>
      </c>
      <c r="M799" s="16">
        <v>0.29359430604982206</v>
      </c>
      <c r="N799" s="16">
        <v>0.45729537366548045</v>
      </c>
      <c r="O799" s="16">
        <v>0.1903914590747331</v>
      </c>
      <c r="P799" s="35">
        <v>46064.30269675926</v>
      </c>
    </row>
    <row r="800">
      <c r="A800" s="33">
        <v>46064.0</v>
      </c>
      <c r="B800" s="1" t="s">
        <v>60</v>
      </c>
      <c r="D800" s="1" t="s">
        <v>33</v>
      </c>
      <c r="E800" s="34">
        <v>105.0</v>
      </c>
      <c r="F800" s="34">
        <v>359.0</v>
      </c>
      <c r="G800" s="15">
        <v>30843.0</v>
      </c>
      <c r="H800" s="16">
        <v>0.01163959407320948</v>
      </c>
      <c r="I800" s="17">
        <v>4.755114612716014</v>
      </c>
      <c r="J800" s="16">
        <v>0.8864197530864197</v>
      </c>
      <c r="K800" s="16">
        <v>3.5273330283623054</v>
      </c>
      <c r="L800" s="16">
        <v>0.06666666666666667</v>
      </c>
      <c r="M800" s="16">
        <v>0.09523809523809523</v>
      </c>
      <c r="N800" s="16">
        <v>0.3142857142857143</v>
      </c>
      <c r="O800" s="16">
        <v>0.047619047619047616</v>
      </c>
      <c r="P800" s="35">
        <v>46064.30269675926</v>
      </c>
    </row>
    <row r="801">
      <c r="A801" s="33">
        <v>46064.0</v>
      </c>
      <c r="B801" s="1" t="s">
        <v>60</v>
      </c>
      <c r="D801" s="1" t="s">
        <v>34</v>
      </c>
      <c r="E801" s="34">
        <v>89.0</v>
      </c>
      <c r="F801" s="34">
        <v>26.0</v>
      </c>
      <c r="G801" s="15">
        <v>1265.0</v>
      </c>
      <c r="H801" s="16">
        <v>0.020553359683794466</v>
      </c>
      <c r="I801" s="17">
        <v>8.589723320158102</v>
      </c>
      <c r="J801" s="16">
        <v>1.625</v>
      </c>
      <c r="K801" s="16">
        <v>0.44015309672929714</v>
      </c>
      <c r="L801" s="16">
        <v>0.02247191011235955</v>
      </c>
      <c r="M801" s="16">
        <v>0.02247191011235955</v>
      </c>
      <c r="N801" s="16">
        <v>0.0898876404494382</v>
      </c>
      <c r="O801" s="16">
        <v>0.056179775280898875</v>
      </c>
      <c r="P801" s="35">
        <v>46064.30269675926</v>
      </c>
    </row>
    <row r="802">
      <c r="A802" s="33">
        <v>46065.0</v>
      </c>
      <c r="B802" s="1" t="s">
        <v>57</v>
      </c>
      <c r="D802" s="1"/>
      <c r="E802" s="34">
        <v>1166.0</v>
      </c>
      <c r="F802" s="34">
        <v>22253.0</v>
      </c>
      <c r="G802" s="15">
        <v>1911205.0</v>
      </c>
      <c r="H802" s="16">
        <v>0.011643439610088922</v>
      </c>
      <c r="I802" s="17">
        <v>4.654347388166105</v>
      </c>
      <c r="J802" s="16">
        <v>1.453969291081346</v>
      </c>
      <c r="K802" s="16">
        <v>3.3418517223290785</v>
      </c>
      <c r="L802" s="16">
        <v>0.05060034305317324</v>
      </c>
      <c r="M802" s="16">
        <v>0.16123499142367068</v>
      </c>
      <c r="N802" s="16">
        <v>0.29588336192109777</v>
      </c>
      <c r="O802" s="16">
        <v>0.12778730703259006</v>
      </c>
      <c r="P802" s="35">
        <v>46065.302615740744</v>
      </c>
    </row>
    <row r="803">
      <c r="A803" s="33">
        <v>46065.0</v>
      </c>
      <c r="B803" s="1" t="s">
        <v>58</v>
      </c>
      <c r="D803" s="1"/>
      <c r="E803" s="34">
        <v>828.0</v>
      </c>
      <c r="F803" s="34">
        <v>22133.0</v>
      </c>
      <c r="G803" s="15">
        <v>1908847.0</v>
      </c>
      <c r="H803" s="16">
        <v>0.0115949575843428</v>
      </c>
      <c r="I803" s="17">
        <v>4.6537627164461055</v>
      </c>
      <c r="J803" s="16">
        <v>1.4574608191755565</v>
      </c>
      <c r="K803" s="16">
        <v>3.4107383437742333</v>
      </c>
      <c r="L803" s="16">
        <v>0.06642512077294686</v>
      </c>
      <c r="M803" s="16">
        <v>0.2222222222222222</v>
      </c>
      <c r="N803" s="16">
        <v>0.3888888888888889</v>
      </c>
      <c r="O803" s="16">
        <v>0.15942028985507245</v>
      </c>
      <c r="P803" s="35">
        <v>46065.302615740744</v>
      </c>
    </row>
    <row r="804">
      <c r="A804" s="33">
        <v>46065.0</v>
      </c>
      <c r="B804" s="1" t="s">
        <v>59</v>
      </c>
      <c r="C804" s="3" t="s">
        <v>2</v>
      </c>
      <c r="D804" s="1"/>
      <c r="E804" s="34">
        <v>133.0</v>
      </c>
      <c r="F804" s="34">
        <v>1520.0</v>
      </c>
      <c r="G804" s="15">
        <v>133928.0</v>
      </c>
      <c r="H804" s="16">
        <v>0.011349381757362165</v>
      </c>
      <c r="I804" s="17">
        <v>4.512125918403918</v>
      </c>
      <c r="J804" s="16">
        <v>4.305949008498583</v>
      </c>
      <c r="K804" s="16">
        <v>6.539453125</v>
      </c>
      <c r="L804" s="16">
        <v>0.022556390977443608</v>
      </c>
      <c r="M804" s="16">
        <v>0.06015037593984962</v>
      </c>
      <c r="N804" s="16">
        <v>0.39097744360902253</v>
      </c>
      <c r="O804" s="16">
        <v>0.11278195488721804</v>
      </c>
      <c r="P804" s="35">
        <v>46065.302615740744</v>
      </c>
    </row>
    <row r="805">
      <c r="A805" s="33">
        <v>46065.0</v>
      </c>
      <c r="B805" s="1" t="s">
        <v>59</v>
      </c>
      <c r="C805" s="1" t="s">
        <v>3</v>
      </c>
      <c r="D805" s="1"/>
      <c r="E805" s="34">
        <v>185.0</v>
      </c>
      <c r="F805" s="34">
        <v>1467.0</v>
      </c>
      <c r="G805" s="15">
        <v>59419.0</v>
      </c>
      <c r="H805" s="16">
        <v>0.024689072518891263</v>
      </c>
      <c r="I805" s="17">
        <v>5.893737693330416</v>
      </c>
      <c r="J805" s="16">
        <v>1.8246268656716418</v>
      </c>
      <c r="K805" s="16">
        <v>2.7950044686956113</v>
      </c>
      <c r="L805" s="16">
        <v>0.06486486486486487</v>
      </c>
      <c r="M805" s="16">
        <v>0.08108108108108109</v>
      </c>
      <c r="N805" s="16">
        <v>0.3837837837837838</v>
      </c>
      <c r="O805" s="16">
        <v>0.08108108108108109</v>
      </c>
      <c r="P805" s="35">
        <v>46065.302615740744</v>
      </c>
    </row>
    <row r="806">
      <c r="A806" s="33">
        <v>46065.0</v>
      </c>
      <c r="B806" s="1" t="s">
        <v>59</v>
      </c>
      <c r="C806" s="3" t="s">
        <v>4</v>
      </c>
      <c r="D806" s="1"/>
      <c r="E806" s="34">
        <v>105.0</v>
      </c>
      <c r="F806" s="34">
        <v>1117.0</v>
      </c>
      <c r="G806" s="15">
        <v>44877.0</v>
      </c>
      <c r="H806" s="16">
        <v>0.02489025558749471</v>
      </c>
      <c r="I806" s="17">
        <v>4.635425719188003</v>
      </c>
      <c r="J806" s="16">
        <v>1.7291021671826625</v>
      </c>
      <c r="K806" s="16">
        <v>2.607308854287706</v>
      </c>
      <c r="L806" s="16">
        <v>0.06666666666666667</v>
      </c>
      <c r="M806" s="16">
        <v>0.10476190476190476</v>
      </c>
      <c r="N806" s="16">
        <v>0.21904761904761905</v>
      </c>
      <c r="O806" s="16">
        <v>0.11428571428571428</v>
      </c>
      <c r="P806" s="35">
        <v>46065.302615740744</v>
      </c>
    </row>
    <row r="807">
      <c r="A807" s="33">
        <v>46065.0</v>
      </c>
      <c r="B807" s="1" t="s">
        <v>59</v>
      </c>
      <c r="C807" s="3" t="s">
        <v>5</v>
      </c>
      <c r="D807" s="1"/>
      <c r="E807" s="34">
        <v>40.0</v>
      </c>
      <c r="F807" s="34">
        <v>6045.0</v>
      </c>
      <c r="G807" s="15">
        <v>71758.0</v>
      </c>
      <c r="H807" s="16">
        <v>0.08424147830207085</v>
      </c>
      <c r="I807" s="17">
        <v>5.2716352183728645</v>
      </c>
      <c r="J807" s="16">
        <v>0.9448265082838387</v>
      </c>
      <c r="K807" s="16">
        <v>1.6631822922702515</v>
      </c>
      <c r="L807" s="16">
        <v>0.1</v>
      </c>
      <c r="M807" s="16">
        <v>0.125</v>
      </c>
      <c r="N807" s="16">
        <v>0.2</v>
      </c>
      <c r="O807" s="16">
        <v>0.075</v>
      </c>
      <c r="P807" s="35">
        <v>46065.302615740744</v>
      </c>
    </row>
    <row r="808">
      <c r="A808" s="33">
        <v>46065.0</v>
      </c>
      <c r="B808" s="1" t="s">
        <v>59</v>
      </c>
      <c r="C808" s="3" t="s">
        <v>6</v>
      </c>
      <c r="D808" s="1"/>
      <c r="E808" s="34">
        <v>29.0</v>
      </c>
      <c r="F808" s="34">
        <v>5948.0</v>
      </c>
      <c r="G808" s="15">
        <v>419723.0</v>
      </c>
      <c r="H808" s="16">
        <v>0.014171251039375969</v>
      </c>
      <c r="I808" s="17">
        <v>4.601742101338264</v>
      </c>
      <c r="J808" s="16">
        <v>1.2854981629565594</v>
      </c>
      <c r="K808" s="16">
        <v>1.744985053901576</v>
      </c>
      <c r="L808" s="16">
        <v>0.0</v>
      </c>
      <c r="M808" s="16">
        <v>0.0</v>
      </c>
      <c r="N808" s="16">
        <v>0.6206896551724138</v>
      </c>
      <c r="O808" s="16">
        <v>0.3448275862068966</v>
      </c>
      <c r="P808" s="35">
        <v>46065.302615740744</v>
      </c>
    </row>
    <row r="809">
      <c r="A809" s="33">
        <v>46065.0</v>
      </c>
      <c r="B809" s="1" t="s">
        <v>59</v>
      </c>
      <c r="C809" s="3" t="s">
        <v>7</v>
      </c>
      <c r="D809" s="1"/>
      <c r="E809" s="34">
        <v>130.0</v>
      </c>
      <c r="F809" s="34">
        <v>1387.0</v>
      </c>
      <c r="G809" s="15">
        <v>289074.0</v>
      </c>
      <c r="H809" s="16">
        <v>0.004798079384517459</v>
      </c>
      <c r="I809" s="17">
        <v>4.213443616513419</v>
      </c>
      <c r="J809" s="16">
        <v>2.3429054054054053</v>
      </c>
      <c r="K809" s="16">
        <v>8.542123459708638</v>
      </c>
      <c r="L809" s="16">
        <v>0.05384615384615385</v>
      </c>
      <c r="M809" s="16">
        <v>0.46923076923076923</v>
      </c>
      <c r="N809" s="16">
        <v>0.5076923076923077</v>
      </c>
      <c r="O809" s="16">
        <v>0.25384615384615383</v>
      </c>
      <c r="P809" s="35">
        <v>46065.302615740744</v>
      </c>
    </row>
    <row r="810">
      <c r="A810" s="33">
        <v>46065.0</v>
      </c>
      <c r="B810" s="1" t="s">
        <v>59</v>
      </c>
      <c r="C810" s="3" t="s">
        <v>8</v>
      </c>
      <c r="D810" s="1"/>
      <c r="E810" s="34">
        <v>119.0</v>
      </c>
      <c r="F810" s="34">
        <v>1158.0</v>
      </c>
      <c r="G810" s="15">
        <v>395091.0</v>
      </c>
      <c r="H810" s="16">
        <v>0.0029309703334168585</v>
      </c>
      <c r="I810" s="17">
        <v>5.109924042815453</v>
      </c>
      <c r="J810" s="16">
        <v>0.9965576592082617</v>
      </c>
      <c r="K810" s="16">
        <v>3.219319617029945</v>
      </c>
      <c r="L810" s="16">
        <v>0.16806722689075632</v>
      </c>
      <c r="M810" s="16">
        <v>0.5882352941176471</v>
      </c>
      <c r="N810" s="16">
        <v>0.5042016806722689</v>
      </c>
      <c r="O810" s="16">
        <v>0.19327731092436976</v>
      </c>
      <c r="P810" s="35">
        <v>46065.302615740744</v>
      </c>
    </row>
    <row r="811">
      <c r="A811" s="33">
        <v>46065.0</v>
      </c>
      <c r="B811" s="1" t="s">
        <v>59</v>
      </c>
      <c r="C811" s="3" t="s">
        <v>9</v>
      </c>
      <c r="D811" s="1"/>
      <c r="E811" s="34">
        <v>11.0</v>
      </c>
      <c r="F811" s="34">
        <v>15.0</v>
      </c>
      <c r="G811" s="15">
        <v>582.0</v>
      </c>
      <c r="H811" s="16">
        <v>0.02577319587628866</v>
      </c>
      <c r="I811" s="17">
        <v>13.793814432989691</v>
      </c>
      <c r="J811" s="16">
        <v>1.875</v>
      </c>
      <c r="K811" s="16">
        <v>2.8669950738916254</v>
      </c>
      <c r="L811" s="16">
        <v>0.09090909090909091</v>
      </c>
      <c r="M811" s="16">
        <v>0.09090909090909091</v>
      </c>
      <c r="N811" s="16">
        <v>0.18181818181818182</v>
      </c>
      <c r="O811" s="16">
        <v>0.09090909090909091</v>
      </c>
      <c r="P811" s="35">
        <v>46065.302615740744</v>
      </c>
    </row>
    <row r="812">
      <c r="A812" s="33">
        <v>46065.0</v>
      </c>
      <c r="B812" s="1" t="s">
        <v>59</v>
      </c>
      <c r="C812" s="3" t="s">
        <v>10</v>
      </c>
      <c r="D812" s="1"/>
      <c r="E812" s="34">
        <v>76.0</v>
      </c>
      <c r="F812" s="34">
        <v>3476.0</v>
      </c>
      <c r="G812" s="15">
        <v>494395.0</v>
      </c>
      <c r="H812" s="16">
        <v>0.007030815441094671</v>
      </c>
      <c r="I812" s="17">
        <v>4.381411624308498</v>
      </c>
      <c r="J812" s="16">
        <v>5.832214765100671</v>
      </c>
      <c r="K812" s="16">
        <v>8.204092131027846</v>
      </c>
      <c r="L812" s="16">
        <v>0.013157894736842105</v>
      </c>
      <c r="M812" s="16">
        <v>0.17105263157894737</v>
      </c>
      <c r="N812" s="16">
        <v>0.2894736842105263</v>
      </c>
      <c r="O812" s="16">
        <v>0.2631578947368421</v>
      </c>
      <c r="P812" s="35">
        <v>46065.302615740744</v>
      </c>
    </row>
    <row r="813">
      <c r="A813" s="33">
        <v>46065.0</v>
      </c>
      <c r="B813" s="1" t="s">
        <v>60</v>
      </c>
      <c r="D813" s="1" t="s">
        <v>30</v>
      </c>
      <c r="E813" s="34">
        <v>9.0</v>
      </c>
      <c r="F813" s="34">
        <v>604.0</v>
      </c>
      <c r="G813" s="15">
        <v>13223.0</v>
      </c>
      <c r="H813" s="16">
        <v>0.045677985328594115</v>
      </c>
      <c r="I813" s="17">
        <v>10.817666187703244</v>
      </c>
      <c r="J813" s="16">
        <v>1.2662473794549267</v>
      </c>
      <c r="K813" s="16">
        <v>0.7580691394828871</v>
      </c>
      <c r="L813" s="16">
        <v>0.0</v>
      </c>
      <c r="M813" s="16">
        <v>0.1111111111111111</v>
      </c>
      <c r="N813" s="16">
        <v>0.6666666666666666</v>
      </c>
      <c r="O813" s="16">
        <v>0.3333333333333333</v>
      </c>
      <c r="P813" s="35">
        <v>46065.302615740744</v>
      </c>
    </row>
    <row r="814">
      <c r="A814" s="33">
        <v>46065.0</v>
      </c>
      <c r="B814" s="1" t="s">
        <v>60</v>
      </c>
      <c r="D814" s="1" t="s">
        <v>31</v>
      </c>
      <c r="E814" s="34">
        <v>63.0</v>
      </c>
      <c r="F814" s="34">
        <v>266.0</v>
      </c>
      <c r="G814" s="15">
        <v>7345.0</v>
      </c>
      <c r="H814" s="16">
        <v>0.03621511232130701</v>
      </c>
      <c r="I814" s="17">
        <v>8.568005445881552</v>
      </c>
      <c r="J814" s="16">
        <v>2.111111111111111</v>
      </c>
      <c r="K814" s="16">
        <v>0.7129683556590953</v>
      </c>
      <c r="L814" s="16">
        <v>0.1111111111111111</v>
      </c>
      <c r="M814" s="16">
        <v>0.1111111111111111</v>
      </c>
      <c r="N814" s="16">
        <v>0.36507936507936506</v>
      </c>
      <c r="O814" s="16">
        <v>0.14285714285714285</v>
      </c>
      <c r="P814" s="35">
        <v>46065.302615740744</v>
      </c>
    </row>
    <row r="815">
      <c r="A815" s="33">
        <v>46065.0</v>
      </c>
      <c r="B815" s="1" t="s">
        <v>60</v>
      </c>
      <c r="D815" s="1" t="s">
        <v>32</v>
      </c>
      <c r="E815" s="34">
        <v>562.0</v>
      </c>
      <c r="F815" s="34">
        <v>20870.0</v>
      </c>
      <c r="G815" s="15">
        <v>1855836.0</v>
      </c>
      <c r="H815" s="16">
        <v>0.011245605753956707</v>
      </c>
      <c r="I815" s="17">
        <v>4.590332874241043</v>
      </c>
      <c r="J815" s="16">
        <v>1.4745990249417085</v>
      </c>
      <c r="K815" s="16">
        <v>3.566939848699182</v>
      </c>
      <c r="L815" s="16">
        <v>0.0711743772241993</v>
      </c>
      <c r="M815" s="16">
        <v>0.29359430604982206</v>
      </c>
      <c r="N815" s="16">
        <v>0.45195729537366547</v>
      </c>
      <c r="O815" s="16">
        <v>0.19395017793594305</v>
      </c>
      <c r="P815" s="35">
        <v>46065.302615740744</v>
      </c>
    </row>
    <row r="816">
      <c r="A816" s="33">
        <v>46065.0</v>
      </c>
      <c r="B816" s="1" t="s">
        <v>60</v>
      </c>
      <c r="D816" s="1" t="s">
        <v>33</v>
      </c>
      <c r="E816" s="34">
        <v>105.0</v>
      </c>
      <c r="F816" s="34">
        <v>367.0</v>
      </c>
      <c r="G816" s="15">
        <v>31163.0</v>
      </c>
      <c r="H816" s="16">
        <v>0.011776786573821519</v>
      </c>
      <c r="I816" s="17">
        <v>4.734909989410519</v>
      </c>
      <c r="J816" s="16">
        <v>0.8886198547215496</v>
      </c>
      <c r="K816" s="16">
        <v>3.546892783974505</v>
      </c>
      <c r="L816" s="16">
        <v>0.05714285714285714</v>
      </c>
      <c r="M816" s="16">
        <v>0.08571428571428572</v>
      </c>
      <c r="N816" s="16">
        <v>0.3047619047619048</v>
      </c>
      <c r="O816" s="16">
        <v>0.05714285714285714</v>
      </c>
      <c r="P816" s="35">
        <v>46065.302615740744</v>
      </c>
    </row>
    <row r="817">
      <c r="A817" s="33">
        <v>46065.0</v>
      </c>
      <c r="B817" s="1" t="s">
        <v>60</v>
      </c>
      <c r="D817" s="1" t="s">
        <v>34</v>
      </c>
      <c r="E817" s="34">
        <v>89.0</v>
      </c>
      <c r="F817" s="34">
        <v>26.0</v>
      </c>
      <c r="G817" s="15">
        <v>1280.0</v>
      </c>
      <c r="H817" s="16">
        <v>0.0203125</v>
      </c>
      <c r="I817" s="17">
        <v>8.50625</v>
      </c>
      <c r="J817" s="16">
        <v>1.5294117647058822</v>
      </c>
      <c r="K817" s="16">
        <v>0.4508629799225079</v>
      </c>
      <c r="L817" s="16">
        <v>0.02247191011235955</v>
      </c>
      <c r="M817" s="16">
        <v>0.02247191011235955</v>
      </c>
      <c r="N817" s="16">
        <v>0.07865168539325842</v>
      </c>
      <c r="O817" s="16">
        <v>0.056179775280898875</v>
      </c>
      <c r="P817" s="35">
        <v>46065.302615740744</v>
      </c>
    </row>
    <row r="818">
      <c r="A818" s="33">
        <v>46066.0</v>
      </c>
      <c r="B818" s="1" t="s">
        <v>57</v>
      </c>
      <c r="D818" s="1"/>
      <c r="E818" s="34">
        <v>1166.0</v>
      </c>
      <c r="F818" s="34">
        <v>22272.0</v>
      </c>
      <c r="G818" s="15">
        <v>1917910.0</v>
      </c>
      <c r="H818" s="16">
        <v>0.011612640843418096</v>
      </c>
      <c r="I818" s="17">
        <v>4.648840665098988</v>
      </c>
      <c r="J818" s="16">
        <v>1.4532167558397495</v>
      </c>
      <c r="K818" s="16">
        <v>3.3440797595218332</v>
      </c>
      <c r="L818" s="16">
        <v>0.05060034305317324</v>
      </c>
      <c r="M818" s="16">
        <v>0.1646655231560892</v>
      </c>
      <c r="N818" s="16">
        <v>0.30360205831903947</v>
      </c>
      <c r="O818" s="16">
        <v>0.12264150943396226</v>
      </c>
      <c r="P818" s="35">
        <v>46066.30259259259</v>
      </c>
    </row>
    <row r="819">
      <c r="A819" s="33">
        <v>46066.0</v>
      </c>
      <c r="B819" s="1" t="s">
        <v>58</v>
      </c>
      <c r="D819" s="1"/>
      <c r="E819" s="34">
        <v>828.0</v>
      </c>
      <c r="F819" s="34">
        <v>22151.0</v>
      </c>
      <c r="G819" s="15">
        <v>1915470.0</v>
      </c>
      <c r="H819" s="16">
        <v>0.011564263601100513</v>
      </c>
      <c r="I819" s="17">
        <v>4.6480707084945205</v>
      </c>
      <c r="J819" s="16">
        <v>1.4568234133508715</v>
      </c>
      <c r="K819" s="16">
        <v>3.4126087669163288</v>
      </c>
      <c r="L819" s="16">
        <v>0.06521739130434782</v>
      </c>
      <c r="M819" s="16">
        <v>0.22584541062801933</v>
      </c>
      <c r="N819" s="16">
        <v>0.3997584541062802</v>
      </c>
      <c r="O819" s="16">
        <v>0.15217391304347827</v>
      </c>
      <c r="P819" s="35">
        <v>46066.30259259259</v>
      </c>
    </row>
    <row r="820">
      <c r="A820" s="33">
        <v>46066.0</v>
      </c>
      <c r="B820" s="1" t="s">
        <v>59</v>
      </c>
      <c r="C820" s="3" t="s">
        <v>2</v>
      </c>
      <c r="D820" s="1"/>
      <c r="E820" s="34">
        <v>133.0</v>
      </c>
      <c r="F820" s="34">
        <v>1503.0</v>
      </c>
      <c r="G820" s="15">
        <v>134890.0</v>
      </c>
      <c r="H820" s="16">
        <v>0.011142412335977464</v>
      </c>
      <c r="I820" s="17">
        <v>4.5264215286529765</v>
      </c>
      <c r="J820" s="16">
        <v>4.34393063583815</v>
      </c>
      <c r="K820" s="16">
        <v>6.616146752991956</v>
      </c>
      <c r="L820" s="16">
        <v>0.022556390977443608</v>
      </c>
      <c r="M820" s="16">
        <v>0.06015037593984962</v>
      </c>
      <c r="N820" s="16">
        <v>0.39849624060150374</v>
      </c>
      <c r="O820" s="16">
        <v>0.10526315789473684</v>
      </c>
      <c r="P820" s="35">
        <v>46066.30259259259</v>
      </c>
    </row>
    <row r="821">
      <c r="A821" s="33">
        <v>46066.0</v>
      </c>
      <c r="B821" s="1" t="s">
        <v>59</v>
      </c>
      <c r="C821" s="1" t="s">
        <v>3</v>
      </c>
      <c r="D821" s="1"/>
      <c r="E821" s="34">
        <v>185.0</v>
      </c>
      <c r="F821" s="34">
        <v>1478.0</v>
      </c>
      <c r="G821" s="15">
        <v>59901.0</v>
      </c>
      <c r="H821" s="16">
        <v>0.02467404550842223</v>
      </c>
      <c r="I821" s="17">
        <v>5.8997679504515785</v>
      </c>
      <c r="J821" s="16">
        <v>1.8292079207920793</v>
      </c>
      <c r="K821" s="16">
        <v>2.8330022701475595</v>
      </c>
      <c r="L821" s="16">
        <v>0.05945945945945946</v>
      </c>
      <c r="M821" s="16">
        <v>0.08108108108108109</v>
      </c>
      <c r="N821" s="16">
        <v>0.3945945945945946</v>
      </c>
      <c r="O821" s="16">
        <v>0.07567567567567568</v>
      </c>
      <c r="P821" s="35">
        <v>46066.30259259259</v>
      </c>
    </row>
    <row r="822">
      <c r="A822" s="33">
        <v>46066.0</v>
      </c>
      <c r="B822" s="1" t="s">
        <v>59</v>
      </c>
      <c r="C822" s="3" t="s">
        <v>4</v>
      </c>
      <c r="D822" s="1"/>
      <c r="E822" s="34">
        <v>105.0</v>
      </c>
      <c r="F822" s="34">
        <v>1149.0</v>
      </c>
      <c r="G822" s="15">
        <v>45552.0</v>
      </c>
      <c r="H822" s="16">
        <v>0.02522391991570074</v>
      </c>
      <c r="I822" s="17">
        <v>4.583179662802951</v>
      </c>
      <c r="J822" s="16">
        <v>1.7676923076923077</v>
      </c>
      <c r="K822" s="16">
        <v>2.6286571642910728</v>
      </c>
      <c r="L822" s="16">
        <v>0.05714285714285714</v>
      </c>
      <c r="M822" s="16">
        <v>0.10476190476190476</v>
      </c>
      <c r="N822" s="16">
        <v>0.22857142857142856</v>
      </c>
      <c r="O822" s="16">
        <v>0.10476190476190476</v>
      </c>
      <c r="P822" s="35">
        <v>46066.30259259259</v>
      </c>
    </row>
    <row r="823">
      <c r="A823" s="33">
        <v>46066.0</v>
      </c>
      <c r="B823" s="1" t="s">
        <v>59</v>
      </c>
      <c r="C823" s="3" t="s">
        <v>5</v>
      </c>
      <c r="D823" s="1"/>
      <c r="E823" s="34">
        <v>40.0</v>
      </c>
      <c r="F823" s="34">
        <v>6045.0</v>
      </c>
      <c r="G823" s="15">
        <v>71710.0</v>
      </c>
      <c r="H823" s="16">
        <v>0.08429786640635895</v>
      </c>
      <c r="I823" s="17">
        <v>5.266462139171663</v>
      </c>
      <c r="J823" s="16">
        <v>0.9474921630094044</v>
      </c>
      <c r="K823" s="16">
        <v>1.6591087871917078</v>
      </c>
      <c r="L823" s="16">
        <v>0.125</v>
      </c>
      <c r="M823" s="16">
        <v>0.15</v>
      </c>
      <c r="N823" s="16">
        <v>0.2</v>
      </c>
      <c r="O823" s="16">
        <v>0.075</v>
      </c>
      <c r="P823" s="35">
        <v>46066.30259259259</v>
      </c>
    </row>
    <row r="824">
      <c r="A824" s="33">
        <v>46066.0</v>
      </c>
      <c r="B824" s="1" t="s">
        <v>59</v>
      </c>
      <c r="C824" s="3" t="s">
        <v>6</v>
      </c>
      <c r="D824" s="1"/>
      <c r="E824" s="34">
        <v>29.0</v>
      </c>
      <c r="F824" s="34">
        <v>5930.0</v>
      </c>
      <c r="G824" s="15">
        <v>418647.0</v>
      </c>
      <c r="H824" s="16">
        <v>0.014164678117841523</v>
      </c>
      <c r="I824" s="17">
        <v>4.603076099912337</v>
      </c>
      <c r="J824" s="16">
        <v>1.2763667671114938</v>
      </c>
      <c r="K824" s="16">
        <v>1.7420107854396565</v>
      </c>
      <c r="L824" s="16">
        <v>0.0</v>
      </c>
      <c r="M824" s="16">
        <v>0.034482758620689655</v>
      </c>
      <c r="N824" s="16">
        <v>0.5862068965517241</v>
      </c>
      <c r="O824" s="16">
        <v>0.3793103448275862</v>
      </c>
      <c r="P824" s="35">
        <v>46066.30259259259</v>
      </c>
    </row>
    <row r="825">
      <c r="A825" s="33">
        <v>46066.0</v>
      </c>
      <c r="B825" s="1" t="s">
        <v>59</v>
      </c>
      <c r="C825" s="3" t="s">
        <v>7</v>
      </c>
      <c r="D825" s="1"/>
      <c r="E825" s="34">
        <v>130.0</v>
      </c>
      <c r="F825" s="34">
        <v>1406.0</v>
      </c>
      <c r="G825" s="15">
        <v>291887.0</v>
      </c>
      <c r="H825" s="16">
        <v>0.004816932580073796</v>
      </c>
      <c r="I825" s="17">
        <v>4.186503681219102</v>
      </c>
      <c r="J825" s="16">
        <v>2.3790186125211505</v>
      </c>
      <c r="K825" s="16">
        <v>8.576839445228021</v>
      </c>
      <c r="L825" s="16">
        <v>0.05384615384615385</v>
      </c>
      <c r="M825" s="16">
        <v>0.47692307692307695</v>
      </c>
      <c r="N825" s="16">
        <v>0.5230769230769231</v>
      </c>
      <c r="O825" s="16">
        <v>0.25384615384615383</v>
      </c>
      <c r="P825" s="35">
        <v>46066.30259259259</v>
      </c>
    </row>
    <row r="826">
      <c r="A826" s="33">
        <v>46066.0</v>
      </c>
      <c r="B826" s="1" t="s">
        <v>59</v>
      </c>
      <c r="C826" s="3" t="s">
        <v>8</v>
      </c>
      <c r="D826" s="1"/>
      <c r="E826" s="34">
        <v>119.0</v>
      </c>
      <c r="F826" s="34">
        <v>1170.0</v>
      </c>
      <c r="G826" s="15">
        <v>398138.0</v>
      </c>
      <c r="H826" s="16">
        <v>0.002938679553320708</v>
      </c>
      <c r="I826" s="17">
        <v>5.098686887461132</v>
      </c>
      <c r="J826" s="16">
        <v>0.994052676295667</v>
      </c>
      <c r="K826" s="16">
        <v>3.215483891809819</v>
      </c>
      <c r="L826" s="16">
        <v>0.16806722689075632</v>
      </c>
      <c r="M826" s="16">
        <v>0.5966386554621849</v>
      </c>
      <c r="N826" s="16">
        <v>0.5210084033613446</v>
      </c>
      <c r="O826" s="16">
        <v>0.17647058823529413</v>
      </c>
      <c r="P826" s="35">
        <v>46066.30259259259</v>
      </c>
    </row>
    <row r="827">
      <c r="A827" s="33">
        <v>46066.0</v>
      </c>
      <c r="B827" s="1" t="s">
        <v>59</v>
      </c>
      <c r="C827" s="3" t="s">
        <v>9</v>
      </c>
      <c r="D827" s="1"/>
      <c r="E827" s="34">
        <v>11.0</v>
      </c>
      <c r="F827" s="34">
        <v>15.0</v>
      </c>
      <c r="G827" s="15">
        <v>601.0</v>
      </c>
      <c r="H827" s="16">
        <v>0.024958402662229616</v>
      </c>
      <c r="I827" s="17">
        <v>13.645590682196339</v>
      </c>
      <c r="J827" s="16">
        <v>1.875</v>
      </c>
      <c r="K827" s="16">
        <v>3.0353535353535355</v>
      </c>
      <c r="L827" s="16">
        <v>0.09090909090909091</v>
      </c>
      <c r="M827" s="16">
        <v>0.09090909090909091</v>
      </c>
      <c r="N827" s="16">
        <v>0.18181818181818182</v>
      </c>
      <c r="O827" s="16">
        <v>0.09090909090909091</v>
      </c>
      <c r="P827" s="35">
        <v>46066.30259259259</v>
      </c>
    </row>
    <row r="828">
      <c r="A828" s="33">
        <v>46066.0</v>
      </c>
      <c r="B828" s="1" t="s">
        <v>59</v>
      </c>
      <c r="C828" s="3" t="s">
        <v>10</v>
      </c>
      <c r="D828" s="1"/>
      <c r="E828" s="34">
        <v>76.0</v>
      </c>
      <c r="F828" s="34">
        <v>3455.0</v>
      </c>
      <c r="G828" s="15">
        <v>494144.0</v>
      </c>
      <c r="H828" s="16">
        <v>0.006991889004015024</v>
      </c>
      <c r="I828" s="17">
        <v>4.382540312135734</v>
      </c>
      <c r="J828" s="16">
        <v>5.767946577629382</v>
      </c>
      <c r="K828" s="16">
        <v>8.122559011111841</v>
      </c>
      <c r="L828" s="16">
        <v>0.013157894736842105</v>
      </c>
      <c r="M828" s="16">
        <v>0.15789473684210525</v>
      </c>
      <c r="N828" s="16">
        <v>0.3157894736842105</v>
      </c>
      <c r="O828" s="16">
        <v>0.23684210526315788</v>
      </c>
      <c r="P828" s="35">
        <v>46066.30259259259</v>
      </c>
    </row>
    <row r="829">
      <c r="A829" s="33">
        <v>46066.0</v>
      </c>
      <c r="B829" s="1" t="s">
        <v>60</v>
      </c>
      <c r="D829" s="1" t="s">
        <v>30</v>
      </c>
      <c r="E829" s="34">
        <v>9.0</v>
      </c>
      <c r="F829" s="34">
        <v>604.0</v>
      </c>
      <c r="G829" s="15">
        <v>13325.0</v>
      </c>
      <c r="H829" s="16">
        <v>0.04532833020637899</v>
      </c>
      <c r="I829" s="17">
        <v>10.867542213883677</v>
      </c>
      <c r="J829" s="16">
        <v>1.2878464818763327</v>
      </c>
      <c r="K829" s="16">
        <v>0.7689866112650047</v>
      </c>
      <c r="L829" s="16">
        <v>0.0</v>
      </c>
      <c r="M829" s="16">
        <v>0.1111111111111111</v>
      </c>
      <c r="N829" s="16">
        <v>0.6666666666666666</v>
      </c>
      <c r="O829" s="16">
        <v>0.3333333333333333</v>
      </c>
      <c r="P829" s="35">
        <v>46066.30259259259</v>
      </c>
    </row>
    <row r="830">
      <c r="A830" s="33">
        <v>46066.0</v>
      </c>
      <c r="B830" s="1" t="s">
        <v>60</v>
      </c>
      <c r="D830" s="1" t="s">
        <v>31</v>
      </c>
      <c r="E830" s="34">
        <v>63.0</v>
      </c>
      <c r="F830" s="34">
        <v>268.0</v>
      </c>
      <c r="G830" s="15">
        <v>7401.0</v>
      </c>
      <c r="H830" s="16">
        <v>0.036211322794216995</v>
      </c>
      <c r="I830" s="17">
        <v>8.563572490204027</v>
      </c>
      <c r="J830" s="16">
        <v>2.126984126984127</v>
      </c>
      <c r="K830" s="16">
        <v>0.7188926663428848</v>
      </c>
      <c r="L830" s="16">
        <v>0.12698412698412698</v>
      </c>
      <c r="M830" s="16">
        <v>0.12698412698412698</v>
      </c>
      <c r="N830" s="16">
        <v>0.3968253968253968</v>
      </c>
      <c r="O830" s="16">
        <v>0.12698412698412698</v>
      </c>
      <c r="P830" s="35">
        <v>46066.30259259259</v>
      </c>
    </row>
    <row r="831">
      <c r="A831" s="33">
        <v>46066.0</v>
      </c>
      <c r="B831" s="1" t="s">
        <v>60</v>
      </c>
      <c r="D831" s="1" t="s">
        <v>32</v>
      </c>
      <c r="E831" s="34">
        <v>562.0</v>
      </c>
      <c r="F831" s="34">
        <v>20896.0</v>
      </c>
      <c r="G831" s="15">
        <v>1862307.0</v>
      </c>
      <c r="H831" s="16">
        <v>0.0112204915730865</v>
      </c>
      <c r="I831" s="17">
        <v>4.584757507757851</v>
      </c>
      <c r="J831" s="16">
        <v>1.4738326985470447</v>
      </c>
      <c r="K831" s="16">
        <v>3.5670980828571923</v>
      </c>
      <c r="L831" s="16">
        <v>0.06761565836298933</v>
      </c>
      <c r="M831" s="16">
        <v>0.297153024911032</v>
      </c>
      <c r="N831" s="16">
        <v>0.46441281138790036</v>
      </c>
      <c r="O831" s="16">
        <v>0.18505338078291814</v>
      </c>
      <c r="P831" s="35">
        <v>46066.30259259259</v>
      </c>
    </row>
    <row r="832">
      <c r="A832" s="33">
        <v>46066.0</v>
      </c>
      <c r="B832" s="1" t="s">
        <v>60</v>
      </c>
      <c r="D832" s="1" t="s">
        <v>33</v>
      </c>
      <c r="E832" s="34">
        <v>105.0</v>
      </c>
      <c r="F832" s="34">
        <v>357.0</v>
      </c>
      <c r="G832" s="15">
        <v>31141.0</v>
      </c>
      <c r="H832" s="16">
        <v>0.011463986384509168</v>
      </c>
      <c r="I832" s="17">
        <v>4.684949102469413</v>
      </c>
      <c r="J832" s="16">
        <v>0.8561151079136691</v>
      </c>
      <c r="K832" s="16">
        <v>3.5476190476190474</v>
      </c>
      <c r="L832" s="16">
        <v>0.05714285714285714</v>
      </c>
      <c r="M832" s="16">
        <v>0.08571428571428572</v>
      </c>
      <c r="N832" s="16">
        <v>0.3047619047619048</v>
      </c>
      <c r="O832" s="16">
        <v>0.05714285714285714</v>
      </c>
      <c r="P832" s="35">
        <v>46066.30259259259</v>
      </c>
    </row>
    <row r="833">
      <c r="A833" s="33">
        <v>46066.0</v>
      </c>
      <c r="B833" s="1" t="s">
        <v>60</v>
      </c>
      <c r="D833" s="1" t="s">
        <v>34</v>
      </c>
      <c r="E833" s="34">
        <v>89.0</v>
      </c>
      <c r="F833" s="34">
        <v>26.0</v>
      </c>
      <c r="G833" s="15">
        <v>1296.0</v>
      </c>
      <c r="H833" s="16">
        <v>0.020061728395061727</v>
      </c>
      <c r="I833" s="17">
        <v>8.434413580246913</v>
      </c>
      <c r="J833" s="16">
        <v>1.7333333333333334</v>
      </c>
      <c r="K833" s="16">
        <v>0.46088193456614507</v>
      </c>
      <c r="L833" s="16">
        <v>0.02247191011235955</v>
      </c>
      <c r="M833" s="16">
        <v>0.02247191011235955</v>
      </c>
      <c r="N833" s="16">
        <v>0.07865168539325842</v>
      </c>
      <c r="O833" s="16">
        <v>0.056179775280898875</v>
      </c>
      <c r="P833" s="35">
        <v>46066.30259259259</v>
      </c>
    </row>
    <row r="834">
      <c r="A834" s="33">
        <v>46067.0</v>
      </c>
      <c r="B834" s="1" t="s">
        <v>57</v>
      </c>
      <c r="D834" s="1"/>
      <c r="E834" s="34">
        <v>1166.0</v>
      </c>
      <c r="F834" s="34">
        <v>22283.0</v>
      </c>
      <c r="G834" s="15">
        <v>1924680.0</v>
      </c>
      <c r="H834" s="16">
        <v>0.011577508988507181</v>
      </c>
      <c r="I834" s="17">
        <v>4.646713739426814</v>
      </c>
      <c r="J834" s="16">
        <v>1.4471359916872322</v>
      </c>
      <c r="K834" s="16">
        <v>3.3374545467156587</v>
      </c>
      <c r="L834" s="16">
        <v>0.04888507718696398</v>
      </c>
      <c r="M834" s="16">
        <v>0.16295025728987994</v>
      </c>
      <c r="N834" s="16">
        <v>0.3053173241852487</v>
      </c>
      <c r="O834" s="16">
        <v>0.12521440823327615</v>
      </c>
      <c r="P834" s="35">
        <v>46067.30262731481</v>
      </c>
    </row>
    <row r="835">
      <c r="A835" s="33">
        <v>46067.0</v>
      </c>
      <c r="B835" s="1" t="s">
        <v>58</v>
      </c>
      <c r="D835" s="1"/>
      <c r="E835" s="34">
        <v>828.0</v>
      </c>
      <c r="F835" s="34">
        <v>22164.0</v>
      </c>
      <c r="G835" s="15">
        <v>1922245.0</v>
      </c>
      <c r="H835" s="16">
        <v>0.011530267993934177</v>
      </c>
      <c r="I835" s="17">
        <v>4.645791249294445</v>
      </c>
      <c r="J835" s="16">
        <v>1.4509033778476041</v>
      </c>
      <c r="K835" s="16">
        <v>3.405518646470015</v>
      </c>
      <c r="L835" s="16">
        <v>0.06280193236714976</v>
      </c>
      <c r="M835" s="16">
        <v>0.22342995169082125</v>
      </c>
      <c r="N835" s="16">
        <v>0.4033816425120773</v>
      </c>
      <c r="O835" s="16">
        <v>0.15579710144927536</v>
      </c>
      <c r="P835" s="35">
        <v>46067.30262731481</v>
      </c>
    </row>
    <row r="836">
      <c r="A836" s="33">
        <v>46067.0</v>
      </c>
      <c r="B836" s="1" t="s">
        <v>59</v>
      </c>
      <c r="C836" s="3" t="s">
        <v>2</v>
      </c>
      <c r="D836" s="1"/>
      <c r="E836" s="34">
        <v>133.0</v>
      </c>
      <c r="F836" s="34">
        <v>1494.0</v>
      </c>
      <c r="G836" s="15">
        <v>135993.0</v>
      </c>
      <c r="H836" s="16">
        <v>0.010985859566301206</v>
      </c>
      <c r="I836" s="17">
        <v>4.519519387027273</v>
      </c>
      <c r="J836" s="16">
        <v>4.368421052631579</v>
      </c>
      <c r="K836" s="16">
        <v>6.679748514170637</v>
      </c>
      <c r="L836" s="16">
        <v>0.022556390977443608</v>
      </c>
      <c r="M836" s="16">
        <v>0.06015037593984962</v>
      </c>
      <c r="N836" s="16">
        <v>0.40601503759398494</v>
      </c>
      <c r="O836" s="16">
        <v>0.09774436090225563</v>
      </c>
      <c r="P836" s="35">
        <v>46067.30262731481</v>
      </c>
    </row>
    <row r="837">
      <c r="A837" s="33">
        <v>46067.0</v>
      </c>
      <c r="B837" s="1" t="s">
        <v>59</v>
      </c>
      <c r="C837" s="1" t="s">
        <v>3</v>
      </c>
      <c r="D837" s="1"/>
      <c r="E837" s="34">
        <v>185.0</v>
      </c>
      <c r="F837" s="34">
        <v>1468.0</v>
      </c>
      <c r="G837" s="15">
        <v>60545.0</v>
      </c>
      <c r="H837" s="16">
        <v>0.02424642827648856</v>
      </c>
      <c r="I837" s="17">
        <v>5.907671979519366</v>
      </c>
      <c r="J837" s="16">
        <v>1.83270911360799</v>
      </c>
      <c r="K837" s="16">
        <v>2.8815858359906716</v>
      </c>
      <c r="L837" s="16">
        <v>0.04864864864864865</v>
      </c>
      <c r="M837" s="16">
        <v>0.07027027027027027</v>
      </c>
      <c r="N837" s="16">
        <v>0.41081081081081083</v>
      </c>
      <c r="O837" s="16">
        <v>0.08108108108108109</v>
      </c>
      <c r="P837" s="35">
        <v>46067.30262731481</v>
      </c>
    </row>
    <row r="838">
      <c r="A838" s="33">
        <v>46067.0</v>
      </c>
      <c r="B838" s="1" t="s">
        <v>59</v>
      </c>
      <c r="C838" s="3" t="s">
        <v>4</v>
      </c>
      <c r="D838" s="1"/>
      <c r="E838" s="34">
        <v>105.0</v>
      </c>
      <c r="F838" s="34">
        <v>1188.0</v>
      </c>
      <c r="G838" s="15">
        <v>46292.0</v>
      </c>
      <c r="H838" s="16">
        <v>0.025663181543247215</v>
      </c>
      <c r="I838" s="17">
        <v>4.560550419078891</v>
      </c>
      <c r="J838" s="16">
        <v>1.8248847926267282</v>
      </c>
      <c r="K838" s="16">
        <v>2.644199463071914</v>
      </c>
      <c r="L838" s="16">
        <v>0.05714285714285714</v>
      </c>
      <c r="M838" s="16">
        <v>0.08571428571428572</v>
      </c>
      <c r="N838" s="16">
        <v>0.23809523809523808</v>
      </c>
      <c r="O838" s="16">
        <v>0.11428571428571428</v>
      </c>
      <c r="P838" s="35">
        <v>46067.30262731481</v>
      </c>
    </row>
    <row r="839">
      <c r="A839" s="33">
        <v>46067.0</v>
      </c>
      <c r="B839" s="1" t="s">
        <v>59</v>
      </c>
      <c r="C839" s="3" t="s">
        <v>5</v>
      </c>
      <c r="D839" s="1"/>
      <c r="E839" s="34">
        <v>40.0</v>
      </c>
      <c r="F839" s="34">
        <v>6069.0</v>
      </c>
      <c r="G839" s="15">
        <v>71900.0</v>
      </c>
      <c r="H839" s="16">
        <v>0.08440890125173853</v>
      </c>
      <c r="I839" s="17">
        <v>5.256425591098748</v>
      </c>
      <c r="J839" s="16">
        <v>0.9434167573449401</v>
      </c>
      <c r="K839" s="16">
        <v>1.6453842281111264</v>
      </c>
      <c r="L839" s="16">
        <v>0.125</v>
      </c>
      <c r="M839" s="16">
        <v>0.175</v>
      </c>
      <c r="N839" s="16">
        <v>0.2</v>
      </c>
      <c r="O839" s="16">
        <v>0.075</v>
      </c>
      <c r="P839" s="35">
        <v>46067.30262731481</v>
      </c>
    </row>
    <row r="840">
      <c r="A840" s="33">
        <v>46067.0</v>
      </c>
      <c r="B840" s="1" t="s">
        <v>59</v>
      </c>
      <c r="C840" s="3" t="s">
        <v>6</v>
      </c>
      <c r="D840" s="1"/>
      <c r="E840" s="34">
        <v>29.0</v>
      </c>
      <c r="F840" s="34">
        <v>5892.0</v>
      </c>
      <c r="G840" s="15">
        <v>415589.0</v>
      </c>
      <c r="H840" s="16">
        <v>0.014177468604799454</v>
      </c>
      <c r="I840" s="17">
        <v>4.609457901917519</v>
      </c>
      <c r="J840" s="16">
        <v>1.2630225080385853</v>
      </c>
      <c r="K840" s="16">
        <v>1.7240636875031115</v>
      </c>
      <c r="L840" s="16">
        <v>0.0</v>
      </c>
      <c r="M840" s="16">
        <v>0.034482758620689655</v>
      </c>
      <c r="N840" s="16">
        <v>0.5862068965517241</v>
      </c>
      <c r="O840" s="16">
        <v>0.3793103448275862</v>
      </c>
      <c r="P840" s="35">
        <v>46067.30262731481</v>
      </c>
    </row>
    <row r="841">
      <c r="A841" s="33">
        <v>46067.0</v>
      </c>
      <c r="B841" s="1" t="s">
        <v>59</v>
      </c>
      <c r="C841" s="3" t="s">
        <v>7</v>
      </c>
      <c r="D841" s="1"/>
      <c r="E841" s="34">
        <v>130.0</v>
      </c>
      <c r="F841" s="34">
        <v>1431.0</v>
      </c>
      <c r="G841" s="15">
        <v>295881.0</v>
      </c>
      <c r="H841" s="16">
        <v>0.00483640382451053</v>
      </c>
      <c r="I841" s="17">
        <v>4.168033770333343</v>
      </c>
      <c r="J841" s="16">
        <v>2.385</v>
      </c>
      <c r="K841" s="16">
        <v>8.607948098798476</v>
      </c>
      <c r="L841" s="16">
        <v>0.05384615384615385</v>
      </c>
      <c r="M841" s="16">
        <v>0.47692307692307695</v>
      </c>
      <c r="N841" s="16">
        <v>0.5230769230769231</v>
      </c>
      <c r="O841" s="16">
        <v>0.26153846153846155</v>
      </c>
      <c r="P841" s="35">
        <v>46067.30262731481</v>
      </c>
    </row>
    <row r="842">
      <c r="A842" s="33">
        <v>46067.0</v>
      </c>
      <c r="B842" s="1" t="s">
        <v>59</v>
      </c>
      <c r="C842" s="3" t="s">
        <v>8</v>
      </c>
      <c r="D842" s="1"/>
      <c r="E842" s="34">
        <v>119.0</v>
      </c>
      <c r="F842" s="34">
        <v>1168.0</v>
      </c>
      <c r="G842" s="15">
        <v>401994.0</v>
      </c>
      <c r="H842" s="16">
        <v>0.002905516002726409</v>
      </c>
      <c r="I842" s="17">
        <v>5.0866132330333285</v>
      </c>
      <c r="J842" s="16">
        <v>0.9782244556113903</v>
      </c>
      <c r="K842" s="16">
        <v>3.2279081718686014</v>
      </c>
      <c r="L842" s="16">
        <v>0.16806722689075632</v>
      </c>
      <c r="M842" s="16">
        <v>0.6050420168067226</v>
      </c>
      <c r="N842" s="16">
        <v>0.4957983193277311</v>
      </c>
      <c r="O842" s="16">
        <v>0.20168067226890757</v>
      </c>
      <c r="P842" s="35">
        <v>46067.30262731481</v>
      </c>
    </row>
    <row r="843">
      <c r="A843" s="33">
        <v>46067.0</v>
      </c>
      <c r="B843" s="1" t="s">
        <v>59</v>
      </c>
      <c r="C843" s="3" t="s">
        <v>9</v>
      </c>
      <c r="D843" s="1"/>
      <c r="E843" s="34">
        <v>11.0</v>
      </c>
      <c r="F843" s="34">
        <v>15.0</v>
      </c>
      <c r="G843" s="15">
        <v>600.0</v>
      </c>
      <c r="H843" s="16">
        <v>0.025</v>
      </c>
      <c r="I843" s="17">
        <v>13.765</v>
      </c>
      <c r="J843" s="16">
        <v>1.875</v>
      </c>
      <c r="K843" s="16">
        <v>3.2432432432432434</v>
      </c>
      <c r="L843" s="16">
        <v>0.09090909090909091</v>
      </c>
      <c r="M843" s="16">
        <v>0.09090909090909091</v>
      </c>
      <c r="N843" s="16">
        <v>0.18181818181818182</v>
      </c>
      <c r="O843" s="16">
        <v>0.09090909090909091</v>
      </c>
      <c r="P843" s="35">
        <v>46067.30262731481</v>
      </c>
    </row>
    <row r="844">
      <c r="A844" s="33">
        <v>46067.0</v>
      </c>
      <c r="B844" s="1" t="s">
        <v>59</v>
      </c>
      <c r="C844" s="3" t="s">
        <v>10</v>
      </c>
      <c r="D844" s="1"/>
      <c r="E844" s="34">
        <v>76.0</v>
      </c>
      <c r="F844" s="34">
        <v>3439.0</v>
      </c>
      <c r="G844" s="15">
        <v>493451.0</v>
      </c>
      <c r="H844" s="16">
        <v>0.006969283677609327</v>
      </c>
      <c r="I844" s="17">
        <v>4.391647802922681</v>
      </c>
      <c r="J844" s="16">
        <v>5.90893470790378</v>
      </c>
      <c r="K844" s="16">
        <v>7.993957361327112</v>
      </c>
      <c r="L844" s="16">
        <v>0.013157894736842105</v>
      </c>
      <c r="M844" s="16">
        <v>0.15789473684210525</v>
      </c>
      <c r="N844" s="16">
        <v>0.32894736842105265</v>
      </c>
      <c r="O844" s="16">
        <v>0.21052631578947367</v>
      </c>
      <c r="P844" s="35">
        <v>46067.30262731481</v>
      </c>
    </row>
    <row r="845">
      <c r="A845" s="33">
        <v>46067.0</v>
      </c>
      <c r="B845" s="1" t="s">
        <v>60</v>
      </c>
      <c r="D845" s="1" t="s">
        <v>30</v>
      </c>
      <c r="E845" s="34">
        <v>9.0</v>
      </c>
      <c r="F845" s="34">
        <v>602.0</v>
      </c>
      <c r="G845" s="15">
        <v>13498.0</v>
      </c>
      <c r="H845" s="16">
        <v>0.04459919988146392</v>
      </c>
      <c r="I845" s="17">
        <v>10.788487183286414</v>
      </c>
      <c r="J845" s="16">
        <v>1.2890792291220556</v>
      </c>
      <c r="K845" s="16">
        <v>0.7823113480931958</v>
      </c>
      <c r="L845" s="16">
        <v>0.0</v>
      </c>
      <c r="M845" s="16">
        <v>0.1111111111111111</v>
      </c>
      <c r="N845" s="16">
        <v>0.6666666666666666</v>
      </c>
      <c r="O845" s="16">
        <v>0.3333333333333333</v>
      </c>
      <c r="P845" s="35">
        <v>46067.30262731481</v>
      </c>
    </row>
    <row r="846">
      <c r="A846" s="33">
        <v>46067.0</v>
      </c>
      <c r="B846" s="1" t="s">
        <v>60</v>
      </c>
      <c r="D846" s="1" t="s">
        <v>31</v>
      </c>
      <c r="E846" s="34">
        <v>63.0</v>
      </c>
      <c r="F846" s="34">
        <v>266.0</v>
      </c>
      <c r="G846" s="15">
        <v>7472.0</v>
      </c>
      <c r="H846" s="16">
        <v>0.03559957173447537</v>
      </c>
      <c r="I846" s="17">
        <v>8.722028907922912</v>
      </c>
      <c r="J846" s="16">
        <v>2.094488188976378</v>
      </c>
      <c r="K846" s="16">
        <v>0.7241011725942437</v>
      </c>
      <c r="L846" s="16">
        <v>0.12698412698412698</v>
      </c>
      <c r="M846" s="16">
        <v>0.12698412698412698</v>
      </c>
      <c r="N846" s="16">
        <v>0.3968253968253968</v>
      </c>
      <c r="O846" s="16">
        <v>0.14285714285714285</v>
      </c>
      <c r="P846" s="35">
        <v>46067.30262731481</v>
      </c>
    </row>
    <row r="847">
      <c r="A847" s="33">
        <v>46067.0</v>
      </c>
      <c r="B847" s="1" t="s">
        <v>60</v>
      </c>
      <c r="D847" s="1" t="s">
        <v>32</v>
      </c>
      <c r="E847" s="34">
        <v>562.0</v>
      </c>
      <c r="F847" s="34">
        <v>20911.0</v>
      </c>
      <c r="G847" s="15">
        <v>1868611.0</v>
      </c>
      <c r="H847" s="16">
        <v>0.011190665151815975</v>
      </c>
      <c r="I847" s="17">
        <v>4.582074064639457</v>
      </c>
      <c r="J847" s="16">
        <v>1.467438596491228</v>
      </c>
      <c r="K847" s="16">
        <v>3.5574633756294443</v>
      </c>
      <c r="L847" s="16">
        <v>0.06405693950177936</v>
      </c>
      <c r="M847" s="16">
        <v>0.29537366548042704</v>
      </c>
      <c r="N847" s="16">
        <v>0.46441281138790036</v>
      </c>
      <c r="O847" s="16">
        <v>0.1903914590747331</v>
      </c>
      <c r="P847" s="35">
        <v>46067.30262731481</v>
      </c>
    </row>
    <row r="848">
      <c r="A848" s="33">
        <v>46067.0</v>
      </c>
      <c r="B848" s="1" t="s">
        <v>60</v>
      </c>
      <c r="D848" s="1" t="s">
        <v>33</v>
      </c>
      <c r="E848" s="34">
        <v>105.0</v>
      </c>
      <c r="F848" s="34">
        <v>359.0</v>
      </c>
      <c r="G848" s="15">
        <v>31360.0</v>
      </c>
      <c r="H848" s="16">
        <v>0.011447704081632653</v>
      </c>
      <c r="I848" s="17">
        <v>4.667793367346939</v>
      </c>
      <c r="J848" s="16">
        <v>0.8650602409638555</v>
      </c>
      <c r="K848" s="16">
        <v>3.5672847230121714</v>
      </c>
      <c r="L848" s="16">
        <v>0.05714285714285714</v>
      </c>
      <c r="M848" s="16">
        <v>0.0761904761904762</v>
      </c>
      <c r="N848" s="16">
        <v>0.3333333333333333</v>
      </c>
      <c r="O848" s="16">
        <v>0.047619047619047616</v>
      </c>
      <c r="P848" s="35">
        <v>46067.30262731481</v>
      </c>
    </row>
    <row r="849">
      <c r="A849" s="33">
        <v>46067.0</v>
      </c>
      <c r="B849" s="1" t="s">
        <v>60</v>
      </c>
      <c r="D849" s="1" t="s">
        <v>34</v>
      </c>
      <c r="E849" s="34">
        <v>89.0</v>
      </c>
      <c r="F849" s="34">
        <v>26.0</v>
      </c>
      <c r="G849" s="15">
        <v>1304.0</v>
      </c>
      <c r="H849" s="16">
        <v>0.019938650306748466</v>
      </c>
      <c r="I849" s="17">
        <v>8.480828220858896</v>
      </c>
      <c r="J849" s="16">
        <v>1.5294117647058822</v>
      </c>
      <c r="K849" s="16">
        <v>0.46224742998936547</v>
      </c>
      <c r="L849" s="16">
        <v>0.02247191011235955</v>
      </c>
      <c r="M849" s="16">
        <v>0.02247191011235955</v>
      </c>
      <c r="N849" s="16">
        <v>0.07865168539325842</v>
      </c>
      <c r="O849" s="16">
        <v>0.056179775280898875</v>
      </c>
      <c r="P849" s="35">
        <v>46067.30262731481</v>
      </c>
    </row>
    <row r="850">
      <c r="A850" s="33">
        <v>46068.0</v>
      </c>
      <c r="B850" s="1" t="s">
        <v>57</v>
      </c>
      <c r="D850" s="1"/>
      <c r="E850" s="34">
        <v>1166.0</v>
      </c>
      <c r="F850" s="34">
        <v>22231.0</v>
      </c>
      <c r="G850" s="15">
        <v>1926763.0</v>
      </c>
      <c r="H850" s="16">
        <v>0.01153800441465816</v>
      </c>
      <c r="I850" s="17">
        <v>4.647730416247354</v>
      </c>
      <c r="J850" s="16">
        <v>1.4470481025841306</v>
      </c>
      <c r="K850" s="16">
        <v>3.3523380518902064</v>
      </c>
      <c r="L850" s="16">
        <v>0.045454545454545456</v>
      </c>
      <c r="M850" s="16">
        <v>0.1646655231560892</v>
      </c>
      <c r="N850" s="16">
        <v>0.307032590051458</v>
      </c>
      <c r="O850" s="16">
        <v>0.1234991423670669</v>
      </c>
      <c r="P850" s="35">
        <v>46068.30263888889</v>
      </c>
    </row>
    <row r="851">
      <c r="A851" s="33">
        <v>46068.0</v>
      </c>
      <c r="B851" s="1" t="s">
        <v>58</v>
      </c>
      <c r="D851" s="1"/>
      <c r="E851" s="34">
        <v>828.0</v>
      </c>
      <c r="F851" s="34">
        <v>22114.0</v>
      </c>
      <c r="G851" s="15">
        <v>1924328.0</v>
      </c>
      <c r="H851" s="16">
        <v>0.011491803892059982</v>
      </c>
      <c r="I851" s="17">
        <v>4.646694846200855</v>
      </c>
      <c r="J851" s="16">
        <v>1.451335564743716</v>
      </c>
      <c r="K851" s="16">
        <v>3.42042556065688</v>
      </c>
      <c r="L851" s="16">
        <v>0.057971014492753624</v>
      </c>
      <c r="M851" s="16">
        <v>0.22584541062801933</v>
      </c>
      <c r="N851" s="16">
        <v>0.40700483091787437</v>
      </c>
      <c r="O851" s="16">
        <v>0.15458937198067632</v>
      </c>
      <c r="P851" s="35">
        <v>46068.30263888889</v>
      </c>
    </row>
    <row r="852">
      <c r="A852" s="33">
        <v>46068.0</v>
      </c>
      <c r="B852" s="1" t="s">
        <v>59</v>
      </c>
      <c r="C852" s="3" t="s">
        <v>2</v>
      </c>
      <c r="D852" s="1"/>
      <c r="E852" s="34">
        <v>133.0</v>
      </c>
      <c r="F852" s="34">
        <v>1481.0</v>
      </c>
      <c r="G852" s="15">
        <v>134540.0</v>
      </c>
      <c r="H852" s="16">
        <v>0.011007878697785045</v>
      </c>
      <c r="I852" s="17">
        <v>4.5659506466478375</v>
      </c>
      <c r="J852" s="16">
        <v>4.460843373493976</v>
      </c>
      <c r="K852" s="16">
        <v>6.6782487838776925</v>
      </c>
      <c r="L852" s="16">
        <v>0.03007518796992481</v>
      </c>
      <c r="M852" s="16">
        <v>0.06766917293233082</v>
      </c>
      <c r="N852" s="16">
        <v>0.39849624060150374</v>
      </c>
      <c r="O852" s="16">
        <v>0.09774436090225563</v>
      </c>
      <c r="P852" s="35">
        <v>46068.30263888889</v>
      </c>
    </row>
    <row r="853">
      <c r="A853" s="33">
        <v>46068.0</v>
      </c>
      <c r="B853" s="1" t="s">
        <v>59</v>
      </c>
      <c r="C853" s="1" t="s">
        <v>3</v>
      </c>
      <c r="D853" s="1"/>
      <c r="E853" s="34">
        <v>185.0</v>
      </c>
      <c r="F853" s="34">
        <v>1488.0</v>
      </c>
      <c r="G853" s="15">
        <v>61173.0</v>
      </c>
      <c r="H853" s="16">
        <v>0.02432445686822618</v>
      </c>
      <c r="I853" s="17">
        <v>5.914047046899776</v>
      </c>
      <c r="J853" s="16">
        <v>1.8859315589353611</v>
      </c>
      <c r="K853" s="16">
        <v>2.938749039200615</v>
      </c>
      <c r="L853" s="16">
        <v>0.03783783783783784</v>
      </c>
      <c r="M853" s="16">
        <v>0.05945945945945946</v>
      </c>
      <c r="N853" s="16">
        <v>0.3945945945945946</v>
      </c>
      <c r="O853" s="16">
        <v>0.10270270270270271</v>
      </c>
      <c r="P853" s="35">
        <v>46068.30263888889</v>
      </c>
    </row>
    <row r="854">
      <c r="A854" s="33">
        <v>46068.0</v>
      </c>
      <c r="B854" s="1" t="s">
        <v>59</v>
      </c>
      <c r="C854" s="3" t="s">
        <v>4</v>
      </c>
      <c r="D854" s="1"/>
      <c r="E854" s="34">
        <v>105.0</v>
      </c>
      <c r="F854" s="34">
        <v>1214.0</v>
      </c>
      <c r="G854" s="15">
        <v>46883.0</v>
      </c>
      <c r="H854" s="16">
        <v>0.025894247381780176</v>
      </c>
      <c r="I854" s="17">
        <v>4.537358957404603</v>
      </c>
      <c r="J854" s="16">
        <v>1.8338368580060422</v>
      </c>
      <c r="K854" s="16">
        <v>2.668507029426831</v>
      </c>
      <c r="L854" s="16">
        <v>0.05714285714285714</v>
      </c>
      <c r="M854" s="16">
        <v>0.10476190476190476</v>
      </c>
      <c r="N854" s="16">
        <v>0.24761904761904763</v>
      </c>
      <c r="O854" s="16">
        <v>0.10476190476190476</v>
      </c>
      <c r="P854" s="35">
        <v>46068.30263888889</v>
      </c>
    </row>
    <row r="855">
      <c r="A855" s="33">
        <v>46068.0</v>
      </c>
      <c r="B855" s="1" t="s">
        <v>59</v>
      </c>
      <c r="C855" s="3" t="s">
        <v>5</v>
      </c>
      <c r="D855" s="1"/>
      <c r="E855" s="34">
        <v>40.0</v>
      </c>
      <c r="F855" s="34">
        <v>6106.0</v>
      </c>
      <c r="G855" s="15">
        <v>72268.0</v>
      </c>
      <c r="H855" s="16">
        <v>0.08449106105053412</v>
      </c>
      <c r="I855" s="17">
        <v>5.243441080422871</v>
      </c>
      <c r="J855" s="16">
        <v>0.942283950617284</v>
      </c>
      <c r="K855" s="16">
        <v>1.644959369949696</v>
      </c>
      <c r="L855" s="16">
        <v>0.1</v>
      </c>
      <c r="M855" s="16">
        <v>0.15</v>
      </c>
      <c r="N855" s="16">
        <v>0.2</v>
      </c>
      <c r="O855" s="16">
        <v>0.1</v>
      </c>
      <c r="P855" s="35">
        <v>46068.30263888889</v>
      </c>
    </row>
    <row r="856">
      <c r="A856" s="33">
        <v>46068.0</v>
      </c>
      <c r="B856" s="1" t="s">
        <v>59</v>
      </c>
      <c r="C856" s="3" t="s">
        <v>6</v>
      </c>
      <c r="D856" s="1"/>
      <c r="E856" s="34">
        <v>29.0</v>
      </c>
      <c r="F856" s="34">
        <v>5807.0</v>
      </c>
      <c r="G856" s="15">
        <v>413532.0</v>
      </c>
      <c r="H856" s="16">
        <v>0.014042444115570258</v>
      </c>
      <c r="I856" s="17">
        <v>4.608460772080516</v>
      </c>
      <c r="J856" s="16">
        <v>1.2670739690159285</v>
      </c>
      <c r="K856" s="16">
        <v>1.7365298126708575</v>
      </c>
      <c r="L856" s="16">
        <v>0.0</v>
      </c>
      <c r="M856" s="16">
        <v>0.034482758620689655</v>
      </c>
      <c r="N856" s="16">
        <v>0.5862068965517241</v>
      </c>
      <c r="O856" s="16">
        <v>0.3793103448275862</v>
      </c>
      <c r="P856" s="35">
        <v>46068.30263888889</v>
      </c>
    </row>
    <row r="857">
      <c r="A857" s="33">
        <v>46068.0</v>
      </c>
      <c r="B857" s="1" t="s">
        <v>59</v>
      </c>
      <c r="C857" s="3" t="s">
        <v>7</v>
      </c>
      <c r="D857" s="1"/>
      <c r="E857" s="34">
        <v>130.0</v>
      </c>
      <c r="F857" s="34">
        <v>1429.0</v>
      </c>
      <c r="G857" s="15">
        <v>298854.0</v>
      </c>
      <c r="H857" s="16">
        <v>0.004781599041672522</v>
      </c>
      <c r="I857" s="17">
        <v>4.150735810797245</v>
      </c>
      <c r="J857" s="16">
        <v>2.381666666666667</v>
      </c>
      <c r="K857" s="16">
        <v>8.641145005059997</v>
      </c>
      <c r="L857" s="16">
        <v>0.06153846153846154</v>
      </c>
      <c r="M857" s="16">
        <v>0.5</v>
      </c>
      <c r="N857" s="16">
        <v>0.5538461538461539</v>
      </c>
      <c r="O857" s="16">
        <v>0.23076923076923078</v>
      </c>
      <c r="P857" s="35">
        <v>46068.30263888889</v>
      </c>
    </row>
    <row r="858">
      <c r="A858" s="33">
        <v>46068.0</v>
      </c>
      <c r="B858" s="1" t="s">
        <v>59</v>
      </c>
      <c r="C858" s="3" t="s">
        <v>8</v>
      </c>
      <c r="D858" s="1"/>
      <c r="E858" s="34">
        <v>119.0</v>
      </c>
      <c r="F858" s="34">
        <v>1195.0</v>
      </c>
      <c r="G858" s="15">
        <v>404529.0</v>
      </c>
      <c r="H858" s="16">
        <v>0.0029540527378754057</v>
      </c>
      <c r="I858" s="17">
        <v>5.083845657542476</v>
      </c>
      <c r="J858" s="16">
        <v>0.9867877786952931</v>
      </c>
      <c r="K858" s="16">
        <v>3.2366980845241713</v>
      </c>
      <c r="L858" s="16">
        <v>0.14285714285714285</v>
      </c>
      <c r="M858" s="16">
        <v>0.5966386554621849</v>
      </c>
      <c r="N858" s="16">
        <v>0.5294117647058824</v>
      </c>
      <c r="O858" s="16">
        <v>0.16806722689075632</v>
      </c>
      <c r="P858" s="35">
        <v>46068.30263888889</v>
      </c>
    </row>
    <row r="859">
      <c r="A859" s="33">
        <v>46068.0</v>
      </c>
      <c r="B859" s="1" t="s">
        <v>59</v>
      </c>
      <c r="C859" s="3" t="s">
        <v>9</v>
      </c>
      <c r="D859" s="1"/>
      <c r="E859" s="34">
        <v>11.0</v>
      </c>
      <c r="F859" s="34">
        <v>15.0</v>
      </c>
      <c r="G859" s="15">
        <v>621.0</v>
      </c>
      <c r="H859" s="16">
        <v>0.024154589371980676</v>
      </c>
      <c r="I859" s="17">
        <v>13.51207729468599</v>
      </c>
      <c r="J859" s="16">
        <v>1.875</v>
      </c>
      <c r="K859" s="16">
        <v>3.4887640449438204</v>
      </c>
      <c r="L859" s="16">
        <v>0.09090909090909091</v>
      </c>
      <c r="M859" s="16">
        <v>0.09090909090909091</v>
      </c>
      <c r="N859" s="16">
        <v>0.18181818181818182</v>
      </c>
      <c r="O859" s="16">
        <v>0.09090909090909091</v>
      </c>
      <c r="P859" s="35">
        <v>46068.30263888889</v>
      </c>
    </row>
    <row r="860">
      <c r="A860" s="33">
        <v>46068.0</v>
      </c>
      <c r="B860" s="1" t="s">
        <v>59</v>
      </c>
      <c r="C860" s="3" t="s">
        <v>10</v>
      </c>
      <c r="D860" s="1"/>
      <c r="E860" s="34">
        <v>76.0</v>
      </c>
      <c r="F860" s="34">
        <v>3379.0</v>
      </c>
      <c r="G860" s="15">
        <v>491928.0</v>
      </c>
      <c r="H860" s="16">
        <v>0.006868891382478736</v>
      </c>
      <c r="I860" s="17">
        <v>4.396700330129613</v>
      </c>
      <c r="J860" s="16">
        <v>5.9073426573426575</v>
      </c>
      <c r="K860" s="16">
        <v>7.902077008336947</v>
      </c>
      <c r="L860" s="16">
        <v>0.013157894736842105</v>
      </c>
      <c r="M860" s="16">
        <v>0.15789473684210525</v>
      </c>
      <c r="N860" s="16">
        <v>0.3026315789473684</v>
      </c>
      <c r="O860" s="16">
        <v>0.25</v>
      </c>
      <c r="P860" s="35">
        <v>46068.30263888889</v>
      </c>
    </row>
    <row r="861">
      <c r="A861" s="33">
        <v>46068.0</v>
      </c>
      <c r="B861" s="1" t="s">
        <v>60</v>
      </c>
      <c r="D861" s="1" t="s">
        <v>30</v>
      </c>
      <c r="E861" s="34">
        <v>9.0</v>
      </c>
      <c r="F861" s="34">
        <v>601.0</v>
      </c>
      <c r="G861" s="15">
        <v>13649.0</v>
      </c>
      <c r="H861" s="16">
        <v>0.04403252985566708</v>
      </c>
      <c r="I861" s="17">
        <v>10.875961608909078</v>
      </c>
      <c r="J861" s="16">
        <v>1.3036876355748372</v>
      </c>
      <c r="K861" s="16">
        <v>0.7976273959794297</v>
      </c>
      <c r="L861" s="16">
        <v>0.0</v>
      </c>
      <c r="M861" s="16">
        <v>0.1111111111111111</v>
      </c>
      <c r="N861" s="16">
        <v>0.6666666666666666</v>
      </c>
      <c r="O861" s="16">
        <v>0.3333333333333333</v>
      </c>
      <c r="P861" s="35">
        <v>46068.30263888889</v>
      </c>
    </row>
    <row r="862">
      <c r="A862" s="33">
        <v>46068.0</v>
      </c>
      <c r="B862" s="1" t="s">
        <v>60</v>
      </c>
      <c r="D862" s="1" t="s">
        <v>31</v>
      </c>
      <c r="E862" s="34">
        <v>63.0</v>
      </c>
      <c r="F862" s="34">
        <v>273.0</v>
      </c>
      <c r="G862" s="15">
        <v>7587.0</v>
      </c>
      <c r="H862" s="16">
        <v>0.03598260181890075</v>
      </c>
      <c r="I862" s="17">
        <v>8.842230130486358</v>
      </c>
      <c r="J862" s="16">
        <v>2.116279069767442</v>
      </c>
      <c r="K862" s="16">
        <v>0.7379632331485264</v>
      </c>
      <c r="L862" s="16">
        <v>0.1111111111111111</v>
      </c>
      <c r="M862" s="16">
        <v>0.1111111111111111</v>
      </c>
      <c r="N862" s="16">
        <v>0.3968253968253968</v>
      </c>
      <c r="O862" s="16">
        <v>0.15873015873015872</v>
      </c>
      <c r="P862" s="35">
        <v>46068.30263888889</v>
      </c>
    </row>
    <row r="863">
      <c r="A863" s="33">
        <v>46068.0</v>
      </c>
      <c r="B863" s="1" t="s">
        <v>60</v>
      </c>
      <c r="D863" s="1" t="s">
        <v>32</v>
      </c>
      <c r="E863" s="34">
        <v>562.0</v>
      </c>
      <c r="F863" s="34">
        <v>20851.0</v>
      </c>
      <c r="G863" s="15">
        <v>1870345.0</v>
      </c>
      <c r="H863" s="16">
        <v>0.011148210624243121</v>
      </c>
      <c r="I863" s="17">
        <v>4.58179105993814</v>
      </c>
      <c r="J863" s="16">
        <v>1.4668308125219838</v>
      </c>
      <c r="K863" s="16">
        <v>3.5714463026118306</v>
      </c>
      <c r="L863" s="16">
        <v>0.05871886120996441</v>
      </c>
      <c r="M863" s="16">
        <v>0.297153024911032</v>
      </c>
      <c r="N863" s="16">
        <v>0.4697508896797153</v>
      </c>
      <c r="O863" s="16">
        <v>0.18683274021352314</v>
      </c>
      <c r="P863" s="35">
        <v>46068.30263888889</v>
      </c>
    </row>
    <row r="864">
      <c r="A864" s="33">
        <v>46068.0</v>
      </c>
      <c r="B864" s="1" t="s">
        <v>60</v>
      </c>
      <c r="D864" s="1" t="s">
        <v>33</v>
      </c>
      <c r="E864" s="34">
        <v>105.0</v>
      </c>
      <c r="F864" s="34">
        <v>363.0</v>
      </c>
      <c r="G864" s="15">
        <v>31459.0</v>
      </c>
      <c r="H864" s="16">
        <v>0.011538828316221113</v>
      </c>
      <c r="I864" s="17">
        <v>4.630503194634286</v>
      </c>
      <c r="J864" s="16">
        <v>0.8746987951807229</v>
      </c>
      <c r="K864" s="16">
        <v>3.602313065384175</v>
      </c>
      <c r="L864" s="16">
        <v>0.047619047619047616</v>
      </c>
      <c r="M864" s="16">
        <v>0.08571428571428572</v>
      </c>
      <c r="N864" s="16">
        <v>0.3333333333333333</v>
      </c>
      <c r="O864" s="16">
        <v>0.05714285714285714</v>
      </c>
      <c r="P864" s="35">
        <v>46068.30263888889</v>
      </c>
    </row>
    <row r="865">
      <c r="A865" s="33">
        <v>46068.0</v>
      </c>
      <c r="B865" s="1" t="s">
        <v>60</v>
      </c>
      <c r="D865" s="1" t="s">
        <v>34</v>
      </c>
      <c r="E865" s="34">
        <v>89.0</v>
      </c>
      <c r="F865" s="34">
        <v>26.0</v>
      </c>
      <c r="G865" s="15">
        <v>1288.0</v>
      </c>
      <c r="H865" s="16">
        <v>0.020186335403726708</v>
      </c>
      <c r="I865" s="17">
        <v>8.565217391304348</v>
      </c>
      <c r="J865" s="16">
        <v>1.5294117647058822</v>
      </c>
      <c r="K865" s="16">
        <v>0.4634760705289673</v>
      </c>
      <c r="L865" s="16">
        <v>0.033707865168539325</v>
      </c>
      <c r="M865" s="16">
        <v>0.033707865168539325</v>
      </c>
      <c r="N865" s="16">
        <v>0.07865168539325842</v>
      </c>
      <c r="O865" s="16">
        <v>0.0449438202247191</v>
      </c>
      <c r="P865" s="35">
        <v>46068.30263888889</v>
      </c>
    </row>
    <row r="866">
      <c r="A866" s="33">
        <v>46069.0</v>
      </c>
      <c r="B866" s="1" t="s">
        <v>57</v>
      </c>
      <c r="D866" s="1"/>
      <c r="E866" s="34">
        <v>1166.0</v>
      </c>
      <c r="F866" s="34">
        <v>22100.0</v>
      </c>
      <c r="G866" s="15">
        <v>1916500.0</v>
      </c>
      <c r="H866" s="16">
        <v>0.011531437516305766</v>
      </c>
      <c r="I866" s="17">
        <v>4.636821288807722</v>
      </c>
      <c r="J866" s="16">
        <v>1.4400208509806476</v>
      </c>
      <c r="K866" s="16">
        <v>3.354941032513081</v>
      </c>
      <c r="L866" s="16">
        <v>0.044596912521440824</v>
      </c>
      <c r="M866" s="16">
        <v>0.16380789022298456</v>
      </c>
      <c r="N866" s="16">
        <v>0.30445969125214406</v>
      </c>
      <c r="O866" s="16">
        <v>0.12864493996569468</v>
      </c>
      <c r="P866" s="35">
        <v>46069.30263888889</v>
      </c>
    </row>
    <row r="867">
      <c r="A867" s="33">
        <v>46069.0</v>
      </c>
      <c r="B867" s="1" t="s">
        <v>58</v>
      </c>
      <c r="D867" s="1"/>
      <c r="E867" s="34">
        <v>828.0</v>
      </c>
      <c r="F867" s="34">
        <v>21982.0</v>
      </c>
      <c r="G867" s="15">
        <v>1913967.0</v>
      </c>
      <c r="H867" s="16">
        <v>0.011485046502891639</v>
      </c>
      <c r="I867" s="17">
        <v>4.635772194609416</v>
      </c>
      <c r="J867" s="16">
        <v>1.4441889494776954</v>
      </c>
      <c r="K867" s="16">
        <v>3.4220207434530825</v>
      </c>
      <c r="L867" s="16">
        <v>0.05676328502415459</v>
      </c>
      <c r="M867" s="16">
        <v>0.2246376811594203</v>
      </c>
      <c r="N867" s="16">
        <v>0.40458937198067635</v>
      </c>
      <c r="O867" s="16">
        <v>0.15942028985507245</v>
      </c>
      <c r="P867" s="35">
        <v>46069.30263888889</v>
      </c>
    </row>
    <row r="868">
      <c r="A868" s="33">
        <v>46069.0</v>
      </c>
      <c r="B868" s="1" t="s">
        <v>59</v>
      </c>
      <c r="C868" s="3" t="s">
        <v>2</v>
      </c>
      <c r="D868" s="1"/>
      <c r="E868" s="34">
        <v>133.0</v>
      </c>
      <c r="F868" s="34">
        <v>1491.0</v>
      </c>
      <c r="G868" s="15">
        <v>134424.0</v>
      </c>
      <c r="H868" s="16">
        <v>0.01109176932690591</v>
      </c>
      <c r="I868" s="17">
        <v>4.540312741772302</v>
      </c>
      <c r="J868" s="16">
        <v>4.531914893617022</v>
      </c>
      <c r="K868" s="16">
        <v>6.769943593875906</v>
      </c>
      <c r="L868" s="16">
        <v>0.03759398496240601</v>
      </c>
      <c r="M868" s="16">
        <v>0.06766917293233082</v>
      </c>
      <c r="N868" s="16">
        <v>0.39097744360902253</v>
      </c>
      <c r="O868" s="16">
        <v>0.09774436090225563</v>
      </c>
      <c r="P868" s="35">
        <v>46069.30263888889</v>
      </c>
    </row>
    <row r="869">
      <c r="A869" s="33">
        <v>46069.0</v>
      </c>
      <c r="B869" s="1" t="s">
        <v>59</v>
      </c>
      <c r="C869" s="1" t="s">
        <v>3</v>
      </c>
      <c r="D869" s="1"/>
      <c r="E869" s="34">
        <v>185.0</v>
      </c>
      <c r="F869" s="34">
        <v>1489.0</v>
      </c>
      <c r="G869" s="15">
        <v>61728.0</v>
      </c>
      <c r="H869" s="16">
        <v>0.024121954380508036</v>
      </c>
      <c r="I869" s="17">
        <v>5.8703019699326076</v>
      </c>
      <c r="J869" s="16">
        <v>1.899234693877551</v>
      </c>
      <c r="K869" s="16">
        <v>2.998542698921597</v>
      </c>
      <c r="L869" s="16">
        <v>0.032432432432432434</v>
      </c>
      <c r="M869" s="16">
        <v>0.05405405405405406</v>
      </c>
      <c r="N869" s="16">
        <v>0.41081081081081083</v>
      </c>
      <c r="O869" s="16">
        <v>0.10270270270270271</v>
      </c>
      <c r="P869" s="35">
        <v>46069.30263888889</v>
      </c>
    </row>
    <row r="870">
      <c r="A870" s="33">
        <v>46069.0</v>
      </c>
      <c r="B870" s="1" t="s">
        <v>59</v>
      </c>
      <c r="C870" s="3" t="s">
        <v>4</v>
      </c>
      <c r="D870" s="1"/>
      <c r="E870" s="34">
        <v>105.0</v>
      </c>
      <c r="F870" s="34">
        <v>1233.0</v>
      </c>
      <c r="G870" s="15">
        <v>47090.0</v>
      </c>
      <c r="H870" s="16">
        <v>0.026183903164153748</v>
      </c>
      <c r="I870" s="17">
        <v>4.511000212359312</v>
      </c>
      <c r="J870" s="16">
        <v>1.8940092165898617</v>
      </c>
      <c r="K870" s="16">
        <v>2.68089951608312</v>
      </c>
      <c r="L870" s="16">
        <v>0.05714285714285714</v>
      </c>
      <c r="M870" s="16">
        <v>0.11428571428571428</v>
      </c>
      <c r="N870" s="16">
        <v>0.23809523809523808</v>
      </c>
      <c r="O870" s="16">
        <v>0.11428571428571428</v>
      </c>
      <c r="P870" s="35">
        <v>46069.30263888889</v>
      </c>
    </row>
    <row r="871">
      <c r="A871" s="33">
        <v>46069.0</v>
      </c>
      <c r="B871" s="1" t="s">
        <v>59</v>
      </c>
      <c r="C871" s="3" t="s">
        <v>5</v>
      </c>
      <c r="D871" s="1"/>
      <c r="E871" s="34">
        <v>40.0</v>
      </c>
      <c r="F871" s="34">
        <v>6095.0</v>
      </c>
      <c r="G871" s="15">
        <v>71904.0</v>
      </c>
      <c r="H871" s="16">
        <v>0.08476579884290164</v>
      </c>
      <c r="I871" s="17">
        <v>5.231878615932354</v>
      </c>
      <c r="J871" s="16">
        <v>0.9326702371843917</v>
      </c>
      <c r="K871" s="16">
        <v>1.630032644178455</v>
      </c>
      <c r="L871" s="16">
        <v>0.075</v>
      </c>
      <c r="M871" s="16">
        <v>0.125</v>
      </c>
      <c r="N871" s="16">
        <v>0.2</v>
      </c>
      <c r="O871" s="16">
        <v>0.1</v>
      </c>
      <c r="P871" s="35">
        <v>46069.30263888889</v>
      </c>
    </row>
    <row r="872">
      <c r="A872" s="33">
        <v>46069.0</v>
      </c>
      <c r="B872" s="1" t="s">
        <v>59</v>
      </c>
      <c r="C872" s="3" t="s">
        <v>6</v>
      </c>
      <c r="D872" s="1"/>
      <c r="E872" s="34">
        <v>29.0</v>
      </c>
      <c r="F872" s="34">
        <v>5716.0</v>
      </c>
      <c r="G872" s="15">
        <v>408621.0</v>
      </c>
      <c r="H872" s="16">
        <v>0.013988512582564283</v>
      </c>
      <c r="I872" s="17">
        <v>4.601376336507424</v>
      </c>
      <c r="J872" s="16">
        <v>1.2643220526432206</v>
      </c>
      <c r="K872" s="16">
        <v>1.7361678804204659</v>
      </c>
      <c r="L872" s="16">
        <v>0.0</v>
      </c>
      <c r="M872" s="16">
        <v>0.034482758620689655</v>
      </c>
      <c r="N872" s="16">
        <v>0.6206896551724138</v>
      </c>
      <c r="O872" s="16">
        <v>0.3448275862068966</v>
      </c>
      <c r="P872" s="35">
        <v>46069.30263888889</v>
      </c>
    </row>
    <row r="873">
      <c r="A873" s="33">
        <v>46069.0</v>
      </c>
      <c r="B873" s="1" t="s">
        <v>59</v>
      </c>
      <c r="C873" s="3" t="s">
        <v>7</v>
      </c>
      <c r="D873" s="1"/>
      <c r="E873" s="34">
        <v>130.0</v>
      </c>
      <c r="F873" s="34">
        <v>1425.0</v>
      </c>
      <c r="G873" s="15">
        <v>299176.0</v>
      </c>
      <c r="H873" s="16">
        <v>0.004763082600208573</v>
      </c>
      <c r="I873" s="17">
        <v>4.131170281038586</v>
      </c>
      <c r="J873" s="16">
        <v>2.403035413153457</v>
      </c>
      <c r="K873" s="16">
        <v>8.669255288322226</v>
      </c>
      <c r="L873" s="16">
        <v>0.06153846153846154</v>
      </c>
      <c r="M873" s="16">
        <v>0.49230769230769234</v>
      </c>
      <c r="N873" s="16">
        <v>0.5230769230769231</v>
      </c>
      <c r="O873" s="16">
        <v>0.26153846153846155</v>
      </c>
      <c r="P873" s="35">
        <v>46069.30263888889</v>
      </c>
    </row>
    <row r="874">
      <c r="A874" s="33">
        <v>46069.0</v>
      </c>
      <c r="B874" s="1" t="s">
        <v>59</v>
      </c>
      <c r="C874" s="3" t="s">
        <v>8</v>
      </c>
      <c r="D874" s="1"/>
      <c r="E874" s="34">
        <v>119.0</v>
      </c>
      <c r="F874" s="34">
        <v>1181.0</v>
      </c>
      <c r="G874" s="15">
        <v>404143.0</v>
      </c>
      <c r="H874" s="16">
        <v>0.002922232971992587</v>
      </c>
      <c r="I874" s="17">
        <v>5.076965331578179</v>
      </c>
      <c r="J874" s="16">
        <v>0.9656582174979559</v>
      </c>
      <c r="K874" s="16">
        <v>3.251090016893251</v>
      </c>
      <c r="L874" s="16">
        <v>0.14285714285714285</v>
      </c>
      <c r="M874" s="16">
        <v>0.6050420168067226</v>
      </c>
      <c r="N874" s="16">
        <v>0.5378151260504201</v>
      </c>
      <c r="O874" s="16">
        <v>0.16806722689075632</v>
      </c>
      <c r="P874" s="35">
        <v>46069.30263888889</v>
      </c>
    </row>
    <row r="875">
      <c r="A875" s="33">
        <v>46069.0</v>
      </c>
      <c r="B875" s="1" t="s">
        <v>59</v>
      </c>
      <c r="C875" s="3" t="s">
        <v>9</v>
      </c>
      <c r="D875" s="1"/>
      <c r="E875" s="34">
        <v>11.0</v>
      </c>
      <c r="F875" s="34">
        <v>16.0</v>
      </c>
      <c r="G875" s="15">
        <v>636.0</v>
      </c>
      <c r="H875" s="16">
        <v>0.025157232704402517</v>
      </c>
      <c r="I875" s="17">
        <v>13.047169811320755</v>
      </c>
      <c r="J875" s="16">
        <v>2.0</v>
      </c>
      <c r="K875" s="16">
        <v>3.7633136094674557</v>
      </c>
      <c r="L875" s="16">
        <v>0.09090909090909091</v>
      </c>
      <c r="M875" s="16">
        <v>0.09090909090909091</v>
      </c>
      <c r="N875" s="16">
        <v>0.18181818181818182</v>
      </c>
      <c r="O875" s="16">
        <v>0.09090909090909091</v>
      </c>
      <c r="P875" s="35">
        <v>46069.30263888889</v>
      </c>
    </row>
    <row r="876">
      <c r="A876" s="33">
        <v>46069.0</v>
      </c>
      <c r="B876" s="1" t="s">
        <v>59</v>
      </c>
      <c r="C876" s="3" t="s">
        <v>10</v>
      </c>
      <c r="D876" s="1"/>
      <c r="E876" s="34">
        <v>76.0</v>
      </c>
      <c r="F876" s="34">
        <v>3336.0</v>
      </c>
      <c r="G876" s="15">
        <v>486245.0</v>
      </c>
      <c r="H876" s="16">
        <v>0.006860738927906714</v>
      </c>
      <c r="I876" s="17">
        <v>4.391049779432179</v>
      </c>
      <c r="J876" s="16">
        <v>5.781629116117851</v>
      </c>
      <c r="K876" s="16">
        <v>7.737456836879207</v>
      </c>
      <c r="L876" s="16">
        <v>0.013157894736842105</v>
      </c>
      <c r="M876" s="16">
        <v>0.15789473684210525</v>
      </c>
      <c r="N876" s="16">
        <v>0.2894736842105263</v>
      </c>
      <c r="O876" s="16">
        <v>0.25</v>
      </c>
      <c r="P876" s="35">
        <v>46069.30263888889</v>
      </c>
    </row>
    <row r="877">
      <c r="A877" s="33">
        <v>46069.0</v>
      </c>
      <c r="B877" s="1" t="s">
        <v>60</v>
      </c>
      <c r="D877" s="1" t="s">
        <v>30</v>
      </c>
      <c r="E877" s="34">
        <v>9.0</v>
      </c>
      <c r="F877" s="34">
        <v>610.0</v>
      </c>
      <c r="G877" s="15">
        <v>13729.0</v>
      </c>
      <c r="H877" s="16">
        <v>0.04443149537475417</v>
      </c>
      <c r="I877" s="17">
        <v>10.760725471629398</v>
      </c>
      <c r="J877" s="16">
        <v>1.346578366445916</v>
      </c>
      <c r="K877" s="16">
        <v>0.8146807500593402</v>
      </c>
      <c r="L877" s="16">
        <v>0.0</v>
      </c>
      <c r="M877" s="16">
        <v>0.1111111111111111</v>
      </c>
      <c r="N877" s="16">
        <v>0.7777777777777778</v>
      </c>
      <c r="O877" s="16">
        <v>0.2222222222222222</v>
      </c>
      <c r="P877" s="35">
        <v>46069.30263888889</v>
      </c>
    </row>
    <row r="878">
      <c r="A878" s="33">
        <v>46069.0</v>
      </c>
      <c r="B878" s="1" t="s">
        <v>60</v>
      </c>
      <c r="D878" s="1" t="s">
        <v>31</v>
      </c>
      <c r="E878" s="34">
        <v>63.0</v>
      </c>
      <c r="F878" s="34">
        <v>277.0</v>
      </c>
      <c r="G878" s="15">
        <v>7655.0</v>
      </c>
      <c r="H878" s="16">
        <v>0.03618549967341607</v>
      </c>
      <c r="I878" s="17">
        <v>8.797648595689092</v>
      </c>
      <c r="J878" s="16">
        <v>2.1307692307692307</v>
      </c>
      <c r="K878" s="16">
        <v>0.7498285826231756</v>
      </c>
      <c r="L878" s="16">
        <v>0.1111111111111111</v>
      </c>
      <c r="M878" s="16">
        <v>0.1111111111111111</v>
      </c>
      <c r="N878" s="16">
        <v>0.3968253968253968</v>
      </c>
      <c r="O878" s="16">
        <v>0.15873015873015872</v>
      </c>
      <c r="P878" s="35">
        <v>46069.30263888889</v>
      </c>
    </row>
    <row r="879">
      <c r="A879" s="33">
        <v>46069.0</v>
      </c>
      <c r="B879" s="1" t="s">
        <v>60</v>
      </c>
      <c r="D879" s="1" t="s">
        <v>32</v>
      </c>
      <c r="E879" s="34">
        <v>562.0</v>
      </c>
      <c r="F879" s="34">
        <v>20720.0</v>
      </c>
      <c r="G879" s="15">
        <v>1860145.0</v>
      </c>
      <c r="H879" s="16">
        <v>0.011138916589835738</v>
      </c>
      <c r="I879" s="17">
        <v>4.571512435858495</v>
      </c>
      <c r="J879" s="16">
        <v>1.4571026722925458</v>
      </c>
      <c r="K879" s="16">
        <v>3.570911624906895</v>
      </c>
      <c r="L879" s="16">
        <v>0.05871886120996441</v>
      </c>
      <c r="M879" s="16">
        <v>0.297153024911032</v>
      </c>
      <c r="N879" s="16">
        <v>0.4626334519572954</v>
      </c>
      <c r="O879" s="16">
        <v>0.19395017793594305</v>
      </c>
      <c r="P879" s="35">
        <v>46069.30263888889</v>
      </c>
    </row>
    <row r="880">
      <c r="A880" s="33">
        <v>46069.0</v>
      </c>
      <c r="B880" s="1" t="s">
        <v>60</v>
      </c>
      <c r="D880" s="1" t="s">
        <v>33</v>
      </c>
      <c r="E880" s="34">
        <v>105.0</v>
      </c>
      <c r="F880" s="34">
        <v>348.0</v>
      </c>
      <c r="G880" s="15">
        <v>31132.0</v>
      </c>
      <c r="H880" s="16">
        <v>0.011178208916870101</v>
      </c>
      <c r="I880" s="17">
        <v>4.59292689194398</v>
      </c>
      <c r="J880" s="16">
        <v>0.8656716417910447</v>
      </c>
      <c r="K880" s="16">
        <v>3.6028237472514757</v>
      </c>
      <c r="L880" s="16">
        <v>0.0380952380952381</v>
      </c>
      <c r="M880" s="16">
        <v>0.0761904761904762</v>
      </c>
      <c r="N880" s="16">
        <v>0.34285714285714286</v>
      </c>
      <c r="O880" s="16">
        <v>0.06666666666666667</v>
      </c>
      <c r="P880" s="35">
        <v>46069.30263888889</v>
      </c>
    </row>
    <row r="881">
      <c r="A881" s="33">
        <v>46069.0</v>
      </c>
      <c r="B881" s="1" t="s">
        <v>60</v>
      </c>
      <c r="D881" s="1" t="s">
        <v>34</v>
      </c>
      <c r="E881" s="34">
        <v>89.0</v>
      </c>
      <c r="F881" s="34">
        <v>27.0</v>
      </c>
      <c r="G881" s="15">
        <v>1306.0</v>
      </c>
      <c r="H881" s="16">
        <v>0.020673813169984685</v>
      </c>
      <c r="I881" s="17">
        <v>8.401225114854517</v>
      </c>
      <c r="J881" s="16">
        <v>1.6875</v>
      </c>
      <c r="K881" s="16">
        <v>0.485321441843181</v>
      </c>
      <c r="L881" s="16">
        <v>0.033707865168539325</v>
      </c>
      <c r="M881" s="16">
        <v>0.033707865168539325</v>
      </c>
      <c r="N881" s="16">
        <v>0.07865168539325842</v>
      </c>
      <c r="O881" s="16">
        <v>0.0449438202247191</v>
      </c>
      <c r="P881" s="35">
        <v>46069.30263888889</v>
      </c>
    </row>
    <row r="882">
      <c r="A882" s="33">
        <v>46070.0</v>
      </c>
      <c r="B882" s="1" t="s">
        <v>57</v>
      </c>
      <c r="D882" s="1"/>
      <c r="E882" s="34">
        <v>1166.0</v>
      </c>
      <c r="F882" s="34">
        <v>22029.0</v>
      </c>
      <c r="G882" s="15">
        <v>1915553.0</v>
      </c>
      <c r="H882" s="16">
        <v>0.011500073346965602</v>
      </c>
      <c r="I882" s="17">
        <v>4.618574375128227</v>
      </c>
      <c r="J882" s="16">
        <v>1.4504213853041876</v>
      </c>
      <c r="K882" s="16">
        <v>3.3888837780364653</v>
      </c>
      <c r="L882" s="16">
        <v>0.044596912521440824</v>
      </c>
      <c r="M882" s="16">
        <v>0.16638078902229847</v>
      </c>
      <c r="N882" s="16">
        <v>0.3053173241852487</v>
      </c>
      <c r="O882" s="16">
        <v>0.1269296740994854</v>
      </c>
      <c r="P882" s="35">
        <v>46070.30265046296</v>
      </c>
    </row>
    <row r="883">
      <c r="A883" s="33">
        <v>46070.0</v>
      </c>
      <c r="B883" s="1" t="s">
        <v>58</v>
      </c>
      <c r="D883" s="1"/>
      <c r="E883" s="34">
        <v>828.0</v>
      </c>
      <c r="F883" s="34">
        <v>21912.0</v>
      </c>
      <c r="G883" s="15">
        <v>1912777.0</v>
      </c>
      <c r="H883" s="16">
        <v>0.011455595712411849</v>
      </c>
      <c r="I883" s="17">
        <v>4.617418026251884</v>
      </c>
      <c r="J883" s="16">
        <v>1.4549800796812749</v>
      </c>
      <c r="K883" s="16">
        <v>3.4560410075543087</v>
      </c>
      <c r="L883" s="16">
        <v>0.05555555555555555</v>
      </c>
      <c r="M883" s="16">
        <v>0.22705314009661837</v>
      </c>
      <c r="N883" s="16">
        <v>0.40700483091787437</v>
      </c>
      <c r="O883" s="16">
        <v>0.15579710144927536</v>
      </c>
      <c r="P883" s="35">
        <v>46070.30265046296</v>
      </c>
    </row>
    <row r="884">
      <c r="A884" s="33">
        <v>46070.0</v>
      </c>
      <c r="B884" s="1" t="s">
        <v>59</v>
      </c>
      <c r="C884" s="3" t="s">
        <v>2</v>
      </c>
      <c r="D884" s="1"/>
      <c r="E884" s="34">
        <v>133.0</v>
      </c>
      <c r="F884" s="34">
        <v>1493.0</v>
      </c>
      <c r="G884" s="15">
        <v>134923.0</v>
      </c>
      <c r="H884" s="16">
        <v>0.011065570732936564</v>
      </c>
      <c r="I884" s="17">
        <v>4.518110329595399</v>
      </c>
      <c r="J884" s="16">
        <v>4.6080246913580245</v>
      </c>
      <c r="K884" s="16">
        <v>6.84818800121815</v>
      </c>
      <c r="L884" s="16">
        <v>0.045112781954887216</v>
      </c>
      <c r="M884" s="16">
        <v>0.08270676691729323</v>
      </c>
      <c r="N884" s="16">
        <v>0.39849624060150374</v>
      </c>
      <c r="O884" s="16">
        <v>0.07518796992481203</v>
      </c>
      <c r="P884" s="35">
        <v>46070.30265046296</v>
      </c>
    </row>
    <row r="885">
      <c r="A885" s="33">
        <v>46070.0</v>
      </c>
      <c r="B885" s="1" t="s">
        <v>59</v>
      </c>
      <c r="C885" s="1" t="s">
        <v>3</v>
      </c>
      <c r="D885" s="1"/>
      <c r="E885" s="34">
        <v>185.0</v>
      </c>
      <c r="F885" s="34">
        <v>1495.0</v>
      </c>
      <c r="G885" s="15">
        <v>62256.0</v>
      </c>
      <c r="H885" s="16">
        <v>0.024013749678745824</v>
      </c>
      <c r="I885" s="17">
        <v>5.884541249036237</v>
      </c>
      <c r="J885" s="16">
        <v>1.9542483660130718</v>
      </c>
      <c r="K885" s="16">
        <v>3.045792563600783</v>
      </c>
      <c r="L885" s="16">
        <v>0.02702702702702703</v>
      </c>
      <c r="M885" s="16">
        <v>0.04864864864864865</v>
      </c>
      <c r="N885" s="16">
        <v>0.4</v>
      </c>
      <c r="O885" s="16">
        <v>0.10810810810810811</v>
      </c>
      <c r="P885" s="35">
        <v>46070.30265046296</v>
      </c>
    </row>
    <row r="886">
      <c r="A886" s="33">
        <v>46070.0</v>
      </c>
      <c r="B886" s="1" t="s">
        <v>59</v>
      </c>
      <c r="C886" s="3" t="s">
        <v>4</v>
      </c>
      <c r="D886" s="1"/>
      <c r="E886" s="34">
        <v>105.0</v>
      </c>
      <c r="F886" s="34">
        <v>1256.0</v>
      </c>
      <c r="G886" s="15">
        <v>47646.0</v>
      </c>
      <c r="H886" s="16">
        <v>0.026361079628930025</v>
      </c>
      <c r="I886" s="17">
        <v>4.487386139445074</v>
      </c>
      <c r="J886" s="16">
        <v>1.968652037617555</v>
      </c>
      <c r="K886" s="16">
        <v>2.705468173300778</v>
      </c>
      <c r="L886" s="16">
        <v>0.05714285714285714</v>
      </c>
      <c r="M886" s="16">
        <v>0.10476190476190476</v>
      </c>
      <c r="N886" s="16">
        <v>0.24761904761904763</v>
      </c>
      <c r="O886" s="16">
        <v>0.11428571428571428</v>
      </c>
      <c r="P886" s="35">
        <v>46070.30265046296</v>
      </c>
    </row>
    <row r="887">
      <c r="A887" s="33">
        <v>46070.0</v>
      </c>
      <c r="B887" s="1" t="s">
        <v>59</v>
      </c>
      <c r="C887" s="3" t="s">
        <v>5</v>
      </c>
      <c r="D887" s="1"/>
      <c r="E887" s="34">
        <v>40.0</v>
      </c>
      <c r="F887" s="34">
        <v>6085.0</v>
      </c>
      <c r="G887" s="15">
        <v>71647.0</v>
      </c>
      <c r="H887" s="16">
        <v>0.08493028319399278</v>
      </c>
      <c r="I887" s="17">
        <v>5.2249082306307315</v>
      </c>
      <c r="J887" s="16">
        <v>0.9374518564165768</v>
      </c>
      <c r="K887" s="16">
        <v>1.6397070603043826</v>
      </c>
      <c r="L887" s="16">
        <v>0.1</v>
      </c>
      <c r="M887" s="16">
        <v>0.125</v>
      </c>
      <c r="N887" s="16">
        <v>0.175</v>
      </c>
      <c r="O887" s="16">
        <v>0.1</v>
      </c>
      <c r="P887" s="35">
        <v>46070.30265046296</v>
      </c>
    </row>
    <row r="888">
      <c r="A888" s="33">
        <v>46070.0</v>
      </c>
      <c r="B888" s="1" t="s">
        <v>59</v>
      </c>
      <c r="C888" s="3" t="s">
        <v>6</v>
      </c>
      <c r="D888" s="1"/>
      <c r="E888" s="34">
        <v>29.0</v>
      </c>
      <c r="F888" s="34">
        <v>5579.0</v>
      </c>
      <c r="G888" s="15">
        <v>405281.0</v>
      </c>
      <c r="H888" s="16">
        <v>0.01376575758547773</v>
      </c>
      <c r="I888" s="17">
        <v>4.5852211181871345</v>
      </c>
      <c r="J888" s="16">
        <v>1.2585156778705167</v>
      </c>
      <c r="K888" s="16">
        <v>1.7494420775005073</v>
      </c>
      <c r="L888" s="16">
        <v>0.0</v>
      </c>
      <c r="M888" s="16">
        <v>0.034482758620689655</v>
      </c>
      <c r="N888" s="16">
        <v>0.6206896551724138</v>
      </c>
      <c r="O888" s="16">
        <v>0.3103448275862069</v>
      </c>
      <c r="P888" s="35">
        <v>46070.30265046296</v>
      </c>
    </row>
    <row r="889">
      <c r="A889" s="33">
        <v>46070.0</v>
      </c>
      <c r="B889" s="1" t="s">
        <v>59</v>
      </c>
      <c r="C889" s="3" t="s">
        <v>7</v>
      </c>
      <c r="D889" s="1"/>
      <c r="E889" s="34">
        <v>130.0</v>
      </c>
      <c r="F889" s="34">
        <v>1429.0</v>
      </c>
      <c r="G889" s="15">
        <v>300160.0</v>
      </c>
      <c r="H889" s="16">
        <v>0.004760794243070362</v>
      </c>
      <c r="I889" s="17">
        <v>4.105730277185501</v>
      </c>
      <c r="J889" s="16">
        <v>2.381666666666667</v>
      </c>
      <c r="K889" s="16">
        <v>8.756381458035532</v>
      </c>
      <c r="L889" s="16">
        <v>0.06153846153846154</v>
      </c>
      <c r="M889" s="16">
        <v>0.5</v>
      </c>
      <c r="N889" s="16">
        <v>0.5384615384615384</v>
      </c>
      <c r="O889" s="16">
        <v>0.2692307692307692</v>
      </c>
      <c r="P889" s="35">
        <v>46070.30265046296</v>
      </c>
    </row>
    <row r="890">
      <c r="A890" s="33">
        <v>46070.0</v>
      </c>
      <c r="B890" s="1" t="s">
        <v>59</v>
      </c>
      <c r="C890" s="3" t="s">
        <v>8</v>
      </c>
      <c r="D890" s="1"/>
      <c r="E890" s="34">
        <v>119.0</v>
      </c>
      <c r="F890" s="34">
        <v>1193.0</v>
      </c>
      <c r="G890" s="15">
        <v>404583.0</v>
      </c>
      <c r="H890" s="16">
        <v>0.0029487150967786586</v>
      </c>
      <c r="I890" s="17">
        <v>5.05451786160071</v>
      </c>
      <c r="J890" s="16">
        <v>0.9778688524590164</v>
      </c>
      <c r="K890" s="16">
        <v>3.2921565915064326</v>
      </c>
      <c r="L890" s="16">
        <v>0.12605042016806722</v>
      </c>
      <c r="M890" s="16">
        <v>0.6050420168067226</v>
      </c>
      <c r="N890" s="16">
        <v>0.5462184873949579</v>
      </c>
      <c r="O890" s="16">
        <v>0.15966386554621848</v>
      </c>
      <c r="P890" s="35">
        <v>46070.30265046296</v>
      </c>
    </row>
    <row r="891">
      <c r="A891" s="33">
        <v>46070.0</v>
      </c>
      <c r="B891" s="1" t="s">
        <v>59</v>
      </c>
      <c r="C891" s="3" t="s">
        <v>9</v>
      </c>
      <c r="D891" s="1"/>
      <c r="E891" s="34">
        <v>11.0</v>
      </c>
      <c r="F891" s="34">
        <v>16.0</v>
      </c>
      <c r="G891" s="15">
        <v>657.0</v>
      </c>
      <c r="H891" s="16">
        <v>0.0243531202435312</v>
      </c>
      <c r="I891" s="17">
        <v>12.943683409436835</v>
      </c>
      <c r="J891" s="16">
        <v>2.0</v>
      </c>
      <c r="K891" s="16">
        <v>4.030674846625767</v>
      </c>
      <c r="L891" s="16">
        <v>0.09090909090909091</v>
      </c>
      <c r="M891" s="16">
        <v>0.09090909090909091</v>
      </c>
      <c r="N891" s="16">
        <v>0.18181818181818182</v>
      </c>
      <c r="O891" s="16">
        <v>0.09090909090909091</v>
      </c>
      <c r="P891" s="35">
        <v>46070.30265046296</v>
      </c>
    </row>
    <row r="892">
      <c r="A892" s="33">
        <v>46070.0</v>
      </c>
      <c r="B892" s="1" t="s">
        <v>59</v>
      </c>
      <c r="C892" s="3" t="s">
        <v>10</v>
      </c>
      <c r="D892" s="1"/>
      <c r="E892" s="34">
        <v>76.0</v>
      </c>
      <c r="F892" s="34">
        <v>3366.0</v>
      </c>
      <c r="G892" s="15">
        <v>485624.0</v>
      </c>
      <c r="H892" s="16">
        <v>0.006931288404197486</v>
      </c>
      <c r="I892" s="17">
        <v>4.373416470355666</v>
      </c>
      <c r="J892" s="16">
        <v>5.793459552495697</v>
      </c>
      <c r="K892" s="16">
        <v>7.706727183279641</v>
      </c>
      <c r="L892" s="16">
        <v>0.013157894736842105</v>
      </c>
      <c r="M892" s="16">
        <v>0.17105263157894737</v>
      </c>
      <c r="N892" s="16">
        <v>0.2894736842105263</v>
      </c>
      <c r="O892" s="16">
        <v>0.25</v>
      </c>
      <c r="P892" s="35">
        <v>46070.30265046296</v>
      </c>
    </row>
    <row r="893">
      <c r="A893" s="33">
        <v>46070.0</v>
      </c>
      <c r="B893" s="1" t="s">
        <v>60</v>
      </c>
      <c r="D893" s="1" t="s">
        <v>30</v>
      </c>
      <c r="E893" s="34">
        <v>9.0</v>
      </c>
      <c r="F893" s="34">
        <v>616.0</v>
      </c>
      <c r="G893" s="15">
        <v>13904.0</v>
      </c>
      <c r="H893" s="16">
        <v>0.04430379746835443</v>
      </c>
      <c r="I893" s="17">
        <v>10.74129746835443</v>
      </c>
      <c r="J893" s="16">
        <v>1.3968253968253967</v>
      </c>
      <c r="K893" s="16">
        <v>0.8286548662017998</v>
      </c>
      <c r="L893" s="16">
        <v>0.0</v>
      </c>
      <c r="M893" s="16">
        <v>0.1111111111111111</v>
      </c>
      <c r="N893" s="16">
        <v>0.7777777777777778</v>
      </c>
      <c r="O893" s="16">
        <v>0.2222222222222222</v>
      </c>
      <c r="P893" s="35">
        <v>46070.30265046296</v>
      </c>
    </row>
    <row r="894">
      <c r="A894" s="33">
        <v>46070.0</v>
      </c>
      <c r="B894" s="1" t="s">
        <v>60</v>
      </c>
      <c r="D894" s="1" t="s">
        <v>31</v>
      </c>
      <c r="E894" s="34">
        <v>63.0</v>
      </c>
      <c r="F894" s="34">
        <v>273.0</v>
      </c>
      <c r="G894" s="15">
        <v>7722.0</v>
      </c>
      <c r="H894" s="16">
        <v>0.03535353535353535</v>
      </c>
      <c r="I894" s="17">
        <v>8.915954415954415</v>
      </c>
      <c r="J894" s="16">
        <v>2.0681818181818183</v>
      </c>
      <c r="K894" s="16">
        <v>0.7548387096774194</v>
      </c>
      <c r="L894" s="16">
        <v>0.1111111111111111</v>
      </c>
      <c r="M894" s="16">
        <v>0.1111111111111111</v>
      </c>
      <c r="N894" s="16">
        <v>0.38095238095238093</v>
      </c>
      <c r="O894" s="16">
        <v>0.14285714285714285</v>
      </c>
      <c r="P894" s="35">
        <v>46070.30265046296</v>
      </c>
    </row>
    <row r="895">
      <c r="A895" s="33">
        <v>46070.0</v>
      </c>
      <c r="B895" s="1" t="s">
        <v>60</v>
      </c>
      <c r="D895" s="1" t="s">
        <v>32</v>
      </c>
      <c r="E895" s="34">
        <v>562.0</v>
      </c>
      <c r="F895" s="34">
        <v>20649.0</v>
      </c>
      <c r="G895" s="15">
        <v>1858706.0</v>
      </c>
      <c r="H895" s="16">
        <v>0.011109341660273329</v>
      </c>
      <c r="I895" s="17">
        <v>4.551445467976108</v>
      </c>
      <c r="J895" s="16">
        <v>1.4664441445920033</v>
      </c>
      <c r="K895" s="16">
        <v>3.6072256842489323</v>
      </c>
      <c r="L895" s="16">
        <v>0.05871886120996441</v>
      </c>
      <c r="M895" s="16">
        <v>0.302491103202847</v>
      </c>
      <c r="N895" s="16">
        <v>0.47153024911032027</v>
      </c>
      <c r="O895" s="16">
        <v>0.18861209964412812</v>
      </c>
      <c r="P895" s="35">
        <v>46070.30265046296</v>
      </c>
    </row>
    <row r="896">
      <c r="A896" s="33">
        <v>46070.0</v>
      </c>
      <c r="B896" s="1" t="s">
        <v>60</v>
      </c>
      <c r="D896" s="1" t="s">
        <v>33</v>
      </c>
      <c r="E896" s="34">
        <v>105.0</v>
      </c>
      <c r="F896" s="34">
        <v>346.0</v>
      </c>
      <c r="G896" s="15">
        <v>31094.0</v>
      </c>
      <c r="H896" s="16">
        <v>0.011127548723226346</v>
      </c>
      <c r="I896" s="17">
        <v>4.595259535601723</v>
      </c>
      <c r="J896" s="16">
        <v>0.8894601542416453</v>
      </c>
      <c r="K896" s="16">
        <v>3.6439704675963904</v>
      </c>
      <c r="L896" s="16">
        <v>0.02857142857142857</v>
      </c>
      <c r="M896" s="16">
        <v>0.06666666666666667</v>
      </c>
      <c r="N896" s="16">
        <v>0.3333333333333333</v>
      </c>
      <c r="O896" s="16">
        <v>0.06666666666666667</v>
      </c>
      <c r="P896" s="35">
        <v>46070.30265046296</v>
      </c>
    </row>
    <row r="897">
      <c r="A897" s="33">
        <v>46070.0</v>
      </c>
      <c r="B897" s="1" t="s">
        <v>60</v>
      </c>
      <c r="D897" s="1" t="s">
        <v>34</v>
      </c>
      <c r="E897" s="34">
        <v>89.0</v>
      </c>
      <c r="F897" s="34">
        <v>28.0</v>
      </c>
      <c r="G897" s="15">
        <v>1351.0</v>
      </c>
      <c r="H897" s="16">
        <v>0.02072538860103627</v>
      </c>
      <c r="I897" s="17">
        <v>8.298297557364915</v>
      </c>
      <c r="J897" s="16">
        <v>1.6470588235294117</v>
      </c>
      <c r="K897" s="16">
        <v>0.5109682299546142</v>
      </c>
      <c r="L897" s="16">
        <v>0.033707865168539325</v>
      </c>
      <c r="M897" s="16">
        <v>0.033707865168539325</v>
      </c>
      <c r="N897" s="16">
        <v>0.06741573033707865</v>
      </c>
      <c r="O897" s="16">
        <v>0.056179775280898875</v>
      </c>
      <c r="P897" s="35">
        <v>46070.30265046296</v>
      </c>
    </row>
    <row r="898">
      <c r="A898" s="33">
        <v>46071.0</v>
      </c>
      <c r="B898" s="1" t="s">
        <v>57</v>
      </c>
      <c r="D898" s="1"/>
      <c r="E898" s="34">
        <v>1166.0</v>
      </c>
      <c r="F898" s="34">
        <v>22079.0</v>
      </c>
      <c r="G898" s="15">
        <v>1938338.0</v>
      </c>
      <c r="H898" s="16">
        <v>0.011390686247702928</v>
      </c>
      <c r="I898" s="17">
        <v>4.61696618443223</v>
      </c>
      <c r="J898" s="16">
        <v>1.4623791230626573</v>
      </c>
      <c r="K898" s="16">
        <v>3.4483373301927744</v>
      </c>
      <c r="L898" s="16">
        <v>0.04974271012006861</v>
      </c>
      <c r="M898" s="16">
        <v>0.16895368782161235</v>
      </c>
      <c r="N898" s="16">
        <v>0.2993138936535163</v>
      </c>
      <c r="O898" s="16">
        <v>0.1312178387650086</v>
      </c>
      <c r="P898" s="35">
        <v>46071.302708333336</v>
      </c>
    </row>
    <row r="899">
      <c r="A899" s="33">
        <v>46071.0</v>
      </c>
      <c r="B899" s="1" t="s">
        <v>58</v>
      </c>
      <c r="D899" s="1"/>
      <c r="E899" s="34">
        <v>828.0</v>
      </c>
      <c r="F899" s="34">
        <v>21963.0</v>
      </c>
      <c r="G899" s="15">
        <v>1935537.0</v>
      </c>
      <c r="H899" s="16">
        <v>0.011347238518302672</v>
      </c>
      <c r="I899" s="17">
        <v>4.615698382412736</v>
      </c>
      <c r="J899" s="16">
        <v>1.4667423534125819</v>
      </c>
      <c r="K899" s="16">
        <v>3.5174953658270636</v>
      </c>
      <c r="L899" s="16">
        <v>0.06159420289855073</v>
      </c>
      <c r="M899" s="16">
        <v>0.22946859903381642</v>
      </c>
      <c r="N899" s="16">
        <v>0.39855072463768115</v>
      </c>
      <c r="O899" s="16">
        <v>0.1642512077294686</v>
      </c>
      <c r="P899" s="35">
        <v>46071.302708333336</v>
      </c>
    </row>
    <row r="900">
      <c r="A900" s="33">
        <v>46071.0</v>
      </c>
      <c r="B900" s="1" t="s">
        <v>59</v>
      </c>
      <c r="C900" s="3" t="s">
        <v>2</v>
      </c>
      <c r="D900" s="1"/>
      <c r="E900" s="34">
        <v>133.0</v>
      </c>
      <c r="F900" s="34">
        <v>1491.0</v>
      </c>
      <c r="G900" s="15">
        <v>137072.0</v>
      </c>
      <c r="H900" s="16">
        <v>0.010877495039103537</v>
      </c>
      <c r="I900" s="17">
        <v>4.472204388934283</v>
      </c>
      <c r="J900" s="16">
        <v>4.659375</v>
      </c>
      <c r="K900" s="16">
        <v>6.9252766129439705</v>
      </c>
      <c r="L900" s="16">
        <v>0.05263157894736842</v>
      </c>
      <c r="M900" s="16">
        <v>0.08270676691729323</v>
      </c>
      <c r="N900" s="16">
        <v>0.3684210526315789</v>
      </c>
      <c r="O900" s="16">
        <v>0.09774436090225563</v>
      </c>
      <c r="P900" s="35">
        <v>46071.302708333336</v>
      </c>
    </row>
    <row r="901">
      <c r="A901" s="33">
        <v>46071.0</v>
      </c>
      <c r="B901" s="1" t="s">
        <v>59</v>
      </c>
      <c r="C901" s="1" t="s">
        <v>3</v>
      </c>
      <c r="D901" s="1"/>
      <c r="E901" s="34">
        <v>185.0</v>
      </c>
      <c r="F901" s="34">
        <v>1505.0</v>
      </c>
      <c r="G901" s="15">
        <v>63525.0</v>
      </c>
      <c r="H901" s="16">
        <v>0.023691460055096418</v>
      </c>
      <c r="I901" s="17">
        <v>5.865155450609996</v>
      </c>
      <c r="J901" s="16">
        <v>1.9570871261378413</v>
      </c>
      <c r="K901" s="16">
        <v>3.088986141502553</v>
      </c>
      <c r="L901" s="16">
        <v>0.032432432432432434</v>
      </c>
      <c r="M901" s="16">
        <v>0.04864864864864865</v>
      </c>
      <c r="N901" s="16">
        <v>0.3945945945945946</v>
      </c>
      <c r="O901" s="16">
        <v>0.12432432432432433</v>
      </c>
      <c r="P901" s="35">
        <v>46071.302708333336</v>
      </c>
    </row>
    <row r="902">
      <c r="A902" s="33">
        <v>46071.0</v>
      </c>
      <c r="B902" s="1" t="s">
        <v>59</v>
      </c>
      <c r="C902" s="3" t="s">
        <v>4</v>
      </c>
      <c r="D902" s="1"/>
      <c r="E902" s="34">
        <v>105.0</v>
      </c>
      <c r="F902" s="34">
        <v>1282.0</v>
      </c>
      <c r="G902" s="15">
        <v>49205.0</v>
      </c>
      <c r="H902" s="16">
        <v>0.02605426277817295</v>
      </c>
      <c r="I902" s="17">
        <v>4.463916268671883</v>
      </c>
      <c r="J902" s="16">
        <v>2.003125</v>
      </c>
      <c r="K902" s="16">
        <v>2.758746355685131</v>
      </c>
      <c r="L902" s="16">
        <v>0.0761904761904762</v>
      </c>
      <c r="M902" s="16">
        <v>0.12380952380952381</v>
      </c>
      <c r="N902" s="16">
        <v>0.24761904761904763</v>
      </c>
      <c r="O902" s="16">
        <v>0.10476190476190476</v>
      </c>
      <c r="P902" s="35">
        <v>46071.302708333336</v>
      </c>
    </row>
    <row r="903">
      <c r="A903" s="33">
        <v>46071.0</v>
      </c>
      <c r="B903" s="1" t="s">
        <v>59</v>
      </c>
      <c r="C903" s="3" t="s">
        <v>5</v>
      </c>
      <c r="D903" s="1"/>
      <c r="E903" s="34">
        <v>40.0</v>
      </c>
      <c r="F903" s="34">
        <v>6108.0</v>
      </c>
      <c r="G903" s="15">
        <v>72546.0</v>
      </c>
      <c r="H903" s="16">
        <v>0.08419485567777686</v>
      </c>
      <c r="I903" s="17">
        <v>5.2140297190747935</v>
      </c>
      <c r="J903" s="16">
        <v>0.9469767441860465</v>
      </c>
      <c r="K903" s="16">
        <v>1.6701814163366793</v>
      </c>
      <c r="L903" s="16">
        <v>0.1</v>
      </c>
      <c r="M903" s="16">
        <v>0.125</v>
      </c>
      <c r="N903" s="16">
        <v>0.2</v>
      </c>
      <c r="O903" s="16">
        <v>0.1</v>
      </c>
      <c r="P903" s="35">
        <v>46071.302708333336</v>
      </c>
    </row>
    <row r="904">
      <c r="A904" s="33">
        <v>46071.0</v>
      </c>
      <c r="B904" s="1" t="s">
        <v>59</v>
      </c>
      <c r="C904" s="3" t="s">
        <v>6</v>
      </c>
      <c r="D904" s="1"/>
      <c r="E904" s="34">
        <v>29.0</v>
      </c>
      <c r="F904" s="34">
        <v>5485.0</v>
      </c>
      <c r="G904" s="15">
        <v>401931.0</v>
      </c>
      <c r="H904" s="16">
        <v>0.013646620937424582</v>
      </c>
      <c r="I904" s="17">
        <v>4.5982195949055935</v>
      </c>
      <c r="J904" s="16">
        <v>1.2519972608993382</v>
      </c>
      <c r="K904" s="16">
        <v>1.7562999506228945</v>
      </c>
      <c r="L904" s="16">
        <v>0.0</v>
      </c>
      <c r="M904" s="16">
        <v>0.034482758620689655</v>
      </c>
      <c r="N904" s="16">
        <v>0.5862068965517241</v>
      </c>
      <c r="O904" s="16">
        <v>0.3793103448275862</v>
      </c>
      <c r="P904" s="35">
        <v>46071.302708333336</v>
      </c>
    </row>
    <row r="905">
      <c r="A905" s="33">
        <v>46071.0</v>
      </c>
      <c r="B905" s="1" t="s">
        <v>59</v>
      </c>
      <c r="C905" s="3" t="s">
        <v>7</v>
      </c>
      <c r="D905" s="1"/>
      <c r="E905" s="34">
        <v>130.0</v>
      </c>
      <c r="F905" s="34">
        <v>1467.0</v>
      </c>
      <c r="G905" s="15">
        <v>306310.0</v>
      </c>
      <c r="H905" s="16">
        <v>0.00478926577650093</v>
      </c>
      <c r="I905" s="17">
        <v>4.09611178218145</v>
      </c>
      <c r="J905" s="16">
        <v>2.424793388429752</v>
      </c>
      <c r="K905" s="16">
        <v>8.97164782379474</v>
      </c>
      <c r="L905" s="16">
        <v>0.06153846153846154</v>
      </c>
      <c r="M905" s="16">
        <v>0.49230769230769234</v>
      </c>
      <c r="N905" s="16">
        <v>0.5230769230769231</v>
      </c>
      <c r="O905" s="16">
        <v>0.27692307692307694</v>
      </c>
      <c r="P905" s="35">
        <v>46071.302708333336</v>
      </c>
    </row>
    <row r="906">
      <c r="A906" s="33">
        <v>46071.0</v>
      </c>
      <c r="B906" s="1" t="s">
        <v>59</v>
      </c>
      <c r="C906" s="3" t="s">
        <v>8</v>
      </c>
      <c r="D906" s="1"/>
      <c r="E906" s="34">
        <v>119.0</v>
      </c>
      <c r="F906" s="34">
        <v>1209.0</v>
      </c>
      <c r="G906" s="15">
        <v>409817.0</v>
      </c>
      <c r="H906" s="16">
        <v>0.002950097238523536</v>
      </c>
      <c r="I906" s="17">
        <v>5.037524065619532</v>
      </c>
      <c r="J906" s="16">
        <v>0.9942434210526315</v>
      </c>
      <c r="K906" s="16">
        <v>3.3579446756907343</v>
      </c>
      <c r="L906" s="16">
        <v>0.13445378151260504</v>
      </c>
      <c r="M906" s="16">
        <v>0.6218487394957983</v>
      </c>
      <c r="N906" s="16">
        <v>0.5630252100840336</v>
      </c>
      <c r="O906" s="16">
        <v>0.13445378151260504</v>
      </c>
      <c r="P906" s="35">
        <v>46071.302708333336</v>
      </c>
    </row>
    <row r="907">
      <c r="A907" s="33">
        <v>46071.0</v>
      </c>
      <c r="B907" s="1" t="s">
        <v>59</v>
      </c>
      <c r="C907" s="3" t="s">
        <v>9</v>
      </c>
      <c r="D907" s="1"/>
      <c r="E907" s="34">
        <v>11.0</v>
      </c>
      <c r="F907" s="34">
        <v>16.0</v>
      </c>
      <c r="G907" s="15">
        <v>683.0</v>
      </c>
      <c r="H907" s="16">
        <v>0.02342606149341142</v>
      </c>
      <c r="I907" s="17">
        <v>12.250366032210835</v>
      </c>
      <c r="J907" s="16">
        <v>2.2857142857142856</v>
      </c>
      <c r="K907" s="16">
        <v>4.29559748427673</v>
      </c>
      <c r="L907" s="16">
        <v>0.09090909090909091</v>
      </c>
      <c r="M907" s="16">
        <v>0.09090909090909091</v>
      </c>
      <c r="N907" s="16">
        <v>0.18181818181818182</v>
      </c>
      <c r="O907" s="16">
        <v>0.09090909090909091</v>
      </c>
      <c r="P907" s="35">
        <v>46071.302708333336</v>
      </c>
    </row>
    <row r="908">
      <c r="A908" s="33">
        <v>46071.0</v>
      </c>
      <c r="B908" s="1" t="s">
        <v>59</v>
      </c>
      <c r="C908" s="3" t="s">
        <v>10</v>
      </c>
      <c r="D908" s="1"/>
      <c r="E908" s="34">
        <v>76.0</v>
      </c>
      <c r="F908" s="34">
        <v>3400.0</v>
      </c>
      <c r="G908" s="15">
        <v>494448.0</v>
      </c>
      <c r="H908" s="16">
        <v>0.006876355046435621</v>
      </c>
      <c r="I908" s="17">
        <v>4.398189496165421</v>
      </c>
      <c r="J908" s="16">
        <v>5.802047781569966</v>
      </c>
      <c r="K908" s="16">
        <v>7.794684238736324</v>
      </c>
      <c r="L908" s="16">
        <v>0.013157894736842105</v>
      </c>
      <c r="M908" s="16">
        <v>0.15789473684210525</v>
      </c>
      <c r="N908" s="16">
        <v>0.2631578947368421</v>
      </c>
      <c r="O908" s="16">
        <v>0.27631578947368424</v>
      </c>
      <c r="P908" s="35">
        <v>46071.302708333336</v>
      </c>
    </row>
    <row r="909">
      <c r="A909" s="33">
        <v>46071.0</v>
      </c>
      <c r="B909" s="1" t="s">
        <v>60</v>
      </c>
      <c r="D909" s="1" t="s">
        <v>30</v>
      </c>
      <c r="E909" s="34">
        <v>9.0</v>
      </c>
      <c r="F909" s="34">
        <v>612.0</v>
      </c>
      <c r="G909" s="15">
        <v>13880.0</v>
      </c>
      <c r="H909" s="16">
        <v>0.044092219020172914</v>
      </c>
      <c r="I909" s="17">
        <v>10.589553314121037</v>
      </c>
      <c r="J909" s="16">
        <v>1.3630289532293987</v>
      </c>
      <c r="K909" s="16">
        <v>0.8193624557260921</v>
      </c>
      <c r="L909" s="16">
        <v>0.0</v>
      </c>
      <c r="M909" s="16">
        <v>0.1111111111111111</v>
      </c>
      <c r="N909" s="16">
        <v>0.6666666666666666</v>
      </c>
      <c r="O909" s="16">
        <v>0.3333333333333333</v>
      </c>
      <c r="P909" s="35">
        <v>46071.302708333336</v>
      </c>
    </row>
    <row r="910">
      <c r="A910" s="33">
        <v>46071.0</v>
      </c>
      <c r="B910" s="1" t="s">
        <v>60</v>
      </c>
      <c r="D910" s="1" t="s">
        <v>31</v>
      </c>
      <c r="E910" s="34">
        <v>63.0</v>
      </c>
      <c r="F910" s="34">
        <v>282.0</v>
      </c>
      <c r="G910" s="15">
        <v>7794.0</v>
      </c>
      <c r="H910" s="16">
        <v>0.036181678214010776</v>
      </c>
      <c r="I910" s="17">
        <v>8.762124711316398</v>
      </c>
      <c r="J910" s="16">
        <v>2.186046511627907</v>
      </c>
      <c r="K910" s="16">
        <v>0.7547937245787333</v>
      </c>
      <c r="L910" s="16">
        <v>0.14285714285714285</v>
      </c>
      <c r="M910" s="16">
        <v>0.14285714285714285</v>
      </c>
      <c r="N910" s="16">
        <v>0.3968253968253968</v>
      </c>
      <c r="O910" s="16">
        <v>0.15873015873015872</v>
      </c>
      <c r="P910" s="35">
        <v>46071.302708333336</v>
      </c>
    </row>
    <row r="911">
      <c r="A911" s="33">
        <v>46071.0</v>
      </c>
      <c r="B911" s="1" t="s">
        <v>60</v>
      </c>
      <c r="D911" s="1" t="s">
        <v>32</v>
      </c>
      <c r="E911" s="34">
        <v>562.0</v>
      </c>
      <c r="F911" s="34">
        <v>20697.0</v>
      </c>
      <c r="G911" s="15">
        <v>1880668.0</v>
      </c>
      <c r="H911" s="16">
        <v>0.011005132218977512</v>
      </c>
      <c r="I911" s="17">
        <v>4.552474971659006</v>
      </c>
      <c r="J911" s="16">
        <v>1.4790966912027441</v>
      </c>
      <c r="K911" s="16">
        <v>3.6741484571127154</v>
      </c>
      <c r="L911" s="16">
        <v>0.06405693950177936</v>
      </c>
      <c r="M911" s="16">
        <v>0.302491103202847</v>
      </c>
      <c r="N911" s="16">
        <v>0.4608540925266904</v>
      </c>
      <c r="O911" s="16">
        <v>0.19395017793594305</v>
      </c>
      <c r="P911" s="35">
        <v>46071.302708333336</v>
      </c>
    </row>
    <row r="912">
      <c r="A912" s="33">
        <v>46071.0</v>
      </c>
      <c r="B912" s="1" t="s">
        <v>60</v>
      </c>
      <c r="D912" s="1" t="s">
        <v>33</v>
      </c>
      <c r="E912" s="34">
        <v>105.0</v>
      </c>
      <c r="F912" s="34">
        <v>344.0</v>
      </c>
      <c r="G912" s="15">
        <v>31821.0</v>
      </c>
      <c r="H912" s="16">
        <v>0.010810471072562144</v>
      </c>
      <c r="I912" s="17">
        <v>4.572515005813771</v>
      </c>
      <c r="J912" s="16">
        <v>0.8935064935064935</v>
      </c>
      <c r="K912" s="16">
        <v>3.745850500294291</v>
      </c>
      <c r="L912" s="16">
        <v>0.02857142857142857</v>
      </c>
      <c r="M912" s="16">
        <v>0.06666666666666667</v>
      </c>
      <c r="N912" s="16">
        <v>0.3238095238095238</v>
      </c>
      <c r="O912" s="16">
        <v>0.0761904761904762</v>
      </c>
      <c r="P912" s="35">
        <v>46071.302708333336</v>
      </c>
    </row>
    <row r="913">
      <c r="A913" s="33">
        <v>46071.0</v>
      </c>
      <c r="B913" s="1" t="s">
        <v>60</v>
      </c>
      <c r="D913" s="1" t="s">
        <v>34</v>
      </c>
      <c r="E913" s="34">
        <v>89.0</v>
      </c>
      <c r="F913" s="34">
        <v>28.0</v>
      </c>
      <c r="G913" s="15">
        <v>1374.0</v>
      </c>
      <c r="H913" s="16">
        <v>0.020378457059679767</v>
      </c>
      <c r="I913" s="17">
        <v>8.285298398835517</v>
      </c>
      <c r="J913" s="16">
        <v>1.5555555555555556</v>
      </c>
      <c r="K913" s="16">
        <v>0.5216400911161732</v>
      </c>
      <c r="L913" s="16">
        <v>0.033707865168539325</v>
      </c>
      <c r="M913" s="16">
        <v>0.033707865168539325</v>
      </c>
      <c r="N913" s="16">
        <v>0.06741573033707865</v>
      </c>
      <c r="O913" s="16">
        <v>0.06741573033707865</v>
      </c>
      <c r="P913" s="35">
        <v>46071.302708333336</v>
      </c>
    </row>
    <row r="914">
      <c r="A914" s="33">
        <v>46072.0</v>
      </c>
      <c r="B914" s="1" t="s">
        <v>57</v>
      </c>
      <c r="D914" s="1"/>
      <c r="E914" s="34">
        <v>1166.0</v>
      </c>
      <c r="F914" s="34">
        <v>22245.0</v>
      </c>
      <c r="G914" s="15">
        <v>1973506.0</v>
      </c>
      <c r="H914" s="16">
        <v>0.011271817769999179</v>
      </c>
      <c r="I914" s="17">
        <v>4.603398722882018</v>
      </c>
      <c r="J914" s="16">
        <v>1.4652219733895402</v>
      </c>
      <c r="K914" s="16">
        <v>3.5002660442413838</v>
      </c>
      <c r="L914" s="16">
        <v>0.04716981132075472</v>
      </c>
      <c r="M914" s="16">
        <v>0.16981132075471697</v>
      </c>
      <c r="N914" s="16">
        <v>0.3018867924528302</v>
      </c>
      <c r="O914" s="16">
        <v>0.13636363636363635</v>
      </c>
      <c r="P914" s="35">
        <v>46072.302708333336</v>
      </c>
    </row>
    <row r="915">
      <c r="A915" s="33">
        <v>46072.0</v>
      </c>
      <c r="B915" s="1" t="s">
        <v>58</v>
      </c>
      <c r="D915" s="1"/>
      <c r="E915" s="34">
        <v>828.0</v>
      </c>
      <c r="F915" s="34">
        <v>22129.0</v>
      </c>
      <c r="G915" s="15">
        <v>1970694.0</v>
      </c>
      <c r="H915" s="16">
        <v>0.011229039110080002</v>
      </c>
      <c r="I915" s="17">
        <v>4.60209855005394</v>
      </c>
      <c r="J915" s="16">
        <v>1.4701700770661705</v>
      </c>
      <c r="K915" s="16">
        <v>3.5700978260869567</v>
      </c>
      <c r="L915" s="16">
        <v>0.05676328502415459</v>
      </c>
      <c r="M915" s="16">
        <v>0.22946859903381642</v>
      </c>
      <c r="N915" s="16">
        <v>0.40217391304347827</v>
      </c>
      <c r="O915" s="16">
        <v>0.17028985507246377</v>
      </c>
      <c r="P915" s="35">
        <v>46072.302708333336</v>
      </c>
    </row>
    <row r="916">
      <c r="A916" s="33">
        <v>46072.0</v>
      </c>
      <c r="B916" s="1" t="s">
        <v>59</v>
      </c>
      <c r="C916" s="3" t="s">
        <v>2</v>
      </c>
      <c r="D916" s="1"/>
      <c r="E916" s="34">
        <v>133.0</v>
      </c>
      <c r="F916" s="34">
        <v>1522.0</v>
      </c>
      <c r="G916" s="15">
        <v>140596.0</v>
      </c>
      <c r="H916" s="16">
        <v>0.010825343537511736</v>
      </c>
      <c r="I916" s="17">
        <v>4.422095934450482</v>
      </c>
      <c r="J916" s="16">
        <v>4.801261829652997</v>
      </c>
      <c r="K916" s="16">
        <v>7.091853720050441</v>
      </c>
      <c r="L916" s="16">
        <v>0.045112781954887216</v>
      </c>
      <c r="M916" s="16">
        <v>0.07518796992481203</v>
      </c>
      <c r="N916" s="16">
        <v>0.3684210526315789</v>
      </c>
      <c r="O916" s="16">
        <v>0.10526315789473684</v>
      </c>
      <c r="P916" s="35">
        <v>46072.302708333336</v>
      </c>
    </row>
    <row r="917">
      <c r="A917" s="33">
        <v>46072.0</v>
      </c>
      <c r="B917" s="1" t="s">
        <v>59</v>
      </c>
      <c r="C917" s="1" t="s">
        <v>3</v>
      </c>
      <c r="D917" s="1"/>
      <c r="E917" s="34">
        <v>185.0</v>
      </c>
      <c r="F917" s="34">
        <v>1519.0</v>
      </c>
      <c r="G917" s="15">
        <v>64758.0</v>
      </c>
      <c r="H917" s="16">
        <v>0.023456561351493252</v>
      </c>
      <c r="I917" s="17">
        <v>5.872926897062911</v>
      </c>
      <c r="J917" s="16">
        <v>1.935031847133758</v>
      </c>
      <c r="K917" s="16">
        <v>3.120265972824516</v>
      </c>
      <c r="L917" s="16">
        <v>0.032432432432432434</v>
      </c>
      <c r="M917" s="16">
        <v>0.05405405405405406</v>
      </c>
      <c r="N917" s="16">
        <v>0.4</v>
      </c>
      <c r="O917" s="16">
        <v>0.11891891891891893</v>
      </c>
      <c r="P917" s="35">
        <v>46072.302708333336</v>
      </c>
    </row>
    <row r="918">
      <c r="A918" s="33">
        <v>46072.0</v>
      </c>
      <c r="B918" s="1" t="s">
        <v>59</v>
      </c>
      <c r="C918" s="3" t="s">
        <v>4</v>
      </c>
      <c r="D918" s="1"/>
      <c r="E918" s="34">
        <v>105.0</v>
      </c>
      <c r="F918" s="34">
        <v>1326.0</v>
      </c>
      <c r="G918" s="15">
        <v>52394.0</v>
      </c>
      <c r="H918" s="16">
        <v>0.025308241401687217</v>
      </c>
      <c r="I918" s="17">
        <v>4.38571210443944</v>
      </c>
      <c r="J918" s="16">
        <v>2.0337423312883436</v>
      </c>
      <c r="K918" s="16">
        <v>2.8666630190950375</v>
      </c>
      <c r="L918" s="16">
        <v>0.06666666666666667</v>
      </c>
      <c r="M918" s="16">
        <v>0.09523809523809523</v>
      </c>
      <c r="N918" s="16">
        <v>0.2761904761904762</v>
      </c>
      <c r="O918" s="16">
        <v>0.10476190476190476</v>
      </c>
      <c r="P918" s="35">
        <v>46072.302708333336</v>
      </c>
    </row>
    <row r="919">
      <c r="A919" s="33">
        <v>46072.0</v>
      </c>
      <c r="B919" s="1" t="s">
        <v>59</v>
      </c>
      <c r="C919" s="3" t="s">
        <v>5</v>
      </c>
      <c r="D919" s="1"/>
      <c r="E919" s="34">
        <v>40.0</v>
      </c>
      <c r="F919" s="34">
        <v>6091.0</v>
      </c>
      <c r="G919" s="15">
        <v>73554.0</v>
      </c>
      <c r="H919" s="16">
        <v>0.08280990836664219</v>
      </c>
      <c r="I919" s="17">
        <v>5.184979742774017</v>
      </c>
      <c r="J919" s="16">
        <v>0.9406949806949807</v>
      </c>
      <c r="K919" s="16">
        <v>1.6808500914076783</v>
      </c>
      <c r="L919" s="16">
        <v>0.05</v>
      </c>
      <c r="M919" s="16">
        <v>0.1</v>
      </c>
      <c r="N919" s="16">
        <v>0.25</v>
      </c>
      <c r="O919" s="16">
        <v>0.1</v>
      </c>
      <c r="P919" s="35">
        <v>46072.302708333336</v>
      </c>
    </row>
    <row r="920">
      <c r="A920" s="33">
        <v>46072.0</v>
      </c>
      <c r="B920" s="1" t="s">
        <v>59</v>
      </c>
      <c r="C920" s="3" t="s">
        <v>6</v>
      </c>
      <c r="D920" s="1"/>
      <c r="E920" s="34">
        <v>29.0</v>
      </c>
      <c r="F920" s="34">
        <v>5487.0</v>
      </c>
      <c r="G920" s="15">
        <v>407062.0</v>
      </c>
      <c r="H920" s="16">
        <v>0.013479519090457965</v>
      </c>
      <c r="I920" s="17">
        <v>4.564422618667426</v>
      </c>
      <c r="J920" s="16">
        <v>1.2533120146185472</v>
      </c>
      <c r="K920" s="16">
        <v>1.7948139101142422</v>
      </c>
      <c r="L920" s="16">
        <v>0.0</v>
      </c>
      <c r="M920" s="16">
        <v>0.0</v>
      </c>
      <c r="N920" s="16">
        <v>0.6206896551724138</v>
      </c>
      <c r="O920" s="16">
        <v>0.3448275862068966</v>
      </c>
      <c r="P920" s="35">
        <v>46072.302708333336</v>
      </c>
    </row>
    <row r="921">
      <c r="A921" s="33">
        <v>46072.0</v>
      </c>
      <c r="B921" s="1" t="s">
        <v>59</v>
      </c>
      <c r="C921" s="3" t="s">
        <v>7</v>
      </c>
      <c r="D921" s="1"/>
      <c r="E921" s="34">
        <v>130.0</v>
      </c>
      <c r="F921" s="34">
        <v>1495.0</v>
      </c>
      <c r="G921" s="15">
        <v>313652.0</v>
      </c>
      <c r="H921" s="16">
        <v>0.004766429036001683</v>
      </c>
      <c r="I921" s="17">
        <v>4.08902860495071</v>
      </c>
      <c r="J921" s="16">
        <v>2.4230145867098867</v>
      </c>
      <c r="K921" s="16">
        <v>9.064038839440528</v>
      </c>
      <c r="L921" s="16">
        <v>0.06923076923076923</v>
      </c>
      <c r="M921" s="16">
        <v>0.5153846153846153</v>
      </c>
      <c r="N921" s="16">
        <v>0.5076923076923077</v>
      </c>
      <c r="O921" s="16">
        <v>0.3</v>
      </c>
      <c r="P921" s="35">
        <v>46072.302708333336</v>
      </c>
    </row>
    <row r="922">
      <c r="A922" s="33">
        <v>46072.0</v>
      </c>
      <c r="B922" s="1" t="s">
        <v>59</v>
      </c>
      <c r="C922" s="3" t="s">
        <v>8</v>
      </c>
      <c r="D922" s="1"/>
      <c r="E922" s="34">
        <v>119.0</v>
      </c>
      <c r="F922" s="34">
        <v>1233.0</v>
      </c>
      <c r="G922" s="15">
        <v>416841.0</v>
      </c>
      <c r="H922" s="16">
        <v>0.002957962388536636</v>
      </c>
      <c r="I922" s="17">
        <v>5.02523744065483</v>
      </c>
      <c r="J922" s="16">
        <v>1.0057096247960848</v>
      </c>
      <c r="K922" s="16">
        <v>3.3916259163730746</v>
      </c>
      <c r="L922" s="16">
        <v>0.12605042016806722</v>
      </c>
      <c r="M922" s="16">
        <v>0.6302521008403361</v>
      </c>
      <c r="N922" s="16">
        <v>0.5378151260504201</v>
      </c>
      <c r="O922" s="16">
        <v>0.15966386554621848</v>
      </c>
      <c r="P922" s="35">
        <v>46072.302708333336</v>
      </c>
    </row>
    <row r="923">
      <c r="A923" s="33">
        <v>46072.0</v>
      </c>
      <c r="B923" s="1" t="s">
        <v>59</v>
      </c>
      <c r="C923" s="3" t="s">
        <v>9</v>
      </c>
      <c r="D923" s="1"/>
      <c r="E923" s="34">
        <v>11.0</v>
      </c>
      <c r="F923" s="34">
        <v>16.0</v>
      </c>
      <c r="G923" s="15">
        <v>717.0</v>
      </c>
      <c r="H923" s="16">
        <v>0.022315202231520222</v>
      </c>
      <c r="I923" s="17">
        <v>11.92887029288703</v>
      </c>
      <c r="J923" s="16">
        <v>2.2857142857142856</v>
      </c>
      <c r="K923" s="16">
        <v>4.78</v>
      </c>
      <c r="L923" s="16">
        <v>0.09090909090909091</v>
      </c>
      <c r="M923" s="16">
        <v>0.09090909090909091</v>
      </c>
      <c r="N923" s="16">
        <v>0.18181818181818182</v>
      </c>
      <c r="O923" s="16">
        <v>0.18181818181818182</v>
      </c>
      <c r="P923" s="35">
        <v>46072.302708333336</v>
      </c>
    </row>
    <row r="924">
      <c r="A924" s="33">
        <v>46072.0</v>
      </c>
      <c r="B924" s="1" t="s">
        <v>59</v>
      </c>
      <c r="C924" s="3" t="s">
        <v>10</v>
      </c>
      <c r="D924" s="1"/>
      <c r="E924" s="34">
        <v>76.0</v>
      </c>
      <c r="F924" s="34">
        <v>3440.0</v>
      </c>
      <c r="G924" s="15">
        <v>501120.0</v>
      </c>
      <c r="H924" s="16">
        <v>0.006864623243933589</v>
      </c>
      <c r="I924" s="17">
        <v>4.414723020434227</v>
      </c>
      <c r="J924" s="16">
        <v>5.781512605042017</v>
      </c>
      <c r="K924" s="16">
        <v>7.7180877279448</v>
      </c>
      <c r="L924" s="16">
        <v>0.013157894736842105</v>
      </c>
      <c r="M924" s="16">
        <v>0.17105263157894737</v>
      </c>
      <c r="N924" s="16">
        <v>0.27631578947368424</v>
      </c>
      <c r="O924" s="16">
        <v>0.2631578947368421</v>
      </c>
      <c r="P924" s="35">
        <v>46072.302708333336</v>
      </c>
    </row>
    <row r="925">
      <c r="A925" s="33">
        <v>46072.0</v>
      </c>
      <c r="B925" s="1" t="s">
        <v>60</v>
      </c>
      <c r="D925" s="1" t="s">
        <v>30</v>
      </c>
      <c r="E925" s="34">
        <v>9.0</v>
      </c>
      <c r="F925" s="34">
        <v>614.0</v>
      </c>
      <c r="G925" s="15">
        <v>13838.0</v>
      </c>
      <c r="H925" s="16">
        <v>0.04437057378233849</v>
      </c>
      <c r="I925" s="17">
        <v>10.528616852146264</v>
      </c>
      <c r="J925" s="16">
        <v>1.3736017897091723</v>
      </c>
      <c r="K925" s="16">
        <v>0.8097132826214161</v>
      </c>
      <c r="L925" s="16">
        <v>0.0</v>
      </c>
      <c r="M925" s="16">
        <v>0.1111111111111111</v>
      </c>
      <c r="N925" s="16">
        <v>0.6666666666666666</v>
      </c>
      <c r="O925" s="16">
        <v>0.3333333333333333</v>
      </c>
      <c r="P925" s="35">
        <v>46072.302708333336</v>
      </c>
    </row>
    <row r="926">
      <c r="A926" s="33">
        <v>46072.0</v>
      </c>
      <c r="B926" s="1" t="s">
        <v>60</v>
      </c>
      <c r="D926" s="1" t="s">
        <v>31</v>
      </c>
      <c r="E926" s="34">
        <v>63.0</v>
      </c>
      <c r="F926" s="34">
        <v>287.0</v>
      </c>
      <c r="G926" s="15">
        <v>7838.0</v>
      </c>
      <c r="H926" s="16">
        <v>0.036616483796886964</v>
      </c>
      <c r="I926" s="17">
        <v>8.79650421025772</v>
      </c>
      <c r="J926" s="16">
        <v>2.1578947368421053</v>
      </c>
      <c r="K926" s="16">
        <v>0.7580270793036751</v>
      </c>
      <c r="L926" s="16">
        <v>0.12698412698412698</v>
      </c>
      <c r="M926" s="16">
        <v>0.12698412698412698</v>
      </c>
      <c r="N926" s="16">
        <v>0.4126984126984127</v>
      </c>
      <c r="O926" s="16">
        <v>0.15873015873015872</v>
      </c>
      <c r="P926" s="35">
        <v>46072.302708333336</v>
      </c>
    </row>
    <row r="927">
      <c r="A927" s="33">
        <v>46072.0</v>
      </c>
      <c r="B927" s="1" t="s">
        <v>60</v>
      </c>
      <c r="D927" s="1" t="s">
        <v>32</v>
      </c>
      <c r="E927" s="34">
        <v>562.0</v>
      </c>
      <c r="F927" s="34">
        <v>20842.0</v>
      </c>
      <c r="G927" s="15">
        <v>1913835.0</v>
      </c>
      <c r="H927" s="16">
        <v>0.010890176007858566</v>
      </c>
      <c r="I927" s="17">
        <v>4.541389409222843</v>
      </c>
      <c r="J927" s="16">
        <v>1.482677669488511</v>
      </c>
      <c r="K927" s="16">
        <v>3.7295165825796683</v>
      </c>
      <c r="L927" s="16">
        <v>0.060498220640569395</v>
      </c>
      <c r="M927" s="16">
        <v>0.30782918149466193</v>
      </c>
      <c r="N927" s="16">
        <v>0.4608540925266904</v>
      </c>
      <c r="O927" s="16">
        <v>0.20462633451957296</v>
      </c>
      <c r="P927" s="35">
        <v>46072.302708333336</v>
      </c>
    </row>
    <row r="928">
      <c r="A928" s="33">
        <v>46072.0</v>
      </c>
      <c r="B928" s="1" t="s">
        <v>60</v>
      </c>
      <c r="D928" s="1" t="s">
        <v>33</v>
      </c>
      <c r="E928" s="34">
        <v>105.0</v>
      </c>
      <c r="F928" s="34">
        <v>359.0</v>
      </c>
      <c r="G928" s="15">
        <v>33823.0</v>
      </c>
      <c r="H928" s="16">
        <v>0.010614079176891465</v>
      </c>
      <c r="I928" s="17">
        <v>4.49534340537504</v>
      </c>
      <c r="J928" s="16">
        <v>0.9042821158690176</v>
      </c>
      <c r="K928" s="16">
        <v>3.8417764652430715</v>
      </c>
      <c r="L928" s="16">
        <v>0.02857142857142857</v>
      </c>
      <c r="M928" s="16">
        <v>0.05714285714285714</v>
      </c>
      <c r="N928" s="16">
        <v>0.3333333333333333</v>
      </c>
      <c r="O928" s="16">
        <v>0.06666666666666667</v>
      </c>
      <c r="P928" s="35">
        <v>46072.302708333336</v>
      </c>
    </row>
    <row r="929">
      <c r="A929" s="33">
        <v>46072.0</v>
      </c>
      <c r="B929" s="1" t="s">
        <v>60</v>
      </c>
      <c r="D929" s="1" t="s">
        <v>34</v>
      </c>
      <c r="E929" s="34">
        <v>89.0</v>
      </c>
      <c r="F929" s="34">
        <v>27.0</v>
      </c>
      <c r="G929" s="15">
        <v>1360.0</v>
      </c>
      <c r="H929" s="16">
        <v>0.019852941176470587</v>
      </c>
      <c r="I929" s="17">
        <v>8.213235294117647</v>
      </c>
      <c r="J929" s="16">
        <v>1.5</v>
      </c>
      <c r="K929" s="16">
        <v>0.5216724204065977</v>
      </c>
      <c r="L929" s="16">
        <v>0.02247191011235955</v>
      </c>
      <c r="M929" s="16">
        <v>0.02247191011235955</v>
      </c>
      <c r="N929" s="16">
        <v>0.07865168539325842</v>
      </c>
      <c r="O929" s="16">
        <v>0.06741573033707865</v>
      </c>
      <c r="P929" s="35">
        <v>46072.302708333336</v>
      </c>
    </row>
    <row r="930">
      <c r="A930" s="33">
        <v>46073.0</v>
      </c>
      <c r="B930" s="1" t="s">
        <v>57</v>
      </c>
      <c r="D930" s="1"/>
      <c r="E930" s="34">
        <v>1166.0</v>
      </c>
      <c r="F930" s="34">
        <v>22268.0</v>
      </c>
      <c r="G930" s="15">
        <v>1998244.0</v>
      </c>
      <c r="H930" s="16">
        <v>0.011143784242564972</v>
      </c>
      <c r="I930" s="17">
        <v>4.5845187074251195</v>
      </c>
      <c r="J930" s="16">
        <v>1.4562814727617552</v>
      </c>
      <c r="K930" s="16">
        <v>3.5144712404322376</v>
      </c>
      <c r="L930" s="16">
        <v>0.04373927958833619</v>
      </c>
      <c r="M930" s="16">
        <v>0.17152658662092624</v>
      </c>
      <c r="N930" s="16">
        <v>0.29416809605488853</v>
      </c>
      <c r="O930" s="16">
        <v>0.14665523156089194</v>
      </c>
      <c r="P930" s="35">
        <v>46073.302615740744</v>
      </c>
    </row>
    <row r="931">
      <c r="A931" s="33">
        <v>46073.0</v>
      </c>
      <c r="B931" s="1" t="s">
        <v>58</v>
      </c>
      <c r="D931" s="1"/>
      <c r="E931" s="34">
        <v>828.0</v>
      </c>
      <c r="F931" s="34">
        <v>22155.0</v>
      </c>
      <c r="G931" s="15">
        <v>1995446.0</v>
      </c>
      <c r="H931" s="16">
        <v>0.011102781032410799</v>
      </c>
      <c r="I931" s="17">
        <v>4.5829879635931015</v>
      </c>
      <c r="J931" s="16">
        <v>1.46189376443418</v>
      </c>
      <c r="K931" s="16">
        <v>3.5835370135246043</v>
      </c>
      <c r="L931" s="16">
        <v>0.051932367149758456</v>
      </c>
      <c r="M931" s="16">
        <v>0.2318840579710145</v>
      </c>
      <c r="N931" s="16">
        <v>0.39492753623188404</v>
      </c>
      <c r="O931" s="16">
        <v>0.17995169082125603</v>
      </c>
      <c r="P931" s="35">
        <v>46073.302615740744</v>
      </c>
    </row>
    <row r="932">
      <c r="A932" s="33">
        <v>46073.0</v>
      </c>
      <c r="B932" s="1" t="s">
        <v>59</v>
      </c>
      <c r="C932" s="3" t="s">
        <v>2</v>
      </c>
      <c r="D932" s="1"/>
      <c r="E932" s="34">
        <v>133.0</v>
      </c>
      <c r="F932" s="34">
        <v>1513.0</v>
      </c>
      <c r="G932" s="15">
        <v>143366.0</v>
      </c>
      <c r="H932" s="16">
        <v>0.01055340875800399</v>
      </c>
      <c r="I932" s="17">
        <v>4.392819775958038</v>
      </c>
      <c r="J932" s="16">
        <v>4.833865814696486</v>
      </c>
      <c r="K932" s="16">
        <v>7.236321421360792</v>
      </c>
      <c r="L932" s="16">
        <v>0.045112781954887216</v>
      </c>
      <c r="M932" s="16">
        <v>0.09022556390977443</v>
      </c>
      <c r="N932" s="16">
        <v>0.37593984962406013</v>
      </c>
      <c r="O932" s="16">
        <v>0.09774436090225563</v>
      </c>
      <c r="P932" s="35">
        <v>46073.302615740744</v>
      </c>
    </row>
    <row r="933">
      <c r="A933" s="33">
        <v>46073.0</v>
      </c>
      <c r="B933" s="1" t="s">
        <v>59</v>
      </c>
      <c r="C933" s="1" t="s">
        <v>3</v>
      </c>
      <c r="D933" s="1"/>
      <c r="E933" s="34">
        <v>185.0</v>
      </c>
      <c r="F933" s="34">
        <v>1521.0</v>
      </c>
      <c r="G933" s="15">
        <v>65752.0</v>
      </c>
      <c r="H933" s="16">
        <v>0.023132376201484367</v>
      </c>
      <c r="I933" s="17">
        <v>5.844947682199781</v>
      </c>
      <c r="J933" s="16">
        <v>1.9302030456852792</v>
      </c>
      <c r="K933" s="16">
        <v>3.156449522346503</v>
      </c>
      <c r="L933" s="16">
        <v>0.03783783783783784</v>
      </c>
      <c r="M933" s="16">
        <v>0.05945945945945946</v>
      </c>
      <c r="N933" s="16">
        <v>0.3891891891891892</v>
      </c>
      <c r="O933" s="16">
        <v>0.12972972972972974</v>
      </c>
      <c r="P933" s="35">
        <v>46073.302615740744</v>
      </c>
    </row>
    <row r="934">
      <c r="A934" s="33">
        <v>46073.0</v>
      </c>
      <c r="B934" s="1" t="s">
        <v>59</v>
      </c>
      <c r="C934" s="3" t="s">
        <v>4</v>
      </c>
      <c r="D934" s="1"/>
      <c r="E934" s="34">
        <v>105.0</v>
      </c>
      <c r="F934" s="34">
        <v>1332.0</v>
      </c>
      <c r="G934" s="15">
        <v>53919.0</v>
      </c>
      <c r="H934" s="16">
        <v>0.024703722250041728</v>
      </c>
      <c r="I934" s="17">
        <v>4.339768912628202</v>
      </c>
      <c r="J934" s="16">
        <v>1.9559471365638768</v>
      </c>
      <c r="K934" s="16">
        <v>2.823871373206243</v>
      </c>
      <c r="L934" s="16">
        <v>0.05714285714285714</v>
      </c>
      <c r="M934" s="16">
        <v>0.09523809523809523</v>
      </c>
      <c r="N934" s="16">
        <v>0.26666666666666666</v>
      </c>
      <c r="O934" s="16">
        <v>0.11428571428571428</v>
      </c>
      <c r="P934" s="35">
        <v>46073.302615740744</v>
      </c>
    </row>
    <row r="935">
      <c r="A935" s="33">
        <v>46073.0</v>
      </c>
      <c r="B935" s="1" t="s">
        <v>59</v>
      </c>
      <c r="C935" s="3" t="s">
        <v>5</v>
      </c>
      <c r="D935" s="1"/>
      <c r="E935" s="34">
        <v>40.0</v>
      </c>
      <c r="F935" s="34">
        <v>6140.0</v>
      </c>
      <c r="G935" s="15">
        <v>74436.0</v>
      </c>
      <c r="H935" s="16">
        <v>0.08248696867107314</v>
      </c>
      <c r="I935" s="17">
        <v>5.1661427266376485</v>
      </c>
      <c r="J935" s="16">
        <v>0.949582431178472</v>
      </c>
      <c r="K935" s="16">
        <v>1.6909202426114809</v>
      </c>
      <c r="L935" s="16">
        <v>0.05</v>
      </c>
      <c r="M935" s="16">
        <v>0.1</v>
      </c>
      <c r="N935" s="16">
        <v>0.25</v>
      </c>
      <c r="O935" s="16">
        <v>0.1</v>
      </c>
      <c r="P935" s="35">
        <v>46073.302615740744</v>
      </c>
    </row>
    <row r="936">
      <c r="A936" s="33">
        <v>46073.0</v>
      </c>
      <c r="B936" s="1" t="s">
        <v>59</v>
      </c>
      <c r="C936" s="3" t="s">
        <v>6</v>
      </c>
      <c r="D936" s="1"/>
      <c r="E936" s="34">
        <v>29.0</v>
      </c>
      <c r="F936" s="34">
        <v>5438.0</v>
      </c>
      <c r="G936" s="15">
        <v>409295.0</v>
      </c>
      <c r="H936" s="16">
        <v>0.013286260521140009</v>
      </c>
      <c r="I936" s="17">
        <v>4.5329994258419966</v>
      </c>
      <c r="J936" s="16">
        <v>1.2244989867147038</v>
      </c>
      <c r="K936" s="16">
        <v>1.7920645553935541</v>
      </c>
      <c r="L936" s="16">
        <v>0.0</v>
      </c>
      <c r="M936" s="16">
        <v>0.0</v>
      </c>
      <c r="N936" s="16">
        <v>0.5517241379310345</v>
      </c>
      <c r="O936" s="16">
        <v>0.41379310344827586</v>
      </c>
      <c r="P936" s="35">
        <v>46073.302615740744</v>
      </c>
    </row>
    <row r="937">
      <c r="A937" s="33">
        <v>46073.0</v>
      </c>
      <c r="B937" s="1" t="s">
        <v>59</v>
      </c>
      <c r="C937" s="3" t="s">
        <v>7</v>
      </c>
      <c r="D937" s="1"/>
      <c r="E937" s="34">
        <v>130.0</v>
      </c>
      <c r="F937" s="34">
        <v>1525.0</v>
      </c>
      <c r="G937" s="15">
        <v>319324.0</v>
      </c>
      <c r="H937" s="16">
        <v>0.00477571369518107</v>
      </c>
      <c r="I937" s="17">
        <v>4.069161729152835</v>
      </c>
      <c r="J937" s="16">
        <v>2.4596774193548385</v>
      </c>
      <c r="K937" s="16">
        <v>9.138425435709584</v>
      </c>
      <c r="L937" s="16">
        <v>0.06153846153846154</v>
      </c>
      <c r="M937" s="16">
        <v>0.5076923076923077</v>
      </c>
      <c r="N937" s="16">
        <v>0.4846153846153846</v>
      </c>
      <c r="O937" s="16">
        <v>0.3384615384615385</v>
      </c>
      <c r="P937" s="35">
        <v>46073.302615740744</v>
      </c>
    </row>
    <row r="938">
      <c r="A938" s="33">
        <v>46073.0</v>
      </c>
      <c r="B938" s="1" t="s">
        <v>59</v>
      </c>
      <c r="C938" s="3" t="s">
        <v>8</v>
      </c>
      <c r="D938" s="1"/>
      <c r="E938" s="34">
        <v>119.0</v>
      </c>
      <c r="F938" s="34">
        <v>1227.0</v>
      </c>
      <c r="G938" s="15">
        <v>422227.0</v>
      </c>
      <c r="H938" s="16">
        <v>0.002906019747671276</v>
      </c>
      <c r="I938" s="17">
        <v>5.013480900084551</v>
      </c>
      <c r="J938" s="16">
        <v>0.9911147011308562</v>
      </c>
      <c r="K938" s="16">
        <v>3.414473790616054</v>
      </c>
      <c r="L938" s="16">
        <v>0.1092436974789916</v>
      </c>
      <c r="M938" s="16">
        <v>0.6302521008403361</v>
      </c>
      <c r="N938" s="16">
        <v>0.5462184873949579</v>
      </c>
      <c r="O938" s="16">
        <v>0.15126050420168066</v>
      </c>
      <c r="P938" s="35">
        <v>46073.302615740744</v>
      </c>
    </row>
    <row r="939">
      <c r="A939" s="33">
        <v>46073.0</v>
      </c>
      <c r="B939" s="1" t="s">
        <v>59</v>
      </c>
      <c r="C939" s="3" t="s">
        <v>9</v>
      </c>
      <c r="D939" s="1"/>
      <c r="E939" s="34">
        <v>11.0</v>
      </c>
      <c r="F939" s="34">
        <v>16.0</v>
      </c>
      <c r="G939" s="15">
        <v>733.0</v>
      </c>
      <c r="H939" s="16">
        <v>0.021828103683492497</v>
      </c>
      <c r="I939" s="17">
        <v>11.212824010914051</v>
      </c>
      <c r="J939" s="16">
        <v>2.2857142857142856</v>
      </c>
      <c r="K939" s="16">
        <v>4.886666666666667</v>
      </c>
      <c r="L939" s="16">
        <v>0.0</v>
      </c>
      <c r="M939" s="16">
        <v>0.0</v>
      </c>
      <c r="N939" s="16">
        <v>0.2727272727272727</v>
      </c>
      <c r="O939" s="16">
        <v>0.09090909090909091</v>
      </c>
      <c r="P939" s="35">
        <v>46073.302615740744</v>
      </c>
    </row>
    <row r="940">
      <c r="A940" s="33">
        <v>46073.0</v>
      </c>
      <c r="B940" s="1" t="s">
        <v>59</v>
      </c>
      <c r="C940" s="3" t="s">
        <v>10</v>
      </c>
      <c r="D940" s="1"/>
      <c r="E940" s="34">
        <v>76.0</v>
      </c>
      <c r="F940" s="34">
        <v>3443.0</v>
      </c>
      <c r="G940" s="15">
        <v>506394.0</v>
      </c>
      <c r="H940" s="16">
        <v>0.006799053701268183</v>
      </c>
      <c r="I940" s="17">
        <v>4.409023408650182</v>
      </c>
      <c r="J940" s="16">
        <v>5.728785357737105</v>
      </c>
      <c r="K940" s="16">
        <v>7.680200197163874</v>
      </c>
      <c r="L940" s="16">
        <v>0.013157894736842105</v>
      </c>
      <c r="M940" s="16">
        <v>0.18421052631578946</v>
      </c>
      <c r="N940" s="16">
        <v>0.2631578947368421</v>
      </c>
      <c r="O940" s="16">
        <v>0.27631578947368424</v>
      </c>
      <c r="P940" s="35">
        <v>46073.302615740744</v>
      </c>
    </row>
    <row r="941">
      <c r="A941" s="33">
        <v>46073.0</v>
      </c>
      <c r="B941" s="1" t="s">
        <v>60</v>
      </c>
      <c r="D941" s="1" t="s">
        <v>30</v>
      </c>
      <c r="E941" s="34">
        <v>9.0</v>
      </c>
      <c r="F941" s="34">
        <v>603.0</v>
      </c>
      <c r="G941" s="15">
        <v>13790.0</v>
      </c>
      <c r="H941" s="16">
        <v>0.04372733865119652</v>
      </c>
      <c r="I941" s="17">
        <v>10.478825235678027</v>
      </c>
      <c r="J941" s="16">
        <v>1.3894009216589862</v>
      </c>
      <c r="K941" s="16">
        <v>0.8020706101320305</v>
      </c>
      <c r="L941" s="16">
        <v>0.0</v>
      </c>
      <c r="M941" s="16">
        <v>0.1111111111111111</v>
      </c>
      <c r="N941" s="16">
        <v>0.6666666666666666</v>
      </c>
      <c r="O941" s="16">
        <v>0.3333333333333333</v>
      </c>
      <c r="P941" s="35">
        <v>46073.302615740744</v>
      </c>
    </row>
    <row r="942">
      <c r="A942" s="33">
        <v>46073.0</v>
      </c>
      <c r="B942" s="1" t="s">
        <v>60</v>
      </c>
      <c r="D942" s="1" t="s">
        <v>31</v>
      </c>
      <c r="E942" s="34">
        <v>63.0</v>
      </c>
      <c r="F942" s="34">
        <v>279.0</v>
      </c>
      <c r="G942" s="15">
        <v>7870.0</v>
      </c>
      <c r="H942" s="16">
        <v>0.03545108005082592</v>
      </c>
      <c r="I942" s="17">
        <v>8.931893265565439</v>
      </c>
      <c r="J942" s="16">
        <v>2.0364963503649633</v>
      </c>
      <c r="K942" s="16">
        <v>0.760092717790226</v>
      </c>
      <c r="L942" s="16">
        <v>0.14285714285714285</v>
      </c>
      <c r="M942" s="16">
        <v>0.14285714285714285</v>
      </c>
      <c r="N942" s="16">
        <v>0.3968253968253968</v>
      </c>
      <c r="O942" s="16">
        <v>0.20634920634920634</v>
      </c>
      <c r="P942" s="35">
        <v>46073.302615740744</v>
      </c>
    </row>
    <row r="943">
      <c r="A943" s="33">
        <v>46073.0</v>
      </c>
      <c r="B943" s="1" t="s">
        <v>60</v>
      </c>
      <c r="D943" s="1" t="s">
        <v>32</v>
      </c>
      <c r="E943" s="34">
        <v>562.0</v>
      </c>
      <c r="F943" s="34">
        <v>20876.0</v>
      </c>
      <c r="G943" s="15">
        <v>1937712.0</v>
      </c>
      <c r="H943" s="16">
        <v>0.010773530844625002</v>
      </c>
      <c r="I943" s="17">
        <v>4.523573162575244</v>
      </c>
      <c r="J943" s="16">
        <v>1.4760658983242594</v>
      </c>
      <c r="K943" s="16">
        <v>3.746427024686011</v>
      </c>
      <c r="L943" s="16">
        <v>0.051601423487544484</v>
      </c>
      <c r="M943" s="16">
        <v>0.3096085409252669</v>
      </c>
      <c r="N943" s="16">
        <v>0.45195729537366547</v>
      </c>
      <c r="O943" s="16">
        <v>0.21352313167259787</v>
      </c>
      <c r="P943" s="35">
        <v>46073.302615740744</v>
      </c>
    </row>
    <row r="944">
      <c r="A944" s="33">
        <v>46073.0</v>
      </c>
      <c r="B944" s="1" t="s">
        <v>60</v>
      </c>
      <c r="D944" s="1" t="s">
        <v>33</v>
      </c>
      <c r="E944" s="34">
        <v>105.0</v>
      </c>
      <c r="F944" s="34">
        <v>371.0</v>
      </c>
      <c r="G944" s="15">
        <v>34721.0</v>
      </c>
      <c r="H944" s="16">
        <v>0.010685176118199361</v>
      </c>
      <c r="I944" s="17">
        <v>4.421704443996429</v>
      </c>
      <c r="J944" s="16">
        <v>0.8770685579196218</v>
      </c>
      <c r="K944" s="16">
        <v>3.656381634372367</v>
      </c>
      <c r="L944" s="16">
        <v>0.02857142857142857</v>
      </c>
      <c r="M944" s="16">
        <v>0.05714285714285714</v>
      </c>
      <c r="N944" s="16">
        <v>0.3333333333333333</v>
      </c>
      <c r="O944" s="16">
        <v>0.06666666666666667</v>
      </c>
      <c r="P944" s="35">
        <v>46073.302615740744</v>
      </c>
    </row>
    <row r="945">
      <c r="A945" s="33">
        <v>46073.0</v>
      </c>
      <c r="B945" s="1" t="s">
        <v>60</v>
      </c>
      <c r="D945" s="1" t="s">
        <v>34</v>
      </c>
      <c r="E945" s="34">
        <v>89.0</v>
      </c>
      <c r="F945" s="34">
        <v>26.0</v>
      </c>
      <c r="G945" s="15">
        <v>1353.0</v>
      </c>
      <c r="H945" s="16">
        <v>0.019216555801921657</v>
      </c>
      <c r="I945" s="17">
        <v>8.425720620842572</v>
      </c>
      <c r="J945" s="16">
        <v>1.4444444444444444</v>
      </c>
      <c r="K945" s="16">
        <v>0.5248254460822342</v>
      </c>
      <c r="L945" s="16">
        <v>0.02247191011235955</v>
      </c>
      <c r="M945" s="16">
        <v>0.02247191011235955</v>
      </c>
      <c r="N945" s="16">
        <v>0.07865168539325842</v>
      </c>
      <c r="O945" s="16">
        <v>0.06741573033707865</v>
      </c>
      <c r="P945" s="35">
        <v>46073.302615740744</v>
      </c>
    </row>
    <row r="946">
      <c r="A946" s="33">
        <v>46074.0</v>
      </c>
      <c r="B946" s="1" t="s">
        <v>57</v>
      </c>
      <c r="D946" s="1"/>
      <c r="E946" s="34">
        <v>1166.0</v>
      </c>
      <c r="F946" s="34">
        <v>22042.0</v>
      </c>
      <c r="G946" s="15">
        <v>2018687.0</v>
      </c>
      <c r="H946" s="16">
        <v>0.010918978524159515</v>
      </c>
      <c r="I946" s="17">
        <v>4.5646774363732465</v>
      </c>
      <c r="J946" s="16">
        <v>1.42629739873172</v>
      </c>
      <c r="K946" s="16">
        <v>3.542295672254383</v>
      </c>
      <c r="L946" s="16">
        <v>0.04631217838765009</v>
      </c>
      <c r="M946" s="16">
        <v>0.17753001715265868</v>
      </c>
      <c r="N946" s="16">
        <v>0.2890222984562607</v>
      </c>
      <c r="O946" s="16">
        <v>0.1483704974271012</v>
      </c>
      <c r="P946" s="35">
        <v>46074.30263888889</v>
      </c>
    </row>
    <row r="947">
      <c r="A947" s="33">
        <v>46074.0</v>
      </c>
      <c r="B947" s="1" t="s">
        <v>58</v>
      </c>
      <c r="D947" s="1"/>
      <c r="E947" s="34">
        <v>828.0</v>
      </c>
      <c r="F947" s="34">
        <v>21933.0</v>
      </c>
      <c r="G947" s="15">
        <v>2015907.0</v>
      </c>
      <c r="H947" s="16">
        <v>0.010879966188916453</v>
      </c>
      <c r="I947" s="17">
        <v>4.56302200448731</v>
      </c>
      <c r="J947" s="16">
        <v>1.4320318621049883</v>
      </c>
      <c r="K947" s="16">
        <v>3.6116362398552413</v>
      </c>
      <c r="L947" s="16">
        <v>0.05434782608695652</v>
      </c>
      <c r="M947" s="16">
        <v>0.2391304347826087</v>
      </c>
      <c r="N947" s="16">
        <v>0.3888888888888889</v>
      </c>
      <c r="O947" s="16">
        <v>0.17995169082125603</v>
      </c>
      <c r="P947" s="35">
        <v>46074.30263888889</v>
      </c>
    </row>
    <row r="948">
      <c r="A948" s="33">
        <v>46074.0</v>
      </c>
      <c r="B948" s="1" t="s">
        <v>59</v>
      </c>
      <c r="C948" s="3" t="s">
        <v>2</v>
      </c>
      <c r="D948" s="1"/>
      <c r="E948" s="34">
        <v>133.0</v>
      </c>
      <c r="F948" s="34">
        <v>1522.0</v>
      </c>
      <c r="G948" s="15">
        <v>145539.0</v>
      </c>
      <c r="H948" s="16">
        <v>0.010457678010705034</v>
      </c>
      <c r="I948" s="17">
        <v>4.340870831873244</v>
      </c>
      <c r="J948" s="16">
        <v>4.909677419354839</v>
      </c>
      <c r="K948" s="16">
        <v>7.326772049939589</v>
      </c>
      <c r="L948" s="16">
        <v>0.06015037593984962</v>
      </c>
      <c r="M948" s="16">
        <v>0.11278195488721804</v>
      </c>
      <c r="N948" s="16">
        <v>0.3609022556390977</v>
      </c>
      <c r="O948" s="16">
        <v>0.10526315789473684</v>
      </c>
      <c r="P948" s="35">
        <v>46074.30263888889</v>
      </c>
    </row>
    <row r="949">
      <c r="A949" s="33">
        <v>46074.0</v>
      </c>
      <c r="B949" s="1" t="s">
        <v>59</v>
      </c>
      <c r="C949" s="1" t="s">
        <v>3</v>
      </c>
      <c r="D949" s="1"/>
      <c r="E949" s="34">
        <v>185.0</v>
      </c>
      <c r="F949" s="34">
        <v>1526.0</v>
      </c>
      <c r="G949" s="15">
        <v>67044.0</v>
      </c>
      <c r="H949" s="16">
        <v>0.022761171767794283</v>
      </c>
      <c r="I949" s="17">
        <v>5.806097488216693</v>
      </c>
      <c r="J949" s="16">
        <v>1.9390088945362134</v>
      </c>
      <c r="K949" s="16">
        <v>3.2217203267659777</v>
      </c>
      <c r="L949" s="16">
        <v>0.032432432432432434</v>
      </c>
      <c r="M949" s="16">
        <v>0.05945945945945946</v>
      </c>
      <c r="N949" s="16">
        <v>0.3783783783783784</v>
      </c>
      <c r="O949" s="16">
        <v>0.12972972972972974</v>
      </c>
      <c r="P949" s="35">
        <v>46074.30263888889</v>
      </c>
    </row>
    <row r="950">
      <c r="A950" s="33">
        <v>46074.0</v>
      </c>
      <c r="B950" s="1" t="s">
        <v>59</v>
      </c>
      <c r="C950" s="3" t="s">
        <v>4</v>
      </c>
      <c r="D950" s="1"/>
      <c r="E950" s="34">
        <v>105.0</v>
      </c>
      <c r="F950" s="34">
        <v>1324.0</v>
      </c>
      <c r="G950" s="15">
        <v>55120.0</v>
      </c>
      <c r="H950" s="16">
        <v>0.024020319303338172</v>
      </c>
      <c r="I950" s="17">
        <v>4.303483309143687</v>
      </c>
      <c r="J950" s="16">
        <v>1.9244186046511629</v>
      </c>
      <c r="K950" s="16">
        <v>2.825942066136888</v>
      </c>
      <c r="L950" s="16">
        <v>0.05714285714285714</v>
      </c>
      <c r="M950" s="16">
        <v>0.10476190476190476</v>
      </c>
      <c r="N950" s="16">
        <v>0.24761904761904763</v>
      </c>
      <c r="O950" s="16">
        <v>0.12380952380952381</v>
      </c>
      <c r="P950" s="35">
        <v>46074.30263888889</v>
      </c>
    </row>
    <row r="951">
      <c r="A951" s="33">
        <v>46074.0</v>
      </c>
      <c r="B951" s="1" t="s">
        <v>59</v>
      </c>
      <c r="C951" s="3" t="s">
        <v>5</v>
      </c>
      <c r="D951" s="1"/>
      <c r="E951" s="34">
        <v>40.0</v>
      </c>
      <c r="F951" s="34">
        <v>5977.0</v>
      </c>
      <c r="G951" s="15">
        <v>74384.0</v>
      </c>
      <c r="H951" s="16">
        <v>0.08035330178533018</v>
      </c>
      <c r="I951" s="17">
        <v>5.152922671542267</v>
      </c>
      <c r="J951" s="16">
        <v>0.9058805698696575</v>
      </c>
      <c r="K951" s="16">
        <v>1.6632529851080005</v>
      </c>
      <c r="L951" s="16">
        <v>0.05</v>
      </c>
      <c r="M951" s="16">
        <v>0.1</v>
      </c>
      <c r="N951" s="16">
        <v>0.25</v>
      </c>
      <c r="O951" s="16">
        <v>0.1</v>
      </c>
      <c r="P951" s="35">
        <v>46074.30263888889</v>
      </c>
    </row>
    <row r="952">
      <c r="A952" s="33">
        <v>46074.0</v>
      </c>
      <c r="B952" s="1" t="s">
        <v>59</v>
      </c>
      <c r="C952" s="3" t="s">
        <v>6</v>
      </c>
      <c r="D952" s="1"/>
      <c r="E952" s="34">
        <v>29.0</v>
      </c>
      <c r="F952" s="34">
        <v>5385.0</v>
      </c>
      <c r="G952" s="15">
        <v>412219.0</v>
      </c>
      <c r="H952" s="16">
        <v>0.013063444431236793</v>
      </c>
      <c r="I952" s="17">
        <v>4.502402848971057</v>
      </c>
      <c r="J952" s="16">
        <v>1.2057769816390507</v>
      </c>
      <c r="K952" s="16">
        <v>1.81072592618623</v>
      </c>
      <c r="L952" s="16">
        <v>0.0</v>
      </c>
      <c r="M952" s="16">
        <v>0.0</v>
      </c>
      <c r="N952" s="16">
        <v>0.5172413793103449</v>
      </c>
      <c r="O952" s="16">
        <v>0.41379310344827586</v>
      </c>
      <c r="P952" s="35">
        <v>46074.30263888889</v>
      </c>
    </row>
    <row r="953">
      <c r="A953" s="33">
        <v>46074.0</v>
      </c>
      <c r="B953" s="1" t="s">
        <v>59</v>
      </c>
      <c r="C953" s="3" t="s">
        <v>7</v>
      </c>
      <c r="D953" s="1"/>
      <c r="E953" s="34">
        <v>130.0</v>
      </c>
      <c r="F953" s="34">
        <v>1540.0</v>
      </c>
      <c r="G953" s="15">
        <v>324389.0</v>
      </c>
      <c r="H953" s="16">
        <v>0.004747386625317135</v>
      </c>
      <c r="I953" s="17">
        <v>4.0563767575349345</v>
      </c>
      <c r="J953" s="16">
        <v>2.5</v>
      </c>
      <c r="K953" s="16">
        <v>9.25477161849876</v>
      </c>
      <c r="L953" s="16">
        <v>0.07692307692307693</v>
      </c>
      <c r="M953" s="16">
        <v>0.5307692307692308</v>
      </c>
      <c r="N953" s="16">
        <v>0.5076923076923077</v>
      </c>
      <c r="O953" s="16">
        <v>0.3</v>
      </c>
      <c r="P953" s="35">
        <v>46074.30263888889</v>
      </c>
    </row>
    <row r="954">
      <c r="A954" s="33">
        <v>46074.0</v>
      </c>
      <c r="B954" s="1" t="s">
        <v>59</v>
      </c>
      <c r="C954" s="3" t="s">
        <v>8</v>
      </c>
      <c r="D954" s="1"/>
      <c r="E954" s="34">
        <v>119.0</v>
      </c>
      <c r="F954" s="34">
        <v>1229.0</v>
      </c>
      <c r="G954" s="15">
        <v>425800.0</v>
      </c>
      <c r="H954" s="16">
        <v>0.0028863316110850166</v>
      </c>
      <c r="I954" s="17">
        <v>4.994659464537341</v>
      </c>
      <c r="J954" s="16">
        <v>1.0049059689288635</v>
      </c>
      <c r="K954" s="16">
        <v>3.4447051209449073</v>
      </c>
      <c r="L954" s="16">
        <v>0.10084033613445378</v>
      </c>
      <c r="M954" s="16">
        <v>0.6134453781512605</v>
      </c>
      <c r="N954" s="16">
        <v>0.5462184873949579</v>
      </c>
      <c r="O954" s="16">
        <v>0.15966386554621848</v>
      </c>
      <c r="P954" s="35">
        <v>46074.30263888889</v>
      </c>
    </row>
    <row r="955">
      <c r="A955" s="33">
        <v>46074.0</v>
      </c>
      <c r="B955" s="1" t="s">
        <v>59</v>
      </c>
      <c r="C955" s="3" t="s">
        <v>9</v>
      </c>
      <c r="D955" s="1"/>
      <c r="E955" s="34">
        <v>11.0</v>
      </c>
      <c r="F955" s="34">
        <v>17.0</v>
      </c>
      <c r="G955" s="15">
        <v>767.0</v>
      </c>
      <c r="H955" s="16">
        <v>0.02216427640156454</v>
      </c>
      <c r="I955" s="17">
        <v>11.092568448500652</v>
      </c>
      <c r="J955" s="16">
        <v>2.4285714285714284</v>
      </c>
      <c r="K955" s="16">
        <v>5.113333333333333</v>
      </c>
      <c r="L955" s="16">
        <v>0.0</v>
      </c>
      <c r="M955" s="16">
        <v>0.0</v>
      </c>
      <c r="N955" s="16">
        <v>0.36363636363636365</v>
      </c>
      <c r="O955" s="16">
        <v>0.09090909090909091</v>
      </c>
      <c r="P955" s="35">
        <v>46074.30263888889</v>
      </c>
    </row>
    <row r="956">
      <c r="A956" s="33">
        <v>46074.0</v>
      </c>
      <c r="B956" s="1" t="s">
        <v>59</v>
      </c>
      <c r="C956" s="3" t="s">
        <v>10</v>
      </c>
      <c r="D956" s="1"/>
      <c r="E956" s="34">
        <v>76.0</v>
      </c>
      <c r="F956" s="34">
        <v>3413.0</v>
      </c>
      <c r="G956" s="15">
        <v>510645.0</v>
      </c>
      <c r="H956" s="16">
        <v>0.006683703943052414</v>
      </c>
      <c r="I956" s="17">
        <v>4.406272459340638</v>
      </c>
      <c r="J956" s="16">
        <v>5.49597423510467</v>
      </c>
      <c r="K956" s="16">
        <v>7.643928507275014</v>
      </c>
      <c r="L956" s="16">
        <v>0.013157894736842105</v>
      </c>
      <c r="M956" s="16">
        <v>0.19736842105263158</v>
      </c>
      <c r="N956" s="16">
        <v>0.23684210526315788</v>
      </c>
      <c r="O956" s="16">
        <v>0.3026315789473684</v>
      </c>
      <c r="P956" s="35">
        <v>46074.30263888889</v>
      </c>
    </row>
    <row r="957">
      <c r="A957" s="33">
        <v>46074.0</v>
      </c>
      <c r="B957" s="1" t="s">
        <v>60</v>
      </c>
      <c r="D957" s="1" t="s">
        <v>30</v>
      </c>
      <c r="E957" s="34">
        <v>9.0</v>
      </c>
      <c r="F957" s="34">
        <v>610.0</v>
      </c>
      <c r="G957" s="15">
        <v>13858.0</v>
      </c>
      <c r="H957" s="16">
        <v>0.044017895800259776</v>
      </c>
      <c r="I957" s="17">
        <v>10.506783085582335</v>
      </c>
      <c r="J957" s="16">
        <v>1.4022988505747127</v>
      </c>
      <c r="K957" s="16">
        <v>0.8008090147356255</v>
      </c>
      <c r="L957" s="16">
        <v>0.0</v>
      </c>
      <c r="M957" s="16">
        <v>0.0</v>
      </c>
      <c r="N957" s="16">
        <v>0.6666666666666666</v>
      </c>
      <c r="O957" s="16">
        <v>0.3333333333333333</v>
      </c>
      <c r="P957" s="35">
        <v>46074.30263888889</v>
      </c>
    </row>
    <row r="958">
      <c r="A958" s="33">
        <v>46074.0</v>
      </c>
      <c r="B958" s="1" t="s">
        <v>60</v>
      </c>
      <c r="D958" s="1" t="s">
        <v>31</v>
      </c>
      <c r="E958" s="34">
        <v>63.0</v>
      </c>
      <c r="F958" s="34">
        <v>282.0</v>
      </c>
      <c r="G958" s="15">
        <v>7922.0</v>
      </c>
      <c r="H958" s="16">
        <v>0.03559707144660439</v>
      </c>
      <c r="I958" s="17">
        <v>8.9691996970462</v>
      </c>
      <c r="J958" s="16">
        <v>2.073529411764706</v>
      </c>
      <c r="K958" s="16">
        <v>0.7605606758832565</v>
      </c>
      <c r="L958" s="16">
        <v>0.14285714285714285</v>
      </c>
      <c r="M958" s="16">
        <v>0.14285714285714285</v>
      </c>
      <c r="N958" s="16">
        <v>0.38095238095238093</v>
      </c>
      <c r="O958" s="16">
        <v>0.20634920634920634</v>
      </c>
      <c r="P958" s="35">
        <v>46074.30263888889</v>
      </c>
    </row>
    <row r="959">
      <c r="A959" s="33">
        <v>46074.0</v>
      </c>
      <c r="B959" s="1" t="s">
        <v>60</v>
      </c>
      <c r="D959" s="1" t="s">
        <v>32</v>
      </c>
      <c r="E959" s="34">
        <v>562.0</v>
      </c>
      <c r="F959" s="34">
        <v>20650.0</v>
      </c>
      <c r="G959" s="15">
        <v>1957396.0</v>
      </c>
      <c r="H959" s="16">
        <v>0.01054973035604446</v>
      </c>
      <c r="I959" s="17">
        <v>4.504045681098766</v>
      </c>
      <c r="J959" s="16">
        <v>1.4445610353270375</v>
      </c>
      <c r="K959" s="16">
        <v>3.778289941011149</v>
      </c>
      <c r="L959" s="16">
        <v>0.05338078291814947</v>
      </c>
      <c r="M959" s="16">
        <v>0.3185053380782918</v>
      </c>
      <c r="N959" s="16">
        <v>0.4483985765124555</v>
      </c>
      <c r="O959" s="16">
        <v>0.2117437722419929</v>
      </c>
      <c r="P959" s="35">
        <v>46074.30263888889</v>
      </c>
    </row>
    <row r="960">
      <c r="A960" s="33">
        <v>46074.0</v>
      </c>
      <c r="B960" s="1" t="s">
        <v>60</v>
      </c>
      <c r="D960" s="1" t="s">
        <v>33</v>
      </c>
      <c r="E960" s="34">
        <v>105.0</v>
      </c>
      <c r="F960" s="34">
        <v>365.0</v>
      </c>
      <c r="G960" s="15">
        <v>35376.0</v>
      </c>
      <c r="H960" s="16">
        <v>0.010317729534147444</v>
      </c>
      <c r="I960" s="17">
        <v>4.363579828132067</v>
      </c>
      <c r="J960" s="16">
        <v>0.8449074074074074</v>
      </c>
      <c r="K960" s="16">
        <v>3.6024439918533604</v>
      </c>
      <c r="L960" s="16">
        <v>0.02857142857142857</v>
      </c>
      <c r="M960" s="16">
        <v>0.06666666666666667</v>
      </c>
      <c r="N960" s="16">
        <v>0.3238095238095238</v>
      </c>
      <c r="O960" s="16">
        <v>0.0761904761904762</v>
      </c>
      <c r="P960" s="35">
        <v>46074.30263888889</v>
      </c>
    </row>
    <row r="961">
      <c r="A961" s="33">
        <v>46074.0</v>
      </c>
      <c r="B961" s="1" t="s">
        <v>60</v>
      </c>
      <c r="D961" s="1" t="s">
        <v>34</v>
      </c>
      <c r="E961" s="34">
        <v>89.0</v>
      </c>
      <c r="F961" s="34">
        <v>26.0</v>
      </c>
      <c r="G961" s="15">
        <v>1355.0</v>
      </c>
      <c r="H961" s="16">
        <v>0.01918819188191882</v>
      </c>
      <c r="I961" s="17">
        <v>8.416236162361624</v>
      </c>
      <c r="J961" s="16">
        <v>1.4444444444444444</v>
      </c>
      <c r="K961" s="16">
        <v>0.5282651072124757</v>
      </c>
      <c r="L961" s="16">
        <v>0.033707865168539325</v>
      </c>
      <c r="M961" s="16">
        <v>0.033707865168539325</v>
      </c>
      <c r="N961" s="16">
        <v>0.06741573033707865</v>
      </c>
      <c r="O961" s="16">
        <v>0.06741573033707865</v>
      </c>
      <c r="P961" s="35">
        <v>46074.30263888889</v>
      </c>
    </row>
    <row r="962">
      <c r="A962" s="33">
        <v>46075.0</v>
      </c>
      <c r="B962" s="1" t="s">
        <v>57</v>
      </c>
      <c r="D962" s="1"/>
      <c r="E962" s="34">
        <v>1166.0</v>
      </c>
      <c r="F962" s="34">
        <v>21913.0</v>
      </c>
      <c r="G962" s="15">
        <v>2036391.0</v>
      </c>
      <c r="H962" s="16">
        <v>0.010760703617330857</v>
      </c>
      <c r="I962" s="17">
        <v>4.544988167792924</v>
      </c>
      <c r="J962" s="16">
        <v>1.4119201030927835</v>
      </c>
      <c r="K962" s="16">
        <v>3.5658844006752166</v>
      </c>
      <c r="L962" s="16">
        <v>0.054030874785591765</v>
      </c>
      <c r="M962" s="16">
        <v>0.1843910806174957</v>
      </c>
      <c r="N962" s="16">
        <v>0.2890222984562607</v>
      </c>
      <c r="O962" s="16">
        <v>0.15008576329331047</v>
      </c>
      <c r="P962" s="35">
        <v>46075.30259259259</v>
      </c>
    </row>
    <row r="963">
      <c r="A963" s="33">
        <v>46075.0</v>
      </c>
      <c r="B963" s="1" t="s">
        <v>58</v>
      </c>
      <c r="D963" s="1"/>
      <c r="E963" s="34">
        <v>828.0</v>
      </c>
      <c r="F963" s="34">
        <v>21809.0</v>
      </c>
      <c r="G963" s="15">
        <v>2033604.0</v>
      </c>
      <c r="H963" s="16">
        <v>0.010724310141010737</v>
      </c>
      <c r="I963" s="17">
        <v>4.543268502618996</v>
      </c>
      <c r="J963" s="16">
        <v>1.4179182107795332</v>
      </c>
      <c r="K963" s="16">
        <v>3.6349798196098337</v>
      </c>
      <c r="L963" s="16">
        <v>0.06280193236714976</v>
      </c>
      <c r="M963" s="16">
        <v>0.2463768115942029</v>
      </c>
      <c r="N963" s="16">
        <v>0.3888888888888889</v>
      </c>
      <c r="O963" s="16">
        <v>0.1823671497584541</v>
      </c>
      <c r="P963" s="35">
        <v>46075.30259259259</v>
      </c>
    </row>
    <row r="964">
      <c r="A964" s="33">
        <v>46075.0</v>
      </c>
      <c r="B964" s="1" t="s">
        <v>59</v>
      </c>
      <c r="C964" s="3" t="s">
        <v>2</v>
      </c>
      <c r="D964" s="1"/>
      <c r="E964" s="34">
        <v>133.0</v>
      </c>
      <c r="F964" s="34">
        <v>1512.0</v>
      </c>
      <c r="G964" s="15">
        <v>147882.0</v>
      </c>
      <c r="H964" s="16">
        <v>0.010224368077250781</v>
      </c>
      <c r="I964" s="17">
        <v>4.2864310734234055</v>
      </c>
      <c r="J964" s="16">
        <v>5.006622516556291</v>
      </c>
      <c r="K964" s="16">
        <v>7.466525295365041</v>
      </c>
      <c r="L964" s="16">
        <v>0.06766917293233082</v>
      </c>
      <c r="M964" s="16">
        <v>0.12030075187969924</v>
      </c>
      <c r="N964" s="16">
        <v>0.3684210526315789</v>
      </c>
      <c r="O964" s="16">
        <v>0.10526315789473684</v>
      </c>
      <c r="P964" s="35">
        <v>46075.30259259259</v>
      </c>
    </row>
    <row r="965">
      <c r="A965" s="33">
        <v>46075.0</v>
      </c>
      <c r="B965" s="1" t="s">
        <v>59</v>
      </c>
      <c r="C965" s="1" t="s">
        <v>3</v>
      </c>
      <c r="D965" s="1"/>
      <c r="E965" s="34">
        <v>185.0</v>
      </c>
      <c r="F965" s="34">
        <v>1514.0</v>
      </c>
      <c r="G965" s="15">
        <v>67457.0</v>
      </c>
      <c r="H965" s="16">
        <v>0.022443927242539692</v>
      </c>
      <c r="I965" s="17">
        <v>5.790414634507909</v>
      </c>
      <c r="J965" s="16">
        <v>1.9262086513994912</v>
      </c>
      <c r="K965" s="16">
        <v>3.2462463907603465</v>
      </c>
      <c r="L965" s="16">
        <v>0.03783783783783784</v>
      </c>
      <c r="M965" s="16">
        <v>0.06486486486486487</v>
      </c>
      <c r="N965" s="16">
        <v>0.3675675675675676</v>
      </c>
      <c r="O965" s="16">
        <v>0.14054054054054055</v>
      </c>
      <c r="P965" s="35">
        <v>46075.30259259259</v>
      </c>
    </row>
    <row r="966">
      <c r="A966" s="33">
        <v>46075.0</v>
      </c>
      <c r="B966" s="1" t="s">
        <v>59</v>
      </c>
      <c r="C966" s="3" t="s">
        <v>4</v>
      </c>
      <c r="D966" s="1"/>
      <c r="E966" s="34">
        <v>105.0</v>
      </c>
      <c r="F966" s="34">
        <v>1331.0</v>
      </c>
      <c r="G966" s="15">
        <v>56685.0</v>
      </c>
      <c r="H966" s="16">
        <v>0.023480638616918056</v>
      </c>
      <c r="I966" s="17">
        <v>4.239216724001058</v>
      </c>
      <c r="J966" s="16">
        <v>1.9261939218523878</v>
      </c>
      <c r="K966" s="16">
        <v>2.8377972465581975</v>
      </c>
      <c r="L966" s="16">
        <v>0.09523809523809523</v>
      </c>
      <c r="M966" s="16">
        <v>0.13333333333333333</v>
      </c>
      <c r="N966" s="16">
        <v>0.26666666666666666</v>
      </c>
      <c r="O966" s="16">
        <v>0.12380952380952381</v>
      </c>
      <c r="P966" s="35">
        <v>46075.30259259259</v>
      </c>
    </row>
    <row r="967">
      <c r="A967" s="33">
        <v>46075.0</v>
      </c>
      <c r="B967" s="1" t="s">
        <v>59</v>
      </c>
      <c r="C967" s="3" t="s">
        <v>5</v>
      </c>
      <c r="D967" s="1"/>
      <c r="E967" s="34">
        <v>40.0</v>
      </c>
      <c r="F967" s="34">
        <v>5893.0</v>
      </c>
      <c r="G967" s="15">
        <v>74324.0</v>
      </c>
      <c r="H967" s="16">
        <v>0.07928798234755934</v>
      </c>
      <c r="I967" s="17">
        <v>5.147139551154405</v>
      </c>
      <c r="J967" s="16">
        <v>0.8891068195534098</v>
      </c>
      <c r="K967" s="16">
        <v>1.656725067986269</v>
      </c>
      <c r="L967" s="16">
        <v>0.05</v>
      </c>
      <c r="M967" s="16">
        <v>0.1</v>
      </c>
      <c r="N967" s="16">
        <v>0.25</v>
      </c>
      <c r="O967" s="16">
        <v>0.1</v>
      </c>
      <c r="P967" s="35">
        <v>46075.30259259259</v>
      </c>
    </row>
    <row r="968">
      <c r="A968" s="33">
        <v>46075.0</v>
      </c>
      <c r="B968" s="1" t="s">
        <v>59</v>
      </c>
      <c r="C968" s="3" t="s">
        <v>6</v>
      </c>
      <c r="D968" s="1"/>
      <c r="E968" s="34">
        <v>29.0</v>
      </c>
      <c r="F968" s="34">
        <v>5313.0</v>
      </c>
      <c r="G968" s="15">
        <v>415652.0</v>
      </c>
      <c r="H968" s="16">
        <v>0.012782327523986411</v>
      </c>
      <c r="I968" s="17">
        <v>4.46571410699335</v>
      </c>
      <c r="J968" s="16">
        <v>1.1809290953545233</v>
      </c>
      <c r="K968" s="16">
        <v>1.8257095921217925</v>
      </c>
      <c r="L968" s="16">
        <v>0.0</v>
      </c>
      <c r="M968" s="16">
        <v>0.0</v>
      </c>
      <c r="N968" s="16">
        <v>0.5862068965517241</v>
      </c>
      <c r="O968" s="16">
        <v>0.3448275862068966</v>
      </c>
      <c r="P968" s="35">
        <v>46075.30259259259</v>
      </c>
    </row>
    <row r="969">
      <c r="A969" s="33">
        <v>46075.0</v>
      </c>
      <c r="B969" s="1" t="s">
        <v>59</v>
      </c>
      <c r="C969" s="3" t="s">
        <v>7</v>
      </c>
      <c r="D969" s="1"/>
      <c r="E969" s="34">
        <v>130.0</v>
      </c>
      <c r="F969" s="34">
        <v>1571.0</v>
      </c>
      <c r="G969" s="15">
        <v>328699.0</v>
      </c>
      <c r="H969" s="16">
        <v>0.004779448674927517</v>
      </c>
      <c r="I969" s="17">
        <v>4.03887751407823</v>
      </c>
      <c r="J969" s="16">
        <v>2.562805872756933</v>
      </c>
      <c r="K969" s="16">
        <v>9.31686507936508</v>
      </c>
      <c r="L969" s="16">
        <v>0.07692307692307693</v>
      </c>
      <c r="M969" s="16">
        <v>0.5307692307692308</v>
      </c>
      <c r="N969" s="16">
        <v>0.5153846153846153</v>
      </c>
      <c r="O969" s="16">
        <v>0.3</v>
      </c>
      <c r="P969" s="35">
        <v>46075.30259259259</v>
      </c>
    </row>
    <row r="970">
      <c r="A970" s="33">
        <v>46075.0</v>
      </c>
      <c r="B970" s="1" t="s">
        <v>59</v>
      </c>
      <c r="C970" s="3" t="s">
        <v>8</v>
      </c>
      <c r="D970" s="1"/>
      <c r="E970" s="34">
        <v>119.0</v>
      </c>
      <c r="F970" s="34">
        <v>1236.0</v>
      </c>
      <c r="G970" s="15">
        <v>428634.0</v>
      </c>
      <c r="H970" s="16">
        <v>0.00288357899746637</v>
      </c>
      <c r="I970" s="17">
        <v>4.9857990733352935</v>
      </c>
      <c r="J970" s="16">
        <v>1.0089795918367348</v>
      </c>
      <c r="K970" s="16">
        <v>3.4755047433714426</v>
      </c>
      <c r="L970" s="16">
        <v>0.1092436974789916</v>
      </c>
      <c r="M970" s="16">
        <v>0.6218487394957983</v>
      </c>
      <c r="N970" s="16">
        <v>0.5042016806722689</v>
      </c>
      <c r="O970" s="16">
        <v>0.18487394957983194</v>
      </c>
      <c r="P970" s="35">
        <v>46075.30259259259</v>
      </c>
    </row>
    <row r="971">
      <c r="A971" s="33">
        <v>46075.0</v>
      </c>
      <c r="B971" s="1" t="s">
        <v>59</v>
      </c>
      <c r="C971" s="3" t="s">
        <v>9</v>
      </c>
      <c r="D971" s="1"/>
      <c r="E971" s="34">
        <v>11.0</v>
      </c>
      <c r="F971" s="34">
        <v>19.0</v>
      </c>
      <c r="G971" s="15">
        <v>816.0</v>
      </c>
      <c r="H971" s="16">
        <v>0.023284313725490197</v>
      </c>
      <c r="I971" s="17">
        <v>10.71200980392157</v>
      </c>
      <c r="J971" s="16">
        <v>2.7142857142857144</v>
      </c>
      <c r="K971" s="16">
        <v>5.513513513513513</v>
      </c>
      <c r="L971" s="16">
        <v>0.0</v>
      </c>
      <c r="M971" s="16">
        <v>0.0</v>
      </c>
      <c r="N971" s="16">
        <v>0.36363636363636365</v>
      </c>
      <c r="O971" s="16">
        <v>0.09090909090909091</v>
      </c>
      <c r="P971" s="35">
        <v>46075.30259259259</v>
      </c>
    </row>
    <row r="972">
      <c r="A972" s="33">
        <v>46075.0</v>
      </c>
      <c r="B972" s="1" t="s">
        <v>59</v>
      </c>
      <c r="C972" s="3" t="s">
        <v>10</v>
      </c>
      <c r="D972" s="1"/>
      <c r="E972" s="34">
        <v>76.0</v>
      </c>
      <c r="F972" s="34">
        <v>3420.0</v>
      </c>
      <c r="G972" s="15">
        <v>513455.0</v>
      </c>
      <c r="H972" s="16">
        <v>0.006660758975956997</v>
      </c>
      <c r="I972" s="17">
        <v>4.405996630668705</v>
      </c>
      <c r="J972" s="16">
        <v>5.428571428571429</v>
      </c>
      <c r="K972" s="16">
        <v>7.594701732069164</v>
      </c>
      <c r="L972" s="16">
        <v>0.013157894736842105</v>
      </c>
      <c r="M972" s="16">
        <v>0.19736842105263158</v>
      </c>
      <c r="N972" s="16">
        <v>0.25</v>
      </c>
      <c r="O972" s="16">
        <v>0.2894736842105263</v>
      </c>
      <c r="P972" s="35">
        <v>46075.30259259259</v>
      </c>
    </row>
    <row r="973">
      <c r="A973" s="33">
        <v>46075.0</v>
      </c>
      <c r="B973" s="1" t="s">
        <v>60</v>
      </c>
      <c r="D973" s="1" t="s">
        <v>30</v>
      </c>
      <c r="E973" s="34">
        <v>9.0</v>
      </c>
      <c r="F973" s="34">
        <v>612.0</v>
      </c>
      <c r="G973" s="15">
        <v>13862.0</v>
      </c>
      <c r="H973" s="16">
        <v>0.04414947338046458</v>
      </c>
      <c r="I973" s="17">
        <v>10.454263454047036</v>
      </c>
      <c r="J973" s="16">
        <v>1.4133949191685913</v>
      </c>
      <c r="K973" s="16">
        <v>0.8056491921422759</v>
      </c>
      <c r="L973" s="16">
        <v>0.0</v>
      </c>
      <c r="M973" s="16">
        <v>0.0</v>
      </c>
      <c r="N973" s="16">
        <v>0.6666666666666666</v>
      </c>
      <c r="O973" s="16">
        <v>0.3333333333333333</v>
      </c>
      <c r="P973" s="35">
        <v>46075.30259259259</v>
      </c>
    </row>
    <row r="974">
      <c r="A974" s="33">
        <v>46075.0</v>
      </c>
      <c r="B974" s="1" t="s">
        <v>60</v>
      </c>
      <c r="D974" s="1" t="s">
        <v>31</v>
      </c>
      <c r="E974" s="34">
        <v>63.0</v>
      </c>
      <c r="F974" s="34">
        <v>296.0</v>
      </c>
      <c r="G974" s="15">
        <v>8120.0</v>
      </c>
      <c r="H974" s="16">
        <v>0.03645320197044335</v>
      </c>
      <c r="I974" s="17">
        <v>8.942118226600986</v>
      </c>
      <c r="J974" s="16">
        <v>2.1142857142857143</v>
      </c>
      <c r="K974" s="16">
        <v>0.7725240224526686</v>
      </c>
      <c r="L974" s="16">
        <v>0.19047619047619047</v>
      </c>
      <c r="M974" s="16">
        <v>0.19047619047619047</v>
      </c>
      <c r="N974" s="16">
        <v>0.3968253968253968</v>
      </c>
      <c r="O974" s="16">
        <v>0.20634920634920634</v>
      </c>
      <c r="P974" s="35">
        <v>46075.30259259259</v>
      </c>
    </row>
    <row r="975">
      <c r="A975" s="33">
        <v>46075.0</v>
      </c>
      <c r="B975" s="1" t="s">
        <v>60</v>
      </c>
      <c r="D975" s="1" t="s">
        <v>32</v>
      </c>
      <c r="E975" s="34">
        <v>562.0</v>
      </c>
      <c r="F975" s="34">
        <v>20512.0</v>
      </c>
      <c r="G975" s="15">
        <v>1974027.0</v>
      </c>
      <c r="H975" s="16">
        <v>0.010390941967865688</v>
      </c>
      <c r="I975" s="17">
        <v>4.4858292211808655</v>
      </c>
      <c r="J975" s="16">
        <v>1.4289097875304773</v>
      </c>
      <c r="K975" s="16">
        <v>3.803388321792308</v>
      </c>
      <c r="L975" s="16">
        <v>0.05693950177935943</v>
      </c>
      <c r="M975" s="16">
        <v>0.3220640569395018</v>
      </c>
      <c r="N975" s="16">
        <v>0.44661921708185054</v>
      </c>
      <c r="O975" s="16">
        <v>0.21352313167259787</v>
      </c>
      <c r="P975" s="35">
        <v>46075.30259259259</v>
      </c>
    </row>
    <row r="976">
      <c r="A976" s="33">
        <v>46075.0</v>
      </c>
      <c r="B976" s="1" t="s">
        <v>60</v>
      </c>
      <c r="D976" s="1" t="s">
        <v>33</v>
      </c>
      <c r="E976" s="34">
        <v>105.0</v>
      </c>
      <c r="F976" s="34">
        <v>363.0</v>
      </c>
      <c r="G976" s="15">
        <v>36218.0</v>
      </c>
      <c r="H976" s="16">
        <v>0.010022640675907007</v>
      </c>
      <c r="I976" s="17">
        <v>4.282262963167486</v>
      </c>
      <c r="J976" s="16">
        <v>0.836405529953917</v>
      </c>
      <c r="K976" s="16">
        <v>3.565114676641402</v>
      </c>
      <c r="L976" s="16">
        <v>0.0380952380952381</v>
      </c>
      <c r="M976" s="16">
        <v>0.06666666666666667</v>
      </c>
      <c r="N976" s="16">
        <v>0.3238095238095238</v>
      </c>
      <c r="O976" s="16">
        <v>0.0761904761904762</v>
      </c>
      <c r="P976" s="35">
        <v>46075.30259259259</v>
      </c>
    </row>
    <row r="977">
      <c r="A977" s="33">
        <v>46075.0</v>
      </c>
      <c r="B977" s="1" t="s">
        <v>60</v>
      </c>
      <c r="D977" s="1" t="s">
        <v>34</v>
      </c>
      <c r="E977" s="34">
        <v>89.0</v>
      </c>
      <c r="F977" s="34">
        <v>26.0</v>
      </c>
      <c r="G977" s="15">
        <v>1377.0</v>
      </c>
      <c r="H977" s="16">
        <v>0.01888162672476398</v>
      </c>
      <c r="I977" s="17">
        <v>8.30718954248366</v>
      </c>
      <c r="J977" s="16">
        <v>1.368421052631579</v>
      </c>
      <c r="K977" s="16">
        <v>0.537890625</v>
      </c>
      <c r="L977" s="16">
        <v>0.0449438202247191</v>
      </c>
      <c r="M977" s="16">
        <v>0.0449438202247191</v>
      </c>
      <c r="N977" s="16">
        <v>0.06741573033707865</v>
      </c>
      <c r="O977" s="16">
        <v>0.07865168539325842</v>
      </c>
      <c r="P977" s="35">
        <v>46075.30259259259</v>
      </c>
    </row>
    <row r="978">
      <c r="A978" s="33">
        <v>46076.0</v>
      </c>
      <c r="B978" s="1" t="s">
        <v>57</v>
      </c>
      <c r="D978" s="1"/>
      <c r="E978" s="34">
        <v>1166.0</v>
      </c>
      <c r="F978" s="34">
        <v>21672.0</v>
      </c>
      <c r="G978" s="15">
        <v>2029729.0</v>
      </c>
      <c r="H978" s="16">
        <v>0.010677287460542762</v>
      </c>
      <c r="I978" s="17">
        <v>4.52256286430356</v>
      </c>
      <c r="J978" s="16">
        <v>1.395582458625797</v>
      </c>
      <c r="K978" s="16">
        <v>3.554430322112909</v>
      </c>
      <c r="L978" s="16">
        <v>0.0548885077186964</v>
      </c>
      <c r="M978" s="16">
        <v>0.18696397941680962</v>
      </c>
      <c r="N978" s="16">
        <v>0.28216123499142365</v>
      </c>
      <c r="O978" s="16">
        <v>0.1569468267581475</v>
      </c>
      <c r="P978" s="35">
        <v>46076.30266203704</v>
      </c>
    </row>
    <row r="979">
      <c r="A979" s="33">
        <v>46076.0</v>
      </c>
      <c r="B979" s="1" t="s">
        <v>58</v>
      </c>
      <c r="D979" s="1"/>
      <c r="E979" s="34">
        <v>828.0</v>
      </c>
      <c r="F979" s="34">
        <v>21573.0</v>
      </c>
      <c r="G979" s="15">
        <v>2027002.0</v>
      </c>
      <c r="H979" s="16">
        <v>0.010642811403244792</v>
      </c>
      <c r="I979" s="17">
        <v>4.520887991230398</v>
      </c>
      <c r="J979" s="16">
        <v>1.4016633097264635</v>
      </c>
      <c r="K979" s="16">
        <v>3.6220719231628324</v>
      </c>
      <c r="L979" s="16">
        <v>0.0640096618357488</v>
      </c>
      <c r="M979" s="16">
        <v>0.25</v>
      </c>
      <c r="N979" s="16">
        <v>0.37922705314009664</v>
      </c>
      <c r="O979" s="16">
        <v>0.19202898550724637</v>
      </c>
      <c r="P979" s="35">
        <v>46076.30266203704</v>
      </c>
    </row>
    <row r="980">
      <c r="A980" s="33">
        <v>46076.0</v>
      </c>
      <c r="B980" s="1" t="s">
        <v>59</v>
      </c>
      <c r="C980" s="3" t="s">
        <v>2</v>
      </c>
      <c r="D980" s="1"/>
      <c r="E980" s="34">
        <v>133.0</v>
      </c>
      <c r="F980" s="34">
        <v>1499.0</v>
      </c>
      <c r="G980" s="15">
        <v>147485.0</v>
      </c>
      <c r="H980" s="16">
        <v>0.010163745465640573</v>
      </c>
      <c r="I980" s="17">
        <v>4.250228836830864</v>
      </c>
      <c r="J980" s="16">
        <v>5.151202749140894</v>
      </c>
      <c r="K980" s="16">
        <v>7.5374354781008845</v>
      </c>
      <c r="L980" s="16">
        <v>0.06766917293233082</v>
      </c>
      <c r="M980" s="16">
        <v>0.12030075187969924</v>
      </c>
      <c r="N980" s="16">
        <v>0.3609022556390977</v>
      </c>
      <c r="O980" s="16">
        <v>0.10526315789473684</v>
      </c>
      <c r="P980" s="35">
        <v>46076.30266203704</v>
      </c>
    </row>
    <row r="981">
      <c r="A981" s="33">
        <v>46076.0</v>
      </c>
      <c r="B981" s="1" t="s">
        <v>59</v>
      </c>
      <c r="C981" s="1" t="s">
        <v>3</v>
      </c>
      <c r="D981" s="1"/>
      <c r="E981" s="34">
        <v>185.0</v>
      </c>
      <c r="F981" s="34">
        <v>1500.0</v>
      </c>
      <c r="G981" s="15">
        <v>67273.0</v>
      </c>
      <c r="H981" s="16">
        <v>0.022297206903215256</v>
      </c>
      <c r="I981" s="17">
        <v>5.772479300759591</v>
      </c>
      <c r="J981" s="16">
        <v>1.9455252918287937</v>
      </c>
      <c r="K981" s="16">
        <v>3.2508456557456267</v>
      </c>
      <c r="L981" s="16">
        <v>0.03783783783783784</v>
      </c>
      <c r="M981" s="16">
        <v>0.06486486486486487</v>
      </c>
      <c r="N981" s="16">
        <v>0.372972972972973</v>
      </c>
      <c r="O981" s="16">
        <v>0.14054054054054055</v>
      </c>
      <c r="P981" s="35">
        <v>46076.30266203704</v>
      </c>
    </row>
    <row r="982">
      <c r="A982" s="33">
        <v>46076.0</v>
      </c>
      <c r="B982" s="1" t="s">
        <v>59</v>
      </c>
      <c r="C982" s="3" t="s">
        <v>4</v>
      </c>
      <c r="D982" s="1"/>
      <c r="E982" s="34">
        <v>105.0</v>
      </c>
      <c r="F982" s="34">
        <v>1334.0</v>
      </c>
      <c r="G982" s="15">
        <v>56792.0</v>
      </c>
      <c r="H982" s="16">
        <v>0.023489223834342866</v>
      </c>
      <c r="I982" s="17">
        <v>4.196400901535427</v>
      </c>
      <c r="J982" s="16">
        <v>1.9029957203994294</v>
      </c>
      <c r="K982" s="16">
        <v>2.804820229158435</v>
      </c>
      <c r="L982" s="16">
        <v>0.09523809523809523</v>
      </c>
      <c r="M982" s="16">
        <v>0.13333333333333333</v>
      </c>
      <c r="N982" s="16">
        <v>0.24761904761904763</v>
      </c>
      <c r="O982" s="16">
        <v>0.13333333333333333</v>
      </c>
      <c r="P982" s="35">
        <v>46076.30266203704</v>
      </c>
    </row>
    <row r="983">
      <c r="A983" s="33">
        <v>46076.0</v>
      </c>
      <c r="B983" s="1" t="s">
        <v>59</v>
      </c>
      <c r="C983" s="3" t="s">
        <v>5</v>
      </c>
      <c r="D983" s="1"/>
      <c r="E983" s="34">
        <v>40.0</v>
      </c>
      <c r="F983" s="34">
        <v>5782.0</v>
      </c>
      <c r="G983" s="15">
        <v>73610.0</v>
      </c>
      <c r="H983" s="16">
        <v>0.07854911017524793</v>
      </c>
      <c r="I983" s="17">
        <v>5.135756011411493</v>
      </c>
      <c r="J983" s="16">
        <v>0.8797930614729154</v>
      </c>
      <c r="K983" s="16">
        <v>1.6439977666108319</v>
      </c>
      <c r="L983" s="16">
        <v>0.05</v>
      </c>
      <c r="M983" s="16">
        <v>0.1</v>
      </c>
      <c r="N983" s="16">
        <v>0.225</v>
      </c>
      <c r="O983" s="16">
        <v>0.125</v>
      </c>
      <c r="P983" s="35">
        <v>46076.30266203704</v>
      </c>
    </row>
    <row r="984">
      <c r="A984" s="33">
        <v>46076.0</v>
      </c>
      <c r="B984" s="1" t="s">
        <v>59</v>
      </c>
      <c r="C984" s="3" t="s">
        <v>6</v>
      </c>
      <c r="D984" s="1"/>
      <c r="E984" s="34">
        <v>29.0</v>
      </c>
      <c r="F984" s="34">
        <v>5270.0</v>
      </c>
      <c r="G984" s="15">
        <v>414428.0</v>
      </c>
      <c r="H984" s="16">
        <v>0.012716322256218208</v>
      </c>
      <c r="I984" s="17">
        <v>4.435069541633287</v>
      </c>
      <c r="J984" s="16">
        <v>1.1567164179104477</v>
      </c>
      <c r="K984" s="16">
        <v>1.8221180691425984</v>
      </c>
      <c r="L984" s="16">
        <v>0.0</v>
      </c>
      <c r="M984" s="16">
        <v>0.0</v>
      </c>
      <c r="N984" s="16">
        <v>0.5517241379310345</v>
      </c>
      <c r="O984" s="16">
        <v>0.3793103448275862</v>
      </c>
      <c r="P984" s="35">
        <v>46076.30266203704</v>
      </c>
    </row>
    <row r="985">
      <c r="A985" s="33">
        <v>46076.0</v>
      </c>
      <c r="B985" s="1" t="s">
        <v>59</v>
      </c>
      <c r="C985" s="3" t="s">
        <v>7</v>
      </c>
      <c r="D985" s="1"/>
      <c r="E985" s="34">
        <v>130.0</v>
      </c>
      <c r="F985" s="34">
        <v>1558.0</v>
      </c>
      <c r="G985" s="15">
        <v>329392.0</v>
      </c>
      <c r="H985" s="16">
        <v>0.004729926652742022</v>
      </c>
      <c r="I985" s="17">
        <v>4.009778622431631</v>
      </c>
      <c r="J985" s="16">
        <v>2.5415986949429037</v>
      </c>
      <c r="K985" s="16">
        <v>9.291734837799718</v>
      </c>
      <c r="L985" s="16">
        <v>0.07692307692307693</v>
      </c>
      <c r="M985" s="16">
        <v>0.5461538461538461</v>
      </c>
      <c r="N985" s="16">
        <v>0.5153846153846153</v>
      </c>
      <c r="O985" s="16">
        <v>0.2923076923076923</v>
      </c>
      <c r="P985" s="35">
        <v>46076.30266203704</v>
      </c>
    </row>
    <row r="986">
      <c r="A986" s="33">
        <v>46076.0</v>
      </c>
      <c r="B986" s="1" t="s">
        <v>59</v>
      </c>
      <c r="C986" s="3" t="s">
        <v>8</v>
      </c>
      <c r="D986" s="1"/>
      <c r="E986" s="34">
        <v>119.0</v>
      </c>
      <c r="F986" s="34">
        <v>1231.0</v>
      </c>
      <c r="G986" s="15">
        <v>427506.0</v>
      </c>
      <c r="H986" s="16">
        <v>0.0028794917498233944</v>
      </c>
      <c r="I986" s="17">
        <v>4.973534874364336</v>
      </c>
      <c r="J986" s="16">
        <v>0.9879614767255217</v>
      </c>
      <c r="K986" s="16">
        <v>3.4776942600546663</v>
      </c>
      <c r="L986" s="16">
        <v>0.11764705882352941</v>
      </c>
      <c r="M986" s="16">
        <v>0.6302521008403361</v>
      </c>
      <c r="N986" s="16">
        <v>0.4789915966386555</v>
      </c>
      <c r="O986" s="16">
        <v>0.226890756302521</v>
      </c>
      <c r="P986" s="35">
        <v>46076.30266203704</v>
      </c>
    </row>
    <row r="987">
      <c r="A987" s="33">
        <v>46076.0</v>
      </c>
      <c r="B987" s="1" t="s">
        <v>59</v>
      </c>
      <c r="C987" s="3" t="s">
        <v>9</v>
      </c>
      <c r="D987" s="1"/>
      <c r="E987" s="34">
        <v>11.0</v>
      </c>
      <c r="F987" s="34">
        <v>20.0</v>
      </c>
      <c r="G987" s="15">
        <v>842.0</v>
      </c>
      <c r="H987" s="16">
        <v>0.023752969121140142</v>
      </c>
      <c r="I987" s="17">
        <v>10.356294536817103</v>
      </c>
      <c r="J987" s="16">
        <v>3.3333333333333335</v>
      </c>
      <c r="K987" s="16">
        <v>5.888111888111888</v>
      </c>
      <c r="L987" s="16">
        <v>0.0</v>
      </c>
      <c r="M987" s="16">
        <v>0.0</v>
      </c>
      <c r="N987" s="16">
        <v>0.36363636363636365</v>
      </c>
      <c r="O987" s="16">
        <v>0.09090909090909091</v>
      </c>
      <c r="P987" s="35">
        <v>46076.30266203704</v>
      </c>
    </row>
    <row r="988">
      <c r="A988" s="33">
        <v>46076.0</v>
      </c>
      <c r="B988" s="1" t="s">
        <v>59</v>
      </c>
      <c r="C988" s="3" t="s">
        <v>10</v>
      </c>
      <c r="D988" s="1"/>
      <c r="E988" s="34">
        <v>76.0</v>
      </c>
      <c r="F988" s="34">
        <v>3379.0</v>
      </c>
      <c r="G988" s="15">
        <v>509674.0</v>
      </c>
      <c r="H988" s="16">
        <v>0.006629728022225972</v>
      </c>
      <c r="I988" s="17">
        <v>4.392150668858918</v>
      </c>
      <c r="J988" s="16">
        <v>5.321259842519685</v>
      </c>
      <c r="K988" s="16">
        <v>7.453880690875587</v>
      </c>
      <c r="L988" s="16">
        <v>0.013157894736842105</v>
      </c>
      <c r="M988" s="16">
        <v>0.19736842105263158</v>
      </c>
      <c r="N988" s="16">
        <v>0.23684210526315788</v>
      </c>
      <c r="O988" s="16">
        <v>0.3026315789473684</v>
      </c>
      <c r="P988" s="35">
        <v>46076.30266203704</v>
      </c>
    </row>
    <row r="989">
      <c r="A989" s="33">
        <v>46076.0</v>
      </c>
      <c r="B989" s="1" t="s">
        <v>60</v>
      </c>
      <c r="D989" s="1" t="s">
        <v>30</v>
      </c>
      <c r="E989" s="34">
        <v>9.0</v>
      </c>
      <c r="F989" s="34">
        <v>610.0</v>
      </c>
      <c r="G989" s="15">
        <v>13764.0</v>
      </c>
      <c r="H989" s="16">
        <v>0.04431851206044755</v>
      </c>
      <c r="I989" s="17">
        <v>10.33442313281023</v>
      </c>
      <c r="J989" s="16">
        <v>1.431924882629108</v>
      </c>
      <c r="K989" s="16">
        <v>0.8077464788732395</v>
      </c>
      <c r="L989" s="16">
        <v>0.0</v>
      </c>
      <c r="M989" s="16">
        <v>0.0</v>
      </c>
      <c r="N989" s="16">
        <v>0.6666666666666666</v>
      </c>
      <c r="O989" s="16">
        <v>0.3333333333333333</v>
      </c>
      <c r="P989" s="35">
        <v>46076.30266203704</v>
      </c>
    </row>
    <row r="990">
      <c r="A990" s="33">
        <v>46076.0</v>
      </c>
      <c r="B990" s="1" t="s">
        <v>60</v>
      </c>
      <c r="D990" s="1" t="s">
        <v>31</v>
      </c>
      <c r="E990" s="34">
        <v>63.0</v>
      </c>
      <c r="F990" s="34">
        <v>293.0</v>
      </c>
      <c r="G990" s="15">
        <v>8199.0</v>
      </c>
      <c r="H990" s="16">
        <v>0.03573606537382608</v>
      </c>
      <c r="I990" s="17">
        <v>8.920234174899377</v>
      </c>
      <c r="J990" s="16">
        <v>2.1079136690647484</v>
      </c>
      <c r="K990" s="16">
        <v>0.7791504323862016</v>
      </c>
      <c r="L990" s="16">
        <v>0.19047619047619047</v>
      </c>
      <c r="M990" s="16">
        <v>0.19047619047619047</v>
      </c>
      <c r="N990" s="16">
        <v>0.38095238095238093</v>
      </c>
      <c r="O990" s="16">
        <v>0.20634920634920634</v>
      </c>
      <c r="P990" s="35">
        <v>46076.30266203704</v>
      </c>
    </row>
    <row r="991">
      <c r="A991" s="33">
        <v>46076.0</v>
      </c>
      <c r="B991" s="1" t="s">
        <v>60</v>
      </c>
      <c r="D991" s="1" t="s">
        <v>32</v>
      </c>
      <c r="E991" s="34">
        <v>562.0</v>
      </c>
      <c r="F991" s="34">
        <v>20289.0</v>
      </c>
      <c r="G991" s="15">
        <v>1967528.0</v>
      </c>
      <c r="H991" s="16">
        <v>0.010311924404633632</v>
      </c>
      <c r="I991" s="17">
        <v>4.464773563578256</v>
      </c>
      <c r="J991" s="16">
        <v>1.4118015447776773</v>
      </c>
      <c r="K991" s="16">
        <v>3.789618038902981</v>
      </c>
      <c r="L991" s="16">
        <v>0.05693950177935943</v>
      </c>
      <c r="M991" s="16">
        <v>0.32562277580071175</v>
      </c>
      <c r="N991" s="16">
        <v>0.4377224199288256</v>
      </c>
      <c r="O991" s="16">
        <v>0.2277580071174377</v>
      </c>
      <c r="P991" s="35">
        <v>46076.30266203704</v>
      </c>
    </row>
    <row r="992">
      <c r="A992" s="33">
        <v>46076.0</v>
      </c>
      <c r="B992" s="1" t="s">
        <v>60</v>
      </c>
      <c r="D992" s="1" t="s">
        <v>33</v>
      </c>
      <c r="E992" s="34">
        <v>105.0</v>
      </c>
      <c r="F992" s="34">
        <v>356.0</v>
      </c>
      <c r="G992" s="15">
        <v>36107.0</v>
      </c>
      <c r="H992" s="16">
        <v>0.009859584014180077</v>
      </c>
      <c r="I992" s="17">
        <v>4.221314426565486</v>
      </c>
      <c r="J992" s="16">
        <v>0.8183908045977012</v>
      </c>
      <c r="K992" s="16">
        <v>3.4875881387037575</v>
      </c>
      <c r="L992" s="16">
        <v>0.047619047619047616</v>
      </c>
      <c r="M992" s="16">
        <v>0.0761904761904762</v>
      </c>
      <c r="N992" s="16">
        <v>0.3047619047619048</v>
      </c>
      <c r="O992" s="16">
        <v>0.0761904761904762</v>
      </c>
      <c r="P992" s="35">
        <v>46076.30266203704</v>
      </c>
    </row>
    <row r="993">
      <c r="A993" s="33">
        <v>46076.0</v>
      </c>
      <c r="B993" s="1" t="s">
        <v>60</v>
      </c>
      <c r="D993" s="1" t="s">
        <v>34</v>
      </c>
      <c r="E993" s="34">
        <v>89.0</v>
      </c>
      <c r="F993" s="34">
        <v>25.0</v>
      </c>
      <c r="G993" s="15">
        <v>1404.0</v>
      </c>
      <c r="H993" s="16">
        <v>0.017806267806267807</v>
      </c>
      <c r="I993" s="17">
        <v>8.17877492877493</v>
      </c>
      <c r="J993" s="16">
        <v>1.25</v>
      </c>
      <c r="K993" s="16">
        <v>0.5571428571428572</v>
      </c>
      <c r="L993" s="16">
        <v>0.0449438202247191</v>
      </c>
      <c r="M993" s="16">
        <v>0.0449438202247191</v>
      </c>
      <c r="N993" s="16">
        <v>0.06741573033707865</v>
      </c>
      <c r="O993" s="16">
        <v>0.07865168539325842</v>
      </c>
      <c r="P993" s="35">
        <v>46076.30266203704</v>
      </c>
    </row>
    <row r="994">
      <c r="A994" s="33">
        <v>46077.0</v>
      </c>
      <c r="B994" s="1" t="s">
        <v>57</v>
      </c>
      <c r="D994" s="1"/>
      <c r="E994" s="34">
        <v>1166.0</v>
      </c>
      <c r="F994" s="34">
        <v>21403.0</v>
      </c>
      <c r="G994" s="15">
        <v>2022213.0</v>
      </c>
      <c r="H994" s="16">
        <v>0.010583949366362495</v>
      </c>
      <c r="I994" s="17">
        <v>4.499406837954261</v>
      </c>
      <c r="J994" s="16">
        <v>1.3897149535744433</v>
      </c>
      <c r="K994" s="16">
        <v>3.5754423746074853</v>
      </c>
      <c r="L994" s="16">
        <v>0.054030874785591765</v>
      </c>
      <c r="M994" s="16">
        <v>0.18696397941680962</v>
      </c>
      <c r="N994" s="16">
        <v>0.2847341337907376</v>
      </c>
      <c r="O994" s="16">
        <v>0.15523156089193826</v>
      </c>
      <c r="P994" s="35">
        <v>46077.30262731481</v>
      </c>
    </row>
    <row r="995">
      <c r="A995" s="33">
        <v>46077.0</v>
      </c>
      <c r="B995" s="1" t="s">
        <v>58</v>
      </c>
      <c r="D995" s="1"/>
      <c r="E995" s="34">
        <v>828.0</v>
      </c>
      <c r="F995" s="34">
        <v>21304.0</v>
      </c>
      <c r="G995" s="15">
        <v>2019489.0</v>
      </c>
      <c r="H995" s="16">
        <v>0.010549203288554678</v>
      </c>
      <c r="I995" s="17">
        <v>4.497680848967239</v>
      </c>
      <c r="J995" s="16">
        <v>1.3956108745496234</v>
      </c>
      <c r="K995" s="16">
        <v>3.642459823602619</v>
      </c>
      <c r="L995" s="16">
        <v>0.06159420289855073</v>
      </c>
      <c r="M995" s="16">
        <v>0.24879227053140096</v>
      </c>
      <c r="N995" s="16">
        <v>0.38405797101449274</v>
      </c>
      <c r="O995" s="16">
        <v>0.18961352657004832</v>
      </c>
      <c r="P995" s="35">
        <v>46077.30262731481</v>
      </c>
    </row>
    <row r="996">
      <c r="A996" s="33">
        <v>46077.0</v>
      </c>
      <c r="B996" s="1" t="s">
        <v>59</v>
      </c>
      <c r="C996" s="3" t="s">
        <v>2</v>
      </c>
      <c r="D996" s="1"/>
      <c r="E996" s="34">
        <v>133.0</v>
      </c>
      <c r="F996" s="34">
        <v>1483.0</v>
      </c>
      <c r="G996" s="15">
        <v>146947.0</v>
      </c>
      <c r="H996" s="16">
        <v>0.010092074013079546</v>
      </c>
      <c r="I996" s="17">
        <v>4.197009806256678</v>
      </c>
      <c r="J996" s="16">
        <v>5.04421768707483</v>
      </c>
      <c r="K996" s="16">
        <v>7.637974946722803</v>
      </c>
      <c r="L996" s="16">
        <v>0.06015037593984962</v>
      </c>
      <c r="M996" s="16">
        <v>0.11278195488721804</v>
      </c>
      <c r="N996" s="16">
        <v>0.3458646616541353</v>
      </c>
      <c r="O996" s="16">
        <v>0.12030075187969924</v>
      </c>
      <c r="P996" s="35">
        <v>46077.30262731481</v>
      </c>
    </row>
    <row r="997">
      <c r="A997" s="33">
        <v>46077.0</v>
      </c>
      <c r="B997" s="1" t="s">
        <v>59</v>
      </c>
      <c r="C997" s="1" t="s">
        <v>3</v>
      </c>
      <c r="D997" s="1"/>
      <c r="E997" s="34">
        <v>185.0</v>
      </c>
      <c r="F997" s="34">
        <v>1486.0</v>
      </c>
      <c r="G997" s="15">
        <v>67025.0</v>
      </c>
      <c r="H997" s="16">
        <v>0.02217083177918687</v>
      </c>
      <c r="I997" s="17">
        <v>5.764968295412159</v>
      </c>
      <c r="J997" s="16">
        <v>2.0026954177897576</v>
      </c>
      <c r="K997" s="16">
        <v>3.276544779037935</v>
      </c>
      <c r="L997" s="16">
        <v>0.043243243243243246</v>
      </c>
      <c r="M997" s="16">
        <v>0.07027027027027027</v>
      </c>
      <c r="N997" s="16">
        <v>0.3945945945945946</v>
      </c>
      <c r="O997" s="16">
        <v>0.12432432432432433</v>
      </c>
      <c r="P997" s="35">
        <v>46077.30262731481</v>
      </c>
    </row>
    <row r="998">
      <c r="A998" s="33">
        <v>46077.0</v>
      </c>
      <c r="B998" s="1" t="s">
        <v>59</v>
      </c>
      <c r="C998" s="3" t="s">
        <v>4</v>
      </c>
      <c r="D998" s="1"/>
      <c r="E998" s="34">
        <v>105.0</v>
      </c>
      <c r="F998" s="34">
        <v>1338.0</v>
      </c>
      <c r="G998" s="15">
        <v>56736.0</v>
      </c>
      <c r="H998" s="16">
        <v>0.023582910321489</v>
      </c>
      <c r="I998" s="17">
        <v>4.197758037225042</v>
      </c>
      <c r="J998" s="16">
        <v>1.9335260115606936</v>
      </c>
      <c r="K998" s="16">
        <v>2.7918511957484498</v>
      </c>
      <c r="L998" s="16">
        <v>0.08571428571428572</v>
      </c>
      <c r="M998" s="16">
        <v>0.12380952380952381</v>
      </c>
      <c r="N998" s="16">
        <v>0.23809523809523808</v>
      </c>
      <c r="O998" s="16">
        <v>0.13333333333333333</v>
      </c>
      <c r="P998" s="35">
        <v>46077.30262731481</v>
      </c>
    </row>
    <row r="999">
      <c r="A999" s="33">
        <v>46077.0</v>
      </c>
      <c r="B999" s="1" t="s">
        <v>59</v>
      </c>
      <c r="C999" s="3" t="s">
        <v>5</v>
      </c>
      <c r="D999" s="1"/>
      <c r="E999" s="34">
        <v>40.0</v>
      </c>
      <c r="F999" s="34">
        <v>5688.0</v>
      </c>
      <c r="G999" s="15">
        <v>73103.0</v>
      </c>
      <c r="H999" s="16">
        <v>0.0778080242944886</v>
      </c>
      <c r="I999" s="17">
        <v>5.13862632176518</v>
      </c>
      <c r="J999" s="16">
        <v>0.8719914149931013</v>
      </c>
      <c r="K999" s="16">
        <v>1.6492870679541558</v>
      </c>
      <c r="L999" s="16">
        <v>0.05</v>
      </c>
      <c r="M999" s="16">
        <v>0.075</v>
      </c>
      <c r="N999" s="16">
        <v>0.225</v>
      </c>
      <c r="O999" s="16">
        <v>0.125</v>
      </c>
      <c r="P999" s="35">
        <v>46077.30262731481</v>
      </c>
    </row>
    <row r="1000">
      <c r="A1000" s="33">
        <v>46077.0</v>
      </c>
      <c r="B1000" s="1" t="s">
        <v>59</v>
      </c>
      <c r="C1000" s="3" t="s">
        <v>6</v>
      </c>
      <c r="D1000" s="1"/>
      <c r="E1000" s="34">
        <v>29.0</v>
      </c>
      <c r="F1000" s="34">
        <v>5159.0</v>
      </c>
      <c r="G1000" s="15">
        <v>414830.0</v>
      </c>
      <c r="H1000" s="16">
        <v>0.012436419738206013</v>
      </c>
      <c r="I1000" s="17">
        <v>4.407128221199045</v>
      </c>
      <c r="J1000" s="16">
        <v>1.1358432408630559</v>
      </c>
      <c r="K1000" s="16">
        <v>1.842231479096537</v>
      </c>
      <c r="L1000" s="16">
        <v>0.0</v>
      </c>
      <c r="M1000" s="16">
        <v>0.0</v>
      </c>
      <c r="N1000" s="16">
        <v>0.4827586206896552</v>
      </c>
      <c r="O1000" s="16">
        <v>0.4482758620689655</v>
      </c>
      <c r="P1000" s="35">
        <v>46077.30262731481</v>
      </c>
    </row>
    <row r="1001">
      <c r="A1001" s="33">
        <v>46077.0</v>
      </c>
      <c r="B1001" s="1" t="s">
        <v>59</v>
      </c>
      <c r="C1001" s="3" t="s">
        <v>7</v>
      </c>
      <c r="D1001" s="1"/>
      <c r="E1001" s="34">
        <v>130.0</v>
      </c>
      <c r="F1001" s="34">
        <v>1542.0</v>
      </c>
      <c r="G1001" s="15">
        <v>329282.0</v>
      </c>
      <c r="H1001" s="16">
        <v>0.004682916163045657</v>
      </c>
      <c r="I1001" s="17">
        <v>3.9823555493467606</v>
      </c>
      <c r="J1001" s="16">
        <v>2.5829145728643215</v>
      </c>
      <c r="K1001" s="16">
        <v>9.393564215210818</v>
      </c>
      <c r="L1001" s="16">
        <v>0.07692307692307693</v>
      </c>
      <c r="M1001" s="16">
        <v>0.5538461538461539</v>
      </c>
      <c r="N1001" s="16">
        <v>0.5230769230769231</v>
      </c>
      <c r="O1001" s="16">
        <v>0.2923076923076923</v>
      </c>
      <c r="P1001" s="35">
        <v>46077.30262731481</v>
      </c>
    </row>
    <row r="1002">
      <c r="A1002" s="33">
        <v>46077.0</v>
      </c>
      <c r="B1002" s="1" t="s">
        <v>59</v>
      </c>
      <c r="C1002" s="3" t="s">
        <v>8</v>
      </c>
      <c r="D1002" s="1"/>
      <c r="E1002" s="34">
        <v>119.0</v>
      </c>
      <c r="F1002" s="34">
        <v>1228.0</v>
      </c>
      <c r="G1002" s="15">
        <v>425256.0</v>
      </c>
      <c r="H1002" s="16">
        <v>0.002887672366762609</v>
      </c>
      <c r="I1002" s="17">
        <v>4.957938277178923</v>
      </c>
      <c r="J1002" s="16">
        <v>0.9887278582930756</v>
      </c>
      <c r="K1002" s="16">
        <v>3.5027304850626404</v>
      </c>
      <c r="L1002" s="16">
        <v>0.1092436974789916</v>
      </c>
      <c r="M1002" s="16">
        <v>0.6302521008403361</v>
      </c>
      <c r="N1002" s="16">
        <v>0.48739495798319327</v>
      </c>
      <c r="O1002" s="16">
        <v>0.226890756302521</v>
      </c>
      <c r="P1002" s="35">
        <v>46077.30262731481</v>
      </c>
    </row>
    <row r="1003">
      <c r="A1003" s="33">
        <v>46077.0</v>
      </c>
      <c r="B1003" s="1" t="s">
        <v>59</v>
      </c>
      <c r="C1003" s="3" t="s">
        <v>9</v>
      </c>
      <c r="D1003" s="1"/>
      <c r="E1003" s="34">
        <v>11.0</v>
      </c>
      <c r="F1003" s="34">
        <v>21.0</v>
      </c>
      <c r="G1003" s="15">
        <v>872.0</v>
      </c>
      <c r="H1003" s="16">
        <v>0.02408256880733945</v>
      </c>
      <c r="I1003" s="17">
        <v>10.17316513761468</v>
      </c>
      <c r="J1003" s="16">
        <v>4.2</v>
      </c>
      <c r="K1003" s="16">
        <v>6.45925925925926</v>
      </c>
      <c r="L1003" s="16">
        <v>0.0</v>
      </c>
      <c r="M1003" s="16">
        <v>0.0</v>
      </c>
      <c r="N1003" s="16">
        <v>0.36363636363636365</v>
      </c>
      <c r="O1003" s="16">
        <v>0.09090909090909091</v>
      </c>
      <c r="P1003" s="35">
        <v>46077.30262731481</v>
      </c>
    </row>
    <row r="1004">
      <c r="A1004" s="33">
        <v>46077.0</v>
      </c>
      <c r="B1004" s="1" t="s">
        <v>59</v>
      </c>
      <c r="C1004" s="3" t="s">
        <v>10</v>
      </c>
      <c r="D1004" s="1"/>
      <c r="E1004" s="34">
        <v>76.0</v>
      </c>
      <c r="F1004" s="34">
        <v>3359.0</v>
      </c>
      <c r="G1004" s="15">
        <v>505438.0</v>
      </c>
      <c r="H1004" s="16">
        <v>0.006645721136914914</v>
      </c>
      <c r="I1004" s="17">
        <v>4.371016821054214</v>
      </c>
      <c r="J1004" s="16">
        <v>5.348726114649682</v>
      </c>
      <c r="K1004" s="16">
        <v>7.398638659152455</v>
      </c>
      <c r="L1004" s="16">
        <v>0.013157894736842105</v>
      </c>
      <c r="M1004" s="16">
        <v>0.19736842105263158</v>
      </c>
      <c r="N1004" s="16">
        <v>0.27631578947368424</v>
      </c>
      <c r="O1004" s="16">
        <v>0.2631578947368421</v>
      </c>
      <c r="P1004" s="35">
        <v>46077.30262731481</v>
      </c>
    </row>
    <row r="1005">
      <c r="A1005" s="33">
        <v>46077.0</v>
      </c>
      <c r="B1005" s="1" t="s">
        <v>60</v>
      </c>
      <c r="D1005" s="1" t="s">
        <v>30</v>
      </c>
      <c r="E1005" s="34">
        <v>9.0</v>
      </c>
      <c r="F1005" s="34">
        <v>603.0</v>
      </c>
      <c r="G1005" s="15">
        <v>13689.0</v>
      </c>
      <c r="H1005" s="16">
        <v>0.0440499671268902</v>
      </c>
      <c r="I1005" s="17">
        <v>10.340492366133391</v>
      </c>
      <c r="J1005" s="16">
        <v>1.4391408114558473</v>
      </c>
      <c r="K1005" s="16">
        <v>0.8131757158132351</v>
      </c>
      <c r="L1005" s="16">
        <v>0.0</v>
      </c>
      <c r="M1005" s="16">
        <v>0.0</v>
      </c>
      <c r="N1005" s="16">
        <v>0.5555555555555556</v>
      </c>
      <c r="O1005" s="16">
        <v>0.4444444444444444</v>
      </c>
      <c r="P1005" s="35">
        <v>46077.30262731481</v>
      </c>
    </row>
    <row r="1006">
      <c r="A1006" s="33">
        <v>46077.0</v>
      </c>
      <c r="B1006" s="1" t="s">
        <v>60</v>
      </c>
      <c r="D1006" s="1" t="s">
        <v>31</v>
      </c>
      <c r="E1006" s="34">
        <v>63.0</v>
      </c>
      <c r="F1006" s="34">
        <v>284.0</v>
      </c>
      <c r="G1006" s="15">
        <v>8073.0</v>
      </c>
      <c r="H1006" s="16">
        <v>0.035178991700730834</v>
      </c>
      <c r="I1006" s="17">
        <v>8.964944877988357</v>
      </c>
      <c r="J1006" s="16">
        <v>2.1194029850746268</v>
      </c>
      <c r="K1006" s="16">
        <v>0.78</v>
      </c>
      <c r="L1006" s="16">
        <v>0.19047619047619047</v>
      </c>
      <c r="M1006" s="16">
        <v>0.19047619047619047</v>
      </c>
      <c r="N1006" s="16">
        <v>0.3968253968253968</v>
      </c>
      <c r="O1006" s="16">
        <v>0.19047619047619047</v>
      </c>
      <c r="P1006" s="35">
        <v>46077.30262731481</v>
      </c>
    </row>
    <row r="1007">
      <c r="A1007" s="33">
        <v>46077.0</v>
      </c>
      <c r="B1007" s="1" t="s">
        <v>60</v>
      </c>
      <c r="D1007" s="1" t="s">
        <v>32</v>
      </c>
      <c r="E1007" s="34">
        <v>562.0</v>
      </c>
      <c r="F1007" s="34">
        <v>20028.0</v>
      </c>
      <c r="G1007" s="15">
        <v>1960556.0</v>
      </c>
      <c r="H1007" s="16">
        <v>0.010215469489267331</v>
      </c>
      <c r="I1007" s="17">
        <v>4.4414252895607165</v>
      </c>
      <c r="J1007" s="16">
        <v>1.4033071748878925</v>
      </c>
      <c r="K1007" s="16">
        <v>3.8107748256967757</v>
      </c>
      <c r="L1007" s="16">
        <v>0.05516014234875445</v>
      </c>
      <c r="M1007" s="16">
        <v>0.32562277580071175</v>
      </c>
      <c r="N1007" s="16">
        <v>0.44483985765124556</v>
      </c>
      <c r="O1007" s="16">
        <v>0.22419928825622776</v>
      </c>
      <c r="P1007" s="35">
        <v>46077.30262731481</v>
      </c>
    </row>
    <row r="1008">
      <c r="A1008" s="33">
        <v>46077.0</v>
      </c>
      <c r="B1008" s="1" t="s">
        <v>60</v>
      </c>
      <c r="D1008" s="1" t="s">
        <v>33</v>
      </c>
      <c r="E1008" s="34">
        <v>105.0</v>
      </c>
      <c r="F1008" s="34">
        <v>363.0</v>
      </c>
      <c r="G1008" s="15">
        <v>35783.0</v>
      </c>
      <c r="H1008" s="16">
        <v>0.010144482016600061</v>
      </c>
      <c r="I1008" s="17">
        <v>4.197076824190258</v>
      </c>
      <c r="J1008" s="16">
        <v>0.8663484486873508</v>
      </c>
      <c r="K1008" s="16">
        <v>3.4656658595641647</v>
      </c>
      <c r="L1008" s="16">
        <v>0.047619047619047616</v>
      </c>
      <c r="M1008" s="16">
        <v>0.0761904761904762</v>
      </c>
      <c r="N1008" s="16">
        <v>0.3142857142857143</v>
      </c>
      <c r="O1008" s="16">
        <v>0.0761904761904762</v>
      </c>
      <c r="P1008" s="35">
        <v>46077.30262731481</v>
      </c>
    </row>
    <row r="1009">
      <c r="A1009" s="33">
        <v>46077.0</v>
      </c>
      <c r="B1009" s="1" t="s">
        <v>60</v>
      </c>
      <c r="D1009" s="1" t="s">
        <v>34</v>
      </c>
      <c r="E1009" s="34">
        <v>89.0</v>
      </c>
      <c r="F1009" s="34">
        <v>26.0</v>
      </c>
      <c r="G1009" s="15">
        <v>1388.0</v>
      </c>
      <c r="H1009" s="16">
        <v>0.018731988472622477</v>
      </c>
      <c r="I1009" s="17">
        <v>8.101585014409222</v>
      </c>
      <c r="J1009" s="16">
        <v>1.2380952380952381</v>
      </c>
      <c r="K1009" s="16">
        <v>0.5679214402618658</v>
      </c>
      <c r="L1009" s="16">
        <v>0.033707865168539325</v>
      </c>
      <c r="M1009" s="16">
        <v>0.033707865168539325</v>
      </c>
      <c r="N1009" s="16">
        <v>0.056179775280898875</v>
      </c>
      <c r="O1009" s="16">
        <v>0.07865168539325842</v>
      </c>
      <c r="P1009" s="35">
        <v>46077.30262731481</v>
      </c>
    </row>
    <row r="1010">
      <c r="A1010" s="33">
        <v>46078.0</v>
      </c>
      <c r="B1010" s="1" t="s">
        <v>57</v>
      </c>
      <c r="D1010" s="1"/>
      <c r="E1010" s="34">
        <v>1166.0</v>
      </c>
      <c r="F1010" s="34">
        <v>21416.0</v>
      </c>
      <c r="G1010" s="15">
        <v>2033335.0</v>
      </c>
      <c r="H1010" s="16">
        <v>0.01053245038323739</v>
      </c>
      <c r="I1010" s="17">
        <v>4.486219437525051</v>
      </c>
      <c r="J1010" s="16">
        <v>1.4001046025104602</v>
      </c>
      <c r="K1010" s="16">
        <v>3.6233140466266676</v>
      </c>
      <c r="L1010" s="16">
        <v>0.05317324185248713</v>
      </c>
      <c r="M1010" s="16">
        <v>0.18782161234991424</v>
      </c>
      <c r="N1010" s="16">
        <v>0.28730703259005147</v>
      </c>
      <c r="O1010" s="16">
        <v>0.1569468267581475</v>
      </c>
      <c r="P1010" s="35">
        <v>46078.3028125</v>
      </c>
    </row>
    <row r="1011">
      <c r="A1011" s="33">
        <v>46078.0</v>
      </c>
      <c r="B1011" s="1" t="s">
        <v>58</v>
      </c>
      <c r="D1011" s="1"/>
      <c r="E1011" s="34">
        <v>828.0</v>
      </c>
      <c r="F1011" s="34">
        <v>21314.0</v>
      </c>
      <c r="G1011" s="15">
        <v>2030579.0</v>
      </c>
      <c r="H1011" s="16">
        <v>0.010496513555985756</v>
      </c>
      <c r="I1011" s="17">
        <v>4.484472655336236</v>
      </c>
      <c r="J1011" s="16">
        <v>1.4060294214657958</v>
      </c>
      <c r="K1011" s="16">
        <v>3.6912034436561214</v>
      </c>
      <c r="L1011" s="16">
        <v>0.06038647342995169</v>
      </c>
      <c r="M1011" s="16">
        <v>0.25</v>
      </c>
      <c r="N1011" s="16">
        <v>0.3864734299516908</v>
      </c>
      <c r="O1011" s="16">
        <v>0.19082125603864733</v>
      </c>
      <c r="P1011" s="35">
        <v>46078.3028125</v>
      </c>
    </row>
    <row r="1012">
      <c r="A1012" s="33">
        <v>46078.0</v>
      </c>
      <c r="B1012" s="1" t="s">
        <v>59</v>
      </c>
      <c r="C1012" s="3" t="s">
        <v>2</v>
      </c>
      <c r="D1012" s="1"/>
      <c r="E1012" s="34">
        <v>133.0</v>
      </c>
      <c r="F1012" s="34">
        <v>1498.0</v>
      </c>
      <c r="G1012" s="15">
        <v>148444.0</v>
      </c>
      <c r="H1012" s="16">
        <v>0.010091347578884967</v>
      </c>
      <c r="I1012" s="17">
        <v>4.145967502896715</v>
      </c>
      <c r="J1012" s="16">
        <v>5.256140350877193</v>
      </c>
      <c r="K1012" s="16">
        <v>7.777230575784565</v>
      </c>
      <c r="L1012" s="16">
        <v>0.05263157894736842</v>
      </c>
      <c r="M1012" s="16">
        <v>0.09774436090225563</v>
      </c>
      <c r="N1012" s="16">
        <v>0.3684210526315789</v>
      </c>
      <c r="O1012" s="16">
        <v>0.11278195488721804</v>
      </c>
      <c r="P1012" s="35">
        <v>46078.3028125</v>
      </c>
    </row>
    <row r="1013">
      <c r="A1013" s="33">
        <v>46078.0</v>
      </c>
      <c r="B1013" s="1" t="s">
        <v>59</v>
      </c>
      <c r="C1013" s="1" t="s">
        <v>3</v>
      </c>
      <c r="D1013" s="1"/>
      <c r="E1013" s="34">
        <v>185.0</v>
      </c>
      <c r="F1013" s="34">
        <v>1473.0</v>
      </c>
      <c r="G1013" s="15">
        <v>67264.0</v>
      </c>
      <c r="H1013" s="16">
        <v>0.021898786869647954</v>
      </c>
      <c r="I1013" s="17">
        <v>5.776923763082778</v>
      </c>
      <c r="J1013" s="16">
        <v>2.009549795361528</v>
      </c>
      <c r="K1013" s="16">
        <v>3.313987288761886</v>
      </c>
      <c r="L1013" s="16">
        <v>0.03783783783783784</v>
      </c>
      <c r="M1013" s="16">
        <v>0.06486486486486487</v>
      </c>
      <c r="N1013" s="16">
        <v>0.3837837837837838</v>
      </c>
      <c r="O1013" s="16">
        <v>0.13513513513513514</v>
      </c>
      <c r="P1013" s="35">
        <v>46078.3028125</v>
      </c>
    </row>
    <row r="1014">
      <c r="A1014" s="33">
        <v>46078.0</v>
      </c>
      <c r="B1014" s="1" t="s">
        <v>59</v>
      </c>
      <c r="C1014" s="3" t="s">
        <v>4</v>
      </c>
      <c r="D1014" s="1"/>
      <c r="E1014" s="34">
        <v>105.0</v>
      </c>
      <c r="F1014" s="34">
        <v>1370.0</v>
      </c>
      <c r="G1014" s="15">
        <v>57170.0</v>
      </c>
      <c r="H1014" s="16">
        <v>0.02396361728179115</v>
      </c>
      <c r="I1014" s="17">
        <v>4.217509183138009</v>
      </c>
      <c r="J1014" s="16">
        <v>2.026627218934911</v>
      </c>
      <c r="K1014" s="16">
        <v>2.8039629211829906</v>
      </c>
      <c r="L1014" s="16">
        <v>0.09523809523809523</v>
      </c>
      <c r="M1014" s="16">
        <v>0.14285714285714285</v>
      </c>
      <c r="N1014" s="16">
        <v>0.2571428571428571</v>
      </c>
      <c r="O1014" s="16">
        <v>0.13333333333333333</v>
      </c>
      <c r="P1014" s="35">
        <v>46078.3028125</v>
      </c>
    </row>
    <row r="1015">
      <c r="A1015" s="33">
        <v>46078.0</v>
      </c>
      <c r="B1015" s="1" t="s">
        <v>59</v>
      </c>
      <c r="C1015" s="3" t="s">
        <v>5</v>
      </c>
      <c r="D1015" s="1"/>
      <c r="E1015" s="34">
        <v>40.0</v>
      </c>
      <c r="F1015" s="34">
        <v>5669.0</v>
      </c>
      <c r="G1015" s="15">
        <v>73479.0</v>
      </c>
      <c r="H1015" s="16">
        <v>0.0771512949278025</v>
      </c>
      <c r="I1015" s="17">
        <v>5.14263939356823</v>
      </c>
      <c r="J1015" s="16">
        <v>0.8724222837796245</v>
      </c>
      <c r="K1015" s="16">
        <v>1.6691427013765845</v>
      </c>
      <c r="L1015" s="16">
        <v>0.05</v>
      </c>
      <c r="M1015" s="16">
        <v>0.075</v>
      </c>
      <c r="N1015" s="16">
        <v>0.225</v>
      </c>
      <c r="O1015" s="16">
        <v>0.125</v>
      </c>
      <c r="P1015" s="35">
        <v>46078.3028125</v>
      </c>
    </row>
    <row r="1016">
      <c r="A1016" s="33">
        <v>46078.0</v>
      </c>
      <c r="B1016" s="1" t="s">
        <v>59</v>
      </c>
      <c r="C1016" s="3" t="s">
        <v>6</v>
      </c>
      <c r="D1016" s="1"/>
      <c r="E1016" s="34">
        <v>29.0</v>
      </c>
      <c r="F1016" s="34">
        <v>5144.0</v>
      </c>
      <c r="G1016" s="15">
        <v>417386.0</v>
      </c>
      <c r="H1016" s="16">
        <v>0.012324323288275122</v>
      </c>
      <c r="I1016" s="17">
        <v>4.4048554575381065</v>
      </c>
      <c r="J1016" s="16">
        <v>1.1426032874278098</v>
      </c>
      <c r="K1016" s="16">
        <v>1.8691380360405545</v>
      </c>
      <c r="L1016" s="16">
        <v>0.0</v>
      </c>
      <c r="M1016" s="16">
        <v>0.034482758620689655</v>
      </c>
      <c r="N1016" s="16">
        <v>0.5517241379310345</v>
      </c>
      <c r="O1016" s="16">
        <v>0.3793103448275862</v>
      </c>
      <c r="P1016" s="35">
        <v>46078.3028125</v>
      </c>
    </row>
    <row r="1017">
      <c r="A1017" s="33">
        <v>46078.0</v>
      </c>
      <c r="B1017" s="1" t="s">
        <v>59</v>
      </c>
      <c r="C1017" s="3" t="s">
        <v>7</v>
      </c>
      <c r="D1017" s="1"/>
      <c r="E1017" s="34">
        <v>130.0</v>
      </c>
      <c r="F1017" s="34">
        <v>1538.0</v>
      </c>
      <c r="G1017" s="15">
        <v>332502.0</v>
      </c>
      <c r="H1017" s="16">
        <v>0.004625536087000981</v>
      </c>
      <c r="I1017" s="17">
        <v>3.9523551738034657</v>
      </c>
      <c r="J1017" s="16">
        <v>2.589225589225589</v>
      </c>
      <c r="K1017" s="16">
        <v>9.583294904311737</v>
      </c>
      <c r="L1017" s="16">
        <v>0.07692307692307693</v>
      </c>
      <c r="M1017" s="16">
        <v>0.5615384615384615</v>
      </c>
      <c r="N1017" s="16">
        <v>0.5076923076923077</v>
      </c>
      <c r="O1017" s="16">
        <v>0.3076923076923077</v>
      </c>
      <c r="P1017" s="35">
        <v>46078.3028125</v>
      </c>
    </row>
    <row r="1018">
      <c r="A1018" s="33">
        <v>46078.0</v>
      </c>
      <c r="B1018" s="1" t="s">
        <v>59</v>
      </c>
      <c r="C1018" s="3" t="s">
        <v>8</v>
      </c>
      <c r="D1018" s="1"/>
      <c r="E1018" s="34">
        <v>119.0</v>
      </c>
      <c r="F1018" s="34">
        <v>1242.0</v>
      </c>
      <c r="G1018" s="15">
        <v>426658.0</v>
      </c>
      <c r="H1018" s="16">
        <v>0.002910996629619039</v>
      </c>
      <c r="I1018" s="17">
        <v>4.948108320950269</v>
      </c>
      <c r="J1018" s="16">
        <v>0.999195494770716</v>
      </c>
      <c r="K1018" s="16">
        <v>3.5589829999499507</v>
      </c>
      <c r="L1018" s="16">
        <v>0.1092436974789916</v>
      </c>
      <c r="M1018" s="16">
        <v>0.6302521008403361</v>
      </c>
      <c r="N1018" s="16">
        <v>0.4789915966386555</v>
      </c>
      <c r="O1018" s="16">
        <v>0.226890756302521</v>
      </c>
      <c r="P1018" s="35">
        <v>46078.3028125</v>
      </c>
    </row>
    <row r="1019">
      <c r="A1019" s="33">
        <v>46078.0</v>
      </c>
      <c r="B1019" s="1" t="s">
        <v>59</v>
      </c>
      <c r="C1019" s="3" t="s">
        <v>9</v>
      </c>
      <c r="D1019" s="1"/>
      <c r="E1019" s="34">
        <v>11.0</v>
      </c>
      <c r="F1019" s="34">
        <v>20.0</v>
      </c>
      <c r="G1019" s="15">
        <v>901.0</v>
      </c>
      <c r="H1019" s="16">
        <v>0.022197558268590455</v>
      </c>
      <c r="I1019" s="17">
        <v>10.352941176470589</v>
      </c>
      <c r="J1019" s="16">
        <v>3.3333333333333335</v>
      </c>
      <c r="K1019" s="16">
        <v>6.390070921985815</v>
      </c>
      <c r="L1019" s="16">
        <v>0.0</v>
      </c>
      <c r="M1019" s="16">
        <v>0.0</v>
      </c>
      <c r="N1019" s="16">
        <v>0.36363636363636365</v>
      </c>
      <c r="O1019" s="16">
        <v>0.09090909090909091</v>
      </c>
      <c r="P1019" s="35">
        <v>46078.3028125</v>
      </c>
    </row>
    <row r="1020">
      <c r="A1020" s="33">
        <v>46078.0</v>
      </c>
      <c r="B1020" s="1" t="s">
        <v>59</v>
      </c>
      <c r="C1020" s="3" t="s">
        <v>10</v>
      </c>
      <c r="D1020" s="1"/>
      <c r="E1020" s="34">
        <v>76.0</v>
      </c>
      <c r="F1020" s="34">
        <v>3360.0</v>
      </c>
      <c r="G1020" s="15">
        <v>506775.0</v>
      </c>
      <c r="H1020" s="16">
        <v>0.006630161314192689</v>
      </c>
      <c r="I1020" s="17">
        <v>4.360698534852745</v>
      </c>
      <c r="J1020" s="16">
        <v>5.401929260450161</v>
      </c>
      <c r="K1020" s="16">
        <v>7.420382165605096</v>
      </c>
      <c r="L1020" s="16">
        <v>0.013157894736842105</v>
      </c>
      <c r="M1020" s="16">
        <v>0.19736842105263158</v>
      </c>
      <c r="N1020" s="16">
        <v>0.27631578947368424</v>
      </c>
      <c r="O1020" s="16">
        <v>0.2631578947368421</v>
      </c>
      <c r="P1020" s="35">
        <v>46078.3028125</v>
      </c>
    </row>
    <row r="1021">
      <c r="A1021" s="33">
        <v>46078.0</v>
      </c>
      <c r="B1021" s="1" t="s">
        <v>60</v>
      </c>
      <c r="D1021" s="1" t="s">
        <v>30</v>
      </c>
      <c r="E1021" s="34">
        <v>9.0</v>
      </c>
      <c r="F1021" s="34">
        <v>621.0</v>
      </c>
      <c r="G1021" s="15">
        <v>13721.0</v>
      </c>
      <c r="H1021" s="16">
        <v>0.04525909190292253</v>
      </c>
      <c r="I1021" s="17">
        <v>10.312440784199403</v>
      </c>
      <c r="J1021" s="16">
        <v>1.4963855421686747</v>
      </c>
      <c r="K1021" s="16">
        <v>0.8190663801337154</v>
      </c>
      <c r="L1021" s="16">
        <v>0.0</v>
      </c>
      <c r="M1021" s="16">
        <v>0.0</v>
      </c>
      <c r="N1021" s="16">
        <v>0.5555555555555556</v>
      </c>
      <c r="O1021" s="16">
        <v>0.4444444444444444</v>
      </c>
      <c r="P1021" s="35">
        <v>46078.3028125</v>
      </c>
    </row>
    <row r="1022">
      <c r="A1022" s="33">
        <v>46078.0</v>
      </c>
      <c r="B1022" s="1" t="s">
        <v>60</v>
      </c>
      <c r="D1022" s="1" t="s">
        <v>31</v>
      </c>
      <c r="E1022" s="34">
        <v>63.0</v>
      </c>
      <c r="F1022" s="34">
        <v>279.0</v>
      </c>
      <c r="G1022" s="15">
        <v>8057.0</v>
      </c>
      <c r="H1022" s="16">
        <v>0.03462827355094948</v>
      </c>
      <c r="I1022" s="17">
        <v>9.081916346034504</v>
      </c>
      <c r="J1022" s="16">
        <v>2.0977443609022557</v>
      </c>
      <c r="K1022" s="16">
        <v>0.7857421494051102</v>
      </c>
      <c r="L1022" s="16">
        <v>0.19047619047619047</v>
      </c>
      <c r="M1022" s="16">
        <v>0.20634920634920634</v>
      </c>
      <c r="N1022" s="16">
        <v>0.4126984126984127</v>
      </c>
      <c r="O1022" s="16">
        <v>0.19047619047619047</v>
      </c>
      <c r="P1022" s="35">
        <v>46078.3028125</v>
      </c>
    </row>
    <row r="1023">
      <c r="A1023" s="33">
        <v>46078.0</v>
      </c>
      <c r="B1023" s="1" t="s">
        <v>60</v>
      </c>
      <c r="D1023" s="1" t="s">
        <v>32</v>
      </c>
      <c r="E1023" s="34">
        <v>562.0</v>
      </c>
      <c r="F1023" s="34">
        <v>20021.0</v>
      </c>
      <c r="G1023" s="15">
        <v>1971691.0</v>
      </c>
      <c r="H1023" s="16">
        <v>0.010154228020516399</v>
      </c>
      <c r="I1023" s="17">
        <v>4.427550260157398</v>
      </c>
      <c r="J1023" s="16">
        <v>1.411321020724658</v>
      </c>
      <c r="K1023" s="16">
        <v>3.8627433694199884</v>
      </c>
      <c r="L1023" s="16">
        <v>0.051601423487544484</v>
      </c>
      <c r="M1023" s="16">
        <v>0.3238434163701068</v>
      </c>
      <c r="N1023" s="16">
        <v>0.4430604982206406</v>
      </c>
      <c r="O1023" s="16">
        <v>0.2277580071174377</v>
      </c>
      <c r="P1023" s="35">
        <v>46078.3028125</v>
      </c>
    </row>
    <row r="1024">
      <c r="A1024" s="33">
        <v>46078.0</v>
      </c>
      <c r="B1024" s="1" t="s">
        <v>60</v>
      </c>
      <c r="D1024" s="1" t="s">
        <v>33</v>
      </c>
      <c r="E1024" s="34">
        <v>105.0</v>
      </c>
      <c r="F1024" s="34">
        <v>367.0</v>
      </c>
      <c r="G1024" s="15">
        <v>35704.0</v>
      </c>
      <c r="H1024" s="16">
        <v>0.010278960340578087</v>
      </c>
      <c r="I1024" s="17">
        <v>4.209836432892673</v>
      </c>
      <c r="J1024" s="16">
        <v>0.9084158415841584</v>
      </c>
      <c r="K1024" s="16">
        <v>3.47382759291691</v>
      </c>
      <c r="L1024" s="16">
        <v>0.05714285714285714</v>
      </c>
      <c r="M1024" s="16">
        <v>0.08571428571428572</v>
      </c>
      <c r="N1024" s="16">
        <v>0.3238095238095238</v>
      </c>
      <c r="O1024" s="16">
        <v>0.06666666666666667</v>
      </c>
      <c r="P1024" s="35">
        <v>46078.3028125</v>
      </c>
    </row>
    <row r="1025">
      <c r="A1025" s="33">
        <v>46078.0</v>
      </c>
      <c r="B1025" s="1" t="s">
        <v>60</v>
      </c>
      <c r="D1025" s="1" t="s">
        <v>34</v>
      </c>
      <c r="E1025" s="34">
        <v>89.0</v>
      </c>
      <c r="F1025" s="34">
        <v>26.0</v>
      </c>
      <c r="G1025" s="15">
        <v>1406.0</v>
      </c>
      <c r="H1025" s="16">
        <v>0.01849217638691323</v>
      </c>
      <c r="I1025" s="17">
        <v>8.063300142247511</v>
      </c>
      <c r="J1025" s="16">
        <v>1.2380952380952381</v>
      </c>
      <c r="K1025" s="16">
        <v>0.588038477624425</v>
      </c>
      <c r="L1025" s="16">
        <v>0.033707865168539325</v>
      </c>
      <c r="M1025" s="16">
        <v>0.033707865168539325</v>
      </c>
      <c r="N1025" s="16">
        <v>0.06741573033707865</v>
      </c>
      <c r="O1025" s="16">
        <v>0.07865168539325842</v>
      </c>
      <c r="P1025" s="35">
        <v>46078.3028125</v>
      </c>
    </row>
    <row r="1026">
      <c r="A1026" s="33">
        <v>46079.0</v>
      </c>
      <c r="B1026" s="1" t="s">
        <v>57</v>
      </c>
      <c r="D1026" s="1"/>
      <c r="E1026" s="34">
        <v>1166.0</v>
      </c>
      <c r="F1026" s="34">
        <v>21532.0</v>
      </c>
      <c r="G1026" s="15">
        <v>2053202.0</v>
      </c>
      <c r="H1026" s="16">
        <v>0.010487034397979352</v>
      </c>
      <c r="I1026" s="17">
        <v>4.486564400385349</v>
      </c>
      <c r="J1026" s="16">
        <v>1.4087013411841676</v>
      </c>
      <c r="K1026" s="16">
        <v>3.6599749014239165</v>
      </c>
      <c r="L1026" s="16">
        <v>0.054030874785591765</v>
      </c>
      <c r="M1026" s="16">
        <v>0.18867924528301888</v>
      </c>
      <c r="N1026" s="16">
        <v>0.2864493996569468</v>
      </c>
      <c r="O1026" s="16">
        <v>0.15780445969125215</v>
      </c>
      <c r="P1026" s="35">
        <v>46079.30263888889</v>
      </c>
    </row>
    <row r="1027">
      <c r="A1027" s="33">
        <v>46079.0</v>
      </c>
      <c r="B1027" s="1" t="s">
        <v>58</v>
      </c>
      <c r="D1027" s="1"/>
      <c r="E1027" s="34">
        <v>828.0</v>
      </c>
      <c r="F1027" s="34">
        <v>21429.0</v>
      </c>
      <c r="G1027" s="15">
        <v>2050455.0</v>
      </c>
      <c r="H1027" s="16">
        <v>0.010450851152549068</v>
      </c>
      <c r="I1027" s="17">
        <v>4.484791424342402</v>
      </c>
      <c r="J1027" s="16">
        <v>1.4141754108097406</v>
      </c>
      <c r="K1027" s="16">
        <v>3.726230109981173</v>
      </c>
      <c r="L1027" s="16">
        <v>0.06159420289855073</v>
      </c>
      <c r="M1027" s="16">
        <v>0.25120772946859904</v>
      </c>
      <c r="N1027" s="16">
        <v>0.38405797101449274</v>
      </c>
      <c r="O1027" s="16">
        <v>0.19202898550724637</v>
      </c>
      <c r="P1027" s="35">
        <v>46079.30263888889</v>
      </c>
    </row>
    <row r="1028">
      <c r="A1028" s="33">
        <v>46079.0</v>
      </c>
      <c r="B1028" s="1" t="s">
        <v>59</v>
      </c>
      <c r="C1028" s="3" t="s">
        <v>2</v>
      </c>
      <c r="D1028" s="1"/>
      <c r="E1028" s="34">
        <v>133.0</v>
      </c>
      <c r="F1028" s="34">
        <v>1481.0</v>
      </c>
      <c r="G1028" s="15">
        <v>149637.0</v>
      </c>
      <c r="H1028" s="16">
        <v>0.009897284762458483</v>
      </c>
      <c r="I1028" s="17">
        <v>4.118393178157809</v>
      </c>
      <c r="J1028" s="16">
        <v>5.160278745644599</v>
      </c>
      <c r="K1028" s="16">
        <v>8.048894626432144</v>
      </c>
      <c r="L1028" s="16">
        <v>0.05263157894736842</v>
      </c>
      <c r="M1028" s="16">
        <v>0.09022556390977443</v>
      </c>
      <c r="N1028" s="16">
        <v>0.3609022556390977</v>
      </c>
      <c r="O1028" s="16">
        <v>0.10526315789473684</v>
      </c>
      <c r="P1028" s="35">
        <v>46079.30263888889</v>
      </c>
    </row>
    <row r="1029">
      <c r="A1029" s="33">
        <v>46079.0</v>
      </c>
      <c r="B1029" s="1" t="s">
        <v>59</v>
      </c>
      <c r="C1029" s="1" t="s">
        <v>3</v>
      </c>
      <c r="D1029" s="1"/>
      <c r="E1029" s="34">
        <v>185.0</v>
      </c>
      <c r="F1029" s="34">
        <v>1479.0</v>
      </c>
      <c r="G1029" s="15">
        <v>68052.0</v>
      </c>
      <c r="H1029" s="16">
        <v>0.021733380356198203</v>
      </c>
      <c r="I1029" s="17">
        <v>5.766898842061953</v>
      </c>
      <c r="J1029" s="16">
        <v>2.0204918032786887</v>
      </c>
      <c r="K1029" s="16">
        <v>3.377941030477514</v>
      </c>
      <c r="L1029" s="16">
        <v>0.03783783783783784</v>
      </c>
      <c r="M1029" s="16">
        <v>0.06486486486486487</v>
      </c>
      <c r="N1029" s="16">
        <v>0.3621621621621622</v>
      </c>
      <c r="O1029" s="16">
        <v>0.15675675675675677</v>
      </c>
      <c r="P1029" s="35">
        <v>46079.30263888889</v>
      </c>
    </row>
    <row r="1030">
      <c r="A1030" s="33">
        <v>46079.0</v>
      </c>
      <c r="B1030" s="1" t="s">
        <v>59</v>
      </c>
      <c r="C1030" s="3" t="s">
        <v>4</v>
      </c>
      <c r="D1030" s="1"/>
      <c r="E1030" s="34">
        <v>105.0</v>
      </c>
      <c r="F1030" s="34">
        <v>1402.0</v>
      </c>
      <c r="G1030" s="15">
        <v>57517.0</v>
      </c>
      <c r="H1030" s="16">
        <v>0.024375402055044595</v>
      </c>
      <c r="I1030" s="17">
        <v>4.225168211137577</v>
      </c>
      <c r="J1030" s="16">
        <v>2.07396449704142</v>
      </c>
      <c r="K1030" s="16">
        <v>2.816147669408539</v>
      </c>
      <c r="L1030" s="16">
        <v>0.09523809523809523</v>
      </c>
      <c r="M1030" s="16">
        <v>0.1523809523809524</v>
      </c>
      <c r="N1030" s="16">
        <v>0.2761904761904762</v>
      </c>
      <c r="O1030" s="16">
        <v>0.13333333333333333</v>
      </c>
      <c r="P1030" s="35">
        <v>46079.30263888889</v>
      </c>
    </row>
    <row r="1031">
      <c r="A1031" s="33">
        <v>46079.0</v>
      </c>
      <c r="B1031" s="1" t="s">
        <v>59</v>
      </c>
      <c r="C1031" s="3" t="s">
        <v>5</v>
      </c>
      <c r="D1031" s="1"/>
      <c r="E1031" s="34">
        <v>40.0</v>
      </c>
      <c r="F1031" s="34">
        <v>5653.0</v>
      </c>
      <c r="G1031" s="15">
        <v>74372.0</v>
      </c>
      <c r="H1031" s="16">
        <v>0.07600978863012962</v>
      </c>
      <c r="I1031" s="17">
        <v>5.161646856343785</v>
      </c>
      <c r="J1031" s="16">
        <v>0.8738599474416447</v>
      </c>
      <c r="K1031" s="16">
        <v>1.687549635814935</v>
      </c>
      <c r="L1031" s="16">
        <v>0.05</v>
      </c>
      <c r="M1031" s="16">
        <v>0.075</v>
      </c>
      <c r="N1031" s="16">
        <v>0.25</v>
      </c>
      <c r="O1031" s="16">
        <v>0.1</v>
      </c>
      <c r="P1031" s="35">
        <v>46079.30263888889</v>
      </c>
    </row>
    <row r="1032">
      <c r="A1032" s="33">
        <v>46079.0</v>
      </c>
      <c r="B1032" s="1" t="s">
        <v>59</v>
      </c>
      <c r="C1032" s="3" t="s">
        <v>6</v>
      </c>
      <c r="D1032" s="1"/>
      <c r="E1032" s="34">
        <v>29.0</v>
      </c>
      <c r="F1032" s="34">
        <v>5217.0</v>
      </c>
      <c r="G1032" s="15">
        <v>421708.0</v>
      </c>
      <c r="H1032" s="16">
        <v>0.012371119352727479</v>
      </c>
      <c r="I1032" s="17">
        <v>4.416363929543666</v>
      </c>
      <c r="J1032" s="16">
        <v>1.1493721083939195</v>
      </c>
      <c r="K1032" s="16">
        <v>1.8865581368299087</v>
      </c>
      <c r="L1032" s="16">
        <v>0.0</v>
      </c>
      <c r="M1032" s="16">
        <v>0.06896551724137931</v>
      </c>
      <c r="N1032" s="16">
        <v>0.5517241379310345</v>
      </c>
      <c r="O1032" s="16">
        <v>0.3793103448275862</v>
      </c>
      <c r="P1032" s="35">
        <v>46079.30263888889</v>
      </c>
    </row>
    <row r="1033">
      <c r="A1033" s="33">
        <v>46079.0</v>
      </c>
      <c r="B1033" s="1" t="s">
        <v>59</v>
      </c>
      <c r="C1033" s="3" t="s">
        <v>7</v>
      </c>
      <c r="D1033" s="1"/>
      <c r="E1033" s="34">
        <v>130.0</v>
      </c>
      <c r="F1033" s="34">
        <v>1545.0</v>
      </c>
      <c r="G1033" s="15">
        <v>336692.0</v>
      </c>
      <c r="H1033" s="16">
        <v>0.0045887636177871765</v>
      </c>
      <c r="I1033" s="17">
        <v>3.942829054447388</v>
      </c>
      <c r="J1033" s="16">
        <v>2.5836120401337794</v>
      </c>
      <c r="K1033" s="16">
        <v>9.67422348648105</v>
      </c>
      <c r="L1033" s="16">
        <v>0.08461538461538462</v>
      </c>
      <c r="M1033" s="16">
        <v>0.5615384615384615</v>
      </c>
      <c r="N1033" s="16">
        <v>0.5</v>
      </c>
      <c r="O1033" s="16">
        <v>0.2846153846153846</v>
      </c>
      <c r="P1033" s="35">
        <v>46079.30263888889</v>
      </c>
    </row>
    <row r="1034">
      <c r="A1034" s="33">
        <v>46079.0</v>
      </c>
      <c r="B1034" s="1" t="s">
        <v>59</v>
      </c>
      <c r="C1034" s="3" t="s">
        <v>8</v>
      </c>
      <c r="D1034" s="1"/>
      <c r="E1034" s="34">
        <v>119.0</v>
      </c>
      <c r="F1034" s="34">
        <v>1252.0</v>
      </c>
      <c r="G1034" s="15">
        <v>430194.0</v>
      </c>
      <c r="H1034" s="16">
        <v>0.002910314881193136</v>
      </c>
      <c r="I1034" s="17">
        <v>4.952632998135725</v>
      </c>
      <c r="J1034" s="16">
        <v>1.022875816993464</v>
      </c>
      <c r="K1034" s="16">
        <v>3.6019089881525517</v>
      </c>
      <c r="L1034" s="16">
        <v>0.1092436974789916</v>
      </c>
      <c r="M1034" s="16">
        <v>0.6302521008403361</v>
      </c>
      <c r="N1034" s="16">
        <v>0.4789915966386555</v>
      </c>
      <c r="O1034" s="16">
        <v>0.24369747899159663</v>
      </c>
      <c r="P1034" s="35">
        <v>46079.30263888889</v>
      </c>
    </row>
    <row r="1035">
      <c r="A1035" s="33">
        <v>46079.0</v>
      </c>
      <c r="B1035" s="1" t="s">
        <v>59</v>
      </c>
      <c r="C1035" s="3" t="s">
        <v>9</v>
      </c>
      <c r="D1035" s="1"/>
      <c r="E1035" s="34">
        <v>11.0</v>
      </c>
      <c r="F1035" s="34">
        <v>23.0</v>
      </c>
      <c r="G1035" s="15">
        <v>947.0</v>
      </c>
      <c r="H1035" s="16">
        <v>0.024287222808870117</v>
      </c>
      <c r="I1035" s="17">
        <v>10.190073917634635</v>
      </c>
      <c r="J1035" s="16">
        <v>3.8333333333333335</v>
      </c>
      <c r="K1035" s="16">
        <v>6.81294964028777</v>
      </c>
      <c r="L1035" s="16">
        <v>0.0</v>
      </c>
      <c r="M1035" s="16">
        <v>0.0</v>
      </c>
      <c r="N1035" s="16">
        <v>0.45454545454545453</v>
      </c>
      <c r="O1035" s="16">
        <v>0.09090909090909091</v>
      </c>
      <c r="P1035" s="35">
        <v>46079.30263888889</v>
      </c>
    </row>
    <row r="1036">
      <c r="A1036" s="33">
        <v>46079.0</v>
      </c>
      <c r="B1036" s="1" t="s">
        <v>59</v>
      </c>
      <c r="C1036" s="3" t="s">
        <v>10</v>
      </c>
      <c r="D1036" s="1"/>
      <c r="E1036" s="34">
        <v>76.0</v>
      </c>
      <c r="F1036" s="34">
        <v>3377.0</v>
      </c>
      <c r="G1036" s="15">
        <v>511336.0</v>
      </c>
      <c r="H1036" s="16">
        <v>0.006604268035108031</v>
      </c>
      <c r="I1036" s="17">
        <v>4.361263435392775</v>
      </c>
      <c r="J1036" s="16">
        <v>5.429260450160772</v>
      </c>
      <c r="K1036" s="16">
        <v>7.396302832180982</v>
      </c>
      <c r="L1036" s="16">
        <v>0.013157894736842105</v>
      </c>
      <c r="M1036" s="16">
        <v>0.19736842105263158</v>
      </c>
      <c r="N1036" s="16">
        <v>0.27631578947368424</v>
      </c>
      <c r="O1036" s="16">
        <v>0.2631578947368421</v>
      </c>
      <c r="P1036" s="35">
        <v>46079.30263888889</v>
      </c>
    </row>
    <row r="1037">
      <c r="A1037" s="33">
        <v>46079.0</v>
      </c>
      <c r="B1037" s="1" t="s">
        <v>60</v>
      </c>
      <c r="D1037" s="1" t="s">
        <v>30</v>
      </c>
      <c r="E1037" s="34">
        <v>9.0</v>
      </c>
      <c r="F1037" s="34">
        <v>619.0</v>
      </c>
      <c r="G1037" s="15">
        <v>13760.0</v>
      </c>
      <c r="H1037" s="16">
        <v>0.04498546511627907</v>
      </c>
      <c r="I1037" s="17">
        <v>10.29171511627907</v>
      </c>
      <c r="J1037" s="16">
        <v>1.5097560975609756</v>
      </c>
      <c r="K1037" s="16">
        <v>0.8378493576082323</v>
      </c>
      <c r="L1037" s="16">
        <v>0.0</v>
      </c>
      <c r="M1037" s="16">
        <v>0.0</v>
      </c>
      <c r="N1037" s="16">
        <v>0.6666666666666666</v>
      </c>
      <c r="O1037" s="16">
        <v>0.2222222222222222</v>
      </c>
      <c r="P1037" s="35">
        <v>46079.30263888889</v>
      </c>
    </row>
    <row r="1038">
      <c r="A1038" s="33">
        <v>46079.0</v>
      </c>
      <c r="B1038" s="1" t="s">
        <v>60</v>
      </c>
      <c r="D1038" s="1" t="s">
        <v>31</v>
      </c>
      <c r="E1038" s="34">
        <v>63.0</v>
      </c>
      <c r="F1038" s="34">
        <v>271.0</v>
      </c>
      <c r="G1038" s="15">
        <v>8011.0</v>
      </c>
      <c r="H1038" s="16">
        <v>0.033828485831981024</v>
      </c>
      <c r="I1038" s="17">
        <v>9.127324928223693</v>
      </c>
      <c r="J1038" s="16">
        <v>2.0846153846153848</v>
      </c>
      <c r="K1038" s="16">
        <v>0.7978289015038342</v>
      </c>
      <c r="L1038" s="16">
        <v>0.1746031746031746</v>
      </c>
      <c r="M1038" s="16">
        <v>0.19047619047619047</v>
      </c>
      <c r="N1038" s="16">
        <v>0.3968253968253968</v>
      </c>
      <c r="O1038" s="16">
        <v>0.19047619047619047</v>
      </c>
      <c r="P1038" s="35">
        <v>46079.30263888889</v>
      </c>
    </row>
    <row r="1039">
      <c r="A1039" s="33">
        <v>46079.0</v>
      </c>
      <c r="B1039" s="1" t="s">
        <v>60</v>
      </c>
      <c r="D1039" s="1" t="s">
        <v>32</v>
      </c>
      <c r="E1039" s="34">
        <v>562.0</v>
      </c>
      <c r="F1039" s="34">
        <v>20142.0</v>
      </c>
      <c r="G1039" s="15">
        <v>1991530.0</v>
      </c>
      <c r="H1039" s="16">
        <v>0.010113832078853946</v>
      </c>
      <c r="I1039" s="17">
        <v>4.428380692231601</v>
      </c>
      <c r="J1039" s="16">
        <v>1.4193502924388697</v>
      </c>
      <c r="K1039" s="16">
        <v>3.8950094171166607</v>
      </c>
      <c r="L1039" s="16">
        <v>0.05516014234875445</v>
      </c>
      <c r="M1039" s="16">
        <v>0.3274021352313167</v>
      </c>
      <c r="N1039" s="16">
        <v>0.4412811387900356</v>
      </c>
      <c r="O1039" s="16">
        <v>0.23487544483985764</v>
      </c>
      <c r="P1039" s="35">
        <v>46079.30263888889</v>
      </c>
    </row>
    <row r="1040">
      <c r="A1040" s="33">
        <v>46079.0</v>
      </c>
      <c r="B1040" s="1" t="s">
        <v>60</v>
      </c>
      <c r="D1040" s="1" t="s">
        <v>33</v>
      </c>
      <c r="E1040" s="34">
        <v>105.0</v>
      </c>
      <c r="F1040" s="34">
        <v>371.0</v>
      </c>
      <c r="G1040" s="15">
        <v>35754.0</v>
      </c>
      <c r="H1040" s="16">
        <v>0.010376461374951055</v>
      </c>
      <c r="I1040" s="17">
        <v>4.213962074173519</v>
      </c>
      <c r="J1040" s="16">
        <v>0.9228855721393034</v>
      </c>
      <c r="K1040" s="16">
        <v>3.4943315089913995</v>
      </c>
      <c r="L1040" s="16">
        <v>0.05714285714285714</v>
      </c>
      <c r="M1040" s="16">
        <v>0.08571428571428572</v>
      </c>
      <c r="N1040" s="16">
        <v>0.3142857142857143</v>
      </c>
      <c r="O1040" s="16">
        <v>0.06666666666666667</v>
      </c>
      <c r="P1040" s="35">
        <v>46079.30263888889</v>
      </c>
    </row>
    <row r="1041">
      <c r="A1041" s="33">
        <v>46079.0</v>
      </c>
      <c r="B1041" s="1" t="s">
        <v>60</v>
      </c>
      <c r="D1041" s="1" t="s">
        <v>34</v>
      </c>
      <c r="E1041" s="34">
        <v>89.0</v>
      </c>
      <c r="F1041" s="34">
        <v>26.0</v>
      </c>
      <c r="G1041" s="15">
        <v>1400.0</v>
      </c>
      <c r="H1041" s="16">
        <v>0.018571428571428572</v>
      </c>
      <c r="I1041" s="17">
        <v>8.007857142857143</v>
      </c>
      <c r="J1041" s="16">
        <v>1.3</v>
      </c>
      <c r="K1041" s="16">
        <v>0.6148440931049627</v>
      </c>
      <c r="L1041" s="16">
        <v>0.033707865168539325</v>
      </c>
      <c r="M1041" s="16">
        <v>0.033707865168539325</v>
      </c>
      <c r="N1041" s="16">
        <v>0.06741573033707865</v>
      </c>
      <c r="O1041" s="16">
        <v>0.06741573033707865</v>
      </c>
      <c r="P1041" s="35">
        <v>46079.30263888889</v>
      </c>
    </row>
    <row r="1042">
      <c r="A1042" s="33">
        <v>46080.0</v>
      </c>
      <c r="B1042" s="1" t="s">
        <v>57</v>
      </c>
      <c r="D1042" s="1"/>
      <c r="E1042" s="34">
        <v>1166.0</v>
      </c>
      <c r="F1042" s="34">
        <v>21487.0</v>
      </c>
      <c r="G1042" s="15">
        <v>2067661.0</v>
      </c>
      <c r="H1042" s="16">
        <v>0.010391935621941895</v>
      </c>
      <c r="I1042" s="17">
        <v>4.478064344203426</v>
      </c>
      <c r="J1042" s="16">
        <v>1.3995310362795546</v>
      </c>
      <c r="K1042" s="16">
        <v>3.6619426709290073</v>
      </c>
      <c r="L1042" s="16">
        <v>0.05660377358490566</v>
      </c>
      <c r="M1042" s="16">
        <v>0.19296740994854203</v>
      </c>
      <c r="N1042" s="16">
        <v>0.28730703259005147</v>
      </c>
      <c r="O1042" s="16">
        <v>0.15437392795883362</v>
      </c>
      <c r="P1042" s="35">
        <v>46080.30262731481</v>
      </c>
    </row>
    <row r="1043">
      <c r="A1043" s="33">
        <v>46080.0</v>
      </c>
      <c r="B1043" s="1" t="s">
        <v>58</v>
      </c>
      <c r="D1043" s="1"/>
      <c r="E1043" s="34">
        <v>828.0</v>
      </c>
      <c r="F1043" s="34">
        <v>21385.0</v>
      </c>
      <c r="G1043" s="15">
        <v>2064932.0</v>
      </c>
      <c r="H1043" s="16">
        <v>0.010356273233210585</v>
      </c>
      <c r="I1043" s="17">
        <v>4.476204059019861</v>
      </c>
      <c r="J1043" s="16">
        <v>1.4045054512018915</v>
      </c>
      <c r="K1043" s="16">
        <v>3.7260227502381844</v>
      </c>
      <c r="L1043" s="16">
        <v>0.06521739130434782</v>
      </c>
      <c r="M1043" s="16">
        <v>0.2572463768115942</v>
      </c>
      <c r="N1043" s="16">
        <v>0.3828502415458937</v>
      </c>
      <c r="O1043" s="16">
        <v>0.18840579710144928</v>
      </c>
      <c r="P1043" s="35">
        <v>46080.30262731481</v>
      </c>
    </row>
    <row r="1044">
      <c r="A1044" s="33">
        <v>46080.0</v>
      </c>
      <c r="B1044" s="1" t="s">
        <v>59</v>
      </c>
      <c r="C1044" s="3" t="s">
        <v>2</v>
      </c>
      <c r="D1044" s="1"/>
      <c r="E1044" s="34">
        <v>133.0</v>
      </c>
      <c r="F1044" s="34">
        <v>1483.0</v>
      </c>
      <c r="G1044" s="15">
        <v>152165.0</v>
      </c>
      <c r="H1044" s="16">
        <v>0.009745999408536786</v>
      </c>
      <c r="I1044" s="17">
        <v>4.088791772089508</v>
      </c>
      <c r="J1044" s="16">
        <v>5.167247386759582</v>
      </c>
      <c r="K1044" s="16">
        <v>8.320028432391055</v>
      </c>
      <c r="L1044" s="16">
        <v>0.06015037593984962</v>
      </c>
      <c r="M1044" s="16">
        <v>0.09774436090225563</v>
      </c>
      <c r="N1044" s="16">
        <v>0.3233082706766917</v>
      </c>
      <c r="O1044" s="16">
        <v>0.12030075187969924</v>
      </c>
      <c r="P1044" s="35">
        <v>46080.30262731481</v>
      </c>
    </row>
    <row r="1045">
      <c r="A1045" s="33">
        <v>46080.0</v>
      </c>
      <c r="B1045" s="1" t="s">
        <v>59</v>
      </c>
      <c r="C1045" s="1" t="s">
        <v>3</v>
      </c>
      <c r="D1045" s="1"/>
      <c r="E1045" s="34">
        <v>185.0</v>
      </c>
      <c r="F1045" s="34">
        <v>1467.0</v>
      </c>
      <c r="G1045" s="15">
        <v>69078.0</v>
      </c>
      <c r="H1045" s="16">
        <v>0.021236862676973854</v>
      </c>
      <c r="I1045" s="17">
        <v>5.769883320304583</v>
      </c>
      <c r="J1045" s="16">
        <v>2.01510989010989</v>
      </c>
      <c r="K1045" s="16">
        <v>3.435690838555655</v>
      </c>
      <c r="L1045" s="16">
        <v>0.043243243243243246</v>
      </c>
      <c r="M1045" s="16">
        <v>0.08108108108108109</v>
      </c>
      <c r="N1045" s="16">
        <v>0.3837837837837838</v>
      </c>
      <c r="O1045" s="16">
        <v>0.13513513513513514</v>
      </c>
      <c r="P1045" s="35">
        <v>46080.30262731481</v>
      </c>
    </row>
    <row r="1046">
      <c r="A1046" s="33">
        <v>46080.0</v>
      </c>
      <c r="B1046" s="1" t="s">
        <v>59</v>
      </c>
      <c r="C1046" s="3" t="s">
        <v>4</v>
      </c>
      <c r="D1046" s="1"/>
      <c r="E1046" s="34">
        <v>105.0</v>
      </c>
      <c r="F1046" s="34">
        <v>1410.0</v>
      </c>
      <c r="G1046" s="15">
        <v>57959.0</v>
      </c>
      <c r="H1046" s="16">
        <v>0.024327541883055262</v>
      </c>
      <c r="I1046" s="17">
        <v>4.23671906002519</v>
      </c>
      <c r="J1046" s="16">
        <v>2.082717872968981</v>
      </c>
      <c r="K1046" s="16">
        <v>2.8170992514824538</v>
      </c>
      <c r="L1046" s="16">
        <v>0.08571428571428572</v>
      </c>
      <c r="M1046" s="16">
        <v>0.13333333333333333</v>
      </c>
      <c r="N1046" s="16">
        <v>0.2761904761904762</v>
      </c>
      <c r="O1046" s="16">
        <v>0.13333333333333333</v>
      </c>
      <c r="P1046" s="35">
        <v>46080.30262731481</v>
      </c>
    </row>
    <row r="1047">
      <c r="A1047" s="33">
        <v>46080.0</v>
      </c>
      <c r="B1047" s="1" t="s">
        <v>59</v>
      </c>
      <c r="C1047" s="3" t="s">
        <v>5</v>
      </c>
      <c r="D1047" s="1"/>
      <c r="E1047" s="34">
        <v>40.0</v>
      </c>
      <c r="F1047" s="34">
        <v>5585.0</v>
      </c>
      <c r="G1047" s="15">
        <v>74764.0</v>
      </c>
      <c r="H1047" s="16">
        <v>0.07470172810443529</v>
      </c>
      <c r="I1047" s="17">
        <v>5.170148734685142</v>
      </c>
      <c r="J1047" s="16">
        <v>0.8644172728679771</v>
      </c>
      <c r="K1047" s="16">
        <v>1.6806186215888144</v>
      </c>
      <c r="L1047" s="16">
        <v>0.075</v>
      </c>
      <c r="M1047" s="16">
        <v>0.1</v>
      </c>
      <c r="N1047" s="16">
        <v>0.275</v>
      </c>
      <c r="O1047" s="16">
        <v>0.075</v>
      </c>
      <c r="P1047" s="35">
        <v>46080.30262731481</v>
      </c>
    </row>
    <row r="1048">
      <c r="A1048" s="33">
        <v>46080.0</v>
      </c>
      <c r="B1048" s="1" t="s">
        <v>59</v>
      </c>
      <c r="C1048" s="3" t="s">
        <v>6</v>
      </c>
      <c r="D1048" s="1"/>
      <c r="E1048" s="34">
        <v>29.0</v>
      </c>
      <c r="F1048" s="34">
        <v>5225.0</v>
      </c>
      <c r="G1048" s="15">
        <v>424775.0</v>
      </c>
      <c r="H1048" s="16">
        <v>0.012300629745159202</v>
      </c>
      <c r="I1048" s="17">
        <v>4.411422517803543</v>
      </c>
      <c r="J1048" s="16">
        <v>1.1338975694444444</v>
      </c>
      <c r="K1048" s="16">
        <v>1.8836778224679938</v>
      </c>
      <c r="L1048" s="16">
        <v>0.034482758620689655</v>
      </c>
      <c r="M1048" s="16">
        <v>0.10344827586206896</v>
      </c>
      <c r="N1048" s="16">
        <v>0.5517241379310345</v>
      </c>
      <c r="O1048" s="16">
        <v>0.3448275862068966</v>
      </c>
      <c r="P1048" s="35">
        <v>46080.30262731481</v>
      </c>
    </row>
    <row r="1049">
      <c r="A1049" s="33">
        <v>46080.0</v>
      </c>
      <c r="B1049" s="1" t="s">
        <v>59</v>
      </c>
      <c r="C1049" s="3" t="s">
        <v>7</v>
      </c>
      <c r="D1049" s="1"/>
      <c r="E1049" s="34">
        <v>130.0</v>
      </c>
      <c r="F1049" s="34">
        <v>1575.0</v>
      </c>
      <c r="G1049" s="15">
        <v>340640.0</v>
      </c>
      <c r="H1049" s="16">
        <v>0.004623649600751526</v>
      </c>
      <c r="I1049" s="17">
        <v>3.924656528886801</v>
      </c>
      <c r="J1049" s="16">
        <v>2.573529411764706</v>
      </c>
      <c r="K1049" s="16">
        <v>9.67287596547024</v>
      </c>
      <c r="L1049" s="16">
        <v>0.08461538461538462</v>
      </c>
      <c r="M1049" s="16">
        <v>0.5538461538461539</v>
      </c>
      <c r="N1049" s="16">
        <v>0.5</v>
      </c>
      <c r="O1049" s="16">
        <v>0.3</v>
      </c>
      <c r="P1049" s="35">
        <v>46080.30262731481</v>
      </c>
    </row>
    <row r="1050">
      <c r="A1050" s="33">
        <v>46080.0</v>
      </c>
      <c r="B1050" s="1" t="s">
        <v>59</v>
      </c>
      <c r="C1050" s="3" t="s">
        <v>8</v>
      </c>
      <c r="D1050" s="1"/>
      <c r="E1050" s="34">
        <v>119.0</v>
      </c>
      <c r="F1050" s="34">
        <v>1256.0</v>
      </c>
      <c r="G1050" s="15">
        <v>433100.0</v>
      </c>
      <c r="H1050" s="16">
        <v>0.002900023089355807</v>
      </c>
      <c r="I1050" s="17">
        <v>4.950466404987301</v>
      </c>
      <c r="J1050" s="16">
        <v>1.033744855967078</v>
      </c>
      <c r="K1050" s="16">
        <v>3.6227822901069855</v>
      </c>
      <c r="L1050" s="16">
        <v>0.1092436974789916</v>
      </c>
      <c r="M1050" s="16">
        <v>0.6302521008403361</v>
      </c>
      <c r="N1050" s="16">
        <v>0.47058823529411764</v>
      </c>
      <c r="O1050" s="16">
        <v>0.23529411764705882</v>
      </c>
      <c r="P1050" s="35">
        <v>46080.30262731481</v>
      </c>
    </row>
    <row r="1051">
      <c r="A1051" s="33">
        <v>46080.0</v>
      </c>
      <c r="B1051" s="1" t="s">
        <v>59</v>
      </c>
      <c r="C1051" s="3" t="s">
        <v>9</v>
      </c>
      <c r="D1051" s="1"/>
      <c r="E1051" s="34">
        <v>11.0</v>
      </c>
      <c r="F1051" s="34">
        <v>24.0</v>
      </c>
      <c r="G1051" s="15">
        <v>1012.0</v>
      </c>
      <c r="H1051" s="16">
        <v>0.023715415019762844</v>
      </c>
      <c r="I1051" s="17">
        <v>10.128458498023715</v>
      </c>
      <c r="J1051" s="16">
        <v>4.0</v>
      </c>
      <c r="K1051" s="16">
        <v>7.4411764705882355</v>
      </c>
      <c r="L1051" s="16">
        <v>0.0</v>
      </c>
      <c r="M1051" s="16">
        <v>0.0</v>
      </c>
      <c r="N1051" s="16">
        <v>0.45454545454545453</v>
      </c>
      <c r="O1051" s="16">
        <v>0.09090909090909091</v>
      </c>
      <c r="P1051" s="35">
        <v>46080.30262731481</v>
      </c>
    </row>
    <row r="1052">
      <c r="A1052" s="33">
        <v>46080.0</v>
      </c>
      <c r="B1052" s="1" t="s">
        <v>59</v>
      </c>
      <c r="C1052" s="3" t="s">
        <v>10</v>
      </c>
      <c r="D1052" s="1"/>
      <c r="E1052" s="34">
        <v>76.0</v>
      </c>
      <c r="F1052" s="34">
        <v>3360.0</v>
      </c>
      <c r="G1052" s="15">
        <v>511439.0</v>
      </c>
      <c r="H1052" s="16">
        <v>0.0065696984391100405</v>
      </c>
      <c r="I1052" s="17">
        <v>4.350788657102802</v>
      </c>
      <c r="J1052" s="16">
        <v>5.3164556962025316</v>
      </c>
      <c r="K1052" s="16">
        <v>7.271679012696743</v>
      </c>
      <c r="L1052" s="16">
        <v>0.013157894736842105</v>
      </c>
      <c r="M1052" s="16">
        <v>0.2236842105263158</v>
      </c>
      <c r="N1052" s="16">
        <v>0.27631578947368424</v>
      </c>
      <c r="O1052" s="16">
        <v>0.2631578947368421</v>
      </c>
      <c r="P1052" s="35">
        <v>46080.30262731481</v>
      </c>
    </row>
    <row r="1053">
      <c r="A1053" s="33">
        <v>46080.0</v>
      </c>
      <c r="B1053" s="1" t="s">
        <v>60</v>
      </c>
      <c r="D1053" s="1" t="s">
        <v>30</v>
      </c>
      <c r="E1053" s="34">
        <v>9.0</v>
      </c>
      <c r="F1053" s="34">
        <v>615.0</v>
      </c>
      <c r="G1053" s="15">
        <v>13864.0</v>
      </c>
      <c r="H1053" s="16">
        <v>0.044359492210040395</v>
      </c>
      <c r="I1053" s="17">
        <v>10.41972013848817</v>
      </c>
      <c r="J1053" s="16">
        <v>1.5</v>
      </c>
      <c r="K1053" s="16">
        <v>0.837855804677585</v>
      </c>
      <c r="L1053" s="16">
        <v>0.0</v>
      </c>
      <c r="M1053" s="16">
        <v>0.0</v>
      </c>
      <c r="N1053" s="16">
        <v>0.6666666666666666</v>
      </c>
      <c r="O1053" s="16">
        <v>0.3333333333333333</v>
      </c>
      <c r="P1053" s="35">
        <v>46080.30262731481</v>
      </c>
    </row>
    <row r="1054">
      <c r="A1054" s="33">
        <v>46080.0</v>
      </c>
      <c r="B1054" s="1" t="s">
        <v>60</v>
      </c>
      <c r="D1054" s="1" t="s">
        <v>31</v>
      </c>
      <c r="E1054" s="34">
        <v>63.0</v>
      </c>
      <c r="F1054" s="34">
        <v>269.0</v>
      </c>
      <c r="G1054" s="15">
        <v>7951.0</v>
      </c>
      <c r="H1054" s="16">
        <v>0.03383222236196705</v>
      </c>
      <c r="I1054" s="17">
        <v>9.205508741038862</v>
      </c>
      <c r="J1054" s="16">
        <v>2.053435114503817</v>
      </c>
      <c r="K1054" s="16">
        <v>0.8041873166784667</v>
      </c>
      <c r="L1054" s="16">
        <v>0.15873015873015872</v>
      </c>
      <c r="M1054" s="16">
        <v>0.1746031746031746</v>
      </c>
      <c r="N1054" s="16">
        <v>0.3968253968253968</v>
      </c>
      <c r="O1054" s="16">
        <v>0.19047619047619047</v>
      </c>
      <c r="P1054" s="35">
        <v>46080.30262731481</v>
      </c>
    </row>
    <row r="1055">
      <c r="A1055" s="33">
        <v>46080.0</v>
      </c>
      <c r="B1055" s="1" t="s">
        <v>60</v>
      </c>
      <c r="D1055" s="1" t="s">
        <v>32</v>
      </c>
      <c r="E1055" s="34">
        <v>562.0</v>
      </c>
      <c r="F1055" s="34">
        <v>20110.0</v>
      </c>
      <c r="G1055" s="15">
        <v>2005940.0</v>
      </c>
      <c r="H1055" s="16">
        <v>0.01002522508150792</v>
      </c>
      <c r="I1055" s="17">
        <v>4.41824680698326</v>
      </c>
      <c r="J1055" s="16">
        <v>1.4102384291725105</v>
      </c>
      <c r="K1055" s="16">
        <v>3.8927161725266153</v>
      </c>
      <c r="L1055" s="16">
        <v>0.060498220640569395</v>
      </c>
      <c r="M1055" s="16">
        <v>0.33807829181494664</v>
      </c>
      <c r="N1055" s="16">
        <v>0.44483985765124556</v>
      </c>
      <c r="O1055" s="16">
        <v>0.22597864768683273</v>
      </c>
      <c r="P1055" s="35">
        <v>46080.30262731481</v>
      </c>
    </row>
    <row r="1056">
      <c r="A1056" s="33">
        <v>46080.0</v>
      </c>
      <c r="B1056" s="1" t="s">
        <v>60</v>
      </c>
      <c r="D1056" s="1" t="s">
        <v>33</v>
      </c>
      <c r="E1056" s="34">
        <v>105.0</v>
      </c>
      <c r="F1056" s="34">
        <v>367.0</v>
      </c>
      <c r="G1056" s="15">
        <v>35768.0</v>
      </c>
      <c r="H1056" s="16">
        <v>0.010260568105569225</v>
      </c>
      <c r="I1056" s="17">
        <v>4.237027510624022</v>
      </c>
      <c r="J1056" s="16">
        <v>0.9106699751861043</v>
      </c>
      <c r="K1056" s="16">
        <v>3.4905826095442567</v>
      </c>
      <c r="L1056" s="16">
        <v>0.05714285714285714</v>
      </c>
      <c r="M1056" s="16">
        <v>0.0761904761904762</v>
      </c>
      <c r="N1056" s="16">
        <v>0.29523809523809524</v>
      </c>
      <c r="O1056" s="16">
        <v>0.0761904761904762</v>
      </c>
      <c r="P1056" s="35">
        <v>46080.30262731481</v>
      </c>
    </row>
    <row r="1057">
      <c r="A1057" s="33">
        <v>46080.0</v>
      </c>
      <c r="B1057" s="1" t="s">
        <v>60</v>
      </c>
      <c r="D1057" s="1" t="s">
        <v>34</v>
      </c>
      <c r="E1057" s="34">
        <v>89.0</v>
      </c>
      <c r="F1057" s="34">
        <v>24.0</v>
      </c>
      <c r="G1057" s="15">
        <v>1409.0</v>
      </c>
      <c r="H1057" s="16">
        <v>0.017033356990773598</v>
      </c>
      <c r="I1057" s="17">
        <v>7.88999290276792</v>
      </c>
      <c r="J1057" s="16">
        <v>1.0909090909090908</v>
      </c>
      <c r="K1057" s="16">
        <v>0.6390022675736962</v>
      </c>
      <c r="L1057" s="16">
        <v>0.0449438202247191</v>
      </c>
      <c r="M1057" s="16">
        <v>0.0449438202247191</v>
      </c>
      <c r="N1057" s="16">
        <v>0.056179775280898875</v>
      </c>
      <c r="O1057" s="16">
        <v>0.06741573033707865</v>
      </c>
      <c r="P1057" s="35">
        <v>46080.30262731481</v>
      </c>
    </row>
    <row r="1058">
      <c r="A1058" s="33">
        <v>46081.0</v>
      </c>
      <c r="B1058" s="1" t="s">
        <v>57</v>
      </c>
      <c r="D1058" s="1"/>
      <c r="E1058" s="34">
        <v>1166.0</v>
      </c>
      <c r="F1058" s="34">
        <v>21318.0</v>
      </c>
      <c r="G1058" s="15">
        <v>2075479.0</v>
      </c>
      <c r="H1058" s="16">
        <v>0.010271363863474407</v>
      </c>
      <c r="I1058" s="17">
        <v>4.468638323972442</v>
      </c>
      <c r="J1058" s="16">
        <v>1.3866267724730064</v>
      </c>
      <c r="K1058" s="16">
        <v>3.6743701458609586</v>
      </c>
      <c r="L1058" s="16">
        <v>0.054030874785591765</v>
      </c>
      <c r="M1058" s="16">
        <v>0.1946826758147513</v>
      </c>
      <c r="N1058" s="16">
        <v>0.28730703259005147</v>
      </c>
      <c r="O1058" s="16">
        <v>0.15008576329331047</v>
      </c>
      <c r="P1058" s="35">
        <v>46081.30262731481</v>
      </c>
    </row>
    <row r="1059">
      <c r="A1059" s="33">
        <v>46081.0</v>
      </c>
      <c r="B1059" s="1" t="s">
        <v>58</v>
      </c>
      <c r="D1059" s="1"/>
      <c r="E1059" s="34">
        <v>828.0</v>
      </c>
      <c r="F1059" s="34">
        <v>21217.0</v>
      </c>
      <c r="G1059" s="15">
        <v>2072785.0</v>
      </c>
      <c r="H1059" s="16">
        <v>0.010235986848611892</v>
      </c>
      <c r="I1059" s="17">
        <v>4.466654766413304</v>
      </c>
      <c r="J1059" s="16">
        <v>1.3913699258967802</v>
      </c>
      <c r="K1059" s="16">
        <v>3.7379940777395864</v>
      </c>
      <c r="L1059" s="16">
        <v>0.06280193236714976</v>
      </c>
      <c r="M1059" s="16">
        <v>0.2608695652173913</v>
      </c>
      <c r="N1059" s="16">
        <v>0.38405797101449274</v>
      </c>
      <c r="O1059" s="16">
        <v>0.18478260869565216</v>
      </c>
      <c r="P1059" s="35">
        <v>46081.30262731481</v>
      </c>
    </row>
    <row r="1060">
      <c r="A1060" s="33">
        <v>46081.0</v>
      </c>
      <c r="B1060" s="1" t="s">
        <v>59</v>
      </c>
      <c r="C1060" s="3" t="s">
        <v>2</v>
      </c>
      <c r="D1060" s="1"/>
      <c r="E1060" s="34">
        <v>133.0</v>
      </c>
      <c r="F1060" s="34">
        <v>1458.0</v>
      </c>
      <c r="G1060" s="15">
        <v>153691.0</v>
      </c>
      <c r="H1060" s="16">
        <v>0.00948656720302425</v>
      </c>
      <c r="I1060" s="17">
        <v>4.038239064096141</v>
      </c>
      <c r="J1060" s="16">
        <v>5.151943462897527</v>
      </c>
      <c r="K1060" s="16">
        <v>8.438069616778302</v>
      </c>
      <c r="L1060" s="16">
        <v>0.06015037593984962</v>
      </c>
      <c r="M1060" s="16">
        <v>0.11278195488721804</v>
      </c>
      <c r="N1060" s="16">
        <v>0.3082706766917293</v>
      </c>
      <c r="O1060" s="16">
        <v>0.12030075187969924</v>
      </c>
      <c r="P1060" s="35">
        <v>46081.30262731481</v>
      </c>
    </row>
    <row r="1061">
      <c r="A1061" s="33">
        <v>46081.0</v>
      </c>
      <c r="B1061" s="1" t="s">
        <v>59</v>
      </c>
      <c r="C1061" s="1" t="s">
        <v>3</v>
      </c>
      <c r="D1061" s="1"/>
      <c r="E1061" s="34">
        <v>185.0</v>
      </c>
      <c r="F1061" s="34">
        <v>1459.0</v>
      </c>
      <c r="G1061" s="15">
        <v>69925.0</v>
      </c>
      <c r="H1061" s="16">
        <v>0.020865212727922775</v>
      </c>
      <c r="I1061" s="17">
        <v>5.764504826599929</v>
      </c>
      <c r="J1061" s="16">
        <v>2.037709497206704</v>
      </c>
      <c r="K1061" s="16">
        <v>3.477990549614524</v>
      </c>
      <c r="L1061" s="16">
        <v>0.032432432432432434</v>
      </c>
      <c r="M1061" s="16">
        <v>0.07027027027027027</v>
      </c>
      <c r="N1061" s="16">
        <v>0.3891891891891892</v>
      </c>
      <c r="O1061" s="16">
        <v>0.14054054054054055</v>
      </c>
      <c r="P1061" s="35">
        <v>46081.30262731481</v>
      </c>
    </row>
    <row r="1062">
      <c r="A1062" s="33">
        <v>46081.0</v>
      </c>
      <c r="B1062" s="1" t="s">
        <v>59</v>
      </c>
      <c r="C1062" s="3" t="s">
        <v>4</v>
      </c>
      <c r="D1062" s="1"/>
      <c r="E1062" s="34">
        <v>105.0</v>
      </c>
      <c r="F1062" s="34">
        <v>1425.0</v>
      </c>
      <c r="G1062" s="15">
        <v>58126.0</v>
      </c>
      <c r="H1062" s="16">
        <v>0.02451570725664935</v>
      </c>
      <c r="I1062" s="17">
        <v>4.239514158896191</v>
      </c>
      <c r="J1062" s="16">
        <v>2.111111111111111</v>
      </c>
      <c r="K1062" s="16">
        <v>2.777427370030581</v>
      </c>
      <c r="L1062" s="16">
        <v>0.08571428571428572</v>
      </c>
      <c r="M1062" s="16">
        <v>0.13333333333333333</v>
      </c>
      <c r="N1062" s="16">
        <v>0.2857142857142857</v>
      </c>
      <c r="O1062" s="16">
        <v>0.12380952380952381</v>
      </c>
      <c r="P1062" s="35">
        <v>46081.30262731481</v>
      </c>
    </row>
    <row r="1063">
      <c r="A1063" s="33">
        <v>46081.0</v>
      </c>
      <c r="B1063" s="1" t="s">
        <v>59</v>
      </c>
      <c r="C1063" s="3" t="s">
        <v>5</v>
      </c>
      <c r="D1063" s="1"/>
      <c r="E1063" s="34">
        <v>40.0</v>
      </c>
      <c r="F1063" s="34">
        <v>5527.0</v>
      </c>
      <c r="G1063" s="15">
        <v>75176.0</v>
      </c>
      <c r="H1063" s="16">
        <v>0.07352080451207832</v>
      </c>
      <c r="I1063" s="17">
        <v>5.1769314674896245</v>
      </c>
      <c r="J1063" s="16">
        <v>0.8500461396493386</v>
      </c>
      <c r="K1063" s="16">
        <v>1.691324694024478</v>
      </c>
      <c r="L1063" s="16">
        <v>0.075</v>
      </c>
      <c r="M1063" s="16">
        <v>0.1</v>
      </c>
      <c r="N1063" s="16">
        <v>0.25</v>
      </c>
      <c r="O1063" s="16">
        <v>0.075</v>
      </c>
      <c r="P1063" s="35">
        <v>46081.30262731481</v>
      </c>
    </row>
    <row r="1064">
      <c r="A1064" s="33">
        <v>46081.0</v>
      </c>
      <c r="B1064" s="1" t="s">
        <v>59</v>
      </c>
      <c r="C1064" s="3" t="s">
        <v>6</v>
      </c>
      <c r="D1064" s="1"/>
      <c r="E1064" s="34">
        <v>29.0</v>
      </c>
      <c r="F1064" s="34">
        <v>5205.0</v>
      </c>
      <c r="G1064" s="15">
        <v>425924.0</v>
      </c>
      <c r="H1064" s="16">
        <v>0.012220490040476704</v>
      </c>
      <c r="I1064" s="17">
        <v>4.415369878194232</v>
      </c>
      <c r="J1064" s="16">
        <v>1.1295572916666667</v>
      </c>
      <c r="K1064" s="16">
        <v>1.8933994807781216</v>
      </c>
      <c r="L1064" s="16">
        <v>0.034482758620689655</v>
      </c>
      <c r="M1064" s="16">
        <v>0.10344827586206896</v>
      </c>
      <c r="N1064" s="16">
        <v>0.5517241379310345</v>
      </c>
      <c r="O1064" s="16">
        <v>0.3448275862068966</v>
      </c>
      <c r="P1064" s="35">
        <v>46081.30262731481</v>
      </c>
    </row>
    <row r="1065">
      <c r="A1065" s="33">
        <v>46081.0</v>
      </c>
      <c r="B1065" s="1" t="s">
        <v>59</v>
      </c>
      <c r="C1065" s="3" t="s">
        <v>7</v>
      </c>
      <c r="D1065" s="1"/>
      <c r="E1065" s="34">
        <v>130.0</v>
      </c>
      <c r="F1065" s="34">
        <v>1558.0</v>
      </c>
      <c r="G1065" s="15">
        <v>343681.0</v>
      </c>
      <c r="H1065" s="16">
        <v>0.004533273588007484</v>
      </c>
      <c r="I1065" s="17">
        <v>3.9111501654150214</v>
      </c>
      <c r="J1065" s="16">
        <v>2.575206611570248</v>
      </c>
      <c r="K1065" s="16">
        <v>9.712069404018425</v>
      </c>
      <c r="L1065" s="16">
        <v>0.08461538461538462</v>
      </c>
      <c r="M1065" s="16">
        <v>0.5615384615384615</v>
      </c>
      <c r="N1065" s="16">
        <v>0.5076923076923077</v>
      </c>
      <c r="O1065" s="16">
        <v>0.2846153846153846</v>
      </c>
      <c r="P1065" s="35">
        <v>46081.30262731481</v>
      </c>
    </row>
    <row r="1066">
      <c r="A1066" s="33">
        <v>46081.0</v>
      </c>
      <c r="B1066" s="1" t="s">
        <v>59</v>
      </c>
      <c r="C1066" s="3" t="s">
        <v>8</v>
      </c>
      <c r="D1066" s="1"/>
      <c r="E1066" s="34">
        <v>119.0</v>
      </c>
      <c r="F1066" s="34">
        <v>1252.0</v>
      </c>
      <c r="G1066" s="15">
        <v>434816.0</v>
      </c>
      <c r="H1066" s="16">
        <v>0.0028793788637032675</v>
      </c>
      <c r="I1066" s="17">
        <v>4.947582425669709</v>
      </c>
      <c r="J1066" s="16">
        <v>1.0178861788617886</v>
      </c>
      <c r="K1066" s="16">
        <v>3.636619105765853</v>
      </c>
      <c r="L1066" s="16">
        <v>0.1092436974789916</v>
      </c>
      <c r="M1066" s="16">
        <v>0.6386554621848739</v>
      </c>
      <c r="N1066" s="16">
        <v>0.4789915966386555</v>
      </c>
      <c r="O1066" s="16">
        <v>0.226890756302521</v>
      </c>
      <c r="P1066" s="35">
        <v>46081.30262731481</v>
      </c>
    </row>
    <row r="1067">
      <c r="A1067" s="33">
        <v>46081.0</v>
      </c>
      <c r="B1067" s="1" t="s">
        <v>59</v>
      </c>
      <c r="C1067" s="3" t="s">
        <v>9</v>
      </c>
      <c r="D1067" s="1"/>
      <c r="E1067" s="34">
        <v>11.0</v>
      </c>
      <c r="F1067" s="34">
        <v>21.0</v>
      </c>
      <c r="G1067" s="15">
        <v>1061.0</v>
      </c>
      <c r="H1067" s="16">
        <v>0.019792648444863337</v>
      </c>
      <c r="I1067" s="17">
        <v>10.058435438265787</v>
      </c>
      <c r="J1067" s="16">
        <v>3.5</v>
      </c>
      <c r="K1067" s="16">
        <v>7.977443609022556</v>
      </c>
      <c r="L1067" s="16">
        <v>0.0</v>
      </c>
      <c r="M1067" s="16">
        <v>0.0</v>
      </c>
      <c r="N1067" s="16">
        <v>0.45454545454545453</v>
      </c>
      <c r="O1067" s="16">
        <v>0.09090909090909091</v>
      </c>
      <c r="P1067" s="35">
        <v>46081.30262731481</v>
      </c>
    </row>
    <row r="1068">
      <c r="A1068" s="33">
        <v>46081.0</v>
      </c>
      <c r="B1068" s="1" t="s">
        <v>59</v>
      </c>
      <c r="C1068" s="3" t="s">
        <v>10</v>
      </c>
      <c r="D1068" s="1"/>
      <c r="E1068" s="34">
        <v>76.0</v>
      </c>
      <c r="F1068" s="34">
        <v>3312.0</v>
      </c>
      <c r="G1068" s="15">
        <v>510385.0</v>
      </c>
      <c r="H1068" s="16">
        <v>0.006489218922969915</v>
      </c>
      <c r="I1068" s="17">
        <v>4.334617984462709</v>
      </c>
      <c r="J1068" s="16">
        <v>5.3076923076923075</v>
      </c>
      <c r="K1068" s="16">
        <v>7.210355301264392</v>
      </c>
      <c r="L1068" s="16">
        <v>0.013157894736842105</v>
      </c>
      <c r="M1068" s="16">
        <v>0.23684210526315788</v>
      </c>
      <c r="N1068" s="16">
        <v>0.27631578947368424</v>
      </c>
      <c r="O1068" s="16">
        <v>0.2631578947368421</v>
      </c>
      <c r="P1068" s="35">
        <v>46081.30262731481</v>
      </c>
    </row>
    <row r="1069">
      <c r="A1069" s="33">
        <v>46081.0</v>
      </c>
      <c r="B1069" s="1" t="s">
        <v>60</v>
      </c>
      <c r="D1069" s="1" t="s">
        <v>30</v>
      </c>
      <c r="E1069" s="34">
        <v>9.0</v>
      </c>
      <c r="F1069" s="34">
        <v>612.0</v>
      </c>
      <c r="G1069" s="15">
        <v>13841.0</v>
      </c>
      <c r="H1069" s="16">
        <v>0.04421645834838523</v>
      </c>
      <c r="I1069" s="17">
        <v>10.413264937504515</v>
      </c>
      <c r="J1069" s="16">
        <v>1.5</v>
      </c>
      <c r="K1069" s="16">
        <v>0.835607341221927</v>
      </c>
      <c r="L1069" s="16">
        <v>0.0</v>
      </c>
      <c r="M1069" s="16">
        <v>0.0</v>
      </c>
      <c r="N1069" s="16">
        <v>0.6666666666666666</v>
      </c>
      <c r="O1069" s="16">
        <v>0.3333333333333333</v>
      </c>
      <c r="P1069" s="35">
        <v>46081.30262731481</v>
      </c>
    </row>
    <row r="1070">
      <c r="A1070" s="33">
        <v>46081.0</v>
      </c>
      <c r="B1070" s="1" t="s">
        <v>60</v>
      </c>
      <c r="D1070" s="1" t="s">
        <v>31</v>
      </c>
      <c r="E1070" s="34">
        <v>63.0</v>
      </c>
      <c r="F1070" s="34">
        <v>266.0</v>
      </c>
      <c r="G1070" s="15">
        <v>7817.0</v>
      </c>
      <c r="H1070" s="16">
        <v>0.03402839964180632</v>
      </c>
      <c r="I1070" s="17">
        <v>9.282589228604325</v>
      </c>
      <c r="J1070" s="16">
        <v>2.062015503875969</v>
      </c>
      <c r="K1070" s="16">
        <v>0.8038872891814068</v>
      </c>
      <c r="L1070" s="16">
        <v>0.15873015873015872</v>
      </c>
      <c r="M1070" s="16">
        <v>0.1746031746031746</v>
      </c>
      <c r="N1070" s="16">
        <v>0.3968253968253968</v>
      </c>
      <c r="O1070" s="16">
        <v>0.19047619047619047</v>
      </c>
      <c r="P1070" s="35">
        <v>46081.30262731481</v>
      </c>
    </row>
    <row r="1071">
      <c r="A1071" s="33">
        <v>46081.0</v>
      </c>
      <c r="B1071" s="1" t="s">
        <v>60</v>
      </c>
      <c r="D1071" s="1" t="s">
        <v>32</v>
      </c>
      <c r="E1071" s="34">
        <v>562.0</v>
      </c>
      <c r="F1071" s="34">
        <v>19954.0</v>
      </c>
      <c r="G1071" s="15">
        <v>2014021.0</v>
      </c>
      <c r="H1071" s="16">
        <v>0.009907543168616414</v>
      </c>
      <c r="I1071" s="17">
        <v>4.408980343303273</v>
      </c>
      <c r="J1071" s="16">
        <v>1.3970454386333404</v>
      </c>
      <c r="K1071" s="16">
        <v>3.9061998153593125</v>
      </c>
      <c r="L1071" s="16">
        <v>0.05871886120996441</v>
      </c>
      <c r="M1071" s="16">
        <v>0.34519572953736655</v>
      </c>
      <c r="N1071" s="16">
        <v>0.44483985765124556</v>
      </c>
      <c r="O1071" s="16">
        <v>0.2206405693950178</v>
      </c>
      <c r="P1071" s="35">
        <v>46081.30262731481</v>
      </c>
    </row>
    <row r="1072">
      <c r="A1072" s="33">
        <v>46081.0</v>
      </c>
      <c r="B1072" s="1" t="s">
        <v>60</v>
      </c>
      <c r="D1072" s="1" t="s">
        <v>33</v>
      </c>
      <c r="E1072" s="34">
        <v>105.0</v>
      </c>
      <c r="F1072" s="34">
        <v>360.0</v>
      </c>
      <c r="G1072" s="15">
        <v>35714.0</v>
      </c>
      <c r="H1072" s="16">
        <v>0.010080080640645125</v>
      </c>
      <c r="I1072" s="17">
        <v>4.226437811502492</v>
      </c>
      <c r="J1072" s="16">
        <v>0.8888888888888888</v>
      </c>
      <c r="K1072" s="16">
        <v>3.4101021674782777</v>
      </c>
      <c r="L1072" s="16">
        <v>0.047619047619047616</v>
      </c>
      <c r="M1072" s="16">
        <v>0.06666666666666667</v>
      </c>
      <c r="N1072" s="16">
        <v>0.29523809523809524</v>
      </c>
      <c r="O1072" s="16">
        <v>0.0761904761904762</v>
      </c>
      <c r="P1072" s="35">
        <v>46081.30262731481</v>
      </c>
    </row>
    <row r="1073">
      <c r="A1073" s="33">
        <v>46081.0</v>
      </c>
      <c r="B1073" s="1" t="s">
        <v>60</v>
      </c>
      <c r="D1073" s="1" t="s">
        <v>34</v>
      </c>
      <c r="E1073" s="34">
        <v>89.0</v>
      </c>
      <c r="F1073" s="34">
        <v>25.0</v>
      </c>
      <c r="G1073" s="15">
        <v>1392.0</v>
      </c>
      <c r="H1073" s="16">
        <v>0.017959770114942528</v>
      </c>
      <c r="I1073" s="17">
        <v>7.9030172413793105</v>
      </c>
      <c r="J1073" s="16">
        <v>1.0416666666666667</v>
      </c>
      <c r="K1073" s="16">
        <v>0.6441462285978714</v>
      </c>
      <c r="L1073" s="16">
        <v>0.0449438202247191</v>
      </c>
      <c r="M1073" s="16">
        <v>0.0449438202247191</v>
      </c>
      <c r="N1073" s="16">
        <v>0.06741573033707865</v>
      </c>
      <c r="O1073" s="16">
        <v>0.06741573033707865</v>
      </c>
      <c r="P1073" s="35">
        <v>46081.30262731481</v>
      </c>
    </row>
    <row r="1074">
      <c r="A1074" s="33">
        <v>46082.0</v>
      </c>
      <c r="B1074" s="1" t="s">
        <v>57</v>
      </c>
      <c r="D1074" s="1"/>
      <c r="E1074" s="34">
        <v>1166.0</v>
      </c>
      <c r="F1074" s="34">
        <v>21138.0</v>
      </c>
      <c r="G1074" s="15">
        <v>2077199.0</v>
      </c>
      <c r="H1074" s="16">
        <v>0.010176203628058746</v>
      </c>
      <c r="I1074" s="17">
        <v>4.459210215294731</v>
      </c>
      <c r="J1074" s="16">
        <v>1.3812977847480885</v>
      </c>
      <c r="K1074" s="16">
        <v>3.6819063251111377</v>
      </c>
      <c r="L1074" s="16">
        <v>0.0548885077186964</v>
      </c>
      <c r="M1074" s="16">
        <v>0.19725557461406518</v>
      </c>
      <c r="N1074" s="16">
        <v>0.28987993138936535</v>
      </c>
      <c r="O1074" s="16">
        <v>0.1509433962264151</v>
      </c>
      <c r="P1074" s="35">
        <v>46082.30263888889</v>
      </c>
    </row>
    <row r="1075">
      <c r="A1075" s="33">
        <v>46082.0</v>
      </c>
      <c r="B1075" s="1" t="s">
        <v>58</v>
      </c>
      <c r="D1075" s="1"/>
      <c r="E1075" s="34">
        <v>828.0</v>
      </c>
      <c r="F1075" s="34">
        <v>21037.0</v>
      </c>
      <c r="G1075" s="15">
        <v>2074527.0</v>
      </c>
      <c r="H1075" s="16">
        <v>0.01014062482676774</v>
      </c>
      <c r="I1075" s="17">
        <v>4.4572367580658145</v>
      </c>
      <c r="J1075" s="16">
        <v>1.3856540640231854</v>
      </c>
      <c r="K1075" s="16">
        <v>3.7455192473310475</v>
      </c>
      <c r="L1075" s="16">
        <v>0.0640096618357488</v>
      </c>
      <c r="M1075" s="16">
        <v>0.2644927536231884</v>
      </c>
      <c r="N1075" s="16">
        <v>0.3864734299516908</v>
      </c>
      <c r="O1075" s="16">
        <v>0.18840579710144928</v>
      </c>
      <c r="P1075" s="35">
        <v>46082.30263888889</v>
      </c>
    </row>
    <row r="1076">
      <c r="A1076" s="33">
        <v>46082.0</v>
      </c>
      <c r="B1076" s="1" t="s">
        <v>59</v>
      </c>
      <c r="C1076" s="3" t="s">
        <v>2</v>
      </c>
      <c r="D1076" s="1"/>
      <c r="E1076" s="34">
        <v>133.0</v>
      </c>
      <c r="F1076" s="34">
        <v>1455.0</v>
      </c>
      <c r="G1076" s="15">
        <v>154409.0</v>
      </c>
      <c r="H1076" s="16">
        <v>0.009423025859891587</v>
      </c>
      <c r="I1076" s="17">
        <v>3.994352660790498</v>
      </c>
      <c r="J1076" s="16">
        <v>5.034602076124568</v>
      </c>
      <c r="K1076" s="16">
        <v>8.522408654376862</v>
      </c>
      <c r="L1076" s="16">
        <v>0.06015037593984962</v>
      </c>
      <c r="M1076" s="16">
        <v>0.09774436090225563</v>
      </c>
      <c r="N1076" s="16">
        <v>0.3082706766917293</v>
      </c>
      <c r="O1076" s="16">
        <v>0.13533834586466165</v>
      </c>
      <c r="P1076" s="35">
        <v>46082.30263888889</v>
      </c>
    </row>
    <row r="1077">
      <c r="A1077" s="33">
        <v>46082.0</v>
      </c>
      <c r="B1077" s="1" t="s">
        <v>59</v>
      </c>
      <c r="C1077" s="1" t="s">
        <v>3</v>
      </c>
      <c r="D1077" s="1"/>
      <c r="E1077" s="34">
        <v>185.0</v>
      </c>
      <c r="F1077" s="34">
        <v>1455.0</v>
      </c>
      <c r="G1077" s="15">
        <v>70592.0</v>
      </c>
      <c r="H1077" s="16">
        <v>0.020611400725294653</v>
      </c>
      <c r="I1077" s="17">
        <v>5.759080349048051</v>
      </c>
      <c r="J1077" s="16">
        <v>2.0815450643776825</v>
      </c>
      <c r="K1077" s="16">
        <v>3.5402206619859578</v>
      </c>
      <c r="L1077" s="16">
        <v>0.03783783783783784</v>
      </c>
      <c r="M1077" s="16">
        <v>0.07567567567567568</v>
      </c>
      <c r="N1077" s="16">
        <v>0.3945945945945946</v>
      </c>
      <c r="O1077" s="16">
        <v>0.14054054054054055</v>
      </c>
      <c r="P1077" s="35">
        <v>46082.30263888889</v>
      </c>
    </row>
    <row r="1078">
      <c r="A1078" s="33">
        <v>46082.0</v>
      </c>
      <c r="B1078" s="1" t="s">
        <v>59</v>
      </c>
      <c r="C1078" s="3" t="s">
        <v>4</v>
      </c>
      <c r="D1078" s="1"/>
      <c r="E1078" s="34">
        <v>105.0</v>
      </c>
      <c r="F1078" s="34">
        <v>1445.0</v>
      </c>
      <c r="G1078" s="15">
        <v>58324.0</v>
      </c>
      <c r="H1078" s="16">
        <v>0.024775392634250052</v>
      </c>
      <c r="I1078" s="17">
        <v>4.247085247925383</v>
      </c>
      <c r="J1078" s="16">
        <v>2.1002906976744184</v>
      </c>
      <c r="K1078" s="16">
        <v>2.746726947348592</v>
      </c>
      <c r="L1078" s="16">
        <v>0.08571428571428572</v>
      </c>
      <c r="M1078" s="16">
        <v>0.14285714285714285</v>
      </c>
      <c r="N1078" s="16">
        <v>0.2761904761904762</v>
      </c>
      <c r="O1078" s="16">
        <v>0.13333333333333333</v>
      </c>
      <c r="P1078" s="35">
        <v>46082.30263888889</v>
      </c>
    </row>
    <row r="1079">
      <c r="A1079" s="33">
        <v>46082.0</v>
      </c>
      <c r="B1079" s="1" t="s">
        <v>59</v>
      </c>
      <c r="C1079" s="3" t="s">
        <v>5</v>
      </c>
      <c r="D1079" s="1"/>
      <c r="E1079" s="34">
        <v>40.0</v>
      </c>
      <c r="F1079" s="34">
        <v>5412.0</v>
      </c>
      <c r="G1079" s="15">
        <v>75050.0</v>
      </c>
      <c r="H1079" s="16">
        <v>0.07211192538307795</v>
      </c>
      <c r="I1079" s="17">
        <v>5.189780146568954</v>
      </c>
      <c r="J1079" s="16">
        <v>0.8372524752475248</v>
      </c>
      <c r="K1079" s="16">
        <v>1.6897064121037464</v>
      </c>
      <c r="L1079" s="16">
        <v>0.075</v>
      </c>
      <c r="M1079" s="16">
        <v>0.1</v>
      </c>
      <c r="N1079" s="16">
        <v>0.25</v>
      </c>
      <c r="O1079" s="16">
        <v>0.075</v>
      </c>
      <c r="P1079" s="35">
        <v>46082.30263888889</v>
      </c>
    </row>
    <row r="1080">
      <c r="A1080" s="33">
        <v>46082.0</v>
      </c>
      <c r="B1080" s="1" t="s">
        <v>59</v>
      </c>
      <c r="C1080" s="3" t="s">
        <v>6</v>
      </c>
      <c r="D1080" s="1"/>
      <c r="E1080" s="34">
        <v>29.0</v>
      </c>
      <c r="F1080" s="34">
        <v>5206.0</v>
      </c>
      <c r="G1080" s="15">
        <v>426819.0</v>
      </c>
      <c r="H1080" s="16">
        <v>0.01219720771568276</v>
      </c>
      <c r="I1080" s="17">
        <v>4.406928932404602</v>
      </c>
      <c r="J1080" s="16">
        <v>1.1354416575790622</v>
      </c>
      <c r="K1080" s="16">
        <v>1.9017657831067625</v>
      </c>
      <c r="L1080" s="16">
        <v>0.034482758620689655</v>
      </c>
      <c r="M1080" s="16">
        <v>0.10344827586206896</v>
      </c>
      <c r="N1080" s="16">
        <v>0.5517241379310345</v>
      </c>
      <c r="O1080" s="16">
        <v>0.3448275862068966</v>
      </c>
      <c r="P1080" s="35">
        <v>46082.30263888889</v>
      </c>
    </row>
    <row r="1081">
      <c r="A1081" s="33">
        <v>46082.0</v>
      </c>
      <c r="B1081" s="1" t="s">
        <v>59</v>
      </c>
      <c r="C1081" s="3" t="s">
        <v>7</v>
      </c>
      <c r="D1081" s="1"/>
      <c r="E1081" s="34">
        <v>130.0</v>
      </c>
      <c r="F1081" s="34">
        <v>1537.0</v>
      </c>
      <c r="G1081" s="15">
        <v>345216.0</v>
      </c>
      <c r="H1081" s="16">
        <v>0.0044522849462365595</v>
      </c>
      <c r="I1081" s="17">
        <v>3.903973164627364</v>
      </c>
      <c r="J1081" s="16">
        <v>2.5659432387312187</v>
      </c>
      <c r="K1081" s="16">
        <v>9.763724297875951</v>
      </c>
      <c r="L1081" s="16">
        <v>0.09230769230769231</v>
      </c>
      <c r="M1081" s="16">
        <v>0.5769230769230769</v>
      </c>
      <c r="N1081" s="16">
        <v>0.5307692307692308</v>
      </c>
      <c r="O1081" s="16">
        <v>0.2846153846153846</v>
      </c>
      <c r="P1081" s="35">
        <v>46082.30263888889</v>
      </c>
    </row>
    <row r="1082">
      <c r="A1082" s="33">
        <v>46082.0</v>
      </c>
      <c r="B1082" s="1" t="s">
        <v>59</v>
      </c>
      <c r="C1082" s="3" t="s">
        <v>8</v>
      </c>
      <c r="D1082" s="1"/>
      <c r="E1082" s="34">
        <v>119.0</v>
      </c>
      <c r="F1082" s="34">
        <v>1249.0</v>
      </c>
      <c r="G1082" s="15">
        <v>434840.0</v>
      </c>
      <c r="H1082" s="16">
        <v>0.0028723208536473185</v>
      </c>
      <c r="I1082" s="17">
        <v>4.944200165578144</v>
      </c>
      <c r="J1082" s="16">
        <v>1.016273393002441</v>
      </c>
      <c r="K1082" s="16">
        <v>3.657252434860132</v>
      </c>
      <c r="L1082" s="16">
        <v>0.10084033613445378</v>
      </c>
      <c r="M1082" s="16">
        <v>0.6302521008403361</v>
      </c>
      <c r="N1082" s="16">
        <v>0.48739495798319327</v>
      </c>
      <c r="O1082" s="16">
        <v>0.21008403361344538</v>
      </c>
      <c r="P1082" s="35">
        <v>46082.30263888889</v>
      </c>
    </row>
    <row r="1083">
      <c r="A1083" s="33">
        <v>46082.0</v>
      </c>
      <c r="B1083" s="1" t="s">
        <v>59</v>
      </c>
      <c r="C1083" s="3" t="s">
        <v>9</v>
      </c>
      <c r="D1083" s="1"/>
      <c r="E1083" s="34">
        <v>11.0</v>
      </c>
      <c r="F1083" s="34">
        <v>21.0</v>
      </c>
      <c r="G1083" s="15">
        <v>1102.0</v>
      </c>
      <c r="H1083" s="16">
        <v>0.019056261343012703</v>
      </c>
      <c r="I1083" s="17">
        <v>9.93557168784029</v>
      </c>
      <c r="J1083" s="16">
        <v>2.625</v>
      </c>
      <c r="K1083" s="16">
        <v>8.102941176470589</v>
      </c>
      <c r="L1083" s="16">
        <v>0.0</v>
      </c>
      <c r="M1083" s="16">
        <v>0.0</v>
      </c>
      <c r="N1083" s="16">
        <v>0.45454545454545453</v>
      </c>
      <c r="O1083" s="16">
        <v>0.09090909090909091</v>
      </c>
      <c r="P1083" s="35">
        <v>46082.30263888889</v>
      </c>
    </row>
    <row r="1084">
      <c r="A1084" s="33">
        <v>46082.0</v>
      </c>
      <c r="B1084" s="1" t="s">
        <v>59</v>
      </c>
      <c r="C1084" s="3" t="s">
        <v>10</v>
      </c>
      <c r="D1084" s="1"/>
      <c r="E1084" s="34">
        <v>76.0</v>
      </c>
      <c r="F1084" s="34">
        <v>3257.0</v>
      </c>
      <c r="G1084" s="15">
        <v>508175.0</v>
      </c>
      <c r="H1084" s="16">
        <v>0.006409209425886752</v>
      </c>
      <c r="I1084" s="17">
        <v>4.322505042554238</v>
      </c>
      <c r="J1084" s="16">
        <v>5.244766505636071</v>
      </c>
      <c r="K1084" s="16">
        <v>7.1235824326786945</v>
      </c>
      <c r="L1084" s="16">
        <v>0.013157894736842105</v>
      </c>
      <c r="M1084" s="16">
        <v>0.2631578947368421</v>
      </c>
      <c r="N1084" s="16">
        <v>0.25</v>
      </c>
      <c r="O1084" s="16">
        <v>0.2894736842105263</v>
      </c>
      <c r="P1084" s="35">
        <v>46082.30263888889</v>
      </c>
    </row>
    <row r="1085">
      <c r="A1085" s="33">
        <v>46082.0</v>
      </c>
      <c r="B1085" s="1" t="s">
        <v>60</v>
      </c>
      <c r="D1085" s="1" t="s">
        <v>30</v>
      </c>
      <c r="E1085" s="34">
        <v>9.0</v>
      </c>
      <c r="F1085" s="34">
        <v>615.0</v>
      </c>
      <c r="G1085" s="15">
        <v>13866.0</v>
      </c>
      <c r="H1085" s="16">
        <v>0.04435309389874513</v>
      </c>
      <c r="I1085" s="17">
        <v>10.342059714409347</v>
      </c>
      <c r="J1085" s="16">
        <v>1.5</v>
      </c>
      <c r="K1085" s="16">
        <v>0.8378754003263037</v>
      </c>
      <c r="L1085" s="16">
        <v>0.0</v>
      </c>
      <c r="M1085" s="16">
        <v>0.0</v>
      </c>
      <c r="N1085" s="16">
        <v>0.7777777777777778</v>
      </c>
      <c r="O1085" s="16">
        <v>0.2222222222222222</v>
      </c>
      <c r="P1085" s="35">
        <v>46082.30263888889</v>
      </c>
    </row>
    <row r="1086">
      <c r="A1086" s="33">
        <v>46082.0</v>
      </c>
      <c r="B1086" s="1" t="s">
        <v>60</v>
      </c>
      <c r="D1086" s="1" t="s">
        <v>31</v>
      </c>
      <c r="E1086" s="34">
        <v>63.0</v>
      </c>
      <c r="F1086" s="34">
        <v>266.0</v>
      </c>
      <c r="G1086" s="15">
        <v>7826.0</v>
      </c>
      <c r="H1086" s="16">
        <v>0.03398926654740608</v>
      </c>
      <c r="I1086" s="17">
        <v>9.274086378737541</v>
      </c>
      <c r="J1086" s="16">
        <v>2.062015503875969</v>
      </c>
      <c r="K1086" s="16">
        <v>0.8122470160871822</v>
      </c>
      <c r="L1086" s="16">
        <v>0.15873015873015872</v>
      </c>
      <c r="M1086" s="16">
        <v>0.1746031746031746</v>
      </c>
      <c r="N1086" s="16">
        <v>0.42857142857142855</v>
      </c>
      <c r="O1086" s="16">
        <v>0.19047619047619047</v>
      </c>
      <c r="P1086" s="35">
        <v>46082.30263888889</v>
      </c>
    </row>
    <row r="1087">
      <c r="A1087" s="33">
        <v>46082.0</v>
      </c>
      <c r="B1087" s="1" t="s">
        <v>60</v>
      </c>
      <c r="D1087" s="1" t="s">
        <v>32</v>
      </c>
      <c r="E1087" s="34">
        <v>562.0</v>
      </c>
      <c r="F1087" s="34">
        <v>19774.0</v>
      </c>
      <c r="G1087" s="15">
        <v>2015762.0</v>
      </c>
      <c r="H1087" s="16">
        <v>0.009809689834414976</v>
      </c>
      <c r="I1087" s="17">
        <v>4.399628031483876</v>
      </c>
      <c r="J1087" s="16">
        <v>1.39155524278677</v>
      </c>
      <c r="K1087" s="16">
        <v>3.914496220977652</v>
      </c>
      <c r="L1087" s="16">
        <v>0.06227758007117438</v>
      </c>
      <c r="M1087" s="16">
        <v>0.3487544483985765</v>
      </c>
      <c r="N1087" s="16">
        <v>0.4430604982206406</v>
      </c>
      <c r="O1087" s="16">
        <v>0.22597864768683273</v>
      </c>
      <c r="P1087" s="35">
        <v>46082.30263888889</v>
      </c>
    </row>
    <row r="1088">
      <c r="A1088" s="33">
        <v>46082.0</v>
      </c>
      <c r="B1088" s="1" t="s">
        <v>60</v>
      </c>
      <c r="D1088" s="1" t="s">
        <v>33</v>
      </c>
      <c r="E1088" s="34">
        <v>105.0</v>
      </c>
      <c r="F1088" s="34">
        <v>357.0</v>
      </c>
      <c r="G1088" s="15">
        <v>35669.0</v>
      </c>
      <c r="H1088" s="16">
        <v>0.010008691020213631</v>
      </c>
      <c r="I1088" s="17">
        <v>4.236591998654293</v>
      </c>
      <c r="J1088" s="16">
        <v>0.8728606356968215</v>
      </c>
      <c r="K1088" s="16">
        <v>3.3624622926093513</v>
      </c>
      <c r="L1088" s="16">
        <v>0.0380952380952381</v>
      </c>
      <c r="M1088" s="16">
        <v>0.0761904761904762</v>
      </c>
      <c r="N1088" s="16">
        <v>0.29523809523809524</v>
      </c>
      <c r="O1088" s="16">
        <v>0.08571428571428572</v>
      </c>
      <c r="P1088" s="35">
        <v>46082.30263888889</v>
      </c>
    </row>
    <row r="1089">
      <c r="A1089" s="33">
        <v>46082.0</v>
      </c>
      <c r="B1089" s="1" t="s">
        <v>60</v>
      </c>
      <c r="D1089" s="1" t="s">
        <v>34</v>
      </c>
      <c r="E1089" s="34">
        <v>89.0</v>
      </c>
      <c r="F1089" s="34">
        <v>25.0</v>
      </c>
      <c r="G1089" s="15">
        <v>1404.0</v>
      </c>
      <c r="H1089" s="16">
        <v>0.017806267806267807</v>
      </c>
      <c r="I1089" s="17">
        <v>7.804843304843305</v>
      </c>
      <c r="J1089" s="16">
        <v>1.0416666666666667</v>
      </c>
      <c r="K1089" s="16">
        <v>0.6594645373414749</v>
      </c>
      <c r="L1089" s="16">
        <v>0.0449438202247191</v>
      </c>
      <c r="M1089" s="16">
        <v>0.0449438202247191</v>
      </c>
      <c r="N1089" s="16">
        <v>0.06741573033707865</v>
      </c>
      <c r="O1089" s="16">
        <v>0.06741573033707865</v>
      </c>
      <c r="P1089" s="35">
        <v>46082.30263888889</v>
      </c>
    </row>
    <row r="1090">
      <c r="A1090" s="33">
        <v>46083.0</v>
      </c>
      <c r="B1090" s="1" t="s">
        <v>57</v>
      </c>
      <c r="D1090" s="1"/>
      <c r="E1090" s="34">
        <v>1166.0</v>
      </c>
      <c r="F1090" s="34">
        <v>20990.0</v>
      </c>
      <c r="G1090" s="15">
        <v>2062327.0</v>
      </c>
      <c r="H1090" s="16">
        <v>0.010177823400459772</v>
      </c>
      <c r="I1090" s="17">
        <v>4.45462092093058</v>
      </c>
      <c r="J1090" s="16">
        <v>1.3869433064622705</v>
      </c>
      <c r="K1090" s="16">
        <v>3.673438234749277</v>
      </c>
      <c r="L1090" s="16">
        <v>0.0548885077186964</v>
      </c>
      <c r="M1090" s="16">
        <v>0.1946826758147513</v>
      </c>
      <c r="N1090" s="16">
        <v>0.29416809605488853</v>
      </c>
      <c r="O1090" s="16">
        <v>0.14493996569468268</v>
      </c>
      <c r="P1090" s="35">
        <v>46083.30260416667</v>
      </c>
    </row>
    <row r="1091">
      <c r="A1091" s="33">
        <v>46083.0</v>
      </c>
      <c r="B1091" s="1" t="s">
        <v>58</v>
      </c>
      <c r="D1091" s="1"/>
      <c r="E1091" s="34">
        <v>828.0</v>
      </c>
      <c r="F1091" s="34">
        <v>20884.0</v>
      </c>
      <c r="G1091" s="15">
        <v>2059659.0</v>
      </c>
      <c r="H1091" s="16">
        <v>0.010139542516503945</v>
      </c>
      <c r="I1091" s="17">
        <v>4.452596279287008</v>
      </c>
      <c r="J1091" s="16">
        <v>1.3911537436717294</v>
      </c>
      <c r="K1091" s="16">
        <v>3.737244541540181</v>
      </c>
      <c r="L1091" s="16">
        <v>0.0640096618357488</v>
      </c>
      <c r="M1091" s="16">
        <v>0.2608695652173913</v>
      </c>
      <c r="N1091" s="16">
        <v>0.391304347826087</v>
      </c>
      <c r="O1091" s="16">
        <v>0.17995169082125603</v>
      </c>
      <c r="P1091" s="35">
        <v>46083.30260416667</v>
      </c>
    </row>
    <row r="1092">
      <c r="A1092" s="33">
        <v>46083.0</v>
      </c>
      <c r="B1092" s="1" t="s">
        <v>59</v>
      </c>
      <c r="C1092" s="3" t="s">
        <v>2</v>
      </c>
      <c r="D1092" s="1"/>
      <c r="E1092" s="34">
        <v>133.0</v>
      </c>
      <c r="F1092" s="34">
        <v>1447.0</v>
      </c>
      <c r="G1092" s="15">
        <v>154071.0</v>
      </c>
      <c r="H1092" s="16">
        <v>0.009391773922412394</v>
      </c>
      <c r="I1092" s="17">
        <v>3.982215991328673</v>
      </c>
      <c r="J1092" s="16">
        <v>5.113074204946996</v>
      </c>
      <c r="K1092" s="16">
        <v>8.50703992049031</v>
      </c>
      <c r="L1092" s="16">
        <v>0.06766917293233082</v>
      </c>
      <c r="M1092" s="16">
        <v>0.10526315789473684</v>
      </c>
      <c r="N1092" s="16">
        <v>0.2932330827067669</v>
      </c>
      <c r="O1092" s="16">
        <v>0.13533834586466165</v>
      </c>
      <c r="P1092" s="35">
        <v>46083.30260416667</v>
      </c>
    </row>
    <row r="1093">
      <c r="A1093" s="33">
        <v>46083.0</v>
      </c>
      <c r="B1093" s="1" t="s">
        <v>59</v>
      </c>
      <c r="C1093" s="1" t="s">
        <v>3</v>
      </c>
      <c r="D1093" s="1"/>
      <c r="E1093" s="34">
        <v>185.0</v>
      </c>
      <c r="F1093" s="34">
        <v>1456.0</v>
      </c>
      <c r="G1093" s="15">
        <v>70551.0</v>
      </c>
      <c r="H1093" s="16">
        <v>0.020637552975861433</v>
      </c>
      <c r="I1093" s="17">
        <v>5.749755496024153</v>
      </c>
      <c r="J1093" s="16">
        <v>2.0919540229885056</v>
      </c>
      <c r="K1093" s="16">
        <v>3.5497358490566038</v>
      </c>
      <c r="L1093" s="16">
        <v>0.03783783783783784</v>
      </c>
      <c r="M1093" s="16">
        <v>0.06486486486486487</v>
      </c>
      <c r="N1093" s="16">
        <v>0.3891891891891892</v>
      </c>
      <c r="O1093" s="16">
        <v>0.14594594594594595</v>
      </c>
      <c r="P1093" s="35">
        <v>46083.30260416667</v>
      </c>
    </row>
    <row r="1094">
      <c r="A1094" s="33">
        <v>46083.0</v>
      </c>
      <c r="B1094" s="1" t="s">
        <v>59</v>
      </c>
      <c r="C1094" s="3" t="s">
        <v>4</v>
      </c>
      <c r="D1094" s="1"/>
      <c r="E1094" s="34">
        <v>105.0</v>
      </c>
      <c r="F1094" s="34">
        <v>1476.0</v>
      </c>
      <c r="G1094" s="15">
        <v>58249.0</v>
      </c>
      <c r="H1094" s="16">
        <v>0.02533949080670913</v>
      </c>
      <c r="I1094" s="17">
        <v>4.286580027124929</v>
      </c>
      <c r="J1094" s="16">
        <v>2.148471615720524</v>
      </c>
      <c r="K1094" s="16">
        <v>2.7238251110591536</v>
      </c>
      <c r="L1094" s="16">
        <v>0.0761904761904762</v>
      </c>
      <c r="M1094" s="16">
        <v>0.13333333333333333</v>
      </c>
      <c r="N1094" s="16">
        <v>0.2857142857142857</v>
      </c>
      <c r="O1094" s="16">
        <v>0.12380952380952381</v>
      </c>
      <c r="P1094" s="35">
        <v>46083.30260416667</v>
      </c>
    </row>
    <row r="1095">
      <c r="A1095" s="33">
        <v>46083.0</v>
      </c>
      <c r="B1095" s="1" t="s">
        <v>59</v>
      </c>
      <c r="C1095" s="3" t="s">
        <v>5</v>
      </c>
      <c r="D1095" s="1"/>
      <c r="E1095" s="34">
        <v>40.0</v>
      </c>
      <c r="F1095" s="34">
        <v>5266.0</v>
      </c>
      <c r="G1095" s="15">
        <v>74105.0</v>
      </c>
      <c r="H1095" s="16">
        <v>0.07106133189393428</v>
      </c>
      <c r="I1095" s="17">
        <v>5.192901963430268</v>
      </c>
      <c r="J1095" s="16">
        <v>0.8231983742379241</v>
      </c>
      <c r="K1095" s="16">
        <v>1.6842811036865313</v>
      </c>
      <c r="L1095" s="16">
        <v>0.075</v>
      </c>
      <c r="M1095" s="16">
        <v>0.075</v>
      </c>
      <c r="N1095" s="16">
        <v>0.25</v>
      </c>
      <c r="O1095" s="16">
        <v>0.075</v>
      </c>
      <c r="P1095" s="35">
        <v>46083.30260416667</v>
      </c>
    </row>
    <row r="1096">
      <c r="A1096" s="33">
        <v>46083.0</v>
      </c>
      <c r="B1096" s="1" t="s">
        <v>59</v>
      </c>
      <c r="C1096" s="3" t="s">
        <v>6</v>
      </c>
      <c r="D1096" s="1"/>
      <c r="E1096" s="34">
        <v>29.0</v>
      </c>
      <c r="F1096" s="34">
        <v>5197.0</v>
      </c>
      <c r="G1096" s="15">
        <v>424105.0</v>
      </c>
      <c r="H1096" s="16">
        <v>0.012254040862522252</v>
      </c>
      <c r="I1096" s="17">
        <v>4.392497141038186</v>
      </c>
      <c r="J1096" s="16">
        <v>1.1495244414952444</v>
      </c>
      <c r="K1096" s="16">
        <v>1.9018843725335437</v>
      </c>
      <c r="L1096" s="16">
        <v>0.034482758620689655</v>
      </c>
      <c r="M1096" s="16">
        <v>0.10344827586206896</v>
      </c>
      <c r="N1096" s="16">
        <v>0.5517241379310345</v>
      </c>
      <c r="O1096" s="16">
        <v>0.3448275862068966</v>
      </c>
      <c r="P1096" s="35">
        <v>46083.30260416667</v>
      </c>
    </row>
    <row r="1097">
      <c r="A1097" s="33">
        <v>46083.0</v>
      </c>
      <c r="B1097" s="1" t="s">
        <v>59</v>
      </c>
      <c r="C1097" s="3" t="s">
        <v>7</v>
      </c>
      <c r="D1097" s="1"/>
      <c r="E1097" s="34">
        <v>130.0</v>
      </c>
      <c r="F1097" s="34">
        <v>1535.0</v>
      </c>
      <c r="G1097" s="15">
        <v>343675.0</v>
      </c>
      <c r="H1097" s="16">
        <v>0.004466429039063068</v>
      </c>
      <c r="I1097" s="17">
        <v>3.9003738997599475</v>
      </c>
      <c r="J1097" s="16">
        <v>2.5972927241962775</v>
      </c>
      <c r="K1097" s="16">
        <v>9.785734624145785</v>
      </c>
      <c r="L1097" s="16">
        <v>0.09230769230769231</v>
      </c>
      <c r="M1097" s="16">
        <v>0.5846153846153846</v>
      </c>
      <c r="N1097" s="16">
        <v>0.5230769230769231</v>
      </c>
      <c r="O1097" s="16">
        <v>0.2923076923076923</v>
      </c>
      <c r="P1097" s="35">
        <v>46083.30260416667</v>
      </c>
    </row>
    <row r="1098">
      <c r="A1098" s="33">
        <v>46083.0</v>
      </c>
      <c r="B1098" s="1" t="s">
        <v>59</v>
      </c>
      <c r="C1098" s="3" t="s">
        <v>8</v>
      </c>
      <c r="D1098" s="1"/>
      <c r="E1098" s="34">
        <v>119.0</v>
      </c>
      <c r="F1098" s="34">
        <v>1256.0</v>
      </c>
      <c r="G1098" s="15">
        <v>432275.0</v>
      </c>
      <c r="H1098" s="16">
        <v>0.002905557804638251</v>
      </c>
      <c r="I1098" s="17">
        <v>4.954429471979642</v>
      </c>
      <c r="J1098" s="16">
        <v>1.0363036303630364</v>
      </c>
      <c r="K1098" s="16">
        <v>3.666454622561493</v>
      </c>
      <c r="L1098" s="16">
        <v>0.10084033613445378</v>
      </c>
      <c r="M1098" s="16">
        <v>0.6302521008403361</v>
      </c>
      <c r="N1098" s="16">
        <v>0.5294117647058824</v>
      </c>
      <c r="O1098" s="16">
        <v>0.16806722689075632</v>
      </c>
      <c r="P1098" s="35">
        <v>46083.30260416667</v>
      </c>
    </row>
    <row r="1099">
      <c r="A1099" s="33">
        <v>46083.0</v>
      </c>
      <c r="B1099" s="1" t="s">
        <v>59</v>
      </c>
      <c r="C1099" s="3" t="s">
        <v>9</v>
      </c>
      <c r="D1099" s="1"/>
      <c r="E1099" s="34">
        <v>11.0</v>
      </c>
      <c r="F1099" s="34">
        <v>20.0</v>
      </c>
      <c r="G1099" s="15">
        <v>1123.0</v>
      </c>
      <c r="H1099" s="16">
        <v>0.017809439002671415</v>
      </c>
      <c r="I1099" s="17">
        <v>9.990204808548532</v>
      </c>
      <c r="J1099" s="16">
        <v>2.5</v>
      </c>
      <c r="K1099" s="16">
        <v>8.318518518518518</v>
      </c>
      <c r="L1099" s="16">
        <v>0.0</v>
      </c>
      <c r="M1099" s="16">
        <v>0.0</v>
      </c>
      <c r="N1099" s="16">
        <v>0.36363636363636365</v>
      </c>
      <c r="O1099" s="16">
        <v>0.09090909090909091</v>
      </c>
      <c r="P1099" s="35">
        <v>46083.30260416667</v>
      </c>
    </row>
    <row r="1100">
      <c r="A1100" s="33">
        <v>46083.0</v>
      </c>
      <c r="B1100" s="1" t="s">
        <v>59</v>
      </c>
      <c r="C1100" s="3" t="s">
        <v>10</v>
      </c>
      <c r="D1100" s="1"/>
      <c r="E1100" s="34">
        <v>76.0</v>
      </c>
      <c r="F1100" s="34">
        <v>3231.0</v>
      </c>
      <c r="G1100" s="15">
        <v>501505.0</v>
      </c>
      <c r="H1100" s="16">
        <v>0.006442607750670482</v>
      </c>
      <c r="I1100" s="17">
        <v>4.308810480453834</v>
      </c>
      <c r="J1100" s="16">
        <v>5.236628849270664</v>
      </c>
      <c r="K1100" s="16">
        <v>7.004161953045348</v>
      </c>
      <c r="L1100" s="16">
        <v>0.013157894736842105</v>
      </c>
      <c r="M1100" s="16">
        <v>0.25</v>
      </c>
      <c r="N1100" s="16">
        <v>0.2894736842105263</v>
      </c>
      <c r="O1100" s="16">
        <v>0.25</v>
      </c>
      <c r="P1100" s="35">
        <v>46083.30260416667</v>
      </c>
    </row>
    <row r="1101">
      <c r="A1101" s="33">
        <v>46083.0</v>
      </c>
      <c r="B1101" s="1" t="s">
        <v>60</v>
      </c>
      <c r="D1101" s="1" t="s">
        <v>30</v>
      </c>
      <c r="E1101" s="34">
        <v>9.0</v>
      </c>
      <c r="F1101" s="34">
        <v>620.0</v>
      </c>
      <c r="G1101" s="15">
        <v>13797.0</v>
      </c>
      <c r="H1101" s="16">
        <v>0.04493730521127781</v>
      </c>
      <c r="I1101" s="17">
        <v>10.364354569834022</v>
      </c>
      <c r="J1101" s="16">
        <v>1.5048543689320388</v>
      </c>
      <c r="K1101" s="16">
        <v>0.8322475570032574</v>
      </c>
      <c r="L1101" s="16">
        <v>0.0</v>
      </c>
      <c r="M1101" s="16">
        <v>0.0</v>
      </c>
      <c r="N1101" s="16">
        <v>0.6666666666666666</v>
      </c>
      <c r="O1101" s="16">
        <v>0.3333333333333333</v>
      </c>
      <c r="P1101" s="35">
        <v>46083.30260416667</v>
      </c>
    </row>
    <row r="1102">
      <c r="A1102" s="33">
        <v>46083.0</v>
      </c>
      <c r="B1102" s="1" t="s">
        <v>60</v>
      </c>
      <c r="D1102" s="1" t="s">
        <v>31</v>
      </c>
      <c r="E1102" s="34">
        <v>63.0</v>
      </c>
      <c r="F1102" s="34">
        <v>265.0</v>
      </c>
      <c r="G1102" s="15">
        <v>7808.0</v>
      </c>
      <c r="H1102" s="16">
        <v>0.03393954918032787</v>
      </c>
      <c r="I1102" s="17">
        <v>9.371926229508198</v>
      </c>
      <c r="J1102" s="16">
        <v>2.154471544715447</v>
      </c>
      <c r="K1102" s="16">
        <v>0.8167364016736401</v>
      </c>
      <c r="L1102" s="16">
        <v>0.15873015873015872</v>
      </c>
      <c r="M1102" s="16">
        <v>0.1746031746031746</v>
      </c>
      <c r="N1102" s="16">
        <v>0.4126984126984127</v>
      </c>
      <c r="O1102" s="16">
        <v>0.1746031746031746</v>
      </c>
      <c r="P1102" s="35">
        <v>46083.30260416667</v>
      </c>
    </row>
    <row r="1103">
      <c r="A1103" s="33">
        <v>46083.0</v>
      </c>
      <c r="B1103" s="1" t="s">
        <v>60</v>
      </c>
      <c r="D1103" s="1" t="s">
        <v>32</v>
      </c>
      <c r="E1103" s="34">
        <v>562.0</v>
      </c>
      <c r="F1103" s="34">
        <v>19620.0</v>
      </c>
      <c r="G1103" s="15">
        <v>2001357.0</v>
      </c>
      <c r="H1103" s="16">
        <v>0.00980334842809154</v>
      </c>
      <c r="I1103" s="17">
        <v>4.393760833274623</v>
      </c>
      <c r="J1103" s="16">
        <v>1.3971373638111515</v>
      </c>
      <c r="K1103" s="16">
        <v>3.9077708006279437</v>
      </c>
      <c r="L1103" s="16">
        <v>0.06405693950177936</v>
      </c>
      <c r="M1103" s="16">
        <v>0.34519572953736655</v>
      </c>
      <c r="N1103" s="16">
        <v>0.45373665480427045</v>
      </c>
      <c r="O1103" s="16">
        <v>0.21352313167259787</v>
      </c>
      <c r="P1103" s="35">
        <v>46083.30260416667</v>
      </c>
    </row>
    <row r="1104">
      <c r="A1104" s="33">
        <v>46083.0</v>
      </c>
      <c r="B1104" s="1" t="s">
        <v>60</v>
      </c>
      <c r="D1104" s="1" t="s">
        <v>33</v>
      </c>
      <c r="E1104" s="34">
        <v>105.0</v>
      </c>
      <c r="F1104" s="34">
        <v>352.0</v>
      </c>
      <c r="G1104" s="15">
        <v>35297.0</v>
      </c>
      <c r="H1104" s="16">
        <v>0.009972518910955606</v>
      </c>
      <c r="I1104" s="17">
        <v>4.260163753293481</v>
      </c>
      <c r="J1104" s="16">
        <v>0.8543689320388349</v>
      </c>
      <c r="K1104" s="16">
        <v>3.2929377740460866</v>
      </c>
      <c r="L1104" s="16">
        <v>0.02857142857142857</v>
      </c>
      <c r="M1104" s="16">
        <v>0.06666666666666667</v>
      </c>
      <c r="N1104" s="16">
        <v>0.2761904761904762</v>
      </c>
      <c r="O1104" s="16">
        <v>0.08571428571428572</v>
      </c>
      <c r="P1104" s="35">
        <v>46083.30260416667</v>
      </c>
    </row>
    <row r="1105">
      <c r="A1105" s="33">
        <v>46083.0</v>
      </c>
      <c r="B1105" s="1" t="s">
        <v>60</v>
      </c>
      <c r="D1105" s="1" t="s">
        <v>34</v>
      </c>
      <c r="E1105" s="34">
        <v>89.0</v>
      </c>
      <c r="F1105" s="34">
        <v>27.0</v>
      </c>
      <c r="G1105" s="15">
        <v>1400.0</v>
      </c>
      <c r="H1105" s="16">
        <v>0.019285714285714285</v>
      </c>
      <c r="I1105" s="17">
        <v>7.715714285714285</v>
      </c>
      <c r="J1105" s="16">
        <v>1.2272727272727273</v>
      </c>
      <c r="K1105" s="16">
        <v>0.6628787878787878</v>
      </c>
      <c r="L1105" s="16">
        <v>0.0449438202247191</v>
      </c>
      <c r="M1105" s="16">
        <v>0.0449438202247191</v>
      </c>
      <c r="N1105" s="16">
        <v>0.0898876404494382</v>
      </c>
      <c r="O1105" s="16">
        <v>0.06741573033707865</v>
      </c>
      <c r="P1105" s="35">
        <v>46083.30260416667</v>
      </c>
    </row>
    <row r="1106">
      <c r="A1106" s="33">
        <v>46084.0</v>
      </c>
      <c r="B1106" s="1" t="s">
        <v>57</v>
      </c>
      <c r="D1106" s="1"/>
      <c r="E1106" s="34">
        <v>1166.0</v>
      </c>
      <c r="F1106" s="34">
        <v>20791.0</v>
      </c>
      <c r="G1106" s="15">
        <v>2050372.0</v>
      </c>
      <c r="H1106" s="16">
        <v>0.010140111160316274</v>
      </c>
      <c r="I1106" s="17">
        <v>4.444904144223584</v>
      </c>
      <c r="J1106" s="16">
        <v>1.3988427639103815</v>
      </c>
      <c r="K1106" s="16">
        <v>3.693199441617508</v>
      </c>
      <c r="L1106" s="16">
        <v>0.05317324185248713</v>
      </c>
      <c r="M1106" s="16">
        <v>0.19382504288164665</v>
      </c>
      <c r="N1106" s="16">
        <v>0.2950257289879931</v>
      </c>
      <c r="O1106" s="16">
        <v>0.15008576329331047</v>
      </c>
      <c r="P1106" s="35">
        <v>46084.30265046296</v>
      </c>
    </row>
    <row r="1107">
      <c r="A1107" s="33">
        <v>46084.0</v>
      </c>
      <c r="B1107" s="1" t="s">
        <v>58</v>
      </c>
      <c r="D1107" s="1"/>
      <c r="E1107" s="34">
        <v>828.0</v>
      </c>
      <c r="F1107" s="34">
        <v>20687.0</v>
      </c>
      <c r="G1107" s="15">
        <v>2047707.0</v>
      </c>
      <c r="H1107" s="16">
        <v>0.010102519549916077</v>
      </c>
      <c r="I1107" s="17">
        <v>4.442627778290547</v>
      </c>
      <c r="J1107" s="16">
        <v>1.4032695699362365</v>
      </c>
      <c r="K1107" s="16">
        <v>3.757943186009936</v>
      </c>
      <c r="L1107" s="16">
        <v>0.0640096618357488</v>
      </c>
      <c r="M1107" s="16">
        <v>0.26207729468599034</v>
      </c>
      <c r="N1107" s="16">
        <v>0.3888888888888889</v>
      </c>
      <c r="O1107" s="16">
        <v>0.18719806763285024</v>
      </c>
      <c r="P1107" s="35">
        <v>46084.30265046296</v>
      </c>
    </row>
    <row r="1108">
      <c r="A1108" s="33">
        <v>46084.0</v>
      </c>
      <c r="B1108" s="1" t="s">
        <v>59</v>
      </c>
      <c r="C1108" s="3" t="s">
        <v>2</v>
      </c>
      <c r="D1108" s="1"/>
      <c r="E1108" s="34">
        <v>133.0</v>
      </c>
      <c r="F1108" s="34">
        <v>1431.0</v>
      </c>
      <c r="G1108" s="15">
        <v>153838.0</v>
      </c>
      <c r="H1108" s="16">
        <v>0.009301993005629299</v>
      </c>
      <c r="I1108" s="17">
        <v>3.949323314135649</v>
      </c>
      <c r="J1108" s="16">
        <v>5.110714285714286</v>
      </c>
      <c r="K1108" s="16">
        <v>8.546555555555555</v>
      </c>
      <c r="L1108" s="16">
        <v>0.06015037593984962</v>
      </c>
      <c r="M1108" s="16">
        <v>0.11278195488721804</v>
      </c>
      <c r="N1108" s="16">
        <v>0.3007518796992481</v>
      </c>
      <c r="O1108" s="16">
        <v>0.13533834586466165</v>
      </c>
      <c r="P1108" s="35">
        <v>46084.30265046296</v>
      </c>
    </row>
    <row r="1109">
      <c r="A1109" s="33">
        <v>46084.0</v>
      </c>
      <c r="B1109" s="1" t="s">
        <v>59</v>
      </c>
      <c r="C1109" s="1" t="s">
        <v>3</v>
      </c>
      <c r="D1109" s="1"/>
      <c r="E1109" s="34">
        <v>185.0</v>
      </c>
      <c r="F1109" s="34">
        <v>1437.0</v>
      </c>
      <c r="G1109" s="15">
        <v>70498.0</v>
      </c>
      <c r="H1109" s="16">
        <v>0.02038355698033987</v>
      </c>
      <c r="I1109" s="17">
        <v>5.726857499503532</v>
      </c>
      <c r="J1109" s="16">
        <v>2.0886627906976742</v>
      </c>
      <c r="K1109" s="16">
        <v>3.594269399408586</v>
      </c>
      <c r="L1109" s="16">
        <v>0.03783783783783784</v>
      </c>
      <c r="M1109" s="16">
        <v>0.06486486486486487</v>
      </c>
      <c r="N1109" s="16">
        <v>0.3945945945945946</v>
      </c>
      <c r="O1109" s="16">
        <v>0.14054054054054055</v>
      </c>
      <c r="P1109" s="35">
        <v>46084.30265046296</v>
      </c>
    </row>
    <row r="1110">
      <c r="A1110" s="33">
        <v>46084.0</v>
      </c>
      <c r="B1110" s="1" t="s">
        <v>59</v>
      </c>
      <c r="C1110" s="3" t="s">
        <v>4</v>
      </c>
      <c r="D1110" s="1"/>
      <c r="E1110" s="34">
        <v>105.0</v>
      </c>
      <c r="F1110" s="34">
        <v>1507.0</v>
      </c>
      <c r="G1110" s="15">
        <v>58422.0</v>
      </c>
      <c r="H1110" s="16">
        <v>0.025795077196946355</v>
      </c>
      <c r="I1110" s="17">
        <v>4.301205025504091</v>
      </c>
      <c r="J1110" s="16">
        <v>2.2526158445440956</v>
      </c>
      <c r="K1110" s="16">
        <v>2.732553788587465</v>
      </c>
      <c r="L1110" s="16">
        <v>0.0761904761904762</v>
      </c>
      <c r="M1110" s="16">
        <v>0.13333333333333333</v>
      </c>
      <c r="N1110" s="16">
        <v>0.2857142857142857</v>
      </c>
      <c r="O1110" s="16">
        <v>0.12380952380952381</v>
      </c>
      <c r="P1110" s="35">
        <v>46084.30265046296</v>
      </c>
    </row>
    <row r="1111">
      <c r="A1111" s="33">
        <v>46084.0</v>
      </c>
      <c r="B1111" s="1" t="s">
        <v>59</v>
      </c>
      <c r="C1111" s="3" t="s">
        <v>5</v>
      </c>
      <c r="D1111" s="1"/>
      <c r="E1111" s="34">
        <v>40.0</v>
      </c>
      <c r="F1111" s="34">
        <v>5185.0</v>
      </c>
      <c r="G1111" s="15">
        <v>73514.0</v>
      </c>
      <c r="H1111" s="16">
        <v>0.07053078325216966</v>
      </c>
      <c r="I1111" s="17">
        <v>5.199281769458879</v>
      </c>
      <c r="J1111" s="16">
        <v>0.8240623013350286</v>
      </c>
      <c r="K1111" s="16">
        <v>1.7039217504172075</v>
      </c>
      <c r="L1111" s="16">
        <v>0.075</v>
      </c>
      <c r="M1111" s="16">
        <v>0.075</v>
      </c>
      <c r="N1111" s="16">
        <v>0.25</v>
      </c>
      <c r="O1111" s="16">
        <v>0.075</v>
      </c>
      <c r="P1111" s="35">
        <v>46084.30265046296</v>
      </c>
    </row>
    <row r="1112">
      <c r="A1112" s="33">
        <v>46084.0</v>
      </c>
      <c r="B1112" s="1" t="s">
        <v>59</v>
      </c>
      <c r="C1112" s="3" t="s">
        <v>6</v>
      </c>
      <c r="D1112" s="1"/>
      <c r="E1112" s="34">
        <v>29.0</v>
      </c>
      <c r="F1112" s="34">
        <v>5143.0</v>
      </c>
      <c r="G1112" s="15">
        <v>420386.0</v>
      </c>
      <c r="H1112" s="16">
        <v>0.012233994471747394</v>
      </c>
      <c r="I1112" s="17">
        <v>4.376910743935335</v>
      </c>
      <c r="J1112" s="16">
        <v>1.1641014033499322</v>
      </c>
      <c r="K1112" s="16">
        <v>1.9068670365011182</v>
      </c>
      <c r="L1112" s="16">
        <v>0.034482758620689655</v>
      </c>
      <c r="M1112" s="16">
        <v>0.06896551724137931</v>
      </c>
      <c r="N1112" s="16">
        <v>0.5517241379310345</v>
      </c>
      <c r="O1112" s="16">
        <v>0.3448275862068966</v>
      </c>
      <c r="P1112" s="35">
        <v>46084.30265046296</v>
      </c>
    </row>
    <row r="1113">
      <c r="A1113" s="33">
        <v>46084.0</v>
      </c>
      <c r="B1113" s="1" t="s">
        <v>59</v>
      </c>
      <c r="C1113" s="3" t="s">
        <v>7</v>
      </c>
      <c r="D1113" s="1"/>
      <c r="E1113" s="34">
        <v>130.0</v>
      </c>
      <c r="F1113" s="34">
        <v>1522.0</v>
      </c>
      <c r="G1113" s="15">
        <v>342812.0</v>
      </c>
      <c r="H1113" s="16">
        <v>0.004439751233912465</v>
      </c>
      <c r="I1113" s="17">
        <v>3.8916636523808967</v>
      </c>
      <c r="J1113" s="16">
        <v>2.670175438596491</v>
      </c>
      <c r="K1113" s="16">
        <v>9.885290810000289</v>
      </c>
      <c r="L1113" s="16">
        <v>0.1</v>
      </c>
      <c r="M1113" s="16">
        <v>0.6</v>
      </c>
      <c r="N1113" s="16">
        <v>0.5076923076923077</v>
      </c>
      <c r="O1113" s="16">
        <v>0.3153846153846154</v>
      </c>
      <c r="P1113" s="35">
        <v>46084.30265046296</v>
      </c>
    </row>
    <row r="1114">
      <c r="A1114" s="33">
        <v>46084.0</v>
      </c>
      <c r="B1114" s="1" t="s">
        <v>59</v>
      </c>
      <c r="C1114" s="3" t="s">
        <v>8</v>
      </c>
      <c r="D1114" s="1"/>
      <c r="E1114" s="34">
        <v>119.0</v>
      </c>
      <c r="F1114" s="34">
        <v>1267.0</v>
      </c>
      <c r="G1114" s="15">
        <v>429866.0</v>
      </c>
      <c r="H1114" s="16">
        <v>0.0029474301293891587</v>
      </c>
      <c r="I1114" s="17">
        <v>4.952938822795941</v>
      </c>
      <c r="J1114" s="16">
        <v>1.0620284995808884</v>
      </c>
      <c r="K1114" s="16">
        <v>3.6946574070890774</v>
      </c>
      <c r="L1114" s="16">
        <v>0.10084033613445378</v>
      </c>
      <c r="M1114" s="16">
        <v>0.6218487394957983</v>
      </c>
      <c r="N1114" s="16">
        <v>0.5210084033613446</v>
      </c>
      <c r="O1114" s="16">
        <v>0.19327731092436976</v>
      </c>
      <c r="P1114" s="35">
        <v>46084.30265046296</v>
      </c>
    </row>
    <row r="1115">
      <c r="A1115" s="33">
        <v>46084.0</v>
      </c>
      <c r="B1115" s="1" t="s">
        <v>59</v>
      </c>
      <c r="C1115" s="3" t="s">
        <v>9</v>
      </c>
      <c r="D1115" s="1"/>
      <c r="E1115" s="34">
        <v>11.0</v>
      </c>
      <c r="F1115" s="34">
        <v>21.0</v>
      </c>
      <c r="G1115" s="15">
        <v>1154.0</v>
      </c>
      <c r="H1115" s="16">
        <v>0.018197573656845753</v>
      </c>
      <c r="I1115" s="17">
        <v>9.901213171577123</v>
      </c>
      <c r="J1115" s="16">
        <v>2.625</v>
      </c>
      <c r="K1115" s="16">
        <v>8.611940298507463</v>
      </c>
      <c r="L1115" s="16">
        <v>0.0</v>
      </c>
      <c r="M1115" s="16">
        <v>0.0</v>
      </c>
      <c r="N1115" s="16">
        <v>0.36363636363636365</v>
      </c>
      <c r="O1115" s="16">
        <v>0.09090909090909091</v>
      </c>
      <c r="P1115" s="35">
        <v>46084.30265046296</v>
      </c>
    </row>
    <row r="1116">
      <c r="A1116" s="33">
        <v>46084.0</v>
      </c>
      <c r="B1116" s="1" t="s">
        <v>59</v>
      </c>
      <c r="C1116" s="3" t="s">
        <v>10</v>
      </c>
      <c r="D1116" s="1"/>
      <c r="E1116" s="34">
        <v>76.0</v>
      </c>
      <c r="F1116" s="34">
        <v>3174.0</v>
      </c>
      <c r="G1116" s="15">
        <v>497217.0</v>
      </c>
      <c r="H1116" s="16">
        <v>0.006383530732054616</v>
      </c>
      <c r="I1116" s="17">
        <v>4.299490966720768</v>
      </c>
      <c r="J1116" s="16">
        <v>5.086538461538462</v>
      </c>
      <c r="K1116" s="16">
        <v>6.9889799418073455</v>
      </c>
      <c r="L1116" s="16">
        <v>0.013157894736842105</v>
      </c>
      <c r="M1116" s="16">
        <v>0.25</v>
      </c>
      <c r="N1116" s="16">
        <v>0.27631578947368424</v>
      </c>
      <c r="O1116" s="16">
        <v>0.2631578947368421</v>
      </c>
      <c r="P1116" s="35">
        <v>46084.30265046296</v>
      </c>
    </row>
    <row r="1117">
      <c r="A1117" s="33">
        <v>46084.0</v>
      </c>
      <c r="B1117" s="1" t="s">
        <v>60</v>
      </c>
      <c r="D1117" s="1" t="s">
        <v>30</v>
      </c>
      <c r="E1117" s="34">
        <v>9.0</v>
      </c>
      <c r="F1117" s="34">
        <v>629.0</v>
      </c>
      <c r="G1117" s="15">
        <v>13766.0</v>
      </c>
      <c r="H1117" s="16">
        <v>0.045692285340694465</v>
      </c>
      <c r="I1117" s="17">
        <v>10.29362196716548</v>
      </c>
      <c r="J1117" s="16">
        <v>1.5416666666666667</v>
      </c>
      <c r="K1117" s="16">
        <v>0.8359749802635574</v>
      </c>
      <c r="L1117" s="16">
        <v>0.0</v>
      </c>
      <c r="M1117" s="16">
        <v>0.0</v>
      </c>
      <c r="N1117" s="16">
        <v>0.6666666666666666</v>
      </c>
      <c r="O1117" s="16">
        <v>0.3333333333333333</v>
      </c>
      <c r="P1117" s="35">
        <v>46084.30265046296</v>
      </c>
    </row>
    <row r="1118">
      <c r="A1118" s="33">
        <v>46084.0</v>
      </c>
      <c r="B1118" s="1" t="s">
        <v>60</v>
      </c>
      <c r="D1118" s="1" t="s">
        <v>31</v>
      </c>
      <c r="E1118" s="34">
        <v>63.0</v>
      </c>
      <c r="F1118" s="34">
        <v>263.0</v>
      </c>
      <c r="G1118" s="15">
        <v>7743.0</v>
      </c>
      <c r="H1118" s="16">
        <v>0.03396616298592277</v>
      </c>
      <c r="I1118" s="17">
        <v>9.448792457703732</v>
      </c>
      <c r="J1118" s="16">
        <v>2.191666666666667</v>
      </c>
      <c r="K1118" s="16">
        <v>0.8224984066284258</v>
      </c>
      <c r="L1118" s="16">
        <v>0.14285714285714285</v>
      </c>
      <c r="M1118" s="16">
        <v>0.15873015873015872</v>
      </c>
      <c r="N1118" s="16">
        <v>0.4126984126984127</v>
      </c>
      <c r="O1118" s="16">
        <v>0.1746031746031746</v>
      </c>
      <c r="P1118" s="35">
        <v>46084.30265046296</v>
      </c>
    </row>
    <row r="1119">
      <c r="A1119" s="33">
        <v>46084.0</v>
      </c>
      <c r="B1119" s="1" t="s">
        <v>60</v>
      </c>
      <c r="D1119" s="1" t="s">
        <v>32</v>
      </c>
      <c r="E1119" s="34">
        <v>562.0</v>
      </c>
      <c r="F1119" s="34">
        <v>19410.0</v>
      </c>
      <c r="G1119" s="15">
        <v>1989547.0</v>
      </c>
      <c r="H1119" s="16">
        <v>0.009755989680062848</v>
      </c>
      <c r="I1119" s="17">
        <v>4.383254077435717</v>
      </c>
      <c r="J1119" s="16">
        <v>1.4062160399913062</v>
      </c>
      <c r="K1119" s="16">
        <v>3.9298063685259477</v>
      </c>
      <c r="L1119" s="16">
        <v>0.06583629893238434</v>
      </c>
      <c r="M1119" s="16">
        <v>0.3487544483985765</v>
      </c>
      <c r="N1119" s="16">
        <v>0.4501779359430605</v>
      </c>
      <c r="O1119" s="16">
        <v>0.22419928825622776</v>
      </c>
      <c r="P1119" s="35">
        <v>46084.30265046296</v>
      </c>
    </row>
    <row r="1120">
      <c r="A1120" s="33">
        <v>46084.0</v>
      </c>
      <c r="B1120" s="1" t="s">
        <v>60</v>
      </c>
      <c r="D1120" s="1" t="s">
        <v>33</v>
      </c>
      <c r="E1120" s="34">
        <v>105.0</v>
      </c>
      <c r="F1120" s="34">
        <v>352.0</v>
      </c>
      <c r="G1120" s="15">
        <v>35233.0</v>
      </c>
      <c r="H1120" s="16">
        <v>0.009990633780830472</v>
      </c>
      <c r="I1120" s="17">
        <v>4.2781483268526665</v>
      </c>
      <c r="J1120" s="16">
        <v>0.9048843187660668</v>
      </c>
      <c r="K1120" s="16">
        <v>3.30546955624355</v>
      </c>
      <c r="L1120" s="16">
        <v>0.02857142857142857</v>
      </c>
      <c r="M1120" s="16">
        <v>0.06666666666666667</v>
      </c>
      <c r="N1120" s="16">
        <v>0.2761904761904762</v>
      </c>
      <c r="O1120" s="16">
        <v>0.08571428571428572</v>
      </c>
      <c r="P1120" s="35">
        <v>46084.30265046296</v>
      </c>
    </row>
    <row r="1121">
      <c r="A1121" s="33">
        <v>46084.0</v>
      </c>
      <c r="B1121" s="1" t="s">
        <v>60</v>
      </c>
      <c r="D1121" s="1" t="s">
        <v>34</v>
      </c>
      <c r="E1121" s="34">
        <v>89.0</v>
      </c>
      <c r="F1121" s="34">
        <v>33.0</v>
      </c>
      <c r="G1121" s="15">
        <v>1418.0</v>
      </c>
      <c r="H1121" s="16">
        <v>0.0232722143864598</v>
      </c>
      <c r="I1121" s="17">
        <v>7.696755994358251</v>
      </c>
      <c r="J1121" s="16">
        <v>1.5</v>
      </c>
      <c r="K1121" s="16">
        <v>0.6784688995215311</v>
      </c>
      <c r="L1121" s="16">
        <v>0.0449438202247191</v>
      </c>
      <c r="M1121" s="16">
        <v>0.0449438202247191</v>
      </c>
      <c r="N1121" s="16">
        <v>0.0898876404494382</v>
      </c>
      <c r="O1121" s="16">
        <v>0.06741573033707865</v>
      </c>
      <c r="P1121" s="35">
        <v>46084.30265046296</v>
      </c>
    </row>
  </sheetData>
  <autoFilter ref="$A$1:$Z$1121">
    <sortState ref="A1:Z1121">
      <sortCondition ref="A1:A1121"/>
    </sortState>
  </autoFilter>
  <conditionalFormatting sqref="I1:I1121">
    <cfRule type="colorScale" priority="1">
      <colorScale>
        <cfvo type="min"/>
        <cfvo type="percentile" val="50"/>
        <cfvo type="max"/>
        <color rgb="FF57BB8A"/>
        <color rgb="FFFFFFFF"/>
        <color rgb="FFE67C73"/>
      </colorScale>
    </cfRule>
  </conditionalFormatting>
  <conditionalFormatting sqref="J1:K1121">
    <cfRule type="colorScale" priority="2">
      <colorScale>
        <cfvo type="min"/>
        <cfvo type="formula" val="1"/>
        <cfvo type="formula" val="3"/>
        <color rgb="FFE67C73"/>
        <color rgb="FFFFFFFF"/>
        <color rgb="FF57BB8A"/>
      </colorScale>
    </cfRule>
  </conditionalFormatting>
  <hyperlinks>
    <hyperlink r:id="rId1" ref="C4"/>
    <hyperlink r:id="rId2" ref="C6"/>
    <hyperlink r:id="rId3" ref="C7"/>
    <hyperlink r:id="rId4" ref="C8"/>
    <hyperlink r:id="rId5" ref="C9"/>
    <hyperlink r:id="rId6" ref="C10"/>
    <hyperlink r:id="rId7" ref="C11"/>
    <hyperlink r:id="rId8" ref="C12"/>
    <hyperlink r:id="rId9" ref="C20"/>
    <hyperlink r:id="rId10" ref="C22"/>
    <hyperlink r:id="rId11" ref="C23"/>
    <hyperlink r:id="rId12" ref="C24"/>
    <hyperlink r:id="rId13" ref="C25"/>
    <hyperlink r:id="rId14" ref="C26"/>
    <hyperlink r:id="rId15" ref="C27"/>
    <hyperlink r:id="rId16" ref="C28"/>
    <hyperlink r:id="rId17" ref="C36"/>
    <hyperlink r:id="rId18" ref="C38"/>
    <hyperlink r:id="rId19" ref="C39"/>
    <hyperlink r:id="rId20" ref="C40"/>
    <hyperlink r:id="rId21" ref="C41"/>
    <hyperlink r:id="rId22" ref="C42"/>
    <hyperlink r:id="rId23" ref="C43"/>
    <hyperlink r:id="rId24" ref="C44"/>
    <hyperlink r:id="rId25" ref="C52"/>
    <hyperlink r:id="rId26" ref="C54"/>
    <hyperlink r:id="rId27" ref="C55"/>
    <hyperlink r:id="rId28" ref="C56"/>
    <hyperlink r:id="rId29" ref="C57"/>
    <hyperlink r:id="rId30" ref="C58"/>
    <hyperlink r:id="rId31" ref="C59"/>
    <hyperlink r:id="rId32" ref="C60"/>
    <hyperlink r:id="rId33" ref="C68"/>
    <hyperlink r:id="rId34" ref="C70"/>
    <hyperlink r:id="rId35" ref="C71"/>
    <hyperlink r:id="rId36" ref="C72"/>
    <hyperlink r:id="rId37" ref="C73"/>
    <hyperlink r:id="rId38" ref="C74"/>
    <hyperlink r:id="rId39" ref="C75"/>
    <hyperlink r:id="rId40" ref="C76"/>
    <hyperlink r:id="rId41" ref="C84"/>
    <hyperlink r:id="rId42" ref="C86"/>
    <hyperlink r:id="rId43" ref="C87"/>
    <hyperlink r:id="rId44" ref="C88"/>
    <hyperlink r:id="rId45" ref="C89"/>
    <hyperlink r:id="rId46" ref="C90"/>
    <hyperlink r:id="rId47" ref="C91"/>
    <hyperlink r:id="rId48" ref="C92"/>
    <hyperlink r:id="rId49" ref="C100"/>
    <hyperlink r:id="rId50" ref="C102"/>
    <hyperlink r:id="rId51" ref="C103"/>
    <hyperlink r:id="rId52" ref="C104"/>
    <hyperlink r:id="rId53" ref="C105"/>
    <hyperlink r:id="rId54" ref="C106"/>
    <hyperlink r:id="rId55" ref="C107"/>
    <hyperlink r:id="rId56" ref="C108"/>
    <hyperlink r:id="rId57" ref="C116"/>
    <hyperlink r:id="rId58" ref="C118"/>
    <hyperlink r:id="rId59" ref="C119"/>
    <hyperlink r:id="rId60" ref="C120"/>
    <hyperlink r:id="rId61" ref="C121"/>
    <hyperlink r:id="rId62" ref="C122"/>
    <hyperlink r:id="rId63" ref="C123"/>
    <hyperlink r:id="rId64" ref="C124"/>
    <hyperlink r:id="rId65" ref="C132"/>
    <hyperlink r:id="rId66" ref="C134"/>
    <hyperlink r:id="rId67" ref="C135"/>
    <hyperlink r:id="rId68" ref="C136"/>
    <hyperlink r:id="rId69" ref="C137"/>
    <hyperlink r:id="rId70" ref="C138"/>
    <hyperlink r:id="rId71" ref="C139"/>
    <hyperlink r:id="rId72" ref="C140"/>
    <hyperlink r:id="rId73" ref="C148"/>
    <hyperlink r:id="rId74" ref="C150"/>
    <hyperlink r:id="rId75" ref="C151"/>
    <hyperlink r:id="rId76" ref="C152"/>
    <hyperlink r:id="rId77" ref="C153"/>
    <hyperlink r:id="rId78" ref="C154"/>
    <hyperlink r:id="rId79" ref="C155"/>
    <hyperlink r:id="rId80" ref="C156"/>
    <hyperlink r:id="rId81" ref="C164"/>
    <hyperlink r:id="rId82" ref="C166"/>
    <hyperlink r:id="rId83" ref="C167"/>
    <hyperlink r:id="rId84" ref="C168"/>
    <hyperlink r:id="rId85" ref="C169"/>
    <hyperlink r:id="rId86" ref="C170"/>
    <hyperlink r:id="rId87" ref="C171"/>
    <hyperlink r:id="rId88" ref="C172"/>
    <hyperlink r:id="rId89" ref="C180"/>
    <hyperlink r:id="rId90" ref="C182"/>
    <hyperlink r:id="rId91" ref="C183"/>
    <hyperlink r:id="rId92" ref="C184"/>
    <hyperlink r:id="rId93" ref="C185"/>
    <hyperlink r:id="rId94" ref="C186"/>
    <hyperlink r:id="rId95" ref="C187"/>
    <hyperlink r:id="rId96" ref="C188"/>
    <hyperlink r:id="rId97" ref="C196"/>
    <hyperlink r:id="rId98" ref="C198"/>
    <hyperlink r:id="rId99" ref="C199"/>
    <hyperlink r:id="rId100" ref="C200"/>
    <hyperlink r:id="rId101" ref="C201"/>
    <hyperlink r:id="rId102" ref="C202"/>
    <hyperlink r:id="rId103" ref="C203"/>
    <hyperlink r:id="rId104" ref="C204"/>
    <hyperlink r:id="rId105" ref="C212"/>
    <hyperlink r:id="rId106" ref="C214"/>
    <hyperlink r:id="rId107" ref="C215"/>
    <hyperlink r:id="rId108" ref="C216"/>
    <hyperlink r:id="rId109" ref="C217"/>
    <hyperlink r:id="rId110" ref="C218"/>
    <hyperlink r:id="rId111" ref="C219"/>
    <hyperlink r:id="rId112" ref="C220"/>
    <hyperlink r:id="rId113" ref="C228"/>
    <hyperlink r:id="rId114" ref="C230"/>
    <hyperlink r:id="rId115" ref="C231"/>
    <hyperlink r:id="rId116" ref="C232"/>
    <hyperlink r:id="rId117" ref="C233"/>
    <hyperlink r:id="rId118" ref="C234"/>
    <hyperlink r:id="rId119" ref="C235"/>
    <hyperlink r:id="rId120" ref="C236"/>
    <hyperlink r:id="rId121" ref="C244"/>
    <hyperlink r:id="rId122" ref="C246"/>
    <hyperlink r:id="rId123" ref="C247"/>
    <hyperlink r:id="rId124" ref="C248"/>
    <hyperlink r:id="rId125" ref="C249"/>
    <hyperlink r:id="rId126" ref="C250"/>
    <hyperlink r:id="rId127" ref="C251"/>
    <hyperlink r:id="rId128" ref="C252"/>
    <hyperlink r:id="rId129" ref="C260"/>
    <hyperlink r:id="rId130" ref="C262"/>
    <hyperlink r:id="rId131" ref="C263"/>
    <hyperlink r:id="rId132" ref="C264"/>
    <hyperlink r:id="rId133" ref="C265"/>
    <hyperlink r:id="rId134" ref="C266"/>
    <hyperlink r:id="rId135" ref="C267"/>
    <hyperlink r:id="rId136" ref="C268"/>
    <hyperlink r:id="rId137" ref="C276"/>
    <hyperlink r:id="rId138" ref="C278"/>
    <hyperlink r:id="rId139" ref="C279"/>
    <hyperlink r:id="rId140" ref="C280"/>
    <hyperlink r:id="rId141" ref="C281"/>
    <hyperlink r:id="rId142" ref="C282"/>
    <hyperlink r:id="rId143" ref="C283"/>
    <hyperlink r:id="rId144" ref="C284"/>
    <hyperlink r:id="rId145" ref="C292"/>
    <hyperlink r:id="rId146" ref="C294"/>
    <hyperlink r:id="rId147" ref="C295"/>
    <hyperlink r:id="rId148" ref="C296"/>
    <hyperlink r:id="rId149" ref="C297"/>
    <hyperlink r:id="rId150" ref="C298"/>
    <hyperlink r:id="rId151" ref="C299"/>
    <hyperlink r:id="rId152" ref="C300"/>
    <hyperlink r:id="rId153" ref="C308"/>
    <hyperlink r:id="rId154" ref="C310"/>
    <hyperlink r:id="rId155" ref="C311"/>
    <hyperlink r:id="rId156" ref="C312"/>
    <hyperlink r:id="rId157" ref="C313"/>
    <hyperlink r:id="rId158" ref="C314"/>
    <hyperlink r:id="rId159" ref="C315"/>
    <hyperlink r:id="rId160" ref="C316"/>
    <hyperlink r:id="rId161" ref="C324"/>
    <hyperlink r:id="rId162" ref="C326"/>
    <hyperlink r:id="rId163" ref="C327"/>
    <hyperlink r:id="rId164" ref="C328"/>
    <hyperlink r:id="rId165" ref="C329"/>
    <hyperlink r:id="rId166" ref="C330"/>
    <hyperlink r:id="rId167" ref="C331"/>
    <hyperlink r:id="rId168" ref="C332"/>
    <hyperlink r:id="rId169" ref="C340"/>
    <hyperlink r:id="rId170" ref="C342"/>
    <hyperlink r:id="rId171" ref="C343"/>
    <hyperlink r:id="rId172" ref="C344"/>
    <hyperlink r:id="rId173" ref="C345"/>
    <hyperlink r:id="rId174" ref="C346"/>
    <hyperlink r:id="rId175" ref="C347"/>
    <hyperlink r:id="rId176" ref="C348"/>
    <hyperlink r:id="rId177" ref="C356"/>
    <hyperlink r:id="rId178" ref="C358"/>
    <hyperlink r:id="rId179" ref="C359"/>
    <hyperlink r:id="rId180" ref="C360"/>
    <hyperlink r:id="rId181" ref="C361"/>
    <hyperlink r:id="rId182" ref="C362"/>
    <hyperlink r:id="rId183" ref="C363"/>
    <hyperlink r:id="rId184" ref="C364"/>
    <hyperlink r:id="rId185" ref="C372"/>
    <hyperlink r:id="rId186" ref="C374"/>
    <hyperlink r:id="rId187" ref="C375"/>
    <hyperlink r:id="rId188" ref="C376"/>
    <hyperlink r:id="rId189" ref="C377"/>
    <hyperlink r:id="rId190" ref="C378"/>
    <hyperlink r:id="rId191" ref="C379"/>
    <hyperlink r:id="rId192" ref="C380"/>
    <hyperlink r:id="rId193" ref="C388"/>
    <hyperlink r:id="rId194" ref="C390"/>
    <hyperlink r:id="rId195" ref="C391"/>
    <hyperlink r:id="rId196" ref="C392"/>
    <hyperlink r:id="rId197" ref="C393"/>
    <hyperlink r:id="rId198" ref="C394"/>
    <hyperlink r:id="rId199" ref="C395"/>
    <hyperlink r:id="rId200" ref="C396"/>
    <hyperlink r:id="rId201" ref="C404"/>
    <hyperlink r:id="rId202" ref="C406"/>
    <hyperlink r:id="rId203" ref="C407"/>
    <hyperlink r:id="rId204" ref="C408"/>
    <hyperlink r:id="rId205" ref="C409"/>
    <hyperlink r:id="rId206" ref="C410"/>
    <hyperlink r:id="rId207" ref="C411"/>
    <hyperlink r:id="rId208" ref="C412"/>
    <hyperlink r:id="rId209" ref="C420"/>
    <hyperlink r:id="rId210" ref="C422"/>
    <hyperlink r:id="rId211" ref="C423"/>
    <hyperlink r:id="rId212" ref="C424"/>
    <hyperlink r:id="rId213" ref="C425"/>
    <hyperlink r:id="rId214" ref="C426"/>
    <hyperlink r:id="rId215" ref="C427"/>
    <hyperlink r:id="rId216" ref="C428"/>
    <hyperlink r:id="rId217" ref="C436"/>
    <hyperlink r:id="rId218" ref="C438"/>
    <hyperlink r:id="rId219" ref="C439"/>
    <hyperlink r:id="rId220" ref="C440"/>
    <hyperlink r:id="rId221" ref="C441"/>
    <hyperlink r:id="rId222" ref="C442"/>
    <hyperlink r:id="rId223" ref="C443"/>
    <hyperlink r:id="rId224" ref="C444"/>
    <hyperlink r:id="rId225" ref="C452"/>
    <hyperlink r:id="rId226" ref="C454"/>
    <hyperlink r:id="rId227" ref="C455"/>
    <hyperlink r:id="rId228" ref="C456"/>
    <hyperlink r:id="rId229" ref="C457"/>
    <hyperlink r:id="rId230" ref="C458"/>
    <hyperlink r:id="rId231" ref="C459"/>
    <hyperlink r:id="rId232" ref="C460"/>
    <hyperlink r:id="rId233" ref="C468"/>
    <hyperlink r:id="rId234" ref="C470"/>
    <hyperlink r:id="rId235" ref="C471"/>
    <hyperlink r:id="rId236" ref="C472"/>
    <hyperlink r:id="rId237" ref="C473"/>
    <hyperlink r:id="rId238" ref="C474"/>
    <hyperlink r:id="rId239" ref="C475"/>
    <hyperlink r:id="rId240" ref="C476"/>
    <hyperlink r:id="rId241" ref="C484"/>
    <hyperlink r:id="rId242" ref="C486"/>
    <hyperlink r:id="rId243" ref="C487"/>
    <hyperlink r:id="rId244" ref="C488"/>
    <hyperlink r:id="rId245" ref="C489"/>
    <hyperlink r:id="rId246" ref="C490"/>
    <hyperlink r:id="rId247" ref="C491"/>
    <hyperlink r:id="rId248" ref="C492"/>
    <hyperlink r:id="rId249" ref="C500"/>
    <hyperlink r:id="rId250" ref="C502"/>
    <hyperlink r:id="rId251" ref="C503"/>
    <hyperlink r:id="rId252" ref="C504"/>
    <hyperlink r:id="rId253" ref="C505"/>
    <hyperlink r:id="rId254" ref="C506"/>
    <hyperlink r:id="rId255" ref="C507"/>
    <hyperlink r:id="rId256" ref="C508"/>
    <hyperlink r:id="rId257" ref="C516"/>
    <hyperlink r:id="rId258" ref="C518"/>
    <hyperlink r:id="rId259" ref="C519"/>
    <hyperlink r:id="rId260" ref="C520"/>
    <hyperlink r:id="rId261" ref="C521"/>
    <hyperlink r:id="rId262" ref="C522"/>
    <hyperlink r:id="rId263" ref="C523"/>
    <hyperlink r:id="rId264" ref="C524"/>
    <hyperlink r:id="rId265" ref="C532"/>
    <hyperlink r:id="rId266" ref="C534"/>
    <hyperlink r:id="rId267" ref="C535"/>
    <hyperlink r:id="rId268" ref="C536"/>
    <hyperlink r:id="rId269" ref="C537"/>
    <hyperlink r:id="rId270" ref="C538"/>
    <hyperlink r:id="rId271" ref="C539"/>
    <hyperlink r:id="rId272" ref="C540"/>
    <hyperlink r:id="rId273" ref="C548"/>
    <hyperlink r:id="rId274" ref="C550"/>
    <hyperlink r:id="rId275" ref="C551"/>
    <hyperlink r:id="rId276" ref="C552"/>
    <hyperlink r:id="rId277" ref="C553"/>
    <hyperlink r:id="rId278" ref="C554"/>
    <hyperlink r:id="rId279" ref="C555"/>
    <hyperlink r:id="rId280" ref="C556"/>
    <hyperlink r:id="rId281" ref="C564"/>
    <hyperlink r:id="rId282" ref="C566"/>
    <hyperlink r:id="rId283" ref="C567"/>
    <hyperlink r:id="rId284" ref="C568"/>
    <hyperlink r:id="rId285" ref="C569"/>
    <hyperlink r:id="rId286" ref="C570"/>
    <hyperlink r:id="rId287" ref="C571"/>
    <hyperlink r:id="rId288" ref="C572"/>
    <hyperlink r:id="rId289" ref="C580"/>
    <hyperlink r:id="rId290" ref="C582"/>
    <hyperlink r:id="rId291" ref="C583"/>
    <hyperlink r:id="rId292" ref="C584"/>
    <hyperlink r:id="rId293" ref="C585"/>
    <hyperlink r:id="rId294" ref="C586"/>
    <hyperlink r:id="rId295" ref="C587"/>
    <hyperlink r:id="rId296" ref="C588"/>
    <hyperlink r:id="rId297" ref="C596"/>
    <hyperlink r:id="rId298" ref="C598"/>
    <hyperlink r:id="rId299" ref="C599"/>
    <hyperlink r:id="rId300" ref="C600"/>
    <hyperlink r:id="rId301" ref="C601"/>
    <hyperlink r:id="rId302" ref="C602"/>
    <hyperlink r:id="rId303" ref="C603"/>
    <hyperlink r:id="rId304" ref="C604"/>
    <hyperlink r:id="rId305" ref="C612"/>
    <hyperlink r:id="rId306" ref="C614"/>
    <hyperlink r:id="rId307" ref="C615"/>
    <hyperlink r:id="rId308" ref="C616"/>
    <hyperlink r:id="rId309" ref="C617"/>
    <hyperlink r:id="rId310" ref="C618"/>
    <hyperlink r:id="rId311" ref="C619"/>
    <hyperlink r:id="rId312" ref="C620"/>
    <hyperlink r:id="rId313" ref="C628"/>
    <hyperlink r:id="rId314" ref="C630"/>
    <hyperlink r:id="rId315" ref="C631"/>
    <hyperlink r:id="rId316" ref="C632"/>
    <hyperlink r:id="rId317" ref="C633"/>
    <hyperlink r:id="rId318" ref="C634"/>
    <hyperlink r:id="rId319" ref="C635"/>
    <hyperlink r:id="rId320" ref="C636"/>
    <hyperlink r:id="rId321" ref="C644"/>
    <hyperlink r:id="rId322" ref="C646"/>
    <hyperlink r:id="rId323" ref="C647"/>
    <hyperlink r:id="rId324" ref="C648"/>
    <hyperlink r:id="rId325" ref="C649"/>
    <hyperlink r:id="rId326" ref="C650"/>
    <hyperlink r:id="rId327" ref="C651"/>
    <hyperlink r:id="rId328" ref="C652"/>
    <hyperlink r:id="rId329" ref="C660"/>
    <hyperlink r:id="rId330" ref="C662"/>
    <hyperlink r:id="rId331" ref="C663"/>
    <hyperlink r:id="rId332" ref="C664"/>
    <hyperlink r:id="rId333" ref="C665"/>
    <hyperlink r:id="rId334" ref="C666"/>
    <hyperlink r:id="rId335" ref="C667"/>
    <hyperlink r:id="rId336" ref="C668"/>
    <hyperlink r:id="rId337" ref="C676"/>
    <hyperlink r:id="rId338" ref="C678"/>
    <hyperlink r:id="rId339" ref="C679"/>
    <hyperlink r:id="rId340" ref="C680"/>
    <hyperlink r:id="rId341" ref="C681"/>
    <hyperlink r:id="rId342" ref="C682"/>
    <hyperlink r:id="rId343" ref="C683"/>
    <hyperlink r:id="rId344" ref="C684"/>
    <hyperlink r:id="rId345" ref="C692"/>
    <hyperlink r:id="rId346" ref="C694"/>
    <hyperlink r:id="rId347" ref="C695"/>
    <hyperlink r:id="rId348" ref="C696"/>
    <hyperlink r:id="rId349" ref="C697"/>
    <hyperlink r:id="rId350" ref="C698"/>
    <hyperlink r:id="rId351" ref="C699"/>
    <hyperlink r:id="rId352" ref="C700"/>
    <hyperlink r:id="rId353" ref="C708"/>
    <hyperlink r:id="rId354" ref="C710"/>
    <hyperlink r:id="rId355" ref="C711"/>
    <hyperlink r:id="rId356" ref="C712"/>
    <hyperlink r:id="rId357" ref="C713"/>
    <hyperlink r:id="rId358" ref="C714"/>
    <hyperlink r:id="rId359" ref="C715"/>
    <hyperlink r:id="rId360" ref="C716"/>
    <hyperlink r:id="rId361" ref="C724"/>
    <hyperlink r:id="rId362" ref="C726"/>
    <hyperlink r:id="rId363" ref="C727"/>
    <hyperlink r:id="rId364" ref="C728"/>
    <hyperlink r:id="rId365" ref="C729"/>
    <hyperlink r:id="rId366" ref="C730"/>
    <hyperlink r:id="rId367" ref="C731"/>
    <hyperlink r:id="rId368" ref="C732"/>
    <hyperlink r:id="rId369" ref="C740"/>
    <hyperlink r:id="rId370" ref="C742"/>
    <hyperlink r:id="rId371" ref="C743"/>
    <hyperlink r:id="rId372" ref="C744"/>
    <hyperlink r:id="rId373" ref="C745"/>
    <hyperlink r:id="rId374" ref="C746"/>
    <hyperlink r:id="rId375" ref="C747"/>
    <hyperlink r:id="rId376" ref="C748"/>
    <hyperlink r:id="rId377" ref="C756"/>
    <hyperlink r:id="rId378" ref="C758"/>
    <hyperlink r:id="rId379" ref="C759"/>
    <hyperlink r:id="rId380" ref="C760"/>
    <hyperlink r:id="rId381" ref="C761"/>
    <hyperlink r:id="rId382" ref="C762"/>
    <hyperlink r:id="rId383" ref="C763"/>
    <hyperlink r:id="rId384" ref="C764"/>
    <hyperlink r:id="rId385" ref="C772"/>
    <hyperlink r:id="rId386" ref="C774"/>
    <hyperlink r:id="rId387" ref="C775"/>
    <hyperlink r:id="rId388" ref="C776"/>
    <hyperlink r:id="rId389" ref="C777"/>
    <hyperlink r:id="rId390" ref="C778"/>
    <hyperlink r:id="rId391" ref="C779"/>
    <hyperlink r:id="rId392" ref="C780"/>
    <hyperlink r:id="rId393" ref="C788"/>
    <hyperlink r:id="rId394" ref="C790"/>
    <hyperlink r:id="rId395" ref="C791"/>
    <hyperlink r:id="rId396" ref="C792"/>
    <hyperlink r:id="rId397" ref="C793"/>
    <hyperlink r:id="rId398" ref="C794"/>
    <hyperlink r:id="rId399" ref="C795"/>
    <hyperlink r:id="rId400" ref="C796"/>
    <hyperlink r:id="rId401" ref="C804"/>
    <hyperlink r:id="rId402" ref="C806"/>
    <hyperlink r:id="rId403" ref="C807"/>
    <hyperlink r:id="rId404" ref="C808"/>
    <hyperlink r:id="rId405" ref="C809"/>
    <hyperlink r:id="rId406" ref="C810"/>
    <hyperlink r:id="rId407" ref="C811"/>
    <hyperlink r:id="rId408" ref="C812"/>
    <hyperlink r:id="rId409" ref="C820"/>
    <hyperlink r:id="rId410" ref="C822"/>
    <hyperlink r:id="rId411" ref="C823"/>
    <hyperlink r:id="rId412" ref="C824"/>
    <hyperlink r:id="rId413" ref="C825"/>
    <hyperlink r:id="rId414" ref="C826"/>
    <hyperlink r:id="rId415" ref="C827"/>
    <hyperlink r:id="rId416" ref="C828"/>
    <hyperlink r:id="rId417" ref="C836"/>
    <hyperlink r:id="rId418" ref="C838"/>
    <hyperlink r:id="rId419" ref="C839"/>
    <hyperlink r:id="rId420" ref="C840"/>
    <hyperlink r:id="rId421" ref="C841"/>
    <hyperlink r:id="rId422" ref="C842"/>
    <hyperlink r:id="rId423" ref="C843"/>
    <hyperlink r:id="rId424" ref="C844"/>
    <hyperlink r:id="rId425" ref="C852"/>
    <hyperlink r:id="rId426" ref="C854"/>
    <hyperlink r:id="rId427" ref="C855"/>
    <hyperlink r:id="rId428" ref="C856"/>
    <hyperlink r:id="rId429" ref="C857"/>
    <hyperlink r:id="rId430" ref="C858"/>
    <hyperlink r:id="rId431" ref="C859"/>
    <hyperlink r:id="rId432" ref="C860"/>
    <hyperlink r:id="rId433" ref="C868"/>
    <hyperlink r:id="rId434" ref="C870"/>
    <hyperlink r:id="rId435" ref="C871"/>
    <hyperlink r:id="rId436" ref="C872"/>
    <hyperlink r:id="rId437" ref="C873"/>
    <hyperlink r:id="rId438" ref="C874"/>
    <hyperlink r:id="rId439" ref="C875"/>
    <hyperlink r:id="rId440" ref="C876"/>
    <hyperlink r:id="rId441" ref="C884"/>
    <hyperlink r:id="rId442" ref="C886"/>
    <hyperlink r:id="rId443" ref="C887"/>
    <hyperlink r:id="rId444" ref="C888"/>
    <hyperlink r:id="rId445" ref="C889"/>
    <hyperlink r:id="rId446" ref="C890"/>
    <hyperlink r:id="rId447" ref="C891"/>
    <hyperlink r:id="rId448" ref="C892"/>
    <hyperlink r:id="rId449" ref="C900"/>
    <hyperlink r:id="rId450" ref="C902"/>
    <hyperlink r:id="rId451" ref="C903"/>
    <hyperlink r:id="rId452" ref="C904"/>
    <hyperlink r:id="rId453" ref="C905"/>
    <hyperlink r:id="rId454" ref="C906"/>
    <hyperlink r:id="rId455" ref="C907"/>
    <hyperlink r:id="rId456" ref="C908"/>
    <hyperlink r:id="rId457" ref="C916"/>
    <hyperlink r:id="rId458" ref="C918"/>
    <hyperlink r:id="rId459" ref="C919"/>
    <hyperlink r:id="rId460" ref="C920"/>
    <hyperlink r:id="rId461" ref="C921"/>
    <hyperlink r:id="rId462" ref="C922"/>
    <hyperlink r:id="rId463" ref="C923"/>
    <hyperlink r:id="rId464" ref="C924"/>
    <hyperlink r:id="rId465" ref="C932"/>
    <hyperlink r:id="rId466" ref="C934"/>
    <hyperlink r:id="rId467" ref="C935"/>
    <hyperlink r:id="rId468" ref="C936"/>
    <hyperlink r:id="rId469" ref="C937"/>
    <hyperlink r:id="rId470" ref="C938"/>
    <hyperlink r:id="rId471" ref="C939"/>
    <hyperlink r:id="rId472" ref="C940"/>
    <hyperlink r:id="rId473" ref="C948"/>
    <hyperlink r:id="rId474" ref="C950"/>
    <hyperlink r:id="rId475" ref="C951"/>
    <hyperlink r:id="rId476" ref="C952"/>
    <hyperlink r:id="rId477" ref="C953"/>
    <hyperlink r:id="rId478" ref="C954"/>
    <hyperlink r:id="rId479" ref="C955"/>
    <hyperlink r:id="rId480" ref="C956"/>
    <hyperlink r:id="rId481" ref="C964"/>
    <hyperlink r:id="rId482" ref="C966"/>
    <hyperlink r:id="rId483" ref="C967"/>
    <hyperlink r:id="rId484" ref="C968"/>
    <hyperlink r:id="rId485" ref="C969"/>
    <hyperlink r:id="rId486" ref="C970"/>
    <hyperlink r:id="rId487" ref="C971"/>
    <hyperlink r:id="rId488" ref="C972"/>
    <hyperlink r:id="rId489" ref="C980"/>
    <hyperlink r:id="rId490" ref="C982"/>
    <hyperlink r:id="rId491" ref="C983"/>
    <hyperlink r:id="rId492" ref="C984"/>
    <hyperlink r:id="rId493" ref="C985"/>
    <hyperlink r:id="rId494" ref="C986"/>
    <hyperlink r:id="rId495" ref="C987"/>
    <hyperlink r:id="rId496" ref="C988"/>
    <hyperlink r:id="rId497" ref="C996"/>
    <hyperlink r:id="rId498" ref="C998"/>
    <hyperlink r:id="rId499" ref="C999"/>
    <hyperlink r:id="rId500" ref="C1000"/>
    <hyperlink r:id="rId501" ref="C1001"/>
    <hyperlink r:id="rId502" ref="C1002"/>
    <hyperlink r:id="rId503" ref="C1003"/>
    <hyperlink r:id="rId504" ref="C1004"/>
    <hyperlink r:id="rId505" ref="C1012"/>
    <hyperlink r:id="rId506" ref="C1014"/>
    <hyperlink r:id="rId507" ref="C1015"/>
    <hyperlink r:id="rId508" ref="C1016"/>
    <hyperlink r:id="rId509" ref="C1017"/>
    <hyperlink r:id="rId510" ref="C1018"/>
    <hyperlink r:id="rId511" ref="C1019"/>
    <hyperlink r:id="rId512" ref="C1020"/>
    <hyperlink r:id="rId513" ref="C1028"/>
    <hyperlink r:id="rId514" ref="C1030"/>
    <hyperlink r:id="rId515" ref="C1031"/>
    <hyperlink r:id="rId516" ref="C1032"/>
    <hyperlink r:id="rId517" ref="C1033"/>
    <hyperlink r:id="rId518" ref="C1034"/>
    <hyperlink r:id="rId519" ref="C1035"/>
    <hyperlink r:id="rId520" ref="C1036"/>
    <hyperlink r:id="rId521" ref="C1044"/>
    <hyperlink r:id="rId522" ref="C1046"/>
    <hyperlink r:id="rId523" ref="C1047"/>
    <hyperlink r:id="rId524" ref="C1048"/>
    <hyperlink r:id="rId525" ref="C1049"/>
    <hyperlink r:id="rId526" ref="C1050"/>
    <hyperlink r:id="rId527" ref="C1051"/>
    <hyperlink r:id="rId528" ref="C1052"/>
    <hyperlink r:id="rId529" ref="C1060"/>
    <hyperlink r:id="rId530" ref="C1062"/>
    <hyperlink r:id="rId531" ref="C1063"/>
    <hyperlink r:id="rId532" ref="C1064"/>
    <hyperlink r:id="rId533" ref="C1065"/>
    <hyperlink r:id="rId534" ref="C1066"/>
    <hyperlink r:id="rId535" ref="C1067"/>
    <hyperlink r:id="rId536" ref="C1068"/>
    <hyperlink r:id="rId537" ref="C1076"/>
    <hyperlink r:id="rId538" ref="C1078"/>
    <hyperlink r:id="rId539" ref="C1079"/>
    <hyperlink r:id="rId540" ref="C1080"/>
    <hyperlink r:id="rId541" ref="C1081"/>
    <hyperlink r:id="rId542" ref="C1082"/>
    <hyperlink r:id="rId543" ref="C1083"/>
    <hyperlink r:id="rId544" ref="C1084"/>
    <hyperlink r:id="rId545" ref="C1092"/>
    <hyperlink r:id="rId546" ref="C1094"/>
    <hyperlink r:id="rId547" ref="C1095"/>
    <hyperlink r:id="rId548" ref="C1096"/>
    <hyperlink r:id="rId549" ref="C1097"/>
    <hyperlink r:id="rId550" ref="C1098"/>
    <hyperlink r:id="rId551" ref="C1099"/>
    <hyperlink r:id="rId552" ref="C1100"/>
    <hyperlink r:id="rId553" ref="C1108"/>
    <hyperlink r:id="rId554" ref="C1110"/>
    <hyperlink r:id="rId555" ref="C1111"/>
    <hyperlink r:id="rId556" ref="C1112"/>
    <hyperlink r:id="rId557" ref="C1113"/>
    <hyperlink r:id="rId558" ref="C1114"/>
    <hyperlink r:id="rId559" ref="C1115"/>
    <hyperlink r:id="rId560" ref="C1116"/>
  </hyperlinks>
  <drawing r:id="rId5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38"/>
  </cols>
  <sheetData>
    <row r="1">
      <c r="A1" s="1" t="s">
        <v>36</v>
      </c>
      <c r="B1" s="1" t="s">
        <v>61</v>
      </c>
      <c r="C1" s="1" t="s">
        <v>62</v>
      </c>
      <c r="D1" s="1" t="s">
        <v>63</v>
      </c>
      <c r="E1" s="1" t="s">
        <v>64</v>
      </c>
      <c r="F1" s="1" t="s">
        <v>65</v>
      </c>
    </row>
    <row r="2">
      <c r="A2" s="3" t="s">
        <v>2</v>
      </c>
      <c r="B2" s="3" t="s">
        <v>66</v>
      </c>
      <c r="C2" s="1" t="s">
        <v>67</v>
      </c>
      <c r="D2" s="1" t="s">
        <v>68</v>
      </c>
      <c r="E2" s="15">
        <v>337.0</v>
      </c>
      <c r="F2" s="15">
        <v>7.0</v>
      </c>
    </row>
    <row r="3">
      <c r="A3" s="3" t="s">
        <v>2</v>
      </c>
      <c r="B3" s="1" t="s">
        <v>69</v>
      </c>
      <c r="C3" s="1" t="s">
        <v>67</v>
      </c>
      <c r="D3" s="1" t="s">
        <v>70</v>
      </c>
      <c r="E3" s="15">
        <v>17.0</v>
      </c>
      <c r="F3" s="15">
        <v>0.0</v>
      </c>
    </row>
    <row r="4">
      <c r="A4" s="3" t="s">
        <v>2</v>
      </c>
      <c r="B4" s="3" t="s">
        <v>71</v>
      </c>
      <c r="C4" s="1" t="s">
        <v>67</v>
      </c>
      <c r="D4" s="1" t="s">
        <v>72</v>
      </c>
      <c r="E4" s="15">
        <v>24.0</v>
      </c>
      <c r="F4" s="15">
        <v>0.0</v>
      </c>
    </row>
    <row r="5">
      <c r="A5" s="3" t="s">
        <v>2</v>
      </c>
      <c r="B5" s="3" t="s">
        <v>73</v>
      </c>
      <c r="C5" s="1" t="s">
        <v>67</v>
      </c>
      <c r="D5" s="1" t="s">
        <v>74</v>
      </c>
      <c r="E5" s="15">
        <v>8.0</v>
      </c>
      <c r="F5" s="15">
        <v>0.0</v>
      </c>
    </row>
    <row r="6">
      <c r="A6" s="3" t="s">
        <v>2</v>
      </c>
      <c r="B6" s="3" t="s">
        <v>75</v>
      </c>
      <c r="C6" s="1" t="s">
        <v>67</v>
      </c>
      <c r="D6" s="1" t="s">
        <v>76</v>
      </c>
      <c r="E6" s="15">
        <v>10.0</v>
      </c>
      <c r="F6" s="15">
        <v>1.0</v>
      </c>
    </row>
    <row r="7">
      <c r="A7" s="3" t="s">
        <v>2</v>
      </c>
      <c r="B7" s="3" t="s">
        <v>77</v>
      </c>
      <c r="C7" s="1" t="s">
        <v>67</v>
      </c>
      <c r="D7" s="1" t="s">
        <v>78</v>
      </c>
      <c r="E7" s="15">
        <v>8.0</v>
      </c>
      <c r="F7" s="15">
        <v>0.0</v>
      </c>
    </row>
    <row r="8">
      <c r="A8" s="3" t="s">
        <v>2</v>
      </c>
      <c r="B8" s="3" t="s">
        <v>79</v>
      </c>
      <c r="C8" s="1" t="s">
        <v>67</v>
      </c>
      <c r="D8" s="1" t="s">
        <v>80</v>
      </c>
      <c r="E8" s="15">
        <v>6.0</v>
      </c>
      <c r="F8" s="15">
        <v>0.0</v>
      </c>
    </row>
    <row r="9">
      <c r="A9" s="3" t="s">
        <v>2</v>
      </c>
      <c r="B9" s="3" t="s">
        <v>81</v>
      </c>
      <c r="C9" s="1" t="s">
        <v>67</v>
      </c>
      <c r="D9" s="1" t="s">
        <v>82</v>
      </c>
      <c r="E9" s="15">
        <v>0.0</v>
      </c>
      <c r="F9" s="15">
        <v>0.0</v>
      </c>
    </row>
    <row r="10">
      <c r="A10" s="3" t="s">
        <v>2</v>
      </c>
      <c r="B10" s="3" t="s">
        <v>83</v>
      </c>
      <c r="C10" s="1" t="s">
        <v>67</v>
      </c>
      <c r="D10" s="1" t="s">
        <v>84</v>
      </c>
      <c r="E10" s="15">
        <v>4.0</v>
      </c>
      <c r="F10" s="15">
        <v>0.0</v>
      </c>
    </row>
    <row r="11">
      <c r="A11" s="3" t="s">
        <v>2</v>
      </c>
      <c r="B11" s="1" t="s">
        <v>85</v>
      </c>
      <c r="C11" s="1" t="s">
        <v>67</v>
      </c>
      <c r="D11" s="1" t="s">
        <v>86</v>
      </c>
      <c r="E11" s="15">
        <v>4.0</v>
      </c>
      <c r="F11" s="15">
        <v>0.0</v>
      </c>
    </row>
    <row r="12">
      <c r="A12" s="3" t="s">
        <v>2</v>
      </c>
      <c r="B12" s="3" t="s">
        <v>87</v>
      </c>
      <c r="C12" s="1" t="s">
        <v>67</v>
      </c>
      <c r="D12" s="1" t="s">
        <v>88</v>
      </c>
      <c r="E12" s="15">
        <v>6.0</v>
      </c>
      <c r="F12" s="15">
        <v>0.0</v>
      </c>
    </row>
    <row r="13">
      <c r="A13" s="3" t="s">
        <v>2</v>
      </c>
      <c r="B13" s="3" t="s">
        <v>89</v>
      </c>
      <c r="C13" s="1" t="s">
        <v>67</v>
      </c>
      <c r="D13" s="1" t="s">
        <v>90</v>
      </c>
      <c r="E13" s="15">
        <v>2.0</v>
      </c>
      <c r="F13" s="15">
        <v>0.0</v>
      </c>
    </row>
    <row r="14">
      <c r="A14" s="3" t="s">
        <v>2</v>
      </c>
      <c r="B14" s="3" t="s">
        <v>91</v>
      </c>
      <c r="C14" s="1" t="s">
        <v>67</v>
      </c>
      <c r="D14" s="1" t="s">
        <v>92</v>
      </c>
      <c r="E14" s="15">
        <v>2.0</v>
      </c>
      <c r="F14" s="15">
        <v>0.0</v>
      </c>
    </row>
    <row r="15">
      <c r="A15" s="3" t="s">
        <v>2</v>
      </c>
      <c r="B15" s="1" t="s">
        <v>93</v>
      </c>
      <c r="C15" s="1" t="s">
        <v>67</v>
      </c>
      <c r="D15" s="1" t="s">
        <v>94</v>
      </c>
      <c r="E15" s="15">
        <v>0.0</v>
      </c>
      <c r="F15" s="15">
        <v>0.0</v>
      </c>
    </row>
    <row r="16">
      <c r="A16" s="3" t="s">
        <v>2</v>
      </c>
      <c r="B16" s="3" t="s">
        <v>95</v>
      </c>
      <c r="C16" s="1" t="s">
        <v>67</v>
      </c>
      <c r="D16" s="1" t="s">
        <v>96</v>
      </c>
      <c r="E16" s="15">
        <v>0.0</v>
      </c>
      <c r="F16" s="15">
        <v>0.0</v>
      </c>
    </row>
    <row r="17">
      <c r="A17" s="3" t="s">
        <v>2</v>
      </c>
      <c r="B17" s="3" t="s">
        <v>97</v>
      </c>
      <c r="C17" s="1" t="s">
        <v>67</v>
      </c>
      <c r="D17" s="1" t="s">
        <v>98</v>
      </c>
      <c r="E17" s="15">
        <v>0.0</v>
      </c>
      <c r="F17" s="15">
        <v>0.0</v>
      </c>
    </row>
    <row r="18">
      <c r="A18" s="3" t="s">
        <v>2</v>
      </c>
      <c r="B18" s="3" t="s">
        <v>99</v>
      </c>
      <c r="C18" s="1" t="s">
        <v>67</v>
      </c>
      <c r="D18" s="1" t="s">
        <v>100</v>
      </c>
      <c r="E18" s="15">
        <v>0.0</v>
      </c>
      <c r="F18" s="15">
        <v>0.0</v>
      </c>
    </row>
    <row r="19">
      <c r="A19" s="3" t="s">
        <v>2</v>
      </c>
      <c r="B19" s="3" t="s">
        <v>101</v>
      </c>
      <c r="C19" s="1" t="s">
        <v>67</v>
      </c>
      <c r="D19" s="1" t="s">
        <v>102</v>
      </c>
      <c r="E19" s="15">
        <v>0.0</v>
      </c>
      <c r="F19" s="15">
        <v>0.0</v>
      </c>
    </row>
    <row r="20">
      <c r="A20" s="3" t="s">
        <v>2</v>
      </c>
      <c r="B20" s="3" t="s">
        <v>103</v>
      </c>
      <c r="C20" s="1" t="s">
        <v>67</v>
      </c>
      <c r="D20" s="1" t="s">
        <v>104</v>
      </c>
      <c r="E20" s="15">
        <v>0.0</v>
      </c>
      <c r="F20" s="15">
        <v>0.0</v>
      </c>
    </row>
    <row r="21">
      <c r="A21" s="3" t="s">
        <v>2</v>
      </c>
      <c r="B21" s="3" t="s">
        <v>105</v>
      </c>
      <c r="C21" s="1" t="s">
        <v>67</v>
      </c>
      <c r="D21" s="1" t="s">
        <v>106</v>
      </c>
      <c r="E21" s="15">
        <v>0.0</v>
      </c>
      <c r="F21" s="15">
        <v>0.0</v>
      </c>
    </row>
    <row r="22">
      <c r="A22" s="3" t="s">
        <v>2</v>
      </c>
      <c r="B22" s="3" t="s">
        <v>107</v>
      </c>
      <c r="C22" s="1" t="s">
        <v>67</v>
      </c>
      <c r="D22" s="1" t="s">
        <v>108</v>
      </c>
      <c r="E22" s="15">
        <v>0.0</v>
      </c>
      <c r="F22" s="15">
        <v>0.0</v>
      </c>
    </row>
    <row r="23">
      <c r="A23" s="3" t="s">
        <v>2</v>
      </c>
      <c r="B23" s="3" t="s">
        <v>109</v>
      </c>
      <c r="C23" s="1" t="s">
        <v>67</v>
      </c>
      <c r="D23" s="1" t="s">
        <v>110</v>
      </c>
      <c r="E23" s="15">
        <v>0.0</v>
      </c>
      <c r="F23" s="15">
        <v>0.0</v>
      </c>
    </row>
    <row r="24">
      <c r="A24" s="1" t="s">
        <v>3</v>
      </c>
      <c r="B24" s="3" t="s">
        <v>111</v>
      </c>
      <c r="C24" s="1" t="s">
        <v>67</v>
      </c>
      <c r="D24" s="1" t="s">
        <v>112</v>
      </c>
      <c r="E24" s="15">
        <v>102.0</v>
      </c>
      <c r="F24" s="15">
        <v>4.0</v>
      </c>
    </row>
    <row r="25">
      <c r="A25" s="1" t="s">
        <v>3</v>
      </c>
      <c r="B25" s="3" t="s">
        <v>113</v>
      </c>
      <c r="C25" s="1" t="s">
        <v>67</v>
      </c>
      <c r="D25" s="1" t="s">
        <v>114</v>
      </c>
      <c r="E25" s="15">
        <v>38.0</v>
      </c>
      <c r="F25" s="15">
        <v>1.0</v>
      </c>
    </row>
    <row r="26">
      <c r="A26" s="1" t="s">
        <v>3</v>
      </c>
      <c r="B26" s="3" t="s">
        <v>115</v>
      </c>
      <c r="C26" s="1" t="s">
        <v>67</v>
      </c>
      <c r="D26" s="1" t="s">
        <v>116</v>
      </c>
      <c r="E26" s="15">
        <v>1.0</v>
      </c>
      <c r="F26" s="15">
        <v>1.0</v>
      </c>
    </row>
    <row r="27">
      <c r="A27" s="1" t="s">
        <v>3</v>
      </c>
      <c r="B27" s="3" t="s">
        <v>117</v>
      </c>
      <c r="C27" s="1" t="s">
        <v>67</v>
      </c>
      <c r="D27" s="1" t="s">
        <v>118</v>
      </c>
      <c r="E27" s="15">
        <v>4.0</v>
      </c>
      <c r="F27" s="15">
        <v>1.0</v>
      </c>
    </row>
    <row r="28">
      <c r="A28" s="1" t="s">
        <v>3</v>
      </c>
      <c r="B28" s="3" t="s">
        <v>119</v>
      </c>
      <c r="C28" s="1" t="s">
        <v>67</v>
      </c>
      <c r="D28" s="1" t="s">
        <v>120</v>
      </c>
      <c r="E28" s="15">
        <v>6.0</v>
      </c>
      <c r="F28" s="15">
        <v>0.0</v>
      </c>
    </row>
    <row r="29">
      <c r="A29" s="1" t="s">
        <v>3</v>
      </c>
      <c r="B29" s="3" t="s">
        <v>121</v>
      </c>
      <c r="C29" s="1" t="s">
        <v>67</v>
      </c>
      <c r="D29" s="1" t="s">
        <v>122</v>
      </c>
      <c r="E29" s="15">
        <v>6.0</v>
      </c>
      <c r="F29" s="15">
        <v>0.0</v>
      </c>
    </row>
    <row r="30">
      <c r="A30" s="1" t="s">
        <v>3</v>
      </c>
      <c r="B30" s="3" t="s">
        <v>123</v>
      </c>
      <c r="C30" s="1" t="s">
        <v>67</v>
      </c>
      <c r="D30" s="1" t="s">
        <v>124</v>
      </c>
      <c r="E30" s="15">
        <v>2.0</v>
      </c>
      <c r="F30" s="15">
        <v>0.0</v>
      </c>
    </row>
    <row r="31">
      <c r="A31" s="1" t="s">
        <v>3</v>
      </c>
      <c r="B31" s="3" t="s">
        <v>125</v>
      </c>
      <c r="C31" s="1" t="s">
        <v>67</v>
      </c>
      <c r="D31" s="1" t="s">
        <v>126</v>
      </c>
      <c r="E31" s="15">
        <v>0.0</v>
      </c>
      <c r="F31" s="15">
        <v>0.0</v>
      </c>
    </row>
    <row r="32">
      <c r="A32" s="1" t="s">
        <v>3</v>
      </c>
      <c r="B32" s="1" t="s">
        <v>127</v>
      </c>
      <c r="C32" s="1" t="s">
        <v>67</v>
      </c>
      <c r="D32" s="1" t="s">
        <v>128</v>
      </c>
      <c r="E32" s="15">
        <v>0.0</v>
      </c>
      <c r="F32" s="15">
        <v>0.0</v>
      </c>
    </row>
    <row r="33">
      <c r="A33" s="1" t="s">
        <v>3</v>
      </c>
      <c r="B33" s="1" t="s">
        <v>129</v>
      </c>
      <c r="C33" s="1" t="s">
        <v>67</v>
      </c>
      <c r="D33" s="1" t="s">
        <v>130</v>
      </c>
      <c r="E33" s="15">
        <v>0.0</v>
      </c>
      <c r="F33" s="15">
        <v>0.0</v>
      </c>
    </row>
    <row r="34">
      <c r="A34" s="1" t="s">
        <v>3</v>
      </c>
      <c r="B34" s="3" t="s">
        <v>131</v>
      </c>
      <c r="C34" s="1" t="s">
        <v>67</v>
      </c>
      <c r="D34" s="1" t="s">
        <v>132</v>
      </c>
      <c r="E34" s="15">
        <v>0.0</v>
      </c>
      <c r="F34" s="15">
        <v>0.0</v>
      </c>
    </row>
    <row r="35">
      <c r="A35" s="1" t="s">
        <v>3</v>
      </c>
      <c r="B35" s="3" t="s">
        <v>133</v>
      </c>
      <c r="C35" s="1" t="s">
        <v>67</v>
      </c>
      <c r="D35" s="1" t="s">
        <v>134</v>
      </c>
      <c r="E35" s="15">
        <v>0.0</v>
      </c>
      <c r="F35" s="15">
        <v>0.0</v>
      </c>
    </row>
    <row r="36">
      <c r="A36" s="1" t="s">
        <v>3</v>
      </c>
      <c r="B36" s="3" t="s">
        <v>135</v>
      </c>
      <c r="C36" s="1" t="s">
        <v>67</v>
      </c>
      <c r="D36" s="1" t="s">
        <v>136</v>
      </c>
      <c r="E36" s="15">
        <v>0.0</v>
      </c>
      <c r="F36" s="15">
        <v>0.0</v>
      </c>
    </row>
    <row r="37">
      <c r="A37" s="1" t="s">
        <v>3</v>
      </c>
      <c r="B37" s="3" t="s">
        <v>137</v>
      </c>
      <c r="C37" s="1" t="s">
        <v>67</v>
      </c>
      <c r="D37" s="1" t="s">
        <v>138</v>
      </c>
      <c r="E37" s="15">
        <v>0.0</v>
      </c>
      <c r="F37" s="15">
        <v>0.0</v>
      </c>
    </row>
    <row r="38">
      <c r="A38" s="1" t="s">
        <v>3</v>
      </c>
      <c r="B38" s="3" t="s">
        <v>139</v>
      </c>
      <c r="C38" s="1" t="s">
        <v>67</v>
      </c>
      <c r="D38" s="1" t="s">
        <v>140</v>
      </c>
      <c r="E38" s="15">
        <v>2.0</v>
      </c>
      <c r="F38" s="15">
        <v>0.0</v>
      </c>
    </row>
    <row r="39">
      <c r="A39" s="1" t="s">
        <v>3</v>
      </c>
      <c r="B39" s="3" t="s">
        <v>141</v>
      </c>
      <c r="C39" s="1" t="s">
        <v>67</v>
      </c>
      <c r="D39" s="1" t="s">
        <v>142</v>
      </c>
      <c r="E39" s="15">
        <v>1.0</v>
      </c>
      <c r="F39" s="15">
        <v>0.0</v>
      </c>
    </row>
    <row r="40">
      <c r="A40" s="1" t="s">
        <v>3</v>
      </c>
      <c r="B40" s="1" t="s">
        <v>143</v>
      </c>
      <c r="C40" s="1" t="s">
        <v>67</v>
      </c>
      <c r="D40" s="1" t="s">
        <v>144</v>
      </c>
      <c r="E40" s="15">
        <v>0.0</v>
      </c>
      <c r="F40" s="15">
        <v>0.0</v>
      </c>
    </row>
    <row r="41">
      <c r="A41" s="1" t="s">
        <v>3</v>
      </c>
      <c r="B41" s="1" t="s">
        <v>145</v>
      </c>
      <c r="C41" s="1" t="s">
        <v>67</v>
      </c>
      <c r="D41" s="1" t="s">
        <v>146</v>
      </c>
      <c r="E41" s="15">
        <v>0.0</v>
      </c>
      <c r="F41" s="15">
        <v>0.0</v>
      </c>
    </row>
    <row r="42">
      <c r="A42" s="1" t="s">
        <v>3</v>
      </c>
      <c r="B42" s="1" t="s">
        <v>147</v>
      </c>
      <c r="C42" s="1" t="s">
        <v>67</v>
      </c>
      <c r="D42" s="1" t="s">
        <v>148</v>
      </c>
      <c r="E42" s="15">
        <v>0.0</v>
      </c>
      <c r="F42" s="15">
        <v>0.0</v>
      </c>
    </row>
    <row r="43">
      <c r="A43" s="1" t="s">
        <v>3</v>
      </c>
      <c r="B43" s="1" t="s">
        <v>149</v>
      </c>
      <c r="C43" s="1" t="s">
        <v>67</v>
      </c>
      <c r="D43" s="1" t="s">
        <v>150</v>
      </c>
      <c r="E43" s="15">
        <v>0.0</v>
      </c>
      <c r="F43" s="15">
        <v>0.0</v>
      </c>
    </row>
    <row r="44">
      <c r="A44" s="1" t="s">
        <v>3</v>
      </c>
      <c r="B44" s="1" t="s">
        <v>151</v>
      </c>
      <c r="C44" s="1" t="s">
        <v>67</v>
      </c>
      <c r="D44" s="1" t="s">
        <v>152</v>
      </c>
      <c r="E44" s="15">
        <v>9.0</v>
      </c>
      <c r="F44" s="15">
        <v>0.0</v>
      </c>
    </row>
    <row r="45">
      <c r="A45" s="1" t="s">
        <v>3</v>
      </c>
      <c r="B45" s="1" t="s">
        <v>153</v>
      </c>
      <c r="C45" s="1" t="s">
        <v>67</v>
      </c>
      <c r="D45" s="1" t="s">
        <v>154</v>
      </c>
      <c r="E45" s="15">
        <v>0.0</v>
      </c>
      <c r="F45" s="15">
        <v>0.0</v>
      </c>
    </row>
    <row r="46">
      <c r="A46" s="1" t="s">
        <v>3</v>
      </c>
      <c r="B46" s="1" t="s">
        <v>155</v>
      </c>
      <c r="C46" s="1" t="s">
        <v>67</v>
      </c>
      <c r="D46" s="1" t="s">
        <v>156</v>
      </c>
      <c r="E46" s="15">
        <v>0.0</v>
      </c>
      <c r="F46" s="15">
        <v>0.0</v>
      </c>
    </row>
    <row r="47">
      <c r="A47" s="1" t="s">
        <v>3</v>
      </c>
      <c r="B47" s="1" t="s">
        <v>157</v>
      </c>
      <c r="C47" s="1" t="s">
        <v>67</v>
      </c>
      <c r="D47" s="1" t="s">
        <v>158</v>
      </c>
      <c r="E47" s="15">
        <v>0.0</v>
      </c>
      <c r="F47" s="15">
        <v>0.0</v>
      </c>
    </row>
    <row r="48">
      <c r="A48" s="1" t="s">
        <v>3</v>
      </c>
      <c r="B48" s="1" t="s">
        <v>159</v>
      </c>
      <c r="C48" s="1" t="s">
        <v>67</v>
      </c>
      <c r="D48" s="1" t="s">
        <v>160</v>
      </c>
      <c r="E48" s="15">
        <v>0.0</v>
      </c>
      <c r="F48" s="15">
        <v>0.0</v>
      </c>
    </row>
    <row r="49">
      <c r="A49" s="1" t="s">
        <v>3</v>
      </c>
      <c r="B49" s="1" t="s">
        <v>161</v>
      </c>
      <c r="C49" s="1" t="s">
        <v>67</v>
      </c>
      <c r="D49" s="1" t="s">
        <v>162</v>
      </c>
      <c r="E49" s="15">
        <v>2.0</v>
      </c>
      <c r="F49" s="15">
        <v>0.0</v>
      </c>
    </row>
    <row r="50">
      <c r="A50" s="1" t="s">
        <v>3</v>
      </c>
      <c r="B50" s="1" t="s">
        <v>163</v>
      </c>
      <c r="C50" s="1" t="s">
        <v>67</v>
      </c>
      <c r="D50" s="1" t="s">
        <v>164</v>
      </c>
      <c r="E50" s="15">
        <v>0.0</v>
      </c>
      <c r="F50" s="15">
        <v>0.0</v>
      </c>
    </row>
    <row r="51">
      <c r="A51" s="1" t="s">
        <v>3</v>
      </c>
      <c r="B51" s="1" t="s">
        <v>165</v>
      </c>
      <c r="C51" s="1" t="s">
        <v>67</v>
      </c>
      <c r="D51" s="1" t="s">
        <v>166</v>
      </c>
      <c r="E51" s="15">
        <v>0.0</v>
      </c>
      <c r="F51" s="15">
        <v>0.0</v>
      </c>
    </row>
    <row r="52">
      <c r="A52" s="1" t="s">
        <v>3</v>
      </c>
      <c r="B52" s="1" t="s">
        <v>167</v>
      </c>
      <c r="C52" s="1" t="s">
        <v>67</v>
      </c>
      <c r="D52" s="1" t="s">
        <v>168</v>
      </c>
      <c r="E52" s="15">
        <v>0.0</v>
      </c>
      <c r="F52" s="15">
        <v>0.0</v>
      </c>
    </row>
    <row r="53">
      <c r="A53" s="1" t="s">
        <v>3</v>
      </c>
      <c r="B53" s="1" t="s">
        <v>169</v>
      </c>
      <c r="C53" s="1" t="s">
        <v>67</v>
      </c>
      <c r="D53" s="1" t="s">
        <v>170</v>
      </c>
      <c r="E53" s="15">
        <v>0.0</v>
      </c>
      <c r="F53" s="15">
        <v>0.0</v>
      </c>
    </row>
    <row r="54">
      <c r="A54" s="1" t="s">
        <v>3</v>
      </c>
      <c r="B54" s="1" t="s">
        <v>171</v>
      </c>
      <c r="C54" s="1" t="s">
        <v>67</v>
      </c>
      <c r="D54" s="1" t="s">
        <v>172</v>
      </c>
      <c r="E54" s="15">
        <v>0.0</v>
      </c>
      <c r="F54" s="15">
        <v>0.0</v>
      </c>
    </row>
    <row r="55">
      <c r="A55" s="1" t="s">
        <v>3</v>
      </c>
      <c r="B55" s="1" t="s">
        <v>173</v>
      </c>
      <c r="C55" s="1" t="s">
        <v>67</v>
      </c>
      <c r="D55" s="1" t="s">
        <v>174</v>
      </c>
      <c r="E55" s="15">
        <v>0.0</v>
      </c>
      <c r="F55" s="15">
        <v>0.0</v>
      </c>
    </row>
    <row r="56">
      <c r="A56" s="1" t="s">
        <v>3</v>
      </c>
      <c r="B56" s="1" t="s">
        <v>175</v>
      </c>
      <c r="C56" s="1" t="s">
        <v>67</v>
      </c>
      <c r="D56" s="1" t="s">
        <v>176</v>
      </c>
      <c r="E56" s="15">
        <v>0.0</v>
      </c>
      <c r="F56" s="15">
        <v>0.0</v>
      </c>
    </row>
    <row r="57">
      <c r="A57" s="3" t="s">
        <v>4</v>
      </c>
      <c r="B57" s="3" t="s">
        <v>177</v>
      </c>
      <c r="C57" s="1" t="s">
        <v>67</v>
      </c>
      <c r="D57" s="1" t="s">
        <v>178</v>
      </c>
      <c r="E57" s="15">
        <v>180.0</v>
      </c>
      <c r="F57" s="15">
        <v>5.0</v>
      </c>
    </row>
    <row r="58">
      <c r="A58" s="3" t="s">
        <v>4</v>
      </c>
      <c r="B58" s="3" t="s">
        <v>179</v>
      </c>
      <c r="C58" s="1" t="s">
        <v>67</v>
      </c>
      <c r="D58" s="1" t="s">
        <v>180</v>
      </c>
      <c r="E58" s="15">
        <v>43.0</v>
      </c>
      <c r="F58" s="15">
        <v>5.0</v>
      </c>
    </row>
    <row r="59">
      <c r="A59" s="3" t="s">
        <v>4</v>
      </c>
      <c r="B59" s="3" t="s">
        <v>181</v>
      </c>
      <c r="C59" s="1" t="s">
        <v>67</v>
      </c>
      <c r="D59" s="1" t="s">
        <v>182</v>
      </c>
      <c r="E59" s="15">
        <v>38.0</v>
      </c>
      <c r="F59" s="15">
        <v>1.0</v>
      </c>
    </row>
    <row r="60">
      <c r="A60" s="3" t="s">
        <v>4</v>
      </c>
      <c r="B60" s="3" t="s">
        <v>183</v>
      </c>
      <c r="C60" s="1" t="s">
        <v>67</v>
      </c>
      <c r="D60" s="1" t="s">
        <v>184</v>
      </c>
      <c r="E60" s="15">
        <v>22.0</v>
      </c>
      <c r="F60" s="15">
        <v>0.0</v>
      </c>
    </row>
    <row r="61">
      <c r="A61" s="3" t="s">
        <v>4</v>
      </c>
      <c r="B61" s="3" t="s">
        <v>185</v>
      </c>
      <c r="C61" s="1" t="s">
        <v>67</v>
      </c>
      <c r="D61" s="1" t="s">
        <v>186</v>
      </c>
      <c r="E61" s="15">
        <v>12.0</v>
      </c>
      <c r="F61" s="15">
        <v>1.0</v>
      </c>
    </row>
    <row r="62">
      <c r="A62" s="3" t="s">
        <v>4</v>
      </c>
      <c r="B62" s="3" t="s">
        <v>187</v>
      </c>
      <c r="C62" s="1" t="s">
        <v>67</v>
      </c>
      <c r="D62" s="1" t="s">
        <v>188</v>
      </c>
      <c r="E62" s="15">
        <v>10.0</v>
      </c>
      <c r="F62" s="15">
        <v>0.0</v>
      </c>
    </row>
    <row r="63">
      <c r="A63" s="3" t="s">
        <v>4</v>
      </c>
      <c r="B63" s="3" t="s">
        <v>189</v>
      </c>
      <c r="C63" s="1" t="s">
        <v>67</v>
      </c>
      <c r="D63" s="1" t="s">
        <v>190</v>
      </c>
      <c r="E63" s="15">
        <v>6.0</v>
      </c>
      <c r="F63" s="15">
        <v>0.0</v>
      </c>
    </row>
    <row r="64">
      <c r="A64" s="3" t="s">
        <v>4</v>
      </c>
      <c r="B64" s="3" t="s">
        <v>191</v>
      </c>
      <c r="C64" s="1" t="s">
        <v>67</v>
      </c>
      <c r="D64" s="1" t="s">
        <v>192</v>
      </c>
      <c r="E64" s="15">
        <v>21.0</v>
      </c>
      <c r="F64" s="15">
        <v>0.0</v>
      </c>
    </row>
    <row r="65">
      <c r="A65" s="3" t="s">
        <v>4</v>
      </c>
      <c r="B65" s="3" t="s">
        <v>193</v>
      </c>
      <c r="C65" s="1" t="s">
        <v>67</v>
      </c>
      <c r="D65" s="1" t="s">
        <v>194</v>
      </c>
      <c r="E65" s="15">
        <v>10.0</v>
      </c>
      <c r="F65" s="15">
        <v>0.0</v>
      </c>
    </row>
    <row r="66">
      <c r="A66" s="3" t="s">
        <v>4</v>
      </c>
      <c r="B66" s="3" t="s">
        <v>195</v>
      </c>
      <c r="C66" s="1" t="s">
        <v>67</v>
      </c>
      <c r="D66" s="1" t="s">
        <v>196</v>
      </c>
      <c r="E66" s="15">
        <v>4.0</v>
      </c>
      <c r="F66" s="15">
        <v>0.0</v>
      </c>
    </row>
    <row r="67">
      <c r="A67" s="3" t="s">
        <v>4</v>
      </c>
      <c r="B67" s="3" t="s">
        <v>197</v>
      </c>
      <c r="C67" s="1" t="s">
        <v>67</v>
      </c>
      <c r="D67" s="1" t="s">
        <v>198</v>
      </c>
      <c r="E67" s="15">
        <v>8.0</v>
      </c>
      <c r="F67" s="15">
        <v>0.0</v>
      </c>
    </row>
    <row r="68">
      <c r="A68" s="3" t="s">
        <v>4</v>
      </c>
      <c r="B68" s="3" t="s">
        <v>199</v>
      </c>
      <c r="C68" s="1" t="s">
        <v>67</v>
      </c>
      <c r="D68" s="1" t="s">
        <v>200</v>
      </c>
      <c r="E68" s="15">
        <v>1.0</v>
      </c>
      <c r="F68" s="15">
        <v>0.0</v>
      </c>
    </row>
    <row r="69">
      <c r="A69" s="3" t="s">
        <v>4</v>
      </c>
      <c r="B69" s="1" t="s">
        <v>201</v>
      </c>
      <c r="C69" s="1" t="s">
        <v>67</v>
      </c>
      <c r="D69" s="1" t="s">
        <v>194</v>
      </c>
      <c r="E69" s="15">
        <v>0.0</v>
      </c>
      <c r="F69" s="15">
        <v>0.0</v>
      </c>
    </row>
    <row r="70">
      <c r="A70" s="3" t="s">
        <v>4</v>
      </c>
      <c r="B70" s="3" t="s">
        <v>202</v>
      </c>
      <c r="C70" s="1" t="s">
        <v>67</v>
      </c>
      <c r="D70" s="1" t="s">
        <v>203</v>
      </c>
      <c r="E70" s="15">
        <v>0.0</v>
      </c>
      <c r="F70" s="15">
        <v>0.0</v>
      </c>
    </row>
    <row r="71">
      <c r="A71" s="3" t="s">
        <v>4</v>
      </c>
      <c r="B71" s="3" t="s">
        <v>204</v>
      </c>
      <c r="C71" s="1" t="s">
        <v>67</v>
      </c>
      <c r="D71" s="1" t="s">
        <v>205</v>
      </c>
      <c r="E71" s="15">
        <v>0.0</v>
      </c>
      <c r="F71" s="15">
        <v>0.0</v>
      </c>
    </row>
    <row r="72">
      <c r="A72" s="3" t="s">
        <v>5</v>
      </c>
      <c r="B72" s="3" t="s">
        <v>206</v>
      </c>
      <c r="C72" s="1" t="s">
        <v>67</v>
      </c>
      <c r="D72" s="1" t="s">
        <v>207</v>
      </c>
      <c r="E72" s="15">
        <v>92.0</v>
      </c>
      <c r="F72" s="15">
        <v>0.0</v>
      </c>
    </row>
    <row r="73">
      <c r="A73" s="3" t="s">
        <v>5</v>
      </c>
      <c r="B73" s="3" t="s">
        <v>208</v>
      </c>
      <c r="C73" s="1" t="s">
        <v>67</v>
      </c>
      <c r="D73" s="1" t="s">
        <v>209</v>
      </c>
      <c r="E73" s="15">
        <v>3.0</v>
      </c>
      <c r="F73" s="15">
        <v>0.0</v>
      </c>
    </row>
    <row r="74">
      <c r="A74" s="3" t="s">
        <v>5</v>
      </c>
      <c r="B74" s="1" t="s">
        <v>210</v>
      </c>
      <c r="C74" s="1" t="s">
        <v>67</v>
      </c>
      <c r="D74" s="1" t="s">
        <v>207</v>
      </c>
      <c r="E74" s="15">
        <v>0.0</v>
      </c>
      <c r="F74" s="15">
        <v>0.0</v>
      </c>
    </row>
    <row r="75">
      <c r="A75" s="3" t="s">
        <v>5</v>
      </c>
      <c r="B75" s="3" t="s">
        <v>211</v>
      </c>
      <c r="C75" s="1" t="s">
        <v>67</v>
      </c>
      <c r="D75" s="1" t="s">
        <v>212</v>
      </c>
      <c r="E75" s="15">
        <v>0.0</v>
      </c>
      <c r="F75" s="15">
        <v>0.0</v>
      </c>
    </row>
    <row r="76">
      <c r="A76" s="3" t="s">
        <v>5</v>
      </c>
      <c r="B76" s="3" t="s">
        <v>213</v>
      </c>
      <c r="C76" s="1"/>
      <c r="D76" s="1" t="s">
        <v>214</v>
      </c>
      <c r="E76" s="15">
        <v>0.0</v>
      </c>
      <c r="F76" s="15">
        <v>0.0</v>
      </c>
    </row>
    <row r="77">
      <c r="A77" s="3" t="s">
        <v>6</v>
      </c>
      <c r="B77" s="3" t="s">
        <v>215</v>
      </c>
      <c r="C77" s="1" t="s">
        <v>67</v>
      </c>
      <c r="D77" s="1" t="s">
        <v>216</v>
      </c>
      <c r="E77" s="15">
        <v>53.0</v>
      </c>
      <c r="F77" s="15">
        <v>0.0</v>
      </c>
    </row>
    <row r="78">
      <c r="A78" s="3" t="s">
        <v>6</v>
      </c>
      <c r="B78" s="3" t="s">
        <v>217</v>
      </c>
      <c r="C78" s="1" t="s">
        <v>67</v>
      </c>
      <c r="D78" s="1" t="s">
        <v>218</v>
      </c>
      <c r="E78" s="15">
        <v>8.0</v>
      </c>
      <c r="F78" s="15">
        <v>0.0</v>
      </c>
    </row>
    <row r="79">
      <c r="A79" s="3" t="s">
        <v>7</v>
      </c>
      <c r="B79" s="3" t="s">
        <v>219</v>
      </c>
      <c r="C79" s="1" t="s">
        <v>67</v>
      </c>
      <c r="D79" s="1" t="s">
        <v>220</v>
      </c>
      <c r="E79" s="15">
        <v>193.0</v>
      </c>
      <c r="F79" s="15">
        <v>6.0</v>
      </c>
    </row>
    <row r="80">
      <c r="A80" s="3" t="s">
        <v>7</v>
      </c>
      <c r="B80" s="1" t="s">
        <v>221</v>
      </c>
      <c r="C80" s="1" t="s">
        <v>67</v>
      </c>
      <c r="D80" s="1" t="s">
        <v>222</v>
      </c>
      <c r="E80" s="15">
        <v>41.0</v>
      </c>
      <c r="F80" s="15">
        <v>0.0</v>
      </c>
    </row>
    <row r="81">
      <c r="A81" s="3" t="s">
        <v>7</v>
      </c>
      <c r="B81" s="1" t="s">
        <v>223</v>
      </c>
      <c r="C81" s="1" t="s">
        <v>67</v>
      </c>
      <c r="D81" s="1" t="s">
        <v>224</v>
      </c>
      <c r="E81" s="15">
        <v>0.0</v>
      </c>
      <c r="F81" s="15">
        <v>0.0</v>
      </c>
    </row>
    <row r="82">
      <c r="A82" s="3" t="s">
        <v>7</v>
      </c>
      <c r="B82" s="3" t="s">
        <v>225</v>
      </c>
      <c r="C82" s="1" t="s">
        <v>67</v>
      </c>
      <c r="D82" s="1" t="s">
        <v>226</v>
      </c>
      <c r="E82" s="15">
        <v>0.0</v>
      </c>
      <c r="F82" s="15">
        <v>0.0</v>
      </c>
    </row>
    <row r="83">
      <c r="A83" s="3" t="s">
        <v>8</v>
      </c>
      <c r="B83" s="3" t="s">
        <v>227</v>
      </c>
      <c r="C83" s="1" t="s">
        <v>67</v>
      </c>
      <c r="D83" s="1" t="s">
        <v>228</v>
      </c>
      <c r="E83" s="15">
        <v>18.0</v>
      </c>
      <c r="F83" s="15">
        <v>0.0</v>
      </c>
    </row>
    <row r="84">
      <c r="A84" s="3" t="s">
        <v>8</v>
      </c>
      <c r="B84" s="1" t="s">
        <v>229</v>
      </c>
      <c r="C84" s="1" t="s">
        <v>67</v>
      </c>
      <c r="D84" s="1" t="s">
        <v>230</v>
      </c>
      <c r="E84" s="15">
        <v>0.0</v>
      </c>
      <c r="F84" s="15">
        <v>0.0</v>
      </c>
    </row>
    <row r="85">
      <c r="A85" s="3" t="s">
        <v>8</v>
      </c>
      <c r="B85" s="3" t="s">
        <v>231</v>
      </c>
      <c r="C85" s="1" t="s">
        <v>67</v>
      </c>
      <c r="D85" s="1" t="s">
        <v>232</v>
      </c>
      <c r="E85" s="15">
        <v>0.0</v>
      </c>
      <c r="F85" s="15">
        <v>0.0</v>
      </c>
    </row>
    <row r="86">
      <c r="A86" s="3" t="s">
        <v>9</v>
      </c>
      <c r="B86" s="3" t="s">
        <v>233</v>
      </c>
      <c r="C86" s="1" t="s">
        <v>67</v>
      </c>
      <c r="D86" s="1" t="s">
        <v>234</v>
      </c>
      <c r="E86" s="15">
        <v>8.0</v>
      </c>
      <c r="F86" s="15">
        <v>0.0</v>
      </c>
    </row>
    <row r="87">
      <c r="A87" s="3" t="s">
        <v>10</v>
      </c>
      <c r="B87" s="3" t="s">
        <v>235</v>
      </c>
      <c r="C87" s="1" t="s">
        <v>67</v>
      </c>
      <c r="D87" s="1" t="s">
        <v>236</v>
      </c>
      <c r="E87" s="15">
        <v>46.0</v>
      </c>
      <c r="F87" s="15">
        <v>0.0</v>
      </c>
    </row>
    <row r="88">
      <c r="A88" s="3" t="s">
        <v>10</v>
      </c>
      <c r="B88" s="3" t="s">
        <v>237</v>
      </c>
      <c r="C88" s="1" t="s">
        <v>67</v>
      </c>
      <c r="D88" s="1" t="s">
        <v>238</v>
      </c>
      <c r="E88" s="15">
        <v>0.0</v>
      </c>
      <c r="F88" s="15">
        <v>0.0</v>
      </c>
    </row>
    <row r="89">
      <c r="A89" s="3" t="s">
        <v>10</v>
      </c>
      <c r="B89" s="1" t="s">
        <v>239</v>
      </c>
      <c r="C89" s="1" t="s">
        <v>67</v>
      </c>
      <c r="D89" s="1" t="s">
        <v>240</v>
      </c>
      <c r="E89" s="15">
        <v>0.0</v>
      </c>
      <c r="F89" s="15">
        <v>0.0</v>
      </c>
    </row>
    <row r="90">
      <c r="A90" s="3" t="s">
        <v>10</v>
      </c>
      <c r="B90" s="1" t="s">
        <v>241</v>
      </c>
      <c r="C90" s="1" t="s">
        <v>67</v>
      </c>
      <c r="D90" s="1" t="s">
        <v>242</v>
      </c>
      <c r="E90" s="15">
        <v>0.0</v>
      </c>
      <c r="F90" s="15">
        <v>0.0</v>
      </c>
    </row>
  </sheetData>
  <hyperlinks>
    <hyperlink r:id="rId1" ref="A2"/>
    <hyperlink r:id="rId2" ref="B2"/>
    <hyperlink r:id="rId3" ref="A3"/>
    <hyperlink r:id="rId4"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A12"/>
    <hyperlink r:id="rId20" ref="B12"/>
    <hyperlink r:id="rId21" ref="A13"/>
    <hyperlink r:id="rId22" ref="B13"/>
    <hyperlink r:id="rId23" ref="A14"/>
    <hyperlink r:id="rId24" ref="B14"/>
    <hyperlink r:id="rId25" ref="A15"/>
    <hyperlink r:id="rId26" ref="A16"/>
    <hyperlink r:id="rId27" ref="B16"/>
    <hyperlink r:id="rId28" ref="A17"/>
    <hyperlink r:id="rId29" ref="B17"/>
    <hyperlink r:id="rId30" ref="A18"/>
    <hyperlink r:id="rId31" ref="B18"/>
    <hyperlink r:id="rId32" ref="A19"/>
    <hyperlink r:id="rId33" ref="B19"/>
    <hyperlink r:id="rId34" ref="A20"/>
    <hyperlink r:id="rId35" ref="B20"/>
    <hyperlink r:id="rId36" ref="A21"/>
    <hyperlink r:id="rId37" ref="B21"/>
    <hyperlink r:id="rId38" ref="A22"/>
    <hyperlink r:id="rId39" ref="B22"/>
    <hyperlink r:id="rId40" ref="A23"/>
    <hyperlink r:id="rId41" ref="B23"/>
    <hyperlink r:id="rId42" ref="B24"/>
    <hyperlink r:id="rId43" ref="B25"/>
    <hyperlink r:id="rId44" ref="B26"/>
    <hyperlink r:id="rId45" ref="B27"/>
    <hyperlink r:id="rId46" ref="B28"/>
    <hyperlink r:id="rId47" ref="B29"/>
    <hyperlink r:id="rId48" ref="B30"/>
    <hyperlink r:id="rId49" ref="B31"/>
    <hyperlink r:id="rId50" ref="B34"/>
    <hyperlink r:id="rId51" ref="B35"/>
    <hyperlink r:id="rId52" ref="B36"/>
    <hyperlink r:id="rId53" ref="B37"/>
    <hyperlink r:id="rId54" ref="B38"/>
    <hyperlink r:id="rId55" ref="B39"/>
    <hyperlink r:id="rId56" ref="A57"/>
    <hyperlink r:id="rId57" ref="B57"/>
    <hyperlink r:id="rId58" ref="A58"/>
    <hyperlink r:id="rId59" ref="B58"/>
    <hyperlink r:id="rId60" ref="A59"/>
    <hyperlink r:id="rId61" ref="B59"/>
    <hyperlink r:id="rId62" ref="A60"/>
    <hyperlink r:id="rId63" ref="B60"/>
    <hyperlink r:id="rId64" ref="A61"/>
    <hyperlink r:id="rId65" ref="B61"/>
    <hyperlink r:id="rId66" ref="A62"/>
    <hyperlink r:id="rId67" ref="B62"/>
    <hyperlink r:id="rId68" ref="A63"/>
    <hyperlink r:id="rId69" ref="B63"/>
    <hyperlink r:id="rId70" ref="A64"/>
    <hyperlink r:id="rId71" ref="B64"/>
    <hyperlink r:id="rId72" ref="A65"/>
    <hyperlink r:id="rId73" ref="B65"/>
    <hyperlink r:id="rId74" ref="A66"/>
    <hyperlink r:id="rId75" ref="B66"/>
    <hyperlink r:id="rId76" ref="A67"/>
    <hyperlink r:id="rId77" ref="B67"/>
    <hyperlink r:id="rId78" ref="A68"/>
    <hyperlink r:id="rId79" ref="B68"/>
    <hyperlink r:id="rId80" ref="A69"/>
    <hyperlink r:id="rId81" ref="A70"/>
    <hyperlink r:id="rId82" ref="B70"/>
    <hyperlink r:id="rId83" ref="A71"/>
    <hyperlink r:id="rId84" ref="B71"/>
    <hyperlink r:id="rId85" ref="A72"/>
    <hyperlink r:id="rId86" ref="B72"/>
    <hyperlink r:id="rId87" ref="A73"/>
    <hyperlink r:id="rId88" ref="B73"/>
    <hyperlink r:id="rId89" ref="A74"/>
    <hyperlink r:id="rId90" ref="A75"/>
    <hyperlink r:id="rId91" ref="B75"/>
    <hyperlink r:id="rId92" ref="A76"/>
    <hyperlink r:id="rId93" ref="B76"/>
    <hyperlink r:id="rId94" ref="A77"/>
    <hyperlink r:id="rId95" ref="B77"/>
    <hyperlink r:id="rId96" ref="A78"/>
    <hyperlink r:id="rId97" ref="B78"/>
    <hyperlink r:id="rId98" ref="A79"/>
    <hyperlink r:id="rId99" ref="B79"/>
    <hyperlink r:id="rId100" ref="A80"/>
    <hyperlink r:id="rId101" ref="A81"/>
    <hyperlink r:id="rId102" ref="A82"/>
    <hyperlink r:id="rId103" ref="B82"/>
    <hyperlink r:id="rId104" ref="A83"/>
    <hyperlink r:id="rId105" ref="B83"/>
    <hyperlink r:id="rId106" ref="A84"/>
    <hyperlink r:id="rId107" ref="A85"/>
    <hyperlink r:id="rId108" ref="B85"/>
    <hyperlink r:id="rId109" ref="A86"/>
    <hyperlink r:id="rId110" ref="B86"/>
    <hyperlink r:id="rId111" ref="A87"/>
    <hyperlink r:id="rId112" ref="B87"/>
    <hyperlink r:id="rId113" ref="A88"/>
    <hyperlink r:id="rId114" ref="B88"/>
    <hyperlink r:id="rId115" ref="A89"/>
    <hyperlink r:id="rId116" ref="A90"/>
  </hyperlinks>
  <drawing r:id="rId1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13"/>
    <col customWidth="1" min="2" max="2" width="4.13"/>
    <col customWidth="1" min="3" max="3" width="54.38"/>
    <col customWidth="1" min="4" max="4" width="7.63"/>
    <col customWidth="1" min="5" max="5" width="3.13"/>
    <col customWidth="1" min="6" max="6" width="4.25"/>
    <col customWidth="1" min="7" max="7" width="14.75"/>
    <col customWidth="1" min="8" max="10" width="4.38"/>
    <col customWidth="1" min="11" max="11" width="6.5"/>
    <col customWidth="1" min="12" max="13" width="4.63"/>
    <col customWidth="1" min="14" max="16" width="4.38"/>
    <col customWidth="1" min="17" max="17" width="5.38"/>
    <col customWidth="1" min="18" max="19" width="5.0"/>
    <col customWidth="1" min="20" max="31" width="4.38"/>
    <col customWidth="1" min="32" max="32" width="7.88"/>
    <col customWidth="1" min="33" max="34" width="2.88"/>
    <col customWidth="1" min="35" max="35" width="5.13"/>
    <col customWidth="1" min="36" max="38" width="3.0"/>
  </cols>
  <sheetData>
    <row r="1">
      <c r="A1" s="1" t="s">
        <v>61</v>
      </c>
      <c r="B1" s="1" t="s">
        <v>29</v>
      </c>
      <c r="C1" s="1" t="s">
        <v>63</v>
      </c>
      <c r="D1" s="1" t="s">
        <v>243</v>
      </c>
      <c r="E1" s="1" t="s">
        <v>244</v>
      </c>
      <c r="F1" s="1" t="s">
        <v>245</v>
      </c>
      <c r="G1" s="32" t="s">
        <v>246</v>
      </c>
      <c r="H1" s="36" t="s">
        <v>65</v>
      </c>
      <c r="I1" s="36" t="s">
        <v>247</v>
      </c>
      <c r="J1" s="36" t="s">
        <v>248</v>
      </c>
      <c r="K1" s="36" t="s">
        <v>249</v>
      </c>
      <c r="L1" s="37" t="s">
        <v>250</v>
      </c>
      <c r="M1" s="37" t="s">
        <v>251</v>
      </c>
      <c r="N1" s="38" t="s">
        <v>64</v>
      </c>
      <c r="O1" s="39" t="s">
        <v>252</v>
      </c>
      <c r="P1" s="39" t="s">
        <v>253</v>
      </c>
      <c r="Q1" s="39" t="s">
        <v>254</v>
      </c>
      <c r="R1" s="40" t="s">
        <v>255</v>
      </c>
      <c r="S1" s="40" t="s">
        <v>256</v>
      </c>
      <c r="T1" s="41" t="s">
        <v>257</v>
      </c>
      <c r="U1" s="42" t="s">
        <v>258</v>
      </c>
      <c r="V1" s="42" t="s">
        <v>259</v>
      </c>
      <c r="W1" s="42" t="s">
        <v>260</v>
      </c>
      <c r="X1" s="43" t="s">
        <v>261</v>
      </c>
      <c r="Y1" s="43" t="s">
        <v>262</v>
      </c>
      <c r="Z1" s="44" t="s">
        <v>263</v>
      </c>
      <c r="AA1" s="44" t="s">
        <v>264</v>
      </c>
      <c r="AB1" s="44" t="s">
        <v>265</v>
      </c>
      <c r="AC1" s="44" t="s">
        <v>266</v>
      </c>
      <c r="AD1" s="45" t="s">
        <v>267</v>
      </c>
      <c r="AE1" s="45" t="s">
        <v>268</v>
      </c>
      <c r="AF1" s="46" t="s">
        <v>269</v>
      </c>
      <c r="AG1" s="47" t="s">
        <v>270</v>
      </c>
      <c r="AH1" s="47" t="s">
        <v>271</v>
      </c>
      <c r="AI1" s="47" t="s">
        <v>272</v>
      </c>
      <c r="AJ1" s="47" t="s">
        <v>273</v>
      </c>
      <c r="AK1" s="47" t="s">
        <v>274</v>
      </c>
      <c r="AL1" s="1" t="s">
        <v>275</v>
      </c>
    </row>
    <row r="2">
      <c r="A2" s="48" t="s">
        <v>276</v>
      </c>
      <c r="B2" s="1" t="str">
        <f>IFERROR(__xludf.DUMMYFUNCTION("IFERROR(
  VLOOKUP(
    A2,
    IMPORTRANGE(
      ""1ZygntHC1J6IxzKbTidmOyf5nUyW4GCLurHCjexrLm_o"",
      ""HTMLキャッシュ!A:F""
    ),
    2,
    FALSE
  ),
  0
)
"),"TP")</f>
        <v>TP</v>
      </c>
      <c r="C2" s="1" t="str">
        <f>IFERROR(__xludf.DUMMYFUNCTION("IFERROR(
  VLOOKUP(
    A2,
    IMPORTRANGE(
      ""1ZygntHC1J6IxzKbTidmOyf5nUyW4GCLurHCjexrLm_o"",
      ""HTMLキャッシュ!A:F""
    ),
    5,
    FALSE
  ),
  0
)
"),"中学受験算数｜代表が全授業担当の完全１対１個別へ｜夏井算数塾")</f>
        <v>中学受験算数｜代表が全授業担当の完全１対１個別へ｜夏井算数塾</v>
      </c>
      <c r="D2" s="1" t="str">
        <f>IFERROR(__xludf.DUMMYFUNCTION("IFERROR(
  VLOOKUP(
    A2,
    IMPORTRANGE(
      ""1ZygntHC1J6IxzKbTidmOyf5nUyW4GCLurHCjexrLm_o        "",
      ""HTMLキャッシュ!A:F""
    ),
    6,
    FALSE
  ),
  0
)
"),"算数で親子ゲンカが増えたご家庭へ。完全１対１で分析→直し方→家庭学習→過去問まで。代表が全授業。オンライン／四谷対面、サピ・四谷大塚・日能研・早稲アカ併用ＯＫ。")</f>
        <v>算数で親子ゲンカが増えたご家庭へ。完全１対１で分析→直し方→家庭学習→過去問まで。代表が全授業。オンライン／四谷対面、サピ・四谷大塚・日能研・早稲アカ併用ＯＫ。</v>
      </c>
      <c r="E2" s="49">
        <f t="shared" ref="E2:F2" si="1">LEN(C2)</f>
        <v>30</v>
      </c>
      <c r="F2" s="49">
        <f t="shared" si="1"/>
        <v>80</v>
      </c>
      <c r="G2" s="32">
        <f>IFERROR(__xludf.DUMMYFUNCTION("IFERROR(
  VLOOKUP(
    A2,
    IMPORTRANGE(
      ""1ZygntHC1J6IxzKbTidmOyf5nUyW4GCLurHCjexrLm_o        "",
      ""HTMLキャッシュ!A:F""
    ),
    3,
    FALSE
  ),
  0
)
"),46082.490532407406)</f>
        <v>46082.49053</v>
      </c>
      <c r="H2" s="49">
        <f>IFERROR(__xludf.DUMMYFUNCTION("IFERROR(
  VLOOKUP(
    A2,
    IMPORTRANGE(
      ""1ZHMy3vVUd_0MrSduXTe1etBb1HNpAlGwQr006ljwMiM"",
      ""GSC最新!A:F""
    ),
    2,
    FALSE
  ),
  0
)
"),184.0)</f>
        <v>184</v>
      </c>
      <c r="I2" s="49">
        <f>IFERROR(__xludf.DUMMYFUNCTION("IFERROR(
  VLOOKUP(
    A2,
    IMPORTRANGE(
      ""1ZHMy3vVUd_0MrSduXTe1etBb1HNpAlGwQr006ljwMiM"",
      ""GSC最新!A:F""
    ),
    3,
    FALSE
  ),
  0
)
"),512.0)</f>
        <v>512</v>
      </c>
      <c r="J2" s="49">
        <f>IFERROR(__xludf.DUMMYFUNCTION("IFERROR(
  VLOOKUP(
    A2,
    IMPORTRANGE(
      ""1ZHMy3vVUd_0MrSduXTe1etBb1HNpAlGwQr006ljwMiM"",
      ""GSC最新!A:F""
    ),
    4,
    FALSE
  ),
  0
)
"),123.0)</f>
        <v>123</v>
      </c>
      <c r="K2" s="49">
        <f>IFERROR(__xludf.DUMMYFUNCTION("IFERROR(
  VLOOKUP(
    A2,
    IMPORTRANGE(
      ""1ZHMy3vVUd_0MrSduXTe1etBb1HNpAlGwQr006ljwMiM"",
      ""GSC最新!A:F""
    ),
    5,
    FALSE
  ),
  0
)
"),419.0)</f>
        <v>419</v>
      </c>
      <c r="L2" s="50">
        <f t="shared" ref="L2:M2" si="2">IFERROR(H2/J2,"-")</f>
        <v>1.495934959</v>
      </c>
      <c r="M2" s="50">
        <f t="shared" si="2"/>
        <v>1.221957041</v>
      </c>
      <c r="N2" s="6">
        <f>IFERROR(__xludf.DUMMYFUNCTION("IFERROR(
  VLOOKUP(
    A2,
    IMPORTRANGE(
      ""1ZHMy3vVUd_0MrSduXTe1etBb1HNpAlGwQr006ljwMiM"",
      ""GSC最新!A:R""
    ),
    7,
    FALSE
  ),
  0
)
"),4074.0)</f>
        <v>4074</v>
      </c>
      <c r="O2" s="6">
        <f>IFERROR(__xludf.DUMMYFUNCTION("IFERROR(
  VLOOKUP(
    A2,
    IMPORTRANGE(
      ""1ZHMy3vVUd_0MrSduXTe1etBb1HNpAlGwQr006ljwMiM"",
      ""GSC最新!A:R""
    ),
    10,
    FALSE
  ),
  0
)
"),11323.0)</f>
        <v>11323</v>
      </c>
      <c r="P2" s="6">
        <f>IFERROR(__xludf.DUMMYFUNCTION("IFERROR(
  VLOOKUP(
    A2,
    IMPORTRANGE(
      ""1ZHMy3vVUd_0MrSduXTe1etBb1HNpAlGwQr006ljwMiM"",
      ""GSC最新!A:R""
    ),
    13,
    FALSE
  ),
  0
)
"),5162.0)</f>
        <v>5162</v>
      </c>
      <c r="Q2" s="6">
        <f>IFERROR(__xludf.DUMMYFUNCTION("IFERROR(
  VLOOKUP(
    A2,
    IMPORTRANGE(
      ""1ZHMy3vVUd_0MrSduXTe1etBb1HNpAlGwQr006ljwMiM"",
      ""GSC最新!A:R""
    ),
    16,
    FALSE
  ),
  0
)
"),15851.0)</f>
        <v>15851</v>
      </c>
      <c r="R2" s="51">
        <f t="shared" ref="R2:S2" si="3">IFERROR(N2/P2,"-")</f>
        <v>0.789228981</v>
      </c>
      <c r="S2" s="51">
        <f t="shared" si="3"/>
        <v>0.7143397893</v>
      </c>
      <c r="T2" s="9">
        <f>IFERROR(__xludf.DUMMYFUNCTION("IFERROR(
  VLOOKUP(
    A2,
    IMPORTRANGE(
      ""1ZHMy3vVUd_0MrSduXTe1etBb1HNpAlGwQr006ljwMiM"",
      ""GSC最新!A:R""
    ),
    8,
    FALSE
  ),
  0
)
"),0.045164457535591555)</f>
        <v>0.04516445754</v>
      </c>
      <c r="U2" s="9">
        <f>IFERROR(__xludf.DUMMYFUNCTION("IFERROR(
  VLOOKUP(
    A2,
    IMPORTRANGE(
      ""1ZHMy3vVUd_0MrSduXTe1etBb1HNpAlGwQr006ljwMiM"",
      ""GSC最新!A:R""
    ),
    11,
    FALSE
  ),
  0
)
"),0.04521769848979952)</f>
        <v>0.04521769849</v>
      </c>
      <c r="V2" s="9">
        <f>IFERROR(__xludf.DUMMYFUNCTION("IFERROR(
  VLOOKUP(
    A2,
    IMPORTRANGE(
      ""1ZHMy3vVUd_0MrSduXTe1etBb1HNpAlGwQr006ljwMiM"",
      ""GSC最新!A:R""
    ),
    14,
    FALSE
  ),
  0
)
"),0.023827973653622627)</f>
        <v>0.02382797365</v>
      </c>
      <c r="W2" s="9">
        <f>IFERROR(__xludf.DUMMYFUNCTION("IFERROR(
  VLOOKUP(
    A2,
    IMPORTRANGE(
      ""1ZHMy3vVUd_0MrSduXTe1etBb1HNpAlGwQr006ljwMiM"",
      ""GSC最新!A:R""
    ),
    17,
    FALSE
  ),
  0
)
"),0.02643366349126238)</f>
        <v>0.02643366349</v>
      </c>
      <c r="X2" s="9">
        <f t="shared" ref="X2:Y2" si="4">IFERROR(T2-V2,"-")</f>
        <v>0.02133648388</v>
      </c>
      <c r="Y2" s="9">
        <f t="shared" si="4"/>
        <v>0.018784035</v>
      </c>
      <c r="Z2" s="52">
        <f>IFERROR(__xludf.DUMMYFUNCTION("IFERROR(
  VLOOKUP(
    A2,
    IMPORTRANGE(
      ""1ZHMy3vVUd_0MrSduXTe1etBb1HNpAlGwQr006ljwMiM"",
      ""GSC最新!A:R""
    ),
    9,
    FALSE
  ),
  0
)
"),11.246931762395679)</f>
        <v>11.24693176</v>
      </c>
      <c r="AA2" s="52">
        <f>IFERROR(__xludf.DUMMYFUNCTION("IFERROR(
  VLOOKUP(
    A2,
    IMPORTRANGE(
      ""1ZHMy3vVUd_0MrSduXTe1etBb1HNpAlGwQr006ljwMiM"",
      ""GSC最新!A:R""
    ),
    12,
    FALSE
  ),
  0
)
"),11.24021902322706)</f>
        <v>11.24021902</v>
      </c>
      <c r="AB2" s="52">
        <f>IFERROR(__xludf.DUMMYFUNCTION("IFERROR(
  VLOOKUP(
    A2,
    IMPORTRANGE(
      ""1ZHMy3vVUd_0MrSduXTe1etBb1HNpAlGwQr006ljwMiM"",
      ""GSC最新!A:R""
    ),
    15,
    FALSE
  ),
  0
)
"),17.170282836110037)</f>
        <v>17.17028284</v>
      </c>
      <c r="AC2" s="52">
        <f>IFERROR(__xludf.DUMMYFUNCTION("IFERROR(
  VLOOKUP(
    A2,
    IMPORTRANGE(
      ""1ZHMy3vVUd_0MrSduXTe1etBb1HNpAlGwQr006ljwMiM"",
      ""GSC最新!A:R""
    ),
    18,
    FALSE
  ),
  0
)
"),18.932307109961517)</f>
        <v>18.93230711</v>
      </c>
      <c r="AD2" s="52">
        <f t="shared" ref="AD2:AE2" si="5">Z2-AB2</f>
        <v>-5.923351074</v>
      </c>
      <c r="AE2" s="52">
        <f t="shared" si="5"/>
        <v>-7.692088087</v>
      </c>
      <c r="AF2" s="53">
        <f>IFERROR(__xludf.DUMMYFUNCTION("IFERROR(
  VLOOKUP(
    A2,
    IMPORTRANGE(
      ""1ZHMy3vVUd_0MrSduXTe1etBb1HNpAlGwQr006ljwMiM"",
      ""GSC最新!A:F""
    ),
    6,
    FALSE
  ),
  0
)
"),46081.0)</f>
        <v>46081</v>
      </c>
      <c r="AG2" s="54">
        <f>IFERROR(__xludf.DUMMYFUNCTION("IFERROR(
  VLOOKUP(
    A2,
    IMPORTRANGE(
      ""1SCYQd7_cobOYqT0r_F0IqD4tE4rYn5y8Eup4PJTH8es"",
      ""Snapshot!A:M""
    ),
    5,
    FALSE
  ),
  ""-""
)
"),10.0)</f>
        <v>10</v>
      </c>
      <c r="AH2" s="54">
        <f>IFERROR(__xludf.DUMMYFUNCTION("IFERROR(
  VLOOKUP(
    A2,
    IMPORTRANGE(
      ""1SCYQd7_cobOYqT0r_F0IqD4tE4rYn5y8Eup4PJTH8es"",
      ""Snapshot!A:M""
    ),
    6,
    FALSE
  ),
  0
)
"),12.0)</f>
        <v>12</v>
      </c>
      <c r="AI2" s="54">
        <f>IFERROR(__xludf.DUMMYFUNCTION("IFERROR(
  VLOOKUP(
    A2,
    IMPORTRANGE(
      ""1SCYQd7_cobOYqT0r_F0IqD4tE4rYn5y8Eup4PJTH8es"",
      ""Snapshot!A:M""
    ),
    7,
    FALSE
  ),
  0
)
"),3910.0)</f>
        <v>3910</v>
      </c>
      <c r="AJ2" s="54">
        <f>IFERROR(__xludf.DUMMYFUNCTION("IFERROR(
  VLOOKUP(
    A2,
    IMPORTRANGE(
      ""1SCYQd7_cobOYqT0r_F0IqD4tE4rYn5y8Eup4PJTH8es"",
      ""Snapshot!A:M""
    ),
    8,
    FALSE
  ),
  0
)
"),41.0)</f>
        <v>41</v>
      </c>
      <c r="AK2" s="54">
        <f>IFERROR(__xludf.DUMMYFUNCTION("IFERROR(
  VLOOKUP(
    A2,
    IMPORTRANGE(
      ""1SCYQd7_cobOYqT0r_F0IqD4tE4rYn5y8Eup4PJTH8es"",
      ""Snapshot!A:M""
    ),
    9,
    FALSE
  ),
  0
)
"),2.0)</f>
        <v>2</v>
      </c>
      <c r="AL2" s="54">
        <f>IFERROR(__xludf.DUMMYFUNCTION("IFERROR(
  VLOOKUP(
    A2,
    IMPORTRANGE(
      ""1SCYQd7_cobOYqT0r_F0IqD4tE4rYn5y8Eup4PJTH8es"",
      ""Snapshot!A:M""
    ),
    13,
    FALSE
  ),
  0
)
"),2.0)</f>
        <v>2</v>
      </c>
    </row>
    <row r="3">
      <c r="A3" s="48" t="s">
        <v>277</v>
      </c>
      <c r="B3" s="1" t="str">
        <f>IFERROR(__xludf.DUMMYFUNCTION("IFERROR(
  VLOOKUP(
    A3,
    IMPORTRANGE(
      ""1ZygntHC1J6IxzKbTidmOyf5nUyW4GCLurHCjexrLm_o"",
      ""HTMLキャッシュ!A:F""
    ),
    2,
    FALSE
  ),
  0
)
"),"TP")</f>
        <v>TP</v>
      </c>
      <c r="C3" s="1" t="str">
        <f>IFERROR(__xludf.DUMMYFUNCTION("IFERROR(
  VLOOKUP(
    A3,
    IMPORTRANGE(
      ""1ZygntHC1J6IxzKbTidmOyf5nUyW4GCLurHCjexrLm_o"",
      ""HTMLキャッシュ!A:F""
    ),
    5,
    FALSE
  ),
  0
)
"),"国語専門塾のオンライン個別指導｜読解力・記述を1対1で強化｜中学受験・大学受験")</f>
        <v>国語専門塾のオンライン個別指導｜読解力・記述を1対1で強化｜中学受験・大学受験</v>
      </c>
      <c r="D3" s="1" t="str">
        <f>IFERROR(__xludf.DUMMYFUNCTION("IFERROR(
  VLOOKUP(
    A3,
    IMPORTRANGE(
      ""1ZygntHC1J6IxzKbTidmOyf5nUyW4GCLurHCjexrLm_o        "",
      ""HTMLキャッシュ!A:F""
    ),
    6,
    FALSE
  ),
  0
)
"),"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f>
        <v>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v>
      </c>
      <c r="E3" s="49">
        <f t="shared" ref="E3:F3" si="6">LEN(C3)</f>
        <v>39</v>
      </c>
      <c r="F3" s="49">
        <f t="shared" si="6"/>
        <v>117</v>
      </c>
      <c r="G3" s="32">
        <f>IFERROR(__xludf.DUMMYFUNCTION("IFERROR(
  VLOOKUP(
    A3,
    IMPORTRANGE(
      ""1ZygntHC1J6IxzKbTidmOyf5nUyW4GCLurHCjexrLm_o        "",
      ""HTMLキャッシュ!A:F""
    ),
    3,
    FALSE
  ),
  0
)
"),46052.78512731481)</f>
        <v>46052.78513</v>
      </c>
      <c r="H3" s="49">
        <f>IFERROR(__xludf.DUMMYFUNCTION("IFERROR(
  VLOOKUP(
    A3,
    IMPORTRANGE(
      ""1ZHMy3vVUd_0MrSduXTe1etBb1HNpAlGwQr006ljwMiM"",
      ""GSC最新!A:F""
    ),
    2,
    FALSE
  ),
  0
)
"),241.0)</f>
        <v>241</v>
      </c>
      <c r="I3" s="49">
        <f>IFERROR(__xludf.DUMMYFUNCTION("IFERROR(
  VLOOKUP(
    A3,
    IMPORTRANGE(
      ""1ZHMy3vVUd_0MrSduXTe1etBb1HNpAlGwQr006ljwMiM"",
      ""GSC最新!A:F""
    ),
    3,
    FALSE
  ),
  0
)
"),535.0)</f>
        <v>535</v>
      </c>
      <c r="J3" s="49">
        <f>IFERROR(__xludf.DUMMYFUNCTION("IFERROR(
  VLOOKUP(
    A3,
    IMPORTRANGE(
      ""1ZHMy3vVUd_0MrSduXTe1etBb1HNpAlGwQr006ljwMiM"",
      ""GSC最新!A:F""
    ),
    4,
    FALSE
  ),
  0
)
"),137.0)</f>
        <v>137</v>
      </c>
      <c r="K3" s="49">
        <f>IFERROR(__xludf.DUMMYFUNCTION("IFERROR(
  VLOOKUP(
    A3,
    IMPORTRANGE(
      ""1ZHMy3vVUd_0MrSduXTe1etBb1HNpAlGwQr006ljwMiM"",
      ""GSC最新!A:F""
    ),
    5,
    FALSE
  ),
  0
)
"),397.0)</f>
        <v>397</v>
      </c>
      <c r="L3" s="50">
        <f t="shared" ref="L3:M3" si="7">IFERROR(H3/J3,"-")</f>
        <v>1.759124088</v>
      </c>
      <c r="M3" s="50">
        <f t="shared" si="7"/>
        <v>1.347607053</v>
      </c>
      <c r="N3" s="6">
        <f>IFERROR(__xludf.DUMMYFUNCTION("IFERROR(
  VLOOKUP(
    A3,
    IMPORTRANGE(
      ""1ZHMy3vVUd_0MrSduXTe1etBb1HNpAlGwQr006ljwMiM"",
      ""GSC最新!A:R""
    ),
    7,
    FALSE
  ),
  0
)
"),3687.0)</f>
        <v>3687</v>
      </c>
      <c r="O3" s="6">
        <f>IFERROR(__xludf.DUMMYFUNCTION("IFERROR(
  VLOOKUP(
    A3,
    IMPORTRANGE(
      ""1ZHMy3vVUd_0MrSduXTe1etBb1HNpAlGwQr006ljwMiM"",
      ""GSC最新!A:R""
    ),
    10,
    FALSE
  ),
  0
)
"),8710.0)</f>
        <v>8710</v>
      </c>
      <c r="P3" s="6">
        <f>IFERROR(__xludf.DUMMYFUNCTION("IFERROR(
  VLOOKUP(
    A3,
    IMPORTRANGE(
      ""1ZHMy3vVUd_0MrSduXTe1etBb1HNpAlGwQr006ljwMiM"",
      ""GSC最新!A:R""
    ),
    13,
    FALSE
  ),
  0
)
"),3176.0)</f>
        <v>3176</v>
      </c>
      <c r="Q3" s="6">
        <f>IFERROR(__xludf.DUMMYFUNCTION("IFERROR(
  VLOOKUP(
    A3,
    IMPORTRANGE(
      ""1ZHMy3vVUd_0MrSduXTe1etBb1HNpAlGwQr006ljwMiM"",
      ""GSC最新!A:R""
    ),
    16,
    FALSE
  ),
  0
)
"),10532.0)</f>
        <v>10532</v>
      </c>
      <c r="R3" s="51">
        <f t="shared" ref="R3:S3" si="8">IFERROR(N3/P3,"-")</f>
        <v>1.160894207</v>
      </c>
      <c r="S3" s="51">
        <f t="shared" si="8"/>
        <v>0.8270034182</v>
      </c>
      <c r="T3" s="9">
        <f>IFERROR(__xludf.DUMMYFUNCTION("IFERROR(
  VLOOKUP(
    A3,
    IMPORTRANGE(
      ""1ZHMy3vVUd_0MrSduXTe1etBb1HNpAlGwQr006ljwMiM"",
      ""GSC最新!A:R""
    ),
    8,
    FALSE
  ),
  0
)
"),0.06536479522647139)</f>
        <v>0.06536479523</v>
      </c>
      <c r="U3" s="9">
        <f>IFERROR(__xludf.DUMMYFUNCTION("IFERROR(
  VLOOKUP(
    A3,
    IMPORTRANGE(
      ""1ZHMy3vVUd_0MrSduXTe1etBb1HNpAlGwQr006ljwMiM"",
      ""GSC最新!A:R""
    ),
    11,
    FALSE
  ),
  0
)
"),0.06142365097588978)</f>
        <v>0.06142365098</v>
      </c>
      <c r="V3" s="9">
        <f>IFERROR(__xludf.DUMMYFUNCTION("IFERROR(
  VLOOKUP(
    A3,
    IMPORTRANGE(
      ""1ZHMy3vVUd_0MrSduXTe1etBb1HNpAlGwQr006ljwMiM"",
      ""GSC最新!A:R""
    ),
    14,
    FALSE
  ),
  0
)
"),0.0431360201511335)</f>
        <v>0.04313602015</v>
      </c>
      <c r="W3" s="9">
        <f>IFERROR(__xludf.DUMMYFUNCTION("IFERROR(
  VLOOKUP(
    A3,
    IMPORTRANGE(
      ""1ZHMy3vVUd_0MrSduXTe1etBb1HNpAlGwQr006ljwMiM"",
      ""GSC最新!A:R""
    ),
    17,
    FALSE
  ),
  0
)
"),0.03769464489175845)</f>
        <v>0.03769464489</v>
      </c>
      <c r="X3" s="9">
        <f t="shared" ref="X3:Y3" si="9">IFERROR(T3-V3,"-")</f>
        <v>0.02222877508</v>
      </c>
      <c r="Y3" s="9">
        <f t="shared" si="9"/>
        <v>0.02372900608</v>
      </c>
      <c r="Z3" s="52">
        <f>IFERROR(__xludf.DUMMYFUNCTION("IFERROR(
  VLOOKUP(
    A3,
    IMPORTRANGE(
      ""1ZHMy3vVUd_0MrSduXTe1etBb1HNpAlGwQr006ljwMiM"",
      ""GSC最新!A:R""
    ),
    9,
    FALSE
  ),
  0
)
"),10.278275020341741)</f>
        <v>10.27827502</v>
      </c>
      <c r="AA3" s="52">
        <f>IFERROR(__xludf.DUMMYFUNCTION("IFERROR(
  VLOOKUP(
    A3,
    IMPORTRANGE(
      ""1ZHMy3vVUd_0MrSduXTe1etBb1HNpAlGwQr006ljwMiM"",
      ""GSC最新!A:R""
    ),
    12,
    FALSE
  ),
  0
)
"),10.65752009184845)</f>
        <v>10.65752009</v>
      </c>
      <c r="AB3" s="52">
        <f>IFERROR(__xludf.DUMMYFUNCTION("IFERROR(
  VLOOKUP(
    A3,
    IMPORTRANGE(
      ""1ZHMy3vVUd_0MrSduXTe1etBb1HNpAlGwQr006ljwMiM"",
      ""GSC最新!A:R""
    ),
    15,
    FALSE
  ),
  0
)
"),20.78494962216625)</f>
        <v>20.78494962</v>
      </c>
      <c r="AC3" s="52">
        <f>IFERROR(__xludf.DUMMYFUNCTION("IFERROR(
  VLOOKUP(
    A3,
    IMPORTRANGE(
      ""1ZHMy3vVUd_0MrSduXTe1etBb1HNpAlGwQr006ljwMiM"",
      ""GSC最新!A:R""
    ),
    18,
    FALSE
  ),
  0
)
"),22.295860235472844)</f>
        <v>22.29586024</v>
      </c>
      <c r="AD3" s="52">
        <f t="shared" ref="AD3:AE3" si="10">Z3-AB3</f>
        <v>-10.5066746</v>
      </c>
      <c r="AE3" s="52">
        <f t="shared" si="10"/>
        <v>-11.63834014</v>
      </c>
      <c r="AF3" s="53">
        <f>IFERROR(__xludf.DUMMYFUNCTION("IFERROR(
  VLOOKUP(
    A3,
    IMPORTRANGE(
      ""1ZHMy3vVUd_0MrSduXTe1etBb1HNpAlGwQr006ljwMiM"",
      ""GSC最新!A:F""
    ),
    6,
    FALSE
  ),
  0
)
"),46081.0)</f>
        <v>46081</v>
      </c>
      <c r="AG3" s="54">
        <f>IFERROR(__xludf.DUMMYFUNCTION("IFERROR(
  VLOOKUP(
    A3,
    IMPORTRANGE(
      ""1SCYQd7_cobOYqT0r_F0IqD4tE4rYn5y8Eup4PJTH8es"",
      ""Snapshot!A:M""
    ),
    5,
    FALSE
  ),
  ""-""
)
"),9.0)</f>
        <v>9</v>
      </c>
      <c r="AH3" s="54">
        <f>IFERROR(__xludf.DUMMYFUNCTION("IFERROR(
  VLOOKUP(
    A3,
    IMPORTRANGE(
      ""1SCYQd7_cobOYqT0r_F0IqD4tE4rYn5y8Eup4PJTH8es"",
      ""Snapshot!A:M""
    ),
    6,
    FALSE
  ),
  0
)
"),16.0)</f>
        <v>16</v>
      </c>
      <c r="AI3" s="54">
        <f>IFERROR(__xludf.DUMMYFUNCTION("IFERROR(
  VLOOKUP(
    A3,
    IMPORTRANGE(
      ""1SCYQd7_cobOYqT0r_F0IqD4tE4rYn5y8Eup4PJTH8es"",
      ""Snapshot!A:M""
    ),
    7,
    FALSE
  ),
  0
)
"),4302.0)</f>
        <v>4302</v>
      </c>
      <c r="AJ3" s="54">
        <f>IFERROR(__xludf.DUMMYFUNCTION("IFERROR(
  VLOOKUP(
    A3,
    IMPORTRANGE(
      ""1SCYQd7_cobOYqT0r_F0IqD4tE4rYn5y8Eup4PJTH8es"",
      ""Snapshot!A:M""
    ),
    8,
    FALSE
  ),
  0
)
"),87.0)</f>
        <v>87</v>
      </c>
      <c r="AK3" s="54">
        <f>IFERROR(__xludf.DUMMYFUNCTION("IFERROR(
  VLOOKUP(
    A3,
    IMPORTRANGE(
      ""1SCYQd7_cobOYqT0r_F0IqD4tE4rYn5y8Eup4PJTH8es"",
      ""Snapshot!A:M""
    ),
    9,
    FALSE
  ),
  0
)
"),3.0)</f>
        <v>3</v>
      </c>
      <c r="AL3" s="54">
        <f>IFERROR(__xludf.DUMMYFUNCTION("IFERROR(
  VLOOKUP(
    A3,
    IMPORTRANGE(
      ""1SCYQd7_cobOYqT0r_F0IqD4tE4rYn5y8Eup4PJTH8es"",
      ""Snapshot!A:M""
    ),
    13,
    FALSE
  ),
  0
)
"),3.0)</f>
        <v>3</v>
      </c>
    </row>
    <row r="4">
      <c r="A4" s="3" t="s">
        <v>278</v>
      </c>
      <c r="B4" s="1" t="str">
        <f>IFERROR(__xludf.DUMMYFUNCTION("IFERROR(
  VLOOKUP(
    A4,
    IMPORTRANGE(
      ""1ZygntHC1J6IxzKbTidmOyf5nUyW4GCLurHCjexrLm_o"",
      ""HTMLキャッシュ!A:F""
    ),
    2,
    FALSE
  ),
  0
)
"),"TP")</f>
        <v>TP</v>
      </c>
      <c r="C4" s="1" t="str">
        <f>IFERROR(__xludf.DUMMYFUNCTION("IFERROR(
  VLOOKUP(
    A4,
    IMPORTRANGE(
      ""1ZygntHC1J6IxzKbTidmOyf5nUyW4GCLurHCjexrLm_o"",
      ""HTMLキャッシュ!A:F""
    ),
    5,
    FALSE
  ),
  0
)
"),"古典専門塾かきつばた｜古文・漢文の個別指導｜教室・オンライン")</f>
        <v>古典専門塾かきつばた｜古文・漢文の個別指導｜教室・オンライン</v>
      </c>
      <c r="D4" s="1" t="str">
        <f>IFERROR(__xludf.DUMMYFUNCTION("IFERROR(
  VLOOKUP(
    A4,
    IMPORTRANGE(
      ""1ZygntHC1J6IxzKbTidmOyf5nUyW4GCLurHCjexrLm_o        "",
      ""HTMLキャッシュ!A:F""
    ),
    6,
    FALSE
  ),
  0
)
"),"古典専門塾かきつばた。古文・漢文の完全1対1個別指導。定期試験から大学受験まで、教室・オンラインで現状に合わせて学習を進めます。トライアル相談対応。")</f>
        <v>古典専門塾かきつばた。古文・漢文の完全1対1個別指導。定期試験から大学受験まで、教室・オンラインで現状に合わせて学習を進めます。トライアル相談対応。</v>
      </c>
      <c r="E4" s="49">
        <f t="shared" ref="E4:F4" si="11">LEN(C4)</f>
        <v>30</v>
      </c>
      <c r="F4" s="49">
        <f t="shared" si="11"/>
        <v>74</v>
      </c>
      <c r="G4" s="32">
        <f>IFERROR(__xludf.DUMMYFUNCTION("IFERROR(
  VLOOKUP(
    A4,
    IMPORTRANGE(
      ""1ZygntHC1J6IxzKbTidmOyf5nUyW4GCLurHCjexrLm_o        "",
      ""HTMLキャッシュ!A:F""
    ),
    3,
    FALSE
  ),
  0
)
"),46078.67386574074)</f>
        <v>46078.67387</v>
      </c>
      <c r="H4" s="49">
        <f>IFERROR(__xludf.DUMMYFUNCTION("IFERROR(
  VLOOKUP(
    A4,
    IMPORTRANGE(
      ""1ZHMy3vVUd_0MrSduXTe1etBb1HNpAlGwQr006ljwMiM"",
      ""GSC最新!A:F""
    ),
    2,
    FALSE
  ),
  0
)
"),61.0)</f>
        <v>61</v>
      </c>
      <c r="I4" s="49">
        <f>IFERROR(__xludf.DUMMYFUNCTION("IFERROR(
  VLOOKUP(
    A4,
    IMPORTRANGE(
      ""1ZHMy3vVUd_0MrSduXTe1etBb1HNpAlGwQr006ljwMiM"",
      ""GSC最新!A:F""
    ),
    3,
    FALSE
  ),
  0
)
"),231.0)</f>
        <v>231</v>
      </c>
      <c r="J4" s="49">
        <f>IFERROR(__xludf.DUMMYFUNCTION("IFERROR(
  VLOOKUP(
    A4,
    IMPORTRANGE(
      ""1ZHMy3vVUd_0MrSduXTe1etBb1HNpAlGwQr006ljwMiM"",
      ""GSC最新!A:F""
    ),
    4,
    FALSE
  ),
  0
)
"),67.0)</f>
        <v>67</v>
      </c>
      <c r="K4" s="49">
        <f>IFERROR(__xludf.DUMMYFUNCTION("IFERROR(
  VLOOKUP(
    A4,
    IMPORTRANGE(
      ""1ZHMy3vVUd_0MrSduXTe1etBb1HNpAlGwQr006ljwMiM"",
      ""GSC最新!A:F""
    ),
    5,
    FALSE
  ),
  0
)
"),179.0)</f>
        <v>179</v>
      </c>
      <c r="L4" s="50">
        <f t="shared" ref="L4:M4" si="12">IFERROR(H4/J4,"-")</f>
        <v>0.9104477612</v>
      </c>
      <c r="M4" s="50">
        <f t="shared" si="12"/>
        <v>1.290502793</v>
      </c>
      <c r="N4" s="6">
        <f>IFERROR(__xludf.DUMMYFUNCTION("IFERROR(
  VLOOKUP(
    A4,
    IMPORTRANGE(
      ""1ZHMy3vVUd_0MrSduXTe1etBb1HNpAlGwQr006ljwMiM"",
      ""GSC最新!A:R""
    ),
    7,
    FALSE
  ),
  0
)
"),959.0)</f>
        <v>959</v>
      </c>
      <c r="O4" s="6">
        <f>IFERROR(__xludf.DUMMYFUNCTION("IFERROR(
  VLOOKUP(
    A4,
    IMPORTRANGE(
      ""1ZHMy3vVUd_0MrSduXTe1etBb1HNpAlGwQr006ljwMiM"",
      ""GSC最新!A:R""
    ),
    10,
    FALSE
  ),
  0
)
"),2677.0)</f>
        <v>2677</v>
      </c>
      <c r="P4" s="6">
        <f>IFERROR(__xludf.DUMMYFUNCTION("IFERROR(
  VLOOKUP(
    A4,
    IMPORTRANGE(
      ""1ZHMy3vVUd_0MrSduXTe1etBb1HNpAlGwQr006ljwMiM"",
      ""GSC最新!A:R""
    ),
    13,
    FALSE
  ),
  0
)
"),808.0)</f>
        <v>808</v>
      </c>
      <c r="Q4" s="6">
        <f>IFERROR(__xludf.DUMMYFUNCTION("IFERROR(
  VLOOKUP(
    A4,
    IMPORTRANGE(
      ""1ZHMy3vVUd_0MrSduXTe1etBb1HNpAlGwQr006ljwMiM"",
      ""GSC最新!A:R""
    ),
    16,
    FALSE
  ),
  0
)
"),2669.0)</f>
        <v>2669</v>
      </c>
      <c r="R4" s="51">
        <f t="shared" ref="R4:S4" si="13">IFERROR(N4/P4,"-")</f>
        <v>1.186881188</v>
      </c>
      <c r="S4" s="51">
        <f t="shared" si="13"/>
        <v>1.002997377</v>
      </c>
      <c r="T4" s="9">
        <f>IFERROR(__xludf.DUMMYFUNCTION("IFERROR(
  VLOOKUP(
    A4,
    IMPORTRANGE(
      ""1ZHMy3vVUd_0MrSduXTe1etBb1HNpAlGwQr006ljwMiM"",
      ""GSC最新!A:R""
    ),
    8,
    FALSE
  ),
  0
)
"),0.06360792492179354)</f>
        <v>0.06360792492</v>
      </c>
      <c r="U4" s="9">
        <f>IFERROR(__xludf.DUMMYFUNCTION("IFERROR(
  VLOOKUP(
    A4,
    IMPORTRANGE(
      ""1ZHMy3vVUd_0MrSduXTe1etBb1HNpAlGwQr006ljwMiM"",
      ""GSC最新!A:R""
    ),
    11,
    FALSE
  ),
  0
)
"),0.08629062383264849)</f>
        <v>0.08629062383</v>
      </c>
      <c r="V4" s="9">
        <f>IFERROR(__xludf.DUMMYFUNCTION("IFERROR(
  VLOOKUP(
    A4,
    IMPORTRANGE(
      ""1ZHMy3vVUd_0MrSduXTe1etBb1HNpAlGwQr006ljwMiM"",
      ""GSC最新!A:R""
    ),
    14,
    FALSE
  ),
  0
)
"),0.08292079207920793)</f>
        <v>0.08292079208</v>
      </c>
      <c r="W4" s="9">
        <f>IFERROR(__xludf.DUMMYFUNCTION("IFERROR(
  VLOOKUP(
    A4,
    IMPORTRANGE(
      ""1ZHMy3vVUd_0MrSduXTe1etBb1HNpAlGwQr006ljwMiM"",
      ""GSC最新!A:R""
    ),
    17,
    FALSE
  ),
  0
)
"),0.06706631697264893)</f>
        <v>0.06706631697</v>
      </c>
      <c r="X4" s="9">
        <f t="shared" ref="X4:Y4" si="14">IFERROR(T4-V4,"-")</f>
        <v>-0.01931286716</v>
      </c>
      <c r="Y4" s="9">
        <f t="shared" si="14"/>
        <v>0.01922430686</v>
      </c>
      <c r="Z4" s="52">
        <f>IFERROR(__xludf.DUMMYFUNCTION("IFERROR(
  VLOOKUP(
    A4,
    IMPORTRANGE(
      ""1ZHMy3vVUd_0MrSduXTe1etBb1HNpAlGwQr006ljwMiM"",
      ""GSC最新!A:R""
    ),
    9,
    FALSE
  ),
  0
)
"),6.122002085505735)</f>
        <v>6.122002086</v>
      </c>
      <c r="AA4" s="52">
        <f>IFERROR(__xludf.DUMMYFUNCTION("IFERROR(
  VLOOKUP(
    A4,
    IMPORTRANGE(
      ""1ZHMy3vVUd_0MrSduXTe1etBb1HNpAlGwQr006ljwMiM"",
      ""GSC最新!A:R""
    ),
    12,
    FALSE
  ),
  0
)
"),5.264475158759805)</f>
        <v>5.264475159</v>
      </c>
      <c r="AB4" s="52">
        <f>IFERROR(__xludf.DUMMYFUNCTION("IFERROR(
  VLOOKUP(
    A4,
    IMPORTRANGE(
      ""1ZHMy3vVUd_0MrSduXTe1etBb1HNpAlGwQr006ljwMiM"",
      ""GSC最新!A:R""
    ),
    15,
    FALSE
  ),
  0
)
"),5.301980198019802)</f>
        <v>5.301980198</v>
      </c>
      <c r="AC4" s="52">
        <f>IFERROR(__xludf.DUMMYFUNCTION("IFERROR(
  VLOOKUP(
    A4,
    IMPORTRANGE(
      ""1ZHMy3vVUd_0MrSduXTe1etBb1HNpAlGwQr006ljwMiM"",
      ""GSC最新!A:R""
    ),
    18,
    FALSE
  ),
  0
)
"),7.1225177969276885)</f>
        <v>7.122517797</v>
      </c>
      <c r="AD4" s="52">
        <f t="shared" ref="AD4:AE4" si="15">Z4-AB4</f>
        <v>0.8200218875</v>
      </c>
      <c r="AE4" s="52">
        <f t="shared" si="15"/>
        <v>-1.858042638</v>
      </c>
      <c r="AF4" s="53">
        <f>IFERROR(__xludf.DUMMYFUNCTION("IFERROR(
  VLOOKUP(
    A4,
    IMPORTRANGE(
      ""1ZHMy3vVUd_0MrSduXTe1etBb1HNpAlGwQr006ljwMiM"",
      ""GSC最新!A:F""
    ),
    6,
    FALSE
  ),
  0
)
"),46081.0)</f>
        <v>46081</v>
      </c>
      <c r="AG4" s="54">
        <f>IFERROR(__xludf.DUMMYFUNCTION("IFERROR(
  VLOOKUP(
    A4,
    IMPORTRANGE(
      ""1SCYQd7_cobOYqT0r_F0IqD4tE4rYn5y8Eup4PJTH8es"",
      ""Snapshot!A:M""
    ),
    5,
    FALSE
  ),
  ""-""
)
"),9.0)</f>
        <v>9</v>
      </c>
      <c r="AH4" s="54">
        <f>IFERROR(__xludf.DUMMYFUNCTION("IFERROR(
  VLOOKUP(
    A4,
    IMPORTRANGE(
      ""1SCYQd7_cobOYqT0r_F0IqD4tE4rYn5y8Eup4PJTH8es"",
      ""Snapshot!A:M""
    ),
    6,
    FALSE
  ),
  0
)
"),3.0)</f>
        <v>3</v>
      </c>
      <c r="AI4" s="54">
        <f>IFERROR(__xludf.DUMMYFUNCTION("IFERROR(
  VLOOKUP(
    A4,
    IMPORTRANGE(
      ""1SCYQd7_cobOYqT0r_F0IqD4tE4rYn5y8Eup4PJTH8es"",
      ""Snapshot!A:M""
    ),
    7,
    FALSE
  ),
  0
)
"),2356.0)</f>
        <v>2356</v>
      </c>
      <c r="AJ4" s="54">
        <f>IFERROR(__xludf.DUMMYFUNCTION("IFERROR(
  VLOOKUP(
    A4,
    IMPORTRANGE(
      ""1SCYQd7_cobOYqT0r_F0IqD4tE4rYn5y8Eup4PJTH8es"",
      ""Snapshot!A:M""
    ),
    8,
    FALSE
  ),
  0
)
"),12.0)</f>
        <v>12</v>
      </c>
      <c r="AK4" s="54">
        <f>IFERROR(__xludf.DUMMYFUNCTION("IFERROR(
  VLOOKUP(
    A4,
    IMPORTRANGE(
      ""1SCYQd7_cobOYqT0r_F0IqD4tE4rYn5y8Eup4PJTH8es"",
      ""Snapshot!A:M""
    ),
    9,
    FALSE
  ),
  0
)
"),4.0)</f>
        <v>4</v>
      </c>
      <c r="AL4" s="54">
        <f>IFERROR(__xludf.DUMMYFUNCTION("IFERROR(
  VLOOKUP(
    A4,
    IMPORTRANGE(
      ""1SCYQd7_cobOYqT0r_F0IqD4tE4rYn5y8Eup4PJTH8es"",
      ""Snapshot!A:M""
    ),
    13,
    FALSE
  ),
  0
)
"),1.0)</f>
        <v>1</v>
      </c>
    </row>
    <row r="5">
      <c r="A5" s="3" t="s">
        <v>279</v>
      </c>
      <c r="B5" s="1" t="str">
        <f>IFERROR(__xludf.DUMMYFUNCTION("IFERROR(
  VLOOKUP(
    A5,
    IMPORTRANGE(
      ""1ZygntHC1J6IxzKbTidmOyf5nUyW4GCLurHCjexrLm_o"",
      ""HTMLキャッシュ!A:F""
    ),
    2,
    FALSE
  ),
  0
)
"),"TP")</f>
        <v>TP</v>
      </c>
      <c r="C5" s="1" t="str">
        <f>IFERROR(__xludf.DUMMYFUNCTION("IFERROR(
  VLOOKUP(
    A5,
    IMPORTRANGE(
      ""1ZygntHC1J6IxzKbTidmOyf5nUyW4GCLurHCjexrLm_o"",
      ""HTMLキャッシュ!A:F""
    ),
    5,
    FALSE
  ),
  0
)
"),"中学受験 社会専門塾｜暗記が苦手でも得点源に変える個別指導｜地理・歴史・公民")</f>
        <v>中学受験 社会専門塾｜暗記が苦手でも得点源に変える個別指導｜地理・歴史・公民</v>
      </c>
      <c r="D5" s="1" t="str">
        <f>IFERROR(__xludf.DUMMYFUNCTION("IFERROR(
  VLOOKUP(
    A5,
    IMPORTRANGE(
      ""1ZygntHC1J6IxzKbTidmOyf5nUyW4GCLurHCjexrLm_o        "",
      ""HTMLキャッシュ!A:F""
    ),
    6,
    FALSE
  ),
  0
)
"),"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f>
        <v>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v>
      </c>
      <c r="E5" s="49">
        <f t="shared" ref="E5:F5" si="16">LEN(C5)</f>
        <v>38</v>
      </c>
      <c r="F5" s="49">
        <f t="shared" si="16"/>
        <v>127</v>
      </c>
      <c r="G5" s="32">
        <f>IFERROR(__xludf.DUMMYFUNCTION("IFERROR(
  VLOOKUP(
    A5,
    IMPORTRANGE(
      ""1ZygntHC1J6IxzKbTidmOyf5nUyW4GCLurHCjexrLm_o        "",
      ""HTMLキャッシュ!A:F""
    ),
    3,
    FALSE
  ),
  0
)
"),46067.7527662037)</f>
        <v>46067.75277</v>
      </c>
      <c r="H5" s="49">
        <f>IFERROR(__xludf.DUMMYFUNCTION("IFERROR(
  VLOOKUP(
    A5,
    IMPORTRANGE(
      ""1ZHMy3vVUd_0MrSduXTe1etBb1HNpAlGwQr006ljwMiM"",
      ""GSC最新!A:F""
    ),
    2,
    FALSE
  ),
  0
)
"),54.0)</f>
        <v>54</v>
      </c>
      <c r="I5" s="49">
        <f>IFERROR(__xludf.DUMMYFUNCTION("IFERROR(
  VLOOKUP(
    A5,
    IMPORTRANGE(
      ""1ZHMy3vVUd_0MrSduXTe1etBb1HNpAlGwQr006ljwMiM"",
      ""GSC最新!A:F""
    ),
    3,
    FALSE
  ),
  0
)
"),114.0)</f>
        <v>114</v>
      </c>
      <c r="J5" s="49">
        <f>IFERROR(__xludf.DUMMYFUNCTION("IFERROR(
  VLOOKUP(
    A5,
    IMPORTRANGE(
      ""1ZHMy3vVUd_0MrSduXTe1etBb1HNpAlGwQr006ljwMiM"",
      ""GSC最新!A:F""
    ),
    4,
    FALSE
  ),
  0
)
"),20.0)</f>
        <v>20</v>
      </c>
      <c r="K5" s="49">
        <f>IFERROR(__xludf.DUMMYFUNCTION("IFERROR(
  VLOOKUP(
    A5,
    IMPORTRANGE(
      ""1ZHMy3vVUd_0MrSduXTe1etBb1HNpAlGwQr006ljwMiM"",
      ""GSC最新!A:F""
    ),
    5,
    FALSE
  ),
  0
)
"),48.0)</f>
        <v>48</v>
      </c>
      <c r="L5" s="50">
        <f t="shared" ref="L5:M5" si="17">IFERROR(H5/J5,"-")</f>
        <v>2.7</v>
      </c>
      <c r="M5" s="50">
        <f t="shared" si="17"/>
        <v>2.375</v>
      </c>
      <c r="N5" s="6">
        <f>IFERROR(__xludf.DUMMYFUNCTION("IFERROR(
  VLOOKUP(
    A5,
    IMPORTRANGE(
      ""1ZHMy3vVUd_0MrSduXTe1etBb1HNpAlGwQr006ljwMiM"",
      ""GSC最新!A:R""
    ),
    7,
    FALSE
  ),
  0
)
"),1591.0)</f>
        <v>1591</v>
      </c>
      <c r="O5" s="6">
        <f>IFERROR(__xludf.DUMMYFUNCTION("IFERROR(
  VLOOKUP(
    A5,
    IMPORTRANGE(
      ""1ZHMy3vVUd_0MrSduXTe1etBb1HNpAlGwQr006ljwMiM"",
      ""GSC最新!A:R""
    ),
    10,
    FALSE
  ),
  0
)
"),3589.0)</f>
        <v>3589</v>
      </c>
      <c r="P5" s="6">
        <f>IFERROR(__xludf.DUMMYFUNCTION("IFERROR(
  VLOOKUP(
    A5,
    IMPORTRANGE(
      ""1ZHMy3vVUd_0MrSduXTe1etBb1HNpAlGwQr006ljwMiM"",
      ""GSC最新!A:R""
    ),
    13,
    FALSE
  ),
  0
)
"),452.0)</f>
        <v>452</v>
      </c>
      <c r="Q5" s="6">
        <f>IFERROR(__xludf.DUMMYFUNCTION("IFERROR(
  VLOOKUP(
    A5,
    IMPORTRANGE(
      ""1ZHMy3vVUd_0MrSduXTe1etBb1HNpAlGwQr006ljwMiM"",
      ""GSC最新!A:R""
    ),
    16,
    FALSE
  ),
  0
)
"),1447.0)</f>
        <v>1447</v>
      </c>
      <c r="R5" s="51">
        <f t="shared" ref="R5:S5" si="18">IFERROR(N5/P5,"-")</f>
        <v>3.519911504</v>
      </c>
      <c r="S5" s="51">
        <f t="shared" si="18"/>
        <v>2.480304077</v>
      </c>
      <c r="T5" s="9">
        <f>IFERROR(__xludf.DUMMYFUNCTION("IFERROR(
  VLOOKUP(
    A5,
    IMPORTRANGE(
      ""1ZHMy3vVUd_0MrSduXTe1etBb1HNpAlGwQr006ljwMiM"",
      ""GSC最新!A:R""
    ),
    8,
    FALSE
  ),
  0
)
"),0.0339409176618479)</f>
        <v>0.03394091766</v>
      </c>
      <c r="U5" s="9">
        <f>IFERROR(__xludf.DUMMYFUNCTION("IFERROR(
  VLOOKUP(
    A5,
    IMPORTRANGE(
      ""1ZHMy3vVUd_0MrSduXTe1etBb1HNpAlGwQr006ljwMiM"",
      ""GSC最新!A:R""
    ),
    11,
    FALSE
  ),
  0
)
"),0.03176372248537197)</f>
        <v>0.03176372249</v>
      </c>
      <c r="V5" s="9">
        <f>IFERROR(__xludf.DUMMYFUNCTION("IFERROR(
  VLOOKUP(
    A5,
    IMPORTRANGE(
      ""1ZHMy3vVUd_0MrSduXTe1etBb1HNpAlGwQr006ljwMiM"",
      ""GSC最新!A:R""
    ),
    14,
    FALSE
  ),
  0
)
"),0.04424778761061947)</f>
        <v>0.04424778761</v>
      </c>
      <c r="W5" s="9">
        <f>IFERROR(__xludf.DUMMYFUNCTION("IFERROR(
  VLOOKUP(
    A5,
    IMPORTRANGE(
      ""1ZHMy3vVUd_0MrSduXTe1etBb1HNpAlGwQr006ljwMiM"",
      ""GSC最新!A:R""
    ),
    17,
    FALSE
  ),
  0
)
"),0.0331720801658604)</f>
        <v>0.03317208017</v>
      </c>
      <c r="X5" s="9">
        <f t="shared" ref="X5:Y5" si="19">IFERROR(T5-V5,"-")</f>
        <v>-0.01030686995</v>
      </c>
      <c r="Y5" s="9">
        <f t="shared" si="19"/>
        <v>-0.00140835768</v>
      </c>
      <c r="Z5" s="52">
        <f>IFERROR(__xludf.DUMMYFUNCTION("IFERROR(
  VLOOKUP(
    A5,
    IMPORTRANGE(
      ""1ZHMy3vVUd_0MrSduXTe1etBb1HNpAlGwQr006ljwMiM"",
      ""GSC最新!A:R""
    ),
    9,
    FALSE
  ),
  0
)
"),9.739157762413576)</f>
        <v>9.739157762</v>
      </c>
      <c r="AA5" s="52">
        <f>IFERROR(__xludf.DUMMYFUNCTION("IFERROR(
  VLOOKUP(
    A5,
    IMPORTRANGE(
      ""1ZHMy3vVUd_0MrSduXTe1etBb1HNpAlGwQr006ljwMiM"",
      ""GSC最新!A:R""
    ),
    12,
    FALSE
  ),
  0
)
"),9.838395096127055)</f>
        <v>9.838395096</v>
      </c>
      <c r="AB5" s="52">
        <f>IFERROR(__xludf.DUMMYFUNCTION("IFERROR(
  VLOOKUP(
    A5,
    IMPORTRANGE(
      ""1ZHMy3vVUd_0MrSduXTe1etBb1HNpAlGwQr006ljwMiM"",
      ""GSC最新!A:R""
    ),
    15,
    FALSE
  ),
  0
)
"),11.95796460176991)</f>
        <v>11.9579646</v>
      </c>
      <c r="AC5" s="52">
        <f>IFERROR(__xludf.DUMMYFUNCTION("IFERROR(
  VLOOKUP(
    A5,
    IMPORTRANGE(
      ""1ZHMy3vVUd_0MrSduXTe1etBb1HNpAlGwQr006ljwMiM"",
      ""GSC最新!A:R""
    ),
    18,
    FALSE
  ),
  0
)
"),13.031789910158949)</f>
        <v>13.03178991</v>
      </c>
      <c r="AD5" s="52">
        <f t="shared" ref="AD5:AE5" si="20">Z5-AB5</f>
        <v>-2.218806839</v>
      </c>
      <c r="AE5" s="52">
        <f t="shared" si="20"/>
        <v>-3.193394814</v>
      </c>
      <c r="AF5" s="53">
        <f>IFERROR(__xludf.DUMMYFUNCTION("IFERROR(
  VLOOKUP(
    A5,
    IMPORTRANGE(
      ""1ZHMy3vVUd_0MrSduXTe1etBb1HNpAlGwQr006ljwMiM"",
      ""GSC最新!A:F""
    ),
    6,
    FALSE
  ),
  0
)
"),46081.0)</f>
        <v>46081</v>
      </c>
      <c r="AG5" s="54">
        <f>IFERROR(__xludf.DUMMYFUNCTION("IFERROR(
  VLOOKUP(
    A5,
    IMPORTRANGE(
      ""1SCYQd7_cobOYqT0r_F0IqD4tE4rYn5y8Eup4PJTH8es"",
      ""Snapshot!A:M""
    ),
    5,
    FALSE
  ),
  ""-""
)
"),6.0)</f>
        <v>6</v>
      </c>
      <c r="AH5" s="54">
        <f>IFERROR(__xludf.DUMMYFUNCTION("IFERROR(
  VLOOKUP(
    A5,
    IMPORTRANGE(
      ""1SCYQd7_cobOYqT0r_F0IqD4tE4rYn5y8Eup4PJTH8es"",
      ""Snapshot!A:M""
    ),
    6,
    FALSE
  ),
  0
)
"),9.0)</f>
        <v>9</v>
      </c>
      <c r="AI5" s="54">
        <f>IFERROR(__xludf.DUMMYFUNCTION("IFERROR(
  VLOOKUP(
    A5,
    IMPORTRANGE(
      ""1SCYQd7_cobOYqT0r_F0IqD4tE4rYn5y8Eup4PJTH8es"",
      ""Snapshot!A:M""
    ),
    7,
    FALSE
  ),
  0
)
"),1812.0)</f>
        <v>1812</v>
      </c>
      <c r="AJ5" s="54">
        <f>IFERROR(__xludf.DUMMYFUNCTION("IFERROR(
  VLOOKUP(
    A5,
    IMPORTRANGE(
      ""1SCYQd7_cobOYqT0r_F0IqD4tE4rYn5y8Eup4PJTH8es"",
      ""Snapshot!A:M""
    ),
    8,
    FALSE
  ),
  0
)
"),36.0)</f>
        <v>36</v>
      </c>
      <c r="AK5" s="54">
        <f>IFERROR(__xludf.DUMMYFUNCTION("IFERROR(
  VLOOKUP(
    A5,
    IMPORTRANGE(
      ""1SCYQd7_cobOYqT0r_F0IqD4tE4rYn5y8Eup4PJTH8es"",
      ""Snapshot!A:M""
    ),
    9,
    FALSE
  ),
  0
)
"),1.0)</f>
        <v>1</v>
      </c>
      <c r="AL5" s="54">
        <f>IFERROR(__xludf.DUMMYFUNCTION("IFERROR(
  VLOOKUP(
    A5,
    IMPORTRANGE(
      ""1SCYQd7_cobOYqT0r_F0IqD4tE4rYn5y8Eup4PJTH8es"",
      ""Snapshot!A:M""
    ),
    13,
    FALSE
  ),
  0
)
"),2.0)</f>
        <v>2</v>
      </c>
    </row>
    <row r="6">
      <c r="A6" s="48" t="s">
        <v>280</v>
      </c>
      <c r="B6" s="1" t="str">
        <f>IFERROR(__xludf.DUMMYFUNCTION("IFERROR(
  VLOOKUP(
    A6,
    IMPORTRANGE(
      ""1ZygntHC1J6IxzKbTidmOyf5nUyW4GCLurHCjexrLm_o"",
      ""HTMLキャッシュ!A:F""
    ),
    2,
    FALSE
  ),
  0
)
"),"TP")</f>
        <v>TP</v>
      </c>
      <c r="C6" s="1" t="str">
        <f>IFERROR(__xludf.DUMMYFUNCTION("IFERROR(
  VLOOKUP(
    A6,
    IMPORTRANGE(
      ""1ZygntHC1J6IxzKbTidmOyf5nUyW4GCLurHCjexrLm_o"",
      ""HTMLキャッシュ!A:F""
    ),
    5,
    FALSE
  ),
  0
)
"),"中学受験理科専門塾「しゅん吉クエスト」完全1対1個別指導")</f>
        <v>中学受験理科専門塾「しゅん吉クエスト」完全1対1個別指導</v>
      </c>
      <c r="D6" s="1" t="str">
        <f>IFERROR(__xludf.DUMMYFUNCTION("IFERROR(
  VLOOKUP(
    A6,
    IMPORTRANGE(
      ""1ZygntHC1J6IxzKbTidmOyf5nUyW4GCLurHCjexrLm_o        "",
      ""HTMLキャッシュ!A:F""
    ),
    6,
    FALSE
  ),
  0
)
"),"中学受験理科専門の完全1対1個別。計算用紙・図・条件の拾い方など、解く途中の損を減らして得点につなげます。四ツ谷駅2分＋オンライン対応。")</f>
        <v>中学受験理科専門の完全1対1個別。計算用紙・図・条件の拾い方など、解く途中の損を減らして得点につなげます。四ツ谷駅2分＋オンライン対応。</v>
      </c>
      <c r="E6" s="49">
        <f t="shared" ref="E6:F6" si="21">LEN(C6)</f>
        <v>28</v>
      </c>
      <c r="F6" s="49">
        <f t="shared" si="21"/>
        <v>68</v>
      </c>
      <c r="G6" s="32">
        <f>IFERROR(__xludf.DUMMYFUNCTION("IFERROR(
  VLOOKUP(
    A6,
    IMPORTRANGE(
      ""1ZygntHC1J6IxzKbTidmOyf5nUyW4GCLurHCjexrLm_o        "",
      ""HTMLキャッシュ!A:F""
    ),
    3,
    FALSE
  ),
  0
)
"),46074.57099537037)</f>
        <v>46074.571</v>
      </c>
      <c r="H6" s="49">
        <f>IFERROR(__xludf.DUMMYFUNCTION("IFERROR(
  VLOOKUP(
    A6,
    IMPORTRANGE(
      ""1ZHMy3vVUd_0MrSduXTe1etBb1HNpAlGwQr006ljwMiM"",
      ""GSC最新!A:F""
    ),
    2,
    FALSE
  ),
  0
)
"),38.0)</f>
        <v>38</v>
      </c>
      <c r="I6" s="49">
        <f>IFERROR(__xludf.DUMMYFUNCTION("IFERROR(
  VLOOKUP(
    A6,
    IMPORTRANGE(
      ""1ZHMy3vVUd_0MrSduXTe1etBb1HNpAlGwQr006ljwMiM"",
      ""GSC最新!A:F""
    ),
    3,
    FALSE
  ),
  0
)
"),87.0)</f>
        <v>87</v>
      </c>
      <c r="J6" s="49">
        <f>IFERROR(__xludf.DUMMYFUNCTION("IFERROR(
  VLOOKUP(
    A6,
    IMPORTRANGE(
      ""1ZHMy3vVUd_0MrSduXTe1etBb1HNpAlGwQr006ljwMiM"",
      ""GSC最新!A:F""
    ),
    4,
    FALSE
  ),
  0
)
"),21.0)</f>
        <v>21</v>
      </c>
      <c r="K6" s="49">
        <f>IFERROR(__xludf.DUMMYFUNCTION("IFERROR(
  VLOOKUP(
    A6,
    IMPORTRANGE(
      ""1ZHMy3vVUd_0MrSduXTe1etBb1HNpAlGwQr006ljwMiM"",
      ""GSC最新!A:F""
    ),
    5,
    FALSE
  ),
  0
)
"),66.0)</f>
        <v>66</v>
      </c>
      <c r="L6" s="50">
        <f t="shared" ref="L6:M6" si="22">IFERROR(H6/J6,"-")</f>
        <v>1.80952381</v>
      </c>
      <c r="M6" s="50">
        <f t="shared" si="22"/>
        <v>1.318181818</v>
      </c>
      <c r="N6" s="6">
        <f>IFERROR(__xludf.DUMMYFUNCTION("IFERROR(
  VLOOKUP(
    A6,
    IMPORTRANGE(
      ""1ZHMy3vVUd_0MrSduXTe1etBb1HNpAlGwQr006ljwMiM"",
      ""GSC最新!A:R""
    ),
    7,
    FALSE
  ),
  0
)
"),945.0)</f>
        <v>945</v>
      </c>
      <c r="O6" s="6">
        <f>IFERROR(__xludf.DUMMYFUNCTION("IFERROR(
  VLOOKUP(
    A6,
    IMPORTRANGE(
      ""1ZHMy3vVUd_0MrSduXTe1etBb1HNpAlGwQr006ljwMiM"",
      ""GSC最新!A:R""
    ),
    10,
    FALSE
  ),
  0
)
"),2194.0)</f>
        <v>2194</v>
      </c>
      <c r="P6" s="6">
        <f>IFERROR(__xludf.DUMMYFUNCTION("IFERROR(
  VLOOKUP(
    A6,
    IMPORTRANGE(
      ""1ZHMy3vVUd_0MrSduXTe1etBb1HNpAlGwQr006ljwMiM"",
      ""GSC最新!A:R""
    ),
    13,
    FALSE
  ),
  0
)
"),696.0)</f>
        <v>696</v>
      </c>
      <c r="Q6" s="6">
        <f>IFERROR(__xludf.DUMMYFUNCTION("IFERROR(
  VLOOKUP(
    A6,
    IMPORTRANGE(
      ""1ZHMy3vVUd_0MrSduXTe1etBb1HNpAlGwQr006ljwMiM"",
      ""GSC最新!A:R""
    ),
    16,
    FALSE
  ),
  0
)
"),2220.0)</f>
        <v>2220</v>
      </c>
      <c r="R6" s="51">
        <f t="shared" ref="R6:S6" si="23">IFERROR(N6/P6,"-")</f>
        <v>1.357758621</v>
      </c>
      <c r="S6" s="51">
        <f t="shared" si="23"/>
        <v>0.9882882883</v>
      </c>
      <c r="T6" s="9">
        <f>IFERROR(__xludf.DUMMYFUNCTION("IFERROR(
  VLOOKUP(
    A6,
    IMPORTRANGE(
      ""1ZHMy3vVUd_0MrSduXTe1etBb1HNpAlGwQr006ljwMiM"",
      ""GSC最新!A:R""
    ),
    8,
    FALSE
  ),
  0
)
"),0.04021164021164021)</f>
        <v>0.04021164021</v>
      </c>
      <c r="U6" s="9">
        <f>IFERROR(__xludf.DUMMYFUNCTION("IFERROR(
  VLOOKUP(
    A6,
    IMPORTRANGE(
      ""1ZHMy3vVUd_0MrSduXTe1etBb1HNpAlGwQr006ljwMiM"",
      ""GSC最新!A:R""
    ),
    11,
    FALSE
  ),
  0
)
"),0.03965360072926162)</f>
        <v>0.03965360073</v>
      </c>
      <c r="V6" s="9">
        <f>IFERROR(__xludf.DUMMYFUNCTION("IFERROR(
  VLOOKUP(
    A6,
    IMPORTRANGE(
      ""1ZHMy3vVUd_0MrSduXTe1etBb1HNpAlGwQr006ljwMiM"",
      ""GSC最新!A:R""
    ),
    14,
    FALSE
  ),
  0
)
"),0.03017241379310345)</f>
        <v>0.03017241379</v>
      </c>
      <c r="W6" s="9">
        <f>IFERROR(__xludf.DUMMYFUNCTION("IFERROR(
  VLOOKUP(
    A6,
    IMPORTRANGE(
      ""1ZHMy3vVUd_0MrSduXTe1etBb1HNpAlGwQr006ljwMiM"",
      ""GSC最新!A:R""
    ),
    17,
    FALSE
  ),
  0
)
"),0.02972972972972973)</f>
        <v>0.02972972973</v>
      </c>
      <c r="X6" s="9">
        <f t="shared" ref="X6:Y6" si="24">IFERROR(T6-V6,"-")</f>
        <v>0.01003922642</v>
      </c>
      <c r="Y6" s="9">
        <f t="shared" si="24"/>
        <v>0.009923871</v>
      </c>
      <c r="Z6" s="52">
        <f>IFERROR(__xludf.DUMMYFUNCTION("IFERROR(
  VLOOKUP(
    A6,
    IMPORTRANGE(
      ""1ZHMy3vVUd_0MrSduXTe1etBb1HNpAlGwQr006ljwMiM"",
      ""GSC最新!A:R""
    ),
    9,
    FALSE
  ),
  0
)
"),7.911111111111111)</f>
        <v>7.911111111</v>
      </c>
      <c r="AA6" s="52">
        <f>IFERROR(__xludf.DUMMYFUNCTION("IFERROR(
  VLOOKUP(
    A6,
    IMPORTRANGE(
      ""1ZHMy3vVUd_0MrSduXTe1etBb1HNpAlGwQr006ljwMiM"",
      ""GSC最新!A:R""
    ),
    12,
    FALSE
  ),
  0
)
"),7.420237010027347)</f>
        <v>7.42023701</v>
      </c>
      <c r="AB6" s="52">
        <f>IFERROR(__xludf.DUMMYFUNCTION("IFERROR(
  VLOOKUP(
    A6,
    IMPORTRANGE(
      ""1ZHMy3vVUd_0MrSduXTe1etBb1HNpAlGwQr006ljwMiM"",
      ""GSC最新!A:R""
    ),
    15,
    FALSE
  ),
  0
)
"),12.813218390804598)</f>
        <v>12.81321839</v>
      </c>
      <c r="AC6" s="52">
        <f>IFERROR(__xludf.DUMMYFUNCTION("IFERROR(
  VLOOKUP(
    A6,
    IMPORTRANGE(
      ""1ZHMy3vVUd_0MrSduXTe1etBb1HNpAlGwQr006ljwMiM"",
      ""GSC最新!A:R""
    ),
    18,
    FALSE
  ),
  0
)
"),12.611711711711711)</f>
        <v>12.61171171</v>
      </c>
      <c r="AD6" s="52">
        <f t="shared" ref="AD6:AE6" si="25">Z6-AB6</f>
        <v>-4.90210728</v>
      </c>
      <c r="AE6" s="52">
        <f t="shared" si="25"/>
        <v>-5.191474702</v>
      </c>
      <c r="AF6" s="53">
        <f>IFERROR(__xludf.DUMMYFUNCTION("IFERROR(
  VLOOKUP(
    A6,
    IMPORTRANGE(
      ""1ZHMy3vVUd_0MrSduXTe1etBb1HNpAlGwQr006ljwMiM"",
      ""GSC最新!A:F""
    ),
    6,
    FALSE
  ),
  0
)
"),46081.0)</f>
        <v>46081</v>
      </c>
      <c r="AG6" s="54">
        <f>IFERROR(__xludf.DUMMYFUNCTION("IFERROR(
  VLOOKUP(
    A6,
    IMPORTRANGE(
      ""1SCYQd7_cobOYqT0r_F0IqD4tE4rYn5y8Eup4PJTH8es"",
      ""Snapshot!A:M""
    ),
    5,
    FALSE
  ),
  ""-""
)
"),6.0)</f>
        <v>6</v>
      </c>
      <c r="AH6" s="54">
        <f>IFERROR(__xludf.DUMMYFUNCTION("IFERROR(
  VLOOKUP(
    A6,
    IMPORTRANGE(
      ""1SCYQd7_cobOYqT0r_F0IqD4tE4rYn5y8Eup4PJTH8es"",
      ""Snapshot!A:M""
    ),
    6,
    FALSE
  ),
  0
)
"),27.0)</f>
        <v>27</v>
      </c>
      <c r="AI6" s="54">
        <f>IFERROR(__xludf.DUMMYFUNCTION("IFERROR(
  VLOOKUP(
    A6,
    IMPORTRANGE(
      ""1SCYQd7_cobOYqT0r_F0IqD4tE4rYn5y8Eup4PJTH8es"",
      ""Snapshot!A:M""
    ),
    7,
    FALSE
  ),
  0
)
"),2909.0)</f>
        <v>2909</v>
      </c>
      <c r="AJ6" s="54">
        <f>IFERROR(__xludf.DUMMYFUNCTION("IFERROR(
  VLOOKUP(
    A6,
    IMPORTRANGE(
      ""1SCYQd7_cobOYqT0r_F0IqD4tE4rYn5y8Eup4PJTH8es"",
      ""Snapshot!A:M""
    ),
    8,
    FALSE
  ),
  0
)
"),10.0)</f>
        <v>10</v>
      </c>
      <c r="AK6" s="54">
        <f>IFERROR(__xludf.DUMMYFUNCTION("IFERROR(
  VLOOKUP(
    A6,
    IMPORTRANGE(
      ""1SCYQd7_cobOYqT0r_F0IqD4tE4rYn5y8Eup4PJTH8es"",
      ""Snapshot!A:M""
    ),
    9,
    FALSE
  ),
  0
)
"),6.0)</f>
        <v>6</v>
      </c>
      <c r="AL6" s="54">
        <f>IFERROR(__xludf.DUMMYFUNCTION("IFERROR(
  VLOOKUP(
    A6,
    IMPORTRANGE(
      ""1SCYQd7_cobOYqT0r_F0IqD4tE4rYn5y8Eup4PJTH8es"",
      ""Snapshot!A:M""
    ),
    13,
    FALSE
  ),
  0
)
"),2.0)</f>
        <v>2</v>
      </c>
    </row>
    <row r="7">
      <c r="A7" s="3" t="s">
        <v>281</v>
      </c>
      <c r="B7" s="1" t="str">
        <f>IFERROR(__xludf.DUMMYFUNCTION("IFERROR(
  VLOOKUP(
    A7,
    IMPORTRANGE(
      ""1ZygntHC1J6IxzKbTidmOyf5nUyW4GCLurHCjexrLm_o"",
      ""HTMLキャッシュ!A:F""
    ),
    2,
    FALSE
  ),
  0
)
"),"TP")</f>
        <v>TP</v>
      </c>
      <c r="C7" s="1" t="str">
        <f>IFERROR(__xludf.DUMMYFUNCTION("IFERROR(
  VLOOKUP(
    A7,
    IMPORTRANGE(
      ""1ZygntHC1J6IxzKbTidmOyf5nUyW4GCLurHCjexrLm_o"",
      ""HTMLキャッシュ!A:F""
    ),
    5,
    FALSE
  ),
  0
)
"),"エスコット｜定期試験と受験を両立｜中高一貫校１対１塾")</f>
        <v>エスコット｜定期試験と受験を両立｜中高一貫校１対１塾</v>
      </c>
      <c r="D7" s="1" t="str">
        <f>IFERROR(__xludf.DUMMYFUNCTION("IFERROR(
  VLOOKUP(
    A7,
    IMPORTRANGE(
      ""1ZygntHC1J6IxzKbTidmOyf5nUyW4GCLurHCjexrLm_o        "",
      ""HTMLキャッシュ!A:F""
    ),
    6,
    FALSE
  ),
  0
)
"),"中高一貫校専門エスコット。完全１対１で英数国の定期試験対策から大学受験まで一つにまとめる。東京四谷と全国オンライン対応。電子黒板で考え方を見える化し定着へ。")</f>
        <v>中高一貫校専門エスコット。完全１対１で英数国の定期試験対策から大学受験まで一つにまとめる。東京四谷と全国オンライン対応。電子黒板で考え方を見える化し定着へ。</v>
      </c>
      <c r="E7" s="49">
        <f t="shared" ref="E7:F7" si="26">LEN(C7)</f>
        <v>26</v>
      </c>
      <c r="F7" s="49">
        <f t="shared" si="26"/>
        <v>78</v>
      </c>
      <c r="G7" s="32">
        <f>IFERROR(__xludf.DUMMYFUNCTION("IFERROR(
  VLOOKUP(
    A7,
    IMPORTRANGE(
      ""1ZygntHC1J6IxzKbTidmOyf5nUyW4GCLurHCjexrLm_o        "",
      ""HTMLキャッシュ!A:F""
    ),
    3,
    FALSE
  ),
  0
)
"),46071.899930555555)</f>
        <v>46071.89993</v>
      </c>
      <c r="H7" s="49">
        <f>IFERROR(__xludf.DUMMYFUNCTION("IFERROR(
  VLOOKUP(
    A7,
    IMPORTRANGE(
      ""1ZHMy3vVUd_0MrSduXTe1etBb1HNpAlGwQr006ljwMiM"",
      ""GSC最新!A:F""
    ),
    2,
    FALSE
  ),
  0
)
"),28.0)</f>
        <v>28</v>
      </c>
      <c r="I7" s="49">
        <f>IFERROR(__xludf.DUMMYFUNCTION("IFERROR(
  VLOOKUP(
    A7,
    IMPORTRANGE(
      ""1ZHMy3vVUd_0MrSduXTe1etBb1HNpAlGwQr006ljwMiM"",
      ""GSC最新!A:F""
    ),
    3,
    FALSE
  ),
  0
)
"),68.0)</f>
        <v>68</v>
      </c>
      <c r="J7" s="49">
        <f>IFERROR(__xludf.DUMMYFUNCTION("IFERROR(
  VLOOKUP(
    A7,
    IMPORTRANGE(
      ""1ZHMy3vVUd_0MrSduXTe1etBb1HNpAlGwQr006ljwMiM"",
      ""GSC最新!A:F""
    ),
    4,
    FALSE
  ),
  0
)
"),24.0)</f>
        <v>24</v>
      </c>
      <c r="K7" s="49">
        <f>IFERROR(__xludf.DUMMYFUNCTION("IFERROR(
  VLOOKUP(
    A7,
    IMPORTRANGE(
      ""1ZHMy3vVUd_0MrSduXTe1etBb1HNpAlGwQr006ljwMiM"",
      ""GSC最新!A:F""
    ),
    5,
    FALSE
  ),
  0
)
"),53.0)</f>
        <v>53</v>
      </c>
      <c r="L7" s="50">
        <f t="shared" ref="L7:M7" si="27">IFERROR(H7/J7,"-")</f>
        <v>1.166666667</v>
      </c>
      <c r="M7" s="50">
        <f t="shared" si="27"/>
        <v>1.283018868</v>
      </c>
      <c r="N7" s="6">
        <f>IFERROR(__xludf.DUMMYFUNCTION("IFERROR(
  VLOOKUP(
    A7,
    IMPORTRANGE(
      ""1ZHMy3vVUd_0MrSduXTe1etBb1HNpAlGwQr006ljwMiM"",
      ""GSC最新!A:R""
    ),
    7,
    FALSE
  ),
  0
)
"),1063.0)</f>
        <v>1063</v>
      </c>
      <c r="O7" s="6">
        <f>IFERROR(__xludf.DUMMYFUNCTION("IFERROR(
  VLOOKUP(
    A7,
    IMPORTRANGE(
      ""1ZHMy3vVUd_0MrSduXTe1etBb1HNpAlGwQr006ljwMiM"",
      ""GSC最新!A:R""
    ),
    10,
    FALSE
  ),
  0
)
"),2875.0)</f>
        <v>2875</v>
      </c>
      <c r="P7" s="6">
        <f>IFERROR(__xludf.DUMMYFUNCTION("IFERROR(
  VLOOKUP(
    A7,
    IMPORTRANGE(
      ""1ZHMy3vVUd_0MrSduXTe1etBb1HNpAlGwQr006ljwMiM"",
      ""GSC最新!A:R""
    ),
    13,
    FALSE
  ),
  0
)
"),2255.0)</f>
        <v>2255</v>
      </c>
      <c r="Q7" s="6">
        <f>IFERROR(__xludf.DUMMYFUNCTION("IFERROR(
  VLOOKUP(
    A7,
    IMPORTRANGE(
      ""1ZHMy3vVUd_0MrSduXTe1etBb1HNpAlGwQr006ljwMiM"",
      ""GSC最新!A:R""
    ),
    16,
    FALSE
  ),
  0
)
"),5775.0)</f>
        <v>5775</v>
      </c>
      <c r="R7" s="51">
        <f t="shared" ref="R7:S7" si="28">IFERROR(N7/P7,"-")</f>
        <v>0.4713968958</v>
      </c>
      <c r="S7" s="51">
        <f t="shared" si="28"/>
        <v>0.4978354978</v>
      </c>
      <c r="T7" s="9">
        <f>IFERROR(__xludf.DUMMYFUNCTION("IFERROR(
  VLOOKUP(
    A7,
    IMPORTRANGE(
      ""1ZHMy3vVUd_0MrSduXTe1etBb1HNpAlGwQr006ljwMiM"",
      ""GSC最新!A:R""
    ),
    8,
    FALSE
  ),
  0
)
"),0.02634054562558796)</f>
        <v>0.02634054563</v>
      </c>
      <c r="U7" s="9">
        <f>IFERROR(__xludf.DUMMYFUNCTION("IFERROR(
  VLOOKUP(
    A7,
    IMPORTRANGE(
      ""1ZHMy3vVUd_0MrSduXTe1etBb1HNpAlGwQr006ljwMiM"",
      ""GSC最新!A:R""
    ),
    11,
    FALSE
  ),
  0
)
"),0.02365217391304348)</f>
        <v>0.02365217391</v>
      </c>
      <c r="V7" s="9">
        <f>IFERROR(__xludf.DUMMYFUNCTION("IFERROR(
  VLOOKUP(
    A7,
    IMPORTRANGE(
      ""1ZHMy3vVUd_0MrSduXTe1etBb1HNpAlGwQr006ljwMiM"",
      ""GSC最新!A:R""
    ),
    14,
    FALSE
  ),
  0
)
"),0.010643015521064302)</f>
        <v>0.01064301552</v>
      </c>
      <c r="W7" s="9">
        <f>IFERROR(__xludf.DUMMYFUNCTION("IFERROR(
  VLOOKUP(
    A7,
    IMPORTRANGE(
      ""1ZHMy3vVUd_0MrSduXTe1etBb1HNpAlGwQr006ljwMiM"",
      ""GSC最新!A:R""
    ),
    17,
    FALSE
  ),
  0
)
"),0.009177489177489178)</f>
        <v>0.009177489177</v>
      </c>
      <c r="X7" s="9">
        <f t="shared" ref="X7:Y7" si="29">IFERROR(T7-V7,"-")</f>
        <v>0.0156975301</v>
      </c>
      <c r="Y7" s="9">
        <f t="shared" si="29"/>
        <v>0.01447468474</v>
      </c>
      <c r="Z7" s="52">
        <f>IFERROR(__xludf.DUMMYFUNCTION("IFERROR(
  VLOOKUP(
    A7,
    IMPORTRANGE(
      ""1ZHMy3vVUd_0MrSduXTe1etBb1HNpAlGwQr006ljwMiM"",
      ""GSC最新!A:R""
    ),
    9,
    FALSE
  ),
  0
)
"),9.852304797742239)</f>
        <v>9.852304798</v>
      </c>
      <c r="AA7" s="52">
        <f>IFERROR(__xludf.DUMMYFUNCTION("IFERROR(
  VLOOKUP(
    A7,
    IMPORTRANGE(
      ""1ZHMy3vVUd_0MrSduXTe1etBb1HNpAlGwQr006ljwMiM"",
      ""GSC最新!A:R""
    ),
    12,
    FALSE
  ),
  0
)
"),7.866434782608696)</f>
        <v>7.866434783</v>
      </c>
      <c r="AB7" s="52">
        <f>IFERROR(__xludf.DUMMYFUNCTION("IFERROR(
  VLOOKUP(
    A7,
    IMPORTRANGE(
      ""1ZHMy3vVUd_0MrSduXTe1etBb1HNpAlGwQr006ljwMiM"",
      ""GSC最新!A:R""
    ),
    15,
    FALSE
  ),
  0
)
"),35.450110864745014)</f>
        <v>35.45011086</v>
      </c>
      <c r="AC7" s="52">
        <f>IFERROR(__xludf.DUMMYFUNCTION("IFERROR(
  VLOOKUP(
    A7,
    IMPORTRANGE(
      ""1ZHMy3vVUd_0MrSduXTe1etBb1HNpAlGwQr006ljwMiM"",
      ""GSC最新!A:R""
    ),
    18,
    FALSE
  ),
  0
)
"),39.37974025974026)</f>
        <v>39.37974026</v>
      </c>
      <c r="AD7" s="52">
        <f t="shared" ref="AD7:AE7" si="30">Z7-AB7</f>
        <v>-25.59780607</v>
      </c>
      <c r="AE7" s="52">
        <f t="shared" si="30"/>
        <v>-31.51330548</v>
      </c>
      <c r="AF7" s="53">
        <f>IFERROR(__xludf.DUMMYFUNCTION("IFERROR(
  VLOOKUP(
    A7,
    IMPORTRANGE(
      ""1ZHMy3vVUd_0MrSduXTe1etBb1HNpAlGwQr006ljwMiM"",
      ""GSC最新!A:F""
    ),
    6,
    FALSE
  ),
  0
)
"),46081.0)</f>
        <v>46081</v>
      </c>
      <c r="AG7" s="54">
        <f>IFERROR(__xludf.DUMMYFUNCTION("IFERROR(
  VLOOKUP(
    A7,
    IMPORTRANGE(
      ""1SCYQd7_cobOYqT0r_F0IqD4tE4rYn5y8Eup4PJTH8es"",
      ""Snapshot!A:M""
    ),
    5,
    FALSE
  ),
  ""-""
)
"),9.0)</f>
        <v>9</v>
      </c>
      <c r="AH7" s="54">
        <f>IFERROR(__xludf.DUMMYFUNCTION("IFERROR(
  VLOOKUP(
    A7,
    IMPORTRANGE(
      ""1SCYQd7_cobOYqT0r_F0IqD4tE4rYn5y8Eup4PJTH8es"",
      ""Snapshot!A:M""
    ),
    6,
    FALSE
  ),
  0
)
"),17.0)</f>
        <v>17</v>
      </c>
      <c r="AI7" s="54">
        <f>IFERROR(__xludf.DUMMYFUNCTION("IFERROR(
  VLOOKUP(
    A7,
    IMPORTRANGE(
      ""1SCYQd7_cobOYqT0r_F0IqD4tE4rYn5y8Eup4PJTH8es"",
      ""Snapshot!A:M""
    ),
    7,
    FALSE
  ),
  0
)
"),4492.0)</f>
        <v>4492</v>
      </c>
      <c r="AJ7" s="54">
        <f>IFERROR(__xludf.DUMMYFUNCTION("IFERROR(
  VLOOKUP(
    A7,
    IMPORTRANGE(
      ""1SCYQd7_cobOYqT0r_F0IqD4tE4rYn5y8Eup4PJTH8es"",
      ""Snapshot!A:M""
    ),
    8,
    FALSE
  ),
  0
)
"),57.0)</f>
        <v>57</v>
      </c>
      <c r="AK7" s="54">
        <f>IFERROR(__xludf.DUMMYFUNCTION("IFERROR(
  VLOOKUP(
    A7,
    IMPORTRANGE(
      ""1SCYQd7_cobOYqT0r_F0IqD4tE4rYn5y8Eup4PJTH8es"",
      ""Snapshot!A:M""
    ),
    9,
    FALSE
  ),
  0
)
"),3.0)</f>
        <v>3</v>
      </c>
      <c r="AL7" s="54">
        <f>IFERROR(__xludf.DUMMYFUNCTION("IFERROR(
  VLOOKUP(
    A7,
    IMPORTRANGE(
      ""1SCYQd7_cobOYqT0r_F0IqD4tE4rYn5y8Eup4PJTH8es"",
      ""Snapshot!A:M""
    ),
    13,
    FALSE
  ),
  0
)
"),2.0)</f>
        <v>2</v>
      </c>
    </row>
    <row r="8">
      <c r="A8" s="3" t="s">
        <v>282</v>
      </c>
      <c r="B8" s="1" t="str">
        <f>IFERROR(__xludf.DUMMYFUNCTION("IFERROR(
  VLOOKUP(
    A8,
    IMPORTRANGE(
      ""1ZygntHC1J6IxzKbTidmOyf5nUyW4GCLurHCjexrLm_o"",
      ""HTMLキャッシュ!A:F""
    ),
    2,
    FALSE
  ),
  0
)
"),"TP")</f>
        <v>TP</v>
      </c>
      <c r="C8" s="1" t="str">
        <f>IFERROR(__xludf.DUMMYFUNCTION("IFERROR(
  VLOOKUP(
    A8,
    IMPORTRANGE(
      ""1ZygntHC1J6IxzKbTidmOyf5nUyW4GCLurHCjexrLm_o"",
      ""HTMLキャッシュ!A:F""
    ),
    5,
    FALSE
  ),
  0
)
"),"受験英語専門ゼミRe-Write｜四ツ谷・オンライン｜個別指導")</f>
        <v>受験英語専門ゼミRe-Write｜四ツ谷・オンライン｜個別指導</v>
      </c>
      <c r="D8" s="1" t="str">
        <f>IFERROR(__xludf.DUMMYFUNCTION("IFERROR(
  VLOOKUP(
    A8,
    IMPORTRANGE(
      ""1ZygntHC1J6IxzKbTidmOyf5nUyW4GCLurHCjexrLm_o        "",
      ""HTMLキャッシュ!A:F""
    ),
    6,
    FALSE
  ),
  0
)
"),"受験英語専門ゼミRe-Write 四ツ谷教室／オンライン対応。完全1対1の個別指導＋講座で、読解・文法・英作文を目的別に強化。")</f>
        <v>受験英語専門ゼミRe-Write 四ツ谷教室／オンライン対応。完全1対1の個別指導＋講座で、読解・文法・英作文を目的別に強化。</v>
      </c>
      <c r="E8" s="49">
        <f t="shared" ref="E8:F8" si="31">LEN(C8)</f>
        <v>31</v>
      </c>
      <c r="F8" s="49">
        <f t="shared" si="31"/>
        <v>63</v>
      </c>
      <c r="G8" s="32">
        <f>IFERROR(__xludf.DUMMYFUNCTION("IFERROR(
  VLOOKUP(
    A8,
    IMPORTRANGE(
      ""1ZygntHC1J6IxzKbTidmOyf5nUyW4GCLurHCjexrLm_o        "",
      ""HTMLキャッシュ!A:F""
    ),
    3,
    FALSE
  ),
  0
)
"),46078.61667824074)</f>
        <v>46078.61668</v>
      </c>
      <c r="H8" s="49">
        <f>IFERROR(__xludf.DUMMYFUNCTION("IFERROR(
  VLOOKUP(
    A8,
    IMPORTRANGE(
      ""1ZHMy3vVUd_0MrSduXTe1etBb1HNpAlGwQr006ljwMiM"",
      ""GSC最新!A:F""
    ),
    2,
    FALSE
  ),
  0
)
"),13.0)</f>
        <v>13</v>
      </c>
      <c r="I8" s="49">
        <f>IFERROR(__xludf.DUMMYFUNCTION("IFERROR(
  VLOOKUP(
    A8,
    IMPORTRANGE(
      ""1ZHMy3vVUd_0MrSduXTe1etBb1HNpAlGwQr006ljwMiM"",
      ""GSC最新!A:F""
    ),
    3,
    FALSE
  ),
  0
)
"),28.0)</f>
        <v>28</v>
      </c>
      <c r="J8" s="49">
        <f>IFERROR(__xludf.DUMMYFUNCTION("IFERROR(
  VLOOKUP(
    A8,
    IMPORTRANGE(
      ""1ZHMy3vVUd_0MrSduXTe1etBb1HNpAlGwQr006ljwMiM"",
      ""GSC最新!A:F""
    ),
    4,
    FALSE
  ),
  0
)
"),5.0)</f>
        <v>5</v>
      </c>
      <c r="K8" s="49">
        <f>IFERROR(__xludf.DUMMYFUNCTION("IFERROR(
  VLOOKUP(
    A8,
    IMPORTRANGE(
      ""1ZHMy3vVUd_0MrSduXTe1etBb1HNpAlGwQr006ljwMiM"",
      ""GSC最新!A:F""
    ),
    5,
    FALSE
  ),
  0
)
"),10.0)</f>
        <v>10</v>
      </c>
      <c r="L8" s="50">
        <f t="shared" ref="L8:M8" si="32">IFERROR(H8/J8,"-")</f>
        <v>2.6</v>
      </c>
      <c r="M8" s="50">
        <f t="shared" si="32"/>
        <v>2.8</v>
      </c>
      <c r="N8" s="6">
        <f>IFERROR(__xludf.DUMMYFUNCTION("IFERROR(
  VLOOKUP(
    A8,
    IMPORTRANGE(
      ""1ZHMy3vVUd_0MrSduXTe1etBb1HNpAlGwQr006ljwMiM"",
      ""GSC最新!A:R""
    ),
    7,
    FALSE
  ),
  0
)
"),639.0)</f>
        <v>639</v>
      </c>
      <c r="O8" s="6">
        <f>IFERROR(__xludf.DUMMYFUNCTION("IFERROR(
  VLOOKUP(
    A8,
    IMPORTRANGE(
      ""1ZHMy3vVUd_0MrSduXTe1etBb1HNpAlGwQr006ljwMiM"",
      ""GSC最新!A:R""
    ),
    10,
    FALSE
  ),
  0
)
"),1749.0)</f>
        <v>1749</v>
      </c>
      <c r="P8" s="6">
        <f>IFERROR(__xludf.DUMMYFUNCTION("IFERROR(
  VLOOKUP(
    A8,
    IMPORTRANGE(
      ""1ZHMy3vVUd_0MrSduXTe1etBb1HNpAlGwQr006ljwMiM"",
      ""GSC最新!A:R""
    ),
    13,
    FALSE
  ),
  0
)
"),264.0)</f>
        <v>264</v>
      </c>
      <c r="Q8" s="6">
        <f>IFERROR(__xludf.DUMMYFUNCTION("IFERROR(
  VLOOKUP(
    A8,
    IMPORTRANGE(
      ""1ZHMy3vVUd_0MrSduXTe1etBb1HNpAlGwQr006ljwMiM"",
      ""GSC最新!A:R""
    ),
    16,
    FALSE
  ),
  0
)
"),860.0)</f>
        <v>860</v>
      </c>
      <c r="R8" s="51">
        <f t="shared" ref="R8:S8" si="33">IFERROR(N8/P8,"-")</f>
        <v>2.420454545</v>
      </c>
      <c r="S8" s="51">
        <f t="shared" si="33"/>
        <v>2.03372093</v>
      </c>
      <c r="T8" s="9">
        <f>IFERROR(__xludf.DUMMYFUNCTION("IFERROR(
  VLOOKUP(
    A8,
    IMPORTRANGE(
      ""1ZHMy3vVUd_0MrSduXTe1etBb1HNpAlGwQr006ljwMiM"",
      ""GSC最新!A:R""
    ),
    8,
    FALSE
  ),
  0
)
"),0.02034428794992175)</f>
        <v>0.02034428795</v>
      </c>
      <c r="U8" s="9">
        <f>IFERROR(__xludf.DUMMYFUNCTION("IFERROR(
  VLOOKUP(
    A8,
    IMPORTRANGE(
      ""1ZHMy3vVUd_0MrSduXTe1etBb1HNpAlGwQr006ljwMiM"",
      ""GSC最新!A:R""
    ),
    11,
    FALSE
  ),
  0
)
"),0.016009148084619784)</f>
        <v>0.01600914808</v>
      </c>
      <c r="V8" s="9">
        <f>IFERROR(__xludf.DUMMYFUNCTION("IFERROR(
  VLOOKUP(
    A8,
    IMPORTRANGE(
      ""1ZHMy3vVUd_0MrSduXTe1etBb1HNpAlGwQr006ljwMiM"",
      ""GSC最新!A:R""
    ),
    14,
    FALSE
  ),
  0
)
"),0.01893939393939394)</f>
        <v>0.01893939394</v>
      </c>
      <c r="W8" s="9">
        <f>IFERROR(__xludf.DUMMYFUNCTION("IFERROR(
  VLOOKUP(
    A8,
    IMPORTRANGE(
      ""1ZHMy3vVUd_0MrSduXTe1etBb1HNpAlGwQr006ljwMiM"",
      ""GSC最新!A:R""
    ),
    17,
    FALSE
  ),
  0
)
"),0.011627906976744186)</f>
        <v>0.01162790698</v>
      </c>
      <c r="X8" s="9">
        <f t="shared" ref="X8:Y8" si="34">IFERROR(T8-V8,"-")</f>
        <v>0.001404894011</v>
      </c>
      <c r="Y8" s="9">
        <f t="shared" si="34"/>
        <v>0.004381241108</v>
      </c>
      <c r="Z8" s="52">
        <f>IFERROR(__xludf.DUMMYFUNCTION("IFERROR(
  VLOOKUP(
    A8,
    IMPORTRANGE(
      ""1ZHMy3vVUd_0MrSduXTe1etBb1HNpAlGwQr006ljwMiM"",
      ""GSC最新!A:R""
    ),
    9,
    FALSE
  ),
  0
)
"),9.7981220657277)</f>
        <v>9.798122066</v>
      </c>
      <c r="AA8" s="52">
        <f>IFERROR(__xludf.DUMMYFUNCTION("IFERROR(
  VLOOKUP(
    A8,
    IMPORTRANGE(
      ""1ZHMy3vVUd_0MrSduXTe1etBb1HNpAlGwQr006ljwMiM"",
      ""GSC最新!A:R""
    ),
    12,
    FALSE
  ),
  0
)
"),8.4631217838765)</f>
        <v>8.463121784</v>
      </c>
      <c r="AB8" s="52">
        <f>IFERROR(__xludf.DUMMYFUNCTION("IFERROR(
  VLOOKUP(
    A8,
    IMPORTRANGE(
      ""1ZHMy3vVUd_0MrSduXTe1etBb1HNpAlGwQr006ljwMiM"",
      ""GSC最新!A:R""
    ),
    15,
    FALSE
  ),
  0
)
"),13.428030303030303)</f>
        <v>13.4280303</v>
      </c>
      <c r="AC8" s="52">
        <f>IFERROR(__xludf.DUMMYFUNCTION("IFERROR(
  VLOOKUP(
    A8,
    IMPORTRANGE(
      ""1ZHMy3vVUd_0MrSduXTe1etBb1HNpAlGwQr006ljwMiM"",
      ""GSC最新!A:R""
    ),
    18,
    FALSE
  ),
  0
)
"),20.67325581395349)</f>
        <v>20.67325581</v>
      </c>
      <c r="AD8" s="52">
        <f t="shared" ref="AD8:AE8" si="35">Z8-AB8</f>
        <v>-3.629908237</v>
      </c>
      <c r="AE8" s="52">
        <f t="shared" si="35"/>
        <v>-12.21013403</v>
      </c>
      <c r="AF8" s="53">
        <f>IFERROR(__xludf.DUMMYFUNCTION("IFERROR(
  VLOOKUP(
    A8,
    IMPORTRANGE(
      ""1ZHMy3vVUd_0MrSduXTe1etBb1HNpAlGwQr006ljwMiM"",
      ""GSC最新!A:F""
    ),
    6,
    FALSE
  ),
  0
)
"),46081.0)</f>
        <v>46081</v>
      </c>
      <c r="AG8" s="54">
        <f>IFERROR(__xludf.DUMMYFUNCTION("IFERROR(
  VLOOKUP(
    A8,
    IMPORTRANGE(
      ""1SCYQd7_cobOYqT0r_F0IqD4tE4rYn5y8Eup4PJTH8es"",
      ""Snapshot!A:M""
    ),
    5,
    FALSE
  ),
  ""-""
)
"),8.0)</f>
        <v>8</v>
      </c>
      <c r="AH8" s="54">
        <f>IFERROR(__xludf.DUMMYFUNCTION("IFERROR(
  VLOOKUP(
    A8,
    IMPORTRANGE(
      ""1SCYQd7_cobOYqT0r_F0IqD4tE4rYn5y8Eup4PJTH8es"",
      ""Snapshot!A:M""
    ),
    6,
    FALSE
  ),
  0
)
"),6.0)</f>
        <v>6</v>
      </c>
      <c r="AI8" s="54">
        <f>IFERROR(__xludf.DUMMYFUNCTION("IFERROR(
  VLOOKUP(
    A8,
    IMPORTRANGE(
      ""1SCYQd7_cobOYqT0r_F0IqD4tE4rYn5y8Eup4PJTH8es"",
      ""Snapshot!A:M""
    ),
    7,
    FALSE
  ),
  0
)
"),2505.0)</f>
        <v>2505</v>
      </c>
      <c r="AJ8" s="54">
        <f>IFERROR(__xludf.DUMMYFUNCTION("IFERROR(
  VLOOKUP(
    A8,
    IMPORTRANGE(
      ""1SCYQd7_cobOYqT0r_F0IqD4tE4rYn5y8Eup4PJTH8es"",
      ""Snapshot!A:M""
    ),
    8,
    FALSE
  ),
  0
)
"),26.0)</f>
        <v>26</v>
      </c>
      <c r="AK8" s="54">
        <f>IFERROR(__xludf.DUMMYFUNCTION("IFERROR(
  VLOOKUP(
    A8,
    IMPORTRANGE(
      ""1SCYQd7_cobOYqT0r_F0IqD4tE4rYn5y8Eup4PJTH8es"",
      ""Snapshot!A:M""
    ),
    9,
    FALSE
  ),
  0
)
"),9.0)</f>
        <v>9</v>
      </c>
      <c r="AL8" s="54">
        <f>IFERROR(__xludf.DUMMYFUNCTION("IFERROR(
  VLOOKUP(
    A8,
    IMPORTRANGE(
      ""1SCYQd7_cobOYqT0r_F0IqD4tE4rYn5y8Eup4PJTH8es"",
      ""Snapshot!A:M""
    ),
    13,
    FALSE
  ),
  0
)
"),1.0)</f>
        <v>1</v>
      </c>
    </row>
    <row r="9">
      <c r="A9" s="48" t="s">
        <v>283</v>
      </c>
      <c r="B9" s="1" t="str">
        <f>IFERROR(__xludf.DUMMYFUNCTION("IFERROR(
  VLOOKUP(
    A9,
    IMPORTRANGE(
      ""1ZygntHC1J6IxzKbTidmOyf5nUyW4GCLurHCjexrLm_o"",
      ""HTMLキャッシュ!A:F""
    ),
    2,
    FALSE
  ),
  0
)
"),"TP")</f>
        <v>TP</v>
      </c>
      <c r="C9" s="1" t="str">
        <f>IFERROR(__xludf.DUMMYFUNCTION("IFERROR(
  VLOOKUP(
    A9,
    IMPORTRANGE(
      ""1ZygntHC1J6IxzKbTidmOyf5nUyW4GCLurHCjexrLm_o"",
      ""HTMLキャッシュ!A:F""
    ),
    5,
    FALSE
  ),
  0
)
"),"中学受験 国語専門塾 オンライン｜完全1対1個別｜四ツ谷")</f>
        <v>中学受験 国語専門塾 オンライン｜完全1対1個別｜四ツ谷</v>
      </c>
      <c r="D9" s="1" t="str">
        <f>IFERROR(__xludf.DUMMYFUNCTION("IFERROR(
  VLOOKUP(
    A9,
    IMPORTRANGE(
      ""1ZygntHC1J6IxzKbTidmOyf5nUyW4GCLurHCjexrLm_o        "",
      ""HTMLキャッシュ!A:F""
    ),
    6,
    FALSE
  ),
  0
)
"),"中学受験の国語専門塾を探している方向け。オンライン・四ツ谷の完全1対1で、漢字・語彙・文法の土台から読解・記述まで、学年と課題に合わせて個別に対応します。")</f>
        <v>中学受験の国語専門塾を探している方向け。オンライン・四ツ谷の完全1対1で、漢字・語彙・文法の土台から読解・記述まで、学年と課題に合わせて個別に対応します。</v>
      </c>
      <c r="E9" s="49">
        <f t="shared" ref="E9:F9" si="36">LEN(C9)</f>
        <v>28</v>
      </c>
      <c r="F9" s="49">
        <f t="shared" si="36"/>
        <v>77</v>
      </c>
      <c r="G9" s="32">
        <f>IFERROR(__xludf.DUMMYFUNCTION("IFERROR(
  VLOOKUP(
    A9,
    IMPORTRANGE(
      ""1ZygntHC1J6IxzKbTidmOyf5nUyW4GCLurHCjexrLm_o        "",
      ""HTMLキャッシュ!A:F""
    ),
    3,
    FALSE
  ),
  0
)
"),46083.72991898148)</f>
        <v>46083.72992</v>
      </c>
      <c r="H9" s="49">
        <f>IFERROR(__xludf.DUMMYFUNCTION("IFERROR(
  VLOOKUP(
    A9,
    IMPORTRANGE(
      ""1ZHMy3vVUd_0MrSduXTe1etBb1HNpAlGwQr006ljwMiM"",
      ""GSC最新!A:F""
    ),
    2,
    FALSE
  ),
  0
)
"),7.0)</f>
        <v>7</v>
      </c>
      <c r="I9" s="49">
        <f>IFERROR(__xludf.DUMMYFUNCTION("IFERROR(
  VLOOKUP(
    A9,
    IMPORTRANGE(
      ""1ZHMy3vVUd_0MrSduXTe1etBb1HNpAlGwQr006ljwMiM"",
      ""GSC最新!A:F""
    ),
    3,
    FALSE
  ),
  0
)
"),23.0)</f>
        <v>23</v>
      </c>
      <c r="J9" s="49">
        <f>IFERROR(__xludf.DUMMYFUNCTION("IFERROR(
  VLOOKUP(
    A9,
    IMPORTRANGE(
      ""1ZHMy3vVUd_0MrSduXTe1etBb1HNpAlGwQr006ljwMiM"",
      ""GSC最新!A:F""
    ),
    4,
    FALSE
  ),
  0
)
"),3.0)</f>
        <v>3</v>
      </c>
      <c r="K9" s="49">
        <f>IFERROR(__xludf.DUMMYFUNCTION("IFERROR(
  VLOOKUP(
    A9,
    IMPORTRANGE(
      ""1ZHMy3vVUd_0MrSduXTe1etBb1HNpAlGwQr006ljwMiM"",
      ""GSC最新!A:F""
    ),
    5,
    FALSE
  ),
  0
)
"),10.0)</f>
        <v>10</v>
      </c>
      <c r="L9" s="50">
        <f t="shared" ref="L9:M9" si="37">IFERROR(H9/J9,"-")</f>
        <v>2.333333333</v>
      </c>
      <c r="M9" s="50">
        <f t="shared" si="37"/>
        <v>2.3</v>
      </c>
      <c r="N9" s="6">
        <f>IFERROR(__xludf.DUMMYFUNCTION("IFERROR(
  VLOOKUP(
    A9,
    IMPORTRANGE(
      ""1ZHMy3vVUd_0MrSduXTe1etBb1HNpAlGwQr006ljwMiM"",
      ""GSC最新!A:R""
    ),
    7,
    FALSE
  ),
  0
)
"),268.0)</f>
        <v>268</v>
      </c>
      <c r="O9" s="6">
        <f>IFERROR(__xludf.DUMMYFUNCTION("IFERROR(
  VLOOKUP(
    A9,
    IMPORTRANGE(
      ""1ZHMy3vVUd_0MrSduXTe1etBb1HNpAlGwQr006ljwMiM"",
      ""GSC最新!A:R""
    ),
    10,
    FALSE
  ),
  0
)
"),508.0)</f>
        <v>508</v>
      </c>
      <c r="P9" s="6">
        <f>IFERROR(__xludf.DUMMYFUNCTION("IFERROR(
  VLOOKUP(
    A9,
    IMPORTRANGE(
      ""1ZHMy3vVUd_0MrSduXTe1etBb1HNpAlGwQr006ljwMiM"",
      ""GSC最新!A:R""
    ),
    13,
    FALSE
  ),
  0
)
"),13.0)</f>
        <v>13</v>
      </c>
      <c r="Q9" s="6">
        <f>IFERROR(__xludf.DUMMYFUNCTION("IFERROR(
  VLOOKUP(
    A9,
    IMPORTRANGE(
      ""1ZHMy3vVUd_0MrSduXTe1etBb1HNpAlGwQr006ljwMiM"",
      ""GSC最新!A:R""
    ),
    16,
    FALSE
  ),
  0
)
"),52.0)</f>
        <v>52</v>
      </c>
      <c r="R9" s="51">
        <f t="shared" ref="R9:S9" si="38">IFERROR(N9/P9,"-")</f>
        <v>20.61538462</v>
      </c>
      <c r="S9" s="51">
        <f t="shared" si="38"/>
        <v>9.769230769</v>
      </c>
      <c r="T9" s="9">
        <f>IFERROR(__xludf.DUMMYFUNCTION("IFERROR(
  VLOOKUP(
    A9,
    IMPORTRANGE(
      ""1ZHMy3vVUd_0MrSduXTe1etBb1HNpAlGwQr006ljwMiM"",
      ""GSC最新!A:R""
    ),
    8,
    FALSE
  ),
  0
)
"),0.026119402985074626)</f>
        <v>0.02611940299</v>
      </c>
      <c r="U9" s="9">
        <f>IFERROR(__xludf.DUMMYFUNCTION("IFERROR(
  VLOOKUP(
    A9,
    IMPORTRANGE(
      ""1ZHMy3vVUd_0MrSduXTe1etBb1HNpAlGwQr006ljwMiM"",
      ""GSC最新!A:R""
    ),
    11,
    FALSE
  ),
  0
)
"),0.045275590551181105)</f>
        <v>0.04527559055</v>
      </c>
      <c r="V9" s="9">
        <f>IFERROR(__xludf.DUMMYFUNCTION("IFERROR(
  VLOOKUP(
    A9,
    IMPORTRANGE(
      ""1ZHMy3vVUd_0MrSduXTe1etBb1HNpAlGwQr006ljwMiM"",
      ""GSC最新!A:R""
    ),
    14,
    FALSE
  ),
  0
)
"),0.23076923076923078)</f>
        <v>0.2307692308</v>
      </c>
      <c r="W9" s="9">
        <f>IFERROR(__xludf.DUMMYFUNCTION("IFERROR(
  VLOOKUP(
    A9,
    IMPORTRANGE(
      ""1ZHMy3vVUd_0MrSduXTe1etBb1HNpAlGwQr006ljwMiM"",
      ""GSC最新!A:R""
    ),
    17,
    FALSE
  ),
  0
)
"),0.19230769230769232)</f>
        <v>0.1923076923</v>
      </c>
      <c r="X9" s="9">
        <f t="shared" ref="X9:Y9" si="39">IFERROR(T9-V9,"-")</f>
        <v>-0.2046498278</v>
      </c>
      <c r="Y9" s="9">
        <f t="shared" si="39"/>
        <v>-0.1470321018</v>
      </c>
      <c r="Z9" s="52">
        <f>IFERROR(__xludf.DUMMYFUNCTION("IFERROR(
  VLOOKUP(
    A9,
    IMPORTRANGE(
      ""1ZHMy3vVUd_0MrSduXTe1etBb1HNpAlGwQr006ljwMiM"",
      ""GSC最新!A:R""
    ),
    9,
    FALSE
  ),
  0
)
"),22.220149253731343)</f>
        <v>22.22014925</v>
      </c>
      <c r="AA9" s="52">
        <f>IFERROR(__xludf.DUMMYFUNCTION("IFERROR(
  VLOOKUP(
    A9,
    IMPORTRANGE(
      ""1ZHMy3vVUd_0MrSduXTe1etBb1HNpAlGwQr006ljwMiM"",
      ""GSC最新!A:R""
    ),
    12,
    FALSE
  ),
  0
)
"),25.59251968503937)</f>
        <v>25.59251969</v>
      </c>
      <c r="AB9" s="52">
        <f>IFERROR(__xludf.DUMMYFUNCTION("IFERROR(
  VLOOKUP(
    A9,
    IMPORTRANGE(
      ""1ZHMy3vVUd_0MrSduXTe1etBb1HNpAlGwQr006ljwMiM"",
      ""GSC最新!A:R""
    ),
    15,
    FALSE
  ),
  0
)
"),5.153846153846154)</f>
        <v>5.153846154</v>
      </c>
      <c r="AC9" s="52">
        <f>IFERROR(__xludf.DUMMYFUNCTION("IFERROR(
  VLOOKUP(
    A9,
    IMPORTRANGE(
      ""1ZHMy3vVUd_0MrSduXTe1etBb1HNpAlGwQr006ljwMiM"",
      ""GSC最新!A:R""
    ),
    18,
    FALSE
  ),
  0
)
"),6.788461538461538)</f>
        <v>6.788461538</v>
      </c>
      <c r="AD9" s="52">
        <f t="shared" ref="AD9:AE9" si="40">Z9-AB9</f>
        <v>17.0663031</v>
      </c>
      <c r="AE9" s="52">
        <f t="shared" si="40"/>
        <v>18.80405815</v>
      </c>
      <c r="AF9" s="53">
        <f>IFERROR(__xludf.DUMMYFUNCTION("IFERROR(
  VLOOKUP(
    A9,
    IMPORTRANGE(
      ""1ZHMy3vVUd_0MrSduXTe1etBb1HNpAlGwQr006ljwMiM"",
      ""GSC最新!A:F""
    ),
    6,
    FALSE
  ),
  0
)
"),46081.0)</f>
        <v>46081</v>
      </c>
      <c r="AG9" s="54">
        <f>IFERROR(__xludf.DUMMYFUNCTION("IFERROR(
  VLOOKUP(
    A9,
    IMPORTRANGE(
      ""1SCYQd7_cobOYqT0r_F0IqD4tE4rYn5y8Eup4PJTH8es"",
      ""Snapshot!A:M""
    ),
    5,
    FALSE
  ),
  ""-""
)
"),7.0)</f>
        <v>7</v>
      </c>
      <c r="AH9" s="54">
        <f>IFERROR(__xludf.DUMMYFUNCTION("IFERROR(
  VLOOKUP(
    A9,
    IMPORTRANGE(
      ""1SCYQd7_cobOYqT0r_F0IqD4tE4rYn5y8Eup4PJTH8es"",
      ""Snapshot!A:M""
    ),
    6,
    FALSE
  ),
  0
)
"),5.0)</f>
        <v>5</v>
      </c>
      <c r="AI9" s="54">
        <f>IFERROR(__xludf.DUMMYFUNCTION("IFERROR(
  VLOOKUP(
    A9,
    IMPORTRANGE(
      ""1SCYQd7_cobOYqT0r_F0IqD4tE4rYn5y8Eup4PJTH8es"",
      ""Snapshot!A:M""
    ),
    7,
    FALSE
  ),
  0
)
"),1357.0)</f>
        <v>1357</v>
      </c>
      <c r="AJ9" s="54">
        <f>IFERROR(__xludf.DUMMYFUNCTION("IFERROR(
  VLOOKUP(
    A9,
    IMPORTRANGE(
      ""1SCYQd7_cobOYqT0r_F0IqD4tE4rYn5y8Eup4PJTH8es"",
      ""Snapshot!A:M""
    ),
    8,
    FALSE
  ),
  0
)
"),6.0)</f>
        <v>6</v>
      </c>
      <c r="AK9" s="54">
        <f>IFERROR(__xludf.DUMMYFUNCTION("IFERROR(
  VLOOKUP(
    A9,
    IMPORTRANGE(
      ""1SCYQd7_cobOYqT0r_F0IqD4tE4rYn5y8Eup4PJTH8es"",
      ""Snapshot!A:M""
    ),
    9,
    FALSE
  ),
  0
)
"),5.0)</f>
        <v>5</v>
      </c>
      <c r="AL9" s="54">
        <f>IFERROR(__xludf.DUMMYFUNCTION("IFERROR(
  VLOOKUP(
    A9,
    IMPORTRANGE(
      ""1SCYQd7_cobOYqT0r_F0IqD4tE4rYn5y8Eup4PJTH8es"",
      ""Snapshot!A:M""
    ),
    13,
    FALSE
  ),
  0
)
"),1.0)</f>
        <v>1</v>
      </c>
    </row>
    <row r="10">
      <c r="A10" s="3" t="s">
        <v>284</v>
      </c>
      <c r="B10" s="1" t="str">
        <f>IFERROR(__xludf.DUMMYFUNCTION("IFERROR(
  VLOOKUP(
    A10,
    IMPORTRANGE(
      ""1ZygntHC1J6IxzKbTidmOyf5nUyW4GCLurHCjexrLm_o"",
      ""HTMLキャッシュ!A:F""
    ),
    2,
    FALSE
  ),
  0
)
"),"TP")</f>
        <v>TP</v>
      </c>
      <c r="C10" s="1" t="str">
        <f>IFERROR(__xludf.DUMMYFUNCTION("IFERROR(
  VLOOKUP(
    A10,
    IMPORTRANGE(
      ""1ZygntHC1J6IxzKbTidmOyf5nUyW4GCLurHCjexrLm_o"",
      ""HTMLキャッシュ!A:F""
    ),
    5,
    FALSE
  ),
  0
)
"),"四谷の英語塾｜中高一貫の学校英語1対1指導｜教室/オンライン")</f>
        <v>四谷の英語塾｜中高一貫の学校英語1対1指導｜教室/オンライン</v>
      </c>
      <c r="D10" s="1" t="str">
        <f>IFERROR(__xludf.DUMMYFUNCTION("IFERROR(
  VLOOKUP(
    A10,
    IMPORTRANGE(
      ""1ZygntHC1J6IxzKbTidmOyf5nUyW4GCLurHCjexrLm_o        "",
      ""HTMLキャッシュ!A:F""
    ),
    6,
    FALSE
  ),
  0
)
"),"四谷の英語塾。中高一貫の学校英語を1対1で指導。長文・文型・英作文・設問根拠を教材と答案で確認。教室/オンライン対応。英会話中心ではありません。")</f>
        <v>四谷の英語塾。中高一貫の学校英語を1対1で指導。長文・文型・英作文・設問根拠を教材と答案で確認。教室/オンライン対応。英会話中心ではありません。</v>
      </c>
      <c r="E10" s="49">
        <f t="shared" ref="E10:F10" si="41">LEN(C10)</f>
        <v>30</v>
      </c>
      <c r="F10" s="49">
        <f t="shared" si="41"/>
        <v>72</v>
      </c>
      <c r="G10" s="32">
        <f>IFERROR(__xludf.DUMMYFUNCTION("IFERROR(
  VLOOKUP(
    A10,
    IMPORTRANGE(
      ""1ZygntHC1J6IxzKbTidmOyf5nUyW4GCLurHCjexrLm_o        "",
      ""HTMLキャッシュ!A:F""
    ),
    3,
    FALSE
  ),
  0
)
"),46078.79913194444)</f>
        <v>46078.79913</v>
      </c>
      <c r="H10" s="49">
        <f>IFERROR(__xludf.DUMMYFUNCTION("IFERROR(
  VLOOKUP(
    A10,
    IMPORTRANGE(
      ""1ZHMy3vVUd_0MrSduXTe1etBb1HNpAlGwQr006ljwMiM"",
      ""GSC最新!A:F""
    ),
    2,
    FALSE
  ),
  0
)
"),3.0)</f>
        <v>3</v>
      </c>
      <c r="I10" s="49">
        <f>IFERROR(__xludf.DUMMYFUNCTION("IFERROR(
  VLOOKUP(
    A10,
    IMPORTRANGE(
      ""1ZHMy3vVUd_0MrSduXTe1etBb1HNpAlGwQr006ljwMiM"",
      ""GSC最新!A:F""
    ),
    3,
    FALSE
  ),
  0
)
"),7.0)</f>
        <v>7</v>
      </c>
      <c r="J10" s="49">
        <f>IFERROR(__xludf.DUMMYFUNCTION("IFERROR(
  VLOOKUP(
    A10,
    IMPORTRANGE(
      ""1ZHMy3vVUd_0MrSduXTe1etBb1HNpAlGwQr006ljwMiM"",
      ""GSC最新!A:F""
    ),
    4,
    FALSE
  ),
  0
)
"),8.0)</f>
        <v>8</v>
      </c>
      <c r="K10" s="49">
        <f>IFERROR(__xludf.DUMMYFUNCTION("IFERROR(
  VLOOKUP(
    A10,
    IMPORTRANGE(
      ""1ZHMy3vVUd_0MrSduXTe1etBb1HNpAlGwQr006ljwMiM"",
      ""GSC最新!A:F""
    ),
    5,
    FALSE
  ),
  0
)
"),28.0)</f>
        <v>28</v>
      </c>
      <c r="L10" s="50">
        <f t="shared" ref="L10:M10" si="42">IFERROR(H10/J10,"-")</f>
        <v>0.375</v>
      </c>
      <c r="M10" s="50">
        <f t="shared" si="42"/>
        <v>0.25</v>
      </c>
      <c r="N10" s="6">
        <f>IFERROR(__xludf.DUMMYFUNCTION("IFERROR(
  VLOOKUP(
    A10,
    IMPORTRANGE(
      ""1ZHMy3vVUd_0MrSduXTe1etBb1HNpAlGwQr006ljwMiM"",
      ""GSC最新!A:R""
    ),
    7,
    FALSE
  ),
  0
)
"),540.0)</f>
        <v>540</v>
      </c>
      <c r="O10" s="6">
        <f>IFERROR(__xludf.DUMMYFUNCTION("IFERROR(
  VLOOKUP(
    A10,
    IMPORTRANGE(
      ""1ZHMy3vVUd_0MrSduXTe1etBb1HNpAlGwQr006ljwMiM"",
      ""GSC最新!A:R""
    ),
    10,
    FALSE
  ),
  0
)
"),1296.0)</f>
        <v>1296</v>
      </c>
      <c r="P10" s="6">
        <f>IFERROR(__xludf.DUMMYFUNCTION("IFERROR(
  VLOOKUP(
    A10,
    IMPORTRANGE(
      ""1ZHMy3vVUd_0MrSduXTe1etBb1HNpAlGwQr006ljwMiM"",
      ""GSC最新!A:R""
    ),
    13,
    FALSE
  ),
  0
)
"),3641.0)</f>
        <v>3641</v>
      </c>
      <c r="Q10" s="6">
        <f>IFERROR(__xludf.DUMMYFUNCTION("IFERROR(
  VLOOKUP(
    A10,
    IMPORTRANGE(
      ""1ZHMy3vVUd_0MrSduXTe1etBb1HNpAlGwQr006ljwMiM"",
      ""GSC最新!A:R""
    ),
    16,
    FALSE
  ),
  0
)
"),9934.0)</f>
        <v>9934</v>
      </c>
      <c r="R10" s="51">
        <f t="shared" ref="R10:S10" si="43">IFERROR(N10/P10,"-")</f>
        <v>0.1483109036</v>
      </c>
      <c r="S10" s="51">
        <f t="shared" si="43"/>
        <v>0.1304610429</v>
      </c>
      <c r="T10" s="9">
        <f>IFERROR(__xludf.DUMMYFUNCTION("IFERROR(
  VLOOKUP(
    A10,
    IMPORTRANGE(
      ""1ZHMy3vVUd_0MrSduXTe1etBb1HNpAlGwQr006ljwMiM"",
      ""GSC最新!A:R""
    ),
    8,
    FALSE
  ),
  0
)
"),0.005555555555555556)</f>
        <v>0.005555555556</v>
      </c>
      <c r="U10" s="9">
        <f>IFERROR(__xludf.DUMMYFUNCTION("IFERROR(
  VLOOKUP(
    A10,
    IMPORTRANGE(
      ""1ZHMy3vVUd_0MrSduXTe1etBb1HNpAlGwQr006ljwMiM"",
      ""GSC最新!A:R""
    ),
    11,
    FALSE
  ),
  0
)
"),0.005401234567901234)</f>
        <v>0.005401234568</v>
      </c>
      <c r="V10" s="9">
        <f>IFERROR(__xludf.DUMMYFUNCTION("IFERROR(
  VLOOKUP(
    A10,
    IMPORTRANGE(
      ""1ZHMy3vVUd_0MrSduXTe1etBb1HNpAlGwQr006ljwMiM"",
      ""GSC最新!A:R""
    ),
    14,
    FALSE
  ),
  0
)
"),0.0021971985718209283)</f>
        <v>0.002197198572</v>
      </c>
      <c r="W10" s="9">
        <f>IFERROR(__xludf.DUMMYFUNCTION("IFERROR(
  VLOOKUP(
    A10,
    IMPORTRANGE(
      ""1ZHMy3vVUd_0MrSduXTe1etBb1HNpAlGwQr006ljwMiM"",
      ""GSC最新!A:R""
    ),
    17,
    FALSE
  ),
  0
)
"),0.0028186027783370245)</f>
        <v>0.002818602778</v>
      </c>
      <c r="X10" s="9">
        <f t="shared" ref="X10:Y10" si="44">IFERROR(T10-V10,"-")</f>
        <v>0.003358356984</v>
      </c>
      <c r="Y10" s="9">
        <f t="shared" si="44"/>
        <v>0.00258263179</v>
      </c>
      <c r="Z10" s="52">
        <f>IFERROR(__xludf.DUMMYFUNCTION("IFERROR(
  VLOOKUP(
    A10,
    IMPORTRANGE(
      ""1ZHMy3vVUd_0MrSduXTe1etBb1HNpAlGwQr006ljwMiM"",
      ""GSC最新!A:R""
    ),
    9,
    FALSE
  ),
  0
)
"),11.953703703703704)</f>
        <v>11.9537037</v>
      </c>
      <c r="AA10" s="52">
        <f>IFERROR(__xludf.DUMMYFUNCTION("IFERROR(
  VLOOKUP(
    A10,
    IMPORTRANGE(
      ""1ZHMy3vVUd_0MrSduXTe1etBb1HNpAlGwQr006ljwMiM"",
      ""GSC最新!A:R""
    ),
    12,
    FALSE
  ),
  0
)
"),11.940586419753087)</f>
        <v>11.94058642</v>
      </c>
      <c r="AB10" s="52">
        <f>IFERROR(__xludf.DUMMYFUNCTION("IFERROR(
  VLOOKUP(
    A10,
    IMPORTRANGE(
      ""1ZHMy3vVUd_0MrSduXTe1etBb1HNpAlGwQr006ljwMiM"",
      ""GSC最新!A:R""
    ),
    15,
    FALSE
  ),
  0
)
"),54.41829167811041)</f>
        <v>54.41829168</v>
      </c>
      <c r="AC10" s="52">
        <f>IFERROR(__xludf.DUMMYFUNCTION("IFERROR(
  VLOOKUP(
    A10,
    IMPORTRANGE(
      ""1ZHMy3vVUd_0MrSduXTe1etBb1HNpAlGwQr006ljwMiM"",
      ""GSC最新!A:R""
    ),
    18,
    FALSE
  ),
  0
)
"),48.483189047714916)</f>
        <v>48.48318905</v>
      </c>
      <c r="AD10" s="52">
        <f t="shared" ref="AD10:AE10" si="45">Z10-AB10</f>
        <v>-42.46458797</v>
      </c>
      <c r="AE10" s="52">
        <f t="shared" si="45"/>
        <v>-36.54260263</v>
      </c>
      <c r="AF10" s="53">
        <f>IFERROR(__xludf.DUMMYFUNCTION("IFERROR(
  VLOOKUP(
    A10,
    IMPORTRANGE(
      ""1ZHMy3vVUd_0MrSduXTe1etBb1HNpAlGwQr006ljwMiM"",
      ""GSC最新!A:F""
    ),
    6,
    FALSE
  ),
  0
)
"),46081.0)</f>
        <v>46081</v>
      </c>
      <c r="AG10" s="54">
        <f>IFERROR(__xludf.DUMMYFUNCTION("IFERROR(
  VLOOKUP(
    A10,
    IMPORTRANGE(
      ""1SCYQd7_cobOYqT0r_F0IqD4tE4rYn5y8Eup4PJTH8es"",
      ""Snapshot!A:M""
    ),
    5,
    FALSE
  ),
  ""-""
)
"),7.0)</f>
        <v>7</v>
      </c>
      <c r="AH10" s="54">
        <f>IFERROR(__xludf.DUMMYFUNCTION("IFERROR(
  VLOOKUP(
    A10,
    IMPORTRANGE(
      ""1SCYQd7_cobOYqT0r_F0IqD4tE4rYn5y8Eup4PJTH8es"",
      ""Snapshot!A:M""
    ),
    6,
    FALSE
  ),
  0
)
"),13.0)</f>
        <v>13</v>
      </c>
      <c r="AI10" s="54">
        <f>IFERROR(__xludf.DUMMYFUNCTION("IFERROR(
  VLOOKUP(
    A10,
    IMPORTRANGE(
      ""1SCYQd7_cobOYqT0r_F0IqD4tE4rYn5y8Eup4PJTH8es"",
      ""Snapshot!A:M""
    ),
    7,
    FALSE
  ),
  0
)
"),2246.0)</f>
        <v>2246</v>
      </c>
      <c r="AJ10" s="54">
        <f>IFERROR(__xludf.DUMMYFUNCTION("IFERROR(
  VLOOKUP(
    A10,
    IMPORTRANGE(
      ""1SCYQd7_cobOYqT0r_F0IqD4tE4rYn5y8Eup4PJTH8es"",
      ""Snapshot!A:M""
    ),
    8,
    FALSE
  ),
  0
)
"),9.0)</f>
        <v>9</v>
      </c>
      <c r="AK10" s="54">
        <f>IFERROR(__xludf.DUMMYFUNCTION("IFERROR(
  VLOOKUP(
    A10,
    IMPORTRANGE(
      ""1SCYQd7_cobOYqT0r_F0IqD4tE4rYn5y8Eup4PJTH8es"",
      ""Snapshot!A:M""
    ),
    9,
    FALSE
  ),
  0
)
"),5.0)</f>
        <v>5</v>
      </c>
      <c r="AL10" s="54">
        <f>IFERROR(__xludf.DUMMYFUNCTION("IFERROR(
  VLOOKUP(
    A10,
    IMPORTRANGE(
      ""1SCYQd7_cobOYqT0r_F0IqD4tE4rYn5y8Eup4PJTH8es"",
      ""Snapshot!A:M""
    ),
    13,
    FALSE
  ),
  0
)
"),1.0)</f>
        <v>1</v>
      </c>
    </row>
    <row r="11">
      <c r="G11" s="32"/>
      <c r="L11" s="50"/>
      <c r="M11" s="50"/>
      <c r="N11" s="6"/>
      <c r="O11" s="6"/>
      <c r="P11" s="6"/>
      <c r="Q11" s="6"/>
      <c r="R11" s="51"/>
      <c r="S11" s="51"/>
      <c r="T11" s="9"/>
      <c r="U11" s="9"/>
      <c r="V11" s="9"/>
      <c r="W11" s="9"/>
      <c r="X11" s="9"/>
      <c r="Y11" s="9"/>
      <c r="Z11" s="52"/>
      <c r="AA11" s="52"/>
      <c r="AB11" s="52"/>
      <c r="AC11" s="52"/>
      <c r="AF11" s="53"/>
      <c r="AG11" s="54"/>
      <c r="AH11" s="54"/>
      <c r="AI11" s="54"/>
      <c r="AJ11" s="54"/>
      <c r="AK11" s="54"/>
      <c r="AL11" s="54"/>
    </row>
    <row r="12">
      <c r="G12" s="32"/>
      <c r="L12" s="50"/>
      <c r="M12" s="50"/>
      <c r="N12" s="6"/>
      <c r="O12" s="6"/>
      <c r="P12" s="6"/>
      <c r="Q12" s="6"/>
      <c r="R12" s="51"/>
      <c r="S12" s="51"/>
      <c r="T12" s="9"/>
      <c r="U12" s="9"/>
      <c r="V12" s="9"/>
      <c r="W12" s="9"/>
      <c r="X12" s="9"/>
      <c r="Y12" s="9"/>
      <c r="Z12" s="52"/>
      <c r="AA12" s="52"/>
      <c r="AB12" s="52"/>
      <c r="AC12" s="52"/>
      <c r="AF12" s="53"/>
      <c r="AG12" s="54"/>
      <c r="AH12" s="54"/>
      <c r="AI12" s="54"/>
      <c r="AJ12" s="54"/>
      <c r="AK12" s="54"/>
      <c r="AL12" s="54"/>
    </row>
    <row r="13">
      <c r="G13" s="32"/>
      <c r="L13" s="50"/>
      <c r="M13" s="50"/>
      <c r="N13" s="6"/>
      <c r="O13" s="6"/>
      <c r="P13" s="6"/>
      <c r="Q13" s="6"/>
      <c r="R13" s="51"/>
      <c r="S13" s="51"/>
      <c r="T13" s="9"/>
      <c r="U13" s="9"/>
      <c r="V13" s="9"/>
      <c r="W13" s="9"/>
      <c r="X13" s="9"/>
      <c r="Y13" s="9"/>
      <c r="Z13" s="52"/>
      <c r="AA13" s="52"/>
      <c r="AB13" s="52"/>
      <c r="AC13" s="52"/>
      <c r="AF13" s="53"/>
      <c r="AG13" s="54"/>
      <c r="AH13" s="54"/>
      <c r="AI13" s="54"/>
      <c r="AJ13" s="54"/>
      <c r="AK13" s="54"/>
      <c r="AL13" s="54"/>
    </row>
    <row r="14">
      <c r="G14" s="32"/>
      <c r="L14" s="50"/>
      <c r="M14" s="50"/>
      <c r="N14" s="6"/>
      <c r="O14" s="6"/>
      <c r="P14" s="6"/>
      <c r="Q14" s="6"/>
      <c r="R14" s="51"/>
      <c r="S14" s="51"/>
      <c r="T14" s="9"/>
      <c r="U14" s="9"/>
      <c r="V14" s="9"/>
      <c r="W14" s="9"/>
      <c r="X14" s="9"/>
      <c r="Y14" s="9"/>
      <c r="Z14" s="52"/>
      <c r="AA14" s="52"/>
      <c r="AB14" s="52"/>
      <c r="AC14" s="52"/>
      <c r="AF14" s="53"/>
      <c r="AG14" s="54"/>
      <c r="AH14" s="54"/>
      <c r="AI14" s="54"/>
      <c r="AJ14" s="54"/>
      <c r="AK14" s="54"/>
      <c r="AL14" s="54"/>
    </row>
    <row r="15">
      <c r="G15" s="32"/>
      <c r="L15" s="50"/>
      <c r="M15" s="50"/>
      <c r="N15" s="6"/>
      <c r="O15" s="6"/>
      <c r="P15" s="6"/>
      <c r="Q15" s="6"/>
      <c r="R15" s="51"/>
      <c r="S15" s="51"/>
      <c r="T15" s="9"/>
      <c r="U15" s="9"/>
      <c r="V15" s="9"/>
      <c r="W15" s="9"/>
      <c r="X15" s="9"/>
      <c r="Y15" s="9"/>
      <c r="Z15" s="52"/>
      <c r="AA15" s="52"/>
      <c r="AB15" s="52"/>
      <c r="AC15" s="52"/>
      <c r="AF15" s="53"/>
      <c r="AG15" s="54"/>
      <c r="AH15" s="54"/>
      <c r="AI15" s="54"/>
      <c r="AJ15" s="54"/>
      <c r="AK15" s="54"/>
      <c r="AL15" s="54"/>
    </row>
    <row r="16">
      <c r="G16" s="32"/>
      <c r="L16" s="50"/>
      <c r="M16" s="50"/>
      <c r="N16" s="6"/>
      <c r="O16" s="6"/>
      <c r="P16" s="6"/>
      <c r="Q16" s="6"/>
      <c r="R16" s="51"/>
      <c r="S16" s="51"/>
      <c r="T16" s="9"/>
      <c r="U16" s="9"/>
      <c r="V16" s="9"/>
      <c r="W16" s="9"/>
      <c r="X16" s="9"/>
      <c r="Y16" s="9"/>
      <c r="Z16" s="52"/>
      <c r="AA16" s="52"/>
      <c r="AB16" s="52"/>
      <c r="AC16" s="52"/>
      <c r="AF16" s="53"/>
      <c r="AG16" s="54"/>
      <c r="AH16" s="54"/>
      <c r="AI16" s="54"/>
      <c r="AJ16" s="54"/>
      <c r="AK16" s="54"/>
      <c r="AL16" s="54"/>
    </row>
    <row r="17">
      <c r="G17" s="32"/>
      <c r="L17" s="50"/>
      <c r="M17" s="50"/>
      <c r="N17" s="6"/>
      <c r="O17" s="6"/>
      <c r="P17" s="6"/>
      <c r="Q17" s="6"/>
      <c r="R17" s="51"/>
      <c r="S17" s="51"/>
      <c r="T17" s="9"/>
      <c r="U17" s="9"/>
      <c r="V17" s="9"/>
      <c r="W17" s="9"/>
      <c r="X17" s="9"/>
      <c r="Y17" s="9"/>
      <c r="Z17" s="52"/>
      <c r="AA17" s="52"/>
      <c r="AB17" s="52"/>
      <c r="AC17" s="52"/>
      <c r="AF17" s="53"/>
      <c r="AG17" s="54"/>
      <c r="AH17" s="54"/>
      <c r="AI17" s="54"/>
      <c r="AJ17" s="54"/>
      <c r="AK17" s="54"/>
      <c r="AL17" s="54"/>
    </row>
    <row r="18">
      <c r="G18" s="32"/>
      <c r="L18" s="50"/>
      <c r="M18" s="50"/>
      <c r="N18" s="6"/>
      <c r="O18" s="6"/>
      <c r="P18" s="6"/>
      <c r="Q18" s="6"/>
      <c r="R18" s="51"/>
      <c r="S18" s="51"/>
      <c r="T18" s="9"/>
      <c r="U18" s="9"/>
      <c r="V18" s="9"/>
      <c r="W18" s="9"/>
      <c r="X18" s="9"/>
      <c r="Y18" s="9"/>
      <c r="Z18" s="52"/>
      <c r="AA18" s="52"/>
      <c r="AB18" s="52"/>
      <c r="AC18" s="52"/>
      <c r="AF18" s="53"/>
      <c r="AG18" s="54"/>
      <c r="AH18" s="54"/>
      <c r="AI18" s="54"/>
      <c r="AJ18" s="54"/>
      <c r="AK18" s="54"/>
      <c r="AL18" s="54"/>
    </row>
    <row r="19">
      <c r="G19" s="32"/>
      <c r="L19" s="50"/>
      <c r="M19" s="50"/>
      <c r="N19" s="6"/>
      <c r="O19" s="6"/>
      <c r="P19" s="6"/>
      <c r="Q19" s="6"/>
      <c r="R19" s="51"/>
      <c r="S19" s="51"/>
      <c r="T19" s="9"/>
      <c r="U19" s="9"/>
      <c r="V19" s="9"/>
      <c r="W19" s="9"/>
      <c r="X19" s="9"/>
      <c r="Y19" s="9"/>
      <c r="Z19" s="52"/>
      <c r="AA19" s="52"/>
      <c r="AB19" s="52"/>
      <c r="AC19" s="52"/>
      <c r="AF19" s="53"/>
      <c r="AG19" s="54"/>
      <c r="AH19" s="54"/>
      <c r="AI19" s="54"/>
      <c r="AJ19" s="54"/>
      <c r="AK19" s="54"/>
      <c r="AL19" s="54"/>
    </row>
    <row r="20">
      <c r="G20" s="32"/>
      <c r="L20" s="50"/>
      <c r="M20" s="50"/>
      <c r="N20" s="6"/>
      <c r="O20" s="6"/>
      <c r="P20" s="6"/>
      <c r="Q20" s="6"/>
      <c r="R20" s="51"/>
      <c r="S20" s="51"/>
      <c r="T20" s="9"/>
      <c r="U20" s="9"/>
      <c r="V20" s="9"/>
      <c r="W20" s="9"/>
      <c r="X20" s="9"/>
      <c r="Y20" s="9"/>
      <c r="Z20" s="52"/>
      <c r="AA20" s="52"/>
      <c r="AB20" s="52"/>
      <c r="AC20" s="52"/>
      <c r="AF20" s="53"/>
      <c r="AG20" s="54"/>
      <c r="AH20" s="54"/>
      <c r="AI20" s="54"/>
      <c r="AJ20" s="54"/>
      <c r="AK20" s="54"/>
      <c r="AL20" s="54"/>
    </row>
    <row r="21">
      <c r="G21" s="32"/>
      <c r="L21" s="50"/>
      <c r="M21" s="50"/>
      <c r="N21" s="6"/>
      <c r="O21" s="6"/>
      <c r="P21" s="6"/>
      <c r="Q21" s="6"/>
      <c r="R21" s="51"/>
      <c r="S21" s="51"/>
      <c r="T21" s="9"/>
      <c r="U21" s="9"/>
      <c r="V21" s="9"/>
      <c r="W21" s="9"/>
      <c r="X21" s="9"/>
      <c r="Y21" s="9"/>
      <c r="Z21" s="52"/>
      <c r="AA21" s="52"/>
      <c r="AB21" s="52"/>
      <c r="AC21" s="52"/>
      <c r="AF21" s="53"/>
      <c r="AG21" s="54"/>
      <c r="AH21" s="54"/>
      <c r="AI21" s="54"/>
      <c r="AJ21" s="54"/>
      <c r="AK21" s="54"/>
      <c r="AL21" s="54"/>
    </row>
    <row r="22">
      <c r="A22" s="2"/>
      <c r="G22" s="32"/>
      <c r="L22" s="50"/>
      <c r="M22" s="50"/>
      <c r="N22" s="6"/>
      <c r="O22" s="6"/>
      <c r="P22" s="6"/>
      <c r="Q22" s="6"/>
      <c r="R22" s="51"/>
      <c r="S22" s="51"/>
      <c r="T22" s="9"/>
      <c r="U22" s="9"/>
      <c r="V22" s="9"/>
      <c r="W22" s="9"/>
      <c r="X22" s="9"/>
      <c r="Y22" s="9"/>
      <c r="Z22" s="52"/>
      <c r="AA22" s="52"/>
      <c r="AB22" s="52"/>
      <c r="AC22" s="52"/>
      <c r="AF22" s="53"/>
      <c r="AG22" s="54"/>
      <c r="AH22" s="54"/>
      <c r="AI22" s="54"/>
      <c r="AJ22" s="54"/>
      <c r="AK22" s="54"/>
      <c r="AL22" s="54"/>
    </row>
    <row r="23">
      <c r="G23" s="32"/>
      <c r="L23" s="50"/>
      <c r="M23" s="50"/>
      <c r="N23" s="6"/>
      <c r="O23" s="6"/>
      <c r="P23" s="6"/>
      <c r="Q23" s="6"/>
      <c r="R23" s="51"/>
      <c r="S23" s="51"/>
      <c r="T23" s="9"/>
      <c r="U23" s="9"/>
      <c r="V23" s="9"/>
      <c r="W23" s="9"/>
      <c r="X23" s="9"/>
      <c r="Y23" s="9"/>
      <c r="Z23" s="52"/>
      <c r="AA23" s="52"/>
      <c r="AB23" s="52"/>
      <c r="AC23" s="52"/>
      <c r="AF23" s="53"/>
      <c r="AG23" s="54"/>
      <c r="AH23" s="54"/>
      <c r="AI23" s="54"/>
      <c r="AJ23" s="54"/>
      <c r="AK23" s="54"/>
      <c r="AL23" s="54"/>
    </row>
    <row r="24">
      <c r="G24" s="32"/>
      <c r="L24" s="50"/>
      <c r="M24" s="50"/>
      <c r="N24" s="6"/>
      <c r="O24" s="6"/>
      <c r="P24" s="6"/>
      <c r="Q24" s="6"/>
      <c r="R24" s="51"/>
      <c r="S24" s="51"/>
      <c r="T24" s="9"/>
      <c r="U24" s="9"/>
      <c r="V24" s="9"/>
      <c r="W24" s="9"/>
      <c r="X24" s="9"/>
      <c r="Y24" s="9"/>
      <c r="Z24" s="52"/>
      <c r="AA24" s="52"/>
      <c r="AB24" s="52"/>
      <c r="AC24" s="52"/>
      <c r="AF24" s="53"/>
      <c r="AG24" s="54"/>
      <c r="AH24" s="54"/>
      <c r="AI24" s="54"/>
      <c r="AJ24" s="54"/>
      <c r="AK24" s="54"/>
      <c r="AL24" s="54"/>
    </row>
    <row r="25">
      <c r="G25" s="32"/>
      <c r="L25" s="50"/>
      <c r="M25" s="50"/>
      <c r="N25" s="6"/>
      <c r="O25" s="6"/>
      <c r="P25" s="6"/>
      <c r="Q25" s="6"/>
      <c r="R25" s="51"/>
      <c r="S25" s="51"/>
      <c r="T25" s="9"/>
      <c r="U25" s="9"/>
      <c r="V25" s="9"/>
      <c r="W25" s="9"/>
      <c r="X25" s="9"/>
      <c r="Y25" s="9"/>
      <c r="Z25" s="52"/>
      <c r="AA25" s="52"/>
      <c r="AB25" s="52"/>
      <c r="AC25" s="52"/>
      <c r="AF25" s="53"/>
      <c r="AG25" s="54"/>
      <c r="AH25" s="54"/>
      <c r="AI25" s="54"/>
      <c r="AJ25" s="54"/>
      <c r="AK25" s="54"/>
      <c r="AL25" s="54"/>
    </row>
    <row r="26">
      <c r="G26" s="32"/>
      <c r="L26" s="50"/>
      <c r="M26" s="50"/>
      <c r="N26" s="6"/>
      <c r="O26" s="6"/>
      <c r="P26" s="6"/>
      <c r="Q26" s="6"/>
      <c r="R26" s="51"/>
      <c r="S26" s="51"/>
      <c r="T26" s="9"/>
      <c r="U26" s="9"/>
      <c r="V26" s="9"/>
      <c r="W26" s="9"/>
      <c r="X26" s="9"/>
      <c r="Y26" s="9"/>
      <c r="Z26" s="52"/>
      <c r="AA26" s="52"/>
      <c r="AB26" s="52"/>
      <c r="AC26" s="52"/>
      <c r="AF26" s="53"/>
      <c r="AG26" s="54"/>
      <c r="AH26" s="54"/>
      <c r="AI26" s="54"/>
      <c r="AJ26" s="54"/>
      <c r="AK26" s="54"/>
      <c r="AL26" s="54"/>
    </row>
    <row r="27">
      <c r="G27" s="32"/>
      <c r="L27" s="50"/>
      <c r="M27" s="50"/>
      <c r="N27" s="6"/>
      <c r="O27" s="6"/>
      <c r="P27" s="6"/>
      <c r="Q27" s="6"/>
      <c r="R27" s="51"/>
      <c r="S27" s="51"/>
      <c r="T27" s="9"/>
      <c r="U27" s="9"/>
      <c r="V27" s="9"/>
      <c r="W27" s="9"/>
      <c r="X27" s="9"/>
      <c r="Y27" s="9"/>
      <c r="Z27" s="52"/>
      <c r="AA27" s="52"/>
      <c r="AB27" s="52"/>
      <c r="AC27" s="52"/>
      <c r="AF27" s="53"/>
      <c r="AG27" s="54"/>
      <c r="AH27" s="54"/>
      <c r="AI27" s="54"/>
      <c r="AJ27" s="54"/>
      <c r="AK27" s="54"/>
      <c r="AL27" s="54"/>
    </row>
    <row r="28">
      <c r="G28" s="32"/>
      <c r="L28" s="50"/>
      <c r="M28" s="50"/>
      <c r="N28" s="6"/>
      <c r="O28" s="6"/>
      <c r="P28" s="6"/>
      <c r="Q28" s="6"/>
      <c r="R28" s="51"/>
      <c r="S28" s="51"/>
      <c r="T28" s="9"/>
      <c r="U28" s="9"/>
      <c r="V28" s="9"/>
      <c r="W28" s="9"/>
      <c r="X28" s="9"/>
      <c r="Y28" s="9"/>
      <c r="Z28" s="52"/>
      <c r="AA28" s="52"/>
      <c r="AB28" s="52"/>
      <c r="AC28" s="52"/>
      <c r="AF28" s="53"/>
      <c r="AG28" s="54"/>
      <c r="AH28" s="54"/>
      <c r="AI28" s="54"/>
      <c r="AJ28" s="54"/>
      <c r="AK28" s="54"/>
      <c r="AL28" s="54"/>
    </row>
    <row r="29">
      <c r="G29" s="32"/>
      <c r="L29" s="50"/>
      <c r="M29" s="50"/>
      <c r="N29" s="6"/>
      <c r="O29" s="6"/>
      <c r="P29" s="6"/>
      <c r="Q29" s="6"/>
      <c r="R29" s="51"/>
      <c r="S29" s="51"/>
      <c r="T29" s="9"/>
      <c r="U29" s="9"/>
      <c r="V29" s="9"/>
      <c r="W29" s="9"/>
      <c r="X29" s="9"/>
      <c r="Y29" s="9"/>
      <c r="Z29" s="52"/>
      <c r="AA29" s="52"/>
      <c r="AB29" s="52"/>
      <c r="AC29" s="52"/>
      <c r="AF29" s="53"/>
      <c r="AG29" s="54"/>
      <c r="AH29" s="54"/>
      <c r="AI29" s="54"/>
      <c r="AJ29" s="54"/>
      <c r="AK29" s="54"/>
      <c r="AL29" s="54"/>
    </row>
    <row r="30">
      <c r="G30" s="32"/>
      <c r="L30" s="50"/>
      <c r="M30" s="50"/>
      <c r="N30" s="6"/>
      <c r="O30" s="6"/>
      <c r="P30" s="6"/>
      <c r="Q30" s="6"/>
      <c r="R30" s="51"/>
      <c r="S30" s="51"/>
      <c r="T30" s="9"/>
      <c r="U30" s="9"/>
      <c r="V30" s="9"/>
      <c r="W30" s="9"/>
      <c r="X30" s="9"/>
      <c r="Y30" s="9"/>
      <c r="Z30" s="52"/>
      <c r="AA30" s="52"/>
      <c r="AB30" s="52"/>
      <c r="AC30" s="52"/>
      <c r="AF30" s="53"/>
      <c r="AG30" s="54"/>
      <c r="AH30" s="54"/>
      <c r="AI30" s="54"/>
      <c r="AJ30" s="54"/>
      <c r="AK30" s="54"/>
      <c r="AL30" s="54"/>
    </row>
    <row r="31">
      <c r="G31" s="32"/>
      <c r="L31" s="50"/>
      <c r="M31" s="50"/>
      <c r="N31" s="6"/>
      <c r="O31" s="6"/>
      <c r="P31" s="6"/>
      <c r="Q31" s="6"/>
      <c r="R31" s="51"/>
      <c r="S31" s="51"/>
      <c r="T31" s="9"/>
      <c r="U31" s="9"/>
      <c r="V31" s="9"/>
      <c r="W31" s="9"/>
      <c r="X31" s="9"/>
      <c r="Y31" s="9"/>
      <c r="Z31" s="52"/>
      <c r="AA31" s="52"/>
      <c r="AB31" s="52"/>
      <c r="AC31" s="52"/>
      <c r="AF31" s="53"/>
      <c r="AG31" s="54"/>
      <c r="AH31" s="54"/>
      <c r="AI31" s="54"/>
      <c r="AJ31" s="54"/>
      <c r="AK31" s="54"/>
      <c r="AL31" s="54"/>
    </row>
    <row r="32">
      <c r="G32" s="32"/>
      <c r="L32" s="50"/>
      <c r="M32" s="50"/>
      <c r="N32" s="6"/>
      <c r="O32" s="6"/>
      <c r="P32" s="6"/>
      <c r="Q32" s="6"/>
      <c r="R32" s="51"/>
      <c r="S32" s="51"/>
      <c r="T32" s="9"/>
      <c r="U32" s="9"/>
      <c r="V32" s="9"/>
      <c r="W32" s="9"/>
      <c r="X32" s="9"/>
      <c r="Y32" s="9"/>
      <c r="Z32" s="52"/>
      <c r="AA32" s="52"/>
      <c r="AB32" s="52"/>
      <c r="AC32" s="52"/>
      <c r="AF32" s="53"/>
      <c r="AG32" s="54"/>
      <c r="AH32" s="54"/>
      <c r="AI32" s="54"/>
      <c r="AJ32" s="54"/>
      <c r="AK32" s="54"/>
      <c r="AL32" s="54"/>
    </row>
    <row r="33">
      <c r="G33" s="32"/>
      <c r="L33" s="50"/>
      <c r="M33" s="50"/>
      <c r="N33" s="6"/>
      <c r="O33" s="6"/>
      <c r="P33" s="6"/>
      <c r="Q33" s="6"/>
      <c r="R33" s="51"/>
      <c r="S33" s="51"/>
      <c r="T33" s="9"/>
      <c r="U33" s="9"/>
      <c r="V33" s="9"/>
      <c r="W33" s="9"/>
      <c r="X33" s="9"/>
      <c r="Y33" s="9"/>
      <c r="Z33" s="52"/>
      <c r="AA33" s="52"/>
      <c r="AB33" s="52"/>
      <c r="AC33" s="52"/>
      <c r="AF33" s="53"/>
      <c r="AG33" s="54"/>
      <c r="AH33" s="54"/>
      <c r="AI33" s="54"/>
      <c r="AJ33" s="54"/>
      <c r="AK33" s="54"/>
      <c r="AL33" s="54"/>
    </row>
    <row r="34">
      <c r="G34" s="32"/>
      <c r="L34" s="50"/>
      <c r="M34" s="50"/>
      <c r="N34" s="6"/>
      <c r="O34" s="6"/>
      <c r="P34" s="6"/>
      <c r="Q34" s="6"/>
      <c r="R34" s="51"/>
      <c r="S34" s="51"/>
      <c r="T34" s="9"/>
      <c r="U34" s="9"/>
      <c r="V34" s="9"/>
      <c r="W34" s="9"/>
      <c r="X34" s="9"/>
      <c r="Y34" s="9"/>
      <c r="Z34" s="52"/>
      <c r="AA34" s="52"/>
      <c r="AB34" s="52"/>
      <c r="AC34" s="52"/>
      <c r="AF34" s="53"/>
      <c r="AG34" s="54"/>
      <c r="AH34" s="54"/>
      <c r="AI34" s="54"/>
      <c r="AJ34" s="54"/>
      <c r="AK34" s="54"/>
      <c r="AL34" s="54"/>
    </row>
    <row r="35">
      <c r="G35" s="32"/>
      <c r="L35" s="50"/>
      <c r="M35" s="50"/>
      <c r="N35" s="6"/>
      <c r="O35" s="6"/>
      <c r="P35" s="6"/>
      <c r="Q35" s="6"/>
      <c r="R35" s="51"/>
      <c r="S35" s="51"/>
      <c r="T35" s="9"/>
      <c r="U35" s="9"/>
      <c r="V35" s="9"/>
      <c r="W35" s="9"/>
      <c r="X35" s="9"/>
      <c r="Y35" s="9"/>
      <c r="Z35" s="52"/>
      <c r="AA35" s="52"/>
      <c r="AB35" s="52"/>
      <c r="AC35" s="52"/>
      <c r="AF35" s="53"/>
      <c r="AG35" s="54"/>
      <c r="AH35" s="54"/>
      <c r="AI35" s="54"/>
      <c r="AJ35" s="54"/>
      <c r="AK35" s="54"/>
      <c r="AL35" s="54"/>
    </row>
    <row r="36">
      <c r="G36" s="32"/>
      <c r="L36" s="50"/>
      <c r="M36" s="50"/>
      <c r="N36" s="6"/>
      <c r="O36" s="6"/>
      <c r="P36" s="6"/>
      <c r="Q36" s="6"/>
      <c r="R36" s="51"/>
      <c r="S36" s="51"/>
      <c r="T36" s="9"/>
      <c r="U36" s="9"/>
      <c r="V36" s="9"/>
      <c r="W36" s="9"/>
      <c r="X36" s="9"/>
      <c r="Y36" s="9"/>
      <c r="Z36" s="52"/>
      <c r="AA36" s="52"/>
      <c r="AB36" s="52"/>
      <c r="AC36" s="52"/>
      <c r="AF36" s="53"/>
      <c r="AG36" s="54"/>
      <c r="AH36" s="54"/>
      <c r="AI36" s="54"/>
      <c r="AJ36" s="54"/>
      <c r="AK36" s="54"/>
      <c r="AL36" s="54"/>
    </row>
    <row r="37">
      <c r="G37" s="32"/>
      <c r="L37" s="50"/>
      <c r="M37" s="50"/>
      <c r="N37" s="6"/>
      <c r="O37" s="6"/>
      <c r="P37" s="6"/>
      <c r="Q37" s="6"/>
      <c r="R37" s="51"/>
      <c r="S37" s="51"/>
      <c r="T37" s="9"/>
      <c r="U37" s="9"/>
      <c r="V37" s="9"/>
      <c r="W37" s="9"/>
      <c r="X37" s="9"/>
      <c r="Y37" s="9"/>
      <c r="Z37" s="52"/>
      <c r="AA37" s="52"/>
      <c r="AB37" s="52"/>
      <c r="AC37" s="52"/>
      <c r="AF37" s="53"/>
      <c r="AG37" s="54"/>
      <c r="AH37" s="54"/>
      <c r="AI37" s="54"/>
      <c r="AJ37" s="54"/>
      <c r="AK37" s="54"/>
      <c r="AL37" s="54"/>
    </row>
    <row r="38">
      <c r="A38" s="2"/>
      <c r="G38" s="32"/>
      <c r="L38" s="50"/>
      <c r="M38" s="50"/>
      <c r="N38" s="6"/>
      <c r="O38" s="6"/>
      <c r="P38" s="6"/>
      <c r="Q38" s="6"/>
      <c r="R38" s="51"/>
      <c r="S38" s="51"/>
      <c r="T38" s="9"/>
      <c r="U38" s="9"/>
      <c r="V38" s="9"/>
      <c r="W38" s="9"/>
      <c r="X38" s="9"/>
      <c r="Y38" s="9"/>
      <c r="Z38" s="52"/>
      <c r="AA38" s="52"/>
      <c r="AB38" s="52"/>
      <c r="AC38" s="52"/>
      <c r="AF38" s="53"/>
      <c r="AG38" s="54"/>
      <c r="AH38" s="54"/>
      <c r="AI38" s="54"/>
      <c r="AJ38" s="54"/>
      <c r="AK38" s="54"/>
      <c r="AL38" s="54"/>
    </row>
    <row r="39">
      <c r="G39" s="32"/>
      <c r="L39" s="50"/>
      <c r="M39" s="50"/>
      <c r="N39" s="6"/>
      <c r="O39" s="6"/>
      <c r="P39" s="6"/>
      <c r="Q39" s="6"/>
      <c r="R39" s="51"/>
      <c r="S39" s="51"/>
      <c r="T39" s="9"/>
      <c r="U39" s="9"/>
      <c r="V39" s="9"/>
      <c r="W39" s="9"/>
      <c r="X39" s="9"/>
      <c r="Y39" s="9"/>
      <c r="Z39" s="52"/>
      <c r="AA39" s="52"/>
      <c r="AB39" s="52"/>
      <c r="AC39" s="52"/>
      <c r="AF39" s="53"/>
      <c r="AG39" s="54"/>
      <c r="AH39" s="54"/>
      <c r="AI39" s="54"/>
      <c r="AJ39" s="54"/>
      <c r="AK39" s="54"/>
      <c r="AL39" s="54"/>
    </row>
    <row r="40">
      <c r="G40" s="32"/>
      <c r="L40" s="50"/>
      <c r="M40" s="50"/>
      <c r="N40" s="6"/>
      <c r="O40" s="6"/>
      <c r="P40" s="6"/>
      <c r="Q40" s="6"/>
      <c r="R40" s="51"/>
      <c r="S40" s="51"/>
      <c r="T40" s="9"/>
      <c r="U40" s="9"/>
      <c r="V40" s="9"/>
      <c r="W40" s="9"/>
      <c r="X40" s="9"/>
      <c r="Y40" s="9"/>
      <c r="Z40" s="52"/>
      <c r="AA40" s="52"/>
      <c r="AB40" s="52"/>
      <c r="AC40" s="52"/>
      <c r="AF40" s="53"/>
      <c r="AG40" s="54"/>
      <c r="AH40" s="54"/>
      <c r="AI40" s="54"/>
      <c r="AJ40" s="54"/>
      <c r="AK40" s="54"/>
      <c r="AL40" s="54"/>
    </row>
    <row r="41">
      <c r="G41" s="32"/>
      <c r="L41" s="50"/>
      <c r="M41" s="50"/>
      <c r="N41" s="6"/>
      <c r="O41" s="6"/>
      <c r="P41" s="6"/>
      <c r="Q41" s="6"/>
      <c r="R41" s="51"/>
      <c r="S41" s="51"/>
      <c r="T41" s="9"/>
      <c r="U41" s="9"/>
      <c r="V41" s="9"/>
      <c r="W41" s="9"/>
      <c r="X41" s="9"/>
      <c r="Y41" s="9"/>
      <c r="Z41" s="52"/>
      <c r="AA41" s="52"/>
      <c r="AB41" s="52"/>
      <c r="AC41" s="52"/>
      <c r="AF41" s="53"/>
      <c r="AG41" s="54"/>
      <c r="AH41" s="54"/>
      <c r="AI41" s="54"/>
      <c r="AJ41" s="54"/>
      <c r="AK41" s="54"/>
      <c r="AL41" s="54"/>
    </row>
    <row r="42">
      <c r="A42" s="2"/>
      <c r="G42" s="32"/>
      <c r="L42" s="50"/>
      <c r="M42" s="50"/>
      <c r="N42" s="6"/>
      <c r="O42" s="6"/>
      <c r="P42" s="6"/>
      <c r="Q42" s="6"/>
      <c r="R42" s="51"/>
      <c r="S42" s="51"/>
      <c r="T42" s="9"/>
      <c r="U42" s="9"/>
      <c r="V42" s="9"/>
      <c r="W42" s="9"/>
      <c r="X42" s="9"/>
      <c r="Y42" s="9"/>
      <c r="Z42" s="52"/>
      <c r="AA42" s="52"/>
      <c r="AB42" s="52"/>
      <c r="AC42" s="52"/>
      <c r="AF42" s="53"/>
      <c r="AG42" s="54"/>
      <c r="AH42" s="54"/>
      <c r="AI42" s="54"/>
      <c r="AJ42" s="54"/>
      <c r="AK42" s="54"/>
      <c r="AL42" s="54"/>
    </row>
    <row r="43">
      <c r="G43" s="32"/>
      <c r="L43" s="50"/>
      <c r="M43" s="50"/>
      <c r="N43" s="6"/>
      <c r="O43" s="6"/>
      <c r="P43" s="6"/>
      <c r="Q43" s="6"/>
      <c r="R43" s="51"/>
      <c r="S43" s="51"/>
      <c r="T43" s="9"/>
      <c r="U43" s="9"/>
      <c r="V43" s="9"/>
      <c r="W43" s="9"/>
      <c r="X43" s="9"/>
      <c r="Y43" s="9"/>
      <c r="Z43" s="52"/>
      <c r="AA43" s="52"/>
      <c r="AB43" s="52"/>
      <c r="AC43" s="52"/>
      <c r="AF43" s="53"/>
      <c r="AG43" s="54"/>
      <c r="AH43" s="54"/>
      <c r="AI43" s="54"/>
      <c r="AJ43" s="54"/>
      <c r="AK43" s="54"/>
      <c r="AL43" s="54"/>
    </row>
    <row r="44">
      <c r="G44" s="32"/>
      <c r="L44" s="50"/>
      <c r="M44" s="50"/>
      <c r="N44" s="6"/>
      <c r="O44" s="6"/>
      <c r="P44" s="6"/>
      <c r="Q44" s="6"/>
      <c r="R44" s="51"/>
      <c r="S44" s="51"/>
      <c r="T44" s="9"/>
      <c r="U44" s="9"/>
      <c r="V44" s="9"/>
      <c r="W44" s="9"/>
      <c r="X44" s="9"/>
      <c r="Y44" s="9"/>
      <c r="Z44" s="52"/>
      <c r="AA44" s="52"/>
      <c r="AB44" s="52"/>
      <c r="AC44" s="52"/>
      <c r="AF44" s="53"/>
      <c r="AG44" s="54"/>
      <c r="AH44" s="54"/>
      <c r="AI44" s="54"/>
      <c r="AJ44" s="54"/>
      <c r="AK44" s="54"/>
      <c r="AL44" s="54"/>
    </row>
    <row r="45">
      <c r="G45" s="32"/>
      <c r="L45" s="50"/>
      <c r="M45" s="50"/>
      <c r="N45" s="6"/>
      <c r="O45" s="6"/>
      <c r="P45" s="6"/>
      <c r="Q45" s="6"/>
      <c r="R45" s="51"/>
      <c r="S45" s="51"/>
      <c r="T45" s="9"/>
      <c r="U45" s="9"/>
      <c r="V45" s="9"/>
      <c r="W45" s="9"/>
      <c r="X45" s="9"/>
      <c r="Y45" s="9"/>
      <c r="Z45" s="52"/>
      <c r="AA45" s="52"/>
      <c r="AB45" s="52"/>
      <c r="AC45" s="52"/>
      <c r="AF45" s="53"/>
      <c r="AG45" s="54"/>
      <c r="AH45" s="54"/>
      <c r="AI45" s="54"/>
      <c r="AJ45" s="54"/>
      <c r="AK45" s="54"/>
      <c r="AL45" s="54"/>
    </row>
    <row r="46">
      <c r="G46" s="32"/>
      <c r="L46" s="50"/>
      <c r="M46" s="50"/>
      <c r="N46" s="6"/>
      <c r="O46" s="6"/>
      <c r="P46" s="6"/>
      <c r="Q46" s="6"/>
      <c r="R46" s="51"/>
      <c r="S46" s="51"/>
      <c r="T46" s="9"/>
      <c r="U46" s="9"/>
      <c r="V46" s="9"/>
      <c r="W46" s="9"/>
      <c r="X46" s="9"/>
      <c r="Y46" s="9"/>
      <c r="Z46" s="52"/>
      <c r="AA46" s="52"/>
      <c r="AB46" s="52"/>
      <c r="AC46" s="52"/>
      <c r="AF46" s="53"/>
      <c r="AG46" s="54"/>
      <c r="AH46" s="54"/>
      <c r="AI46" s="54"/>
      <c r="AJ46" s="54"/>
      <c r="AK46" s="54"/>
      <c r="AL46" s="54"/>
    </row>
    <row r="47">
      <c r="G47" s="32"/>
      <c r="L47" s="50"/>
      <c r="M47" s="50"/>
      <c r="N47" s="6"/>
      <c r="O47" s="6"/>
      <c r="P47" s="6"/>
      <c r="Q47" s="6"/>
      <c r="R47" s="51"/>
      <c r="S47" s="51"/>
      <c r="T47" s="9"/>
      <c r="U47" s="9"/>
      <c r="V47" s="9"/>
      <c r="W47" s="9"/>
      <c r="X47" s="9"/>
      <c r="Y47" s="9"/>
      <c r="Z47" s="52"/>
      <c r="AA47" s="52"/>
      <c r="AB47" s="52"/>
      <c r="AC47" s="52"/>
      <c r="AF47" s="53"/>
      <c r="AG47" s="54"/>
      <c r="AH47" s="54"/>
      <c r="AI47" s="54"/>
      <c r="AJ47" s="54"/>
      <c r="AK47" s="54"/>
      <c r="AL47" s="54"/>
    </row>
    <row r="48">
      <c r="G48" s="32"/>
      <c r="L48" s="50"/>
      <c r="M48" s="50"/>
      <c r="N48" s="6"/>
      <c r="O48" s="6"/>
      <c r="P48" s="6"/>
      <c r="Q48" s="6"/>
      <c r="R48" s="51"/>
      <c r="S48" s="51"/>
      <c r="T48" s="9"/>
      <c r="U48" s="9"/>
      <c r="V48" s="9"/>
      <c r="W48" s="9"/>
      <c r="X48" s="9"/>
      <c r="Y48" s="9"/>
      <c r="Z48" s="52"/>
      <c r="AA48" s="52"/>
      <c r="AB48" s="52"/>
      <c r="AC48" s="52"/>
      <c r="AF48" s="53"/>
      <c r="AG48" s="54"/>
      <c r="AH48" s="54"/>
      <c r="AI48" s="54"/>
      <c r="AJ48" s="54"/>
      <c r="AK48" s="54"/>
      <c r="AL48" s="54"/>
    </row>
    <row r="49">
      <c r="G49" s="32"/>
      <c r="L49" s="50"/>
      <c r="M49" s="50"/>
      <c r="N49" s="6"/>
      <c r="O49" s="6"/>
      <c r="P49" s="6"/>
      <c r="Q49" s="6"/>
      <c r="R49" s="51"/>
      <c r="S49" s="51"/>
      <c r="T49" s="9"/>
      <c r="U49" s="9"/>
      <c r="V49" s="9"/>
      <c r="W49" s="9"/>
      <c r="X49" s="9"/>
      <c r="Y49" s="9"/>
      <c r="Z49" s="52"/>
      <c r="AA49" s="52"/>
      <c r="AB49" s="52"/>
      <c r="AC49" s="52"/>
      <c r="AF49" s="53"/>
      <c r="AG49" s="54"/>
      <c r="AH49" s="54"/>
      <c r="AI49" s="54"/>
      <c r="AJ49" s="54"/>
      <c r="AK49" s="54"/>
      <c r="AL49" s="54"/>
    </row>
    <row r="50">
      <c r="G50" s="32"/>
      <c r="L50" s="50"/>
      <c r="M50" s="50"/>
      <c r="N50" s="6"/>
      <c r="O50" s="6"/>
      <c r="P50" s="6"/>
      <c r="Q50" s="6"/>
      <c r="R50" s="51"/>
      <c r="S50" s="51"/>
      <c r="T50" s="9"/>
      <c r="U50" s="9"/>
      <c r="V50" s="9"/>
      <c r="W50" s="9"/>
      <c r="X50" s="9"/>
      <c r="Y50" s="9"/>
      <c r="Z50" s="52"/>
      <c r="AA50" s="52"/>
      <c r="AB50" s="52"/>
      <c r="AC50" s="52"/>
      <c r="AF50" s="53"/>
      <c r="AG50" s="54"/>
      <c r="AH50" s="54"/>
      <c r="AI50" s="54"/>
      <c r="AJ50" s="54"/>
      <c r="AK50" s="54"/>
      <c r="AL50" s="54"/>
    </row>
    <row r="51">
      <c r="G51" s="32"/>
      <c r="L51" s="50"/>
      <c r="M51" s="50"/>
      <c r="N51" s="6"/>
      <c r="O51" s="6"/>
      <c r="P51" s="6"/>
      <c r="Q51" s="6"/>
      <c r="R51" s="51"/>
      <c r="S51" s="51"/>
      <c r="T51" s="9"/>
      <c r="U51" s="9"/>
      <c r="V51" s="9"/>
      <c r="W51" s="9"/>
      <c r="X51" s="9"/>
      <c r="Y51" s="9"/>
      <c r="Z51" s="52"/>
      <c r="AA51" s="52"/>
      <c r="AB51" s="52"/>
      <c r="AC51" s="52"/>
      <c r="AF51" s="53"/>
      <c r="AG51" s="54"/>
      <c r="AH51" s="54"/>
      <c r="AI51" s="54"/>
      <c r="AJ51" s="54"/>
      <c r="AK51" s="54"/>
      <c r="AL51" s="54"/>
    </row>
    <row r="52">
      <c r="G52" s="32"/>
      <c r="L52" s="50"/>
      <c r="M52" s="50"/>
      <c r="N52" s="6"/>
      <c r="O52" s="6"/>
      <c r="P52" s="6"/>
      <c r="Q52" s="6"/>
      <c r="R52" s="51"/>
      <c r="S52" s="51"/>
      <c r="T52" s="9"/>
      <c r="U52" s="9"/>
      <c r="V52" s="9"/>
      <c r="W52" s="9"/>
      <c r="X52" s="9"/>
      <c r="Y52" s="9"/>
      <c r="Z52" s="52"/>
      <c r="AA52" s="52"/>
      <c r="AB52" s="52"/>
      <c r="AC52" s="52"/>
      <c r="AF52" s="53"/>
      <c r="AG52" s="54"/>
      <c r="AH52" s="54"/>
      <c r="AI52" s="54"/>
      <c r="AJ52" s="54"/>
      <c r="AK52" s="54"/>
      <c r="AL52" s="54"/>
    </row>
    <row r="53">
      <c r="G53" s="32"/>
      <c r="L53" s="50"/>
      <c r="M53" s="50"/>
      <c r="N53" s="6"/>
      <c r="O53" s="6"/>
      <c r="P53" s="6"/>
      <c r="Q53" s="6"/>
      <c r="R53" s="51"/>
      <c r="S53" s="51"/>
      <c r="T53" s="9"/>
      <c r="U53" s="9"/>
      <c r="V53" s="9"/>
      <c r="W53" s="9"/>
      <c r="X53" s="9"/>
      <c r="Y53" s="9"/>
      <c r="Z53" s="52"/>
      <c r="AA53" s="52"/>
      <c r="AB53" s="52"/>
      <c r="AC53" s="52"/>
      <c r="AF53" s="53"/>
      <c r="AG53" s="54"/>
      <c r="AH53" s="54"/>
      <c r="AI53" s="54"/>
      <c r="AJ53" s="54"/>
      <c r="AK53" s="54"/>
      <c r="AL53" s="54"/>
    </row>
    <row r="54">
      <c r="G54" s="32"/>
      <c r="L54" s="50"/>
      <c r="M54" s="50"/>
      <c r="N54" s="6"/>
      <c r="O54" s="6"/>
      <c r="P54" s="6"/>
      <c r="Q54" s="6"/>
      <c r="R54" s="51"/>
      <c r="S54" s="51"/>
      <c r="T54" s="9"/>
      <c r="U54" s="9"/>
      <c r="V54" s="9"/>
      <c r="W54" s="9"/>
      <c r="X54" s="9"/>
      <c r="Y54" s="9"/>
      <c r="Z54" s="52"/>
      <c r="AA54" s="52"/>
      <c r="AB54" s="52"/>
      <c r="AC54" s="52"/>
      <c r="AF54" s="53"/>
      <c r="AG54" s="54"/>
      <c r="AH54" s="54"/>
      <c r="AI54" s="54"/>
      <c r="AJ54" s="54"/>
      <c r="AK54" s="54"/>
      <c r="AL54" s="54"/>
    </row>
    <row r="55">
      <c r="G55" s="32"/>
      <c r="L55" s="50"/>
      <c r="M55" s="50"/>
      <c r="N55" s="6"/>
      <c r="O55" s="6"/>
      <c r="P55" s="6"/>
      <c r="Q55" s="6"/>
      <c r="R55" s="51"/>
      <c r="S55" s="51"/>
      <c r="T55" s="9"/>
      <c r="U55" s="9"/>
      <c r="V55" s="9"/>
      <c r="W55" s="9"/>
      <c r="X55" s="9"/>
      <c r="Y55" s="9"/>
      <c r="Z55" s="52"/>
      <c r="AA55" s="52"/>
      <c r="AB55" s="52"/>
      <c r="AC55" s="52"/>
      <c r="AF55" s="53"/>
      <c r="AG55" s="54"/>
      <c r="AH55" s="54"/>
      <c r="AI55" s="54"/>
      <c r="AJ55" s="54"/>
      <c r="AK55" s="54"/>
      <c r="AL55" s="54"/>
    </row>
    <row r="56">
      <c r="G56" s="32"/>
      <c r="L56" s="50"/>
      <c r="M56" s="50"/>
      <c r="N56" s="6"/>
      <c r="O56" s="6"/>
      <c r="P56" s="6"/>
      <c r="Q56" s="6"/>
      <c r="R56" s="51"/>
      <c r="S56" s="51"/>
      <c r="T56" s="9"/>
      <c r="U56" s="9"/>
      <c r="V56" s="9"/>
      <c r="W56" s="9"/>
      <c r="X56" s="9"/>
      <c r="Y56" s="9"/>
      <c r="Z56" s="52"/>
      <c r="AA56" s="52"/>
      <c r="AB56" s="52"/>
      <c r="AC56" s="52"/>
      <c r="AF56" s="53"/>
      <c r="AG56" s="54"/>
      <c r="AH56" s="54"/>
      <c r="AI56" s="54"/>
      <c r="AJ56" s="54"/>
      <c r="AK56" s="54"/>
      <c r="AL56" s="54"/>
    </row>
    <row r="57">
      <c r="G57" s="32"/>
      <c r="L57" s="50"/>
      <c r="M57" s="50"/>
      <c r="N57" s="6"/>
      <c r="O57" s="6"/>
      <c r="P57" s="6"/>
      <c r="Q57" s="6"/>
      <c r="R57" s="51"/>
      <c r="S57" s="51"/>
      <c r="T57" s="9"/>
      <c r="U57" s="9"/>
      <c r="V57" s="9"/>
      <c r="W57" s="9"/>
      <c r="X57" s="9"/>
      <c r="Y57" s="9"/>
      <c r="Z57" s="52"/>
      <c r="AA57" s="52"/>
      <c r="AB57" s="52"/>
      <c r="AC57" s="52"/>
      <c r="AF57" s="53"/>
      <c r="AG57" s="54"/>
      <c r="AH57" s="54"/>
      <c r="AI57" s="54"/>
      <c r="AJ57" s="54"/>
      <c r="AK57" s="54"/>
      <c r="AL57" s="54"/>
    </row>
    <row r="58">
      <c r="G58" s="32"/>
      <c r="L58" s="50"/>
      <c r="M58" s="50"/>
      <c r="N58" s="6"/>
      <c r="O58" s="6"/>
      <c r="P58" s="6"/>
      <c r="Q58" s="6"/>
      <c r="R58" s="51"/>
      <c r="S58" s="51"/>
      <c r="T58" s="9"/>
      <c r="U58" s="9"/>
      <c r="V58" s="9"/>
      <c r="W58" s="9"/>
      <c r="X58" s="9"/>
      <c r="Y58" s="9"/>
      <c r="Z58" s="52"/>
      <c r="AA58" s="52"/>
      <c r="AB58" s="52"/>
      <c r="AC58" s="52"/>
      <c r="AF58" s="53"/>
      <c r="AG58" s="54"/>
      <c r="AH58" s="54"/>
      <c r="AI58" s="54"/>
      <c r="AJ58" s="54"/>
      <c r="AK58" s="54"/>
      <c r="AL58" s="54"/>
    </row>
    <row r="59">
      <c r="G59" s="32"/>
      <c r="L59" s="50"/>
      <c r="M59" s="50"/>
      <c r="N59" s="6"/>
      <c r="O59" s="6"/>
      <c r="P59" s="6"/>
      <c r="Q59" s="6"/>
      <c r="R59" s="51"/>
      <c r="S59" s="51"/>
      <c r="T59" s="9"/>
      <c r="U59" s="9"/>
      <c r="V59" s="9"/>
      <c r="W59" s="9"/>
      <c r="X59" s="9"/>
      <c r="Y59" s="9"/>
      <c r="Z59" s="52"/>
      <c r="AA59" s="52"/>
      <c r="AB59" s="52"/>
      <c r="AC59" s="52"/>
      <c r="AF59" s="53"/>
      <c r="AG59" s="54"/>
      <c r="AH59" s="54"/>
      <c r="AI59" s="54"/>
      <c r="AJ59" s="54"/>
      <c r="AK59" s="54"/>
      <c r="AL59" s="54"/>
    </row>
    <row r="60">
      <c r="G60" s="32"/>
      <c r="L60" s="50"/>
      <c r="M60" s="50"/>
      <c r="N60" s="6"/>
      <c r="O60" s="6"/>
      <c r="P60" s="6"/>
      <c r="Q60" s="6"/>
      <c r="R60" s="51"/>
      <c r="S60" s="51"/>
      <c r="T60" s="9"/>
      <c r="U60" s="9"/>
      <c r="V60" s="9"/>
      <c r="W60" s="9"/>
      <c r="X60" s="9"/>
      <c r="Y60" s="9"/>
      <c r="Z60" s="52"/>
      <c r="AA60" s="52"/>
      <c r="AB60" s="52"/>
      <c r="AC60" s="52"/>
      <c r="AF60" s="53"/>
      <c r="AG60" s="54"/>
      <c r="AH60" s="54"/>
      <c r="AI60" s="54"/>
      <c r="AJ60" s="54"/>
      <c r="AK60" s="54"/>
      <c r="AL60" s="54"/>
    </row>
    <row r="61">
      <c r="G61" s="32"/>
      <c r="L61" s="50"/>
      <c r="M61" s="50"/>
      <c r="N61" s="6"/>
      <c r="O61" s="6"/>
      <c r="P61" s="6"/>
      <c r="Q61" s="6"/>
      <c r="R61" s="51"/>
      <c r="S61" s="51"/>
      <c r="T61" s="9"/>
      <c r="U61" s="9"/>
      <c r="V61" s="9"/>
      <c r="W61" s="9"/>
      <c r="X61" s="9"/>
      <c r="Y61" s="9"/>
      <c r="Z61" s="52"/>
      <c r="AA61" s="52"/>
      <c r="AB61" s="52"/>
      <c r="AC61" s="52"/>
      <c r="AF61" s="53"/>
      <c r="AG61" s="54"/>
      <c r="AH61" s="54"/>
      <c r="AI61" s="54"/>
      <c r="AJ61" s="54"/>
      <c r="AK61" s="54"/>
      <c r="AL61" s="54"/>
    </row>
    <row r="62">
      <c r="G62" s="32"/>
      <c r="L62" s="50"/>
      <c r="M62" s="50"/>
      <c r="N62" s="6"/>
      <c r="O62" s="6"/>
      <c r="P62" s="6"/>
      <c r="Q62" s="6"/>
      <c r="R62" s="51"/>
      <c r="S62" s="51"/>
      <c r="T62" s="9"/>
      <c r="U62" s="9"/>
      <c r="V62" s="9"/>
      <c r="W62" s="9"/>
      <c r="X62" s="9"/>
      <c r="Y62" s="9"/>
      <c r="Z62" s="52"/>
      <c r="AA62" s="52"/>
      <c r="AB62" s="52"/>
      <c r="AC62" s="52"/>
      <c r="AF62" s="53"/>
      <c r="AG62" s="54"/>
      <c r="AH62" s="54"/>
      <c r="AI62" s="54"/>
      <c r="AJ62" s="54"/>
      <c r="AK62" s="54"/>
      <c r="AL62" s="54"/>
    </row>
    <row r="63">
      <c r="G63" s="32"/>
      <c r="L63" s="50"/>
      <c r="M63" s="50"/>
      <c r="N63" s="6"/>
      <c r="O63" s="6"/>
      <c r="P63" s="6"/>
      <c r="Q63" s="6"/>
      <c r="R63" s="51"/>
      <c r="S63" s="51"/>
      <c r="T63" s="9"/>
      <c r="U63" s="9"/>
      <c r="V63" s="9"/>
      <c r="W63" s="9"/>
      <c r="X63" s="9"/>
      <c r="Y63" s="9"/>
      <c r="Z63" s="52"/>
      <c r="AA63" s="52"/>
      <c r="AB63" s="52"/>
      <c r="AC63" s="52"/>
      <c r="AF63" s="53"/>
      <c r="AG63" s="54"/>
      <c r="AH63" s="54"/>
      <c r="AI63" s="54"/>
      <c r="AJ63" s="54"/>
      <c r="AK63" s="54"/>
      <c r="AL63" s="54"/>
    </row>
    <row r="64">
      <c r="G64" s="32"/>
      <c r="L64" s="50"/>
      <c r="M64" s="50"/>
      <c r="N64" s="6"/>
      <c r="O64" s="6"/>
      <c r="P64" s="6"/>
      <c r="Q64" s="6"/>
      <c r="R64" s="51"/>
      <c r="S64" s="51"/>
      <c r="T64" s="9"/>
      <c r="U64" s="9"/>
      <c r="V64" s="9"/>
      <c r="W64" s="9"/>
      <c r="X64" s="9"/>
      <c r="Y64" s="9"/>
      <c r="Z64" s="52"/>
      <c r="AA64" s="52"/>
      <c r="AB64" s="52"/>
      <c r="AC64" s="52"/>
      <c r="AF64" s="53"/>
      <c r="AG64" s="54"/>
      <c r="AH64" s="54"/>
      <c r="AI64" s="54"/>
      <c r="AJ64" s="54"/>
      <c r="AK64" s="54"/>
      <c r="AL64" s="54"/>
    </row>
    <row r="65">
      <c r="G65" s="32"/>
      <c r="L65" s="50"/>
      <c r="M65" s="50"/>
      <c r="N65" s="6"/>
      <c r="O65" s="6"/>
      <c r="P65" s="6"/>
      <c r="Q65" s="6"/>
      <c r="R65" s="51"/>
      <c r="S65" s="51"/>
      <c r="T65" s="9"/>
      <c r="U65" s="9"/>
      <c r="V65" s="9"/>
      <c r="W65" s="9"/>
      <c r="X65" s="9"/>
      <c r="Y65" s="9"/>
      <c r="Z65" s="52"/>
      <c r="AA65" s="52"/>
      <c r="AB65" s="52"/>
      <c r="AC65" s="52"/>
      <c r="AF65" s="53"/>
      <c r="AG65" s="54"/>
      <c r="AH65" s="54"/>
      <c r="AI65" s="54"/>
      <c r="AJ65" s="54"/>
      <c r="AK65" s="54"/>
      <c r="AL65" s="54"/>
    </row>
    <row r="66">
      <c r="G66" s="32"/>
      <c r="L66" s="50"/>
      <c r="M66" s="50"/>
      <c r="N66" s="6"/>
      <c r="O66" s="6"/>
      <c r="P66" s="6"/>
      <c r="Q66" s="6"/>
      <c r="R66" s="51"/>
      <c r="S66" s="51"/>
      <c r="T66" s="9"/>
      <c r="U66" s="9"/>
      <c r="V66" s="9"/>
      <c r="W66" s="9"/>
      <c r="X66" s="9"/>
      <c r="Y66" s="9"/>
      <c r="Z66" s="52"/>
      <c r="AA66" s="52"/>
      <c r="AB66" s="52"/>
      <c r="AC66" s="52"/>
      <c r="AF66" s="53"/>
      <c r="AG66" s="54"/>
      <c r="AH66" s="54"/>
      <c r="AI66" s="54"/>
      <c r="AJ66" s="54"/>
      <c r="AK66" s="54"/>
      <c r="AL66" s="54"/>
    </row>
    <row r="67">
      <c r="G67" s="32"/>
      <c r="L67" s="50"/>
      <c r="M67" s="50"/>
      <c r="N67" s="6"/>
      <c r="O67" s="6"/>
      <c r="P67" s="6"/>
      <c r="Q67" s="6"/>
      <c r="R67" s="51"/>
      <c r="S67" s="51"/>
      <c r="T67" s="9"/>
      <c r="U67" s="9"/>
      <c r="V67" s="9"/>
      <c r="W67" s="9"/>
      <c r="X67" s="9"/>
      <c r="Y67" s="9"/>
      <c r="Z67" s="52"/>
      <c r="AA67" s="52"/>
      <c r="AB67" s="52"/>
      <c r="AC67" s="52"/>
      <c r="AF67" s="53"/>
      <c r="AG67" s="54"/>
      <c r="AH67" s="54"/>
      <c r="AI67" s="54"/>
      <c r="AJ67" s="54"/>
      <c r="AK67" s="54"/>
      <c r="AL67" s="54"/>
    </row>
    <row r="68">
      <c r="G68" s="32"/>
      <c r="L68" s="50"/>
      <c r="M68" s="50"/>
      <c r="N68" s="6"/>
      <c r="O68" s="6"/>
      <c r="P68" s="6"/>
      <c r="Q68" s="6"/>
      <c r="R68" s="51"/>
      <c r="S68" s="51"/>
      <c r="T68" s="9"/>
      <c r="U68" s="9"/>
      <c r="V68" s="9"/>
      <c r="W68" s="9"/>
      <c r="X68" s="9"/>
      <c r="Y68" s="9"/>
      <c r="Z68" s="52"/>
      <c r="AA68" s="52"/>
      <c r="AB68" s="52"/>
      <c r="AC68" s="52"/>
      <c r="AF68" s="53"/>
      <c r="AG68" s="54"/>
      <c r="AH68" s="54"/>
      <c r="AI68" s="54"/>
      <c r="AJ68" s="54"/>
      <c r="AK68" s="54"/>
      <c r="AL68" s="54"/>
    </row>
    <row r="69">
      <c r="G69" s="32"/>
      <c r="L69" s="50"/>
      <c r="M69" s="50"/>
      <c r="N69" s="6"/>
      <c r="O69" s="6"/>
      <c r="P69" s="6"/>
      <c r="Q69" s="6"/>
      <c r="R69" s="51"/>
      <c r="S69" s="51"/>
      <c r="T69" s="9"/>
      <c r="U69" s="9"/>
      <c r="V69" s="9"/>
      <c r="W69" s="9"/>
      <c r="X69" s="9"/>
      <c r="Y69" s="9"/>
      <c r="Z69" s="52"/>
      <c r="AA69" s="52"/>
      <c r="AB69" s="52"/>
      <c r="AC69" s="52"/>
      <c r="AF69" s="53"/>
      <c r="AG69" s="54"/>
      <c r="AH69" s="54"/>
      <c r="AI69" s="54"/>
      <c r="AJ69" s="54"/>
      <c r="AK69" s="54"/>
      <c r="AL69" s="54"/>
    </row>
    <row r="70">
      <c r="G70" s="32"/>
      <c r="L70" s="50"/>
      <c r="M70" s="50"/>
      <c r="N70" s="6"/>
      <c r="O70" s="6"/>
      <c r="P70" s="6"/>
      <c r="Q70" s="6"/>
      <c r="R70" s="51"/>
      <c r="S70" s="51"/>
      <c r="T70" s="9"/>
      <c r="U70" s="9"/>
      <c r="V70" s="9"/>
      <c r="W70" s="9"/>
      <c r="X70" s="9"/>
      <c r="Y70" s="9"/>
      <c r="Z70" s="52"/>
      <c r="AA70" s="52"/>
      <c r="AB70" s="52"/>
      <c r="AC70" s="52"/>
      <c r="AF70" s="53"/>
      <c r="AG70" s="54"/>
      <c r="AH70" s="54"/>
      <c r="AI70" s="54"/>
      <c r="AJ70" s="54"/>
      <c r="AK70" s="54"/>
      <c r="AL70" s="54"/>
    </row>
    <row r="71">
      <c r="G71" s="32"/>
      <c r="L71" s="50"/>
      <c r="M71" s="50"/>
      <c r="N71" s="6"/>
      <c r="O71" s="6"/>
      <c r="P71" s="6"/>
      <c r="Q71" s="6"/>
      <c r="R71" s="51"/>
      <c r="S71" s="51"/>
      <c r="T71" s="9"/>
      <c r="U71" s="9"/>
      <c r="V71" s="9"/>
      <c r="W71" s="9"/>
      <c r="X71" s="9"/>
      <c r="Y71" s="9"/>
      <c r="Z71" s="52"/>
      <c r="AA71" s="52"/>
      <c r="AB71" s="52"/>
      <c r="AC71" s="52"/>
      <c r="AF71" s="53"/>
      <c r="AG71" s="54"/>
      <c r="AH71" s="54"/>
      <c r="AI71" s="54"/>
      <c r="AJ71" s="54"/>
      <c r="AK71" s="54"/>
      <c r="AL71" s="54"/>
    </row>
    <row r="72">
      <c r="G72" s="32"/>
      <c r="L72" s="50"/>
      <c r="M72" s="50"/>
      <c r="N72" s="6"/>
      <c r="O72" s="6"/>
      <c r="P72" s="6"/>
      <c r="Q72" s="6"/>
      <c r="R72" s="51"/>
      <c r="S72" s="51"/>
      <c r="T72" s="9"/>
      <c r="U72" s="9"/>
      <c r="V72" s="9"/>
      <c r="W72" s="9"/>
      <c r="X72" s="9"/>
      <c r="Y72" s="9"/>
      <c r="Z72" s="52"/>
      <c r="AA72" s="52"/>
      <c r="AB72" s="52"/>
      <c r="AC72" s="52"/>
      <c r="AF72" s="53"/>
      <c r="AG72" s="54"/>
      <c r="AH72" s="54"/>
      <c r="AI72" s="54"/>
      <c r="AJ72" s="54"/>
      <c r="AK72" s="54"/>
      <c r="AL72" s="54"/>
    </row>
    <row r="73">
      <c r="G73" s="32"/>
      <c r="L73" s="50"/>
      <c r="M73" s="50"/>
      <c r="N73" s="6"/>
      <c r="O73" s="6"/>
      <c r="P73" s="6"/>
      <c r="Q73" s="6"/>
      <c r="R73" s="51"/>
      <c r="S73" s="51"/>
      <c r="T73" s="9"/>
      <c r="U73" s="9"/>
      <c r="V73" s="9"/>
      <c r="W73" s="9"/>
      <c r="X73" s="9"/>
      <c r="Y73" s="9"/>
      <c r="Z73" s="52"/>
      <c r="AA73" s="52"/>
      <c r="AB73" s="52"/>
      <c r="AC73" s="52"/>
      <c r="AF73" s="53"/>
      <c r="AG73" s="54"/>
      <c r="AH73" s="54"/>
      <c r="AI73" s="54"/>
      <c r="AJ73" s="54"/>
      <c r="AK73" s="54"/>
      <c r="AL73" s="54"/>
    </row>
    <row r="74">
      <c r="G74" s="32"/>
      <c r="L74" s="50"/>
      <c r="M74" s="50"/>
      <c r="N74" s="6"/>
      <c r="O74" s="6"/>
      <c r="P74" s="6"/>
      <c r="Q74" s="6"/>
      <c r="R74" s="51"/>
      <c r="S74" s="51"/>
      <c r="T74" s="9"/>
      <c r="U74" s="9"/>
      <c r="V74" s="9"/>
      <c r="W74" s="9"/>
      <c r="X74" s="9"/>
      <c r="Y74" s="9"/>
      <c r="Z74" s="52"/>
      <c r="AA74" s="52"/>
      <c r="AB74" s="52"/>
      <c r="AC74" s="52"/>
      <c r="AF74" s="53"/>
      <c r="AG74" s="54"/>
      <c r="AH74" s="54"/>
      <c r="AI74" s="54"/>
      <c r="AJ74" s="54"/>
      <c r="AK74" s="54"/>
      <c r="AL74" s="54"/>
    </row>
    <row r="75">
      <c r="G75" s="32"/>
      <c r="L75" s="50"/>
      <c r="M75" s="50"/>
      <c r="N75" s="6"/>
      <c r="O75" s="6"/>
      <c r="P75" s="6"/>
      <c r="Q75" s="6"/>
      <c r="R75" s="51"/>
      <c r="S75" s="51"/>
      <c r="T75" s="9"/>
      <c r="U75" s="9"/>
      <c r="V75" s="9"/>
      <c r="W75" s="9"/>
      <c r="X75" s="9"/>
      <c r="Y75" s="9"/>
      <c r="Z75" s="52"/>
      <c r="AA75" s="52"/>
      <c r="AB75" s="52"/>
      <c r="AC75" s="52"/>
      <c r="AF75" s="53"/>
      <c r="AG75" s="54"/>
      <c r="AH75" s="54"/>
      <c r="AI75" s="54"/>
      <c r="AJ75" s="54"/>
      <c r="AK75" s="54"/>
      <c r="AL75" s="54"/>
    </row>
    <row r="76">
      <c r="G76" s="32"/>
      <c r="L76" s="50"/>
      <c r="M76" s="50"/>
      <c r="N76" s="6"/>
      <c r="O76" s="6"/>
      <c r="P76" s="6"/>
      <c r="Q76" s="6"/>
      <c r="R76" s="51"/>
      <c r="S76" s="51"/>
      <c r="T76" s="9"/>
      <c r="U76" s="9"/>
      <c r="V76" s="9"/>
      <c r="W76" s="9"/>
      <c r="X76" s="9"/>
      <c r="Y76" s="9"/>
      <c r="Z76" s="52"/>
      <c r="AA76" s="52"/>
      <c r="AB76" s="52"/>
      <c r="AC76" s="52"/>
      <c r="AF76" s="53"/>
      <c r="AG76" s="54"/>
      <c r="AH76" s="54"/>
      <c r="AI76" s="54"/>
      <c r="AJ76" s="54"/>
      <c r="AK76" s="54"/>
      <c r="AL76" s="54"/>
    </row>
    <row r="77">
      <c r="G77" s="32"/>
      <c r="L77" s="50"/>
      <c r="M77" s="50"/>
      <c r="N77" s="6"/>
      <c r="O77" s="6"/>
      <c r="P77" s="6"/>
      <c r="Q77" s="6"/>
      <c r="R77" s="51"/>
      <c r="S77" s="51"/>
      <c r="T77" s="9"/>
      <c r="U77" s="9"/>
      <c r="V77" s="9"/>
      <c r="W77" s="9"/>
      <c r="X77" s="9"/>
      <c r="Y77" s="9"/>
      <c r="Z77" s="52"/>
      <c r="AA77" s="52"/>
      <c r="AB77" s="52"/>
      <c r="AC77" s="52"/>
      <c r="AF77" s="53"/>
      <c r="AG77" s="54"/>
      <c r="AH77" s="54"/>
      <c r="AI77" s="54"/>
      <c r="AJ77" s="54"/>
      <c r="AK77" s="54"/>
      <c r="AL77" s="54"/>
    </row>
    <row r="78">
      <c r="G78" s="32"/>
      <c r="L78" s="50"/>
      <c r="M78" s="50"/>
      <c r="N78" s="6"/>
      <c r="O78" s="6"/>
      <c r="P78" s="6"/>
      <c r="Q78" s="6"/>
      <c r="R78" s="51"/>
      <c r="S78" s="51"/>
      <c r="T78" s="9"/>
      <c r="U78" s="9"/>
      <c r="V78" s="9"/>
      <c r="W78" s="9"/>
      <c r="X78" s="9"/>
      <c r="Y78" s="9"/>
      <c r="Z78" s="52"/>
      <c r="AA78" s="52"/>
      <c r="AB78" s="52"/>
      <c r="AC78" s="52"/>
      <c r="AF78" s="53"/>
      <c r="AG78" s="54"/>
      <c r="AH78" s="54"/>
      <c r="AI78" s="54"/>
      <c r="AJ78" s="54"/>
      <c r="AK78" s="54"/>
      <c r="AL78" s="54"/>
    </row>
    <row r="79">
      <c r="G79" s="32"/>
      <c r="L79" s="50"/>
      <c r="M79" s="50"/>
      <c r="N79" s="6"/>
      <c r="O79" s="6"/>
      <c r="P79" s="6"/>
      <c r="Q79" s="6"/>
      <c r="R79" s="51"/>
      <c r="S79" s="51"/>
      <c r="T79" s="9"/>
      <c r="U79" s="9"/>
      <c r="V79" s="9"/>
      <c r="W79" s="9"/>
      <c r="X79" s="9"/>
      <c r="Y79" s="9"/>
      <c r="Z79" s="52"/>
      <c r="AA79" s="52"/>
      <c r="AB79" s="52"/>
      <c r="AC79" s="52"/>
      <c r="AF79" s="53"/>
      <c r="AG79" s="54"/>
      <c r="AH79" s="54"/>
      <c r="AI79" s="54"/>
      <c r="AJ79" s="54"/>
      <c r="AK79" s="54"/>
      <c r="AL79" s="54"/>
    </row>
    <row r="80">
      <c r="G80" s="32"/>
      <c r="L80" s="50"/>
      <c r="M80" s="50"/>
      <c r="N80" s="6"/>
      <c r="O80" s="6"/>
      <c r="P80" s="6"/>
      <c r="Q80" s="6"/>
      <c r="R80" s="51"/>
      <c r="S80" s="51"/>
      <c r="T80" s="9"/>
      <c r="U80" s="9"/>
      <c r="V80" s="9"/>
      <c r="W80" s="9"/>
      <c r="X80" s="9"/>
      <c r="Y80" s="9"/>
      <c r="Z80" s="52"/>
      <c r="AA80" s="52"/>
      <c r="AB80" s="52"/>
      <c r="AC80" s="52"/>
      <c r="AF80" s="53"/>
      <c r="AG80" s="54"/>
      <c r="AH80" s="54"/>
      <c r="AI80" s="54"/>
      <c r="AJ80" s="54"/>
      <c r="AK80" s="54"/>
      <c r="AL80" s="54"/>
    </row>
    <row r="81">
      <c r="G81" s="32"/>
      <c r="L81" s="50"/>
      <c r="M81" s="50"/>
      <c r="N81" s="6"/>
      <c r="O81" s="6"/>
      <c r="P81" s="6"/>
      <c r="Q81" s="6"/>
      <c r="R81" s="51"/>
      <c r="S81" s="51"/>
      <c r="T81" s="9"/>
      <c r="U81" s="9"/>
      <c r="V81" s="9"/>
      <c r="W81" s="9"/>
      <c r="X81" s="9"/>
      <c r="Y81" s="9"/>
      <c r="Z81" s="52"/>
      <c r="AA81" s="52"/>
      <c r="AB81" s="52"/>
      <c r="AC81" s="52"/>
      <c r="AF81" s="53"/>
      <c r="AG81" s="54"/>
      <c r="AH81" s="54"/>
      <c r="AI81" s="54"/>
      <c r="AJ81" s="54"/>
      <c r="AK81" s="54"/>
      <c r="AL81" s="54"/>
    </row>
    <row r="82">
      <c r="G82" s="32"/>
      <c r="L82" s="50"/>
      <c r="M82" s="50"/>
      <c r="N82" s="6"/>
      <c r="O82" s="6"/>
      <c r="P82" s="6"/>
      <c r="Q82" s="6"/>
      <c r="R82" s="51"/>
      <c r="S82" s="51"/>
      <c r="T82" s="9"/>
      <c r="U82" s="9"/>
      <c r="V82" s="9"/>
      <c r="W82" s="9"/>
      <c r="X82" s="9"/>
      <c r="Y82" s="9"/>
      <c r="Z82" s="52"/>
      <c r="AA82" s="52"/>
      <c r="AB82" s="52"/>
      <c r="AC82" s="52"/>
      <c r="AF82" s="53"/>
      <c r="AG82" s="54"/>
      <c r="AH82" s="54"/>
      <c r="AI82" s="54"/>
      <c r="AJ82" s="54"/>
      <c r="AK82" s="54"/>
      <c r="AL82" s="54"/>
    </row>
    <row r="83">
      <c r="G83" s="32"/>
      <c r="L83" s="50"/>
      <c r="M83" s="50"/>
      <c r="N83" s="6"/>
      <c r="O83" s="6"/>
      <c r="P83" s="6"/>
      <c r="Q83" s="6"/>
      <c r="R83" s="51"/>
      <c r="S83" s="51"/>
      <c r="T83" s="9"/>
      <c r="U83" s="9"/>
      <c r="V83" s="9"/>
      <c r="W83" s="9"/>
      <c r="X83" s="9"/>
      <c r="Y83" s="9"/>
      <c r="Z83" s="52"/>
      <c r="AA83" s="52"/>
      <c r="AB83" s="52"/>
      <c r="AC83" s="52"/>
      <c r="AF83" s="53"/>
      <c r="AG83" s="54"/>
      <c r="AH83" s="54"/>
      <c r="AI83" s="54"/>
      <c r="AJ83" s="54"/>
      <c r="AK83" s="54"/>
      <c r="AL83" s="54"/>
    </row>
    <row r="84">
      <c r="G84" s="32"/>
      <c r="L84" s="50"/>
      <c r="M84" s="50"/>
      <c r="N84" s="6"/>
      <c r="O84" s="6"/>
      <c r="P84" s="6"/>
      <c r="Q84" s="6"/>
      <c r="R84" s="51"/>
      <c r="S84" s="51"/>
      <c r="T84" s="9"/>
      <c r="U84" s="9"/>
      <c r="V84" s="9"/>
      <c r="W84" s="9"/>
      <c r="X84" s="9"/>
      <c r="Y84" s="9"/>
      <c r="Z84" s="52"/>
      <c r="AA84" s="52"/>
      <c r="AB84" s="52"/>
      <c r="AC84" s="52"/>
      <c r="AF84" s="53"/>
      <c r="AG84" s="54"/>
      <c r="AH84" s="54"/>
      <c r="AI84" s="54"/>
      <c r="AJ84" s="54"/>
      <c r="AK84" s="54"/>
      <c r="AL84" s="54"/>
    </row>
    <row r="85">
      <c r="G85" s="32"/>
      <c r="L85" s="50"/>
      <c r="M85" s="50"/>
      <c r="N85" s="6"/>
      <c r="O85" s="6"/>
      <c r="P85" s="6"/>
      <c r="Q85" s="6"/>
      <c r="R85" s="51"/>
      <c r="S85" s="51"/>
      <c r="T85" s="9"/>
      <c r="U85" s="9"/>
      <c r="V85" s="9"/>
      <c r="W85" s="9"/>
      <c r="X85" s="9"/>
      <c r="Y85" s="9"/>
      <c r="Z85" s="52"/>
      <c r="AA85" s="52"/>
      <c r="AB85" s="52"/>
      <c r="AC85" s="52"/>
      <c r="AF85" s="53"/>
      <c r="AG85" s="54"/>
      <c r="AH85" s="54"/>
      <c r="AI85" s="54"/>
      <c r="AJ85" s="54"/>
      <c r="AK85" s="54"/>
      <c r="AL85" s="54"/>
    </row>
    <row r="86">
      <c r="G86" s="32"/>
      <c r="L86" s="50"/>
      <c r="M86" s="50"/>
      <c r="N86" s="6"/>
      <c r="O86" s="6"/>
      <c r="P86" s="6"/>
      <c r="Q86" s="6"/>
      <c r="R86" s="51"/>
      <c r="S86" s="51"/>
      <c r="T86" s="9"/>
      <c r="U86" s="9"/>
      <c r="V86" s="9"/>
      <c r="W86" s="9"/>
      <c r="X86" s="9"/>
      <c r="Y86" s="9"/>
      <c r="Z86" s="52"/>
      <c r="AA86" s="52"/>
      <c r="AB86" s="52"/>
      <c r="AC86" s="52"/>
      <c r="AF86" s="53"/>
      <c r="AG86" s="54"/>
      <c r="AH86" s="54"/>
      <c r="AI86" s="54"/>
      <c r="AJ86" s="54"/>
      <c r="AK86" s="54"/>
      <c r="AL86" s="54"/>
    </row>
    <row r="87">
      <c r="G87" s="32"/>
      <c r="L87" s="50"/>
      <c r="M87" s="50"/>
      <c r="N87" s="6"/>
      <c r="O87" s="6"/>
      <c r="P87" s="6"/>
      <c r="Q87" s="6"/>
      <c r="R87" s="51"/>
      <c r="S87" s="51"/>
      <c r="T87" s="9"/>
      <c r="U87" s="9"/>
      <c r="V87" s="9"/>
      <c r="W87" s="9"/>
      <c r="X87" s="9"/>
      <c r="Y87" s="9"/>
      <c r="Z87" s="52"/>
      <c r="AA87" s="52"/>
      <c r="AB87" s="52"/>
      <c r="AC87" s="52"/>
      <c r="AF87" s="53"/>
      <c r="AG87" s="54"/>
      <c r="AH87" s="54"/>
      <c r="AI87" s="54"/>
      <c r="AJ87" s="54"/>
      <c r="AK87" s="54"/>
      <c r="AL87" s="54"/>
    </row>
    <row r="88">
      <c r="G88" s="32"/>
      <c r="L88" s="50"/>
      <c r="M88" s="50"/>
      <c r="N88" s="6"/>
      <c r="O88" s="6"/>
      <c r="P88" s="6"/>
      <c r="Q88" s="6"/>
      <c r="R88" s="51"/>
      <c r="S88" s="51"/>
      <c r="T88" s="9"/>
      <c r="U88" s="9"/>
      <c r="V88" s="9"/>
      <c r="W88" s="9"/>
      <c r="X88" s="9"/>
      <c r="Y88" s="9"/>
      <c r="Z88" s="52"/>
      <c r="AA88" s="52"/>
      <c r="AB88" s="52"/>
      <c r="AC88" s="52"/>
      <c r="AF88" s="53"/>
      <c r="AG88" s="54"/>
      <c r="AH88" s="54"/>
      <c r="AI88" s="54"/>
      <c r="AJ88" s="54"/>
      <c r="AK88" s="54"/>
      <c r="AL88" s="54"/>
    </row>
    <row r="89">
      <c r="G89" s="32"/>
      <c r="L89" s="50"/>
      <c r="M89" s="50"/>
      <c r="N89" s="6"/>
      <c r="O89" s="6"/>
      <c r="P89" s="6"/>
      <c r="Q89" s="6"/>
      <c r="R89" s="51"/>
      <c r="S89" s="51"/>
      <c r="T89" s="9"/>
      <c r="U89" s="9"/>
      <c r="V89" s="9"/>
      <c r="W89" s="9"/>
      <c r="X89" s="9"/>
      <c r="Y89" s="9"/>
      <c r="Z89" s="52"/>
      <c r="AA89" s="52"/>
      <c r="AB89" s="52"/>
      <c r="AC89" s="52"/>
      <c r="AF89" s="53"/>
      <c r="AG89" s="54"/>
      <c r="AH89" s="54"/>
      <c r="AI89" s="54"/>
      <c r="AJ89" s="54"/>
      <c r="AK89" s="54"/>
      <c r="AL89" s="54"/>
    </row>
    <row r="90">
      <c r="G90" s="32"/>
      <c r="L90" s="50"/>
      <c r="M90" s="50"/>
      <c r="N90" s="6"/>
      <c r="O90" s="6"/>
      <c r="P90" s="6"/>
      <c r="Q90" s="6"/>
      <c r="R90" s="51"/>
      <c r="S90" s="51"/>
      <c r="T90" s="9"/>
      <c r="U90" s="9"/>
      <c r="V90" s="9"/>
      <c r="W90" s="9"/>
      <c r="X90" s="9"/>
      <c r="Y90" s="9"/>
      <c r="Z90" s="52"/>
      <c r="AA90" s="52"/>
      <c r="AB90" s="52"/>
      <c r="AC90" s="52"/>
      <c r="AF90" s="53"/>
      <c r="AG90" s="54"/>
      <c r="AH90" s="54"/>
      <c r="AI90" s="54"/>
      <c r="AJ90" s="54"/>
      <c r="AK90" s="54"/>
      <c r="AL90" s="54"/>
    </row>
    <row r="91">
      <c r="G91" s="32"/>
      <c r="L91" s="50"/>
      <c r="M91" s="50"/>
      <c r="N91" s="6"/>
      <c r="O91" s="6"/>
      <c r="P91" s="6"/>
      <c r="Q91" s="6"/>
      <c r="R91" s="51"/>
      <c r="S91" s="51"/>
      <c r="T91" s="9"/>
      <c r="U91" s="9"/>
      <c r="V91" s="9"/>
      <c r="W91" s="9"/>
      <c r="X91" s="9"/>
      <c r="Y91" s="9"/>
      <c r="Z91" s="52"/>
      <c r="AA91" s="52"/>
      <c r="AB91" s="52"/>
      <c r="AC91" s="52"/>
      <c r="AF91" s="53"/>
      <c r="AG91" s="54"/>
      <c r="AH91" s="54"/>
      <c r="AI91" s="54"/>
      <c r="AJ91" s="54"/>
      <c r="AK91" s="54"/>
      <c r="AL91" s="54"/>
    </row>
    <row r="92">
      <c r="G92" s="32"/>
      <c r="L92" s="50"/>
      <c r="M92" s="50"/>
      <c r="N92" s="6"/>
      <c r="O92" s="6"/>
      <c r="P92" s="6"/>
      <c r="Q92" s="6"/>
      <c r="R92" s="51"/>
      <c r="S92" s="51"/>
      <c r="T92" s="9"/>
      <c r="U92" s="9"/>
      <c r="V92" s="9"/>
      <c r="W92" s="9"/>
      <c r="X92" s="9"/>
      <c r="Y92" s="9"/>
      <c r="Z92" s="52"/>
      <c r="AA92" s="52"/>
      <c r="AB92" s="52"/>
      <c r="AC92" s="52"/>
      <c r="AF92" s="53"/>
      <c r="AG92" s="54"/>
      <c r="AH92" s="54"/>
      <c r="AI92" s="54"/>
      <c r="AJ92" s="54"/>
      <c r="AK92" s="54"/>
      <c r="AL92" s="54"/>
    </row>
    <row r="93">
      <c r="G93" s="32"/>
      <c r="L93" s="50"/>
      <c r="M93" s="50"/>
      <c r="N93" s="6"/>
      <c r="O93" s="6"/>
      <c r="P93" s="6"/>
      <c r="Q93" s="6"/>
      <c r="R93" s="51"/>
      <c r="S93" s="51"/>
      <c r="T93" s="9"/>
      <c r="U93" s="9"/>
      <c r="V93" s="9"/>
      <c r="W93" s="9"/>
      <c r="X93" s="9"/>
      <c r="Y93" s="9"/>
      <c r="Z93" s="52"/>
      <c r="AA93" s="52"/>
      <c r="AB93" s="52"/>
      <c r="AC93" s="52"/>
      <c r="AF93" s="53"/>
      <c r="AG93" s="54"/>
      <c r="AH93" s="54"/>
      <c r="AI93" s="54"/>
      <c r="AJ93" s="54"/>
      <c r="AK93" s="54"/>
      <c r="AL93" s="54"/>
    </row>
    <row r="94">
      <c r="G94" s="32"/>
      <c r="L94" s="50"/>
      <c r="M94" s="50"/>
      <c r="N94" s="6"/>
      <c r="O94" s="6"/>
      <c r="P94" s="6"/>
      <c r="Q94" s="6"/>
      <c r="R94" s="51"/>
      <c r="S94" s="51"/>
      <c r="T94" s="9"/>
      <c r="U94" s="9"/>
      <c r="V94" s="9"/>
      <c r="W94" s="9"/>
      <c r="X94" s="9"/>
      <c r="Y94" s="9"/>
      <c r="Z94" s="52"/>
      <c r="AA94" s="52"/>
      <c r="AB94" s="52"/>
      <c r="AC94" s="52"/>
      <c r="AF94" s="53"/>
      <c r="AG94" s="54"/>
      <c r="AH94" s="54"/>
      <c r="AI94" s="54"/>
      <c r="AJ94" s="54"/>
      <c r="AK94" s="54"/>
      <c r="AL94" s="54"/>
    </row>
    <row r="95">
      <c r="G95" s="32"/>
      <c r="L95" s="50"/>
      <c r="M95" s="50"/>
      <c r="N95" s="6"/>
      <c r="O95" s="6"/>
      <c r="P95" s="6"/>
      <c r="Q95" s="6"/>
      <c r="R95" s="51"/>
      <c r="S95" s="51"/>
      <c r="T95" s="9"/>
      <c r="U95" s="9"/>
      <c r="V95" s="9"/>
      <c r="W95" s="9"/>
      <c r="X95" s="9"/>
      <c r="Y95" s="9"/>
      <c r="Z95" s="52"/>
      <c r="AA95" s="52"/>
      <c r="AB95" s="52"/>
      <c r="AC95" s="52"/>
      <c r="AF95" s="53"/>
      <c r="AG95" s="54"/>
      <c r="AH95" s="54"/>
      <c r="AI95" s="54"/>
      <c r="AJ95" s="54"/>
      <c r="AK95" s="54"/>
      <c r="AL95" s="54"/>
    </row>
    <row r="96">
      <c r="G96" s="32"/>
      <c r="L96" s="50"/>
      <c r="M96" s="50"/>
      <c r="N96" s="6"/>
      <c r="O96" s="6"/>
      <c r="P96" s="6"/>
      <c r="Q96" s="6"/>
      <c r="R96" s="51"/>
      <c r="S96" s="51"/>
      <c r="T96" s="9"/>
      <c r="U96" s="9"/>
      <c r="V96" s="9"/>
      <c r="W96" s="9"/>
      <c r="X96" s="9"/>
      <c r="Y96" s="9"/>
      <c r="Z96" s="52"/>
      <c r="AA96" s="52"/>
      <c r="AB96" s="52"/>
      <c r="AC96" s="52"/>
      <c r="AF96" s="53"/>
      <c r="AG96" s="54"/>
      <c r="AH96" s="54"/>
      <c r="AI96" s="54"/>
      <c r="AJ96" s="54"/>
      <c r="AK96" s="54"/>
      <c r="AL96" s="54"/>
    </row>
    <row r="97">
      <c r="G97" s="32"/>
      <c r="L97" s="50"/>
      <c r="M97" s="50"/>
      <c r="N97" s="6"/>
      <c r="O97" s="6"/>
      <c r="P97" s="6"/>
      <c r="Q97" s="6"/>
      <c r="R97" s="51"/>
      <c r="S97" s="51"/>
      <c r="T97" s="9"/>
      <c r="U97" s="9"/>
      <c r="V97" s="9"/>
      <c r="W97" s="9"/>
      <c r="X97" s="9"/>
      <c r="Y97" s="9"/>
      <c r="Z97" s="52"/>
      <c r="AA97" s="52"/>
      <c r="AB97" s="52"/>
      <c r="AC97" s="52"/>
      <c r="AF97" s="53"/>
      <c r="AG97" s="54"/>
      <c r="AH97" s="54"/>
      <c r="AI97" s="54"/>
      <c r="AJ97" s="54"/>
      <c r="AK97" s="54"/>
      <c r="AL97" s="54"/>
    </row>
    <row r="98">
      <c r="G98" s="32"/>
      <c r="L98" s="50"/>
      <c r="M98" s="50"/>
      <c r="N98" s="6"/>
      <c r="O98" s="6"/>
      <c r="P98" s="6"/>
      <c r="Q98" s="6"/>
      <c r="R98" s="51"/>
      <c r="S98" s="51"/>
      <c r="T98" s="9"/>
      <c r="U98" s="9"/>
      <c r="V98" s="9"/>
      <c r="W98" s="9"/>
      <c r="X98" s="9"/>
      <c r="Y98" s="9"/>
      <c r="Z98" s="52"/>
      <c r="AA98" s="52"/>
      <c r="AB98" s="52"/>
      <c r="AC98" s="52"/>
      <c r="AF98" s="53"/>
      <c r="AG98" s="54"/>
      <c r="AH98" s="54"/>
      <c r="AI98" s="54"/>
      <c r="AJ98" s="54"/>
      <c r="AK98" s="54"/>
      <c r="AL98" s="54"/>
    </row>
    <row r="99">
      <c r="G99" s="32"/>
      <c r="L99" s="50"/>
      <c r="M99" s="50"/>
      <c r="N99" s="6"/>
      <c r="O99" s="6"/>
      <c r="P99" s="6"/>
      <c r="Q99" s="6"/>
      <c r="R99" s="51"/>
      <c r="S99" s="51"/>
      <c r="T99" s="9"/>
      <c r="U99" s="9"/>
      <c r="V99" s="9"/>
      <c r="W99" s="9"/>
      <c r="X99" s="9"/>
      <c r="Y99" s="9"/>
      <c r="Z99" s="52"/>
      <c r="AA99" s="52"/>
      <c r="AB99" s="52"/>
      <c r="AC99" s="52"/>
      <c r="AF99" s="53"/>
      <c r="AG99" s="54"/>
      <c r="AH99" s="54"/>
      <c r="AI99" s="54"/>
      <c r="AJ99" s="54"/>
      <c r="AK99" s="54"/>
      <c r="AL99" s="54"/>
    </row>
    <row r="100">
      <c r="G100" s="32"/>
      <c r="L100" s="50"/>
      <c r="M100" s="50"/>
      <c r="N100" s="6"/>
      <c r="O100" s="6"/>
      <c r="P100" s="6"/>
      <c r="Q100" s="6"/>
      <c r="R100" s="51"/>
      <c r="S100" s="51"/>
      <c r="T100" s="9"/>
      <c r="U100" s="9"/>
      <c r="V100" s="9"/>
      <c r="W100" s="9"/>
      <c r="X100" s="9"/>
      <c r="Y100" s="9"/>
      <c r="Z100" s="52"/>
      <c r="AA100" s="52"/>
      <c r="AB100" s="52"/>
      <c r="AC100" s="52"/>
      <c r="AF100" s="53"/>
      <c r="AG100" s="54"/>
      <c r="AH100" s="54"/>
      <c r="AI100" s="54"/>
      <c r="AJ100" s="54"/>
      <c r="AK100" s="54"/>
      <c r="AL100" s="54"/>
    </row>
    <row r="101">
      <c r="G101" s="32"/>
      <c r="L101" s="50"/>
      <c r="M101" s="50"/>
      <c r="N101" s="6"/>
      <c r="O101" s="6"/>
      <c r="P101" s="6"/>
      <c r="Q101" s="6"/>
      <c r="R101" s="51"/>
      <c r="S101" s="51"/>
      <c r="T101" s="9"/>
      <c r="U101" s="9"/>
      <c r="V101" s="9"/>
      <c r="W101" s="9"/>
      <c r="X101" s="9"/>
      <c r="Y101" s="9"/>
      <c r="Z101" s="52"/>
      <c r="AA101" s="52"/>
      <c r="AB101" s="52"/>
      <c r="AC101" s="52"/>
      <c r="AF101" s="53"/>
      <c r="AG101" s="54"/>
      <c r="AH101" s="54"/>
      <c r="AI101" s="54"/>
      <c r="AJ101" s="54"/>
      <c r="AK101" s="54"/>
      <c r="AL101" s="54"/>
    </row>
    <row r="102">
      <c r="G102" s="32"/>
      <c r="L102" s="50"/>
      <c r="M102" s="50"/>
      <c r="N102" s="6"/>
      <c r="O102" s="6"/>
      <c r="P102" s="6"/>
      <c r="Q102" s="6"/>
      <c r="R102" s="51"/>
      <c r="S102" s="51"/>
      <c r="T102" s="9"/>
      <c r="U102" s="9"/>
      <c r="V102" s="9"/>
      <c r="W102" s="9"/>
      <c r="X102" s="9"/>
      <c r="Y102" s="9"/>
      <c r="Z102" s="52"/>
      <c r="AA102" s="52"/>
      <c r="AB102" s="52"/>
      <c r="AC102" s="52"/>
      <c r="AF102" s="53"/>
      <c r="AG102" s="54"/>
      <c r="AH102" s="54"/>
      <c r="AI102" s="54"/>
      <c r="AJ102" s="54"/>
      <c r="AK102" s="54"/>
      <c r="AL102" s="54"/>
    </row>
    <row r="103">
      <c r="G103" s="32"/>
      <c r="L103" s="50"/>
      <c r="M103" s="50"/>
      <c r="N103" s="6"/>
      <c r="O103" s="6"/>
      <c r="P103" s="6"/>
      <c r="Q103" s="6"/>
      <c r="R103" s="51"/>
      <c r="S103" s="51"/>
      <c r="T103" s="9"/>
      <c r="U103" s="9"/>
      <c r="V103" s="9"/>
      <c r="W103" s="9"/>
      <c r="X103" s="9"/>
      <c r="Y103" s="9"/>
      <c r="Z103" s="52"/>
      <c r="AA103" s="52"/>
      <c r="AB103" s="52"/>
      <c r="AC103" s="52"/>
      <c r="AF103" s="53"/>
      <c r="AG103" s="54"/>
      <c r="AH103" s="54"/>
      <c r="AI103" s="54"/>
      <c r="AJ103" s="54"/>
      <c r="AK103" s="54"/>
      <c r="AL103" s="54"/>
    </row>
    <row r="104">
      <c r="G104" s="32"/>
      <c r="L104" s="50"/>
      <c r="M104" s="50"/>
      <c r="N104" s="6"/>
      <c r="O104" s="6"/>
      <c r="P104" s="6"/>
      <c r="Q104" s="6"/>
      <c r="R104" s="51"/>
      <c r="S104" s="51"/>
      <c r="T104" s="9"/>
      <c r="U104" s="9"/>
      <c r="V104" s="9"/>
      <c r="W104" s="9"/>
      <c r="X104" s="9"/>
      <c r="Y104" s="9"/>
      <c r="Z104" s="52"/>
      <c r="AA104" s="52"/>
      <c r="AB104" s="52"/>
      <c r="AC104" s="52"/>
      <c r="AF104" s="53"/>
      <c r="AG104" s="54"/>
      <c r="AH104" s="54"/>
      <c r="AI104" s="54"/>
      <c r="AJ104" s="54"/>
      <c r="AK104" s="54"/>
      <c r="AL104" s="54"/>
    </row>
    <row r="105">
      <c r="G105" s="32"/>
      <c r="L105" s="50"/>
      <c r="M105" s="50"/>
      <c r="N105" s="6"/>
      <c r="O105" s="6"/>
      <c r="P105" s="6"/>
      <c r="Q105" s="6"/>
      <c r="R105" s="51"/>
      <c r="S105" s="51"/>
      <c r="T105" s="9"/>
      <c r="U105" s="9"/>
      <c r="V105" s="9"/>
      <c r="W105" s="9"/>
      <c r="X105" s="9"/>
      <c r="Y105" s="9"/>
      <c r="Z105" s="52"/>
      <c r="AA105" s="52"/>
      <c r="AB105" s="52"/>
      <c r="AC105" s="52"/>
      <c r="AF105" s="53"/>
      <c r="AG105" s="54"/>
      <c r="AH105" s="54"/>
      <c r="AI105" s="54"/>
      <c r="AJ105" s="54"/>
      <c r="AK105" s="54"/>
      <c r="AL105" s="54"/>
    </row>
    <row r="106">
      <c r="G106" s="32"/>
      <c r="L106" s="50"/>
      <c r="M106" s="50"/>
      <c r="N106" s="6"/>
      <c r="O106" s="6"/>
      <c r="P106" s="6"/>
      <c r="Q106" s="6"/>
      <c r="R106" s="51"/>
      <c r="S106" s="51"/>
      <c r="T106" s="9"/>
      <c r="U106" s="9"/>
      <c r="V106" s="9"/>
      <c r="W106" s="9"/>
      <c r="X106" s="9"/>
      <c r="Y106" s="9"/>
      <c r="Z106" s="52"/>
      <c r="AA106" s="52"/>
      <c r="AB106" s="52"/>
      <c r="AC106" s="52"/>
      <c r="AF106" s="53"/>
      <c r="AG106" s="54"/>
      <c r="AH106" s="54"/>
      <c r="AI106" s="54"/>
      <c r="AJ106" s="54"/>
      <c r="AK106" s="54"/>
      <c r="AL106" s="54"/>
    </row>
    <row r="107">
      <c r="G107" s="32"/>
      <c r="L107" s="50"/>
      <c r="M107" s="50"/>
      <c r="N107" s="6"/>
      <c r="O107" s="6"/>
      <c r="P107" s="6"/>
      <c r="Q107" s="6"/>
      <c r="R107" s="51"/>
      <c r="S107" s="51"/>
      <c r="T107" s="9"/>
      <c r="U107" s="9"/>
      <c r="V107" s="9"/>
      <c r="W107" s="9"/>
      <c r="X107" s="9"/>
      <c r="Y107" s="9"/>
      <c r="Z107" s="52"/>
      <c r="AA107" s="52"/>
      <c r="AB107" s="52"/>
      <c r="AC107" s="52"/>
      <c r="AF107" s="53"/>
      <c r="AG107" s="54"/>
      <c r="AH107" s="54"/>
      <c r="AI107" s="54"/>
      <c r="AJ107" s="54"/>
      <c r="AK107" s="54"/>
      <c r="AL107" s="54"/>
    </row>
    <row r="108">
      <c r="G108" s="32"/>
      <c r="L108" s="50"/>
      <c r="M108" s="50"/>
      <c r="N108" s="6"/>
      <c r="O108" s="6"/>
      <c r="P108" s="6"/>
      <c r="Q108" s="6"/>
      <c r="R108" s="51"/>
      <c r="S108" s="51"/>
      <c r="T108" s="9"/>
      <c r="U108" s="9"/>
      <c r="V108" s="9"/>
      <c r="W108" s="9"/>
      <c r="X108" s="9"/>
      <c r="Y108" s="9"/>
      <c r="Z108" s="52"/>
      <c r="AA108" s="52"/>
      <c r="AB108" s="52"/>
      <c r="AC108" s="52"/>
      <c r="AF108" s="53"/>
      <c r="AG108" s="54"/>
      <c r="AH108" s="54"/>
      <c r="AI108" s="54"/>
      <c r="AJ108" s="54"/>
      <c r="AK108" s="54"/>
      <c r="AL108" s="54"/>
    </row>
    <row r="109">
      <c r="G109" s="32"/>
      <c r="L109" s="50"/>
      <c r="M109" s="50"/>
      <c r="N109" s="6"/>
      <c r="O109" s="6"/>
      <c r="P109" s="6"/>
      <c r="Q109" s="6"/>
      <c r="R109" s="51"/>
      <c r="S109" s="51"/>
      <c r="T109" s="9"/>
      <c r="U109" s="9"/>
      <c r="V109" s="9"/>
      <c r="W109" s="9"/>
      <c r="X109" s="9"/>
      <c r="Y109" s="9"/>
      <c r="Z109" s="52"/>
      <c r="AA109" s="52"/>
      <c r="AB109" s="52"/>
      <c r="AC109" s="52"/>
      <c r="AF109" s="53"/>
      <c r="AG109" s="54"/>
      <c r="AH109" s="54"/>
      <c r="AI109" s="54"/>
      <c r="AJ109" s="54"/>
      <c r="AK109" s="54"/>
      <c r="AL109" s="54"/>
    </row>
    <row r="110">
      <c r="G110" s="32"/>
      <c r="L110" s="50"/>
      <c r="M110" s="50"/>
      <c r="N110" s="6"/>
      <c r="O110" s="6"/>
      <c r="P110" s="6"/>
      <c r="Q110" s="6"/>
      <c r="R110" s="51"/>
      <c r="S110" s="51"/>
      <c r="T110" s="9"/>
      <c r="U110" s="9"/>
      <c r="V110" s="9"/>
      <c r="W110" s="9"/>
      <c r="X110" s="9"/>
      <c r="Y110" s="9"/>
      <c r="Z110" s="52"/>
      <c r="AA110" s="52"/>
      <c r="AB110" s="52"/>
      <c r="AC110" s="52"/>
      <c r="AF110" s="53"/>
      <c r="AG110" s="54"/>
      <c r="AH110" s="54"/>
      <c r="AI110" s="54"/>
      <c r="AJ110" s="54"/>
      <c r="AK110" s="54"/>
      <c r="AL110" s="54"/>
    </row>
    <row r="111">
      <c r="G111" s="32"/>
      <c r="L111" s="50"/>
      <c r="M111" s="50"/>
      <c r="N111" s="6"/>
      <c r="O111" s="6"/>
      <c r="P111" s="6"/>
      <c r="Q111" s="6"/>
      <c r="R111" s="51"/>
      <c r="S111" s="51"/>
      <c r="T111" s="9"/>
      <c r="U111" s="9"/>
      <c r="V111" s="9"/>
      <c r="W111" s="9"/>
      <c r="X111" s="9"/>
      <c r="Y111" s="9"/>
      <c r="Z111" s="52"/>
      <c r="AA111" s="52"/>
      <c r="AB111" s="52"/>
      <c r="AC111" s="52"/>
      <c r="AF111" s="53"/>
      <c r="AG111" s="54"/>
      <c r="AH111" s="54"/>
      <c r="AI111" s="54"/>
      <c r="AJ111" s="54"/>
      <c r="AK111" s="54"/>
      <c r="AL111" s="54"/>
    </row>
    <row r="112">
      <c r="G112" s="32"/>
      <c r="L112" s="50"/>
      <c r="M112" s="50"/>
      <c r="N112" s="6"/>
      <c r="O112" s="6"/>
      <c r="P112" s="6"/>
      <c r="Q112" s="6"/>
      <c r="R112" s="51"/>
      <c r="S112" s="51"/>
      <c r="T112" s="9"/>
      <c r="U112" s="9"/>
      <c r="V112" s="9"/>
      <c r="W112" s="9"/>
      <c r="X112" s="9"/>
      <c r="Y112" s="9"/>
      <c r="Z112" s="52"/>
      <c r="AA112" s="52"/>
      <c r="AB112" s="52"/>
      <c r="AC112" s="52"/>
      <c r="AF112" s="53"/>
      <c r="AG112" s="54"/>
      <c r="AH112" s="54"/>
      <c r="AI112" s="54"/>
      <c r="AJ112" s="54"/>
      <c r="AK112" s="54"/>
      <c r="AL112" s="54"/>
    </row>
    <row r="113">
      <c r="G113" s="32"/>
      <c r="L113" s="50"/>
      <c r="M113" s="50"/>
      <c r="N113" s="6"/>
      <c r="O113" s="6"/>
      <c r="P113" s="6"/>
      <c r="Q113" s="6"/>
      <c r="R113" s="51"/>
      <c r="S113" s="51"/>
      <c r="T113" s="9"/>
      <c r="U113" s="9"/>
      <c r="V113" s="9"/>
      <c r="W113" s="9"/>
      <c r="X113" s="9"/>
      <c r="Y113" s="9"/>
      <c r="Z113" s="52"/>
      <c r="AA113" s="52"/>
      <c r="AB113" s="52"/>
      <c r="AC113" s="52"/>
      <c r="AF113" s="53"/>
      <c r="AG113" s="54"/>
      <c r="AH113" s="54"/>
      <c r="AI113" s="54"/>
      <c r="AJ113" s="54"/>
      <c r="AK113" s="54"/>
      <c r="AL113" s="54"/>
    </row>
    <row r="114">
      <c r="G114" s="32"/>
      <c r="L114" s="50"/>
      <c r="M114" s="50"/>
      <c r="N114" s="6"/>
      <c r="O114" s="6"/>
      <c r="P114" s="6"/>
      <c r="Q114" s="6"/>
      <c r="R114" s="51"/>
      <c r="S114" s="51"/>
      <c r="T114" s="9"/>
      <c r="U114" s="9"/>
      <c r="V114" s="9"/>
      <c r="W114" s="9"/>
      <c r="X114" s="9"/>
      <c r="Y114" s="9"/>
      <c r="Z114" s="52"/>
      <c r="AA114" s="52"/>
      <c r="AB114" s="52"/>
      <c r="AC114" s="52"/>
      <c r="AF114" s="53"/>
      <c r="AG114" s="54"/>
      <c r="AH114" s="54"/>
      <c r="AI114" s="54"/>
      <c r="AJ114" s="54"/>
      <c r="AK114" s="54"/>
      <c r="AL114" s="54"/>
    </row>
    <row r="115">
      <c r="G115" s="32"/>
      <c r="L115" s="50"/>
      <c r="M115" s="50"/>
      <c r="N115" s="6"/>
      <c r="O115" s="6"/>
      <c r="P115" s="6"/>
      <c r="Q115" s="6"/>
      <c r="R115" s="51"/>
      <c r="S115" s="51"/>
      <c r="T115" s="9"/>
      <c r="U115" s="9"/>
      <c r="V115" s="9"/>
      <c r="W115" s="9"/>
      <c r="X115" s="9"/>
      <c r="Y115" s="9"/>
      <c r="Z115" s="52"/>
      <c r="AA115" s="52"/>
      <c r="AB115" s="52"/>
      <c r="AC115" s="52"/>
      <c r="AF115" s="53"/>
      <c r="AG115" s="54"/>
      <c r="AH115" s="54"/>
      <c r="AI115" s="54"/>
      <c r="AJ115" s="54"/>
      <c r="AK115" s="54"/>
      <c r="AL115" s="54"/>
    </row>
    <row r="116">
      <c r="G116" s="32"/>
      <c r="L116" s="50"/>
      <c r="M116" s="50"/>
      <c r="N116" s="6"/>
      <c r="O116" s="6"/>
      <c r="P116" s="6"/>
      <c r="Q116" s="6"/>
      <c r="R116" s="51"/>
      <c r="S116" s="51"/>
      <c r="T116" s="9"/>
      <c r="U116" s="9"/>
      <c r="V116" s="9"/>
      <c r="W116" s="9"/>
      <c r="X116" s="9"/>
      <c r="Y116" s="9"/>
      <c r="Z116" s="52"/>
      <c r="AA116" s="52"/>
      <c r="AB116" s="52"/>
      <c r="AC116" s="52"/>
      <c r="AF116" s="53"/>
      <c r="AG116" s="54"/>
      <c r="AH116" s="54"/>
      <c r="AI116" s="54"/>
      <c r="AJ116" s="54"/>
      <c r="AK116" s="54"/>
      <c r="AL116" s="54"/>
    </row>
    <row r="117">
      <c r="G117" s="32"/>
      <c r="L117" s="50"/>
      <c r="M117" s="50"/>
      <c r="N117" s="6"/>
      <c r="O117" s="6"/>
      <c r="P117" s="6"/>
      <c r="Q117" s="6"/>
      <c r="R117" s="51"/>
      <c r="S117" s="51"/>
      <c r="T117" s="9"/>
      <c r="U117" s="9"/>
      <c r="V117" s="9"/>
      <c r="W117" s="9"/>
      <c r="X117" s="9"/>
      <c r="Y117" s="9"/>
      <c r="Z117" s="52"/>
      <c r="AA117" s="52"/>
      <c r="AB117" s="52"/>
      <c r="AC117" s="52"/>
      <c r="AF117" s="53"/>
      <c r="AG117" s="54"/>
      <c r="AH117" s="54"/>
      <c r="AI117" s="54"/>
      <c r="AJ117" s="54"/>
      <c r="AK117" s="54"/>
      <c r="AL117" s="54"/>
    </row>
    <row r="118">
      <c r="G118" s="32"/>
      <c r="L118" s="50"/>
      <c r="M118" s="50"/>
      <c r="N118" s="6"/>
      <c r="O118" s="6"/>
      <c r="P118" s="6"/>
      <c r="Q118" s="6"/>
      <c r="R118" s="51"/>
      <c r="S118" s="51"/>
      <c r="T118" s="9"/>
      <c r="U118" s="9"/>
      <c r="V118" s="9"/>
      <c r="W118" s="9"/>
      <c r="X118" s="9"/>
      <c r="Y118" s="9"/>
      <c r="Z118" s="52"/>
      <c r="AA118" s="52"/>
      <c r="AB118" s="52"/>
      <c r="AC118" s="52"/>
      <c r="AF118" s="53"/>
      <c r="AG118" s="54"/>
      <c r="AH118" s="54"/>
      <c r="AI118" s="54"/>
      <c r="AJ118" s="54"/>
      <c r="AK118" s="54"/>
      <c r="AL118" s="54"/>
    </row>
    <row r="119">
      <c r="G119" s="32"/>
      <c r="L119" s="50"/>
      <c r="M119" s="50"/>
      <c r="N119" s="6"/>
      <c r="O119" s="6"/>
      <c r="P119" s="6"/>
      <c r="Q119" s="6"/>
      <c r="R119" s="51"/>
      <c r="S119" s="51"/>
      <c r="T119" s="9"/>
      <c r="U119" s="9"/>
      <c r="V119" s="9"/>
      <c r="W119" s="9"/>
      <c r="X119" s="9"/>
      <c r="Y119" s="9"/>
      <c r="Z119" s="52"/>
      <c r="AA119" s="52"/>
      <c r="AB119" s="52"/>
      <c r="AC119" s="52"/>
      <c r="AF119" s="53"/>
      <c r="AG119" s="54"/>
      <c r="AH119" s="54"/>
      <c r="AI119" s="54"/>
      <c r="AJ119" s="54"/>
      <c r="AK119" s="54"/>
      <c r="AL119" s="54"/>
    </row>
    <row r="120">
      <c r="G120" s="32"/>
      <c r="L120" s="50"/>
      <c r="M120" s="50"/>
      <c r="N120" s="6"/>
      <c r="O120" s="6"/>
      <c r="P120" s="6"/>
      <c r="Q120" s="6"/>
      <c r="R120" s="51"/>
      <c r="S120" s="51"/>
      <c r="T120" s="9"/>
      <c r="U120" s="9"/>
      <c r="V120" s="9"/>
      <c r="W120" s="9"/>
      <c r="X120" s="9"/>
      <c r="Y120" s="9"/>
      <c r="Z120" s="52"/>
      <c r="AA120" s="52"/>
      <c r="AB120" s="52"/>
      <c r="AC120" s="52"/>
      <c r="AF120" s="53"/>
      <c r="AG120" s="54"/>
      <c r="AH120" s="54"/>
      <c r="AI120" s="54"/>
      <c r="AJ120" s="54"/>
      <c r="AK120" s="54"/>
      <c r="AL120" s="54"/>
    </row>
    <row r="121">
      <c r="G121" s="32"/>
      <c r="L121" s="50"/>
      <c r="M121" s="50"/>
      <c r="N121" s="6"/>
      <c r="O121" s="6"/>
      <c r="P121" s="6"/>
      <c r="Q121" s="6"/>
      <c r="R121" s="51"/>
      <c r="S121" s="51"/>
      <c r="T121" s="9"/>
      <c r="U121" s="9"/>
      <c r="V121" s="9"/>
      <c r="W121" s="9"/>
      <c r="X121" s="9"/>
      <c r="Y121" s="9"/>
      <c r="Z121" s="52"/>
      <c r="AA121" s="52"/>
      <c r="AB121" s="52"/>
      <c r="AC121" s="52"/>
      <c r="AF121" s="53"/>
      <c r="AG121" s="54"/>
      <c r="AH121" s="54"/>
      <c r="AI121" s="54"/>
      <c r="AJ121" s="54"/>
      <c r="AK121" s="54"/>
      <c r="AL121" s="54"/>
    </row>
    <row r="122">
      <c r="G122" s="32"/>
      <c r="L122" s="50"/>
      <c r="M122" s="50"/>
      <c r="N122" s="6"/>
      <c r="O122" s="6"/>
      <c r="P122" s="6"/>
      <c r="Q122" s="6"/>
      <c r="R122" s="51"/>
      <c r="S122" s="51"/>
      <c r="T122" s="9"/>
      <c r="U122" s="9"/>
      <c r="V122" s="9"/>
      <c r="W122" s="9"/>
      <c r="X122" s="9"/>
      <c r="Y122" s="9"/>
      <c r="Z122" s="52"/>
      <c r="AA122" s="52"/>
      <c r="AB122" s="52"/>
      <c r="AC122" s="52"/>
      <c r="AF122" s="53"/>
      <c r="AG122" s="54"/>
      <c r="AH122" s="54"/>
      <c r="AI122" s="54"/>
      <c r="AJ122" s="54"/>
      <c r="AK122" s="54"/>
      <c r="AL122" s="54"/>
    </row>
    <row r="123">
      <c r="G123" s="32"/>
      <c r="L123" s="50"/>
      <c r="M123" s="50"/>
      <c r="N123" s="6"/>
      <c r="O123" s="6"/>
      <c r="P123" s="6"/>
      <c r="Q123" s="6"/>
      <c r="R123" s="51"/>
      <c r="S123" s="51"/>
      <c r="T123" s="9"/>
      <c r="U123" s="9"/>
      <c r="V123" s="9"/>
      <c r="W123" s="9"/>
      <c r="X123" s="9"/>
      <c r="Y123" s="9"/>
      <c r="Z123" s="52"/>
      <c r="AA123" s="52"/>
      <c r="AB123" s="52"/>
      <c r="AC123" s="52"/>
      <c r="AF123" s="53"/>
      <c r="AG123" s="54"/>
      <c r="AH123" s="54"/>
      <c r="AI123" s="54"/>
      <c r="AJ123" s="54"/>
      <c r="AK123" s="54"/>
      <c r="AL123" s="54"/>
    </row>
    <row r="124">
      <c r="G124" s="32"/>
      <c r="L124" s="50"/>
      <c r="M124" s="50"/>
      <c r="N124" s="6"/>
      <c r="O124" s="6"/>
      <c r="P124" s="6"/>
      <c r="Q124" s="6"/>
      <c r="R124" s="51"/>
      <c r="S124" s="51"/>
      <c r="T124" s="9"/>
      <c r="U124" s="9"/>
      <c r="V124" s="9"/>
      <c r="W124" s="9"/>
      <c r="X124" s="9"/>
      <c r="Y124" s="9"/>
      <c r="Z124" s="52"/>
      <c r="AA124" s="52"/>
      <c r="AB124" s="52"/>
      <c r="AC124" s="52"/>
      <c r="AF124" s="53"/>
      <c r="AG124" s="54"/>
      <c r="AH124" s="54"/>
      <c r="AI124" s="54"/>
      <c r="AJ124" s="54"/>
      <c r="AK124" s="54"/>
      <c r="AL124" s="54"/>
    </row>
    <row r="125">
      <c r="G125" s="32"/>
      <c r="L125" s="50"/>
      <c r="M125" s="50"/>
      <c r="N125" s="6"/>
      <c r="O125" s="6"/>
      <c r="P125" s="6"/>
      <c r="Q125" s="6"/>
      <c r="R125" s="51"/>
      <c r="S125" s="51"/>
      <c r="T125" s="9"/>
      <c r="U125" s="9"/>
      <c r="V125" s="9"/>
      <c r="W125" s="9"/>
      <c r="X125" s="9"/>
      <c r="Y125" s="9"/>
      <c r="Z125" s="52"/>
      <c r="AA125" s="52"/>
      <c r="AB125" s="52"/>
      <c r="AC125" s="52"/>
      <c r="AF125" s="53"/>
      <c r="AG125" s="54"/>
      <c r="AH125" s="54"/>
      <c r="AI125" s="54"/>
      <c r="AJ125" s="54"/>
      <c r="AK125" s="54"/>
      <c r="AL125" s="54"/>
    </row>
    <row r="126">
      <c r="G126" s="32"/>
      <c r="L126" s="50"/>
      <c r="M126" s="50"/>
      <c r="N126" s="6"/>
      <c r="O126" s="6"/>
      <c r="P126" s="6"/>
      <c r="Q126" s="6"/>
      <c r="R126" s="51"/>
      <c r="S126" s="51"/>
      <c r="T126" s="9"/>
      <c r="U126" s="9"/>
      <c r="V126" s="9"/>
      <c r="W126" s="9"/>
      <c r="X126" s="9"/>
      <c r="Y126" s="9"/>
      <c r="Z126" s="52"/>
      <c r="AA126" s="52"/>
      <c r="AB126" s="52"/>
      <c r="AC126" s="52"/>
      <c r="AF126" s="53"/>
      <c r="AG126" s="54"/>
      <c r="AH126" s="54"/>
      <c r="AI126" s="54"/>
      <c r="AJ126" s="54"/>
      <c r="AK126" s="54"/>
      <c r="AL126" s="54"/>
    </row>
    <row r="127">
      <c r="G127" s="32"/>
      <c r="L127" s="50"/>
      <c r="M127" s="50"/>
      <c r="N127" s="6"/>
      <c r="O127" s="6"/>
      <c r="P127" s="6"/>
      <c r="Q127" s="6"/>
      <c r="R127" s="51"/>
      <c r="S127" s="51"/>
      <c r="T127" s="9"/>
      <c r="U127" s="9"/>
      <c r="V127" s="9"/>
      <c r="W127" s="9"/>
      <c r="X127" s="9"/>
      <c r="Y127" s="9"/>
      <c r="Z127" s="52"/>
      <c r="AA127" s="52"/>
      <c r="AB127" s="52"/>
      <c r="AC127" s="52"/>
      <c r="AF127" s="53"/>
      <c r="AG127" s="54"/>
      <c r="AH127" s="54"/>
      <c r="AI127" s="54"/>
      <c r="AJ127" s="54"/>
      <c r="AK127" s="54"/>
      <c r="AL127" s="54"/>
    </row>
    <row r="128">
      <c r="G128" s="32"/>
      <c r="L128" s="50"/>
      <c r="M128" s="50"/>
      <c r="N128" s="6"/>
      <c r="O128" s="6"/>
      <c r="P128" s="6"/>
      <c r="Q128" s="6"/>
      <c r="R128" s="51"/>
      <c r="S128" s="51"/>
      <c r="T128" s="9"/>
      <c r="U128" s="9"/>
      <c r="V128" s="9"/>
      <c r="W128" s="9"/>
      <c r="X128" s="9"/>
      <c r="Y128" s="9"/>
      <c r="Z128" s="52"/>
      <c r="AA128" s="52"/>
      <c r="AB128" s="52"/>
      <c r="AC128" s="52"/>
      <c r="AF128" s="53"/>
      <c r="AG128" s="54"/>
      <c r="AH128" s="54"/>
      <c r="AI128" s="54"/>
      <c r="AJ128" s="54"/>
      <c r="AK128" s="54"/>
      <c r="AL128" s="54"/>
    </row>
    <row r="129">
      <c r="G129" s="32"/>
      <c r="L129" s="50"/>
      <c r="M129" s="50"/>
      <c r="N129" s="6"/>
      <c r="O129" s="6"/>
      <c r="P129" s="6"/>
      <c r="Q129" s="6"/>
      <c r="R129" s="51"/>
      <c r="S129" s="51"/>
      <c r="T129" s="9"/>
      <c r="U129" s="9"/>
      <c r="V129" s="9"/>
      <c r="W129" s="9"/>
      <c r="X129" s="9"/>
      <c r="Y129" s="9"/>
      <c r="Z129" s="52"/>
      <c r="AA129" s="52"/>
      <c r="AB129" s="52"/>
      <c r="AC129" s="52"/>
      <c r="AF129" s="53"/>
      <c r="AG129" s="54"/>
      <c r="AH129" s="54"/>
      <c r="AI129" s="54"/>
      <c r="AJ129" s="54"/>
      <c r="AK129" s="54"/>
      <c r="AL129" s="54"/>
    </row>
    <row r="130">
      <c r="G130" s="32"/>
      <c r="L130" s="50"/>
      <c r="M130" s="50"/>
      <c r="N130" s="6"/>
      <c r="O130" s="6"/>
      <c r="P130" s="6"/>
      <c r="Q130" s="6"/>
      <c r="R130" s="51"/>
      <c r="S130" s="51"/>
      <c r="T130" s="9"/>
      <c r="U130" s="9"/>
      <c r="V130" s="9"/>
      <c r="W130" s="9"/>
      <c r="X130" s="9"/>
      <c r="Y130" s="9"/>
      <c r="Z130" s="52"/>
      <c r="AA130" s="52"/>
      <c r="AB130" s="52"/>
      <c r="AC130" s="52"/>
      <c r="AF130" s="53"/>
      <c r="AG130" s="54"/>
      <c r="AH130" s="54"/>
      <c r="AI130" s="54"/>
      <c r="AJ130" s="54"/>
      <c r="AK130" s="54"/>
      <c r="AL130" s="54"/>
    </row>
    <row r="131">
      <c r="G131" s="32"/>
      <c r="L131" s="50"/>
      <c r="M131" s="50"/>
      <c r="N131" s="6"/>
      <c r="O131" s="6"/>
      <c r="P131" s="6"/>
      <c r="Q131" s="6"/>
      <c r="R131" s="51"/>
      <c r="S131" s="51"/>
      <c r="T131" s="9"/>
      <c r="U131" s="9"/>
      <c r="V131" s="9"/>
      <c r="W131" s="9"/>
      <c r="X131" s="9"/>
      <c r="Y131" s="9"/>
      <c r="Z131" s="52"/>
      <c r="AA131" s="52"/>
      <c r="AB131" s="52"/>
      <c r="AC131" s="52"/>
      <c r="AF131" s="53"/>
      <c r="AG131" s="54"/>
      <c r="AH131" s="54"/>
      <c r="AI131" s="54"/>
      <c r="AJ131" s="54"/>
      <c r="AK131" s="54"/>
      <c r="AL131" s="54"/>
    </row>
    <row r="132">
      <c r="G132" s="32"/>
      <c r="L132" s="50"/>
      <c r="M132" s="50"/>
      <c r="N132" s="6"/>
      <c r="O132" s="6"/>
      <c r="P132" s="6"/>
      <c r="Q132" s="6"/>
      <c r="R132" s="51"/>
      <c r="S132" s="51"/>
      <c r="T132" s="9"/>
      <c r="U132" s="9"/>
      <c r="V132" s="9"/>
      <c r="W132" s="9"/>
      <c r="X132" s="9"/>
      <c r="Y132" s="9"/>
      <c r="Z132" s="52"/>
      <c r="AA132" s="52"/>
      <c r="AB132" s="52"/>
      <c r="AC132" s="52"/>
      <c r="AF132" s="53"/>
      <c r="AG132" s="54"/>
      <c r="AH132" s="54"/>
      <c r="AI132" s="54"/>
      <c r="AJ132" s="54"/>
      <c r="AK132" s="54"/>
      <c r="AL132" s="54"/>
    </row>
    <row r="133">
      <c r="G133" s="32"/>
      <c r="L133" s="50"/>
      <c r="M133" s="50"/>
      <c r="N133" s="6"/>
      <c r="O133" s="6"/>
      <c r="P133" s="6"/>
      <c r="Q133" s="6"/>
      <c r="R133" s="51"/>
      <c r="S133" s="51"/>
      <c r="T133" s="9"/>
      <c r="U133" s="9"/>
      <c r="V133" s="9"/>
      <c r="W133" s="9"/>
      <c r="X133" s="9"/>
      <c r="Y133" s="9"/>
      <c r="Z133" s="52"/>
      <c r="AA133" s="52"/>
      <c r="AB133" s="52"/>
      <c r="AC133" s="52"/>
      <c r="AF133" s="53"/>
      <c r="AG133" s="54"/>
      <c r="AH133" s="54"/>
      <c r="AI133" s="54"/>
      <c r="AJ133" s="54"/>
      <c r="AK133" s="54"/>
      <c r="AL133" s="54"/>
    </row>
    <row r="134">
      <c r="G134" s="32"/>
      <c r="L134" s="50"/>
      <c r="M134" s="50"/>
      <c r="N134" s="6"/>
      <c r="O134" s="6"/>
      <c r="P134" s="6"/>
      <c r="Q134" s="6"/>
      <c r="R134" s="51"/>
      <c r="S134" s="51"/>
      <c r="T134" s="9"/>
      <c r="U134" s="9"/>
      <c r="V134" s="9"/>
      <c r="W134" s="9"/>
      <c r="X134" s="9"/>
      <c r="Y134" s="9"/>
      <c r="Z134" s="52"/>
      <c r="AA134" s="52"/>
      <c r="AB134" s="52"/>
      <c r="AC134" s="52"/>
      <c r="AF134" s="53"/>
      <c r="AG134" s="54"/>
      <c r="AH134" s="54"/>
      <c r="AI134" s="54"/>
      <c r="AJ134" s="54"/>
      <c r="AK134" s="54"/>
      <c r="AL134" s="54"/>
    </row>
    <row r="135">
      <c r="G135" s="32"/>
      <c r="L135" s="50"/>
      <c r="M135" s="50"/>
      <c r="N135" s="6"/>
      <c r="O135" s="6"/>
      <c r="P135" s="6"/>
      <c r="Q135" s="6"/>
      <c r="R135" s="51"/>
      <c r="S135" s="51"/>
      <c r="T135" s="9"/>
      <c r="U135" s="9"/>
      <c r="V135" s="9"/>
      <c r="W135" s="9"/>
      <c r="X135" s="9"/>
      <c r="Y135" s="9"/>
      <c r="Z135" s="52"/>
      <c r="AA135" s="52"/>
      <c r="AB135" s="52"/>
      <c r="AC135" s="52"/>
      <c r="AF135" s="53"/>
      <c r="AG135" s="54"/>
      <c r="AH135" s="54"/>
      <c r="AI135" s="54"/>
      <c r="AJ135" s="54"/>
      <c r="AK135" s="54"/>
      <c r="AL135" s="54"/>
    </row>
    <row r="136">
      <c r="G136" s="32"/>
      <c r="L136" s="50"/>
      <c r="M136" s="50"/>
      <c r="N136" s="6"/>
      <c r="O136" s="6"/>
      <c r="P136" s="6"/>
      <c r="Q136" s="6"/>
      <c r="R136" s="51"/>
      <c r="S136" s="51"/>
      <c r="T136" s="9"/>
      <c r="U136" s="9"/>
      <c r="V136" s="9"/>
      <c r="W136" s="9"/>
      <c r="X136" s="9"/>
      <c r="Y136" s="9"/>
      <c r="Z136" s="52"/>
      <c r="AA136" s="52"/>
      <c r="AB136" s="52"/>
      <c r="AC136" s="52"/>
      <c r="AF136" s="53"/>
      <c r="AG136" s="54"/>
      <c r="AH136" s="54"/>
      <c r="AI136" s="54"/>
      <c r="AJ136" s="54"/>
      <c r="AK136" s="54"/>
      <c r="AL136" s="54"/>
    </row>
    <row r="137">
      <c r="G137" s="32"/>
      <c r="L137" s="50"/>
      <c r="M137" s="50"/>
      <c r="N137" s="6"/>
      <c r="O137" s="6"/>
      <c r="P137" s="6"/>
      <c r="Q137" s="6"/>
      <c r="R137" s="51"/>
      <c r="S137" s="51"/>
      <c r="T137" s="9"/>
      <c r="U137" s="9"/>
      <c r="V137" s="9"/>
      <c r="W137" s="9"/>
      <c r="X137" s="9"/>
      <c r="Y137" s="9"/>
      <c r="Z137" s="52"/>
      <c r="AA137" s="52"/>
      <c r="AB137" s="52"/>
      <c r="AC137" s="52"/>
      <c r="AF137" s="53"/>
      <c r="AG137" s="54"/>
      <c r="AH137" s="54"/>
      <c r="AI137" s="54"/>
      <c r="AJ137" s="54"/>
      <c r="AK137" s="54"/>
      <c r="AL137" s="54"/>
    </row>
    <row r="138">
      <c r="G138" s="32"/>
      <c r="L138" s="50"/>
      <c r="M138" s="50"/>
      <c r="N138" s="6"/>
      <c r="O138" s="6"/>
      <c r="P138" s="6"/>
      <c r="Q138" s="6"/>
      <c r="R138" s="51"/>
      <c r="S138" s="51"/>
      <c r="T138" s="9"/>
      <c r="U138" s="9"/>
      <c r="V138" s="9"/>
      <c r="W138" s="9"/>
      <c r="X138" s="9"/>
      <c r="Y138" s="9"/>
      <c r="Z138" s="52"/>
      <c r="AA138" s="52"/>
      <c r="AB138" s="52"/>
      <c r="AC138" s="52"/>
      <c r="AF138" s="53"/>
      <c r="AG138" s="54"/>
      <c r="AH138" s="54"/>
      <c r="AI138" s="54"/>
      <c r="AJ138" s="54"/>
      <c r="AK138" s="54"/>
      <c r="AL138" s="54"/>
    </row>
    <row r="139">
      <c r="G139" s="32"/>
      <c r="L139" s="50"/>
      <c r="M139" s="50"/>
      <c r="N139" s="6"/>
      <c r="O139" s="6"/>
      <c r="P139" s="6"/>
      <c r="Q139" s="6"/>
      <c r="R139" s="51"/>
      <c r="S139" s="51"/>
      <c r="T139" s="9"/>
      <c r="U139" s="9"/>
      <c r="V139" s="9"/>
      <c r="W139" s="9"/>
      <c r="X139" s="9"/>
      <c r="Y139" s="9"/>
      <c r="Z139" s="52"/>
      <c r="AA139" s="52"/>
      <c r="AB139" s="52"/>
      <c r="AC139" s="52"/>
      <c r="AF139" s="53"/>
      <c r="AG139" s="54"/>
      <c r="AH139" s="54"/>
      <c r="AI139" s="54"/>
      <c r="AJ139" s="54"/>
      <c r="AK139" s="54"/>
      <c r="AL139" s="54"/>
    </row>
    <row r="140">
      <c r="G140" s="32"/>
      <c r="L140" s="50"/>
      <c r="M140" s="50"/>
      <c r="N140" s="6"/>
      <c r="O140" s="6"/>
      <c r="P140" s="6"/>
      <c r="Q140" s="6"/>
      <c r="R140" s="51"/>
      <c r="S140" s="51"/>
      <c r="T140" s="9"/>
      <c r="U140" s="9"/>
      <c r="V140" s="9"/>
      <c r="W140" s="9"/>
      <c r="X140" s="9"/>
      <c r="Y140" s="9"/>
      <c r="Z140" s="52"/>
      <c r="AA140" s="52"/>
      <c r="AB140" s="52"/>
      <c r="AC140" s="52"/>
      <c r="AF140" s="53"/>
      <c r="AG140" s="54"/>
      <c r="AH140" s="54"/>
      <c r="AI140" s="54"/>
      <c r="AJ140" s="54"/>
      <c r="AK140" s="54"/>
      <c r="AL140" s="54"/>
    </row>
    <row r="141">
      <c r="G141" s="32"/>
      <c r="L141" s="50"/>
      <c r="M141" s="50"/>
      <c r="N141" s="6"/>
      <c r="O141" s="6"/>
      <c r="P141" s="6"/>
      <c r="Q141" s="6"/>
      <c r="R141" s="51"/>
      <c r="S141" s="51"/>
      <c r="T141" s="9"/>
      <c r="U141" s="9"/>
      <c r="V141" s="9"/>
      <c r="W141" s="9"/>
      <c r="X141" s="9"/>
      <c r="Y141" s="9"/>
      <c r="Z141" s="52"/>
      <c r="AA141" s="52"/>
      <c r="AB141" s="52"/>
      <c r="AC141" s="52"/>
      <c r="AF141" s="53"/>
      <c r="AG141" s="54"/>
      <c r="AH141" s="54"/>
      <c r="AI141" s="54"/>
      <c r="AJ141" s="54"/>
      <c r="AK141" s="54"/>
      <c r="AL141" s="54"/>
    </row>
    <row r="142">
      <c r="G142" s="32"/>
      <c r="L142" s="50"/>
      <c r="M142" s="50"/>
      <c r="N142" s="6"/>
      <c r="O142" s="6"/>
      <c r="P142" s="6"/>
      <c r="Q142" s="6"/>
      <c r="R142" s="51"/>
      <c r="S142" s="51"/>
      <c r="T142" s="9"/>
      <c r="U142" s="9"/>
      <c r="V142" s="9"/>
      <c r="W142" s="9"/>
      <c r="X142" s="9"/>
      <c r="Y142" s="9"/>
      <c r="Z142" s="52"/>
      <c r="AA142" s="52"/>
      <c r="AB142" s="52"/>
      <c r="AC142" s="52"/>
      <c r="AF142" s="53"/>
      <c r="AG142" s="54"/>
      <c r="AH142" s="54"/>
      <c r="AI142" s="54"/>
      <c r="AJ142" s="54"/>
      <c r="AK142" s="54"/>
      <c r="AL142" s="54"/>
    </row>
    <row r="143">
      <c r="G143" s="32"/>
      <c r="L143" s="50"/>
      <c r="M143" s="50"/>
      <c r="N143" s="6"/>
      <c r="O143" s="6"/>
      <c r="P143" s="6"/>
      <c r="Q143" s="6"/>
      <c r="R143" s="51"/>
      <c r="S143" s="51"/>
      <c r="T143" s="9"/>
      <c r="U143" s="9"/>
      <c r="V143" s="9"/>
      <c r="W143" s="9"/>
      <c r="X143" s="9"/>
      <c r="Y143" s="9"/>
      <c r="Z143" s="52"/>
      <c r="AA143" s="52"/>
      <c r="AB143" s="52"/>
      <c r="AC143" s="52"/>
      <c r="AF143" s="53"/>
      <c r="AG143" s="54"/>
      <c r="AH143" s="54"/>
      <c r="AI143" s="54"/>
      <c r="AJ143" s="54"/>
      <c r="AK143" s="54"/>
      <c r="AL143" s="54"/>
    </row>
    <row r="144">
      <c r="G144" s="32"/>
      <c r="L144" s="50"/>
      <c r="M144" s="50"/>
      <c r="N144" s="6"/>
      <c r="O144" s="6"/>
      <c r="P144" s="6"/>
      <c r="Q144" s="6"/>
      <c r="R144" s="51"/>
      <c r="S144" s="51"/>
      <c r="T144" s="9"/>
      <c r="U144" s="9"/>
      <c r="V144" s="9"/>
      <c r="W144" s="9"/>
      <c r="X144" s="9"/>
      <c r="Y144" s="9"/>
      <c r="Z144" s="52"/>
      <c r="AA144" s="52"/>
      <c r="AB144" s="52"/>
      <c r="AC144" s="52"/>
      <c r="AF144" s="53"/>
      <c r="AG144" s="54"/>
      <c r="AH144" s="54"/>
      <c r="AI144" s="54"/>
      <c r="AJ144" s="54"/>
      <c r="AK144" s="54"/>
      <c r="AL144" s="54"/>
    </row>
    <row r="145">
      <c r="G145" s="32"/>
      <c r="L145" s="50"/>
      <c r="M145" s="50"/>
      <c r="N145" s="6"/>
      <c r="O145" s="6"/>
      <c r="P145" s="6"/>
      <c r="Q145" s="6"/>
      <c r="R145" s="51"/>
      <c r="S145" s="51"/>
      <c r="T145" s="9"/>
      <c r="U145" s="9"/>
      <c r="V145" s="9"/>
      <c r="W145" s="9"/>
      <c r="X145" s="9"/>
      <c r="Y145" s="9"/>
      <c r="Z145" s="52"/>
      <c r="AA145" s="52"/>
      <c r="AB145" s="52"/>
      <c r="AC145" s="52"/>
      <c r="AF145" s="53"/>
      <c r="AG145" s="54"/>
      <c r="AH145" s="54"/>
      <c r="AI145" s="54"/>
      <c r="AJ145" s="54"/>
      <c r="AK145" s="54"/>
      <c r="AL145" s="54"/>
    </row>
    <row r="146">
      <c r="G146" s="32"/>
      <c r="L146" s="50"/>
      <c r="M146" s="50"/>
      <c r="N146" s="6"/>
      <c r="O146" s="6"/>
      <c r="P146" s="6"/>
      <c r="Q146" s="6"/>
      <c r="R146" s="51"/>
      <c r="S146" s="51"/>
      <c r="T146" s="9"/>
      <c r="U146" s="9"/>
      <c r="V146" s="9"/>
      <c r="W146" s="9"/>
      <c r="X146" s="9"/>
      <c r="Y146" s="9"/>
      <c r="Z146" s="52"/>
      <c r="AA146" s="52"/>
      <c r="AB146" s="52"/>
      <c r="AC146" s="52"/>
      <c r="AF146" s="53"/>
      <c r="AG146" s="54"/>
      <c r="AH146" s="54"/>
      <c r="AI146" s="54"/>
      <c r="AJ146" s="54"/>
      <c r="AK146" s="54"/>
      <c r="AL146" s="54"/>
    </row>
    <row r="147">
      <c r="G147" s="32"/>
      <c r="L147" s="50"/>
      <c r="M147" s="50"/>
      <c r="N147" s="6"/>
      <c r="O147" s="6"/>
      <c r="P147" s="6"/>
      <c r="Q147" s="6"/>
      <c r="R147" s="51"/>
      <c r="S147" s="51"/>
      <c r="T147" s="9"/>
      <c r="U147" s="9"/>
      <c r="V147" s="9"/>
      <c r="W147" s="9"/>
      <c r="X147" s="9"/>
      <c r="Y147" s="9"/>
      <c r="Z147" s="52"/>
      <c r="AA147" s="52"/>
      <c r="AB147" s="52"/>
      <c r="AC147" s="52"/>
      <c r="AF147" s="53"/>
      <c r="AG147" s="54"/>
      <c r="AH147" s="54"/>
      <c r="AI147" s="54"/>
      <c r="AJ147" s="54"/>
      <c r="AK147" s="54"/>
      <c r="AL147" s="54"/>
    </row>
    <row r="148">
      <c r="G148" s="32"/>
      <c r="L148" s="50"/>
      <c r="M148" s="50"/>
      <c r="N148" s="6"/>
      <c r="O148" s="6"/>
      <c r="P148" s="6"/>
      <c r="Q148" s="6"/>
      <c r="R148" s="51"/>
      <c r="S148" s="51"/>
      <c r="T148" s="9"/>
      <c r="U148" s="9"/>
      <c r="V148" s="9"/>
      <c r="W148" s="9"/>
      <c r="X148" s="9"/>
      <c r="Y148" s="9"/>
      <c r="Z148" s="52"/>
      <c r="AA148" s="52"/>
      <c r="AB148" s="52"/>
      <c r="AC148" s="52"/>
      <c r="AF148" s="53"/>
      <c r="AG148" s="54"/>
      <c r="AH148" s="54"/>
      <c r="AI148" s="54"/>
      <c r="AJ148" s="54"/>
      <c r="AK148" s="54"/>
      <c r="AL148" s="54"/>
    </row>
    <row r="149">
      <c r="G149" s="32"/>
      <c r="L149" s="50"/>
      <c r="M149" s="50"/>
      <c r="N149" s="6"/>
      <c r="O149" s="6"/>
      <c r="P149" s="6"/>
      <c r="Q149" s="6"/>
      <c r="R149" s="51"/>
      <c r="S149" s="51"/>
      <c r="T149" s="9"/>
      <c r="U149" s="9"/>
      <c r="V149" s="9"/>
      <c r="W149" s="9"/>
      <c r="X149" s="9"/>
      <c r="Y149" s="9"/>
      <c r="Z149" s="52"/>
      <c r="AA149" s="52"/>
      <c r="AB149" s="52"/>
      <c r="AC149" s="52"/>
      <c r="AF149" s="53"/>
      <c r="AG149" s="54"/>
      <c r="AH149" s="54"/>
      <c r="AI149" s="54"/>
      <c r="AJ149" s="54"/>
      <c r="AK149" s="54"/>
      <c r="AL149" s="54"/>
    </row>
    <row r="150">
      <c r="G150" s="32"/>
      <c r="L150" s="50"/>
      <c r="M150" s="50"/>
      <c r="N150" s="6"/>
      <c r="O150" s="6"/>
      <c r="P150" s="6"/>
      <c r="Q150" s="6"/>
      <c r="R150" s="51"/>
      <c r="S150" s="51"/>
      <c r="T150" s="9"/>
      <c r="U150" s="9"/>
      <c r="V150" s="9"/>
      <c r="W150" s="9"/>
      <c r="X150" s="9"/>
      <c r="Y150" s="9"/>
      <c r="Z150" s="52"/>
      <c r="AA150" s="52"/>
      <c r="AB150" s="52"/>
      <c r="AC150" s="52"/>
      <c r="AF150" s="53"/>
      <c r="AG150" s="54"/>
      <c r="AH150" s="54"/>
      <c r="AI150" s="54"/>
      <c r="AJ150" s="54"/>
      <c r="AK150" s="54"/>
      <c r="AL150" s="54"/>
    </row>
    <row r="151">
      <c r="G151" s="32"/>
      <c r="L151" s="50"/>
      <c r="M151" s="50"/>
      <c r="N151" s="6"/>
      <c r="O151" s="6"/>
      <c r="P151" s="6"/>
      <c r="Q151" s="6"/>
      <c r="R151" s="51"/>
      <c r="S151" s="51"/>
      <c r="T151" s="9"/>
      <c r="U151" s="9"/>
      <c r="V151" s="9"/>
      <c r="W151" s="9"/>
      <c r="X151" s="9"/>
      <c r="Y151" s="9"/>
      <c r="Z151" s="52"/>
      <c r="AA151" s="52"/>
      <c r="AB151" s="52"/>
      <c r="AC151" s="52"/>
      <c r="AF151" s="53"/>
      <c r="AG151" s="54"/>
      <c r="AH151" s="54"/>
      <c r="AI151" s="54"/>
      <c r="AJ151" s="54"/>
      <c r="AK151" s="54"/>
      <c r="AL151" s="54"/>
    </row>
    <row r="152">
      <c r="G152" s="32"/>
      <c r="L152" s="50"/>
      <c r="M152" s="50"/>
      <c r="N152" s="6"/>
      <c r="O152" s="6"/>
      <c r="P152" s="6"/>
      <c r="Q152" s="6"/>
      <c r="R152" s="51"/>
      <c r="S152" s="51"/>
      <c r="T152" s="9"/>
      <c r="U152" s="9"/>
      <c r="V152" s="9"/>
      <c r="W152" s="9"/>
      <c r="X152" s="9"/>
      <c r="Y152" s="9"/>
      <c r="Z152" s="52"/>
      <c r="AA152" s="52"/>
      <c r="AB152" s="52"/>
      <c r="AC152" s="52"/>
      <c r="AF152" s="53"/>
      <c r="AG152" s="54"/>
      <c r="AH152" s="54"/>
      <c r="AI152" s="54"/>
      <c r="AJ152" s="54"/>
      <c r="AK152" s="54"/>
      <c r="AL152" s="54"/>
    </row>
    <row r="153">
      <c r="G153" s="32"/>
      <c r="L153" s="50"/>
      <c r="M153" s="50"/>
      <c r="N153" s="6"/>
      <c r="O153" s="6"/>
      <c r="P153" s="6"/>
      <c r="Q153" s="6"/>
      <c r="R153" s="51"/>
      <c r="S153" s="51"/>
      <c r="T153" s="9"/>
      <c r="U153" s="9"/>
      <c r="V153" s="9"/>
      <c r="W153" s="9"/>
      <c r="X153" s="9"/>
      <c r="Y153" s="9"/>
      <c r="Z153" s="52"/>
      <c r="AA153" s="52"/>
      <c r="AB153" s="52"/>
      <c r="AC153" s="52"/>
      <c r="AF153" s="53"/>
      <c r="AG153" s="54"/>
      <c r="AH153" s="54"/>
      <c r="AI153" s="54"/>
      <c r="AJ153" s="54"/>
      <c r="AK153" s="54"/>
      <c r="AL153" s="54"/>
    </row>
    <row r="154">
      <c r="G154" s="32"/>
      <c r="L154" s="50"/>
      <c r="M154" s="50"/>
      <c r="N154" s="6"/>
      <c r="O154" s="6"/>
      <c r="P154" s="6"/>
      <c r="Q154" s="6"/>
      <c r="R154" s="51"/>
      <c r="S154" s="51"/>
      <c r="T154" s="9"/>
      <c r="U154" s="9"/>
      <c r="V154" s="9"/>
      <c r="W154" s="9"/>
      <c r="X154" s="9"/>
      <c r="Y154" s="9"/>
      <c r="Z154" s="52"/>
      <c r="AA154" s="52"/>
      <c r="AB154" s="52"/>
      <c r="AC154" s="52"/>
      <c r="AF154" s="53"/>
      <c r="AG154" s="54"/>
      <c r="AH154" s="54"/>
      <c r="AI154" s="54"/>
      <c r="AJ154" s="54"/>
      <c r="AK154" s="54"/>
      <c r="AL154" s="54"/>
    </row>
    <row r="155">
      <c r="G155" s="32"/>
      <c r="L155" s="50"/>
      <c r="M155" s="50"/>
      <c r="N155" s="6"/>
      <c r="O155" s="6"/>
      <c r="P155" s="6"/>
      <c r="Q155" s="6"/>
      <c r="R155" s="51"/>
      <c r="S155" s="51"/>
      <c r="T155" s="9"/>
      <c r="U155" s="9"/>
      <c r="V155" s="9"/>
      <c r="W155" s="9"/>
      <c r="X155" s="9"/>
      <c r="Y155" s="9"/>
      <c r="Z155" s="52"/>
      <c r="AA155" s="52"/>
      <c r="AB155" s="52"/>
      <c r="AC155" s="52"/>
      <c r="AF155" s="53"/>
      <c r="AG155" s="54"/>
      <c r="AH155" s="54"/>
      <c r="AI155" s="54"/>
      <c r="AJ155" s="54"/>
      <c r="AK155" s="54"/>
      <c r="AL155" s="54"/>
    </row>
    <row r="156">
      <c r="G156" s="32"/>
      <c r="L156" s="50"/>
      <c r="M156" s="50"/>
      <c r="N156" s="6"/>
      <c r="O156" s="6"/>
      <c r="P156" s="6"/>
      <c r="Q156" s="6"/>
      <c r="R156" s="51"/>
      <c r="S156" s="51"/>
      <c r="T156" s="9"/>
      <c r="U156" s="9"/>
      <c r="V156" s="9"/>
      <c r="W156" s="9"/>
      <c r="X156" s="9"/>
      <c r="Y156" s="9"/>
      <c r="Z156" s="52"/>
      <c r="AA156" s="52"/>
      <c r="AB156" s="52"/>
      <c r="AC156" s="52"/>
      <c r="AF156" s="53"/>
      <c r="AG156" s="54"/>
      <c r="AH156" s="54"/>
      <c r="AI156" s="54"/>
      <c r="AJ156" s="54"/>
      <c r="AK156" s="54"/>
      <c r="AL156" s="54"/>
    </row>
    <row r="157">
      <c r="G157" s="32"/>
      <c r="L157" s="50"/>
      <c r="M157" s="50"/>
      <c r="N157" s="6"/>
      <c r="O157" s="6"/>
      <c r="P157" s="6"/>
      <c r="Q157" s="6"/>
      <c r="R157" s="51"/>
      <c r="S157" s="51"/>
      <c r="T157" s="9"/>
      <c r="U157" s="9"/>
      <c r="V157" s="9"/>
      <c r="W157" s="9"/>
      <c r="X157" s="9"/>
      <c r="Y157" s="9"/>
      <c r="Z157" s="52"/>
      <c r="AA157" s="52"/>
      <c r="AB157" s="52"/>
      <c r="AC157" s="52"/>
      <c r="AF157" s="53"/>
      <c r="AG157" s="54"/>
      <c r="AH157" s="54"/>
      <c r="AI157" s="54"/>
      <c r="AJ157" s="54"/>
      <c r="AK157" s="54"/>
      <c r="AL157" s="54"/>
    </row>
    <row r="158">
      <c r="G158" s="32"/>
      <c r="L158" s="50"/>
      <c r="M158" s="50"/>
      <c r="N158" s="6"/>
      <c r="O158" s="6"/>
      <c r="P158" s="6"/>
      <c r="Q158" s="6"/>
      <c r="R158" s="51"/>
      <c r="S158" s="51"/>
      <c r="T158" s="9"/>
      <c r="U158" s="9"/>
      <c r="V158" s="9"/>
      <c r="W158" s="9"/>
      <c r="X158" s="9"/>
      <c r="Y158" s="9"/>
      <c r="Z158" s="52"/>
      <c r="AA158" s="52"/>
      <c r="AB158" s="52"/>
      <c r="AC158" s="52"/>
      <c r="AF158" s="53"/>
      <c r="AG158" s="54"/>
      <c r="AH158" s="54"/>
      <c r="AI158" s="54"/>
      <c r="AJ158" s="54"/>
      <c r="AK158" s="54"/>
      <c r="AL158" s="54"/>
    </row>
    <row r="159">
      <c r="G159" s="32"/>
      <c r="L159" s="50"/>
      <c r="M159" s="50"/>
      <c r="N159" s="6"/>
      <c r="O159" s="6"/>
      <c r="P159" s="6"/>
      <c r="Q159" s="6"/>
      <c r="R159" s="51"/>
      <c r="S159" s="51"/>
      <c r="T159" s="9"/>
      <c r="U159" s="9"/>
      <c r="V159" s="9"/>
      <c r="W159" s="9"/>
      <c r="X159" s="9"/>
      <c r="Y159" s="9"/>
      <c r="Z159" s="52"/>
      <c r="AA159" s="52"/>
      <c r="AB159" s="52"/>
      <c r="AC159" s="52"/>
      <c r="AF159" s="53"/>
      <c r="AG159" s="54"/>
      <c r="AH159" s="54"/>
      <c r="AI159" s="54"/>
      <c r="AJ159" s="54"/>
      <c r="AK159" s="54"/>
      <c r="AL159" s="54"/>
    </row>
    <row r="160">
      <c r="G160" s="32"/>
      <c r="L160" s="50"/>
      <c r="M160" s="50"/>
      <c r="N160" s="6"/>
      <c r="O160" s="6"/>
      <c r="P160" s="6"/>
      <c r="Q160" s="6"/>
      <c r="R160" s="51"/>
      <c r="S160" s="51"/>
      <c r="T160" s="9"/>
      <c r="U160" s="9"/>
      <c r="V160" s="9"/>
      <c r="W160" s="9"/>
      <c r="X160" s="9"/>
      <c r="Y160" s="9"/>
      <c r="Z160" s="52"/>
      <c r="AA160" s="52"/>
      <c r="AB160" s="52"/>
      <c r="AC160" s="52"/>
      <c r="AF160" s="53"/>
      <c r="AG160" s="54"/>
      <c r="AH160" s="54"/>
      <c r="AI160" s="54"/>
      <c r="AJ160" s="54"/>
      <c r="AK160" s="54"/>
      <c r="AL160" s="54"/>
    </row>
    <row r="161">
      <c r="G161" s="32"/>
      <c r="L161" s="50"/>
      <c r="M161" s="50"/>
      <c r="N161" s="6"/>
      <c r="O161" s="6"/>
      <c r="P161" s="6"/>
      <c r="Q161" s="6"/>
      <c r="R161" s="51"/>
      <c r="S161" s="51"/>
      <c r="T161" s="9"/>
      <c r="U161" s="9"/>
      <c r="V161" s="9"/>
      <c r="W161" s="9"/>
      <c r="X161" s="9"/>
      <c r="Y161" s="9"/>
      <c r="Z161" s="52"/>
      <c r="AA161" s="52"/>
      <c r="AB161" s="52"/>
      <c r="AC161" s="52"/>
      <c r="AF161" s="53"/>
      <c r="AG161" s="54"/>
      <c r="AH161" s="54"/>
      <c r="AI161" s="54"/>
      <c r="AJ161" s="54"/>
      <c r="AK161" s="54"/>
      <c r="AL161" s="54"/>
    </row>
    <row r="162">
      <c r="G162" s="32"/>
      <c r="L162" s="50"/>
      <c r="M162" s="50"/>
      <c r="N162" s="6"/>
      <c r="O162" s="6"/>
      <c r="P162" s="6"/>
      <c r="Q162" s="6"/>
      <c r="R162" s="51"/>
      <c r="S162" s="51"/>
      <c r="T162" s="9"/>
      <c r="U162" s="9"/>
      <c r="V162" s="9"/>
      <c r="W162" s="9"/>
      <c r="X162" s="9"/>
      <c r="Y162" s="9"/>
      <c r="Z162" s="52"/>
      <c r="AA162" s="52"/>
      <c r="AB162" s="52"/>
      <c r="AC162" s="52"/>
      <c r="AF162" s="53"/>
      <c r="AG162" s="54"/>
      <c r="AH162" s="54"/>
      <c r="AI162" s="54"/>
      <c r="AJ162" s="54"/>
      <c r="AK162" s="54"/>
      <c r="AL162" s="54"/>
    </row>
    <row r="163">
      <c r="G163" s="32"/>
      <c r="L163" s="50"/>
      <c r="M163" s="50"/>
      <c r="N163" s="6"/>
      <c r="O163" s="6"/>
      <c r="P163" s="6"/>
      <c r="Q163" s="6"/>
      <c r="R163" s="51"/>
      <c r="S163" s="51"/>
      <c r="T163" s="9"/>
      <c r="U163" s="9"/>
      <c r="V163" s="9"/>
      <c r="W163" s="9"/>
      <c r="X163" s="9"/>
      <c r="Y163" s="9"/>
      <c r="Z163" s="52"/>
      <c r="AA163" s="52"/>
      <c r="AB163" s="52"/>
      <c r="AC163" s="52"/>
      <c r="AF163" s="53"/>
      <c r="AG163" s="54"/>
      <c r="AH163" s="54"/>
      <c r="AI163" s="54"/>
      <c r="AJ163" s="54"/>
      <c r="AK163" s="54"/>
      <c r="AL163" s="54"/>
    </row>
    <row r="164">
      <c r="G164" s="32"/>
      <c r="L164" s="50"/>
      <c r="M164" s="50"/>
      <c r="N164" s="6"/>
      <c r="O164" s="6"/>
      <c r="P164" s="6"/>
      <c r="Q164" s="6"/>
      <c r="R164" s="51"/>
      <c r="S164" s="51"/>
      <c r="T164" s="9"/>
      <c r="U164" s="9"/>
      <c r="V164" s="9"/>
      <c r="W164" s="9"/>
      <c r="X164" s="9"/>
      <c r="Y164" s="9"/>
      <c r="Z164" s="52"/>
      <c r="AA164" s="52"/>
      <c r="AB164" s="52"/>
      <c r="AC164" s="52"/>
      <c r="AF164" s="53"/>
      <c r="AG164" s="54"/>
      <c r="AH164" s="54"/>
      <c r="AI164" s="54"/>
      <c r="AJ164" s="54"/>
      <c r="AK164" s="54"/>
      <c r="AL164" s="54"/>
    </row>
    <row r="165">
      <c r="G165" s="32"/>
      <c r="L165" s="50"/>
      <c r="M165" s="50"/>
      <c r="N165" s="6"/>
      <c r="O165" s="6"/>
      <c r="P165" s="6"/>
      <c r="Q165" s="6"/>
      <c r="R165" s="51"/>
      <c r="S165" s="51"/>
      <c r="T165" s="9"/>
      <c r="U165" s="9"/>
      <c r="V165" s="9"/>
      <c r="W165" s="9"/>
      <c r="X165" s="9"/>
      <c r="Y165" s="9"/>
      <c r="Z165" s="52"/>
      <c r="AA165" s="52"/>
      <c r="AB165" s="52"/>
      <c r="AC165" s="52"/>
      <c r="AF165" s="53"/>
      <c r="AG165" s="54"/>
      <c r="AH165" s="54"/>
      <c r="AI165" s="54"/>
      <c r="AJ165" s="54"/>
      <c r="AK165" s="54"/>
      <c r="AL165" s="54"/>
    </row>
    <row r="166">
      <c r="G166" s="32"/>
      <c r="L166" s="50"/>
      <c r="M166" s="50"/>
      <c r="N166" s="6"/>
      <c r="O166" s="6"/>
      <c r="P166" s="6"/>
      <c r="Q166" s="6"/>
      <c r="R166" s="51"/>
      <c r="S166" s="51"/>
      <c r="T166" s="9"/>
      <c r="U166" s="9"/>
      <c r="V166" s="9"/>
      <c r="W166" s="9"/>
      <c r="X166" s="9"/>
      <c r="Y166" s="9"/>
      <c r="Z166" s="52"/>
      <c r="AA166" s="52"/>
      <c r="AB166" s="52"/>
      <c r="AC166" s="52"/>
      <c r="AF166" s="53"/>
      <c r="AG166" s="54"/>
      <c r="AH166" s="54"/>
      <c r="AI166" s="54"/>
      <c r="AJ166" s="54"/>
      <c r="AK166" s="54"/>
      <c r="AL166" s="54"/>
    </row>
    <row r="167">
      <c r="G167" s="32"/>
      <c r="L167" s="50"/>
      <c r="M167" s="50"/>
      <c r="N167" s="6"/>
      <c r="O167" s="6"/>
      <c r="P167" s="6"/>
      <c r="Q167" s="6"/>
      <c r="R167" s="51"/>
      <c r="S167" s="51"/>
      <c r="T167" s="9"/>
      <c r="U167" s="9"/>
      <c r="V167" s="9"/>
      <c r="W167" s="9"/>
      <c r="X167" s="9"/>
      <c r="Y167" s="9"/>
      <c r="Z167" s="52"/>
      <c r="AA167" s="52"/>
      <c r="AB167" s="52"/>
      <c r="AC167" s="52"/>
      <c r="AF167" s="53"/>
      <c r="AG167" s="54"/>
      <c r="AH167" s="54"/>
      <c r="AI167" s="54"/>
      <c r="AJ167" s="54"/>
      <c r="AK167" s="54"/>
      <c r="AL167" s="54"/>
    </row>
    <row r="168">
      <c r="G168" s="32"/>
      <c r="L168" s="50"/>
      <c r="M168" s="50"/>
      <c r="N168" s="6"/>
      <c r="O168" s="6"/>
      <c r="P168" s="6"/>
      <c r="Q168" s="6"/>
      <c r="R168" s="51"/>
      <c r="S168" s="51"/>
      <c r="T168" s="9"/>
      <c r="U168" s="9"/>
      <c r="V168" s="9"/>
      <c r="W168" s="9"/>
      <c r="X168" s="9"/>
      <c r="Y168" s="9"/>
      <c r="Z168" s="52"/>
      <c r="AA168" s="52"/>
      <c r="AB168" s="52"/>
      <c r="AC168" s="52"/>
      <c r="AF168" s="53"/>
      <c r="AG168" s="54"/>
      <c r="AH168" s="54"/>
      <c r="AI168" s="54"/>
      <c r="AJ168" s="54"/>
      <c r="AK168" s="54"/>
      <c r="AL168" s="54"/>
    </row>
    <row r="169">
      <c r="G169" s="32"/>
      <c r="L169" s="50"/>
      <c r="M169" s="50"/>
      <c r="N169" s="6"/>
      <c r="O169" s="6"/>
      <c r="P169" s="6"/>
      <c r="Q169" s="6"/>
      <c r="R169" s="51"/>
      <c r="S169" s="51"/>
      <c r="T169" s="9"/>
      <c r="U169" s="9"/>
      <c r="V169" s="9"/>
      <c r="W169" s="9"/>
      <c r="X169" s="9"/>
      <c r="Y169" s="9"/>
      <c r="Z169" s="52"/>
      <c r="AA169" s="52"/>
      <c r="AB169" s="52"/>
      <c r="AC169" s="52"/>
      <c r="AF169" s="53"/>
      <c r="AG169" s="54"/>
      <c r="AH169" s="54"/>
      <c r="AI169" s="54"/>
      <c r="AJ169" s="54"/>
      <c r="AK169" s="54"/>
      <c r="AL169" s="54"/>
    </row>
    <row r="170">
      <c r="G170" s="32"/>
      <c r="L170" s="50"/>
      <c r="M170" s="50"/>
      <c r="N170" s="6"/>
      <c r="O170" s="6"/>
      <c r="P170" s="6"/>
      <c r="Q170" s="6"/>
      <c r="R170" s="51"/>
      <c r="S170" s="51"/>
      <c r="T170" s="9"/>
      <c r="U170" s="9"/>
      <c r="V170" s="9"/>
      <c r="W170" s="9"/>
      <c r="X170" s="9"/>
      <c r="Y170" s="9"/>
      <c r="Z170" s="52"/>
      <c r="AA170" s="52"/>
      <c r="AB170" s="52"/>
      <c r="AC170" s="52"/>
      <c r="AF170" s="53"/>
      <c r="AG170" s="54"/>
      <c r="AH170" s="54"/>
      <c r="AI170" s="54"/>
      <c r="AJ170" s="54"/>
      <c r="AK170" s="54"/>
      <c r="AL170" s="54"/>
    </row>
    <row r="171">
      <c r="G171" s="32"/>
      <c r="L171" s="50"/>
      <c r="M171" s="50"/>
      <c r="N171" s="6"/>
      <c r="O171" s="6"/>
      <c r="P171" s="6"/>
      <c r="Q171" s="6"/>
      <c r="R171" s="51"/>
      <c r="S171" s="51"/>
      <c r="T171" s="9"/>
      <c r="U171" s="9"/>
      <c r="V171" s="9"/>
      <c r="W171" s="9"/>
      <c r="X171" s="9"/>
      <c r="Y171" s="9"/>
      <c r="Z171" s="52"/>
      <c r="AA171" s="52"/>
      <c r="AB171" s="52"/>
      <c r="AC171" s="52"/>
      <c r="AF171" s="53"/>
      <c r="AG171" s="54"/>
      <c r="AH171" s="54"/>
      <c r="AI171" s="54"/>
      <c r="AJ171" s="54"/>
      <c r="AK171" s="54"/>
      <c r="AL171" s="54"/>
    </row>
    <row r="172">
      <c r="G172" s="32"/>
      <c r="L172" s="50"/>
      <c r="M172" s="50"/>
      <c r="N172" s="6"/>
      <c r="O172" s="6"/>
      <c r="P172" s="6"/>
      <c r="Q172" s="6"/>
      <c r="R172" s="51"/>
      <c r="S172" s="51"/>
      <c r="T172" s="9"/>
      <c r="U172" s="9"/>
      <c r="V172" s="9"/>
      <c r="W172" s="9"/>
      <c r="X172" s="9"/>
      <c r="Y172" s="9"/>
      <c r="Z172" s="52"/>
      <c r="AA172" s="52"/>
      <c r="AB172" s="52"/>
      <c r="AC172" s="52"/>
      <c r="AF172" s="53"/>
      <c r="AG172" s="54"/>
      <c r="AH172" s="54"/>
      <c r="AI172" s="54"/>
      <c r="AJ172" s="54"/>
      <c r="AK172" s="54"/>
      <c r="AL172" s="54"/>
    </row>
    <row r="173">
      <c r="G173" s="32"/>
      <c r="L173" s="50"/>
      <c r="M173" s="50"/>
      <c r="N173" s="6"/>
      <c r="O173" s="6"/>
      <c r="P173" s="6"/>
      <c r="Q173" s="6"/>
      <c r="R173" s="51"/>
      <c r="S173" s="51"/>
      <c r="T173" s="9"/>
      <c r="U173" s="9"/>
      <c r="V173" s="9"/>
      <c r="W173" s="9"/>
      <c r="X173" s="9"/>
      <c r="Y173" s="9"/>
      <c r="Z173" s="52"/>
      <c r="AA173" s="52"/>
      <c r="AB173" s="52"/>
      <c r="AC173" s="52"/>
      <c r="AF173" s="53"/>
      <c r="AG173" s="54"/>
      <c r="AH173" s="54"/>
      <c r="AI173" s="54"/>
      <c r="AJ173" s="54"/>
      <c r="AK173" s="54"/>
      <c r="AL173" s="54"/>
    </row>
    <row r="174">
      <c r="G174" s="32"/>
      <c r="L174" s="50"/>
      <c r="M174" s="50"/>
      <c r="N174" s="6"/>
      <c r="O174" s="6"/>
      <c r="P174" s="6"/>
      <c r="Q174" s="6"/>
      <c r="R174" s="51"/>
      <c r="S174" s="51"/>
      <c r="T174" s="9"/>
      <c r="U174" s="9"/>
      <c r="V174" s="9"/>
      <c r="W174" s="9"/>
      <c r="X174" s="9"/>
      <c r="Y174" s="9"/>
      <c r="Z174" s="52"/>
      <c r="AA174" s="52"/>
      <c r="AB174" s="52"/>
      <c r="AC174" s="52"/>
      <c r="AF174" s="53"/>
      <c r="AG174" s="54"/>
      <c r="AH174" s="54"/>
      <c r="AI174" s="54"/>
      <c r="AJ174" s="54"/>
      <c r="AK174" s="54"/>
      <c r="AL174" s="54"/>
    </row>
    <row r="175">
      <c r="G175" s="32"/>
      <c r="L175" s="50"/>
      <c r="M175" s="50"/>
      <c r="N175" s="6"/>
      <c r="O175" s="6"/>
      <c r="P175" s="6"/>
      <c r="Q175" s="6"/>
      <c r="R175" s="51"/>
      <c r="S175" s="51"/>
      <c r="T175" s="9"/>
      <c r="U175" s="9"/>
      <c r="V175" s="9"/>
      <c r="W175" s="9"/>
      <c r="X175" s="9"/>
      <c r="Y175" s="9"/>
      <c r="Z175" s="52"/>
      <c r="AA175" s="52"/>
      <c r="AB175" s="52"/>
      <c r="AC175" s="52"/>
      <c r="AF175" s="53"/>
      <c r="AG175" s="54"/>
      <c r="AH175" s="54"/>
      <c r="AI175" s="54"/>
      <c r="AJ175" s="54"/>
      <c r="AK175" s="54"/>
      <c r="AL175" s="54"/>
    </row>
    <row r="176">
      <c r="G176" s="32"/>
      <c r="L176" s="50"/>
      <c r="M176" s="50"/>
      <c r="N176" s="6"/>
      <c r="O176" s="6"/>
      <c r="P176" s="6"/>
      <c r="Q176" s="6"/>
      <c r="R176" s="51"/>
      <c r="S176" s="51"/>
      <c r="T176" s="9"/>
      <c r="U176" s="9"/>
      <c r="V176" s="9"/>
      <c r="W176" s="9"/>
      <c r="X176" s="9"/>
      <c r="Y176" s="9"/>
      <c r="Z176" s="52"/>
      <c r="AA176" s="52"/>
      <c r="AB176" s="52"/>
      <c r="AC176" s="52"/>
      <c r="AF176" s="53"/>
      <c r="AG176" s="54"/>
      <c r="AH176" s="54"/>
      <c r="AI176" s="54"/>
      <c r="AJ176" s="54"/>
      <c r="AK176" s="54"/>
      <c r="AL176" s="54"/>
    </row>
    <row r="177">
      <c r="G177" s="32"/>
      <c r="L177" s="50"/>
      <c r="M177" s="50"/>
      <c r="N177" s="6"/>
      <c r="O177" s="6"/>
      <c r="P177" s="6"/>
      <c r="Q177" s="6"/>
      <c r="R177" s="51"/>
      <c r="S177" s="51"/>
      <c r="T177" s="9"/>
      <c r="U177" s="9"/>
      <c r="V177" s="9"/>
      <c r="W177" s="9"/>
      <c r="X177" s="9"/>
      <c r="Y177" s="9"/>
      <c r="Z177" s="52"/>
      <c r="AA177" s="52"/>
      <c r="AB177" s="52"/>
      <c r="AC177" s="52"/>
      <c r="AF177" s="53"/>
      <c r="AG177" s="54"/>
      <c r="AH177" s="54"/>
      <c r="AI177" s="54"/>
      <c r="AJ177" s="54"/>
      <c r="AK177" s="54"/>
      <c r="AL177" s="54"/>
    </row>
    <row r="178">
      <c r="G178" s="32"/>
      <c r="L178" s="50"/>
      <c r="M178" s="50"/>
      <c r="N178" s="6"/>
      <c r="O178" s="6"/>
      <c r="P178" s="6"/>
      <c r="Q178" s="6"/>
      <c r="R178" s="51"/>
      <c r="S178" s="51"/>
      <c r="T178" s="9"/>
      <c r="U178" s="9"/>
      <c r="V178" s="9"/>
      <c r="W178" s="9"/>
      <c r="X178" s="9"/>
      <c r="Y178" s="9"/>
      <c r="Z178" s="52"/>
      <c r="AA178" s="52"/>
      <c r="AB178" s="52"/>
      <c r="AC178" s="52"/>
      <c r="AF178" s="53"/>
      <c r="AG178" s="54"/>
      <c r="AH178" s="54"/>
      <c r="AI178" s="54"/>
      <c r="AJ178" s="54"/>
      <c r="AK178" s="54"/>
      <c r="AL178" s="54"/>
    </row>
    <row r="179">
      <c r="G179" s="32"/>
      <c r="L179" s="50"/>
      <c r="M179" s="50"/>
      <c r="N179" s="6"/>
      <c r="O179" s="6"/>
      <c r="P179" s="6"/>
      <c r="Q179" s="6"/>
      <c r="R179" s="51"/>
      <c r="S179" s="51"/>
      <c r="T179" s="9"/>
      <c r="U179" s="9"/>
      <c r="V179" s="9"/>
      <c r="W179" s="9"/>
      <c r="X179" s="9"/>
      <c r="Y179" s="9"/>
      <c r="Z179" s="52"/>
      <c r="AA179" s="52"/>
      <c r="AB179" s="52"/>
      <c r="AC179" s="52"/>
      <c r="AF179" s="53"/>
      <c r="AG179" s="54"/>
      <c r="AH179" s="54"/>
      <c r="AI179" s="54"/>
      <c r="AJ179" s="54"/>
      <c r="AK179" s="54"/>
      <c r="AL179" s="54"/>
    </row>
    <row r="180">
      <c r="G180" s="32"/>
      <c r="L180" s="50"/>
      <c r="M180" s="50"/>
      <c r="N180" s="6"/>
      <c r="O180" s="6"/>
      <c r="P180" s="6"/>
      <c r="Q180" s="6"/>
      <c r="R180" s="51"/>
      <c r="S180" s="51"/>
      <c r="T180" s="9"/>
      <c r="U180" s="9"/>
      <c r="V180" s="9"/>
      <c r="W180" s="9"/>
      <c r="X180" s="9"/>
      <c r="Y180" s="9"/>
      <c r="Z180" s="52"/>
      <c r="AA180" s="52"/>
      <c r="AB180" s="52"/>
      <c r="AC180" s="52"/>
      <c r="AF180" s="53"/>
      <c r="AG180" s="54"/>
      <c r="AH180" s="54"/>
      <c r="AI180" s="54"/>
      <c r="AJ180" s="54"/>
      <c r="AK180" s="54"/>
      <c r="AL180" s="54"/>
    </row>
    <row r="181">
      <c r="G181" s="32"/>
      <c r="L181" s="50"/>
      <c r="M181" s="50"/>
      <c r="N181" s="6"/>
      <c r="O181" s="6"/>
      <c r="P181" s="6"/>
      <c r="Q181" s="6"/>
      <c r="R181" s="51"/>
      <c r="S181" s="51"/>
      <c r="T181" s="9"/>
      <c r="U181" s="9"/>
      <c r="V181" s="9"/>
      <c r="W181" s="9"/>
      <c r="X181" s="9"/>
      <c r="Y181" s="9"/>
      <c r="Z181" s="52"/>
      <c r="AA181" s="52"/>
      <c r="AB181" s="52"/>
      <c r="AC181" s="52"/>
      <c r="AF181" s="53"/>
      <c r="AG181" s="54"/>
      <c r="AH181" s="54"/>
      <c r="AI181" s="54"/>
      <c r="AJ181" s="54"/>
      <c r="AK181" s="54"/>
      <c r="AL181" s="54"/>
    </row>
    <row r="182">
      <c r="G182" s="32"/>
      <c r="L182" s="50"/>
      <c r="M182" s="50"/>
      <c r="N182" s="6"/>
      <c r="O182" s="6"/>
      <c r="P182" s="6"/>
      <c r="Q182" s="6"/>
      <c r="R182" s="51"/>
      <c r="S182" s="51"/>
      <c r="T182" s="9"/>
      <c r="U182" s="9"/>
      <c r="V182" s="9"/>
      <c r="W182" s="9"/>
      <c r="X182" s="9"/>
      <c r="Y182" s="9"/>
      <c r="Z182" s="52"/>
      <c r="AA182" s="52"/>
      <c r="AB182" s="52"/>
      <c r="AC182" s="52"/>
      <c r="AF182" s="53"/>
      <c r="AG182" s="54"/>
      <c r="AH182" s="54"/>
      <c r="AI182" s="54"/>
      <c r="AJ182" s="54"/>
      <c r="AK182" s="54"/>
      <c r="AL182" s="54"/>
    </row>
    <row r="183">
      <c r="G183" s="32"/>
      <c r="L183" s="50"/>
      <c r="M183" s="50"/>
      <c r="N183" s="6"/>
      <c r="O183" s="6"/>
      <c r="P183" s="6"/>
      <c r="Q183" s="6"/>
      <c r="R183" s="51"/>
      <c r="S183" s="51"/>
      <c r="T183" s="9"/>
      <c r="U183" s="9"/>
      <c r="V183" s="9"/>
      <c r="W183" s="9"/>
      <c r="X183" s="9"/>
      <c r="Y183" s="9"/>
      <c r="Z183" s="52"/>
      <c r="AA183" s="52"/>
      <c r="AB183" s="52"/>
      <c r="AC183" s="52"/>
      <c r="AF183" s="53"/>
      <c r="AG183" s="54"/>
      <c r="AH183" s="54"/>
      <c r="AI183" s="54"/>
      <c r="AJ183" s="54"/>
      <c r="AK183" s="54"/>
      <c r="AL183" s="54"/>
    </row>
    <row r="184">
      <c r="G184" s="32"/>
      <c r="L184" s="50"/>
      <c r="M184" s="50"/>
      <c r="N184" s="6"/>
      <c r="O184" s="6"/>
      <c r="P184" s="6"/>
      <c r="Q184" s="6"/>
      <c r="R184" s="51"/>
      <c r="S184" s="51"/>
      <c r="T184" s="9"/>
      <c r="U184" s="9"/>
      <c r="V184" s="9"/>
      <c r="W184" s="9"/>
      <c r="X184" s="9"/>
      <c r="Y184" s="9"/>
      <c r="Z184" s="52"/>
      <c r="AA184" s="52"/>
      <c r="AB184" s="52"/>
      <c r="AC184" s="52"/>
      <c r="AF184" s="53"/>
      <c r="AG184" s="54"/>
      <c r="AH184" s="54"/>
      <c r="AI184" s="54"/>
      <c r="AJ184" s="54"/>
      <c r="AK184" s="54"/>
      <c r="AL184" s="54"/>
    </row>
    <row r="185">
      <c r="G185" s="32"/>
      <c r="L185" s="50"/>
      <c r="M185" s="50"/>
      <c r="N185" s="6"/>
      <c r="O185" s="6"/>
      <c r="P185" s="6"/>
      <c r="Q185" s="6"/>
      <c r="R185" s="51"/>
      <c r="S185" s="51"/>
      <c r="T185" s="9"/>
      <c r="U185" s="9"/>
      <c r="V185" s="9"/>
      <c r="W185" s="9"/>
      <c r="X185" s="9"/>
      <c r="Y185" s="9"/>
      <c r="Z185" s="52"/>
      <c r="AA185" s="52"/>
      <c r="AB185" s="52"/>
      <c r="AC185" s="52"/>
      <c r="AF185" s="53"/>
      <c r="AG185" s="54"/>
      <c r="AH185" s="54"/>
      <c r="AI185" s="54"/>
      <c r="AJ185" s="54"/>
      <c r="AK185" s="54"/>
      <c r="AL185" s="54"/>
    </row>
    <row r="186">
      <c r="G186" s="32"/>
      <c r="L186" s="50"/>
      <c r="M186" s="50"/>
      <c r="N186" s="6"/>
      <c r="O186" s="6"/>
      <c r="P186" s="6"/>
      <c r="Q186" s="6"/>
      <c r="R186" s="51"/>
      <c r="S186" s="51"/>
      <c r="T186" s="9"/>
      <c r="U186" s="9"/>
      <c r="V186" s="9"/>
      <c r="W186" s="9"/>
      <c r="X186" s="9"/>
      <c r="Y186" s="9"/>
      <c r="Z186" s="52"/>
      <c r="AA186" s="52"/>
      <c r="AB186" s="52"/>
      <c r="AC186" s="52"/>
      <c r="AF186" s="53"/>
      <c r="AG186" s="54"/>
      <c r="AH186" s="54"/>
      <c r="AI186" s="54"/>
      <c r="AJ186" s="54"/>
      <c r="AK186" s="54"/>
      <c r="AL186" s="54"/>
    </row>
    <row r="187">
      <c r="G187" s="32"/>
      <c r="L187" s="50"/>
      <c r="M187" s="50"/>
      <c r="N187" s="6"/>
      <c r="O187" s="6"/>
      <c r="P187" s="6"/>
      <c r="Q187" s="6"/>
      <c r="R187" s="51"/>
      <c r="S187" s="51"/>
      <c r="T187" s="9"/>
      <c r="U187" s="9"/>
      <c r="V187" s="9"/>
      <c r="W187" s="9"/>
      <c r="X187" s="9"/>
      <c r="Y187" s="9"/>
      <c r="Z187" s="52"/>
      <c r="AA187" s="52"/>
      <c r="AB187" s="52"/>
      <c r="AC187" s="52"/>
      <c r="AF187" s="53"/>
      <c r="AG187" s="54"/>
      <c r="AH187" s="54"/>
      <c r="AI187" s="54"/>
      <c r="AJ187" s="54"/>
      <c r="AK187" s="54"/>
      <c r="AL187" s="54"/>
    </row>
    <row r="188">
      <c r="G188" s="32"/>
      <c r="L188" s="50"/>
      <c r="M188" s="50"/>
      <c r="N188" s="6"/>
      <c r="O188" s="6"/>
      <c r="P188" s="6"/>
      <c r="Q188" s="6"/>
      <c r="R188" s="51"/>
      <c r="S188" s="51"/>
      <c r="T188" s="9"/>
      <c r="U188" s="9"/>
      <c r="V188" s="9"/>
      <c r="W188" s="9"/>
      <c r="X188" s="9"/>
      <c r="Y188" s="9"/>
      <c r="Z188" s="52"/>
      <c r="AA188" s="52"/>
      <c r="AB188" s="52"/>
      <c r="AC188" s="52"/>
      <c r="AF188" s="53"/>
      <c r="AG188" s="54"/>
      <c r="AH188" s="54"/>
      <c r="AI188" s="54"/>
      <c r="AJ188" s="54"/>
      <c r="AK188" s="54"/>
      <c r="AL188" s="54"/>
    </row>
    <row r="189">
      <c r="G189" s="55"/>
      <c r="N189" s="6"/>
      <c r="O189" s="53"/>
      <c r="P189" s="53"/>
      <c r="Q189" s="53"/>
      <c r="R189" s="51"/>
      <c r="S189" s="51"/>
      <c r="T189" s="53"/>
      <c r="U189" s="53"/>
      <c r="V189" s="53"/>
      <c r="W189" s="53"/>
      <c r="X189" s="53"/>
      <c r="Y189" s="53"/>
      <c r="Z189" s="52"/>
      <c r="AA189" s="52"/>
      <c r="AB189" s="52"/>
      <c r="AC189" s="52"/>
      <c r="AD189" s="53"/>
      <c r="AE189" s="53"/>
      <c r="AF189" s="53"/>
    </row>
    <row r="190">
      <c r="G190" s="55"/>
      <c r="N190" s="6"/>
      <c r="O190" s="53"/>
      <c r="P190" s="53"/>
      <c r="Q190" s="53"/>
      <c r="R190" s="51"/>
      <c r="S190" s="51"/>
      <c r="T190" s="53"/>
      <c r="U190" s="53"/>
      <c r="V190" s="53"/>
      <c r="W190" s="53"/>
      <c r="X190" s="53"/>
      <c r="Y190" s="53"/>
      <c r="Z190" s="52"/>
      <c r="AA190" s="52"/>
      <c r="AB190" s="52"/>
      <c r="AC190" s="52"/>
      <c r="AD190" s="53"/>
      <c r="AE190" s="53"/>
      <c r="AF190" s="53"/>
    </row>
    <row r="191">
      <c r="G191" s="55"/>
      <c r="N191" s="6"/>
      <c r="O191" s="53"/>
      <c r="P191" s="53"/>
      <c r="Q191" s="53"/>
      <c r="R191" s="51"/>
      <c r="S191" s="51"/>
      <c r="T191" s="53"/>
      <c r="U191" s="53"/>
      <c r="V191" s="53"/>
      <c r="W191" s="53"/>
      <c r="X191" s="53"/>
      <c r="Y191" s="53"/>
      <c r="Z191" s="52"/>
      <c r="AA191" s="52"/>
      <c r="AB191" s="52"/>
      <c r="AC191" s="52"/>
      <c r="AD191" s="53"/>
      <c r="AE191" s="53"/>
      <c r="AF191" s="53"/>
    </row>
    <row r="192">
      <c r="G192" s="55"/>
      <c r="N192" s="6"/>
      <c r="O192" s="53"/>
      <c r="P192" s="53"/>
      <c r="Q192" s="53"/>
      <c r="R192" s="51"/>
      <c r="S192" s="51"/>
      <c r="T192" s="53"/>
      <c r="U192" s="53"/>
      <c r="V192" s="53"/>
      <c r="W192" s="53"/>
      <c r="X192" s="53"/>
      <c r="Y192" s="53"/>
      <c r="Z192" s="52"/>
      <c r="AA192" s="52"/>
      <c r="AB192" s="52"/>
      <c r="AC192" s="52"/>
      <c r="AD192" s="53"/>
      <c r="AE192" s="53"/>
      <c r="AF192" s="53"/>
    </row>
    <row r="193">
      <c r="G193" s="55"/>
      <c r="N193" s="6"/>
      <c r="O193" s="53"/>
      <c r="P193" s="53"/>
      <c r="Q193" s="53"/>
      <c r="R193" s="51"/>
      <c r="S193" s="51"/>
      <c r="T193" s="53"/>
      <c r="U193" s="53"/>
      <c r="V193" s="53"/>
      <c r="W193" s="53"/>
      <c r="X193" s="53"/>
      <c r="Y193" s="53"/>
      <c r="Z193" s="52"/>
      <c r="AA193" s="52"/>
      <c r="AB193" s="52"/>
      <c r="AC193" s="52"/>
      <c r="AD193" s="53"/>
      <c r="AE193" s="53"/>
      <c r="AF193" s="53"/>
    </row>
    <row r="194">
      <c r="G194" s="55"/>
      <c r="N194" s="6"/>
      <c r="O194" s="53"/>
      <c r="P194" s="53"/>
      <c r="Q194" s="53"/>
      <c r="R194" s="51"/>
      <c r="S194" s="51"/>
      <c r="T194" s="53"/>
      <c r="U194" s="53"/>
      <c r="V194" s="53"/>
      <c r="W194" s="53"/>
      <c r="X194" s="53"/>
      <c r="Y194" s="53"/>
      <c r="Z194" s="52"/>
      <c r="AA194" s="52"/>
      <c r="AB194" s="52"/>
      <c r="AC194" s="52"/>
      <c r="AD194" s="53"/>
      <c r="AE194" s="53"/>
      <c r="AF194" s="53"/>
    </row>
    <row r="195">
      <c r="G195" s="55"/>
      <c r="N195" s="6"/>
      <c r="O195" s="53"/>
      <c r="P195" s="53"/>
      <c r="Q195" s="53"/>
      <c r="R195" s="51"/>
      <c r="S195" s="51"/>
      <c r="T195" s="53"/>
      <c r="U195" s="53"/>
      <c r="V195" s="53"/>
      <c r="W195" s="53"/>
      <c r="X195" s="53"/>
      <c r="Y195" s="53"/>
      <c r="Z195" s="52"/>
      <c r="AA195" s="52"/>
      <c r="AB195" s="52"/>
      <c r="AC195" s="52"/>
      <c r="AD195" s="53"/>
      <c r="AE195" s="53"/>
      <c r="AF195" s="53"/>
    </row>
    <row r="196">
      <c r="G196" s="55"/>
      <c r="N196" s="6"/>
      <c r="O196" s="53"/>
      <c r="P196" s="53"/>
      <c r="Q196" s="53"/>
      <c r="R196" s="51"/>
      <c r="S196" s="51"/>
      <c r="T196" s="53"/>
      <c r="U196" s="53"/>
      <c r="V196" s="53"/>
      <c r="W196" s="53"/>
      <c r="X196" s="53"/>
      <c r="Y196" s="53"/>
      <c r="Z196" s="52"/>
      <c r="AA196" s="52"/>
      <c r="AB196" s="52"/>
      <c r="AC196" s="52"/>
      <c r="AD196" s="53"/>
      <c r="AE196" s="53"/>
      <c r="AF196" s="53"/>
    </row>
    <row r="197">
      <c r="G197" s="55"/>
      <c r="N197" s="6"/>
      <c r="O197" s="53"/>
      <c r="P197" s="53"/>
      <c r="Q197" s="53"/>
      <c r="R197" s="51"/>
      <c r="S197" s="51"/>
      <c r="T197" s="53"/>
      <c r="U197" s="53"/>
      <c r="V197" s="53"/>
      <c r="W197" s="53"/>
      <c r="X197" s="53"/>
      <c r="Y197" s="53"/>
      <c r="Z197" s="52"/>
      <c r="AA197" s="52"/>
      <c r="AB197" s="52"/>
      <c r="AC197" s="52"/>
      <c r="AD197" s="53"/>
      <c r="AE197" s="53"/>
      <c r="AF197" s="53"/>
    </row>
    <row r="198">
      <c r="G198" s="55"/>
      <c r="N198" s="6"/>
      <c r="O198" s="53"/>
      <c r="P198" s="53"/>
      <c r="Q198" s="53"/>
      <c r="R198" s="51"/>
      <c r="S198" s="51"/>
      <c r="T198" s="53"/>
      <c r="U198" s="53"/>
      <c r="V198" s="53"/>
      <c r="W198" s="53"/>
      <c r="X198" s="53"/>
      <c r="Y198" s="53"/>
      <c r="Z198" s="52"/>
      <c r="AA198" s="52"/>
      <c r="AB198" s="52"/>
      <c r="AC198" s="52"/>
      <c r="AD198" s="53"/>
      <c r="AE198" s="53"/>
      <c r="AF198" s="53"/>
    </row>
    <row r="199">
      <c r="G199" s="55"/>
      <c r="N199" s="6"/>
      <c r="O199" s="53"/>
      <c r="P199" s="53"/>
      <c r="Q199" s="53"/>
      <c r="R199" s="51"/>
      <c r="S199" s="51"/>
      <c r="T199" s="53"/>
      <c r="U199" s="53"/>
      <c r="V199" s="53"/>
      <c r="W199" s="53"/>
      <c r="X199" s="53"/>
      <c r="Y199" s="53"/>
      <c r="Z199" s="52"/>
      <c r="AA199" s="52"/>
      <c r="AB199" s="52"/>
      <c r="AC199" s="52"/>
      <c r="AD199" s="53"/>
      <c r="AE199" s="53"/>
      <c r="AF199" s="53"/>
    </row>
    <row r="200">
      <c r="G200" s="55"/>
      <c r="N200" s="6"/>
      <c r="O200" s="53"/>
      <c r="P200" s="53"/>
      <c r="Q200" s="53"/>
      <c r="R200" s="51"/>
      <c r="S200" s="51"/>
      <c r="T200" s="53"/>
      <c r="U200" s="53"/>
      <c r="V200" s="53"/>
      <c r="W200" s="53"/>
      <c r="X200" s="53"/>
      <c r="Y200" s="53"/>
      <c r="Z200" s="52"/>
      <c r="AA200" s="52"/>
      <c r="AB200" s="52"/>
      <c r="AC200" s="52"/>
      <c r="AD200" s="53"/>
      <c r="AE200" s="53"/>
      <c r="AF200" s="53"/>
    </row>
    <row r="201">
      <c r="G201" s="55"/>
      <c r="N201" s="6"/>
      <c r="O201" s="53"/>
      <c r="P201" s="53"/>
      <c r="Q201" s="53"/>
      <c r="R201" s="51"/>
      <c r="S201" s="51"/>
      <c r="T201" s="53"/>
      <c r="U201" s="53"/>
      <c r="V201" s="53"/>
      <c r="W201" s="53"/>
      <c r="X201" s="53"/>
      <c r="Y201" s="53"/>
      <c r="Z201" s="52"/>
      <c r="AA201" s="52"/>
      <c r="AB201" s="52"/>
      <c r="AC201" s="52"/>
      <c r="AD201" s="53"/>
      <c r="AE201" s="53"/>
      <c r="AF201" s="53"/>
    </row>
    <row r="202">
      <c r="G202" s="55"/>
      <c r="N202" s="6"/>
      <c r="O202" s="53"/>
      <c r="P202" s="53"/>
      <c r="Q202" s="53"/>
      <c r="R202" s="51"/>
      <c r="S202" s="51"/>
      <c r="T202" s="53"/>
      <c r="U202" s="53"/>
      <c r="V202" s="53"/>
      <c r="W202" s="53"/>
      <c r="X202" s="53"/>
      <c r="Y202" s="53"/>
      <c r="Z202" s="52"/>
      <c r="AA202" s="52"/>
      <c r="AB202" s="52"/>
      <c r="AC202" s="52"/>
      <c r="AD202" s="53"/>
      <c r="AE202" s="53"/>
      <c r="AF202" s="53"/>
    </row>
    <row r="203">
      <c r="G203" s="55"/>
      <c r="N203" s="6"/>
      <c r="O203" s="53"/>
      <c r="P203" s="53"/>
      <c r="Q203" s="53"/>
      <c r="R203" s="51"/>
      <c r="S203" s="51"/>
      <c r="T203" s="53"/>
      <c r="U203" s="53"/>
      <c r="V203" s="53"/>
      <c r="W203" s="53"/>
      <c r="X203" s="53"/>
      <c r="Y203" s="53"/>
      <c r="Z203" s="52"/>
      <c r="AA203" s="52"/>
      <c r="AB203" s="52"/>
      <c r="AC203" s="52"/>
      <c r="AD203" s="53"/>
      <c r="AE203" s="53"/>
      <c r="AF203" s="53"/>
    </row>
    <row r="204">
      <c r="G204" s="55"/>
      <c r="N204" s="6"/>
      <c r="O204" s="53"/>
      <c r="P204" s="53"/>
      <c r="Q204" s="53"/>
      <c r="R204" s="51"/>
      <c r="S204" s="51"/>
      <c r="T204" s="53"/>
      <c r="U204" s="53"/>
      <c r="V204" s="53"/>
      <c r="W204" s="53"/>
      <c r="X204" s="53"/>
      <c r="Y204" s="53"/>
      <c r="Z204" s="52"/>
      <c r="AA204" s="52"/>
      <c r="AB204" s="52"/>
      <c r="AC204" s="52"/>
      <c r="AD204" s="53"/>
      <c r="AE204" s="53"/>
      <c r="AF204" s="53"/>
    </row>
    <row r="205">
      <c r="G205" s="55"/>
      <c r="N205" s="6"/>
      <c r="O205" s="53"/>
      <c r="P205" s="53"/>
      <c r="Q205" s="53"/>
      <c r="R205" s="51"/>
      <c r="S205" s="51"/>
      <c r="T205" s="53"/>
      <c r="U205" s="53"/>
      <c r="V205" s="53"/>
      <c r="W205" s="53"/>
      <c r="X205" s="53"/>
      <c r="Y205" s="53"/>
      <c r="Z205" s="52"/>
      <c r="AA205" s="52"/>
      <c r="AB205" s="52"/>
      <c r="AC205" s="52"/>
      <c r="AD205" s="53"/>
      <c r="AE205" s="53"/>
      <c r="AF205" s="53"/>
    </row>
    <row r="206">
      <c r="G206" s="55"/>
      <c r="N206" s="6"/>
      <c r="O206" s="53"/>
      <c r="P206" s="53"/>
      <c r="Q206" s="53"/>
      <c r="R206" s="51"/>
      <c r="S206" s="51"/>
      <c r="T206" s="53"/>
      <c r="U206" s="53"/>
      <c r="V206" s="53"/>
      <c r="W206" s="53"/>
      <c r="X206" s="53"/>
      <c r="Y206" s="53"/>
      <c r="Z206" s="52"/>
      <c r="AA206" s="52"/>
      <c r="AB206" s="52"/>
      <c r="AC206" s="52"/>
      <c r="AD206" s="53"/>
      <c r="AE206" s="53"/>
      <c r="AF206" s="53"/>
    </row>
    <row r="207">
      <c r="G207" s="55"/>
      <c r="N207" s="6"/>
      <c r="O207" s="53"/>
      <c r="P207" s="53"/>
      <c r="Q207" s="53"/>
      <c r="R207" s="51"/>
      <c r="S207" s="51"/>
      <c r="T207" s="53"/>
      <c r="U207" s="53"/>
      <c r="V207" s="53"/>
      <c r="W207" s="53"/>
      <c r="X207" s="53"/>
      <c r="Y207" s="53"/>
      <c r="Z207" s="52"/>
      <c r="AA207" s="52"/>
      <c r="AB207" s="52"/>
      <c r="AC207" s="52"/>
      <c r="AD207" s="53"/>
      <c r="AE207" s="53"/>
      <c r="AF207" s="53"/>
    </row>
    <row r="208">
      <c r="G208" s="55"/>
      <c r="N208" s="6"/>
      <c r="O208" s="53"/>
      <c r="P208" s="53"/>
      <c r="Q208" s="53"/>
      <c r="R208" s="51"/>
      <c r="S208" s="51"/>
      <c r="T208" s="53"/>
      <c r="U208" s="53"/>
      <c r="V208" s="53"/>
      <c r="W208" s="53"/>
      <c r="X208" s="53"/>
      <c r="Y208" s="53"/>
      <c r="Z208" s="52"/>
      <c r="AA208" s="52"/>
      <c r="AB208" s="52"/>
      <c r="AC208" s="52"/>
      <c r="AD208" s="53"/>
      <c r="AE208" s="53"/>
      <c r="AF208" s="53"/>
    </row>
    <row r="209">
      <c r="G209" s="55"/>
      <c r="N209" s="6"/>
      <c r="O209" s="53"/>
      <c r="P209" s="53"/>
      <c r="Q209" s="53"/>
      <c r="R209" s="51"/>
      <c r="S209" s="51"/>
      <c r="T209" s="53"/>
      <c r="U209" s="53"/>
      <c r="V209" s="53"/>
      <c r="W209" s="53"/>
      <c r="X209" s="53"/>
      <c r="Y209" s="53"/>
      <c r="Z209" s="52"/>
      <c r="AA209" s="52"/>
      <c r="AB209" s="52"/>
      <c r="AC209" s="52"/>
      <c r="AD209" s="53"/>
      <c r="AE209" s="53"/>
      <c r="AF209" s="53"/>
    </row>
    <row r="210">
      <c r="G210" s="55"/>
      <c r="N210" s="6"/>
      <c r="O210" s="53"/>
      <c r="P210" s="53"/>
      <c r="Q210" s="53"/>
      <c r="R210" s="51"/>
      <c r="S210" s="51"/>
      <c r="T210" s="53"/>
      <c r="U210" s="53"/>
      <c r="V210" s="53"/>
      <c r="W210" s="53"/>
      <c r="X210" s="53"/>
      <c r="Y210" s="53"/>
      <c r="Z210" s="52"/>
      <c r="AA210" s="52"/>
      <c r="AB210" s="52"/>
      <c r="AC210" s="52"/>
      <c r="AD210" s="53"/>
      <c r="AE210" s="53"/>
      <c r="AF210" s="53"/>
    </row>
    <row r="211">
      <c r="G211" s="55"/>
      <c r="N211" s="6"/>
      <c r="O211" s="53"/>
      <c r="P211" s="53"/>
      <c r="Q211" s="53"/>
      <c r="R211" s="51"/>
      <c r="S211" s="51"/>
      <c r="T211" s="53"/>
      <c r="U211" s="53"/>
      <c r="V211" s="53"/>
      <c r="W211" s="53"/>
      <c r="X211" s="53"/>
      <c r="Y211" s="53"/>
      <c r="Z211" s="52"/>
      <c r="AA211" s="52"/>
      <c r="AB211" s="52"/>
      <c r="AC211" s="52"/>
      <c r="AD211" s="53"/>
      <c r="AE211" s="53"/>
      <c r="AF211" s="53"/>
    </row>
    <row r="212">
      <c r="G212" s="55"/>
      <c r="N212" s="6"/>
      <c r="O212" s="53"/>
      <c r="P212" s="53"/>
      <c r="Q212" s="53"/>
      <c r="R212" s="51"/>
      <c r="S212" s="51"/>
      <c r="T212" s="53"/>
      <c r="U212" s="53"/>
      <c r="V212" s="53"/>
      <c r="W212" s="53"/>
      <c r="X212" s="53"/>
      <c r="Y212" s="53"/>
      <c r="Z212" s="52"/>
      <c r="AA212" s="52"/>
      <c r="AB212" s="52"/>
      <c r="AC212" s="52"/>
      <c r="AD212" s="53"/>
      <c r="AE212" s="53"/>
      <c r="AF212" s="53"/>
    </row>
    <row r="213">
      <c r="G213" s="55"/>
      <c r="N213" s="6"/>
      <c r="O213" s="53"/>
      <c r="P213" s="53"/>
      <c r="Q213" s="53"/>
      <c r="R213" s="51"/>
      <c r="S213" s="51"/>
      <c r="T213" s="53"/>
      <c r="U213" s="53"/>
      <c r="V213" s="53"/>
      <c r="W213" s="53"/>
      <c r="X213" s="53"/>
      <c r="Y213" s="53"/>
      <c r="Z213" s="52"/>
      <c r="AA213" s="52"/>
      <c r="AB213" s="52"/>
      <c r="AC213" s="52"/>
      <c r="AD213" s="53"/>
      <c r="AE213" s="53"/>
      <c r="AF213" s="53"/>
    </row>
    <row r="214">
      <c r="G214" s="55"/>
      <c r="N214" s="6"/>
      <c r="O214" s="53"/>
      <c r="P214" s="53"/>
      <c r="Q214" s="53"/>
      <c r="R214" s="51"/>
      <c r="S214" s="51"/>
      <c r="T214" s="53"/>
      <c r="U214" s="53"/>
      <c r="V214" s="53"/>
      <c r="W214" s="53"/>
      <c r="X214" s="53"/>
      <c r="Y214" s="53"/>
      <c r="Z214" s="52"/>
      <c r="AA214" s="52"/>
      <c r="AB214" s="52"/>
      <c r="AC214" s="52"/>
      <c r="AD214" s="53"/>
      <c r="AE214" s="53"/>
      <c r="AF214" s="53"/>
    </row>
    <row r="215">
      <c r="G215" s="55"/>
      <c r="N215" s="6"/>
      <c r="O215" s="53"/>
      <c r="P215" s="53"/>
      <c r="Q215" s="53"/>
      <c r="R215" s="51"/>
      <c r="S215" s="51"/>
      <c r="T215" s="53"/>
      <c r="U215" s="53"/>
      <c r="V215" s="53"/>
      <c r="W215" s="53"/>
      <c r="X215" s="53"/>
      <c r="Y215" s="53"/>
      <c r="Z215" s="52"/>
      <c r="AA215" s="52"/>
      <c r="AB215" s="52"/>
      <c r="AC215" s="52"/>
      <c r="AD215" s="53"/>
      <c r="AE215" s="53"/>
      <c r="AF215" s="53"/>
    </row>
    <row r="216">
      <c r="G216" s="55"/>
      <c r="N216" s="6"/>
      <c r="O216" s="53"/>
      <c r="P216" s="53"/>
      <c r="Q216" s="53"/>
      <c r="R216" s="51"/>
      <c r="S216" s="51"/>
      <c r="T216" s="53"/>
      <c r="U216" s="53"/>
      <c r="V216" s="53"/>
      <c r="W216" s="53"/>
      <c r="X216" s="53"/>
      <c r="Y216" s="53"/>
      <c r="Z216" s="52"/>
      <c r="AA216" s="52"/>
      <c r="AB216" s="52"/>
      <c r="AC216" s="52"/>
      <c r="AD216" s="53"/>
      <c r="AE216" s="53"/>
      <c r="AF216" s="53"/>
    </row>
    <row r="217">
      <c r="G217" s="55"/>
      <c r="N217" s="6"/>
      <c r="O217" s="53"/>
      <c r="P217" s="53"/>
      <c r="Q217" s="53"/>
      <c r="R217" s="51"/>
      <c r="S217" s="51"/>
      <c r="T217" s="53"/>
      <c r="U217" s="53"/>
      <c r="V217" s="53"/>
      <c r="W217" s="53"/>
      <c r="X217" s="53"/>
      <c r="Y217" s="53"/>
      <c r="Z217" s="52"/>
      <c r="AA217" s="52"/>
      <c r="AB217" s="52"/>
      <c r="AC217" s="52"/>
      <c r="AD217" s="53"/>
      <c r="AE217" s="53"/>
      <c r="AF217" s="53"/>
    </row>
    <row r="218">
      <c r="G218" s="55"/>
      <c r="N218" s="6"/>
      <c r="O218" s="53"/>
      <c r="P218" s="53"/>
      <c r="Q218" s="53"/>
      <c r="R218" s="51"/>
      <c r="S218" s="51"/>
      <c r="T218" s="53"/>
      <c r="U218" s="53"/>
      <c r="V218" s="53"/>
      <c r="W218" s="53"/>
      <c r="X218" s="53"/>
      <c r="Y218" s="53"/>
      <c r="Z218" s="52"/>
      <c r="AA218" s="52"/>
      <c r="AB218" s="52"/>
      <c r="AC218" s="52"/>
      <c r="AD218" s="53"/>
      <c r="AE218" s="53"/>
      <c r="AF218" s="53"/>
    </row>
    <row r="219">
      <c r="G219" s="55"/>
      <c r="N219" s="6"/>
      <c r="O219" s="53"/>
      <c r="P219" s="53"/>
      <c r="Q219" s="53"/>
      <c r="R219" s="51"/>
      <c r="S219" s="51"/>
      <c r="T219" s="53"/>
      <c r="U219" s="53"/>
      <c r="V219" s="53"/>
      <c r="W219" s="53"/>
      <c r="X219" s="53"/>
      <c r="Y219" s="53"/>
      <c r="Z219" s="52"/>
      <c r="AA219" s="52"/>
      <c r="AB219" s="52"/>
      <c r="AC219" s="52"/>
      <c r="AD219" s="53"/>
      <c r="AE219" s="53"/>
      <c r="AF219" s="53"/>
    </row>
    <row r="220">
      <c r="G220" s="55"/>
      <c r="N220" s="6"/>
      <c r="O220" s="53"/>
      <c r="P220" s="53"/>
      <c r="Q220" s="53"/>
      <c r="R220" s="51"/>
      <c r="S220" s="51"/>
      <c r="T220" s="53"/>
      <c r="U220" s="53"/>
      <c r="V220" s="53"/>
      <c r="W220" s="53"/>
      <c r="X220" s="53"/>
      <c r="Y220" s="53"/>
      <c r="Z220" s="52"/>
      <c r="AA220" s="52"/>
      <c r="AB220" s="52"/>
      <c r="AC220" s="52"/>
      <c r="AD220" s="53"/>
      <c r="AE220" s="53"/>
      <c r="AF220" s="53"/>
    </row>
    <row r="221">
      <c r="G221" s="55"/>
      <c r="N221" s="6"/>
      <c r="O221" s="53"/>
      <c r="P221" s="53"/>
      <c r="Q221" s="53"/>
      <c r="R221" s="51"/>
      <c r="S221" s="51"/>
      <c r="T221" s="53"/>
      <c r="U221" s="53"/>
      <c r="V221" s="53"/>
      <c r="W221" s="53"/>
      <c r="X221" s="53"/>
      <c r="Y221" s="53"/>
      <c r="Z221" s="52"/>
      <c r="AA221" s="52"/>
      <c r="AB221" s="52"/>
      <c r="AC221" s="52"/>
      <c r="AD221" s="53"/>
      <c r="AE221" s="53"/>
      <c r="AF221" s="53"/>
    </row>
    <row r="222">
      <c r="G222" s="55"/>
      <c r="N222" s="6"/>
      <c r="O222" s="53"/>
      <c r="P222" s="53"/>
      <c r="Q222" s="53"/>
      <c r="R222" s="51"/>
      <c r="S222" s="51"/>
      <c r="T222" s="53"/>
      <c r="U222" s="53"/>
      <c r="V222" s="53"/>
      <c r="W222" s="53"/>
      <c r="X222" s="53"/>
      <c r="Y222" s="53"/>
      <c r="Z222" s="52"/>
      <c r="AA222" s="52"/>
      <c r="AB222" s="52"/>
      <c r="AC222" s="52"/>
      <c r="AD222" s="53"/>
      <c r="AE222" s="53"/>
      <c r="AF222" s="53"/>
    </row>
    <row r="223">
      <c r="G223" s="55"/>
      <c r="N223" s="6"/>
      <c r="O223" s="53"/>
      <c r="P223" s="53"/>
      <c r="Q223" s="53"/>
      <c r="R223" s="51"/>
      <c r="S223" s="51"/>
      <c r="T223" s="53"/>
      <c r="U223" s="53"/>
      <c r="V223" s="53"/>
      <c r="W223" s="53"/>
      <c r="X223" s="53"/>
      <c r="Y223" s="53"/>
      <c r="Z223" s="52"/>
      <c r="AA223" s="52"/>
      <c r="AB223" s="52"/>
      <c r="AC223" s="52"/>
      <c r="AD223" s="53"/>
      <c r="AE223" s="53"/>
      <c r="AF223" s="53"/>
    </row>
    <row r="224">
      <c r="G224" s="55"/>
      <c r="N224" s="6"/>
      <c r="O224" s="53"/>
      <c r="P224" s="53"/>
      <c r="Q224" s="53"/>
      <c r="R224" s="51"/>
      <c r="S224" s="51"/>
      <c r="T224" s="53"/>
      <c r="U224" s="53"/>
      <c r="V224" s="53"/>
      <c r="W224" s="53"/>
      <c r="X224" s="53"/>
      <c r="Y224" s="53"/>
      <c r="Z224" s="52"/>
      <c r="AA224" s="52"/>
      <c r="AB224" s="52"/>
      <c r="AC224" s="52"/>
      <c r="AD224" s="53"/>
      <c r="AE224" s="53"/>
      <c r="AF224" s="53"/>
    </row>
    <row r="225">
      <c r="G225" s="55"/>
      <c r="N225" s="6"/>
      <c r="O225" s="53"/>
      <c r="P225" s="53"/>
      <c r="Q225" s="53"/>
      <c r="R225" s="51"/>
      <c r="S225" s="51"/>
      <c r="T225" s="53"/>
      <c r="U225" s="53"/>
      <c r="V225" s="53"/>
      <c r="W225" s="53"/>
      <c r="X225" s="53"/>
      <c r="Y225" s="53"/>
      <c r="Z225" s="52"/>
      <c r="AA225" s="52"/>
      <c r="AB225" s="52"/>
      <c r="AC225" s="52"/>
      <c r="AD225" s="53"/>
      <c r="AE225" s="53"/>
      <c r="AF225" s="53"/>
    </row>
    <row r="226">
      <c r="G226" s="55"/>
      <c r="N226" s="6"/>
      <c r="O226" s="53"/>
      <c r="P226" s="53"/>
      <c r="Q226" s="53"/>
      <c r="R226" s="51"/>
      <c r="S226" s="51"/>
      <c r="T226" s="53"/>
      <c r="U226" s="53"/>
      <c r="V226" s="53"/>
      <c r="W226" s="53"/>
      <c r="X226" s="53"/>
      <c r="Y226" s="53"/>
      <c r="Z226" s="52"/>
      <c r="AA226" s="52"/>
      <c r="AB226" s="52"/>
      <c r="AC226" s="52"/>
      <c r="AD226" s="53"/>
      <c r="AE226" s="53"/>
      <c r="AF226" s="53"/>
    </row>
    <row r="227">
      <c r="G227" s="55"/>
      <c r="N227" s="6"/>
      <c r="O227" s="53"/>
      <c r="P227" s="53"/>
      <c r="Q227" s="53"/>
      <c r="R227" s="51"/>
      <c r="S227" s="51"/>
      <c r="T227" s="53"/>
      <c r="U227" s="53"/>
      <c r="V227" s="53"/>
      <c r="W227" s="53"/>
      <c r="X227" s="53"/>
      <c r="Y227" s="53"/>
      <c r="Z227" s="52"/>
      <c r="AA227" s="52"/>
      <c r="AB227" s="52"/>
      <c r="AC227" s="52"/>
      <c r="AD227" s="53"/>
      <c r="AE227" s="53"/>
      <c r="AF227" s="53"/>
    </row>
    <row r="228">
      <c r="G228" s="55"/>
      <c r="N228" s="6"/>
      <c r="O228" s="53"/>
      <c r="P228" s="53"/>
      <c r="Q228" s="53"/>
      <c r="R228" s="51"/>
      <c r="S228" s="51"/>
      <c r="T228" s="53"/>
      <c r="U228" s="53"/>
      <c r="V228" s="53"/>
      <c r="W228" s="53"/>
      <c r="X228" s="53"/>
      <c r="Y228" s="53"/>
      <c r="Z228" s="52"/>
      <c r="AA228" s="52"/>
      <c r="AB228" s="52"/>
      <c r="AC228" s="52"/>
      <c r="AD228" s="53"/>
      <c r="AE228" s="53"/>
      <c r="AF228" s="53"/>
    </row>
    <row r="229">
      <c r="G229" s="55"/>
      <c r="N229" s="6"/>
      <c r="O229" s="53"/>
      <c r="P229" s="53"/>
      <c r="Q229" s="53"/>
      <c r="R229" s="51"/>
      <c r="S229" s="51"/>
      <c r="T229" s="53"/>
      <c r="U229" s="53"/>
      <c r="V229" s="53"/>
      <c r="W229" s="53"/>
      <c r="X229" s="53"/>
      <c r="Y229" s="53"/>
      <c r="Z229" s="52"/>
      <c r="AA229" s="52"/>
      <c r="AB229" s="52"/>
      <c r="AC229" s="52"/>
      <c r="AD229" s="53"/>
      <c r="AE229" s="53"/>
      <c r="AF229" s="53"/>
    </row>
    <row r="230">
      <c r="G230" s="55"/>
      <c r="N230" s="6"/>
      <c r="O230" s="53"/>
      <c r="P230" s="53"/>
      <c r="Q230" s="53"/>
      <c r="R230" s="51"/>
      <c r="S230" s="51"/>
      <c r="T230" s="53"/>
      <c r="U230" s="53"/>
      <c r="V230" s="53"/>
      <c r="W230" s="53"/>
      <c r="X230" s="53"/>
      <c r="Y230" s="53"/>
      <c r="Z230" s="52"/>
      <c r="AA230" s="52"/>
      <c r="AB230" s="52"/>
      <c r="AC230" s="52"/>
      <c r="AD230" s="53"/>
      <c r="AE230" s="53"/>
      <c r="AF230" s="53"/>
    </row>
    <row r="231">
      <c r="G231" s="55"/>
      <c r="N231" s="6"/>
      <c r="O231" s="53"/>
      <c r="P231" s="53"/>
      <c r="Q231" s="53"/>
      <c r="R231" s="51"/>
      <c r="S231" s="51"/>
      <c r="T231" s="53"/>
      <c r="U231" s="53"/>
      <c r="V231" s="53"/>
      <c r="W231" s="53"/>
      <c r="X231" s="53"/>
      <c r="Y231" s="53"/>
      <c r="Z231" s="52"/>
      <c r="AA231" s="52"/>
      <c r="AB231" s="52"/>
      <c r="AC231" s="52"/>
      <c r="AD231" s="53"/>
      <c r="AE231" s="53"/>
      <c r="AF231" s="53"/>
    </row>
    <row r="232">
      <c r="G232" s="55"/>
      <c r="N232" s="6"/>
      <c r="O232" s="53"/>
      <c r="P232" s="53"/>
      <c r="Q232" s="53"/>
      <c r="R232" s="51"/>
      <c r="S232" s="51"/>
      <c r="T232" s="53"/>
      <c r="U232" s="53"/>
      <c r="V232" s="53"/>
      <c r="W232" s="53"/>
      <c r="X232" s="53"/>
      <c r="Y232" s="53"/>
      <c r="Z232" s="52"/>
      <c r="AA232" s="52"/>
      <c r="AB232" s="52"/>
      <c r="AC232" s="52"/>
      <c r="AD232" s="53"/>
      <c r="AE232" s="53"/>
      <c r="AF232" s="53"/>
    </row>
    <row r="233">
      <c r="G233" s="55"/>
      <c r="N233" s="6"/>
      <c r="O233" s="53"/>
      <c r="P233" s="53"/>
      <c r="Q233" s="53"/>
      <c r="R233" s="51"/>
      <c r="S233" s="51"/>
      <c r="T233" s="53"/>
      <c r="U233" s="53"/>
      <c r="V233" s="53"/>
      <c r="W233" s="53"/>
      <c r="X233" s="53"/>
      <c r="Y233" s="53"/>
      <c r="Z233" s="52"/>
      <c r="AA233" s="52"/>
      <c r="AB233" s="52"/>
      <c r="AC233" s="52"/>
      <c r="AD233" s="53"/>
      <c r="AE233" s="53"/>
      <c r="AF233" s="53"/>
    </row>
    <row r="234">
      <c r="G234" s="55"/>
      <c r="N234" s="6"/>
      <c r="O234" s="53"/>
      <c r="P234" s="53"/>
      <c r="Q234" s="53"/>
      <c r="R234" s="51"/>
      <c r="S234" s="51"/>
      <c r="T234" s="53"/>
      <c r="U234" s="53"/>
      <c r="V234" s="53"/>
      <c r="W234" s="53"/>
      <c r="X234" s="53"/>
      <c r="Y234" s="53"/>
      <c r="Z234" s="52"/>
      <c r="AA234" s="52"/>
      <c r="AB234" s="52"/>
      <c r="AC234" s="52"/>
      <c r="AD234" s="53"/>
      <c r="AE234" s="53"/>
      <c r="AF234" s="53"/>
    </row>
    <row r="235">
      <c r="G235" s="55"/>
      <c r="N235" s="6"/>
      <c r="O235" s="53"/>
      <c r="P235" s="53"/>
      <c r="Q235" s="53"/>
      <c r="R235" s="51"/>
      <c r="S235" s="51"/>
      <c r="T235" s="53"/>
      <c r="U235" s="53"/>
      <c r="V235" s="53"/>
      <c r="W235" s="53"/>
      <c r="X235" s="53"/>
      <c r="Y235" s="53"/>
      <c r="Z235" s="52"/>
      <c r="AA235" s="52"/>
      <c r="AB235" s="52"/>
      <c r="AC235" s="52"/>
      <c r="AD235" s="53"/>
      <c r="AE235" s="53"/>
      <c r="AF235" s="53"/>
    </row>
    <row r="236">
      <c r="G236" s="55"/>
      <c r="N236" s="6"/>
      <c r="O236" s="53"/>
      <c r="P236" s="53"/>
      <c r="Q236" s="53"/>
      <c r="R236" s="51"/>
      <c r="S236" s="51"/>
      <c r="T236" s="53"/>
      <c r="U236" s="53"/>
      <c r="V236" s="53"/>
      <c r="W236" s="53"/>
      <c r="X236" s="53"/>
      <c r="Y236" s="53"/>
      <c r="Z236" s="52"/>
      <c r="AA236" s="52"/>
      <c r="AB236" s="52"/>
      <c r="AC236" s="52"/>
      <c r="AD236" s="53"/>
      <c r="AE236" s="53"/>
      <c r="AF236" s="53"/>
    </row>
    <row r="237">
      <c r="G237" s="55"/>
      <c r="N237" s="6"/>
      <c r="O237" s="53"/>
      <c r="P237" s="53"/>
      <c r="Q237" s="53"/>
      <c r="R237" s="51"/>
      <c r="S237" s="51"/>
      <c r="T237" s="53"/>
      <c r="U237" s="53"/>
      <c r="V237" s="53"/>
      <c r="W237" s="53"/>
      <c r="X237" s="53"/>
      <c r="Y237" s="53"/>
      <c r="Z237" s="52"/>
      <c r="AA237" s="52"/>
      <c r="AB237" s="52"/>
      <c r="AC237" s="52"/>
      <c r="AD237" s="53"/>
      <c r="AE237" s="53"/>
      <c r="AF237" s="53"/>
    </row>
    <row r="238">
      <c r="G238" s="55"/>
      <c r="N238" s="6"/>
      <c r="O238" s="53"/>
      <c r="P238" s="53"/>
      <c r="Q238" s="53"/>
      <c r="R238" s="51"/>
      <c r="S238" s="51"/>
      <c r="T238" s="53"/>
      <c r="U238" s="53"/>
      <c r="V238" s="53"/>
      <c r="W238" s="53"/>
      <c r="X238" s="53"/>
      <c r="Y238" s="53"/>
      <c r="Z238" s="52"/>
      <c r="AA238" s="52"/>
      <c r="AB238" s="52"/>
      <c r="AC238" s="52"/>
      <c r="AD238" s="53"/>
      <c r="AE238" s="53"/>
      <c r="AF238" s="53"/>
    </row>
    <row r="239">
      <c r="G239" s="55"/>
      <c r="N239" s="6"/>
      <c r="O239" s="53"/>
      <c r="P239" s="53"/>
      <c r="Q239" s="53"/>
      <c r="R239" s="51"/>
      <c r="S239" s="51"/>
      <c r="T239" s="53"/>
      <c r="U239" s="53"/>
      <c r="V239" s="53"/>
      <c r="W239" s="53"/>
      <c r="X239" s="53"/>
      <c r="Y239" s="53"/>
      <c r="Z239" s="52"/>
      <c r="AA239" s="52"/>
      <c r="AB239" s="52"/>
      <c r="AC239" s="52"/>
      <c r="AD239" s="53"/>
      <c r="AE239" s="53"/>
      <c r="AF239" s="53"/>
    </row>
    <row r="240">
      <c r="G240" s="55"/>
      <c r="N240" s="6"/>
      <c r="O240" s="53"/>
      <c r="P240" s="53"/>
      <c r="Q240" s="53"/>
      <c r="R240" s="51"/>
      <c r="S240" s="51"/>
      <c r="T240" s="53"/>
      <c r="U240" s="53"/>
      <c r="V240" s="53"/>
      <c r="W240" s="53"/>
      <c r="X240" s="53"/>
      <c r="Y240" s="53"/>
      <c r="Z240" s="52"/>
      <c r="AA240" s="52"/>
      <c r="AB240" s="52"/>
      <c r="AC240" s="52"/>
      <c r="AD240" s="53"/>
      <c r="AE240" s="53"/>
      <c r="AF240" s="53"/>
    </row>
    <row r="241">
      <c r="G241" s="55"/>
      <c r="N241" s="6"/>
      <c r="O241" s="53"/>
      <c r="P241" s="53"/>
      <c r="Q241" s="53"/>
      <c r="R241" s="51"/>
      <c r="S241" s="51"/>
      <c r="T241" s="53"/>
      <c r="U241" s="53"/>
      <c r="V241" s="53"/>
      <c r="W241" s="53"/>
      <c r="X241" s="53"/>
      <c r="Y241" s="53"/>
      <c r="Z241" s="52"/>
      <c r="AA241" s="52"/>
      <c r="AB241" s="52"/>
      <c r="AC241" s="52"/>
      <c r="AD241" s="53"/>
      <c r="AE241" s="53"/>
      <c r="AF241" s="53"/>
    </row>
    <row r="242">
      <c r="G242" s="55"/>
      <c r="N242" s="6"/>
      <c r="O242" s="53"/>
      <c r="P242" s="53"/>
      <c r="Q242" s="53"/>
      <c r="R242" s="51"/>
      <c r="S242" s="51"/>
      <c r="T242" s="53"/>
      <c r="U242" s="53"/>
      <c r="V242" s="53"/>
      <c r="W242" s="53"/>
      <c r="X242" s="53"/>
      <c r="Y242" s="53"/>
      <c r="Z242" s="52"/>
      <c r="AA242" s="52"/>
      <c r="AB242" s="52"/>
      <c r="AC242" s="52"/>
      <c r="AD242" s="53"/>
      <c r="AE242" s="53"/>
      <c r="AF242" s="53"/>
    </row>
    <row r="243">
      <c r="G243" s="55"/>
      <c r="N243" s="6"/>
      <c r="O243" s="53"/>
      <c r="P243" s="53"/>
      <c r="Q243" s="53"/>
      <c r="R243" s="51"/>
      <c r="S243" s="51"/>
      <c r="T243" s="53"/>
      <c r="U243" s="53"/>
      <c r="V243" s="53"/>
      <c r="W243" s="53"/>
      <c r="X243" s="53"/>
      <c r="Y243" s="53"/>
      <c r="Z243" s="52"/>
      <c r="AA243" s="52"/>
      <c r="AB243" s="52"/>
      <c r="AC243" s="52"/>
      <c r="AD243" s="53"/>
      <c r="AE243" s="53"/>
      <c r="AF243" s="53"/>
    </row>
    <row r="244">
      <c r="G244" s="55"/>
      <c r="N244" s="6"/>
      <c r="O244" s="53"/>
      <c r="P244" s="53"/>
      <c r="Q244" s="53"/>
      <c r="R244" s="51"/>
      <c r="S244" s="51"/>
      <c r="T244" s="53"/>
      <c r="U244" s="53"/>
      <c r="V244" s="53"/>
      <c r="W244" s="53"/>
      <c r="X244" s="53"/>
      <c r="Y244" s="53"/>
      <c r="Z244" s="52"/>
      <c r="AA244" s="52"/>
      <c r="AB244" s="52"/>
      <c r="AC244" s="52"/>
      <c r="AD244" s="53"/>
      <c r="AE244" s="53"/>
      <c r="AF244" s="53"/>
    </row>
    <row r="245">
      <c r="G245" s="55"/>
      <c r="N245" s="6"/>
      <c r="O245" s="53"/>
      <c r="P245" s="53"/>
      <c r="Q245" s="53"/>
      <c r="R245" s="51"/>
      <c r="S245" s="51"/>
      <c r="T245" s="53"/>
      <c r="U245" s="53"/>
      <c r="V245" s="53"/>
      <c r="W245" s="53"/>
      <c r="X245" s="53"/>
      <c r="Y245" s="53"/>
      <c r="Z245" s="52"/>
      <c r="AA245" s="52"/>
      <c r="AB245" s="52"/>
      <c r="AC245" s="52"/>
      <c r="AD245" s="53"/>
      <c r="AE245" s="53"/>
      <c r="AF245" s="53"/>
    </row>
    <row r="246">
      <c r="G246" s="55"/>
      <c r="N246" s="6"/>
      <c r="O246" s="53"/>
      <c r="P246" s="53"/>
      <c r="Q246" s="53"/>
      <c r="R246" s="51"/>
      <c r="S246" s="51"/>
      <c r="T246" s="53"/>
      <c r="U246" s="53"/>
      <c r="V246" s="53"/>
      <c r="W246" s="53"/>
      <c r="X246" s="53"/>
      <c r="Y246" s="53"/>
      <c r="Z246" s="52"/>
      <c r="AA246" s="52"/>
      <c r="AB246" s="52"/>
      <c r="AC246" s="52"/>
      <c r="AD246" s="53"/>
      <c r="AE246" s="53"/>
      <c r="AF246" s="53"/>
    </row>
    <row r="247">
      <c r="G247" s="55"/>
      <c r="N247" s="6"/>
      <c r="O247" s="53"/>
      <c r="P247" s="53"/>
      <c r="Q247" s="53"/>
      <c r="R247" s="51"/>
      <c r="S247" s="51"/>
      <c r="T247" s="53"/>
      <c r="U247" s="53"/>
      <c r="V247" s="53"/>
      <c r="W247" s="53"/>
      <c r="X247" s="53"/>
      <c r="Y247" s="53"/>
      <c r="Z247" s="52"/>
      <c r="AA247" s="52"/>
      <c r="AB247" s="52"/>
      <c r="AC247" s="52"/>
      <c r="AD247" s="53"/>
      <c r="AE247" s="53"/>
      <c r="AF247" s="53"/>
    </row>
    <row r="248">
      <c r="G248" s="55"/>
      <c r="N248" s="6"/>
      <c r="O248" s="53"/>
      <c r="P248" s="53"/>
      <c r="Q248" s="53"/>
      <c r="R248" s="51"/>
      <c r="S248" s="51"/>
      <c r="T248" s="53"/>
      <c r="U248" s="53"/>
      <c r="V248" s="53"/>
      <c r="W248" s="53"/>
      <c r="X248" s="53"/>
      <c r="Y248" s="53"/>
      <c r="Z248" s="52"/>
      <c r="AA248" s="52"/>
      <c r="AB248" s="52"/>
      <c r="AC248" s="52"/>
      <c r="AD248" s="53"/>
      <c r="AE248" s="53"/>
      <c r="AF248" s="53"/>
    </row>
    <row r="249">
      <c r="G249" s="55"/>
      <c r="N249" s="6"/>
      <c r="O249" s="53"/>
      <c r="P249" s="53"/>
      <c r="Q249" s="53"/>
      <c r="R249" s="51"/>
      <c r="S249" s="51"/>
      <c r="T249" s="53"/>
      <c r="U249" s="53"/>
      <c r="V249" s="53"/>
      <c r="W249" s="53"/>
      <c r="X249" s="53"/>
      <c r="Y249" s="53"/>
      <c r="Z249" s="52"/>
      <c r="AA249" s="52"/>
      <c r="AB249" s="52"/>
      <c r="AC249" s="52"/>
      <c r="AD249" s="53"/>
      <c r="AE249" s="53"/>
      <c r="AF249" s="53"/>
    </row>
    <row r="250">
      <c r="G250" s="55"/>
      <c r="N250" s="6"/>
      <c r="O250" s="53"/>
      <c r="P250" s="53"/>
      <c r="Q250" s="53"/>
      <c r="R250" s="51"/>
      <c r="S250" s="51"/>
      <c r="T250" s="53"/>
      <c r="U250" s="53"/>
      <c r="V250" s="53"/>
      <c r="W250" s="53"/>
      <c r="X250" s="53"/>
      <c r="Y250" s="53"/>
      <c r="Z250" s="52"/>
      <c r="AA250" s="52"/>
      <c r="AB250" s="52"/>
      <c r="AC250" s="52"/>
      <c r="AD250" s="53"/>
      <c r="AE250" s="53"/>
      <c r="AF250" s="53"/>
    </row>
    <row r="251">
      <c r="G251" s="55"/>
      <c r="N251" s="6"/>
      <c r="O251" s="53"/>
      <c r="P251" s="53"/>
      <c r="Q251" s="53"/>
      <c r="R251" s="51"/>
      <c r="S251" s="51"/>
      <c r="T251" s="53"/>
      <c r="U251" s="53"/>
      <c r="V251" s="53"/>
      <c r="W251" s="53"/>
      <c r="X251" s="53"/>
      <c r="Y251" s="53"/>
      <c r="Z251" s="52"/>
      <c r="AA251" s="52"/>
      <c r="AB251" s="52"/>
      <c r="AC251" s="52"/>
      <c r="AD251" s="53"/>
      <c r="AE251" s="53"/>
      <c r="AF251" s="53"/>
    </row>
    <row r="252">
      <c r="G252" s="55"/>
      <c r="N252" s="6"/>
      <c r="O252" s="53"/>
      <c r="P252" s="53"/>
      <c r="Q252" s="53"/>
      <c r="R252" s="51"/>
      <c r="S252" s="51"/>
      <c r="T252" s="53"/>
      <c r="U252" s="53"/>
      <c r="V252" s="53"/>
      <c r="W252" s="53"/>
      <c r="X252" s="53"/>
      <c r="Y252" s="53"/>
      <c r="Z252" s="52"/>
      <c r="AA252" s="52"/>
      <c r="AB252" s="52"/>
      <c r="AC252" s="52"/>
      <c r="AD252" s="53"/>
      <c r="AE252" s="53"/>
      <c r="AF252" s="53"/>
    </row>
    <row r="253">
      <c r="G253" s="55"/>
      <c r="N253" s="6"/>
      <c r="O253" s="53"/>
      <c r="P253" s="53"/>
      <c r="Q253" s="53"/>
      <c r="R253" s="51"/>
      <c r="S253" s="51"/>
      <c r="T253" s="53"/>
      <c r="U253" s="53"/>
      <c r="V253" s="53"/>
      <c r="W253" s="53"/>
      <c r="X253" s="53"/>
      <c r="Y253" s="53"/>
      <c r="Z253" s="52"/>
      <c r="AA253" s="52"/>
      <c r="AB253" s="52"/>
      <c r="AC253" s="52"/>
      <c r="AD253" s="53"/>
      <c r="AE253" s="53"/>
      <c r="AF253" s="53"/>
    </row>
    <row r="254">
      <c r="G254" s="55"/>
      <c r="N254" s="6"/>
      <c r="O254" s="53"/>
      <c r="P254" s="53"/>
      <c r="Q254" s="53"/>
      <c r="R254" s="51"/>
      <c r="S254" s="51"/>
      <c r="T254" s="53"/>
      <c r="U254" s="53"/>
      <c r="V254" s="53"/>
      <c r="W254" s="53"/>
      <c r="X254" s="53"/>
      <c r="Y254" s="53"/>
      <c r="Z254" s="52"/>
      <c r="AA254" s="52"/>
      <c r="AB254" s="52"/>
      <c r="AC254" s="52"/>
      <c r="AD254" s="53"/>
      <c r="AE254" s="53"/>
      <c r="AF254" s="53"/>
    </row>
    <row r="255">
      <c r="G255" s="55"/>
      <c r="N255" s="6"/>
      <c r="O255" s="53"/>
      <c r="P255" s="53"/>
      <c r="Q255" s="53"/>
      <c r="R255" s="51"/>
      <c r="S255" s="51"/>
      <c r="T255" s="53"/>
      <c r="U255" s="53"/>
      <c r="V255" s="53"/>
      <c r="W255" s="53"/>
      <c r="X255" s="53"/>
      <c r="Y255" s="53"/>
      <c r="Z255" s="52"/>
      <c r="AA255" s="52"/>
      <c r="AB255" s="52"/>
      <c r="AC255" s="52"/>
      <c r="AD255" s="53"/>
      <c r="AE255" s="53"/>
      <c r="AF255" s="53"/>
    </row>
    <row r="256">
      <c r="G256" s="55"/>
      <c r="N256" s="6"/>
      <c r="O256" s="53"/>
      <c r="P256" s="53"/>
      <c r="Q256" s="53"/>
      <c r="R256" s="51"/>
      <c r="S256" s="51"/>
      <c r="T256" s="53"/>
      <c r="U256" s="53"/>
      <c r="V256" s="53"/>
      <c r="W256" s="53"/>
      <c r="X256" s="53"/>
      <c r="Y256" s="53"/>
      <c r="Z256" s="52"/>
      <c r="AA256" s="52"/>
      <c r="AB256" s="52"/>
      <c r="AC256" s="52"/>
      <c r="AD256" s="53"/>
      <c r="AE256" s="53"/>
      <c r="AF256" s="53"/>
    </row>
    <row r="257">
      <c r="G257" s="55"/>
      <c r="N257" s="6"/>
      <c r="O257" s="53"/>
      <c r="P257" s="53"/>
      <c r="Q257" s="53"/>
      <c r="R257" s="51"/>
      <c r="S257" s="51"/>
      <c r="T257" s="53"/>
      <c r="U257" s="53"/>
      <c r="V257" s="53"/>
      <c r="W257" s="53"/>
      <c r="X257" s="53"/>
      <c r="Y257" s="53"/>
      <c r="Z257" s="52"/>
      <c r="AA257" s="52"/>
      <c r="AB257" s="52"/>
      <c r="AC257" s="52"/>
      <c r="AD257" s="53"/>
      <c r="AE257" s="53"/>
      <c r="AF257" s="53"/>
    </row>
    <row r="258">
      <c r="G258" s="55"/>
      <c r="N258" s="6"/>
      <c r="O258" s="53"/>
      <c r="P258" s="53"/>
      <c r="Q258" s="53"/>
      <c r="R258" s="51"/>
      <c r="S258" s="51"/>
      <c r="T258" s="53"/>
      <c r="U258" s="53"/>
      <c r="V258" s="53"/>
      <c r="W258" s="53"/>
      <c r="X258" s="53"/>
      <c r="Y258" s="53"/>
      <c r="Z258" s="52"/>
      <c r="AA258" s="52"/>
      <c r="AB258" s="52"/>
      <c r="AC258" s="52"/>
      <c r="AD258" s="53"/>
      <c r="AE258" s="53"/>
      <c r="AF258" s="53"/>
    </row>
    <row r="259">
      <c r="G259" s="55"/>
      <c r="N259" s="6"/>
      <c r="O259" s="53"/>
      <c r="P259" s="53"/>
      <c r="Q259" s="53"/>
      <c r="R259" s="51"/>
      <c r="S259" s="51"/>
      <c r="T259" s="53"/>
      <c r="U259" s="53"/>
      <c r="V259" s="53"/>
      <c r="W259" s="53"/>
      <c r="X259" s="53"/>
      <c r="Y259" s="53"/>
      <c r="Z259" s="52"/>
      <c r="AA259" s="52"/>
      <c r="AB259" s="52"/>
      <c r="AC259" s="52"/>
      <c r="AD259" s="53"/>
      <c r="AE259" s="53"/>
      <c r="AF259" s="53"/>
    </row>
    <row r="260">
      <c r="G260" s="55"/>
      <c r="N260" s="6"/>
      <c r="O260" s="53"/>
      <c r="P260" s="53"/>
      <c r="Q260" s="53"/>
      <c r="R260" s="51"/>
      <c r="S260" s="51"/>
      <c r="T260" s="53"/>
      <c r="U260" s="53"/>
      <c r="V260" s="53"/>
      <c r="W260" s="53"/>
      <c r="X260" s="53"/>
      <c r="Y260" s="53"/>
      <c r="Z260" s="52"/>
      <c r="AA260" s="52"/>
      <c r="AB260" s="52"/>
      <c r="AC260" s="52"/>
      <c r="AD260" s="53"/>
      <c r="AE260" s="53"/>
      <c r="AF260" s="53"/>
    </row>
    <row r="261">
      <c r="G261" s="55"/>
      <c r="N261" s="6"/>
      <c r="O261" s="53"/>
      <c r="P261" s="53"/>
      <c r="Q261" s="53"/>
      <c r="R261" s="51"/>
      <c r="S261" s="51"/>
      <c r="T261" s="53"/>
      <c r="U261" s="53"/>
      <c r="V261" s="53"/>
      <c r="W261" s="53"/>
      <c r="X261" s="53"/>
      <c r="Y261" s="53"/>
      <c r="Z261" s="52"/>
      <c r="AA261" s="52"/>
      <c r="AB261" s="52"/>
      <c r="AC261" s="52"/>
      <c r="AD261" s="53"/>
      <c r="AE261" s="53"/>
      <c r="AF261" s="53"/>
    </row>
    <row r="262">
      <c r="G262" s="55"/>
      <c r="N262" s="6"/>
      <c r="O262" s="53"/>
      <c r="P262" s="53"/>
      <c r="Q262" s="53"/>
      <c r="R262" s="51"/>
      <c r="S262" s="51"/>
      <c r="T262" s="53"/>
      <c r="U262" s="53"/>
      <c r="V262" s="53"/>
      <c r="W262" s="53"/>
      <c r="X262" s="53"/>
      <c r="Y262" s="53"/>
      <c r="Z262" s="52"/>
      <c r="AA262" s="52"/>
      <c r="AB262" s="52"/>
      <c r="AC262" s="52"/>
      <c r="AD262" s="53"/>
      <c r="AE262" s="53"/>
      <c r="AF262" s="53"/>
    </row>
    <row r="263">
      <c r="G263" s="55"/>
      <c r="N263" s="6"/>
      <c r="O263" s="53"/>
      <c r="P263" s="53"/>
      <c r="Q263" s="53"/>
      <c r="R263" s="51"/>
      <c r="S263" s="51"/>
      <c r="T263" s="53"/>
      <c r="U263" s="53"/>
      <c r="V263" s="53"/>
      <c r="W263" s="53"/>
      <c r="X263" s="53"/>
      <c r="Y263" s="53"/>
      <c r="Z263" s="52"/>
      <c r="AA263" s="52"/>
      <c r="AB263" s="52"/>
      <c r="AC263" s="52"/>
      <c r="AD263" s="53"/>
      <c r="AE263" s="53"/>
      <c r="AF263" s="53"/>
    </row>
    <row r="264">
      <c r="G264" s="55"/>
      <c r="N264" s="6"/>
      <c r="O264" s="53"/>
      <c r="P264" s="53"/>
      <c r="Q264" s="53"/>
      <c r="R264" s="51"/>
      <c r="S264" s="51"/>
      <c r="T264" s="53"/>
      <c r="U264" s="53"/>
      <c r="V264" s="53"/>
      <c r="W264" s="53"/>
      <c r="X264" s="53"/>
      <c r="Y264" s="53"/>
      <c r="Z264" s="52"/>
      <c r="AA264" s="52"/>
      <c r="AB264" s="52"/>
      <c r="AC264" s="52"/>
      <c r="AD264" s="53"/>
      <c r="AE264" s="53"/>
      <c r="AF264" s="53"/>
    </row>
    <row r="265">
      <c r="G265" s="55"/>
      <c r="N265" s="6"/>
      <c r="O265" s="53"/>
      <c r="P265" s="53"/>
      <c r="Q265" s="53"/>
      <c r="R265" s="51"/>
      <c r="S265" s="51"/>
      <c r="T265" s="53"/>
      <c r="U265" s="53"/>
      <c r="V265" s="53"/>
      <c r="W265" s="53"/>
      <c r="X265" s="53"/>
      <c r="Y265" s="53"/>
      <c r="Z265" s="52"/>
      <c r="AA265" s="52"/>
      <c r="AB265" s="52"/>
      <c r="AC265" s="52"/>
      <c r="AD265" s="53"/>
      <c r="AE265" s="53"/>
      <c r="AF265" s="53"/>
    </row>
    <row r="266">
      <c r="G266" s="55"/>
      <c r="N266" s="6"/>
      <c r="O266" s="53"/>
      <c r="P266" s="53"/>
      <c r="Q266" s="53"/>
      <c r="R266" s="51"/>
      <c r="S266" s="51"/>
      <c r="T266" s="53"/>
      <c r="U266" s="53"/>
      <c r="V266" s="53"/>
      <c r="W266" s="53"/>
      <c r="X266" s="53"/>
      <c r="Y266" s="53"/>
      <c r="Z266" s="52"/>
      <c r="AA266" s="52"/>
      <c r="AB266" s="52"/>
      <c r="AC266" s="52"/>
      <c r="AD266" s="53"/>
      <c r="AE266" s="53"/>
      <c r="AF266" s="53"/>
    </row>
    <row r="267">
      <c r="G267" s="55"/>
      <c r="N267" s="6"/>
      <c r="O267" s="53"/>
      <c r="P267" s="53"/>
      <c r="Q267" s="53"/>
      <c r="R267" s="51"/>
      <c r="S267" s="51"/>
      <c r="T267" s="53"/>
      <c r="U267" s="53"/>
      <c r="V267" s="53"/>
      <c r="W267" s="53"/>
      <c r="X267" s="53"/>
      <c r="Y267" s="53"/>
      <c r="Z267" s="52"/>
      <c r="AA267" s="52"/>
      <c r="AB267" s="52"/>
      <c r="AC267" s="52"/>
      <c r="AD267" s="53"/>
      <c r="AE267" s="53"/>
      <c r="AF267" s="53"/>
    </row>
    <row r="268">
      <c r="G268" s="55"/>
      <c r="N268" s="6"/>
      <c r="O268" s="53"/>
      <c r="P268" s="53"/>
      <c r="Q268" s="53"/>
      <c r="R268" s="51"/>
      <c r="S268" s="51"/>
      <c r="T268" s="53"/>
      <c r="U268" s="53"/>
      <c r="V268" s="53"/>
      <c r="W268" s="53"/>
      <c r="X268" s="53"/>
      <c r="Y268" s="53"/>
      <c r="Z268" s="52"/>
      <c r="AA268" s="52"/>
      <c r="AB268" s="52"/>
      <c r="AC268" s="52"/>
      <c r="AD268" s="53"/>
      <c r="AE268" s="53"/>
      <c r="AF268" s="53"/>
    </row>
    <row r="269">
      <c r="G269" s="55"/>
      <c r="N269" s="6"/>
      <c r="O269" s="53"/>
      <c r="P269" s="53"/>
      <c r="Q269" s="53"/>
      <c r="R269" s="51"/>
      <c r="S269" s="51"/>
      <c r="T269" s="53"/>
      <c r="U269" s="53"/>
      <c r="V269" s="53"/>
      <c r="W269" s="53"/>
      <c r="X269" s="53"/>
      <c r="Y269" s="53"/>
      <c r="Z269" s="52"/>
      <c r="AA269" s="52"/>
      <c r="AB269" s="52"/>
      <c r="AC269" s="52"/>
      <c r="AD269" s="53"/>
      <c r="AE269" s="53"/>
      <c r="AF269" s="53"/>
    </row>
    <row r="270">
      <c r="G270" s="55"/>
      <c r="N270" s="6"/>
      <c r="O270" s="53"/>
      <c r="P270" s="53"/>
      <c r="Q270" s="53"/>
      <c r="R270" s="51"/>
      <c r="S270" s="51"/>
      <c r="T270" s="53"/>
      <c r="U270" s="53"/>
      <c r="V270" s="53"/>
      <c r="W270" s="53"/>
      <c r="X270" s="53"/>
      <c r="Y270" s="53"/>
      <c r="Z270" s="52"/>
      <c r="AA270" s="52"/>
      <c r="AB270" s="52"/>
      <c r="AC270" s="52"/>
      <c r="AD270" s="53"/>
      <c r="AE270" s="53"/>
      <c r="AF270" s="53"/>
    </row>
    <row r="271">
      <c r="G271" s="55"/>
      <c r="N271" s="6"/>
      <c r="O271" s="53"/>
      <c r="P271" s="53"/>
      <c r="Q271" s="53"/>
      <c r="R271" s="51"/>
      <c r="S271" s="51"/>
      <c r="T271" s="53"/>
      <c r="U271" s="53"/>
      <c r="V271" s="53"/>
      <c r="W271" s="53"/>
      <c r="X271" s="53"/>
      <c r="Y271" s="53"/>
      <c r="Z271" s="52"/>
      <c r="AA271" s="52"/>
      <c r="AB271" s="52"/>
      <c r="AC271" s="52"/>
      <c r="AD271" s="53"/>
      <c r="AE271" s="53"/>
      <c r="AF271" s="53"/>
    </row>
    <row r="272">
      <c r="G272" s="55"/>
      <c r="N272" s="6"/>
      <c r="O272" s="53"/>
      <c r="P272" s="53"/>
      <c r="Q272" s="53"/>
      <c r="R272" s="51"/>
      <c r="S272" s="51"/>
      <c r="T272" s="53"/>
      <c r="U272" s="53"/>
      <c r="V272" s="53"/>
      <c r="W272" s="53"/>
      <c r="X272" s="53"/>
      <c r="Y272" s="53"/>
      <c r="Z272" s="52"/>
      <c r="AA272" s="52"/>
      <c r="AB272" s="52"/>
      <c r="AC272" s="52"/>
      <c r="AD272" s="53"/>
      <c r="AE272" s="53"/>
      <c r="AF272" s="53"/>
    </row>
    <row r="273">
      <c r="G273" s="55"/>
      <c r="N273" s="6"/>
      <c r="O273" s="53"/>
      <c r="P273" s="53"/>
      <c r="Q273" s="53"/>
      <c r="R273" s="51"/>
      <c r="S273" s="51"/>
      <c r="T273" s="53"/>
      <c r="U273" s="53"/>
      <c r="V273" s="53"/>
      <c r="W273" s="53"/>
      <c r="X273" s="53"/>
      <c r="Y273" s="53"/>
      <c r="Z273" s="52"/>
      <c r="AA273" s="52"/>
      <c r="AB273" s="52"/>
      <c r="AC273" s="52"/>
      <c r="AD273" s="53"/>
      <c r="AE273" s="53"/>
      <c r="AF273" s="53"/>
    </row>
    <row r="274">
      <c r="G274" s="55"/>
      <c r="N274" s="6"/>
      <c r="O274" s="53"/>
      <c r="P274" s="53"/>
      <c r="Q274" s="53"/>
      <c r="R274" s="51"/>
      <c r="S274" s="51"/>
      <c r="T274" s="53"/>
      <c r="U274" s="53"/>
      <c r="V274" s="53"/>
      <c r="W274" s="53"/>
      <c r="X274" s="53"/>
      <c r="Y274" s="53"/>
      <c r="Z274" s="52"/>
      <c r="AA274" s="52"/>
      <c r="AB274" s="52"/>
      <c r="AC274" s="52"/>
      <c r="AD274" s="53"/>
      <c r="AE274" s="53"/>
      <c r="AF274" s="53"/>
    </row>
    <row r="275">
      <c r="G275" s="55"/>
      <c r="N275" s="6"/>
      <c r="O275" s="53"/>
      <c r="P275" s="53"/>
      <c r="Q275" s="53"/>
      <c r="R275" s="51"/>
      <c r="S275" s="51"/>
      <c r="T275" s="53"/>
      <c r="U275" s="53"/>
      <c r="V275" s="53"/>
      <c r="W275" s="53"/>
      <c r="X275" s="53"/>
      <c r="Y275" s="53"/>
      <c r="Z275" s="52"/>
      <c r="AA275" s="52"/>
      <c r="AB275" s="52"/>
      <c r="AC275" s="52"/>
      <c r="AD275" s="53"/>
      <c r="AE275" s="53"/>
      <c r="AF275" s="53"/>
    </row>
    <row r="276">
      <c r="G276" s="55"/>
      <c r="N276" s="6"/>
      <c r="O276" s="53"/>
      <c r="P276" s="53"/>
      <c r="Q276" s="53"/>
      <c r="R276" s="51"/>
      <c r="S276" s="51"/>
      <c r="T276" s="53"/>
      <c r="U276" s="53"/>
      <c r="V276" s="53"/>
      <c r="W276" s="53"/>
      <c r="X276" s="53"/>
      <c r="Y276" s="53"/>
      <c r="Z276" s="52"/>
      <c r="AA276" s="52"/>
      <c r="AB276" s="52"/>
      <c r="AC276" s="52"/>
      <c r="AD276" s="53"/>
      <c r="AE276" s="53"/>
      <c r="AF276" s="53"/>
    </row>
    <row r="277">
      <c r="G277" s="55"/>
      <c r="N277" s="6"/>
      <c r="O277" s="53"/>
      <c r="P277" s="53"/>
      <c r="Q277" s="53"/>
      <c r="R277" s="51"/>
      <c r="S277" s="51"/>
      <c r="T277" s="53"/>
      <c r="U277" s="53"/>
      <c r="V277" s="53"/>
      <c r="W277" s="53"/>
      <c r="X277" s="53"/>
      <c r="Y277" s="53"/>
      <c r="Z277" s="52"/>
      <c r="AA277" s="52"/>
      <c r="AB277" s="52"/>
      <c r="AC277" s="52"/>
      <c r="AD277" s="53"/>
      <c r="AE277" s="53"/>
      <c r="AF277" s="53"/>
    </row>
    <row r="278">
      <c r="G278" s="55"/>
      <c r="N278" s="6"/>
      <c r="O278" s="53"/>
      <c r="P278" s="53"/>
      <c r="Q278" s="53"/>
      <c r="R278" s="51"/>
      <c r="S278" s="51"/>
      <c r="T278" s="53"/>
      <c r="U278" s="53"/>
      <c r="V278" s="53"/>
      <c r="W278" s="53"/>
      <c r="X278" s="53"/>
      <c r="Y278" s="53"/>
      <c r="Z278" s="52"/>
      <c r="AA278" s="52"/>
      <c r="AB278" s="52"/>
      <c r="AC278" s="52"/>
      <c r="AD278" s="53"/>
      <c r="AE278" s="53"/>
      <c r="AF278" s="53"/>
    </row>
    <row r="279">
      <c r="G279" s="55"/>
      <c r="N279" s="6"/>
      <c r="O279" s="53"/>
      <c r="P279" s="53"/>
      <c r="Q279" s="53"/>
      <c r="R279" s="51"/>
      <c r="S279" s="51"/>
      <c r="T279" s="53"/>
      <c r="U279" s="53"/>
      <c r="V279" s="53"/>
      <c r="W279" s="53"/>
      <c r="X279" s="53"/>
      <c r="Y279" s="53"/>
      <c r="Z279" s="52"/>
      <c r="AA279" s="52"/>
      <c r="AB279" s="52"/>
      <c r="AC279" s="52"/>
      <c r="AD279" s="53"/>
      <c r="AE279" s="53"/>
      <c r="AF279" s="53"/>
    </row>
    <row r="280">
      <c r="G280" s="55"/>
      <c r="N280" s="6"/>
      <c r="O280" s="53"/>
      <c r="P280" s="53"/>
      <c r="Q280" s="53"/>
      <c r="R280" s="51"/>
      <c r="S280" s="51"/>
      <c r="T280" s="53"/>
      <c r="U280" s="53"/>
      <c r="V280" s="53"/>
      <c r="W280" s="53"/>
      <c r="X280" s="53"/>
      <c r="Y280" s="53"/>
      <c r="Z280" s="52"/>
      <c r="AA280" s="52"/>
      <c r="AB280" s="52"/>
      <c r="AC280" s="52"/>
      <c r="AD280" s="53"/>
      <c r="AE280" s="53"/>
      <c r="AF280" s="53"/>
    </row>
    <row r="281">
      <c r="G281" s="55"/>
      <c r="N281" s="6"/>
      <c r="O281" s="53"/>
      <c r="P281" s="53"/>
      <c r="Q281" s="53"/>
      <c r="R281" s="51"/>
      <c r="S281" s="51"/>
      <c r="T281" s="53"/>
      <c r="U281" s="53"/>
      <c r="V281" s="53"/>
      <c r="W281" s="53"/>
      <c r="X281" s="53"/>
      <c r="Y281" s="53"/>
      <c r="Z281" s="52"/>
      <c r="AA281" s="52"/>
      <c r="AB281" s="52"/>
      <c r="AC281" s="52"/>
      <c r="AD281" s="53"/>
      <c r="AE281" s="53"/>
      <c r="AF281" s="53"/>
    </row>
    <row r="282">
      <c r="G282" s="55"/>
      <c r="N282" s="6"/>
      <c r="O282" s="53"/>
      <c r="P282" s="53"/>
      <c r="Q282" s="53"/>
      <c r="R282" s="51"/>
      <c r="S282" s="51"/>
      <c r="T282" s="53"/>
      <c r="U282" s="53"/>
      <c r="V282" s="53"/>
      <c r="W282" s="53"/>
      <c r="X282" s="53"/>
      <c r="Y282" s="53"/>
      <c r="Z282" s="52"/>
      <c r="AA282" s="52"/>
      <c r="AB282" s="52"/>
      <c r="AC282" s="52"/>
      <c r="AD282" s="53"/>
      <c r="AE282" s="53"/>
      <c r="AF282" s="53"/>
    </row>
    <row r="283">
      <c r="G283" s="55"/>
      <c r="N283" s="6"/>
      <c r="O283" s="53"/>
      <c r="P283" s="53"/>
      <c r="Q283" s="53"/>
      <c r="R283" s="51"/>
      <c r="S283" s="51"/>
      <c r="T283" s="53"/>
      <c r="U283" s="53"/>
      <c r="V283" s="53"/>
      <c r="W283" s="53"/>
      <c r="X283" s="53"/>
      <c r="Y283" s="53"/>
      <c r="Z283" s="52"/>
      <c r="AA283" s="52"/>
      <c r="AB283" s="52"/>
      <c r="AC283" s="52"/>
      <c r="AD283" s="53"/>
      <c r="AE283" s="53"/>
      <c r="AF283" s="53"/>
    </row>
    <row r="284">
      <c r="G284" s="55"/>
      <c r="N284" s="6"/>
      <c r="O284" s="53"/>
      <c r="P284" s="53"/>
      <c r="Q284" s="53"/>
      <c r="R284" s="51"/>
      <c r="S284" s="51"/>
      <c r="T284" s="53"/>
      <c r="U284" s="53"/>
      <c r="V284" s="53"/>
      <c r="W284" s="53"/>
      <c r="X284" s="53"/>
      <c r="Y284" s="53"/>
      <c r="Z284" s="52"/>
      <c r="AA284" s="52"/>
      <c r="AB284" s="52"/>
      <c r="AC284" s="52"/>
      <c r="AD284" s="53"/>
      <c r="AE284" s="53"/>
      <c r="AF284" s="53"/>
    </row>
    <row r="285">
      <c r="G285" s="55"/>
      <c r="N285" s="6"/>
      <c r="O285" s="53"/>
      <c r="P285" s="53"/>
      <c r="Q285" s="53"/>
      <c r="R285" s="51"/>
      <c r="S285" s="51"/>
      <c r="T285" s="53"/>
      <c r="U285" s="53"/>
      <c r="V285" s="53"/>
      <c r="W285" s="53"/>
      <c r="X285" s="53"/>
      <c r="Y285" s="53"/>
      <c r="Z285" s="52"/>
      <c r="AA285" s="52"/>
      <c r="AB285" s="52"/>
      <c r="AC285" s="52"/>
      <c r="AD285" s="53"/>
      <c r="AE285" s="53"/>
      <c r="AF285" s="53"/>
    </row>
    <row r="286">
      <c r="G286" s="55"/>
      <c r="N286" s="6"/>
      <c r="O286" s="53"/>
      <c r="P286" s="53"/>
      <c r="Q286" s="53"/>
      <c r="R286" s="51"/>
      <c r="S286" s="51"/>
      <c r="T286" s="53"/>
      <c r="U286" s="53"/>
      <c r="V286" s="53"/>
      <c r="W286" s="53"/>
      <c r="X286" s="53"/>
      <c r="Y286" s="53"/>
      <c r="Z286" s="52"/>
      <c r="AA286" s="52"/>
      <c r="AB286" s="52"/>
      <c r="AC286" s="52"/>
      <c r="AD286" s="53"/>
      <c r="AE286" s="53"/>
      <c r="AF286" s="53"/>
    </row>
    <row r="287">
      <c r="G287" s="55"/>
      <c r="N287" s="6"/>
      <c r="O287" s="53"/>
      <c r="P287" s="53"/>
      <c r="Q287" s="53"/>
      <c r="R287" s="51"/>
      <c r="S287" s="51"/>
      <c r="T287" s="53"/>
      <c r="U287" s="53"/>
      <c r="V287" s="53"/>
      <c r="W287" s="53"/>
      <c r="X287" s="53"/>
      <c r="Y287" s="53"/>
      <c r="Z287" s="52"/>
      <c r="AA287" s="52"/>
      <c r="AB287" s="52"/>
      <c r="AC287" s="52"/>
      <c r="AD287" s="53"/>
      <c r="AE287" s="53"/>
      <c r="AF287" s="53"/>
    </row>
    <row r="288">
      <c r="G288" s="55"/>
      <c r="N288" s="6"/>
      <c r="O288" s="53"/>
      <c r="P288" s="53"/>
      <c r="Q288" s="53"/>
      <c r="R288" s="51"/>
      <c r="S288" s="51"/>
      <c r="T288" s="53"/>
      <c r="U288" s="53"/>
      <c r="V288" s="53"/>
      <c r="W288" s="53"/>
      <c r="X288" s="53"/>
      <c r="Y288" s="53"/>
      <c r="Z288" s="52"/>
      <c r="AA288" s="52"/>
      <c r="AB288" s="52"/>
      <c r="AC288" s="52"/>
      <c r="AD288" s="53"/>
      <c r="AE288" s="53"/>
      <c r="AF288" s="53"/>
    </row>
    <row r="289">
      <c r="G289" s="55"/>
      <c r="N289" s="6"/>
      <c r="O289" s="53"/>
      <c r="P289" s="53"/>
      <c r="Q289" s="53"/>
      <c r="R289" s="51"/>
      <c r="S289" s="51"/>
      <c r="T289" s="53"/>
      <c r="U289" s="53"/>
      <c r="V289" s="53"/>
      <c r="W289" s="53"/>
      <c r="X289" s="53"/>
      <c r="Y289" s="53"/>
      <c r="Z289" s="52"/>
      <c r="AA289" s="52"/>
      <c r="AB289" s="52"/>
      <c r="AC289" s="52"/>
      <c r="AD289" s="53"/>
      <c r="AE289" s="53"/>
      <c r="AF289" s="53"/>
    </row>
    <row r="290">
      <c r="G290" s="55"/>
      <c r="N290" s="6"/>
      <c r="O290" s="53"/>
      <c r="P290" s="53"/>
      <c r="Q290" s="53"/>
      <c r="R290" s="51"/>
      <c r="S290" s="51"/>
      <c r="T290" s="53"/>
      <c r="U290" s="53"/>
      <c r="V290" s="53"/>
      <c r="W290" s="53"/>
      <c r="X290" s="53"/>
      <c r="Y290" s="53"/>
      <c r="Z290" s="52"/>
      <c r="AA290" s="52"/>
      <c r="AB290" s="52"/>
      <c r="AC290" s="52"/>
      <c r="AD290" s="53"/>
      <c r="AE290" s="53"/>
      <c r="AF290" s="53"/>
    </row>
    <row r="291">
      <c r="G291" s="55"/>
      <c r="N291" s="6"/>
      <c r="O291" s="53"/>
      <c r="P291" s="53"/>
      <c r="Q291" s="53"/>
      <c r="R291" s="51"/>
      <c r="S291" s="51"/>
      <c r="T291" s="53"/>
      <c r="U291" s="53"/>
      <c r="V291" s="53"/>
      <c r="W291" s="53"/>
      <c r="X291" s="53"/>
      <c r="Y291" s="53"/>
      <c r="Z291" s="52"/>
      <c r="AA291" s="52"/>
      <c r="AB291" s="52"/>
      <c r="AC291" s="52"/>
      <c r="AD291" s="53"/>
      <c r="AE291" s="53"/>
      <c r="AF291" s="53"/>
    </row>
    <row r="292">
      <c r="G292" s="55"/>
      <c r="N292" s="6"/>
      <c r="O292" s="53"/>
      <c r="P292" s="53"/>
      <c r="Q292" s="53"/>
      <c r="R292" s="51"/>
      <c r="S292" s="51"/>
      <c r="T292" s="53"/>
      <c r="U292" s="53"/>
      <c r="V292" s="53"/>
      <c r="W292" s="53"/>
      <c r="X292" s="53"/>
      <c r="Y292" s="53"/>
      <c r="Z292" s="52"/>
      <c r="AA292" s="52"/>
      <c r="AB292" s="52"/>
      <c r="AC292" s="52"/>
      <c r="AD292" s="53"/>
      <c r="AE292" s="53"/>
      <c r="AF292" s="53"/>
    </row>
    <row r="293">
      <c r="G293" s="55"/>
      <c r="N293" s="6"/>
      <c r="O293" s="53"/>
      <c r="P293" s="53"/>
      <c r="Q293" s="53"/>
      <c r="R293" s="51"/>
      <c r="S293" s="51"/>
      <c r="T293" s="53"/>
      <c r="U293" s="53"/>
      <c r="V293" s="53"/>
      <c r="W293" s="53"/>
      <c r="X293" s="53"/>
      <c r="Y293" s="53"/>
      <c r="Z293" s="52"/>
      <c r="AA293" s="52"/>
      <c r="AB293" s="52"/>
      <c r="AC293" s="52"/>
      <c r="AD293" s="53"/>
      <c r="AE293" s="53"/>
      <c r="AF293" s="53"/>
    </row>
    <row r="294">
      <c r="G294" s="55"/>
      <c r="N294" s="6"/>
      <c r="O294" s="53"/>
      <c r="P294" s="53"/>
      <c r="Q294" s="53"/>
      <c r="R294" s="51"/>
      <c r="S294" s="51"/>
      <c r="T294" s="53"/>
      <c r="U294" s="53"/>
      <c r="V294" s="53"/>
      <c r="W294" s="53"/>
      <c r="X294" s="53"/>
      <c r="Y294" s="53"/>
      <c r="Z294" s="52"/>
      <c r="AA294" s="52"/>
      <c r="AB294" s="52"/>
      <c r="AC294" s="52"/>
      <c r="AD294" s="53"/>
      <c r="AE294" s="53"/>
      <c r="AF294" s="53"/>
    </row>
    <row r="295">
      <c r="G295" s="55"/>
      <c r="N295" s="6"/>
      <c r="O295" s="53"/>
      <c r="P295" s="53"/>
      <c r="Q295" s="53"/>
      <c r="R295" s="51"/>
      <c r="S295" s="51"/>
      <c r="T295" s="53"/>
      <c r="U295" s="53"/>
      <c r="V295" s="53"/>
      <c r="W295" s="53"/>
      <c r="X295" s="53"/>
      <c r="Y295" s="53"/>
      <c r="Z295" s="52"/>
      <c r="AA295" s="52"/>
      <c r="AB295" s="52"/>
      <c r="AC295" s="52"/>
      <c r="AD295" s="53"/>
      <c r="AE295" s="53"/>
      <c r="AF295" s="53"/>
    </row>
    <row r="296">
      <c r="G296" s="55"/>
      <c r="N296" s="6"/>
      <c r="O296" s="53"/>
      <c r="P296" s="53"/>
      <c r="Q296" s="53"/>
      <c r="R296" s="51"/>
      <c r="S296" s="51"/>
      <c r="T296" s="53"/>
      <c r="U296" s="53"/>
      <c r="V296" s="53"/>
      <c r="W296" s="53"/>
      <c r="X296" s="53"/>
      <c r="Y296" s="53"/>
      <c r="Z296" s="52"/>
      <c r="AA296" s="52"/>
      <c r="AB296" s="52"/>
      <c r="AC296" s="52"/>
      <c r="AD296" s="53"/>
      <c r="AE296" s="53"/>
      <c r="AF296" s="53"/>
    </row>
    <row r="297">
      <c r="G297" s="55"/>
      <c r="N297" s="6"/>
      <c r="O297" s="53"/>
      <c r="P297" s="53"/>
      <c r="Q297" s="53"/>
      <c r="R297" s="51"/>
      <c r="S297" s="51"/>
      <c r="T297" s="53"/>
      <c r="U297" s="53"/>
      <c r="V297" s="53"/>
      <c r="W297" s="53"/>
      <c r="X297" s="53"/>
      <c r="Y297" s="53"/>
      <c r="Z297" s="52"/>
      <c r="AA297" s="52"/>
      <c r="AB297" s="52"/>
      <c r="AC297" s="52"/>
      <c r="AD297" s="53"/>
      <c r="AE297" s="53"/>
      <c r="AF297" s="53"/>
    </row>
    <row r="298">
      <c r="G298" s="55"/>
      <c r="N298" s="6"/>
      <c r="O298" s="53"/>
      <c r="P298" s="53"/>
      <c r="Q298" s="53"/>
      <c r="R298" s="51"/>
      <c r="S298" s="51"/>
      <c r="T298" s="53"/>
      <c r="U298" s="53"/>
      <c r="V298" s="53"/>
      <c r="W298" s="53"/>
      <c r="X298" s="53"/>
      <c r="Y298" s="53"/>
      <c r="Z298" s="52"/>
      <c r="AA298" s="52"/>
      <c r="AB298" s="52"/>
      <c r="AC298" s="52"/>
      <c r="AD298" s="53"/>
      <c r="AE298" s="53"/>
      <c r="AF298" s="53"/>
    </row>
    <row r="299">
      <c r="G299" s="55"/>
      <c r="N299" s="6"/>
      <c r="O299" s="53"/>
      <c r="P299" s="53"/>
      <c r="Q299" s="53"/>
      <c r="R299" s="51"/>
      <c r="S299" s="51"/>
      <c r="T299" s="53"/>
      <c r="U299" s="53"/>
      <c r="V299" s="53"/>
      <c r="W299" s="53"/>
      <c r="X299" s="53"/>
      <c r="Y299" s="53"/>
      <c r="Z299" s="52"/>
      <c r="AA299" s="52"/>
      <c r="AB299" s="52"/>
      <c r="AC299" s="52"/>
      <c r="AD299" s="53"/>
      <c r="AE299" s="53"/>
      <c r="AF299" s="53"/>
    </row>
    <row r="300">
      <c r="G300" s="55"/>
      <c r="N300" s="6"/>
      <c r="O300" s="53"/>
      <c r="P300" s="53"/>
      <c r="Q300" s="53"/>
      <c r="R300" s="51"/>
      <c r="S300" s="51"/>
      <c r="T300" s="53"/>
      <c r="U300" s="53"/>
      <c r="V300" s="53"/>
      <c r="W300" s="53"/>
      <c r="X300" s="53"/>
      <c r="Y300" s="53"/>
      <c r="Z300" s="52"/>
      <c r="AA300" s="52"/>
      <c r="AB300" s="52"/>
      <c r="AC300" s="52"/>
      <c r="AD300" s="53"/>
      <c r="AE300" s="53"/>
      <c r="AF300" s="53"/>
    </row>
    <row r="301">
      <c r="G301" s="55"/>
      <c r="N301" s="6"/>
      <c r="O301" s="53"/>
      <c r="P301" s="53"/>
      <c r="Q301" s="53"/>
      <c r="R301" s="51"/>
      <c r="S301" s="51"/>
      <c r="T301" s="53"/>
      <c r="U301" s="53"/>
      <c r="V301" s="53"/>
      <c r="W301" s="53"/>
      <c r="X301" s="53"/>
      <c r="Y301" s="53"/>
      <c r="Z301" s="52"/>
      <c r="AA301" s="52"/>
      <c r="AB301" s="52"/>
      <c r="AC301" s="52"/>
      <c r="AD301" s="53"/>
      <c r="AE301" s="53"/>
      <c r="AF301" s="53"/>
    </row>
    <row r="302">
      <c r="G302" s="55"/>
      <c r="N302" s="6"/>
      <c r="O302" s="53"/>
      <c r="P302" s="53"/>
      <c r="Q302" s="53"/>
      <c r="R302" s="51"/>
      <c r="S302" s="51"/>
      <c r="T302" s="53"/>
      <c r="U302" s="53"/>
      <c r="V302" s="53"/>
      <c r="W302" s="53"/>
      <c r="X302" s="53"/>
      <c r="Y302" s="53"/>
      <c r="Z302" s="52"/>
      <c r="AA302" s="52"/>
      <c r="AB302" s="52"/>
      <c r="AC302" s="52"/>
      <c r="AD302" s="53"/>
      <c r="AE302" s="53"/>
      <c r="AF302" s="53"/>
    </row>
    <row r="303">
      <c r="G303" s="55"/>
      <c r="N303" s="6"/>
      <c r="O303" s="53"/>
      <c r="P303" s="53"/>
      <c r="Q303" s="53"/>
      <c r="R303" s="51"/>
      <c r="S303" s="51"/>
      <c r="T303" s="53"/>
      <c r="U303" s="53"/>
      <c r="V303" s="53"/>
      <c r="W303" s="53"/>
      <c r="X303" s="53"/>
      <c r="Y303" s="53"/>
      <c r="Z303" s="52"/>
      <c r="AA303" s="52"/>
      <c r="AB303" s="52"/>
      <c r="AC303" s="52"/>
      <c r="AD303" s="53"/>
      <c r="AE303" s="53"/>
      <c r="AF303" s="53"/>
    </row>
    <row r="304">
      <c r="G304" s="55"/>
      <c r="N304" s="6"/>
      <c r="O304" s="53"/>
      <c r="P304" s="53"/>
      <c r="Q304" s="53"/>
      <c r="R304" s="51"/>
      <c r="S304" s="51"/>
      <c r="T304" s="53"/>
      <c r="U304" s="53"/>
      <c r="V304" s="53"/>
      <c r="W304" s="53"/>
      <c r="X304" s="53"/>
      <c r="Y304" s="53"/>
      <c r="Z304" s="52"/>
      <c r="AA304" s="52"/>
      <c r="AB304" s="52"/>
      <c r="AC304" s="52"/>
      <c r="AD304" s="53"/>
      <c r="AE304" s="53"/>
      <c r="AF304" s="53"/>
    </row>
    <row r="305">
      <c r="G305" s="55"/>
      <c r="N305" s="6"/>
      <c r="O305" s="53"/>
      <c r="P305" s="53"/>
      <c r="Q305" s="53"/>
      <c r="R305" s="51"/>
      <c r="S305" s="51"/>
      <c r="T305" s="53"/>
      <c r="U305" s="53"/>
      <c r="V305" s="53"/>
      <c r="W305" s="53"/>
      <c r="X305" s="53"/>
      <c r="Y305" s="53"/>
      <c r="Z305" s="52"/>
      <c r="AA305" s="52"/>
      <c r="AB305" s="52"/>
      <c r="AC305" s="52"/>
      <c r="AD305" s="53"/>
      <c r="AE305" s="53"/>
      <c r="AF305" s="53"/>
    </row>
    <row r="306">
      <c r="G306" s="55"/>
      <c r="N306" s="6"/>
      <c r="O306" s="53"/>
      <c r="P306" s="53"/>
      <c r="Q306" s="53"/>
      <c r="R306" s="51"/>
      <c r="S306" s="51"/>
      <c r="T306" s="53"/>
      <c r="U306" s="53"/>
      <c r="V306" s="53"/>
      <c r="W306" s="53"/>
      <c r="X306" s="53"/>
      <c r="Y306" s="53"/>
      <c r="Z306" s="52"/>
      <c r="AA306" s="52"/>
      <c r="AB306" s="52"/>
      <c r="AC306" s="52"/>
      <c r="AD306" s="53"/>
      <c r="AE306" s="53"/>
      <c r="AF306" s="53"/>
    </row>
    <row r="307">
      <c r="G307" s="55"/>
      <c r="N307" s="6"/>
      <c r="O307" s="53"/>
      <c r="P307" s="53"/>
      <c r="Q307" s="53"/>
      <c r="R307" s="51"/>
      <c r="S307" s="51"/>
      <c r="T307" s="53"/>
      <c r="U307" s="53"/>
      <c r="V307" s="53"/>
      <c r="W307" s="53"/>
      <c r="X307" s="53"/>
      <c r="Y307" s="53"/>
      <c r="Z307" s="52"/>
      <c r="AA307" s="52"/>
      <c r="AB307" s="52"/>
      <c r="AC307" s="52"/>
      <c r="AD307" s="53"/>
      <c r="AE307" s="53"/>
      <c r="AF307" s="53"/>
    </row>
    <row r="308">
      <c r="G308" s="55"/>
      <c r="N308" s="6"/>
      <c r="O308" s="53"/>
      <c r="P308" s="53"/>
      <c r="Q308" s="53"/>
      <c r="R308" s="51"/>
      <c r="S308" s="51"/>
      <c r="T308" s="53"/>
      <c r="U308" s="53"/>
      <c r="V308" s="53"/>
      <c r="W308" s="53"/>
      <c r="X308" s="53"/>
      <c r="Y308" s="53"/>
      <c r="Z308" s="52"/>
      <c r="AA308" s="52"/>
      <c r="AB308" s="52"/>
      <c r="AC308" s="52"/>
      <c r="AD308" s="53"/>
      <c r="AE308" s="53"/>
      <c r="AF308" s="53"/>
    </row>
    <row r="309">
      <c r="G309" s="55"/>
      <c r="N309" s="6"/>
      <c r="O309" s="53"/>
      <c r="P309" s="53"/>
      <c r="Q309" s="53"/>
      <c r="R309" s="51"/>
      <c r="S309" s="51"/>
      <c r="T309" s="53"/>
      <c r="U309" s="53"/>
      <c r="V309" s="53"/>
      <c r="W309" s="53"/>
      <c r="X309" s="53"/>
      <c r="Y309" s="53"/>
      <c r="Z309" s="52"/>
      <c r="AA309" s="52"/>
      <c r="AB309" s="52"/>
      <c r="AC309" s="52"/>
      <c r="AD309" s="53"/>
      <c r="AE309" s="53"/>
      <c r="AF309" s="53"/>
    </row>
    <row r="310">
      <c r="G310" s="55"/>
      <c r="N310" s="6"/>
      <c r="O310" s="53"/>
      <c r="P310" s="53"/>
      <c r="Q310" s="53"/>
      <c r="R310" s="51"/>
      <c r="S310" s="51"/>
      <c r="T310" s="53"/>
      <c r="U310" s="53"/>
      <c r="V310" s="53"/>
      <c r="W310" s="53"/>
      <c r="X310" s="53"/>
      <c r="Y310" s="53"/>
      <c r="Z310" s="52"/>
      <c r="AA310" s="52"/>
      <c r="AB310" s="52"/>
      <c r="AC310" s="52"/>
      <c r="AD310" s="53"/>
      <c r="AE310" s="53"/>
      <c r="AF310" s="53"/>
    </row>
    <row r="311">
      <c r="G311" s="55"/>
      <c r="N311" s="6"/>
      <c r="O311" s="53"/>
      <c r="P311" s="53"/>
      <c r="Q311" s="53"/>
      <c r="R311" s="51"/>
      <c r="S311" s="51"/>
      <c r="T311" s="53"/>
      <c r="U311" s="53"/>
      <c r="V311" s="53"/>
      <c r="W311" s="53"/>
      <c r="X311" s="53"/>
      <c r="Y311" s="53"/>
      <c r="Z311" s="52"/>
      <c r="AA311" s="52"/>
      <c r="AB311" s="52"/>
      <c r="AC311" s="52"/>
      <c r="AD311" s="53"/>
      <c r="AE311" s="53"/>
      <c r="AF311" s="53"/>
    </row>
    <row r="312">
      <c r="G312" s="55"/>
      <c r="N312" s="6"/>
      <c r="O312" s="53"/>
      <c r="P312" s="53"/>
      <c r="Q312" s="53"/>
      <c r="R312" s="51"/>
      <c r="S312" s="51"/>
      <c r="T312" s="53"/>
      <c r="U312" s="53"/>
      <c r="V312" s="53"/>
      <c r="W312" s="53"/>
      <c r="X312" s="53"/>
      <c r="Y312" s="53"/>
      <c r="Z312" s="52"/>
      <c r="AA312" s="52"/>
      <c r="AB312" s="52"/>
      <c r="AC312" s="52"/>
      <c r="AD312" s="53"/>
      <c r="AE312" s="53"/>
      <c r="AF312" s="53"/>
    </row>
    <row r="313">
      <c r="G313" s="55"/>
      <c r="N313" s="6"/>
      <c r="O313" s="53"/>
      <c r="P313" s="53"/>
      <c r="Q313" s="53"/>
      <c r="R313" s="51"/>
      <c r="S313" s="51"/>
      <c r="T313" s="53"/>
      <c r="U313" s="53"/>
      <c r="V313" s="53"/>
      <c r="W313" s="53"/>
      <c r="X313" s="53"/>
      <c r="Y313" s="53"/>
      <c r="Z313" s="52"/>
      <c r="AA313" s="52"/>
      <c r="AB313" s="52"/>
      <c r="AC313" s="52"/>
      <c r="AD313" s="53"/>
      <c r="AE313" s="53"/>
      <c r="AF313" s="53"/>
    </row>
    <row r="314">
      <c r="G314" s="55"/>
      <c r="N314" s="6"/>
      <c r="O314" s="53"/>
      <c r="P314" s="53"/>
      <c r="Q314" s="53"/>
      <c r="R314" s="51"/>
      <c r="S314" s="51"/>
      <c r="T314" s="53"/>
      <c r="U314" s="53"/>
      <c r="V314" s="53"/>
      <c r="W314" s="53"/>
      <c r="X314" s="53"/>
      <c r="Y314" s="53"/>
      <c r="Z314" s="52"/>
      <c r="AA314" s="52"/>
      <c r="AB314" s="52"/>
      <c r="AC314" s="52"/>
      <c r="AD314" s="53"/>
      <c r="AE314" s="53"/>
      <c r="AF314" s="53"/>
    </row>
    <row r="315">
      <c r="G315" s="55"/>
      <c r="N315" s="6"/>
      <c r="O315" s="53"/>
      <c r="P315" s="53"/>
      <c r="Q315" s="53"/>
      <c r="R315" s="51"/>
      <c r="S315" s="51"/>
      <c r="T315" s="53"/>
      <c r="U315" s="53"/>
      <c r="V315" s="53"/>
      <c r="W315" s="53"/>
      <c r="X315" s="53"/>
      <c r="Y315" s="53"/>
      <c r="Z315" s="52"/>
      <c r="AA315" s="52"/>
      <c r="AB315" s="52"/>
      <c r="AC315" s="52"/>
      <c r="AD315" s="53"/>
      <c r="AE315" s="53"/>
      <c r="AF315" s="53"/>
    </row>
    <row r="316">
      <c r="G316" s="55"/>
      <c r="N316" s="6"/>
      <c r="O316" s="53"/>
      <c r="P316" s="53"/>
      <c r="Q316" s="53"/>
      <c r="R316" s="51"/>
      <c r="S316" s="51"/>
      <c r="T316" s="53"/>
      <c r="U316" s="53"/>
      <c r="V316" s="53"/>
      <c r="W316" s="53"/>
      <c r="X316" s="53"/>
      <c r="Y316" s="53"/>
      <c r="Z316" s="52"/>
      <c r="AA316" s="52"/>
      <c r="AB316" s="52"/>
      <c r="AC316" s="52"/>
      <c r="AD316" s="53"/>
      <c r="AE316" s="53"/>
      <c r="AF316" s="53"/>
    </row>
    <row r="317">
      <c r="G317" s="55"/>
      <c r="N317" s="6"/>
      <c r="O317" s="53"/>
      <c r="P317" s="53"/>
      <c r="Q317" s="53"/>
      <c r="R317" s="51"/>
      <c r="S317" s="51"/>
      <c r="T317" s="53"/>
      <c r="U317" s="53"/>
      <c r="V317" s="53"/>
      <c r="W317" s="53"/>
      <c r="X317" s="53"/>
      <c r="Y317" s="53"/>
      <c r="Z317" s="52"/>
      <c r="AA317" s="52"/>
      <c r="AB317" s="52"/>
      <c r="AC317" s="52"/>
      <c r="AD317" s="53"/>
      <c r="AE317" s="53"/>
      <c r="AF317" s="53"/>
    </row>
    <row r="318">
      <c r="G318" s="55"/>
      <c r="N318" s="6"/>
      <c r="O318" s="53"/>
      <c r="P318" s="53"/>
      <c r="Q318" s="53"/>
      <c r="R318" s="51"/>
      <c r="S318" s="51"/>
      <c r="T318" s="53"/>
      <c r="U318" s="53"/>
      <c r="V318" s="53"/>
      <c r="W318" s="53"/>
      <c r="X318" s="53"/>
      <c r="Y318" s="53"/>
      <c r="Z318" s="52"/>
      <c r="AA318" s="52"/>
      <c r="AB318" s="52"/>
      <c r="AC318" s="52"/>
      <c r="AD318" s="53"/>
      <c r="AE318" s="53"/>
      <c r="AF318" s="53"/>
    </row>
    <row r="319">
      <c r="G319" s="55"/>
      <c r="N319" s="6"/>
      <c r="O319" s="53"/>
      <c r="P319" s="53"/>
      <c r="Q319" s="53"/>
      <c r="R319" s="51"/>
      <c r="S319" s="51"/>
      <c r="T319" s="53"/>
      <c r="U319" s="53"/>
      <c r="V319" s="53"/>
      <c r="W319" s="53"/>
      <c r="X319" s="53"/>
      <c r="Y319" s="53"/>
      <c r="Z319" s="52"/>
      <c r="AA319" s="52"/>
      <c r="AB319" s="52"/>
      <c r="AC319" s="52"/>
      <c r="AD319" s="53"/>
      <c r="AE319" s="53"/>
      <c r="AF319" s="53"/>
    </row>
    <row r="320">
      <c r="G320" s="55"/>
      <c r="N320" s="6"/>
      <c r="O320" s="53"/>
      <c r="P320" s="53"/>
      <c r="Q320" s="53"/>
      <c r="R320" s="51"/>
      <c r="S320" s="51"/>
      <c r="T320" s="53"/>
      <c r="U320" s="53"/>
      <c r="V320" s="53"/>
      <c r="W320" s="53"/>
      <c r="X320" s="53"/>
      <c r="Y320" s="53"/>
      <c r="Z320" s="52"/>
      <c r="AA320" s="52"/>
      <c r="AB320" s="52"/>
      <c r="AC320" s="52"/>
      <c r="AD320" s="53"/>
      <c r="AE320" s="53"/>
      <c r="AF320" s="53"/>
    </row>
    <row r="321">
      <c r="G321" s="55"/>
      <c r="N321" s="6"/>
      <c r="O321" s="53"/>
      <c r="P321" s="53"/>
      <c r="Q321" s="53"/>
      <c r="R321" s="51"/>
      <c r="S321" s="51"/>
      <c r="T321" s="53"/>
      <c r="U321" s="53"/>
      <c r="V321" s="53"/>
      <c r="W321" s="53"/>
      <c r="X321" s="53"/>
      <c r="Y321" s="53"/>
      <c r="Z321" s="52"/>
      <c r="AA321" s="52"/>
      <c r="AB321" s="52"/>
      <c r="AC321" s="52"/>
      <c r="AD321" s="53"/>
      <c r="AE321" s="53"/>
      <c r="AF321" s="53"/>
    </row>
    <row r="322">
      <c r="G322" s="55"/>
      <c r="N322" s="6"/>
      <c r="O322" s="53"/>
      <c r="P322" s="53"/>
      <c r="Q322" s="53"/>
      <c r="R322" s="51"/>
      <c r="S322" s="51"/>
      <c r="T322" s="53"/>
      <c r="U322" s="53"/>
      <c r="V322" s="53"/>
      <c r="W322" s="53"/>
      <c r="X322" s="53"/>
      <c r="Y322" s="53"/>
      <c r="Z322" s="52"/>
      <c r="AA322" s="52"/>
      <c r="AB322" s="52"/>
      <c r="AC322" s="52"/>
      <c r="AD322" s="53"/>
      <c r="AE322" s="53"/>
      <c r="AF322" s="53"/>
    </row>
    <row r="323">
      <c r="G323" s="55"/>
      <c r="N323" s="6"/>
      <c r="O323" s="53"/>
      <c r="P323" s="53"/>
      <c r="Q323" s="53"/>
      <c r="R323" s="51"/>
      <c r="S323" s="51"/>
      <c r="T323" s="53"/>
      <c r="U323" s="53"/>
      <c r="V323" s="53"/>
      <c r="W323" s="53"/>
      <c r="X323" s="53"/>
      <c r="Y323" s="53"/>
      <c r="Z323" s="52"/>
      <c r="AA323" s="52"/>
      <c r="AB323" s="52"/>
      <c r="AC323" s="52"/>
      <c r="AD323" s="53"/>
      <c r="AE323" s="53"/>
      <c r="AF323" s="53"/>
    </row>
    <row r="324">
      <c r="G324" s="55"/>
      <c r="N324" s="6"/>
      <c r="O324" s="53"/>
      <c r="P324" s="53"/>
      <c r="Q324" s="53"/>
      <c r="R324" s="51"/>
      <c r="S324" s="51"/>
      <c r="T324" s="53"/>
      <c r="U324" s="53"/>
      <c r="V324" s="53"/>
      <c r="W324" s="53"/>
      <c r="X324" s="53"/>
      <c r="Y324" s="53"/>
      <c r="Z324" s="52"/>
      <c r="AA324" s="52"/>
      <c r="AB324" s="52"/>
      <c r="AC324" s="52"/>
      <c r="AD324" s="53"/>
      <c r="AE324" s="53"/>
      <c r="AF324" s="53"/>
    </row>
    <row r="325">
      <c r="G325" s="55"/>
      <c r="N325" s="6"/>
      <c r="O325" s="53"/>
      <c r="P325" s="53"/>
      <c r="Q325" s="53"/>
      <c r="R325" s="51"/>
      <c r="S325" s="51"/>
      <c r="T325" s="53"/>
      <c r="U325" s="53"/>
      <c r="V325" s="53"/>
      <c r="W325" s="53"/>
      <c r="X325" s="53"/>
      <c r="Y325" s="53"/>
      <c r="Z325" s="52"/>
      <c r="AA325" s="52"/>
      <c r="AB325" s="52"/>
      <c r="AC325" s="52"/>
      <c r="AD325" s="53"/>
      <c r="AE325" s="53"/>
      <c r="AF325" s="53"/>
    </row>
    <row r="326">
      <c r="G326" s="55"/>
      <c r="N326" s="6"/>
      <c r="O326" s="53"/>
      <c r="P326" s="53"/>
      <c r="Q326" s="53"/>
      <c r="R326" s="51"/>
      <c r="S326" s="51"/>
      <c r="T326" s="53"/>
      <c r="U326" s="53"/>
      <c r="V326" s="53"/>
      <c r="W326" s="53"/>
      <c r="X326" s="53"/>
      <c r="Y326" s="53"/>
      <c r="Z326" s="52"/>
      <c r="AA326" s="52"/>
      <c r="AB326" s="52"/>
      <c r="AC326" s="52"/>
      <c r="AD326" s="53"/>
      <c r="AE326" s="53"/>
      <c r="AF326" s="53"/>
    </row>
    <row r="327">
      <c r="G327" s="55"/>
      <c r="N327" s="6"/>
      <c r="O327" s="53"/>
      <c r="P327" s="53"/>
      <c r="Q327" s="53"/>
      <c r="R327" s="51"/>
      <c r="S327" s="51"/>
      <c r="T327" s="53"/>
      <c r="U327" s="53"/>
      <c r="V327" s="53"/>
      <c r="W327" s="53"/>
      <c r="X327" s="53"/>
      <c r="Y327" s="53"/>
      <c r="Z327" s="52"/>
      <c r="AA327" s="52"/>
      <c r="AB327" s="52"/>
      <c r="AC327" s="52"/>
      <c r="AD327" s="53"/>
      <c r="AE327" s="53"/>
      <c r="AF327" s="53"/>
    </row>
    <row r="328">
      <c r="G328" s="55"/>
      <c r="N328" s="6"/>
      <c r="O328" s="53"/>
      <c r="P328" s="53"/>
      <c r="Q328" s="53"/>
      <c r="R328" s="51"/>
      <c r="S328" s="51"/>
      <c r="T328" s="53"/>
      <c r="U328" s="53"/>
      <c r="V328" s="53"/>
      <c r="W328" s="53"/>
      <c r="X328" s="53"/>
      <c r="Y328" s="53"/>
      <c r="Z328" s="52"/>
      <c r="AA328" s="52"/>
      <c r="AB328" s="52"/>
      <c r="AC328" s="52"/>
      <c r="AD328" s="53"/>
      <c r="AE328" s="53"/>
      <c r="AF328" s="53"/>
    </row>
    <row r="329">
      <c r="G329" s="55"/>
      <c r="N329" s="6"/>
      <c r="O329" s="53"/>
      <c r="P329" s="53"/>
      <c r="Q329" s="53"/>
      <c r="R329" s="51"/>
      <c r="S329" s="51"/>
      <c r="T329" s="53"/>
      <c r="U329" s="53"/>
      <c r="V329" s="53"/>
      <c r="W329" s="53"/>
      <c r="X329" s="53"/>
      <c r="Y329" s="53"/>
      <c r="Z329" s="52"/>
      <c r="AA329" s="52"/>
      <c r="AB329" s="52"/>
      <c r="AC329" s="52"/>
      <c r="AD329" s="53"/>
      <c r="AE329" s="53"/>
      <c r="AF329" s="53"/>
    </row>
    <row r="330">
      <c r="G330" s="55"/>
      <c r="N330" s="6"/>
      <c r="O330" s="53"/>
      <c r="P330" s="53"/>
      <c r="Q330" s="53"/>
      <c r="R330" s="51"/>
      <c r="S330" s="51"/>
      <c r="T330" s="53"/>
      <c r="U330" s="53"/>
      <c r="V330" s="53"/>
      <c r="W330" s="53"/>
      <c r="X330" s="53"/>
      <c r="Y330" s="53"/>
      <c r="Z330" s="52"/>
      <c r="AA330" s="52"/>
      <c r="AB330" s="52"/>
      <c r="AC330" s="52"/>
      <c r="AD330" s="53"/>
      <c r="AE330" s="53"/>
      <c r="AF330" s="53"/>
    </row>
    <row r="331">
      <c r="G331" s="55"/>
      <c r="N331" s="6"/>
      <c r="O331" s="53"/>
      <c r="P331" s="53"/>
      <c r="Q331" s="53"/>
      <c r="R331" s="51"/>
      <c r="S331" s="51"/>
      <c r="T331" s="53"/>
      <c r="U331" s="53"/>
      <c r="V331" s="53"/>
      <c r="W331" s="53"/>
      <c r="X331" s="53"/>
      <c r="Y331" s="53"/>
      <c r="Z331" s="52"/>
      <c r="AA331" s="52"/>
      <c r="AB331" s="52"/>
      <c r="AC331" s="52"/>
      <c r="AD331" s="53"/>
      <c r="AE331" s="53"/>
      <c r="AF331" s="53"/>
    </row>
    <row r="332">
      <c r="G332" s="55"/>
      <c r="N332" s="6"/>
      <c r="O332" s="53"/>
      <c r="P332" s="53"/>
      <c r="Q332" s="53"/>
      <c r="R332" s="51"/>
      <c r="S332" s="51"/>
      <c r="T332" s="53"/>
      <c r="U332" s="53"/>
      <c r="V332" s="53"/>
      <c r="W332" s="53"/>
      <c r="X332" s="53"/>
      <c r="Y332" s="53"/>
      <c r="Z332" s="52"/>
      <c r="AA332" s="52"/>
      <c r="AB332" s="52"/>
      <c r="AC332" s="52"/>
      <c r="AD332" s="53"/>
      <c r="AE332" s="53"/>
      <c r="AF332" s="53"/>
    </row>
    <row r="333">
      <c r="G333" s="55"/>
      <c r="N333" s="6"/>
      <c r="O333" s="53"/>
      <c r="P333" s="53"/>
      <c r="Q333" s="53"/>
      <c r="R333" s="51"/>
      <c r="S333" s="51"/>
      <c r="T333" s="53"/>
      <c r="U333" s="53"/>
      <c r="V333" s="53"/>
      <c r="W333" s="53"/>
      <c r="X333" s="53"/>
      <c r="Y333" s="53"/>
      <c r="Z333" s="52"/>
      <c r="AA333" s="52"/>
      <c r="AB333" s="52"/>
      <c r="AC333" s="52"/>
      <c r="AD333" s="53"/>
      <c r="AE333" s="53"/>
      <c r="AF333" s="53"/>
    </row>
    <row r="334">
      <c r="G334" s="55"/>
      <c r="N334" s="6"/>
      <c r="O334" s="53"/>
      <c r="P334" s="53"/>
      <c r="Q334" s="53"/>
      <c r="R334" s="51"/>
      <c r="S334" s="51"/>
      <c r="T334" s="53"/>
      <c r="U334" s="53"/>
      <c r="V334" s="53"/>
      <c r="W334" s="53"/>
      <c r="X334" s="53"/>
      <c r="Y334" s="53"/>
      <c r="Z334" s="52"/>
      <c r="AA334" s="52"/>
      <c r="AB334" s="52"/>
      <c r="AC334" s="52"/>
      <c r="AD334" s="53"/>
      <c r="AE334" s="53"/>
      <c r="AF334" s="53"/>
    </row>
    <row r="335">
      <c r="G335" s="55"/>
      <c r="N335" s="6"/>
      <c r="O335" s="53"/>
      <c r="P335" s="53"/>
      <c r="Q335" s="53"/>
      <c r="R335" s="51"/>
      <c r="S335" s="51"/>
      <c r="T335" s="53"/>
      <c r="U335" s="53"/>
      <c r="V335" s="53"/>
      <c r="W335" s="53"/>
      <c r="X335" s="53"/>
      <c r="Y335" s="53"/>
      <c r="Z335" s="52"/>
      <c r="AA335" s="52"/>
      <c r="AB335" s="52"/>
      <c r="AC335" s="52"/>
      <c r="AD335" s="53"/>
      <c r="AE335" s="53"/>
      <c r="AF335" s="53"/>
    </row>
    <row r="336">
      <c r="G336" s="55"/>
      <c r="N336" s="6"/>
      <c r="O336" s="53"/>
      <c r="P336" s="53"/>
      <c r="Q336" s="53"/>
      <c r="R336" s="51"/>
      <c r="S336" s="51"/>
      <c r="T336" s="53"/>
      <c r="U336" s="53"/>
      <c r="V336" s="53"/>
      <c r="W336" s="53"/>
      <c r="X336" s="53"/>
      <c r="Y336" s="53"/>
      <c r="Z336" s="52"/>
      <c r="AA336" s="52"/>
      <c r="AB336" s="52"/>
      <c r="AC336" s="52"/>
      <c r="AD336" s="53"/>
      <c r="AE336" s="53"/>
      <c r="AF336" s="53"/>
    </row>
    <row r="337">
      <c r="G337" s="55"/>
      <c r="N337" s="6"/>
      <c r="O337" s="53"/>
      <c r="P337" s="53"/>
      <c r="Q337" s="53"/>
      <c r="R337" s="51"/>
      <c r="S337" s="51"/>
      <c r="T337" s="53"/>
      <c r="U337" s="53"/>
      <c r="V337" s="53"/>
      <c r="W337" s="53"/>
      <c r="X337" s="53"/>
      <c r="Y337" s="53"/>
      <c r="Z337" s="52"/>
      <c r="AA337" s="52"/>
      <c r="AB337" s="52"/>
      <c r="AC337" s="52"/>
      <c r="AD337" s="53"/>
      <c r="AE337" s="53"/>
      <c r="AF337" s="53"/>
    </row>
    <row r="338">
      <c r="G338" s="55"/>
      <c r="N338" s="6"/>
      <c r="O338" s="53"/>
      <c r="P338" s="53"/>
      <c r="Q338" s="53"/>
      <c r="R338" s="51"/>
      <c r="S338" s="51"/>
      <c r="T338" s="53"/>
      <c r="U338" s="53"/>
      <c r="V338" s="53"/>
      <c r="W338" s="53"/>
      <c r="X338" s="53"/>
      <c r="Y338" s="53"/>
      <c r="Z338" s="52"/>
      <c r="AA338" s="52"/>
      <c r="AB338" s="52"/>
      <c r="AC338" s="52"/>
      <c r="AD338" s="53"/>
      <c r="AE338" s="53"/>
      <c r="AF338" s="53"/>
    </row>
    <row r="339">
      <c r="G339" s="55"/>
      <c r="N339" s="6"/>
      <c r="O339" s="53"/>
      <c r="P339" s="53"/>
      <c r="Q339" s="53"/>
      <c r="R339" s="51"/>
      <c r="S339" s="51"/>
      <c r="T339" s="53"/>
      <c r="U339" s="53"/>
      <c r="V339" s="53"/>
      <c r="W339" s="53"/>
      <c r="X339" s="53"/>
      <c r="Y339" s="53"/>
      <c r="Z339" s="52"/>
      <c r="AA339" s="52"/>
      <c r="AB339" s="52"/>
      <c r="AC339" s="52"/>
      <c r="AD339" s="53"/>
      <c r="AE339" s="53"/>
      <c r="AF339" s="53"/>
    </row>
    <row r="340">
      <c r="G340" s="55"/>
      <c r="N340" s="6"/>
      <c r="O340" s="53"/>
      <c r="P340" s="53"/>
      <c r="Q340" s="53"/>
      <c r="R340" s="51"/>
      <c r="S340" s="51"/>
      <c r="T340" s="53"/>
      <c r="U340" s="53"/>
      <c r="V340" s="53"/>
      <c r="W340" s="53"/>
      <c r="X340" s="53"/>
      <c r="Y340" s="53"/>
      <c r="Z340" s="52"/>
      <c r="AA340" s="52"/>
      <c r="AB340" s="52"/>
      <c r="AC340" s="52"/>
      <c r="AD340" s="53"/>
      <c r="AE340" s="53"/>
      <c r="AF340" s="53"/>
    </row>
    <row r="341">
      <c r="G341" s="55"/>
      <c r="N341" s="6"/>
      <c r="O341" s="53"/>
      <c r="P341" s="53"/>
      <c r="Q341" s="53"/>
      <c r="R341" s="51"/>
      <c r="S341" s="51"/>
      <c r="T341" s="53"/>
      <c r="U341" s="53"/>
      <c r="V341" s="53"/>
      <c r="W341" s="53"/>
      <c r="X341" s="53"/>
      <c r="Y341" s="53"/>
      <c r="Z341" s="52"/>
      <c r="AA341" s="52"/>
      <c r="AB341" s="52"/>
      <c r="AC341" s="52"/>
      <c r="AD341" s="53"/>
      <c r="AE341" s="53"/>
      <c r="AF341" s="53"/>
    </row>
    <row r="342">
      <c r="G342" s="55"/>
      <c r="N342" s="6"/>
      <c r="O342" s="53"/>
      <c r="P342" s="53"/>
      <c r="Q342" s="53"/>
      <c r="R342" s="51"/>
      <c r="S342" s="51"/>
      <c r="T342" s="53"/>
      <c r="U342" s="53"/>
      <c r="V342" s="53"/>
      <c r="W342" s="53"/>
      <c r="X342" s="53"/>
      <c r="Y342" s="53"/>
      <c r="Z342" s="52"/>
      <c r="AA342" s="52"/>
      <c r="AB342" s="52"/>
      <c r="AC342" s="52"/>
      <c r="AD342" s="53"/>
      <c r="AE342" s="53"/>
      <c r="AF342" s="53"/>
    </row>
    <row r="343">
      <c r="G343" s="55"/>
      <c r="N343" s="6"/>
      <c r="O343" s="53"/>
      <c r="P343" s="53"/>
      <c r="Q343" s="53"/>
      <c r="R343" s="51"/>
      <c r="S343" s="51"/>
      <c r="T343" s="53"/>
      <c r="U343" s="53"/>
      <c r="V343" s="53"/>
      <c r="W343" s="53"/>
      <c r="X343" s="53"/>
      <c r="Y343" s="53"/>
      <c r="Z343" s="52"/>
      <c r="AA343" s="52"/>
      <c r="AB343" s="52"/>
      <c r="AC343" s="52"/>
      <c r="AD343" s="53"/>
      <c r="AE343" s="53"/>
      <c r="AF343" s="53"/>
    </row>
    <row r="344">
      <c r="G344" s="55"/>
      <c r="N344" s="6"/>
      <c r="O344" s="53"/>
      <c r="P344" s="53"/>
      <c r="Q344" s="53"/>
      <c r="R344" s="51"/>
      <c r="S344" s="51"/>
      <c r="T344" s="53"/>
      <c r="U344" s="53"/>
      <c r="V344" s="53"/>
      <c r="W344" s="53"/>
      <c r="X344" s="53"/>
      <c r="Y344" s="53"/>
      <c r="Z344" s="52"/>
      <c r="AA344" s="52"/>
      <c r="AB344" s="52"/>
      <c r="AC344" s="52"/>
      <c r="AD344" s="53"/>
      <c r="AE344" s="53"/>
      <c r="AF344" s="53"/>
    </row>
    <row r="345">
      <c r="G345" s="55"/>
      <c r="N345" s="6"/>
      <c r="O345" s="53"/>
      <c r="P345" s="53"/>
      <c r="Q345" s="53"/>
      <c r="R345" s="51"/>
      <c r="S345" s="51"/>
      <c r="T345" s="53"/>
      <c r="U345" s="53"/>
      <c r="V345" s="53"/>
      <c r="W345" s="53"/>
      <c r="X345" s="53"/>
      <c r="Y345" s="53"/>
      <c r="Z345" s="52"/>
      <c r="AA345" s="52"/>
      <c r="AB345" s="52"/>
      <c r="AC345" s="52"/>
      <c r="AD345" s="53"/>
      <c r="AE345" s="53"/>
      <c r="AF345" s="53"/>
    </row>
    <row r="346">
      <c r="G346" s="55"/>
      <c r="N346" s="6"/>
      <c r="O346" s="53"/>
      <c r="P346" s="53"/>
      <c r="Q346" s="53"/>
      <c r="R346" s="51"/>
      <c r="S346" s="51"/>
      <c r="T346" s="53"/>
      <c r="U346" s="53"/>
      <c r="V346" s="53"/>
      <c r="W346" s="53"/>
      <c r="X346" s="53"/>
      <c r="Y346" s="53"/>
      <c r="Z346" s="52"/>
      <c r="AA346" s="52"/>
      <c r="AB346" s="52"/>
      <c r="AC346" s="52"/>
      <c r="AD346" s="53"/>
      <c r="AE346" s="53"/>
      <c r="AF346" s="53"/>
    </row>
    <row r="347">
      <c r="G347" s="55"/>
      <c r="N347" s="6"/>
      <c r="O347" s="53"/>
      <c r="P347" s="53"/>
      <c r="Q347" s="53"/>
      <c r="R347" s="51"/>
      <c r="S347" s="51"/>
      <c r="T347" s="53"/>
      <c r="U347" s="53"/>
      <c r="V347" s="53"/>
      <c r="W347" s="53"/>
      <c r="X347" s="53"/>
      <c r="Y347" s="53"/>
      <c r="Z347" s="52"/>
      <c r="AA347" s="52"/>
      <c r="AB347" s="52"/>
      <c r="AC347" s="52"/>
      <c r="AD347" s="53"/>
      <c r="AE347" s="53"/>
      <c r="AF347" s="53"/>
    </row>
    <row r="348">
      <c r="G348" s="55"/>
      <c r="N348" s="6"/>
      <c r="O348" s="53"/>
      <c r="P348" s="53"/>
      <c r="Q348" s="53"/>
      <c r="R348" s="51"/>
      <c r="S348" s="51"/>
      <c r="T348" s="53"/>
      <c r="U348" s="53"/>
      <c r="V348" s="53"/>
      <c r="W348" s="53"/>
      <c r="X348" s="53"/>
      <c r="Y348" s="53"/>
      <c r="Z348" s="52"/>
      <c r="AA348" s="52"/>
      <c r="AB348" s="52"/>
      <c r="AC348" s="52"/>
      <c r="AD348" s="53"/>
      <c r="AE348" s="53"/>
      <c r="AF348" s="53"/>
    </row>
    <row r="349">
      <c r="G349" s="55"/>
      <c r="N349" s="6"/>
      <c r="O349" s="53"/>
      <c r="P349" s="53"/>
      <c r="Q349" s="53"/>
      <c r="R349" s="51"/>
      <c r="S349" s="51"/>
      <c r="T349" s="53"/>
      <c r="U349" s="53"/>
      <c r="V349" s="53"/>
      <c r="W349" s="53"/>
      <c r="X349" s="53"/>
      <c r="Y349" s="53"/>
      <c r="Z349" s="52"/>
      <c r="AA349" s="52"/>
      <c r="AB349" s="52"/>
      <c r="AC349" s="52"/>
      <c r="AD349" s="53"/>
      <c r="AE349" s="53"/>
      <c r="AF349" s="53"/>
    </row>
    <row r="350">
      <c r="G350" s="55"/>
      <c r="N350" s="6"/>
      <c r="O350" s="53"/>
      <c r="P350" s="53"/>
      <c r="Q350" s="53"/>
      <c r="R350" s="51"/>
      <c r="S350" s="51"/>
      <c r="T350" s="53"/>
      <c r="U350" s="53"/>
      <c r="V350" s="53"/>
      <c r="W350" s="53"/>
      <c r="X350" s="53"/>
      <c r="Y350" s="53"/>
      <c r="Z350" s="52"/>
      <c r="AA350" s="52"/>
      <c r="AB350" s="52"/>
      <c r="AC350" s="52"/>
      <c r="AD350" s="53"/>
      <c r="AE350" s="53"/>
      <c r="AF350" s="53"/>
    </row>
    <row r="351">
      <c r="G351" s="55"/>
      <c r="N351" s="6"/>
      <c r="O351" s="53"/>
      <c r="P351" s="53"/>
      <c r="Q351" s="53"/>
      <c r="R351" s="51"/>
      <c r="S351" s="51"/>
      <c r="T351" s="53"/>
      <c r="U351" s="53"/>
      <c r="V351" s="53"/>
      <c r="W351" s="53"/>
      <c r="X351" s="53"/>
      <c r="Y351" s="53"/>
      <c r="Z351" s="52"/>
      <c r="AA351" s="52"/>
      <c r="AB351" s="52"/>
      <c r="AC351" s="52"/>
      <c r="AD351" s="53"/>
      <c r="AE351" s="53"/>
      <c r="AF351" s="53"/>
    </row>
    <row r="352">
      <c r="G352" s="55"/>
      <c r="N352" s="6"/>
      <c r="O352" s="53"/>
      <c r="P352" s="53"/>
      <c r="Q352" s="53"/>
      <c r="R352" s="51"/>
      <c r="S352" s="51"/>
      <c r="T352" s="53"/>
      <c r="U352" s="53"/>
      <c r="V352" s="53"/>
      <c r="W352" s="53"/>
      <c r="X352" s="53"/>
      <c r="Y352" s="53"/>
      <c r="Z352" s="52"/>
      <c r="AA352" s="52"/>
      <c r="AB352" s="52"/>
      <c r="AC352" s="52"/>
      <c r="AD352" s="53"/>
      <c r="AE352" s="53"/>
      <c r="AF352" s="53"/>
    </row>
    <row r="353">
      <c r="G353" s="55"/>
      <c r="N353" s="6"/>
      <c r="O353" s="53"/>
      <c r="P353" s="53"/>
      <c r="Q353" s="53"/>
      <c r="R353" s="51"/>
      <c r="S353" s="51"/>
      <c r="T353" s="53"/>
      <c r="U353" s="53"/>
      <c r="V353" s="53"/>
      <c r="W353" s="53"/>
      <c r="X353" s="53"/>
      <c r="Y353" s="53"/>
      <c r="Z353" s="52"/>
      <c r="AA353" s="52"/>
      <c r="AB353" s="52"/>
      <c r="AC353" s="52"/>
      <c r="AD353" s="53"/>
      <c r="AE353" s="53"/>
      <c r="AF353" s="53"/>
    </row>
    <row r="354">
      <c r="G354" s="55"/>
      <c r="N354" s="6"/>
      <c r="O354" s="53"/>
      <c r="P354" s="53"/>
      <c r="Q354" s="53"/>
      <c r="R354" s="51"/>
      <c r="S354" s="51"/>
      <c r="T354" s="53"/>
      <c r="U354" s="53"/>
      <c r="V354" s="53"/>
      <c r="W354" s="53"/>
      <c r="X354" s="53"/>
      <c r="Y354" s="53"/>
      <c r="Z354" s="52"/>
      <c r="AA354" s="52"/>
      <c r="AB354" s="52"/>
      <c r="AC354" s="52"/>
      <c r="AD354" s="53"/>
      <c r="AE354" s="53"/>
      <c r="AF354" s="53"/>
    </row>
    <row r="355">
      <c r="G355" s="55"/>
      <c r="N355" s="6"/>
      <c r="O355" s="53"/>
      <c r="P355" s="53"/>
      <c r="Q355" s="53"/>
      <c r="R355" s="51"/>
      <c r="S355" s="51"/>
      <c r="T355" s="53"/>
      <c r="U355" s="53"/>
      <c r="V355" s="53"/>
      <c r="W355" s="53"/>
      <c r="X355" s="53"/>
      <c r="Y355" s="53"/>
      <c r="Z355" s="52"/>
      <c r="AA355" s="52"/>
      <c r="AB355" s="52"/>
      <c r="AC355" s="52"/>
      <c r="AD355" s="53"/>
      <c r="AE355" s="53"/>
      <c r="AF355" s="53"/>
    </row>
    <row r="356">
      <c r="G356" s="55"/>
      <c r="N356" s="6"/>
      <c r="O356" s="53"/>
      <c r="P356" s="53"/>
      <c r="Q356" s="53"/>
      <c r="R356" s="51"/>
      <c r="S356" s="51"/>
      <c r="T356" s="53"/>
      <c r="U356" s="53"/>
      <c r="V356" s="53"/>
      <c r="W356" s="53"/>
      <c r="X356" s="53"/>
      <c r="Y356" s="53"/>
      <c r="Z356" s="52"/>
      <c r="AA356" s="52"/>
      <c r="AB356" s="52"/>
      <c r="AC356" s="52"/>
      <c r="AD356" s="53"/>
      <c r="AE356" s="53"/>
      <c r="AF356" s="53"/>
    </row>
    <row r="357">
      <c r="G357" s="55"/>
      <c r="N357" s="6"/>
      <c r="O357" s="53"/>
      <c r="P357" s="53"/>
      <c r="Q357" s="53"/>
      <c r="R357" s="51"/>
      <c r="S357" s="51"/>
      <c r="T357" s="53"/>
      <c r="U357" s="53"/>
      <c r="V357" s="53"/>
      <c r="W357" s="53"/>
      <c r="X357" s="53"/>
      <c r="Y357" s="53"/>
      <c r="Z357" s="52"/>
      <c r="AA357" s="52"/>
      <c r="AB357" s="52"/>
      <c r="AC357" s="52"/>
      <c r="AD357" s="53"/>
      <c r="AE357" s="53"/>
      <c r="AF357" s="53"/>
    </row>
    <row r="358">
      <c r="G358" s="55"/>
      <c r="N358" s="6"/>
      <c r="O358" s="53"/>
      <c r="P358" s="53"/>
      <c r="Q358" s="53"/>
      <c r="R358" s="51"/>
      <c r="S358" s="51"/>
      <c r="T358" s="53"/>
      <c r="U358" s="53"/>
      <c r="V358" s="53"/>
      <c r="W358" s="53"/>
      <c r="X358" s="53"/>
      <c r="Y358" s="53"/>
      <c r="Z358" s="52"/>
      <c r="AA358" s="52"/>
      <c r="AB358" s="52"/>
      <c r="AC358" s="52"/>
      <c r="AD358" s="53"/>
      <c r="AE358" s="53"/>
      <c r="AF358" s="53"/>
    </row>
    <row r="359">
      <c r="G359" s="55"/>
      <c r="N359" s="6"/>
      <c r="O359" s="53"/>
      <c r="P359" s="53"/>
      <c r="Q359" s="53"/>
      <c r="R359" s="51"/>
      <c r="S359" s="51"/>
      <c r="T359" s="53"/>
      <c r="U359" s="53"/>
      <c r="V359" s="53"/>
      <c r="W359" s="53"/>
      <c r="X359" s="53"/>
      <c r="Y359" s="53"/>
      <c r="Z359" s="52"/>
      <c r="AA359" s="52"/>
      <c r="AB359" s="52"/>
      <c r="AC359" s="52"/>
      <c r="AD359" s="53"/>
      <c r="AE359" s="53"/>
      <c r="AF359" s="53"/>
    </row>
    <row r="360">
      <c r="G360" s="55"/>
      <c r="N360" s="6"/>
      <c r="O360" s="53"/>
      <c r="P360" s="53"/>
      <c r="Q360" s="53"/>
      <c r="R360" s="51"/>
      <c r="S360" s="51"/>
      <c r="T360" s="53"/>
      <c r="U360" s="53"/>
      <c r="V360" s="53"/>
      <c r="W360" s="53"/>
      <c r="X360" s="53"/>
      <c r="Y360" s="53"/>
      <c r="Z360" s="52"/>
      <c r="AA360" s="52"/>
      <c r="AB360" s="52"/>
      <c r="AC360" s="52"/>
      <c r="AD360" s="53"/>
      <c r="AE360" s="53"/>
      <c r="AF360" s="53"/>
    </row>
    <row r="361">
      <c r="G361" s="55"/>
      <c r="N361" s="6"/>
      <c r="O361" s="53"/>
      <c r="P361" s="53"/>
      <c r="Q361" s="53"/>
      <c r="R361" s="51"/>
      <c r="S361" s="51"/>
      <c r="T361" s="53"/>
      <c r="U361" s="53"/>
      <c r="V361" s="53"/>
      <c r="W361" s="53"/>
      <c r="X361" s="53"/>
      <c r="Y361" s="53"/>
      <c r="Z361" s="52"/>
      <c r="AA361" s="52"/>
      <c r="AB361" s="52"/>
      <c r="AC361" s="52"/>
      <c r="AD361" s="53"/>
      <c r="AE361" s="53"/>
      <c r="AF361" s="53"/>
    </row>
    <row r="362">
      <c r="G362" s="55"/>
      <c r="N362" s="6"/>
      <c r="O362" s="53"/>
      <c r="P362" s="53"/>
      <c r="Q362" s="53"/>
      <c r="R362" s="51"/>
      <c r="S362" s="51"/>
      <c r="T362" s="53"/>
      <c r="U362" s="53"/>
      <c r="V362" s="53"/>
      <c r="W362" s="53"/>
      <c r="X362" s="53"/>
      <c r="Y362" s="53"/>
      <c r="Z362" s="52"/>
      <c r="AA362" s="52"/>
      <c r="AB362" s="52"/>
      <c r="AC362" s="52"/>
      <c r="AD362" s="53"/>
      <c r="AE362" s="53"/>
      <c r="AF362" s="53"/>
    </row>
    <row r="363">
      <c r="G363" s="55"/>
      <c r="N363" s="6"/>
      <c r="O363" s="53"/>
      <c r="P363" s="53"/>
      <c r="Q363" s="53"/>
      <c r="R363" s="51"/>
      <c r="S363" s="51"/>
      <c r="T363" s="53"/>
      <c r="U363" s="53"/>
      <c r="V363" s="53"/>
      <c r="W363" s="53"/>
      <c r="X363" s="53"/>
      <c r="Y363" s="53"/>
      <c r="Z363" s="52"/>
      <c r="AA363" s="52"/>
      <c r="AB363" s="52"/>
      <c r="AC363" s="52"/>
      <c r="AD363" s="53"/>
      <c r="AE363" s="53"/>
      <c r="AF363" s="53"/>
    </row>
    <row r="364">
      <c r="G364" s="55"/>
      <c r="N364" s="6"/>
      <c r="O364" s="53"/>
      <c r="P364" s="53"/>
      <c r="Q364" s="53"/>
      <c r="R364" s="51"/>
      <c r="S364" s="51"/>
      <c r="T364" s="53"/>
      <c r="U364" s="53"/>
      <c r="V364" s="53"/>
      <c r="W364" s="53"/>
      <c r="X364" s="53"/>
      <c r="Y364" s="53"/>
      <c r="Z364" s="52"/>
      <c r="AA364" s="52"/>
      <c r="AB364" s="52"/>
      <c r="AC364" s="52"/>
      <c r="AD364" s="53"/>
      <c r="AE364" s="53"/>
      <c r="AF364" s="53"/>
    </row>
    <row r="365">
      <c r="G365" s="55"/>
      <c r="N365" s="6"/>
      <c r="O365" s="53"/>
      <c r="P365" s="53"/>
      <c r="Q365" s="53"/>
      <c r="R365" s="51"/>
      <c r="S365" s="51"/>
      <c r="T365" s="53"/>
      <c r="U365" s="53"/>
      <c r="V365" s="53"/>
      <c r="W365" s="53"/>
      <c r="X365" s="53"/>
      <c r="Y365" s="53"/>
      <c r="Z365" s="52"/>
      <c r="AA365" s="52"/>
      <c r="AB365" s="52"/>
      <c r="AC365" s="52"/>
      <c r="AD365" s="53"/>
      <c r="AE365" s="53"/>
      <c r="AF365" s="53"/>
    </row>
    <row r="366">
      <c r="G366" s="55"/>
      <c r="N366" s="6"/>
      <c r="O366" s="53"/>
      <c r="P366" s="53"/>
      <c r="Q366" s="53"/>
      <c r="R366" s="51"/>
      <c r="S366" s="51"/>
      <c r="T366" s="53"/>
      <c r="U366" s="53"/>
      <c r="V366" s="53"/>
      <c r="W366" s="53"/>
      <c r="X366" s="53"/>
      <c r="Y366" s="53"/>
      <c r="Z366" s="52"/>
      <c r="AA366" s="52"/>
      <c r="AB366" s="52"/>
      <c r="AC366" s="52"/>
      <c r="AD366" s="53"/>
      <c r="AE366" s="53"/>
      <c r="AF366" s="53"/>
    </row>
    <row r="367">
      <c r="G367" s="55"/>
      <c r="N367" s="6"/>
      <c r="O367" s="53"/>
      <c r="P367" s="53"/>
      <c r="Q367" s="53"/>
      <c r="R367" s="51"/>
      <c r="S367" s="51"/>
      <c r="T367" s="53"/>
      <c r="U367" s="53"/>
      <c r="V367" s="53"/>
      <c r="W367" s="53"/>
      <c r="X367" s="53"/>
      <c r="Y367" s="53"/>
      <c r="Z367" s="52"/>
      <c r="AA367" s="52"/>
      <c r="AB367" s="52"/>
      <c r="AC367" s="52"/>
      <c r="AD367" s="53"/>
      <c r="AE367" s="53"/>
      <c r="AF367" s="53"/>
    </row>
    <row r="368">
      <c r="G368" s="55"/>
      <c r="N368" s="6"/>
      <c r="O368" s="53"/>
      <c r="P368" s="53"/>
      <c r="Q368" s="53"/>
      <c r="R368" s="51"/>
      <c r="S368" s="51"/>
      <c r="T368" s="53"/>
      <c r="U368" s="53"/>
      <c r="V368" s="53"/>
      <c r="W368" s="53"/>
      <c r="X368" s="53"/>
      <c r="Y368" s="53"/>
      <c r="Z368" s="52"/>
      <c r="AA368" s="52"/>
      <c r="AB368" s="52"/>
      <c r="AC368" s="52"/>
      <c r="AD368" s="53"/>
      <c r="AE368" s="53"/>
      <c r="AF368" s="53"/>
    </row>
    <row r="369">
      <c r="G369" s="55"/>
      <c r="N369" s="6"/>
      <c r="O369" s="53"/>
      <c r="P369" s="53"/>
      <c r="Q369" s="53"/>
      <c r="R369" s="51"/>
      <c r="S369" s="51"/>
      <c r="T369" s="53"/>
      <c r="U369" s="53"/>
      <c r="V369" s="53"/>
      <c r="W369" s="53"/>
      <c r="X369" s="53"/>
      <c r="Y369" s="53"/>
      <c r="Z369" s="52"/>
      <c r="AA369" s="52"/>
      <c r="AB369" s="52"/>
      <c r="AC369" s="52"/>
      <c r="AD369" s="53"/>
      <c r="AE369" s="53"/>
      <c r="AF369" s="53"/>
    </row>
    <row r="370">
      <c r="G370" s="55"/>
      <c r="N370" s="6"/>
      <c r="O370" s="53"/>
      <c r="P370" s="53"/>
      <c r="Q370" s="53"/>
      <c r="R370" s="51"/>
      <c r="S370" s="51"/>
      <c r="T370" s="53"/>
      <c r="U370" s="53"/>
      <c r="V370" s="53"/>
      <c r="W370" s="53"/>
      <c r="X370" s="53"/>
      <c r="Y370" s="53"/>
      <c r="Z370" s="52"/>
      <c r="AA370" s="52"/>
      <c r="AB370" s="52"/>
      <c r="AC370" s="52"/>
      <c r="AD370" s="53"/>
      <c r="AE370" s="53"/>
      <c r="AF370" s="53"/>
    </row>
    <row r="371">
      <c r="G371" s="55"/>
      <c r="N371" s="6"/>
      <c r="O371" s="53"/>
      <c r="P371" s="53"/>
      <c r="Q371" s="53"/>
      <c r="R371" s="51"/>
      <c r="S371" s="51"/>
      <c r="T371" s="53"/>
      <c r="U371" s="53"/>
      <c r="V371" s="53"/>
      <c r="W371" s="53"/>
      <c r="X371" s="53"/>
      <c r="Y371" s="53"/>
      <c r="Z371" s="52"/>
      <c r="AA371" s="52"/>
      <c r="AB371" s="52"/>
      <c r="AC371" s="52"/>
      <c r="AD371" s="53"/>
      <c r="AE371" s="53"/>
      <c r="AF371" s="53"/>
    </row>
    <row r="372">
      <c r="G372" s="55"/>
      <c r="N372" s="6"/>
      <c r="O372" s="53"/>
      <c r="P372" s="53"/>
      <c r="Q372" s="53"/>
      <c r="R372" s="51"/>
      <c r="S372" s="51"/>
      <c r="T372" s="53"/>
      <c r="U372" s="53"/>
      <c r="V372" s="53"/>
      <c r="W372" s="53"/>
      <c r="X372" s="53"/>
      <c r="Y372" s="53"/>
      <c r="Z372" s="52"/>
      <c r="AA372" s="52"/>
      <c r="AB372" s="52"/>
      <c r="AC372" s="52"/>
      <c r="AD372" s="53"/>
      <c r="AE372" s="53"/>
      <c r="AF372" s="53"/>
    </row>
    <row r="373">
      <c r="G373" s="55"/>
      <c r="N373" s="6"/>
      <c r="O373" s="53"/>
      <c r="P373" s="53"/>
      <c r="Q373" s="53"/>
      <c r="R373" s="51"/>
      <c r="S373" s="51"/>
      <c r="T373" s="53"/>
      <c r="U373" s="53"/>
      <c r="V373" s="53"/>
      <c r="W373" s="53"/>
      <c r="X373" s="53"/>
      <c r="Y373" s="53"/>
      <c r="Z373" s="52"/>
      <c r="AA373" s="52"/>
      <c r="AB373" s="52"/>
      <c r="AC373" s="52"/>
      <c r="AD373" s="53"/>
      <c r="AE373" s="53"/>
      <c r="AF373" s="53"/>
    </row>
    <row r="374">
      <c r="G374" s="55"/>
      <c r="N374" s="6"/>
      <c r="O374" s="53"/>
      <c r="P374" s="53"/>
      <c r="Q374" s="53"/>
      <c r="R374" s="51"/>
      <c r="S374" s="51"/>
      <c r="T374" s="53"/>
      <c r="U374" s="53"/>
      <c r="V374" s="53"/>
      <c r="W374" s="53"/>
      <c r="X374" s="53"/>
      <c r="Y374" s="53"/>
      <c r="Z374" s="52"/>
      <c r="AA374" s="52"/>
      <c r="AB374" s="52"/>
      <c r="AC374" s="52"/>
      <c r="AD374" s="53"/>
      <c r="AE374" s="53"/>
      <c r="AF374" s="53"/>
    </row>
    <row r="375">
      <c r="G375" s="55"/>
      <c r="N375" s="6"/>
      <c r="O375" s="53"/>
      <c r="P375" s="53"/>
      <c r="Q375" s="53"/>
      <c r="R375" s="51"/>
      <c r="S375" s="51"/>
      <c r="T375" s="53"/>
      <c r="U375" s="53"/>
      <c r="V375" s="53"/>
      <c r="W375" s="53"/>
      <c r="X375" s="53"/>
      <c r="Y375" s="53"/>
      <c r="Z375" s="52"/>
      <c r="AA375" s="52"/>
      <c r="AB375" s="52"/>
      <c r="AC375" s="52"/>
      <c r="AD375" s="53"/>
      <c r="AE375" s="53"/>
      <c r="AF375" s="53"/>
    </row>
    <row r="376">
      <c r="G376" s="55"/>
      <c r="N376" s="6"/>
      <c r="O376" s="53"/>
      <c r="P376" s="53"/>
      <c r="Q376" s="53"/>
      <c r="R376" s="51"/>
      <c r="S376" s="51"/>
      <c r="T376" s="53"/>
      <c r="U376" s="53"/>
      <c r="V376" s="53"/>
      <c r="W376" s="53"/>
      <c r="X376" s="53"/>
      <c r="Y376" s="53"/>
      <c r="Z376" s="52"/>
      <c r="AA376" s="52"/>
      <c r="AB376" s="52"/>
      <c r="AC376" s="52"/>
      <c r="AD376" s="53"/>
      <c r="AE376" s="53"/>
      <c r="AF376" s="53"/>
    </row>
    <row r="377">
      <c r="G377" s="55"/>
      <c r="N377" s="6"/>
      <c r="O377" s="53"/>
      <c r="P377" s="53"/>
      <c r="Q377" s="53"/>
      <c r="R377" s="51"/>
      <c r="S377" s="51"/>
      <c r="T377" s="53"/>
      <c r="U377" s="53"/>
      <c r="V377" s="53"/>
      <c r="W377" s="53"/>
      <c r="X377" s="53"/>
      <c r="Y377" s="53"/>
      <c r="Z377" s="52"/>
      <c r="AA377" s="52"/>
      <c r="AB377" s="52"/>
      <c r="AC377" s="52"/>
      <c r="AD377" s="53"/>
      <c r="AE377" s="53"/>
      <c r="AF377" s="53"/>
    </row>
    <row r="378">
      <c r="G378" s="55"/>
      <c r="N378" s="6"/>
      <c r="O378" s="53"/>
      <c r="P378" s="53"/>
      <c r="Q378" s="53"/>
      <c r="R378" s="51"/>
      <c r="S378" s="51"/>
      <c r="T378" s="53"/>
      <c r="U378" s="53"/>
      <c r="V378" s="53"/>
      <c r="W378" s="53"/>
      <c r="X378" s="53"/>
      <c r="Y378" s="53"/>
      <c r="Z378" s="52"/>
      <c r="AA378" s="52"/>
      <c r="AB378" s="52"/>
      <c r="AC378" s="52"/>
      <c r="AD378" s="53"/>
      <c r="AE378" s="53"/>
      <c r="AF378" s="53"/>
    </row>
    <row r="379">
      <c r="G379" s="55"/>
      <c r="N379" s="6"/>
      <c r="O379" s="53"/>
      <c r="P379" s="53"/>
      <c r="Q379" s="53"/>
      <c r="R379" s="51"/>
      <c r="S379" s="51"/>
      <c r="T379" s="53"/>
      <c r="U379" s="53"/>
      <c r="V379" s="53"/>
      <c r="W379" s="53"/>
      <c r="X379" s="53"/>
      <c r="Y379" s="53"/>
      <c r="Z379" s="52"/>
      <c r="AA379" s="52"/>
      <c r="AB379" s="52"/>
      <c r="AC379" s="52"/>
      <c r="AD379" s="53"/>
      <c r="AE379" s="53"/>
      <c r="AF379" s="53"/>
    </row>
    <row r="380">
      <c r="G380" s="55"/>
      <c r="N380" s="6"/>
      <c r="O380" s="53"/>
      <c r="P380" s="53"/>
      <c r="Q380" s="53"/>
      <c r="R380" s="51"/>
      <c r="S380" s="51"/>
      <c r="T380" s="53"/>
      <c r="U380" s="53"/>
      <c r="V380" s="53"/>
      <c r="W380" s="53"/>
      <c r="X380" s="53"/>
      <c r="Y380" s="53"/>
      <c r="Z380" s="52"/>
      <c r="AA380" s="52"/>
      <c r="AB380" s="52"/>
      <c r="AC380" s="52"/>
      <c r="AD380" s="53"/>
      <c r="AE380" s="53"/>
      <c r="AF380" s="53"/>
    </row>
    <row r="381">
      <c r="G381" s="55"/>
      <c r="N381" s="6"/>
      <c r="O381" s="53"/>
      <c r="P381" s="53"/>
      <c r="Q381" s="53"/>
      <c r="R381" s="51"/>
      <c r="S381" s="51"/>
      <c r="T381" s="53"/>
      <c r="U381" s="53"/>
      <c r="V381" s="53"/>
      <c r="W381" s="53"/>
      <c r="X381" s="53"/>
      <c r="Y381" s="53"/>
      <c r="Z381" s="52"/>
      <c r="AA381" s="52"/>
      <c r="AB381" s="52"/>
      <c r="AC381" s="52"/>
      <c r="AD381" s="53"/>
      <c r="AE381" s="53"/>
      <c r="AF381" s="53"/>
    </row>
    <row r="382">
      <c r="G382" s="55"/>
      <c r="N382" s="6"/>
      <c r="O382" s="53"/>
      <c r="P382" s="53"/>
      <c r="Q382" s="53"/>
      <c r="R382" s="51"/>
      <c r="S382" s="51"/>
      <c r="T382" s="53"/>
      <c r="U382" s="53"/>
      <c r="V382" s="53"/>
      <c r="W382" s="53"/>
      <c r="X382" s="53"/>
      <c r="Y382" s="53"/>
      <c r="Z382" s="52"/>
      <c r="AA382" s="52"/>
      <c r="AB382" s="52"/>
      <c r="AC382" s="52"/>
      <c r="AD382" s="53"/>
      <c r="AE382" s="53"/>
      <c r="AF382" s="53"/>
    </row>
    <row r="383">
      <c r="G383" s="55"/>
      <c r="N383" s="6"/>
      <c r="O383" s="53"/>
      <c r="P383" s="53"/>
      <c r="Q383" s="53"/>
      <c r="R383" s="51"/>
      <c r="S383" s="51"/>
      <c r="T383" s="53"/>
      <c r="U383" s="53"/>
      <c r="V383" s="53"/>
      <c r="W383" s="53"/>
      <c r="X383" s="53"/>
      <c r="Y383" s="53"/>
      <c r="Z383" s="52"/>
      <c r="AA383" s="52"/>
      <c r="AB383" s="52"/>
      <c r="AC383" s="52"/>
      <c r="AD383" s="53"/>
      <c r="AE383" s="53"/>
      <c r="AF383" s="53"/>
    </row>
    <row r="384">
      <c r="G384" s="55"/>
      <c r="N384" s="6"/>
      <c r="O384" s="53"/>
      <c r="P384" s="53"/>
      <c r="Q384" s="53"/>
      <c r="R384" s="51"/>
      <c r="S384" s="51"/>
      <c r="T384" s="53"/>
      <c r="U384" s="53"/>
      <c r="V384" s="53"/>
      <c r="W384" s="53"/>
      <c r="X384" s="53"/>
      <c r="Y384" s="53"/>
      <c r="Z384" s="52"/>
      <c r="AA384" s="52"/>
      <c r="AB384" s="52"/>
      <c r="AC384" s="52"/>
      <c r="AD384" s="53"/>
      <c r="AE384" s="53"/>
      <c r="AF384" s="53"/>
    </row>
    <row r="385">
      <c r="G385" s="55"/>
      <c r="N385" s="6"/>
      <c r="O385" s="53"/>
      <c r="P385" s="53"/>
      <c r="Q385" s="53"/>
      <c r="R385" s="51"/>
      <c r="S385" s="51"/>
      <c r="T385" s="53"/>
      <c r="U385" s="53"/>
      <c r="V385" s="53"/>
      <c r="W385" s="53"/>
      <c r="X385" s="53"/>
      <c r="Y385" s="53"/>
      <c r="Z385" s="52"/>
      <c r="AA385" s="52"/>
      <c r="AB385" s="52"/>
      <c r="AC385" s="52"/>
      <c r="AD385" s="53"/>
      <c r="AE385" s="53"/>
      <c r="AF385" s="53"/>
    </row>
    <row r="386">
      <c r="G386" s="55"/>
      <c r="N386" s="6"/>
      <c r="O386" s="53"/>
      <c r="P386" s="53"/>
      <c r="Q386" s="53"/>
      <c r="R386" s="51"/>
      <c r="S386" s="51"/>
      <c r="T386" s="53"/>
      <c r="U386" s="53"/>
      <c r="V386" s="53"/>
      <c r="W386" s="53"/>
      <c r="X386" s="53"/>
      <c r="Y386" s="53"/>
      <c r="Z386" s="52"/>
      <c r="AA386" s="52"/>
      <c r="AB386" s="52"/>
      <c r="AC386" s="52"/>
      <c r="AD386" s="53"/>
      <c r="AE386" s="53"/>
      <c r="AF386" s="53"/>
    </row>
    <row r="387">
      <c r="G387" s="55"/>
      <c r="N387" s="6"/>
      <c r="O387" s="53"/>
      <c r="P387" s="53"/>
      <c r="Q387" s="53"/>
      <c r="R387" s="51"/>
      <c r="S387" s="51"/>
      <c r="T387" s="53"/>
      <c r="U387" s="53"/>
      <c r="V387" s="53"/>
      <c r="W387" s="53"/>
      <c r="X387" s="53"/>
      <c r="Y387" s="53"/>
      <c r="Z387" s="52"/>
      <c r="AA387" s="52"/>
      <c r="AB387" s="52"/>
      <c r="AC387" s="52"/>
      <c r="AD387" s="53"/>
      <c r="AE387" s="53"/>
      <c r="AF387" s="53"/>
    </row>
    <row r="388">
      <c r="G388" s="55"/>
      <c r="N388" s="6"/>
      <c r="O388" s="53"/>
      <c r="P388" s="53"/>
      <c r="Q388" s="53"/>
      <c r="R388" s="51"/>
      <c r="S388" s="51"/>
      <c r="T388" s="53"/>
      <c r="U388" s="53"/>
      <c r="V388" s="53"/>
      <c r="W388" s="53"/>
      <c r="X388" s="53"/>
      <c r="Y388" s="53"/>
      <c r="Z388" s="52"/>
      <c r="AA388" s="52"/>
      <c r="AB388" s="52"/>
      <c r="AC388" s="52"/>
      <c r="AD388" s="53"/>
      <c r="AE388" s="53"/>
      <c r="AF388" s="53"/>
    </row>
    <row r="389">
      <c r="G389" s="55"/>
      <c r="N389" s="6"/>
      <c r="O389" s="53"/>
      <c r="P389" s="53"/>
      <c r="Q389" s="53"/>
      <c r="R389" s="51"/>
      <c r="S389" s="51"/>
      <c r="T389" s="53"/>
      <c r="U389" s="53"/>
      <c r="V389" s="53"/>
      <c r="W389" s="53"/>
      <c r="X389" s="53"/>
      <c r="Y389" s="53"/>
      <c r="Z389" s="52"/>
      <c r="AA389" s="52"/>
      <c r="AB389" s="52"/>
      <c r="AC389" s="52"/>
      <c r="AD389" s="53"/>
      <c r="AE389" s="53"/>
      <c r="AF389" s="53"/>
    </row>
    <row r="390">
      <c r="G390" s="55"/>
      <c r="N390" s="6"/>
      <c r="O390" s="53"/>
      <c r="P390" s="53"/>
      <c r="Q390" s="53"/>
      <c r="R390" s="51"/>
      <c r="S390" s="51"/>
      <c r="T390" s="53"/>
      <c r="U390" s="53"/>
      <c r="V390" s="53"/>
      <c r="W390" s="53"/>
      <c r="X390" s="53"/>
      <c r="Y390" s="53"/>
      <c r="Z390" s="52"/>
      <c r="AA390" s="52"/>
      <c r="AB390" s="52"/>
      <c r="AC390" s="52"/>
      <c r="AD390" s="53"/>
      <c r="AE390" s="53"/>
      <c r="AF390" s="53"/>
    </row>
    <row r="391">
      <c r="G391" s="55"/>
      <c r="N391" s="6"/>
      <c r="O391" s="53"/>
      <c r="P391" s="53"/>
      <c r="Q391" s="53"/>
      <c r="R391" s="51"/>
      <c r="S391" s="51"/>
      <c r="T391" s="53"/>
      <c r="U391" s="53"/>
      <c r="V391" s="53"/>
      <c r="W391" s="53"/>
      <c r="X391" s="53"/>
      <c r="Y391" s="53"/>
      <c r="Z391" s="52"/>
      <c r="AA391" s="52"/>
      <c r="AB391" s="52"/>
      <c r="AC391" s="52"/>
      <c r="AD391" s="53"/>
      <c r="AE391" s="53"/>
      <c r="AF391" s="53"/>
    </row>
    <row r="392">
      <c r="G392" s="55"/>
      <c r="N392" s="6"/>
      <c r="O392" s="53"/>
      <c r="P392" s="53"/>
      <c r="Q392" s="53"/>
      <c r="R392" s="51"/>
      <c r="S392" s="51"/>
      <c r="T392" s="53"/>
      <c r="U392" s="53"/>
      <c r="V392" s="53"/>
      <c r="W392" s="53"/>
      <c r="X392" s="53"/>
      <c r="Y392" s="53"/>
      <c r="Z392" s="52"/>
      <c r="AA392" s="52"/>
      <c r="AB392" s="52"/>
      <c r="AC392" s="52"/>
      <c r="AD392" s="53"/>
      <c r="AE392" s="53"/>
      <c r="AF392" s="53"/>
    </row>
    <row r="393">
      <c r="G393" s="55"/>
      <c r="N393" s="6"/>
      <c r="O393" s="53"/>
      <c r="P393" s="53"/>
      <c r="Q393" s="53"/>
      <c r="R393" s="51"/>
      <c r="S393" s="51"/>
      <c r="T393" s="53"/>
      <c r="U393" s="53"/>
      <c r="V393" s="53"/>
      <c r="W393" s="53"/>
      <c r="X393" s="53"/>
      <c r="Y393" s="53"/>
      <c r="Z393" s="52"/>
      <c r="AA393" s="52"/>
      <c r="AB393" s="52"/>
      <c r="AC393" s="52"/>
      <c r="AD393" s="53"/>
      <c r="AE393" s="53"/>
      <c r="AF393" s="53"/>
    </row>
    <row r="394">
      <c r="G394" s="55"/>
      <c r="N394" s="6"/>
      <c r="O394" s="53"/>
      <c r="P394" s="53"/>
      <c r="Q394" s="53"/>
      <c r="R394" s="51"/>
      <c r="S394" s="51"/>
      <c r="T394" s="53"/>
      <c r="U394" s="53"/>
      <c r="V394" s="53"/>
      <c r="W394" s="53"/>
      <c r="X394" s="53"/>
      <c r="Y394" s="53"/>
      <c r="Z394" s="52"/>
      <c r="AA394" s="52"/>
      <c r="AB394" s="52"/>
      <c r="AC394" s="52"/>
      <c r="AD394" s="53"/>
      <c r="AE394" s="53"/>
      <c r="AF394" s="53"/>
    </row>
    <row r="395">
      <c r="G395" s="55"/>
      <c r="N395" s="6"/>
      <c r="O395" s="53"/>
      <c r="P395" s="53"/>
      <c r="Q395" s="53"/>
      <c r="R395" s="51"/>
      <c r="S395" s="51"/>
      <c r="T395" s="53"/>
      <c r="U395" s="53"/>
      <c r="V395" s="53"/>
      <c r="W395" s="53"/>
      <c r="X395" s="53"/>
      <c r="Y395" s="53"/>
      <c r="Z395" s="52"/>
      <c r="AA395" s="52"/>
      <c r="AB395" s="52"/>
      <c r="AC395" s="52"/>
      <c r="AD395" s="53"/>
      <c r="AE395" s="53"/>
      <c r="AF395" s="53"/>
    </row>
    <row r="396">
      <c r="G396" s="55"/>
      <c r="N396" s="6"/>
      <c r="O396" s="53"/>
      <c r="P396" s="53"/>
      <c r="Q396" s="53"/>
      <c r="R396" s="51"/>
      <c r="S396" s="51"/>
      <c r="T396" s="53"/>
      <c r="U396" s="53"/>
      <c r="V396" s="53"/>
      <c r="W396" s="53"/>
      <c r="X396" s="53"/>
      <c r="Y396" s="53"/>
      <c r="Z396" s="52"/>
      <c r="AA396" s="52"/>
      <c r="AB396" s="52"/>
      <c r="AC396" s="52"/>
      <c r="AD396" s="53"/>
      <c r="AE396" s="53"/>
      <c r="AF396" s="53"/>
    </row>
    <row r="397">
      <c r="G397" s="55"/>
      <c r="N397" s="6"/>
      <c r="O397" s="53"/>
      <c r="P397" s="53"/>
      <c r="Q397" s="53"/>
      <c r="R397" s="51"/>
      <c r="S397" s="51"/>
      <c r="T397" s="53"/>
      <c r="U397" s="53"/>
      <c r="V397" s="53"/>
      <c r="W397" s="53"/>
      <c r="X397" s="53"/>
      <c r="Y397" s="53"/>
      <c r="Z397" s="52"/>
      <c r="AA397" s="52"/>
      <c r="AB397" s="52"/>
      <c r="AC397" s="52"/>
      <c r="AD397" s="53"/>
      <c r="AE397" s="53"/>
      <c r="AF397" s="53"/>
    </row>
    <row r="398">
      <c r="G398" s="55"/>
      <c r="N398" s="6"/>
      <c r="O398" s="53"/>
      <c r="P398" s="53"/>
      <c r="Q398" s="53"/>
      <c r="R398" s="51"/>
      <c r="S398" s="51"/>
      <c r="T398" s="53"/>
      <c r="U398" s="53"/>
      <c r="V398" s="53"/>
      <c r="W398" s="53"/>
      <c r="X398" s="53"/>
      <c r="Y398" s="53"/>
      <c r="Z398" s="52"/>
      <c r="AA398" s="52"/>
      <c r="AB398" s="52"/>
      <c r="AC398" s="52"/>
      <c r="AD398" s="53"/>
      <c r="AE398" s="53"/>
      <c r="AF398" s="53"/>
    </row>
    <row r="399">
      <c r="G399" s="55"/>
      <c r="N399" s="6"/>
      <c r="O399" s="53"/>
      <c r="P399" s="53"/>
      <c r="Q399" s="53"/>
      <c r="R399" s="51"/>
      <c r="S399" s="51"/>
      <c r="T399" s="53"/>
      <c r="U399" s="53"/>
      <c r="V399" s="53"/>
      <c r="W399" s="53"/>
      <c r="X399" s="53"/>
      <c r="Y399" s="53"/>
      <c r="Z399" s="52"/>
      <c r="AA399" s="52"/>
      <c r="AB399" s="52"/>
      <c r="AC399" s="52"/>
      <c r="AD399" s="53"/>
      <c r="AE399" s="53"/>
      <c r="AF399" s="53"/>
    </row>
    <row r="400">
      <c r="G400" s="55"/>
      <c r="N400" s="6"/>
      <c r="O400" s="53"/>
      <c r="P400" s="53"/>
      <c r="Q400" s="53"/>
      <c r="R400" s="51"/>
      <c r="S400" s="51"/>
      <c r="T400" s="53"/>
      <c r="U400" s="53"/>
      <c r="V400" s="53"/>
      <c r="W400" s="53"/>
      <c r="X400" s="53"/>
      <c r="Y400" s="53"/>
      <c r="Z400" s="52"/>
      <c r="AA400" s="52"/>
      <c r="AB400" s="52"/>
      <c r="AC400" s="52"/>
      <c r="AD400" s="53"/>
      <c r="AE400" s="53"/>
      <c r="AF400" s="53"/>
    </row>
    <row r="401">
      <c r="G401" s="55"/>
      <c r="N401" s="6"/>
      <c r="O401" s="53"/>
      <c r="P401" s="53"/>
      <c r="Q401" s="53"/>
      <c r="R401" s="51"/>
      <c r="S401" s="51"/>
      <c r="T401" s="53"/>
      <c r="U401" s="53"/>
      <c r="V401" s="53"/>
      <c r="W401" s="53"/>
      <c r="X401" s="53"/>
      <c r="Y401" s="53"/>
      <c r="Z401" s="52"/>
      <c r="AA401" s="52"/>
      <c r="AB401" s="52"/>
      <c r="AC401" s="52"/>
      <c r="AD401" s="53"/>
      <c r="AE401" s="53"/>
      <c r="AF401" s="53"/>
    </row>
    <row r="402">
      <c r="G402" s="55"/>
      <c r="N402" s="6"/>
      <c r="O402" s="53"/>
      <c r="P402" s="53"/>
      <c r="Q402" s="53"/>
      <c r="R402" s="51"/>
      <c r="S402" s="51"/>
      <c r="T402" s="53"/>
      <c r="U402" s="53"/>
      <c r="V402" s="53"/>
      <c r="W402" s="53"/>
      <c r="X402" s="53"/>
      <c r="Y402" s="53"/>
      <c r="Z402" s="52"/>
      <c r="AA402" s="52"/>
      <c r="AB402" s="52"/>
      <c r="AC402" s="52"/>
      <c r="AD402" s="53"/>
      <c r="AE402" s="53"/>
      <c r="AF402" s="53"/>
    </row>
    <row r="403">
      <c r="G403" s="55"/>
      <c r="N403" s="6"/>
      <c r="O403" s="53"/>
      <c r="P403" s="53"/>
      <c r="Q403" s="53"/>
      <c r="R403" s="51"/>
      <c r="S403" s="51"/>
      <c r="T403" s="53"/>
      <c r="U403" s="53"/>
      <c r="V403" s="53"/>
      <c r="W403" s="53"/>
      <c r="X403" s="53"/>
      <c r="Y403" s="53"/>
      <c r="Z403" s="52"/>
      <c r="AA403" s="52"/>
      <c r="AB403" s="52"/>
      <c r="AC403" s="52"/>
      <c r="AD403" s="53"/>
      <c r="AE403" s="53"/>
      <c r="AF403" s="53"/>
    </row>
    <row r="404">
      <c r="G404" s="55"/>
      <c r="N404" s="6"/>
      <c r="O404" s="53"/>
      <c r="P404" s="53"/>
      <c r="Q404" s="53"/>
      <c r="R404" s="51"/>
      <c r="S404" s="51"/>
      <c r="T404" s="53"/>
      <c r="U404" s="53"/>
      <c r="V404" s="53"/>
      <c r="W404" s="53"/>
      <c r="X404" s="53"/>
      <c r="Y404" s="53"/>
      <c r="Z404" s="52"/>
      <c r="AA404" s="52"/>
      <c r="AB404" s="52"/>
      <c r="AC404" s="52"/>
      <c r="AD404" s="53"/>
      <c r="AE404" s="53"/>
      <c r="AF404" s="53"/>
    </row>
    <row r="405">
      <c r="G405" s="55"/>
      <c r="N405" s="6"/>
      <c r="O405" s="53"/>
      <c r="P405" s="53"/>
      <c r="Q405" s="53"/>
      <c r="R405" s="51"/>
      <c r="S405" s="51"/>
      <c r="T405" s="53"/>
      <c r="U405" s="53"/>
      <c r="V405" s="53"/>
      <c r="W405" s="53"/>
      <c r="X405" s="53"/>
      <c r="Y405" s="53"/>
      <c r="Z405" s="52"/>
      <c r="AA405" s="52"/>
      <c r="AB405" s="52"/>
      <c r="AC405" s="52"/>
      <c r="AD405" s="53"/>
      <c r="AE405" s="53"/>
      <c r="AF405" s="53"/>
    </row>
    <row r="406">
      <c r="G406" s="55"/>
      <c r="N406" s="6"/>
      <c r="O406" s="53"/>
      <c r="P406" s="53"/>
      <c r="Q406" s="53"/>
      <c r="R406" s="51"/>
      <c r="S406" s="51"/>
      <c r="T406" s="53"/>
      <c r="U406" s="53"/>
      <c r="V406" s="53"/>
      <c r="W406" s="53"/>
      <c r="X406" s="53"/>
      <c r="Y406" s="53"/>
      <c r="Z406" s="52"/>
      <c r="AA406" s="52"/>
      <c r="AB406" s="52"/>
      <c r="AC406" s="52"/>
      <c r="AD406" s="53"/>
      <c r="AE406" s="53"/>
      <c r="AF406" s="53"/>
    </row>
    <row r="407">
      <c r="G407" s="55"/>
      <c r="N407" s="6"/>
      <c r="O407" s="53"/>
      <c r="P407" s="53"/>
      <c r="Q407" s="53"/>
      <c r="R407" s="51"/>
      <c r="S407" s="51"/>
      <c r="T407" s="53"/>
      <c r="U407" s="53"/>
      <c r="V407" s="53"/>
      <c r="W407" s="53"/>
      <c r="X407" s="53"/>
      <c r="Y407" s="53"/>
      <c r="Z407" s="52"/>
      <c r="AA407" s="52"/>
      <c r="AB407" s="52"/>
      <c r="AC407" s="52"/>
      <c r="AD407" s="53"/>
      <c r="AE407" s="53"/>
      <c r="AF407" s="53"/>
    </row>
    <row r="408">
      <c r="G408" s="55"/>
      <c r="N408" s="6"/>
      <c r="O408" s="53"/>
      <c r="P408" s="53"/>
      <c r="Q408" s="53"/>
      <c r="R408" s="51"/>
      <c r="S408" s="51"/>
      <c r="T408" s="53"/>
      <c r="U408" s="53"/>
      <c r="V408" s="53"/>
      <c r="W408" s="53"/>
      <c r="X408" s="53"/>
      <c r="Y408" s="53"/>
      <c r="Z408" s="52"/>
      <c r="AA408" s="52"/>
      <c r="AB408" s="52"/>
      <c r="AC408" s="52"/>
      <c r="AD408" s="53"/>
      <c r="AE408" s="53"/>
      <c r="AF408" s="53"/>
    </row>
    <row r="409">
      <c r="G409" s="55"/>
      <c r="N409" s="6"/>
      <c r="O409" s="53"/>
      <c r="P409" s="53"/>
      <c r="Q409" s="53"/>
      <c r="R409" s="51"/>
      <c r="S409" s="51"/>
      <c r="T409" s="53"/>
      <c r="U409" s="53"/>
      <c r="V409" s="53"/>
      <c r="W409" s="53"/>
      <c r="X409" s="53"/>
      <c r="Y409" s="53"/>
      <c r="Z409" s="52"/>
      <c r="AA409" s="52"/>
      <c r="AB409" s="52"/>
      <c r="AC409" s="52"/>
      <c r="AD409" s="53"/>
      <c r="AE409" s="53"/>
      <c r="AF409" s="53"/>
    </row>
    <row r="410">
      <c r="G410" s="55"/>
      <c r="N410" s="6"/>
      <c r="O410" s="53"/>
      <c r="P410" s="53"/>
      <c r="Q410" s="53"/>
      <c r="R410" s="51"/>
      <c r="S410" s="51"/>
      <c r="T410" s="53"/>
      <c r="U410" s="53"/>
      <c r="V410" s="53"/>
      <c r="W410" s="53"/>
      <c r="X410" s="53"/>
      <c r="Y410" s="53"/>
      <c r="Z410" s="52"/>
      <c r="AA410" s="52"/>
      <c r="AB410" s="52"/>
      <c r="AC410" s="52"/>
      <c r="AD410" s="53"/>
      <c r="AE410" s="53"/>
      <c r="AF410" s="53"/>
    </row>
    <row r="411">
      <c r="G411" s="55"/>
      <c r="N411" s="6"/>
      <c r="O411" s="53"/>
      <c r="P411" s="53"/>
      <c r="Q411" s="53"/>
      <c r="R411" s="51"/>
      <c r="S411" s="51"/>
      <c r="T411" s="53"/>
      <c r="U411" s="53"/>
      <c r="V411" s="53"/>
      <c r="W411" s="53"/>
      <c r="X411" s="53"/>
      <c r="Y411" s="53"/>
      <c r="Z411" s="52"/>
      <c r="AA411" s="52"/>
      <c r="AB411" s="52"/>
      <c r="AC411" s="52"/>
      <c r="AD411" s="53"/>
      <c r="AE411" s="53"/>
      <c r="AF411" s="53"/>
    </row>
    <row r="412">
      <c r="G412" s="55"/>
      <c r="N412" s="6"/>
      <c r="O412" s="53"/>
      <c r="P412" s="53"/>
      <c r="Q412" s="53"/>
      <c r="R412" s="51"/>
      <c r="S412" s="51"/>
      <c r="T412" s="53"/>
      <c r="U412" s="53"/>
      <c r="V412" s="53"/>
      <c r="W412" s="53"/>
      <c r="X412" s="53"/>
      <c r="Y412" s="53"/>
      <c r="Z412" s="52"/>
      <c r="AA412" s="52"/>
      <c r="AB412" s="52"/>
      <c r="AC412" s="52"/>
      <c r="AD412" s="53"/>
      <c r="AE412" s="53"/>
      <c r="AF412" s="53"/>
    </row>
    <row r="413">
      <c r="G413" s="55"/>
      <c r="N413" s="6"/>
      <c r="O413" s="53"/>
      <c r="P413" s="53"/>
      <c r="Q413" s="53"/>
      <c r="R413" s="51"/>
      <c r="S413" s="51"/>
      <c r="T413" s="53"/>
      <c r="U413" s="53"/>
      <c r="V413" s="53"/>
      <c r="W413" s="53"/>
      <c r="X413" s="53"/>
      <c r="Y413" s="53"/>
      <c r="Z413" s="52"/>
      <c r="AA413" s="52"/>
      <c r="AB413" s="52"/>
      <c r="AC413" s="52"/>
      <c r="AD413" s="53"/>
      <c r="AE413" s="53"/>
      <c r="AF413" s="53"/>
    </row>
    <row r="414">
      <c r="G414" s="55"/>
      <c r="N414" s="6"/>
      <c r="O414" s="53"/>
      <c r="P414" s="53"/>
      <c r="Q414" s="53"/>
      <c r="R414" s="51"/>
      <c r="S414" s="51"/>
      <c r="T414" s="53"/>
      <c r="U414" s="53"/>
      <c r="V414" s="53"/>
      <c r="W414" s="53"/>
      <c r="X414" s="53"/>
      <c r="Y414" s="53"/>
      <c r="Z414" s="52"/>
      <c r="AA414" s="52"/>
      <c r="AB414" s="52"/>
      <c r="AC414" s="52"/>
      <c r="AD414" s="53"/>
      <c r="AE414" s="53"/>
      <c r="AF414" s="53"/>
    </row>
    <row r="415">
      <c r="G415" s="55"/>
      <c r="N415" s="6"/>
      <c r="O415" s="53"/>
      <c r="P415" s="53"/>
      <c r="Q415" s="53"/>
      <c r="R415" s="51"/>
      <c r="S415" s="51"/>
      <c r="T415" s="53"/>
      <c r="U415" s="53"/>
      <c r="V415" s="53"/>
      <c r="W415" s="53"/>
      <c r="X415" s="53"/>
      <c r="Y415" s="53"/>
      <c r="Z415" s="52"/>
      <c r="AA415" s="52"/>
      <c r="AB415" s="52"/>
      <c r="AC415" s="52"/>
      <c r="AD415" s="53"/>
      <c r="AE415" s="53"/>
      <c r="AF415" s="53"/>
    </row>
    <row r="416">
      <c r="G416" s="55"/>
      <c r="N416" s="6"/>
      <c r="O416" s="53"/>
      <c r="P416" s="53"/>
      <c r="Q416" s="53"/>
      <c r="R416" s="51"/>
      <c r="S416" s="51"/>
      <c r="T416" s="53"/>
      <c r="U416" s="53"/>
      <c r="V416" s="53"/>
      <c r="W416" s="53"/>
      <c r="X416" s="53"/>
      <c r="Y416" s="53"/>
      <c r="Z416" s="52"/>
      <c r="AA416" s="52"/>
      <c r="AB416" s="52"/>
      <c r="AC416" s="52"/>
      <c r="AD416" s="53"/>
      <c r="AE416" s="53"/>
      <c r="AF416" s="53"/>
    </row>
    <row r="417">
      <c r="G417" s="55"/>
      <c r="N417" s="6"/>
      <c r="O417" s="53"/>
      <c r="P417" s="53"/>
      <c r="Q417" s="53"/>
      <c r="R417" s="51"/>
      <c r="S417" s="51"/>
      <c r="T417" s="53"/>
      <c r="U417" s="53"/>
      <c r="V417" s="53"/>
      <c r="W417" s="53"/>
      <c r="X417" s="53"/>
      <c r="Y417" s="53"/>
      <c r="Z417" s="52"/>
      <c r="AA417" s="52"/>
      <c r="AB417" s="52"/>
      <c r="AC417" s="52"/>
      <c r="AD417" s="53"/>
      <c r="AE417" s="53"/>
      <c r="AF417" s="53"/>
    </row>
    <row r="418">
      <c r="G418" s="55"/>
      <c r="N418" s="6"/>
      <c r="O418" s="53"/>
      <c r="P418" s="53"/>
      <c r="Q418" s="53"/>
      <c r="R418" s="51"/>
      <c r="S418" s="51"/>
      <c r="T418" s="53"/>
      <c r="U418" s="53"/>
      <c r="V418" s="53"/>
      <c r="W418" s="53"/>
      <c r="X418" s="53"/>
      <c r="Y418" s="53"/>
      <c r="Z418" s="52"/>
      <c r="AA418" s="52"/>
      <c r="AB418" s="52"/>
      <c r="AC418" s="52"/>
      <c r="AD418" s="53"/>
      <c r="AE418" s="53"/>
      <c r="AF418" s="53"/>
    </row>
    <row r="419">
      <c r="G419" s="55"/>
      <c r="N419" s="6"/>
      <c r="O419" s="53"/>
      <c r="P419" s="53"/>
      <c r="Q419" s="53"/>
      <c r="R419" s="51"/>
      <c r="S419" s="51"/>
      <c r="T419" s="53"/>
      <c r="U419" s="53"/>
      <c r="V419" s="53"/>
      <c r="W419" s="53"/>
      <c r="X419" s="53"/>
      <c r="Y419" s="53"/>
      <c r="Z419" s="52"/>
      <c r="AA419" s="52"/>
      <c r="AB419" s="52"/>
      <c r="AC419" s="52"/>
      <c r="AD419" s="53"/>
      <c r="AE419" s="53"/>
      <c r="AF419" s="53"/>
    </row>
    <row r="420">
      <c r="G420" s="55"/>
      <c r="N420" s="6"/>
      <c r="O420" s="53"/>
      <c r="P420" s="53"/>
      <c r="Q420" s="53"/>
      <c r="R420" s="51"/>
      <c r="S420" s="51"/>
      <c r="T420" s="53"/>
      <c r="U420" s="53"/>
      <c r="V420" s="53"/>
      <c r="W420" s="53"/>
      <c r="X420" s="53"/>
      <c r="Y420" s="53"/>
      <c r="Z420" s="52"/>
      <c r="AA420" s="52"/>
      <c r="AB420" s="52"/>
      <c r="AC420" s="52"/>
      <c r="AD420" s="53"/>
      <c r="AE420" s="53"/>
      <c r="AF420" s="53"/>
    </row>
    <row r="421">
      <c r="G421" s="55"/>
      <c r="N421" s="6"/>
      <c r="O421" s="53"/>
      <c r="P421" s="53"/>
      <c r="Q421" s="53"/>
      <c r="R421" s="51"/>
      <c r="S421" s="51"/>
      <c r="T421" s="53"/>
      <c r="U421" s="53"/>
      <c r="V421" s="53"/>
      <c r="W421" s="53"/>
      <c r="X421" s="53"/>
      <c r="Y421" s="53"/>
      <c r="Z421" s="52"/>
      <c r="AA421" s="52"/>
      <c r="AB421" s="52"/>
      <c r="AC421" s="52"/>
      <c r="AD421" s="53"/>
      <c r="AE421" s="53"/>
      <c r="AF421" s="53"/>
    </row>
    <row r="422">
      <c r="G422" s="55"/>
      <c r="N422" s="6"/>
      <c r="O422" s="53"/>
      <c r="P422" s="53"/>
      <c r="Q422" s="53"/>
      <c r="R422" s="51"/>
      <c r="S422" s="51"/>
      <c r="T422" s="53"/>
      <c r="U422" s="53"/>
      <c r="V422" s="53"/>
      <c r="W422" s="53"/>
      <c r="X422" s="53"/>
      <c r="Y422" s="53"/>
      <c r="Z422" s="52"/>
      <c r="AA422" s="52"/>
      <c r="AB422" s="52"/>
      <c r="AC422" s="52"/>
      <c r="AD422" s="53"/>
      <c r="AE422" s="53"/>
      <c r="AF422" s="53"/>
    </row>
    <row r="423">
      <c r="G423" s="55"/>
      <c r="N423" s="6"/>
      <c r="O423" s="53"/>
      <c r="P423" s="53"/>
      <c r="Q423" s="53"/>
      <c r="R423" s="51"/>
      <c r="S423" s="51"/>
      <c r="T423" s="53"/>
      <c r="U423" s="53"/>
      <c r="V423" s="53"/>
      <c r="W423" s="53"/>
      <c r="X423" s="53"/>
      <c r="Y423" s="53"/>
      <c r="Z423" s="52"/>
      <c r="AA423" s="52"/>
      <c r="AB423" s="52"/>
      <c r="AC423" s="52"/>
      <c r="AD423" s="53"/>
      <c r="AE423" s="53"/>
      <c r="AF423" s="53"/>
    </row>
    <row r="424">
      <c r="G424" s="55"/>
      <c r="N424" s="6"/>
      <c r="O424" s="53"/>
      <c r="P424" s="53"/>
      <c r="Q424" s="53"/>
      <c r="R424" s="51"/>
      <c r="S424" s="51"/>
      <c r="T424" s="53"/>
      <c r="U424" s="53"/>
      <c r="V424" s="53"/>
      <c r="W424" s="53"/>
      <c r="X424" s="53"/>
      <c r="Y424" s="53"/>
      <c r="Z424" s="52"/>
      <c r="AA424" s="52"/>
      <c r="AB424" s="52"/>
      <c r="AC424" s="52"/>
      <c r="AD424" s="53"/>
      <c r="AE424" s="53"/>
      <c r="AF424" s="53"/>
    </row>
    <row r="425">
      <c r="G425" s="55"/>
      <c r="N425" s="6"/>
      <c r="O425" s="53"/>
      <c r="P425" s="53"/>
      <c r="Q425" s="53"/>
      <c r="R425" s="51"/>
      <c r="S425" s="51"/>
      <c r="T425" s="53"/>
      <c r="U425" s="53"/>
      <c r="V425" s="53"/>
      <c r="W425" s="53"/>
      <c r="X425" s="53"/>
      <c r="Y425" s="53"/>
      <c r="Z425" s="52"/>
      <c r="AA425" s="52"/>
      <c r="AB425" s="52"/>
      <c r="AC425" s="52"/>
      <c r="AD425" s="53"/>
      <c r="AE425" s="53"/>
      <c r="AF425" s="53"/>
    </row>
    <row r="426">
      <c r="G426" s="55"/>
      <c r="N426" s="6"/>
      <c r="O426" s="53"/>
      <c r="P426" s="53"/>
      <c r="Q426" s="53"/>
      <c r="R426" s="51"/>
      <c r="S426" s="51"/>
      <c r="T426" s="53"/>
      <c r="U426" s="53"/>
      <c r="V426" s="53"/>
      <c r="W426" s="53"/>
      <c r="X426" s="53"/>
      <c r="Y426" s="53"/>
      <c r="Z426" s="52"/>
      <c r="AA426" s="52"/>
      <c r="AB426" s="52"/>
      <c r="AC426" s="52"/>
      <c r="AD426" s="53"/>
      <c r="AE426" s="53"/>
      <c r="AF426" s="53"/>
    </row>
    <row r="427">
      <c r="G427" s="55"/>
      <c r="N427" s="6"/>
      <c r="O427" s="53"/>
      <c r="P427" s="53"/>
      <c r="Q427" s="53"/>
      <c r="R427" s="51"/>
      <c r="S427" s="51"/>
      <c r="T427" s="53"/>
      <c r="U427" s="53"/>
      <c r="V427" s="53"/>
      <c r="W427" s="53"/>
      <c r="X427" s="53"/>
      <c r="Y427" s="53"/>
      <c r="Z427" s="52"/>
      <c r="AA427" s="52"/>
      <c r="AB427" s="52"/>
      <c r="AC427" s="52"/>
      <c r="AD427" s="53"/>
      <c r="AE427" s="53"/>
      <c r="AF427" s="53"/>
    </row>
    <row r="428">
      <c r="G428" s="55"/>
      <c r="N428" s="6"/>
      <c r="O428" s="53"/>
      <c r="P428" s="53"/>
      <c r="Q428" s="53"/>
      <c r="R428" s="51"/>
      <c r="S428" s="51"/>
      <c r="T428" s="53"/>
      <c r="U428" s="53"/>
      <c r="V428" s="53"/>
      <c r="W428" s="53"/>
      <c r="X428" s="53"/>
      <c r="Y428" s="53"/>
      <c r="Z428" s="52"/>
      <c r="AA428" s="52"/>
      <c r="AB428" s="52"/>
      <c r="AC428" s="52"/>
      <c r="AD428" s="53"/>
      <c r="AE428" s="53"/>
      <c r="AF428" s="53"/>
    </row>
    <row r="429">
      <c r="G429" s="55"/>
      <c r="N429" s="6"/>
      <c r="O429" s="53"/>
      <c r="P429" s="53"/>
      <c r="Q429" s="53"/>
      <c r="R429" s="51"/>
      <c r="S429" s="51"/>
      <c r="T429" s="53"/>
      <c r="U429" s="53"/>
      <c r="V429" s="53"/>
      <c r="W429" s="53"/>
      <c r="X429" s="53"/>
      <c r="Y429" s="53"/>
      <c r="Z429" s="52"/>
      <c r="AA429" s="52"/>
      <c r="AB429" s="52"/>
      <c r="AC429" s="52"/>
      <c r="AD429" s="53"/>
      <c r="AE429" s="53"/>
      <c r="AF429" s="53"/>
    </row>
    <row r="430">
      <c r="G430" s="55"/>
      <c r="N430" s="6"/>
      <c r="O430" s="53"/>
      <c r="P430" s="53"/>
      <c r="Q430" s="53"/>
      <c r="R430" s="51"/>
      <c r="S430" s="51"/>
      <c r="T430" s="53"/>
      <c r="U430" s="53"/>
      <c r="V430" s="53"/>
      <c r="W430" s="53"/>
      <c r="X430" s="53"/>
      <c r="Y430" s="53"/>
      <c r="Z430" s="52"/>
      <c r="AA430" s="52"/>
      <c r="AB430" s="52"/>
      <c r="AC430" s="52"/>
      <c r="AD430" s="53"/>
      <c r="AE430" s="53"/>
      <c r="AF430" s="53"/>
    </row>
    <row r="431">
      <c r="G431" s="55"/>
      <c r="N431" s="6"/>
      <c r="O431" s="53"/>
      <c r="P431" s="53"/>
      <c r="Q431" s="53"/>
      <c r="R431" s="51"/>
      <c r="S431" s="51"/>
      <c r="T431" s="53"/>
      <c r="U431" s="53"/>
      <c r="V431" s="53"/>
      <c r="W431" s="53"/>
      <c r="X431" s="53"/>
      <c r="Y431" s="53"/>
      <c r="Z431" s="52"/>
      <c r="AA431" s="52"/>
      <c r="AB431" s="52"/>
      <c r="AC431" s="52"/>
      <c r="AD431" s="53"/>
      <c r="AE431" s="53"/>
      <c r="AF431" s="53"/>
    </row>
    <row r="432">
      <c r="G432" s="55"/>
      <c r="N432" s="6"/>
      <c r="O432" s="53"/>
      <c r="P432" s="53"/>
      <c r="Q432" s="53"/>
      <c r="R432" s="51"/>
      <c r="S432" s="51"/>
      <c r="T432" s="53"/>
      <c r="U432" s="53"/>
      <c r="V432" s="53"/>
      <c r="W432" s="53"/>
      <c r="X432" s="53"/>
      <c r="Y432" s="53"/>
      <c r="Z432" s="52"/>
      <c r="AA432" s="52"/>
      <c r="AB432" s="52"/>
      <c r="AC432" s="52"/>
      <c r="AD432" s="53"/>
      <c r="AE432" s="53"/>
      <c r="AF432" s="53"/>
    </row>
    <row r="433">
      <c r="G433" s="55"/>
      <c r="N433" s="6"/>
      <c r="O433" s="53"/>
      <c r="P433" s="53"/>
      <c r="Q433" s="53"/>
      <c r="R433" s="51"/>
      <c r="S433" s="51"/>
      <c r="T433" s="53"/>
      <c r="U433" s="53"/>
      <c r="V433" s="53"/>
      <c r="W433" s="53"/>
      <c r="X433" s="53"/>
      <c r="Y433" s="53"/>
      <c r="Z433" s="52"/>
      <c r="AA433" s="52"/>
      <c r="AB433" s="52"/>
      <c r="AC433" s="52"/>
      <c r="AD433" s="53"/>
      <c r="AE433" s="53"/>
      <c r="AF433" s="53"/>
    </row>
    <row r="434">
      <c r="G434" s="55"/>
      <c r="N434" s="6"/>
      <c r="O434" s="53"/>
      <c r="P434" s="53"/>
      <c r="Q434" s="53"/>
      <c r="R434" s="51"/>
      <c r="S434" s="51"/>
      <c r="T434" s="53"/>
      <c r="U434" s="53"/>
      <c r="V434" s="53"/>
      <c r="W434" s="53"/>
      <c r="X434" s="53"/>
      <c r="Y434" s="53"/>
      <c r="Z434" s="52"/>
      <c r="AA434" s="52"/>
      <c r="AB434" s="52"/>
      <c r="AC434" s="52"/>
      <c r="AD434" s="53"/>
      <c r="AE434" s="53"/>
      <c r="AF434" s="53"/>
    </row>
    <row r="435">
      <c r="G435" s="55"/>
      <c r="N435" s="6"/>
      <c r="O435" s="53"/>
      <c r="P435" s="53"/>
      <c r="Q435" s="53"/>
      <c r="R435" s="51"/>
      <c r="S435" s="51"/>
      <c r="T435" s="53"/>
      <c r="U435" s="53"/>
      <c r="V435" s="53"/>
      <c r="W435" s="53"/>
      <c r="X435" s="53"/>
      <c r="Y435" s="53"/>
      <c r="Z435" s="52"/>
      <c r="AA435" s="52"/>
      <c r="AB435" s="52"/>
      <c r="AC435" s="52"/>
      <c r="AD435" s="53"/>
      <c r="AE435" s="53"/>
      <c r="AF435" s="53"/>
    </row>
    <row r="436">
      <c r="G436" s="55"/>
      <c r="N436" s="6"/>
      <c r="O436" s="53"/>
      <c r="P436" s="53"/>
      <c r="Q436" s="53"/>
      <c r="R436" s="51"/>
      <c r="S436" s="51"/>
      <c r="T436" s="53"/>
      <c r="U436" s="53"/>
      <c r="V436" s="53"/>
      <c r="W436" s="53"/>
      <c r="X436" s="53"/>
      <c r="Y436" s="53"/>
      <c r="Z436" s="52"/>
      <c r="AA436" s="52"/>
      <c r="AB436" s="52"/>
      <c r="AC436" s="52"/>
      <c r="AD436" s="53"/>
      <c r="AE436" s="53"/>
      <c r="AF436" s="53"/>
    </row>
    <row r="437">
      <c r="G437" s="55"/>
      <c r="N437" s="6"/>
      <c r="O437" s="53"/>
      <c r="P437" s="53"/>
      <c r="Q437" s="53"/>
      <c r="R437" s="51"/>
      <c r="S437" s="51"/>
      <c r="T437" s="53"/>
      <c r="U437" s="53"/>
      <c r="V437" s="53"/>
      <c r="W437" s="53"/>
      <c r="X437" s="53"/>
      <c r="Y437" s="53"/>
      <c r="Z437" s="52"/>
      <c r="AA437" s="52"/>
      <c r="AB437" s="52"/>
      <c r="AC437" s="52"/>
      <c r="AD437" s="53"/>
      <c r="AE437" s="53"/>
      <c r="AF437" s="53"/>
    </row>
    <row r="438">
      <c r="G438" s="55"/>
      <c r="N438" s="6"/>
      <c r="O438" s="53"/>
      <c r="P438" s="53"/>
      <c r="Q438" s="53"/>
      <c r="R438" s="51"/>
      <c r="S438" s="51"/>
      <c r="T438" s="53"/>
      <c r="U438" s="53"/>
      <c r="V438" s="53"/>
      <c r="W438" s="53"/>
      <c r="X438" s="53"/>
      <c r="Y438" s="53"/>
      <c r="Z438" s="52"/>
      <c r="AA438" s="52"/>
      <c r="AB438" s="52"/>
      <c r="AC438" s="52"/>
      <c r="AD438" s="53"/>
      <c r="AE438" s="53"/>
      <c r="AF438" s="53"/>
    </row>
    <row r="439">
      <c r="G439" s="55"/>
      <c r="N439" s="6"/>
      <c r="O439" s="53"/>
      <c r="P439" s="53"/>
      <c r="Q439" s="53"/>
      <c r="R439" s="51"/>
      <c r="S439" s="51"/>
      <c r="T439" s="53"/>
      <c r="U439" s="53"/>
      <c r="V439" s="53"/>
      <c r="W439" s="53"/>
      <c r="X439" s="53"/>
      <c r="Y439" s="53"/>
      <c r="Z439" s="52"/>
      <c r="AA439" s="52"/>
      <c r="AB439" s="52"/>
      <c r="AC439" s="52"/>
      <c r="AD439" s="53"/>
      <c r="AE439" s="53"/>
      <c r="AF439" s="53"/>
    </row>
    <row r="440">
      <c r="G440" s="55"/>
      <c r="N440" s="6"/>
      <c r="O440" s="53"/>
      <c r="P440" s="53"/>
      <c r="Q440" s="53"/>
      <c r="R440" s="51"/>
      <c r="S440" s="51"/>
      <c r="T440" s="53"/>
      <c r="U440" s="53"/>
      <c r="V440" s="53"/>
      <c r="W440" s="53"/>
      <c r="X440" s="53"/>
      <c r="Y440" s="53"/>
      <c r="Z440" s="52"/>
      <c r="AA440" s="52"/>
      <c r="AB440" s="52"/>
      <c r="AC440" s="52"/>
      <c r="AD440" s="53"/>
      <c r="AE440" s="53"/>
      <c r="AF440" s="53"/>
    </row>
    <row r="441">
      <c r="G441" s="55"/>
      <c r="N441" s="6"/>
      <c r="O441" s="53"/>
      <c r="P441" s="53"/>
      <c r="Q441" s="53"/>
      <c r="R441" s="51"/>
      <c r="S441" s="51"/>
      <c r="T441" s="53"/>
      <c r="U441" s="53"/>
      <c r="V441" s="53"/>
      <c r="W441" s="53"/>
      <c r="X441" s="53"/>
      <c r="Y441" s="53"/>
      <c r="Z441" s="52"/>
      <c r="AA441" s="52"/>
      <c r="AB441" s="52"/>
      <c r="AC441" s="52"/>
      <c r="AD441" s="53"/>
      <c r="AE441" s="53"/>
      <c r="AF441" s="53"/>
    </row>
    <row r="442">
      <c r="G442" s="55"/>
      <c r="N442" s="6"/>
      <c r="O442" s="53"/>
      <c r="P442" s="53"/>
      <c r="Q442" s="53"/>
      <c r="R442" s="51"/>
      <c r="S442" s="51"/>
      <c r="T442" s="53"/>
      <c r="U442" s="53"/>
      <c r="V442" s="53"/>
      <c r="W442" s="53"/>
      <c r="X442" s="53"/>
      <c r="Y442" s="53"/>
      <c r="Z442" s="52"/>
      <c r="AA442" s="52"/>
      <c r="AB442" s="52"/>
      <c r="AC442" s="52"/>
      <c r="AD442" s="53"/>
      <c r="AE442" s="53"/>
      <c r="AF442" s="53"/>
    </row>
    <row r="443">
      <c r="G443" s="55"/>
      <c r="N443" s="6"/>
      <c r="O443" s="53"/>
      <c r="P443" s="53"/>
      <c r="Q443" s="53"/>
      <c r="R443" s="51"/>
      <c r="S443" s="51"/>
      <c r="T443" s="53"/>
      <c r="U443" s="53"/>
      <c r="V443" s="53"/>
      <c r="W443" s="53"/>
      <c r="X443" s="53"/>
      <c r="Y443" s="53"/>
      <c r="Z443" s="52"/>
      <c r="AA443" s="52"/>
      <c r="AB443" s="52"/>
      <c r="AC443" s="52"/>
      <c r="AD443" s="53"/>
      <c r="AE443" s="53"/>
      <c r="AF443" s="53"/>
    </row>
    <row r="444">
      <c r="G444" s="55"/>
      <c r="N444" s="6"/>
      <c r="O444" s="53"/>
      <c r="P444" s="53"/>
      <c r="Q444" s="53"/>
      <c r="R444" s="51"/>
      <c r="S444" s="51"/>
      <c r="T444" s="53"/>
      <c r="U444" s="53"/>
      <c r="V444" s="53"/>
      <c r="W444" s="53"/>
      <c r="X444" s="53"/>
      <c r="Y444" s="53"/>
      <c r="Z444" s="52"/>
      <c r="AA444" s="52"/>
      <c r="AB444" s="52"/>
      <c r="AC444" s="52"/>
      <c r="AD444" s="53"/>
      <c r="AE444" s="53"/>
      <c r="AF444" s="53"/>
    </row>
    <row r="445">
      <c r="G445" s="55"/>
      <c r="N445" s="6"/>
      <c r="O445" s="53"/>
      <c r="P445" s="53"/>
      <c r="Q445" s="53"/>
      <c r="R445" s="51"/>
      <c r="S445" s="51"/>
      <c r="T445" s="53"/>
      <c r="U445" s="53"/>
      <c r="V445" s="53"/>
      <c r="W445" s="53"/>
      <c r="X445" s="53"/>
      <c r="Y445" s="53"/>
      <c r="Z445" s="52"/>
      <c r="AA445" s="52"/>
      <c r="AB445" s="52"/>
      <c r="AC445" s="52"/>
      <c r="AD445" s="53"/>
      <c r="AE445" s="53"/>
      <c r="AF445" s="53"/>
    </row>
    <row r="446">
      <c r="G446" s="55"/>
      <c r="N446" s="6"/>
      <c r="O446" s="53"/>
      <c r="P446" s="53"/>
      <c r="Q446" s="53"/>
      <c r="R446" s="51"/>
      <c r="S446" s="51"/>
      <c r="T446" s="53"/>
      <c r="U446" s="53"/>
      <c r="V446" s="53"/>
      <c r="W446" s="53"/>
      <c r="X446" s="53"/>
      <c r="Y446" s="53"/>
      <c r="Z446" s="52"/>
      <c r="AA446" s="52"/>
      <c r="AB446" s="52"/>
      <c r="AC446" s="52"/>
      <c r="AD446" s="53"/>
      <c r="AE446" s="53"/>
      <c r="AF446" s="53"/>
    </row>
    <row r="447">
      <c r="G447" s="55"/>
      <c r="N447" s="6"/>
      <c r="O447" s="53"/>
      <c r="P447" s="53"/>
      <c r="Q447" s="53"/>
      <c r="R447" s="51"/>
      <c r="S447" s="51"/>
      <c r="T447" s="53"/>
      <c r="U447" s="53"/>
      <c r="V447" s="53"/>
      <c r="W447" s="53"/>
      <c r="X447" s="53"/>
      <c r="Y447" s="53"/>
      <c r="Z447" s="52"/>
      <c r="AA447" s="52"/>
      <c r="AB447" s="52"/>
      <c r="AC447" s="52"/>
      <c r="AD447" s="53"/>
      <c r="AE447" s="53"/>
      <c r="AF447" s="53"/>
    </row>
    <row r="448">
      <c r="G448" s="55"/>
      <c r="N448" s="6"/>
      <c r="O448" s="53"/>
      <c r="P448" s="53"/>
      <c r="Q448" s="53"/>
      <c r="R448" s="51"/>
      <c r="S448" s="51"/>
      <c r="T448" s="53"/>
      <c r="U448" s="53"/>
      <c r="V448" s="53"/>
      <c r="W448" s="53"/>
      <c r="X448" s="53"/>
      <c r="Y448" s="53"/>
      <c r="Z448" s="52"/>
      <c r="AA448" s="52"/>
      <c r="AB448" s="52"/>
      <c r="AC448" s="52"/>
      <c r="AD448" s="53"/>
      <c r="AE448" s="53"/>
      <c r="AF448" s="53"/>
    </row>
    <row r="449">
      <c r="G449" s="55"/>
      <c r="N449" s="6"/>
      <c r="O449" s="53"/>
      <c r="P449" s="53"/>
      <c r="Q449" s="53"/>
      <c r="R449" s="51"/>
      <c r="S449" s="51"/>
      <c r="T449" s="53"/>
      <c r="U449" s="53"/>
      <c r="V449" s="53"/>
      <c r="W449" s="53"/>
      <c r="X449" s="53"/>
      <c r="Y449" s="53"/>
      <c r="Z449" s="52"/>
      <c r="AA449" s="52"/>
      <c r="AB449" s="52"/>
      <c r="AC449" s="52"/>
      <c r="AD449" s="53"/>
      <c r="AE449" s="53"/>
      <c r="AF449" s="53"/>
    </row>
    <row r="450">
      <c r="G450" s="55"/>
      <c r="N450" s="6"/>
      <c r="O450" s="53"/>
      <c r="P450" s="53"/>
      <c r="Q450" s="53"/>
      <c r="R450" s="51"/>
      <c r="S450" s="51"/>
      <c r="T450" s="53"/>
      <c r="U450" s="53"/>
      <c r="V450" s="53"/>
      <c r="W450" s="53"/>
      <c r="X450" s="53"/>
      <c r="Y450" s="53"/>
      <c r="Z450" s="52"/>
      <c r="AA450" s="52"/>
      <c r="AB450" s="52"/>
      <c r="AC450" s="52"/>
      <c r="AD450" s="53"/>
      <c r="AE450" s="53"/>
      <c r="AF450" s="53"/>
    </row>
    <row r="451">
      <c r="G451" s="55"/>
      <c r="N451" s="6"/>
      <c r="O451" s="53"/>
      <c r="P451" s="53"/>
      <c r="Q451" s="53"/>
      <c r="R451" s="51"/>
      <c r="S451" s="51"/>
      <c r="T451" s="53"/>
      <c r="U451" s="53"/>
      <c r="V451" s="53"/>
      <c r="W451" s="53"/>
      <c r="X451" s="53"/>
      <c r="Y451" s="53"/>
      <c r="Z451" s="52"/>
      <c r="AA451" s="52"/>
      <c r="AB451" s="52"/>
      <c r="AC451" s="52"/>
      <c r="AD451" s="53"/>
      <c r="AE451" s="53"/>
      <c r="AF451" s="53"/>
    </row>
    <row r="452">
      <c r="G452" s="55"/>
      <c r="N452" s="6"/>
      <c r="O452" s="53"/>
      <c r="P452" s="53"/>
      <c r="Q452" s="53"/>
      <c r="R452" s="51"/>
      <c r="S452" s="51"/>
      <c r="T452" s="53"/>
      <c r="U452" s="53"/>
      <c r="V452" s="53"/>
      <c r="W452" s="53"/>
      <c r="X452" s="53"/>
      <c r="Y452" s="53"/>
      <c r="Z452" s="52"/>
      <c r="AA452" s="52"/>
      <c r="AB452" s="52"/>
      <c r="AC452" s="52"/>
      <c r="AD452" s="53"/>
      <c r="AE452" s="53"/>
      <c r="AF452" s="53"/>
    </row>
    <row r="453">
      <c r="G453" s="55"/>
      <c r="N453" s="6"/>
      <c r="O453" s="53"/>
      <c r="P453" s="53"/>
      <c r="Q453" s="53"/>
      <c r="R453" s="51"/>
      <c r="S453" s="51"/>
      <c r="T453" s="53"/>
      <c r="U453" s="53"/>
      <c r="V453" s="53"/>
      <c r="W453" s="53"/>
      <c r="X453" s="53"/>
      <c r="Y453" s="53"/>
      <c r="Z453" s="52"/>
      <c r="AA453" s="52"/>
      <c r="AB453" s="52"/>
      <c r="AC453" s="52"/>
      <c r="AD453" s="53"/>
      <c r="AE453" s="53"/>
      <c r="AF453" s="53"/>
    </row>
    <row r="454">
      <c r="G454" s="55"/>
      <c r="N454" s="6"/>
      <c r="O454" s="53"/>
      <c r="P454" s="53"/>
      <c r="Q454" s="53"/>
      <c r="R454" s="51"/>
      <c r="S454" s="51"/>
      <c r="T454" s="53"/>
      <c r="U454" s="53"/>
      <c r="V454" s="53"/>
      <c r="W454" s="53"/>
      <c r="X454" s="53"/>
      <c r="Y454" s="53"/>
      <c r="Z454" s="52"/>
      <c r="AA454" s="52"/>
      <c r="AB454" s="52"/>
      <c r="AC454" s="52"/>
      <c r="AD454" s="53"/>
      <c r="AE454" s="53"/>
      <c r="AF454" s="53"/>
    </row>
    <row r="455">
      <c r="G455" s="55"/>
      <c r="N455" s="6"/>
      <c r="O455" s="53"/>
      <c r="P455" s="53"/>
      <c r="Q455" s="53"/>
      <c r="R455" s="51"/>
      <c r="S455" s="51"/>
      <c r="T455" s="53"/>
      <c r="U455" s="53"/>
      <c r="V455" s="53"/>
      <c r="W455" s="53"/>
      <c r="X455" s="53"/>
      <c r="Y455" s="53"/>
      <c r="Z455" s="52"/>
      <c r="AA455" s="52"/>
      <c r="AB455" s="52"/>
      <c r="AC455" s="52"/>
      <c r="AD455" s="53"/>
      <c r="AE455" s="53"/>
      <c r="AF455" s="53"/>
    </row>
    <row r="456">
      <c r="G456" s="55"/>
      <c r="N456" s="6"/>
      <c r="O456" s="53"/>
      <c r="P456" s="53"/>
      <c r="Q456" s="53"/>
      <c r="R456" s="51"/>
      <c r="S456" s="51"/>
      <c r="T456" s="53"/>
      <c r="U456" s="53"/>
      <c r="V456" s="53"/>
      <c r="W456" s="53"/>
      <c r="X456" s="53"/>
      <c r="Y456" s="53"/>
      <c r="Z456" s="52"/>
      <c r="AA456" s="52"/>
      <c r="AB456" s="52"/>
      <c r="AC456" s="52"/>
      <c r="AD456" s="53"/>
      <c r="AE456" s="53"/>
      <c r="AF456" s="53"/>
    </row>
    <row r="457">
      <c r="G457" s="55"/>
      <c r="N457" s="6"/>
      <c r="O457" s="53"/>
      <c r="P457" s="53"/>
      <c r="Q457" s="53"/>
      <c r="R457" s="51"/>
      <c r="S457" s="51"/>
      <c r="T457" s="53"/>
      <c r="U457" s="53"/>
      <c r="V457" s="53"/>
      <c r="W457" s="53"/>
      <c r="X457" s="53"/>
      <c r="Y457" s="53"/>
      <c r="Z457" s="52"/>
      <c r="AA457" s="52"/>
      <c r="AB457" s="52"/>
      <c r="AC457" s="52"/>
      <c r="AD457" s="53"/>
      <c r="AE457" s="53"/>
      <c r="AF457" s="53"/>
    </row>
    <row r="458">
      <c r="G458" s="55"/>
      <c r="N458" s="6"/>
      <c r="O458" s="53"/>
      <c r="P458" s="53"/>
      <c r="Q458" s="53"/>
      <c r="R458" s="51"/>
      <c r="S458" s="51"/>
      <c r="T458" s="53"/>
      <c r="U458" s="53"/>
      <c r="V458" s="53"/>
      <c r="W458" s="53"/>
      <c r="X458" s="53"/>
      <c r="Y458" s="53"/>
      <c r="Z458" s="52"/>
      <c r="AA458" s="52"/>
      <c r="AB458" s="52"/>
      <c r="AC458" s="52"/>
      <c r="AD458" s="53"/>
      <c r="AE458" s="53"/>
      <c r="AF458" s="53"/>
    </row>
    <row r="459">
      <c r="G459" s="55"/>
      <c r="N459" s="6"/>
      <c r="O459" s="53"/>
      <c r="P459" s="53"/>
      <c r="Q459" s="53"/>
      <c r="R459" s="51"/>
      <c r="S459" s="51"/>
      <c r="T459" s="53"/>
      <c r="U459" s="53"/>
      <c r="V459" s="53"/>
      <c r="W459" s="53"/>
      <c r="X459" s="53"/>
      <c r="Y459" s="53"/>
      <c r="Z459" s="52"/>
      <c r="AA459" s="52"/>
      <c r="AB459" s="52"/>
      <c r="AC459" s="52"/>
      <c r="AD459" s="53"/>
      <c r="AE459" s="53"/>
      <c r="AF459" s="53"/>
    </row>
    <row r="460">
      <c r="G460" s="55"/>
      <c r="N460" s="6"/>
      <c r="O460" s="53"/>
      <c r="P460" s="53"/>
      <c r="Q460" s="53"/>
      <c r="R460" s="51"/>
      <c r="S460" s="51"/>
      <c r="T460" s="53"/>
      <c r="U460" s="53"/>
      <c r="V460" s="53"/>
      <c r="W460" s="53"/>
      <c r="X460" s="53"/>
      <c r="Y460" s="53"/>
      <c r="Z460" s="52"/>
      <c r="AA460" s="52"/>
      <c r="AB460" s="52"/>
      <c r="AC460" s="52"/>
      <c r="AD460" s="53"/>
      <c r="AE460" s="53"/>
      <c r="AF460" s="53"/>
    </row>
    <row r="461">
      <c r="G461" s="55"/>
      <c r="N461" s="6"/>
      <c r="O461" s="53"/>
      <c r="P461" s="53"/>
      <c r="Q461" s="53"/>
      <c r="R461" s="51"/>
      <c r="S461" s="51"/>
      <c r="T461" s="53"/>
      <c r="U461" s="53"/>
      <c r="V461" s="53"/>
      <c r="W461" s="53"/>
      <c r="X461" s="53"/>
      <c r="Y461" s="53"/>
      <c r="Z461" s="52"/>
      <c r="AA461" s="52"/>
      <c r="AB461" s="52"/>
      <c r="AC461" s="52"/>
      <c r="AD461" s="53"/>
      <c r="AE461" s="53"/>
      <c r="AF461" s="53"/>
    </row>
    <row r="462">
      <c r="G462" s="55"/>
      <c r="N462" s="6"/>
      <c r="O462" s="53"/>
      <c r="P462" s="53"/>
      <c r="Q462" s="53"/>
      <c r="R462" s="51"/>
      <c r="S462" s="51"/>
      <c r="T462" s="53"/>
      <c r="U462" s="53"/>
      <c r="V462" s="53"/>
      <c r="W462" s="53"/>
      <c r="X462" s="53"/>
      <c r="Y462" s="53"/>
      <c r="Z462" s="52"/>
      <c r="AA462" s="52"/>
      <c r="AB462" s="52"/>
      <c r="AC462" s="52"/>
      <c r="AD462" s="53"/>
      <c r="AE462" s="53"/>
      <c r="AF462" s="53"/>
    </row>
    <row r="463">
      <c r="G463" s="55"/>
      <c r="N463" s="6"/>
      <c r="O463" s="53"/>
      <c r="P463" s="53"/>
      <c r="Q463" s="53"/>
      <c r="R463" s="51"/>
      <c r="S463" s="51"/>
      <c r="T463" s="53"/>
      <c r="U463" s="53"/>
      <c r="V463" s="53"/>
      <c r="W463" s="53"/>
      <c r="X463" s="53"/>
      <c r="Y463" s="53"/>
      <c r="Z463" s="52"/>
      <c r="AA463" s="52"/>
      <c r="AB463" s="52"/>
      <c r="AC463" s="52"/>
      <c r="AD463" s="53"/>
      <c r="AE463" s="53"/>
      <c r="AF463" s="53"/>
    </row>
    <row r="464">
      <c r="G464" s="55"/>
      <c r="N464" s="6"/>
      <c r="O464" s="53"/>
      <c r="P464" s="53"/>
      <c r="Q464" s="53"/>
      <c r="R464" s="51"/>
      <c r="S464" s="51"/>
      <c r="T464" s="53"/>
      <c r="U464" s="53"/>
      <c r="V464" s="53"/>
      <c r="W464" s="53"/>
      <c r="X464" s="53"/>
      <c r="Y464" s="53"/>
      <c r="Z464" s="52"/>
      <c r="AA464" s="52"/>
      <c r="AB464" s="52"/>
      <c r="AC464" s="52"/>
      <c r="AD464" s="53"/>
      <c r="AE464" s="53"/>
      <c r="AF464" s="53"/>
    </row>
    <row r="465">
      <c r="G465" s="55"/>
      <c r="N465" s="6"/>
      <c r="O465" s="53"/>
      <c r="P465" s="53"/>
      <c r="Q465" s="53"/>
      <c r="R465" s="51"/>
      <c r="S465" s="51"/>
      <c r="T465" s="53"/>
      <c r="U465" s="53"/>
      <c r="V465" s="53"/>
      <c r="W465" s="53"/>
      <c r="X465" s="53"/>
      <c r="Y465" s="53"/>
      <c r="Z465" s="52"/>
      <c r="AA465" s="52"/>
      <c r="AB465" s="52"/>
      <c r="AC465" s="52"/>
      <c r="AD465" s="53"/>
      <c r="AE465" s="53"/>
      <c r="AF465" s="53"/>
    </row>
    <row r="466">
      <c r="G466" s="55"/>
      <c r="N466" s="6"/>
      <c r="O466" s="53"/>
      <c r="P466" s="53"/>
      <c r="Q466" s="53"/>
      <c r="R466" s="51"/>
      <c r="S466" s="51"/>
      <c r="T466" s="53"/>
      <c r="U466" s="53"/>
      <c r="V466" s="53"/>
      <c r="W466" s="53"/>
      <c r="X466" s="53"/>
      <c r="Y466" s="53"/>
      <c r="Z466" s="52"/>
      <c r="AA466" s="52"/>
      <c r="AB466" s="52"/>
      <c r="AC466" s="52"/>
      <c r="AD466" s="53"/>
      <c r="AE466" s="53"/>
      <c r="AF466" s="53"/>
    </row>
    <row r="467">
      <c r="G467" s="55"/>
      <c r="N467" s="6"/>
      <c r="O467" s="53"/>
      <c r="P467" s="53"/>
      <c r="Q467" s="53"/>
      <c r="R467" s="51"/>
      <c r="S467" s="51"/>
      <c r="T467" s="53"/>
      <c r="U467" s="53"/>
      <c r="V467" s="53"/>
      <c r="W467" s="53"/>
      <c r="X467" s="53"/>
      <c r="Y467" s="53"/>
      <c r="Z467" s="52"/>
      <c r="AA467" s="52"/>
      <c r="AB467" s="52"/>
      <c r="AC467" s="52"/>
      <c r="AD467" s="53"/>
      <c r="AE467" s="53"/>
      <c r="AF467" s="53"/>
    </row>
    <row r="468">
      <c r="G468" s="55"/>
      <c r="N468" s="6"/>
      <c r="O468" s="53"/>
      <c r="P468" s="53"/>
      <c r="Q468" s="53"/>
      <c r="R468" s="51"/>
      <c r="S468" s="51"/>
      <c r="T468" s="53"/>
      <c r="U468" s="53"/>
      <c r="V468" s="53"/>
      <c r="W468" s="53"/>
      <c r="X468" s="53"/>
      <c r="Y468" s="53"/>
      <c r="Z468" s="52"/>
      <c r="AA468" s="52"/>
      <c r="AB468" s="52"/>
      <c r="AC468" s="52"/>
      <c r="AD468" s="53"/>
      <c r="AE468" s="53"/>
      <c r="AF468" s="53"/>
    </row>
    <row r="469">
      <c r="G469" s="55"/>
      <c r="N469" s="6"/>
      <c r="O469" s="53"/>
      <c r="P469" s="53"/>
      <c r="Q469" s="53"/>
      <c r="R469" s="51"/>
      <c r="S469" s="51"/>
      <c r="T469" s="53"/>
      <c r="U469" s="53"/>
      <c r="V469" s="53"/>
      <c r="W469" s="53"/>
      <c r="X469" s="53"/>
      <c r="Y469" s="53"/>
      <c r="Z469" s="52"/>
      <c r="AA469" s="52"/>
      <c r="AB469" s="52"/>
      <c r="AC469" s="52"/>
      <c r="AD469" s="53"/>
      <c r="AE469" s="53"/>
      <c r="AF469" s="53"/>
    </row>
    <row r="470">
      <c r="G470" s="55"/>
      <c r="N470" s="6"/>
      <c r="O470" s="53"/>
      <c r="P470" s="53"/>
      <c r="Q470" s="53"/>
      <c r="R470" s="51"/>
      <c r="S470" s="51"/>
      <c r="T470" s="53"/>
      <c r="U470" s="53"/>
      <c r="V470" s="53"/>
      <c r="W470" s="53"/>
      <c r="X470" s="53"/>
      <c r="Y470" s="53"/>
      <c r="Z470" s="52"/>
      <c r="AA470" s="52"/>
      <c r="AB470" s="52"/>
      <c r="AC470" s="52"/>
      <c r="AD470" s="53"/>
      <c r="AE470" s="53"/>
      <c r="AF470" s="53"/>
    </row>
    <row r="471">
      <c r="G471" s="55"/>
      <c r="N471" s="6"/>
      <c r="O471" s="53"/>
      <c r="P471" s="53"/>
      <c r="Q471" s="53"/>
      <c r="R471" s="51"/>
      <c r="S471" s="51"/>
      <c r="T471" s="53"/>
      <c r="U471" s="53"/>
      <c r="V471" s="53"/>
      <c r="W471" s="53"/>
      <c r="X471" s="53"/>
      <c r="Y471" s="53"/>
      <c r="Z471" s="52"/>
      <c r="AA471" s="52"/>
      <c r="AB471" s="52"/>
      <c r="AC471" s="52"/>
      <c r="AD471" s="53"/>
      <c r="AE471" s="53"/>
      <c r="AF471" s="53"/>
    </row>
    <row r="472">
      <c r="G472" s="55"/>
      <c r="N472" s="6"/>
      <c r="O472" s="53"/>
      <c r="P472" s="53"/>
      <c r="Q472" s="53"/>
      <c r="R472" s="51"/>
      <c r="S472" s="51"/>
      <c r="T472" s="53"/>
      <c r="U472" s="53"/>
      <c r="V472" s="53"/>
      <c r="W472" s="53"/>
      <c r="X472" s="53"/>
      <c r="Y472" s="53"/>
      <c r="Z472" s="52"/>
      <c r="AA472" s="52"/>
      <c r="AB472" s="52"/>
      <c r="AC472" s="52"/>
      <c r="AD472" s="53"/>
      <c r="AE472" s="53"/>
      <c r="AF472" s="53"/>
    </row>
    <row r="473">
      <c r="G473" s="55"/>
      <c r="N473" s="6"/>
      <c r="O473" s="53"/>
      <c r="P473" s="53"/>
      <c r="Q473" s="53"/>
      <c r="R473" s="51"/>
      <c r="S473" s="51"/>
      <c r="T473" s="53"/>
      <c r="U473" s="53"/>
      <c r="V473" s="53"/>
      <c r="W473" s="53"/>
      <c r="X473" s="53"/>
      <c r="Y473" s="53"/>
      <c r="Z473" s="52"/>
      <c r="AA473" s="52"/>
      <c r="AB473" s="52"/>
      <c r="AC473" s="52"/>
      <c r="AD473" s="53"/>
      <c r="AE473" s="53"/>
      <c r="AF473" s="53"/>
    </row>
    <row r="474">
      <c r="G474" s="55"/>
      <c r="N474" s="6"/>
      <c r="O474" s="53"/>
      <c r="P474" s="53"/>
      <c r="Q474" s="53"/>
      <c r="R474" s="51"/>
      <c r="S474" s="51"/>
      <c r="T474" s="53"/>
      <c r="U474" s="53"/>
      <c r="V474" s="53"/>
      <c r="W474" s="53"/>
      <c r="X474" s="53"/>
      <c r="Y474" s="53"/>
      <c r="Z474" s="52"/>
      <c r="AA474" s="52"/>
      <c r="AB474" s="52"/>
      <c r="AC474" s="52"/>
      <c r="AD474" s="53"/>
      <c r="AE474" s="53"/>
      <c r="AF474" s="53"/>
    </row>
    <row r="475">
      <c r="G475" s="55"/>
      <c r="N475" s="6"/>
      <c r="O475" s="53"/>
      <c r="P475" s="53"/>
      <c r="Q475" s="53"/>
      <c r="R475" s="51"/>
      <c r="S475" s="51"/>
      <c r="T475" s="53"/>
      <c r="U475" s="53"/>
      <c r="V475" s="53"/>
      <c r="W475" s="53"/>
      <c r="X475" s="53"/>
      <c r="Y475" s="53"/>
      <c r="Z475" s="52"/>
      <c r="AA475" s="52"/>
      <c r="AB475" s="52"/>
      <c r="AC475" s="52"/>
      <c r="AD475" s="53"/>
      <c r="AE475" s="53"/>
      <c r="AF475" s="53"/>
    </row>
    <row r="476">
      <c r="G476" s="55"/>
      <c r="N476" s="6"/>
      <c r="O476" s="53"/>
      <c r="P476" s="53"/>
      <c r="Q476" s="53"/>
      <c r="R476" s="51"/>
      <c r="S476" s="51"/>
      <c r="T476" s="53"/>
      <c r="U476" s="53"/>
      <c r="V476" s="53"/>
      <c r="W476" s="53"/>
      <c r="X476" s="53"/>
      <c r="Y476" s="53"/>
      <c r="Z476" s="52"/>
      <c r="AA476" s="52"/>
      <c r="AB476" s="52"/>
      <c r="AC476" s="52"/>
      <c r="AD476" s="53"/>
      <c r="AE476" s="53"/>
      <c r="AF476" s="53"/>
    </row>
    <row r="477">
      <c r="G477" s="55"/>
      <c r="N477" s="6"/>
      <c r="O477" s="53"/>
      <c r="P477" s="53"/>
      <c r="Q477" s="53"/>
      <c r="R477" s="51"/>
      <c r="S477" s="51"/>
      <c r="T477" s="53"/>
      <c r="U477" s="53"/>
      <c r="V477" s="53"/>
      <c r="W477" s="53"/>
      <c r="X477" s="53"/>
      <c r="Y477" s="53"/>
      <c r="Z477" s="52"/>
      <c r="AA477" s="52"/>
      <c r="AB477" s="52"/>
      <c r="AC477" s="52"/>
      <c r="AD477" s="53"/>
      <c r="AE477" s="53"/>
      <c r="AF477" s="53"/>
    </row>
    <row r="478">
      <c r="G478" s="55"/>
      <c r="N478" s="6"/>
      <c r="O478" s="53"/>
      <c r="P478" s="53"/>
      <c r="Q478" s="53"/>
      <c r="R478" s="51"/>
      <c r="S478" s="51"/>
      <c r="T478" s="53"/>
      <c r="U478" s="53"/>
      <c r="V478" s="53"/>
      <c r="W478" s="53"/>
      <c r="X478" s="53"/>
      <c r="Y478" s="53"/>
      <c r="Z478" s="52"/>
      <c r="AA478" s="52"/>
      <c r="AB478" s="52"/>
      <c r="AC478" s="52"/>
      <c r="AD478" s="53"/>
      <c r="AE478" s="53"/>
      <c r="AF478" s="53"/>
    </row>
    <row r="479">
      <c r="G479" s="55"/>
      <c r="N479" s="6"/>
      <c r="O479" s="53"/>
      <c r="P479" s="53"/>
      <c r="Q479" s="53"/>
      <c r="R479" s="51"/>
      <c r="S479" s="51"/>
      <c r="T479" s="53"/>
      <c r="U479" s="53"/>
      <c r="V479" s="53"/>
      <c r="W479" s="53"/>
      <c r="X479" s="53"/>
      <c r="Y479" s="53"/>
      <c r="Z479" s="52"/>
      <c r="AA479" s="52"/>
      <c r="AB479" s="52"/>
      <c r="AC479" s="52"/>
      <c r="AD479" s="53"/>
      <c r="AE479" s="53"/>
      <c r="AF479" s="53"/>
    </row>
    <row r="480">
      <c r="G480" s="55"/>
      <c r="N480" s="6"/>
      <c r="O480" s="53"/>
      <c r="P480" s="53"/>
      <c r="Q480" s="53"/>
      <c r="R480" s="51"/>
      <c r="S480" s="51"/>
      <c r="T480" s="53"/>
      <c r="U480" s="53"/>
      <c r="V480" s="53"/>
      <c r="W480" s="53"/>
      <c r="X480" s="53"/>
      <c r="Y480" s="53"/>
      <c r="Z480" s="52"/>
      <c r="AA480" s="52"/>
      <c r="AB480" s="52"/>
      <c r="AC480" s="52"/>
      <c r="AD480" s="53"/>
      <c r="AE480" s="53"/>
      <c r="AF480" s="53"/>
    </row>
    <row r="481">
      <c r="G481" s="55"/>
      <c r="N481" s="6"/>
      <c r="O481" s="53"/>
      <c r="P481" s="53"/>
      <c r="Q481" s="53"/>
      <c r="R481" s="51"/>
      <c r="S481" s="51"/>
      <c r="T481" s="53"/>
      <c r="U481" s="53"/>
      <c r="V481" s="53"/>
      <c r="W481" s="53"/>
      <c r="X481" s="53"/>
      <c r="Y481" s="53"/>
      <c r="Z481" s="52"/>
      <c r="AA481" s="52"/>
      <c r="AB481" s="52"/>
      <c r="AC481" s="52"/>
      <c r="AD481" s="53"/>
      <c r="AE481" s="53"/>
      <c r="AF481" s="53"/>
    </row>
    <row r="482">
      <c r="G482" s="55"/>
      <c r="N482" s="6"/>
      <c r="O482" s="53"/>
      <c r="P482" s="53"/>
      <c r="Q482" s="53"/>
      <c r="R482" s="51"/>
      <c r="S482" s="51"/>
      <c r="T482" s="53"/>
      <c r="U482" s="53"/>
      <c r="V482" s="53"/>
      <c r="W482" s="53"/>
      <c r="X482" s="53"/>
      <c r="Y482" s="53"/>
      <c r="Z482" s="52"/>
      <c r="AA482" s="52"/>
      <c r="AB482" s="52"/>
      <c r="AC482" s="52"/>
      <c r="AD482" s="53"/>
      <c r="AE482" s="53"/>
      <c r="AF482" s="53"/>
    </row>
    <row r="483">
      <c r="G483" s="55"/>
      <c r="N483" s="6"/>
      <c r="O483" s="53"/>
      <c r="P483" s="53"/>
      <c r="Q483" s="53"/>
      <c r="R483" s="51"/>
      <c r="S483" s="51"/>
      <c r="T483" s="53"/>
      <c r="U483" s="53"/>
      <c r="V483" s="53"/>
      <c r="W483" s="53"/>
      <c r="X483" s="53"/>
      <c r="Y483" s="53"/>
      <c r="Z483" s="52"/>
      <c r="AA483" s="52"/>
      <c r="AB483" s="52"/>
      <c r="AC483" s="52"/>
      <c r="AD483" s="53"/>
      <c r="AE483" s="53"/>
      <c r="AF483" s="53"/>
    </row>
    <row r="484">
      <c r="G484" s="55"/>
      <c r="N484" s="6"/>
      <c r="O484" s="53"/>
      <c r="P484" s="53"/>
      <c r="Q484" s="53"/>
      <c r="R484" s="51"/>
      <c r="S484" s="51"/>
      <c r="T484" s="53"/>
      <c r="U484" s="53"/>
      <c r="V484" s="53"/>
      <c r="W484" s="53"/>
      <c r="X484" s="53"/>
      <c r="Y484" s="53"/>
      <c r="Z484" s="52"/>
      <c r="AA484" s="52"/>
      <c r="AB484" s="52"/>
      <c r="AC484" s="52"/>
      <c r="AD484" s="53"/>
      <c r="AE484" s="53"/>
      <c r="AF484" s="53"/>
    </row>
    <row r="485">
      <c r="G485" s="55"/>
      <c r="N485" s="6"/>
      <c r="O485" s="53"/>
      <c r="P485" s="53"/>
      <c r="Q485" s="53"/>
      <c r="R485" s="51"/>
      <c r="S485" s="51"/>
      <c r="T485" s="53"/>
      <c r="U485" s="53"/>
      <c r="V485" s="53"/>
      <c r="W485" s="53"/>
      <c r="X485" s="53"/>
      <c r="Y485" s="53"/>
      <c r="Z485" s="52"/>
      <c r="AA485" s="52"/>
      <c r="AB485" s="52"/>
      <c r="AC485" s="52"/>
      <c r="AD485" s="53"/>
      <c r="AE485" s="53"/>
      <c r="AF485" s="53"/>
    </row>
    <row r="486">
      <c r="G486" s="55"/>
      <c r="N486" s="6"/>
      <c r="O486" s="53"/>
      <c r="P486" s="53"/>
      <c r="Q486" s="53"/>
      <c r="R486" s="51"/>
      <c r="S486" s="51"/>
      <c r="T486" s="53"/>
      <c r="U486" s="53"/>
      <c r="V486" s="53"/>
      <c r="W486" s="53"/>
      <c r="X486" s="53"/>
      <c r="Y486" s="53"/>
      <c r="Z486" s="52"/>
      <c r="AA486" s="52"/>
      <c r="AB486" s="52"/>
      <c r="AC486" s="52"/>
      <c r="AD486" s="53"/>
      <c r="AE486" s="53"/>
      <c r="AF486" s="53"/>
    </row>
    <row r="487">
      <c r="G487" s="55"/>
      <c r="N487" s="6"/>
      <c r="O487" s="53"/>
      <c r="P487" s="53"/>
      <c r="Q487" s="53"/>
      <c r="R487" s="51"/>
      <c r="S487" s="51"/>
      <c r="T487" s="53"/>
      <c r="U487" s="53"/>
      <c r="V487" s="53"/>
      <c r="W487" s="53"/>
      <c r="X487" s="53"/>
      <c r="Y487" s="53"/>
      <c r="Z487" s="52"/>
      <c r="AA487" s="52"/>
      <c r="AB487" s="52"/>
      <c r="AC487" s="52"/>
      <c r="AD487" s="53"/>
      <c r="AE487" s="53"/>
      <c r="AF487" s="53"/>
    </row>
    <row r="488">
      <c r="G488" s="55"/>
      <c r="N488" s="6"/>
      <c r="O488" s="53"/>
      <c r="P488" s="53"/>
      <c r="Q488" s="53"/>
      <c r="R488" s="51"/>
      <c r="S488" s="51"/>
      <c r="T488" s="53"/>
      <c r="U488" s="53"/>
      <c r="V488" s="53"/>
      <c r="W488" s="53"/>
      <c r="X488" s="53"/>
      <c r="Y488" s="53"/>
      <c r="Z488" s="52"/>
      <c r="AA488" s="52"/>
      <c r="AB488" s="52"/>
      <c r="AC488" s="52"/>
      <c r="AD488" s="53"/>
      <c r="AE488" s="53"/>
      <c r="AF488" s="53"/>
    </row>
    <row r="489">
      <c r="G489" s="55"/>
      <c r="N489" s="6"/>
      <c r="O489" s="53"/>
      <c r="P489" s="53"/>
      <c r="Q489" s="53"/>
      <c r="R489" s="51"/>
      <c r="S489" s="51"/>
      <c r="T489" s="53"/>
      <c r="U489" s="53"/>
      <c r="V489" s="53"/>
      <c r="W489" s="53"/>
      <c r="X489" s="53"/>
      <c r="Y489" s="53"/>
      <c r="Z489" s="52"/>
      <c r="AA489" s="52"/>
      <c r="AB489" s="52"/>
      <c r="AC489" s="52"/>
      <c r="AD489" s="53"/>
      <c r="AE489" s="53"/>
      <c r="AF489" s="53"/>
    </row>
    <row r="490">
      <c r="G490" s="55"/>
      <c r="N490" s="6"/>
      <c r="O490" s="53"/>
      <c r="P490" s="53"/>
      <c r="Q490" s="53"/>
      <c r="R490" s="51"/>
      <c r="S490" s="51"/>
      <c r="T490" s="53"/>
      <c r="U490" s="53"/>
      <c r="V490" s="53"/>
      <c r="W490" s="53"/>
      <c r="X490" s="53"/>
      <c r="Y490" s="53"/>
      <c r="Z490" s="52"/>
      <c r="AA490" s="52"/>
      <c r="AB490" s="52"/>
      <c r="AC490" s="52"/>
      <c r="AD490" s="53"/>
      <c r="AE490" s="53"/>
      <c r="AF490" s="53"/>
    </row>
    <row r="491">
      <c r="G491" s="55"/>
      <c r="N491" s="6"/>
      <c r="O491" s="53"/>
      <c r="P491" s="53"/>
      <c r="Q491" s="53"/>
      <c r="R491" s="51"/>
      <c r="S491" s="51"/>
      <c r="T491" s="53"/>
      <c r="U491" s="53"/>
      <c r="V491" s="53"/>
      <c r="W491" s="53"/>
      <c r="X491" s="53"/>
      <c r="Y491" s="53"/>
      <c r="Z491" s="52"/>
      <c r="AA491" s="52"/>
      <c r="AB491" s="52"/>
      <c r="AC491" s="52"/>
      <c r="AD491" s="53"/>
      <c r="AE491" s="53"/>
      <c r="AF491" s="53"/>
    </row>
    <row r="492">
      <c r="G492" s="55"/>
      <c r="N492" s="6"/>
      <c r="O492" s="53"/>
      <c r="P492" s="53"/>
      <c r="Q492" s="53"/>
      <c r="R492" s="51"/>
      <c r="S492" s="51"/>
      <c r="T492" s="53"/>
      <c r="U492" s="53"/>
      <c r="V492" s="53"/>
      <c r="W492" s="53"/>
      <c r="X492" s="53"/>
      <c r="Y492" s="53"/>
      <c r="Z492" s="52"/>
      <c r="AA492" s="52"/>
      <c r="AB492" s="52"/>
      <c r="AC492" s="52"/>
      <c r="AD492" s="53"/>
      <c r="AE492" s="53"/>
      <c r="AF492" s="53"/>
    </row>
    <row r="493">
      <c r="G493" s="55"/>
      <c r="N493" s="6"/>
      <c r="O493" s="53"/>
      <c r="P493" s="53"/>
      <c r="Q493" s="53"/>
      <c r="R493" s="51"/>
      <c r="S493" s="51"/>
      <c r="T493" s="53"/>
      <c r="U493" s="53"/>
      <c r="V493" s="53"/>
      <c r="W493" s="53"/>
      <c r="X493" s="53"/>
      <c r="Y493" s="53"/>
      <c r="Z493" s="52"/>
      <c r="AA493" s="52"/>
      <c r="AB493" s="52"/>
      <c r="AC493" s="52"/>
      <c r="AD493" s="53"/>
      <c r="AE493" s="53"/>
      <c r="AF493" s="53"/>
    </row>
    <row r="494">
      <c r="G494" s="55"/>
      <c r="N494" s="6"/>
      <c r="O494" s="53"/>
      <c r="P494" s="53"/>
      <c r="Q494" s="53"/>
      <c r="R494" s="51"/>
      <c r="S494" s="51"/>
      <c r="T494" s="53"/>
      <c r="U494" s="53"/>
      <c r="V494" s="53"/>
      <c r="W494" s="53"/>
      <c r="X494" s="53"/>
      <c r="Y494" s="53"/>
      <c r="Z494" s="52"/>
      <c r="AA494" s="52"/>
      <c r="AB494" s="52"/>
      <c r="AC494" s="52"/>
      <c r="AD494" s="53"/>
      <c r="AE494" s="53"/>
      <c r="AF494" s="53"/>
    </row>
    <row r="495">
      <c r="G495" s="55"/>
      <c r="N495" s="6"/>
      <c r="O495" s="53"/>
      <c r="P495" s="53"/>
      <c r="Q495" s="53"/>
      <c r="R495" s="51"/>
      <c r="S495" s="51"/>
      <c r="T495" s="53"/>
      <c r="U495" s="53"/>
      <c r="V495" s="53"/>
      <c r="W495" s="53"/>
      <c r="X495" s="53"/>
      <c r="Y495" s="53"/>
      <c r="Z495" s="52"/>
      <c r="AA495" s="52"/>
      <c r="AB495" s="52"/>
      <c r="AC495" s="52"/>
      <c r="AD495" s="53"/>
      <c r="AE495" s="53"/>
      <c r="AF495" s="53"/>
    </row>
    <row r="496">
      <c r="G496" s="55"/>
      <c r="N496" s="6"/>
      <c r="O496" s="53"/>
      <c r="P496" s="53"/>
      <c r="Q496" s="53"/>
      <c r="R496" s="51"/>
      <c r="S496" s="51"/>
      <c r="T496" s="53"/>
      <c r="U496" s="53"/>
      <c r="V496" s="53"/>
      <c r="W496" s="53"/>
      <c r="X496" s="53"/>
      <c r="Y496" s="53"/>
      <c r="Z496" s="52"/>
      <c r="AA496" s="52"/>
      <c r="AB496" s="52"/>
      <c r="AC496" s="52"/>
      <c r="AD496" s="53"/>
      <c r="AE496" s="53"/>
      <c r="AF496" s="53"/>
    </row>
    <row r="497">
      <c r="G497" s="55"/>
      <c r="N497" s="6"/>
      <c r="O497" s="53"/>
      <c r="P497" s="53"/>
      <c r="Q497" s="53"/>
      <c r="R497" s="51"/>
      <c r="S497" s="51"/>
      <c r="T497" s="53"/>
      <c r="U497" s="53"/>
      <c r="V497" s="53"/>
      <c r="W497" s="53"/>
      <c r="X497" s="53"/>
      <c r="Y497" s="53"/>
      <c r="Z497" s="52"/>
      <c r="AA497" s="52"/>
      <c r="AB497" s="52"/>
      <c r="AC497" s="52"/>
      <c r="AD497" s="53"/>
      <c r="AE497" s="53"/>
      <c r="AF497" s="53"/>
    </row>
    <row r="498">
      <c r="G498" s="55"/>
      <c r="N498" s="6"/>
      <c r="O498" s="53"/>
      <c r="P498" s="53"/>
      <c r="Q498" s="53"/>
      <c r="R498" s="51"/>
      <c r="S498" s="51"/>
      <c r="T498" s="53"/>
      <c r="U498" s="53"/>
      <c r="V498" s="53"/>
      <c r="W498" s="53"/>
      <c r="X498" s="53"/>
      <c r="Y498" s="53"/>
      <c r="Z498" s="52"/>
      <c r="AA498" s="52"/>
      <c r="AB498" s="52"/>
      <c r="AC498" s="52"/>
      <c r="AD498" s="53"/>
      <c r="AE498" s="53"/>
      <c r="AF498" s="53"/>
    </row>
    <row r="499">
      <c r="G499" s="55"/>
      <c r="N499" s="6"/>
      <c r="O499" s="53"/>
      <c r="P499" s="53"/>
      <c r="Q499" s="53"/>
      <c r="R499" s="51"/>
      <c r="S499" s="51"/>
      <c r="T499" s="53"/>
      <c r="U499" s="53"/>
      <c r="V499" s="53"/>
      <c r="W499" s="53"/>
      <c r="X499" s="53"/>
      <c r="Y499" s="53"/>
      <c r="Z499" s="52"/>
      <c r="AA499" s="52"/>
      <c r="AB499" s="52"/>
      <c r="AC499" s="52"/>
      <c r="AD499" s="53"/>
      <c r="AE499" s="53"/>
      <c r="AF499" s="53"/>
    </row>
    <row r="500">
      <c r="G500" s="55"/>
      <c r="N500" s="6"/>
      <c r="O500" s="53"/>
      <c r="P500" s="53"/>
      <c r="Q500" s="53"/>
      <c r="R500" s="51"/>
      <c r="S500" s="51"/>
      <c r="T500" s="53"/>
      <c r="U500" s="53"/>
      <c r="V500" s="53"/>
      <c r="W500" s="53"/>
      <c r="X500" s="53"/>
      <c r="Y500" s="53"/>
      <c r="Z500" s="52"/>
      <c r="AA500" s="52"/>
      <c r="AB500" s="52"/>
      <c r="AC500" s="52"/>
      <c r="AD500" s="53"/>
      <c r="AE500" s="53"/>
      <c r="AF500" s="53"/>
    </row>
    <row r="501">
      <c r="G501" s="55"/>
      <c r="N501" s="6"/>
      <c r="O501" s="53"/>
      <c r="P501" s="53"/>
      <c r="Q501" s="53"/>
      <c r="R501" s="51"/>
      <c r="S501" s="51"/>
      <c r="T501" s="53"/>
      <c r="U501" s="53"/>
      <c r="V501" s="53"/>
      <c r="W501" s="53"/>
      <c r="X501" s="53"/>
      <c r="Y501" s="53"/>
      <c r="Z501" s="52"/>
      <c r="AA501" s="52"/>
      <c r="AB501" s="52"/>
      <c r="AC501" s="52"/>
      <c r="AD501" s="53"/>
      <c r="AE501" s="53"/>
      <c r="AF501" s="53"/>
    </row>
    <row r="502">
      <c r="G502" s="55"/>
      <c r="N502" s="6"/>
      <c r="O502" s="53"/>
      <c r="P502" s="53"/>
      <c r="Q502" s="53"/>
      <c r="R502" s="51"/>
      <c r="S502" s="51"/>
      <c r="T502" s="53"/>
      <c r="U502" s="53"/>
      <c r="V502" s="53"/>
      <c r="W502" s="53"/>
      <c r="X502" s="53"/>
      <c r="Y502" s="53"/>
      <c r="Z502" s="52"/>
      <c r="AA502" s="52"/>
      <c r="AB502" s="52"/>
      <c r="AC502" s="52"/>
      <c r="AD502" s="53"/>
      <c r="AE502" s="53"/>
      <c r="AF502" s="53"/>
    </row>
    <row r="503">
      <c r="G503" s="55"/>
      <c r="N503" s="6"/>
      <c r="O503" s="53"/>
      <c r="P503" s="53"/>
      <c r="Q503" s="53"/>
      <c r="R503" s="51"/>
      <c r="S503" s="51"/>
      <c r="T503" s="53"/>
      <c r="U503" s="53"/>
      <c r="V503" s="53"/>
      <c r="W503" s="53"/>
      <c r="X503" s="53"/>
      <c r="Y503" s="53"/>
      <c r="Z503" s="52"/>
      <c r="AA503" s="52"/>
      <c r="AB503" s="52"/>
      <c r="AC503" s="52"/>
      <c r="AD503" s="53"/>
      <c r="AE503" s="53"/>
      <c r="AF503" s="53"/>
    </row>
    <row r="504">
      <c r="G504" s="55"/>
      <c r="N504" s="6"/>
      <c r="O504" s="53"/>
      <c r="P504" s="53"/>
      <c r="Q504" s="53"/>
      <c r="R504" s="51"/>
      <c r="S504" s="51"/>
      <c r="T504" s="53"/>
      <c r="U504" s="53"/>
      <c r="V504" s="53"/>
      <c r="W504" s="53"/>
      <c r="X504" s="53"/>
      <c r="Y504" s="53"/>
      <c r="Z504" s="52"/>
      <c r="AA504" s="52"/>
      <c r="AB504" s="52"/>
      <c r="AC504" s="52"/>
      <c r="AD504" s="53"/>
      <c r="AE504" s="53"/>
      <c r="AF504" s="53"/>
    </row>
    <row r="505">
      <c r="G505" s="55"/>
      <c r="N505" s="6"/>
      <c r="O505" s="53"/>
      <c r="P505" s="53"/>
      <c r="Q505" s="53"/>
      <c r="R505" s="51"/>
      <c r="S505" s="51"/>
      <c r="T505" s="53"/>
      <c r="U505" s="53"/>
      <c r="V505" s="53"/>
      <c r="W505" s="53"/>
      <c r="X505" s="53"/>
      <c r="Y505" s="53"/>
      <c r="Z505" s="52"/>
      <c r="AA505" s="52"/>
      <c r="AB505" s="52"/>
      <c r="AC505" s="52"/>
      <c r="AD505" s="53"/>
      <c r="AE505" s="53"/>
      <c r="AF505" s="53"/>
    </row>
    <row r="506">
      <c r="G506" s="55"/>
      <c r="N506" s="6"/>
      <c r="O506" s="53"/>
      <c r="P506" s="53"/>
      <c r="Q506" s="53"/>
      <c r="R506" s="51"/>
      <c r="S506" s="51"/>
      <c r="T506" s="53"/>
      <c r="U506" s="53"/>
      <c r="V506" s="53"/>
      <c r="W506" s="53"/>
      <c r="X506" s="53"/>
      <c r="Y506" s="53"/>
      <c r="Z506" s="52"/>
      <c r="AA506" s="52"/>
      <c r="AB506" s="52"/>
      <c r="AC506" s="52"/>
      <c r="AD506" s="53"/>
      <c r="AE506" s="53"/>
      <c r="AF506" s="53"/>
    </row>
    <row r="507">
      <c r="G507" s="55"/>
      <c r="N507" s="6"/>
      <c r="O507" s="53"/>
      <c r="P507" s="53"/>
      <c r="Q507" s="53"/>
      <c r="R507" s="51"/>
      <c r="S507" s="51"/>
      <c r="T507" s="53"/>
      <c r="U507" s="53"/>
      <c r="V507" s="53"/>
      <c r="W507" s="53"/>
      <c r="X507" s="53"/>
      <c r="Y507" s="53"/>
      <c r="Z507" s="52"/>
      <c r="AA507" s="52"/>
      <c r="AB507" s="52"/>
      <c r="AC507" s="52"/>
      <c r="AD507" s="53"/>
      <c r="AE507" s="53"/>
      <c r="AF507" s="53"/>
    </row>
    <row r="508">
      <c r="G508" s="55"/>
      <c r="N508" s="6"/>
      <c r="O508" s="53"/>
      <c r="P508" s="53"/>
      <c r="Q508" s="53"/>
      <c r="R508" s="51"/>
      <c r="S508" s="51"/>
      <c r="T508" s="53"/>
      <c r="U508" s="53"/>
      <c r="V508" s="53"/>
      <c r="W508" s="53"/>
      <c r="X508" s="53"/>
      <c r="Y508" s="53"/>
      <c r="Z508" s="52"/>
      <c r="AA508" s="52"/>
      <c r="AB508" s="52"/>
      <c r="AC508" s="52"/>
      <c r="AD508" s="53"/>
      <c r="AE508" s="53"/>
      <c r="AF508" s="53"/>
    </row>
    <row r="509">
      <c r="G509" s="55"/>
      <c r="N509" s="6"/>
      <c r="O509" s="53"/>
      <c r="P509" s="53"/>
      <c r="Q509" s="53"/>
      <c r="R509" s="51"/>
      <c r="S509" s="51"/>
      <c r="T509" s="53"/>
      <c r="U509" s="53"/>
      <c r="V509" s="53"/>
      <c r="W509" s="53"/>
      <c r="X509" s="53"/>
      <c r="Y509" s="53"/>
      <c r="Z509" s="52"/>
      <c r="AA509" s="52"/>
      <c r="AB509" s="52"/>
      <c r="AC509" s="52"/>
      <c r="AD509" s="53"/>
      <c r="AE509" s="53"/>
      <c r="AF509" s="53"/>
    </row>
    <row r="510">
      <c r="G510" s="55"/>
      <c r="N510" s="6"/>
      <c r="O510" s="53"/>
      <c r="P510" s="53"/>
      <c r="Q510" s="53"/>
      <c r="R510" s="51"/>
      <c r="S510" s="51"/>
      <c r="T510" s="53"/>
      <c r="U510" s="53"/>
      <c r="V510" s="53"/>
      <c r="W510" s="53"/>
      <c r="X510" s="53"/>
      <c r="Y510" s="53"/>
      <c r="Z510" s="52"/>
      <c r="AA510" s="52"/>
      <c r="AB510" s="52"/>
      <c r="AC510" s="52"/>
      <c r="AD510" s="53"/>
      <c r="AE510" s="53"/>
      <c r="AF510" s="53"/>
    </row>
    <row r="511">
      <c r="G511" s="55"/>
      <c r="N511" s="6"/>
      <c r="O511" s="53"/>
      <c r="P511" s="53"/>
      <c r="Q511" s="53"/>
      <c r="R511" s="51"/>
      <c r="S511" s="51"/>
      <c r="T511" s="53"/>
      <c r="U511" s="53"/>
      <c r="V511" s="53"/>
      <c r="W511" s="53"/>
      <c r="X511" s="53"/>
      <c r="Y511" s="53"/>
      <c r="Z511" s="52"/>
      <c r="AA511" s="52"/>
      <c r="AB511" s="52"/>
      <c r="AC511" s="52"/>
      <c r="AD511" s="53"/>
      <c r="AE511" s="53"/>
      <c r="AF511" s="53"/>
    </row>
    <row r="512">
      <c r="G512" s="55"/>
      <c r="N512" s="6"/>
      <c r="O512" s="53"/>
      <c r="P512" s="53"/>
      <c r="Q512" s="53"/>
      <c r="R512" s="51"/>
      <c r="S512" s="51"/>
      <c r="T512" s="53"/>
      <c r="U512" s="53"/>
      <c r="V512" s="53"/>
      <c r="W512" s="53"/>
      <c r="X512" s="53"/>
      <c r="Y512" s="53"/>
      <c r="Z512" s="52"/>
      <c r="AA512" s="52"/>
      <c r="AB512" s="52"/>
      <c r="AC512" s="52"/>
      <c r="AD512" s="53"/>
      <c r="AE512" s="53"/>
      <c r="AF512" s="53"/>
    </row>
    <row r="513">
      <c r="G513" s="55"/>
      <c r="N513" s="6"/>
      <c r="O513" s="53"/>
      <c r="P513" s="53"/>
      <c r="Q513" s="53"/>
      <c r="R513" s="51"/>
      <c r="S513" s="51"/>
      <c r="T513" s="53"/>
      <c r="U513" s="53"/>
      <c r="V513" s="53"/>
      <c r="W513" s="53"/>
      <c r="X513" s="53"/>
      <c r="Y513" s="53"/>
      <c r="Z513" s="52"/>
      <c r="AA513" s="52"/>
      <c r="AB513" s="52"/>
      <c r="AC513" s="52"/>
      <c r="AD513" s="53"/>
      <c r="AE513" s="53"/>
      <c r="AF513" s="53"/>
    </row>
    <row r="514">
      <c r="G514" s="55"/>
      <c r="N514" s="6"/>
      <c r="O514" s="53"/>
      <c r="P514" s="53"/>
      <c r="Q514" s="53"/>
      <c r="R514" s="51"/>
      <c r="S514" s="51"/>
      <c r="T514" s="53"/>
      <c r="U514" s="53"/>
      <c r="V514" s="53"/>
      <c r="W514" s="53"/>
      <c r="X514" s="53"/>
      <c r="Y514" s="53"/>
      <c r="Z514" s="52"/>
      <c r="AA514" s="52"/>
      <c r="AB514" s="52"/>
      <c r="AC514" s="52"/>
      <c r="AD514" s="53"/>
      <c r="AE514" s="53"/>
      <c r="AF514" s="53"/>
    </row>
    <row r="515">
      <c r="G515" s="55"/>
      <c r="N515" s="6"/>
      <c r="O515" s="53"/>
      <c r="P515" s="53"/>
      <c r="Q515" s="53"/>
      <c r="R515" s="51"/>
      <c r="S515" s="51"/>
      <c r="T515" s="53"/>
      <c r="U515" s="53"/>
      <c r="V515" s="53"/>
      <c r="W515" s="53"/>
      <c r="X515" s="53"/>
      <c r="Y515" s="53"/>
      <c r="Z515" s="52"/>
      <c r="AA515" s="52"/>
      <c r="AB515" s="52"/>
      <c r="AC515" s="52"/>
      <c r="AD515" s="53"/>
      <c r="AE515" s="53"/>
      <c r="AF515" s="53"/>
    </row>
    <row r="516">
      <c r="G516" s="55"/>
      <c r="N516" s="6"/>
      <c r="O516" s="53"/>
      <c r="P516" s="53"/>
      <c r="Q516" s="53"/>
      <c r="R516" s="51"/>
      <c r="S516" s="51"/>
      <c r="T516" s="53"/>
      <c r="U516" s="53"/>
      <c r="V516" s="53"/>
      <c r="W516" s="53"/>
      <c r="X516" s="53"/>
      <c r="Y516" s="53"/>
      <c r="Z516" s="52"/>
      <c r="AA516" s="52"/>
      <c r="AB516" s="52"/>
      <c r="AC516" s="52"/>
      <c r="AD516" s="53"/>
      <c r="AE516" s="53"/>
      <c r="AF516" s="53"/>
    </row>
    <row r="517">
      <c r="G517" s="55"/>
      <c r="N517" s="6"/>
      <c r="O517" s="53"/>
      <c r="P517" s="53"/>
      <c r="Q517" s="53"/>
      <c r="R517" s="51"/>
      <c r="S517" s="51"/>
      <c r="T517" s="53"/>
      <c r="U517" s="53"/>
      <c r="V517" s="53"/>
      <c r="W517" s="53"/>
      <c r="X517" s="53"/>
      <c r="Y517" s="53"/>
      <c r="Z517" s="52"/>
      <c r="AA517" s="52"/>
      <c r="AB517" s="52"/>
      <c r="AC517" s="52"/>
      <c r="AD517" s="53"/>
      <c r="AE517" s="53"/>
      <c r="AF517" s="53"/>
    </row>
    <row r="518">
      <c r="G518" s="55"/>
      <c r="N518" s="6"/>
      <c r="O518" s="53"/>
      <c r="P518" s="53"/>
      <c r="Q518" s="53"/>
      <c r="R518" s="51"/>
      <c r="S518" s="51"/>
      <c r="T518" s="53"/>
      <c r="U518" s="53"/>
      <c r="V518" s="53"/>
      <c r="W518" s="53"/>
      <c r="X518" s="53"/>
      <c r="Y518" s="53"/>
      <c r="Z518" s="52"/>
      <c r="AA518" s="52"/>
      <c r="AB518" s="52"/>
      <c r="AC518" s="52"/>
      <c r="AD518" s="53"/>
      <c r="AE518" s="53"/>
      <c r="AF518" s="53"/>
    </row>
    <row r="519">
      <c r="G519" s="55"/>
      <c r="N519" s="6"/>
      <c r="O519" s="53"/>
      <c r="P519" s="53"/>
      <c r="Q519" s="53"/>
      <c r="R519" s="51"/>
      <c r="S519" s="51"/>
      <c r="T519" s="53"/>
      <c r="U519" s="53"/>
      <c r="V519" s="53"/>
      <c r="W519" s="53"/>
      <c r="X519" s="53"/>
      <c r="Y519" s="53"/>
      <c r="Z519" s="52"/>
      <c r="AA519" s="52"/>
      <c r="AB519" s="52"/>
      <c r="AC519" s="52"/>
      <c r="AD519" s="53"/>
      <c r="AE519" s="53"/>
      <c r="AF519" s="53"/>
    </row>
    <row r="520">
      <c r="G520" s="55"/>
      <c r="N520" s="6"/>
      <c r="O520" s="53"/>
      <c r="P520" s="53"/>
      <c r="Q520" s="53"/>
      <c r="R520" s="51"/>
      <c r="S520" s="51"/>
      <c r="T520" s="53"/>
      <c r="U520" s="53"/>
      <c r="V520" s="53"/>
      <c r="W520" s="53"/>
      <c r="X520" s="53"/>
      <c r="Y520" s="53"/>
      <c r="Z520" s="52"/>
      <c r="AA520" s="52"/>
      <c r="AB520" s="52"/>
      <c r="AC520" s="52"/>
      <c r="AD520" s="53"/>
      <c r="AE520" s="53"/>
      <c r="AF520" s="53"/>
    </row>
    <row r="521">
      <c r="G521" s="55"/>
      <c r="N521" s="6"/>
      <c r="O521" s="53"/>
      <c r="P521" s="53"/>
      <c r="Q521" s="53"/>
      <c r="R521" s="51"/>
      <c r="S521" s="51"/>
      <c r="T521" s="53"/>
      <c r="U521" s="53"/>
      <c r="V521" s="53"/>
      <c r="W521" s="53"/>
      <c r="X521" s="53"/>
      <c r="Y521" s="53"/>
      <c r="Z521" s="52"/>
      <c r="AA521" s="52"/>
      <c r="AB521" s="52"/>
      <c r="AC521" s="52"/>
      <c r="AD521" s="53"/>
      <c r="AE521" s="53"/>
      <c r="AF521" s="53"/>
    </row>
    <row r="522">
      <c r="G522" s="55"/>
      <c r="N522" s="6"/>
      <c r="O522" s="53"/>
      <c r="P522" s="53"/>
      <c r="Q522" s="53"/>
      <c r="R522" s="51"/>
      <c r="S522" s="51"/>
      <c r="T522" s="53"/>
      <c r="U522" s="53"/>
      <c r="V522" s="53"/>
      <c r="W522" s="53"/>
      <c r="X522" s="53"/>
      <c r="Y522" s="53"/>
      <c r="Z522" s="52"/>
      <c r="AA522" s="52"/>
      <c r="AB522" s="52"/>
      <c r="AC522" s="52"/>
      <c r="AD522" s="53"/>
      <c r="AE522" s="53"/>
      <c r="AF522" s="53"/>
    </row>
    <row r="523">
      <c r="G523" s="55"/>
      <c r="N523" s="6"/>
      <c r="O523" s="53"/>
      <c r="P523" s="53"/>
      <c r="Q523" s="53"/>
      <c r="R523" s="51"/>
      <c r="S523" s="51"/>
      <c r="T523" s="53"/>
      <c r="U523" s="53"/>
      <c r="V523" s="53"/>
      <c r="W523" s="53"/>
      <c r="X523" s="53"/>
      <c r="Y523" s="53"/>
      <c r="Z523" s="52"/>
      <c r="AA523" s="52"/>
      <c r="AB523" s="52"/>
      <c r="AC523" s="52"/>
      <c r="AD523" s="53"/>
      <c r="AE523" s="53"/>
      <c r="AF523" s="53"/>
    </row>
    <row r="524">
      <c r="G524" s="55"/>
      <c r="N524" s="6"/>
      <c r="O524" s="53"/>
      <c r="P524" s="53"/>
      <c r="Q524" s="53"/>
      <c r="R524" s="51"/>
      <c r="S524" s="51"/>
      <c r="T524" s="53"/>
      <c r="U524" s="53"/>
      <c r="V524" s="53"/>
      <c r="W524" s="53"/>
      <c r="X524" s="53"/>
      <c r="Y524" s="53"/>
      <c r="Z524" s="52"/>
      <c r="AA524" s="52"/>
      <c r="AB524" s="52"/>
      <c r="AC524" s="52"/>
      <c r="AD524" s="53"/>
      <c r="AE524" s="53"/>
      <c r="AF524" s="53"/>
    </row>
    <row r="525">
      <c r="G525" s="55"/>
      <c r="N525" s="6"/>
      <c r="O525" s="53"/>
      <c r="P525" s="53"/>
      <c r="Q525" s="53"/>
      <c r="R525" s="51"/>
      <c r="S525" s="51"/>
      <c r="T525" s="53"/>
      <c r="U525" s="53"/>
      <c r="V525" s="53"/>
      <c r="W525" s="53"/>
      <c r="X525" s="53"/>
      <c r="Y525" s="53"/>
      <c r="Z525" s="52"/>
      <c r="AA525" s="52"/>
      <c r="AB525" s="52"/>
      <c r="AC525" s="52"/>
      <c r="AD525" s="53"/>
      <c r="AE525" s="53"/>
      <c r="AF525" s="53"/>
    </row>
    <row r="526">
      <c r="G526" s="55"/>
      <c r="N526" s="6"/>
      <c r="O526" s="53"/>
      <c r="P526" s="53"/>
      <c r="Q526" s="53"/>
      <c r="R526" s="51"/>
      <c r="S526" s="51"/>
      <c r="T526" s="53"/>
      <c r="U526" s="53"/>
      <c r="V526" s="53"/>
      <c r="W526" s="53"/>
      <c r="X526" s="53"/>
      <c r="Y526" s="53"/>
      <c r="Z526" s="52"/>
      <c r="AA526" s="52"/>
      <c r="AB526" s="52"/>
      <c r="AC526" s="52"/>
      <c r="AD526" s="53"/>
      <c r="AE526" s="53"/>
      <c r="AF526" s="53"/>
    </row>
    <row r="527">
      <c r="G527" s="55"/>
      <c r="N527" s="6"/>
      <c r="O527" s="53"/>
      <c r="P527" s="53"/>
      <c r="Q527" s="53"/>
      <c r="R527" s="51"/>
      <c r="S527" s="51"/>
      <c r="T527" s="53"/>
      <c r="U527" s="53"/>
      <c r="V527" s="53"/>
      <c r="W527" s="53"/>
      <c r="X527" s="53"/>
      <c r="Y527" s="53"/>
      <c r="Z527" s="52"/>
      <c r="AA527" s="52"/>
      <c r="AB527" s="52"/>
      <c r="AC527" s="52"/>
      <c r="AD527" s="53"/>
      <c r="AE527" s="53"/>
      <c r="AF527" s="53"/>
    </row>
    <row r="528">
      <c r="G528" s="55"/>
      <c r="N528" s="6"/>
      <c r="O528" s="53"/>
      <c r="P528" s="53"/>
      <c r="Q528" s="53"/>
      <c r="R528" s="51"/>
      <c r="S528" s="51"/>
      <c r="T528" s="53"/>
      <c r="U528" s="53"/>
      <c r="V528" s="53"/>
      <c r="W528" s="53"/>
      <c r="X528" s="53"/>
      <c r="Y528" s="53"/>
      <c r="Z528" s="52"/>
      <c r="AA528" s="52"/>
      <c r="AB528" s="52"/>
      <c r="AC528" s="52"/>
      <c r="AD528" s="53"/>
      <c r="AE528" s="53"/>
      <c r="AF528" s="53"/>
    </row>
    <row r="529">
      <c r="G529" s="55"/>
      <c r="N529" s="6"/>
      <c r="O529" s="53"/>
      <c r="P529" s="53"/>
      <c r="Q529" s="53"/>
      <c r="R529" s="51"/>
      <c r="S529" s="51"/>
      <c r="T529" s="53"/>
      <c r="U529" s="53"/>
      <c r="V529" s="53"/>
      <c r="W529" s="53"/>
      <c r="X529" s="53"/>
      <c r="Y529" s="53"/>
      <c r="Z529" s="52"/>
      <c r="AA529" s="52"/>
      <c r="AB529" s="52"/>
      <c r="AC529" s="52"/>
      <c r="AD529" s="53"/>
      <c r="AE529" s="53"/>
      <c r="AF529" s="53"/>
    </row>
    <row r="530">
      <c r="G530" s="55"/>
      <c r="N530" s="6"/>
      <c r="O530" s="53"/>
      <c r="P530" s="53"/>
      <c r="Q530" s="53"/>
      <c r="R530" s="51"/>
      <c r="S530" s="51"/>
      <c r="T530" s="53"/>
      <c r="U530" s="53"/>
      <c r="V530" s="53"/>
      <c r="W530" s="53"/>
      <c r="X530" s="53"/>
      <c r="Y530" s="53"/>
      <c r="Z530" s="52"/>
      <c r="AA530" s="52"/>
      <c r="AB530" s="52"/>
      <c r="AC530" s="52"/>
      <c r="AD530" s="53"/>
      <c r="AE530" s="53"/>
      <c r="AF530" s="53"/>
    </row>
    <row r="531">
      <c r="G531" s="55"/>
      <c r="N531" s="6"/>
      <c r="O531" s="53"/>
      <c r="P531" s="53"/>
      <c r="Q531" s="53"/>
      <c r="R531" s="51"/>
      <c r="S531" s="51"/>
      <c r="T531" s="53"/>
      <c r="U531" s="53"/>
      <c r="V531" s="53"/>
      <c r="W531" s="53"/>
      <c r="X531" s="53"/>
      <c r="Y531" s="53"/>
      <c r="Z531" s="52"/>
      <c r="AA531" s="52"/>
      <c r="AB531" s="52"/>
      <c r="AC531" s="52"/>
      <c r="AD531" s="53"/>
      <c r="AE531" s="53"/>
      <c r="AF531" s="53"/>
    </row>
    <row r="532">
      <c r="G532" s="55"/>
      <c r="N532" s="6"/>
      <c r="O532" s="53"/>
      <c r="P532" s="53"/>
      <c r="Q532" s="53"/>
      <c r="R532" s="51"/>
      <c r="S532" s="51"/>
      <c r="T532" s="53"/>
      <c r="U532" s="53"/>
      <c r="V532" s="53"/>
      <c r="W532" s="53"/>
      <c r="X532" s="53"/>
      <c r="Y532" s="53"/>
      <c r="Z532" s="52"/>
      <c r="AA532" s="52"/>
      <c r="AB532" s="52"/>
      <c r="AC532" s="52"/>
      <c r="AD532" s="53"/>
      <c r="AE532" s="53"/>
      <c r="AF532" s="53"/>
    </row>
    <row r="533">
      <c r="G533" s="55"/>
      <c r="N533" s="6"/>
      <c r="O533" s="53"/>
      <c r="P533" s="53"/>
      <c r="Q533" s="53"/>
      <c r="R533" s="51"/>
      <c r="S533" s="51"/>
      <c r="T533" s="53"/>
      <c r="U533" s="53"/>
      <c r="V533" s="53"/>
      <c r="W533" s="53"/>
      <c r="X533" s="53"/>
      <c r="Y533" s="53"/>
      <c r="Z533" s="52"/>
      <c r="AA533" s="52"/>
      <c r="AB533" s="52"/>
      <c r="AC533" s="52"/>
      <c r="AD533" s="53"/>
      <c r="AE533" s="53"/>
      <c r="AF533" s="53"/>
    </row>
    <row r="534">
      <c r="G534" s="55"/>
      <c r="N534" s="6"/>
      <c r="O534" s="53"/>
      <c r="P534" s="53"/>
      <c r="Q534" s="53"/>
      <c r="R534" s="51"/>
      <c r="S534" s="51"/>
      <c r="T534" s="53"/>
      <c r="U534" s="53"/>
      <c r="V534" s="53"/>
      <c r="W534" s="53"/>
      <c r="X534" s="53"/>
      <c r="Y534" s="53"/>
      <c r="Z534" s="52"/>
      <c r="AA534" s="52"/>
      <c r="AB534" s="52"/>
      <c r="AC534" s="52"/>
      <c r="AD534" s="53"/>
      <c r="AE534" s="53"/>
      <c r="AF534" s="53"/>
    </row>
    <row r="535">
      <c r="G535" s="55"/>
      <c r="N535" s="6"/>
      <c r="O535" s="53"/>
      <c r="P535" s="53"/>
      <c r="Q535" s="53"/>
      <c r="R535" s="51"/>
      <c r="S535" s="51"/>
      <c r="T535" s="53"/>
      <c r="U535" s="53"/>
      <c r="V535" s="53"/>
      <c r="W535" s="53"/>
      <c r="X535" s="53"/>
      <c r="Y535" s="53"/>
      <c r="Z535" s="52"/>
      <c r="AA535" s="52"/>
      <c r="AB535" s="52"/>
      <c r="AC535" s="52"/>
      <c r="AD535" s="53"/>
      <c r="AE535" s="53"/>
      <c r="AF535" s="53"/>
    </row>
    <row r="536">
      <c r="G536" s="55"/>
      <c r="N536" s="6"/>
      <c r="O536" s="53"/>
      <c r="P536" s="53"/>
      <c r="Q536" s="53"/>
      <c r="R536" s="51"/>
      <c r="S536" s="51"/>
      <c r="T536" s="53"/>
      <c r="U536" s="53"/>
      <c r="V536" s="53"/>
      <c r="W536" s="53"/>
      <c r="X536" s="53"/>
      <c r="Y536" s="53"/>
      <c r="Z536" s="52"/>
      <c r="AA536" s="52"/>
      <c r="AB536" s="52"/>
      <c r="AC536" s="52"/>
      <c r="AD536" s="53"/>
      <c r="AE536" s="53"/>
      <c r="AF536" s="53"/>
    </row>
    <row r="537">
      <c r="G537" s="55"/>
      <c r="N537" s="6"/>
      <c r="O537" s="53"/>
      <c r="P537" s="53"/>
      <c r="Q537" s="53"/>
      <c r="R537" s="51"/>
      <c r="S537" s="51"/>
      <c r="T537" s="53"/>
      <c r="U537" s="53"/>
      <c r="V537" s="53"/>
      <c r="W537" s="53"/>
      <c r="X537" s="53"/>
      <c r="Y537" s="53"/>
      <c r="Z537" s="52"/>
      <c r="AA537" s="52"/>
      <c r="AB537" s="52"/>
      <c r="AC537" s="52"/>
      <c r="AD537" s="53"/>
      <c r="AE537" s="53"/>
      <c r="AF537" s="53"/>
    </row>
    <row r="538">
      <c r="G538" s="55"/>
      <c r="N538" s="6"/>
      <c r="O538" s="53"/>
      <c r="P538" s="53"/>
      <c r="Q538" s="53"/>
      <c r="R538" s="51"/>
      <c r="S538" s="51"/>
      <c r="T538" s="53"/>
      <c r="U538" s="53"/>
      <c r="V538" s="53"/>
      <c r="W538" s="53"/>
      <c r="X538" s="53"/>
      <c r="Y538" s="53"/>
      <c r="Z538" s="52"/>
      <c r="AA538" s="52"/>
      <c r="AB538" s="52"/>
      <c r="AC538" s="52"/>
      <c r="AD538" s="53"/>
      <c r="AE538" s="53"/>
      <c r="AF538" s="53"/>
    </row>
    <row r="539">
      <c r="G539" s="55"/>
      <c r="N539" s="6"/>
      <c r="O539" s="53"/>
      <c r="P539" s="53"/>
      <c r="Q539" s="53"/>
      <c r="R539" s="51"/>
      <c r="S539" s="51"/>
      <c r="T539" s="53"/>
      <c r="U539" s="53"/>
      <c r="V539" s="53"/>
      <c r="W539" s="53"/>
      <c r="X539" s="53"/>
      <c r="Y539" s="53"/>
      <c r="Z539" s="52"/>
      <c r="AA539" s="52"/>
      <c r="AB539" s="52"/>
      <c r="AC539" s="52"/>
      <c r="AD539" s="53"/>
      <c r="AE539" s="53"/>
      <c r="AF539" s="53"/>
    </row>
    <row r="540">
      <c r="G540" s="55"/>
      <c r="N540" s="6"/>
      <c r="O540" s="53"/>
      <c r="P540" s="53"/>
      <c r="Q540" s="53"/>
      <c r="R540" s="51"/>
      <c r="S540" s="51"/>
      <c r="T540" s="53"/>
      <c r="U540" s="53"/>
      <c r="V540" s="53"/>
      <c r="W540" s="53"/>
      <c r="X540" s="53"/>
      <c r="Y540" s="53"/>
      <c r="Z540" s="52"/>
      <c r="AA540" s="52"/>
      <c r="AB540" s="52"/>
      <c r="AC540" s="52"/>
      <c r="AD540" s="53"/>
      <c r="AE540" s="53"/>
      <c r="AF540" s="53"/>
    </row>
    <row r="541">
      <c r="G541" s="55"/>
      <c r="N541" s="6"/>
      <c r="O541" s="53"/>
      <c r="P541" s="53"/>
      <c r="Q541" s="53"/>
      <c r="R541" s="51"/>
      <c r="S541" s="51"/>
      <c r="T541" s="53"/>
      <c r="U541" s="53"/>
      <c r="V541" s="53"/>
      <c r="W541" s="53"/>
      <c r="X541" s="53"/>
      <c r="Y541" s="53"/>
      <c r="Z541" s="52"/>
      <c r="AA541" s="52"/>
      <c r="AB541" s="52"/>
      <c r="AC541" s="52"/>
      <c r="AD541" s="53"/>
      <c r="AE541" s="53"/>
      <c r="AF541" s="53"/>
    </row>
    <row r="542">
      <c r="G542" s="55"/>
      <c r="N542" s="6"/>
      <c r="O542" s="53"/>
      <c r="P542" s="53"/>
      <c r="Q542" s="53"/>
      <c r="R542" s="51"/>
      <c r="S542" s="51"/>
      <c r="T542" s="53"/>
      <c r="U542" s="53"/>
      <c r="V542" s="53"/>
      <c r="W542" s="53"/>
      <c r="X542" s="53"/>
      <c r="Y542" s="53"/>
      <c r="Z542" s="52"/>
      <c r="AA542" s="52"/>
      <c r="AB542" s="52"/>
      <c r="AC542" s="52"/>
      <c r="AD542" s="53"/>
      <c r="AE542" s="53"/>
      <c r="AF542" s="53"/>
    </row>
    <row r="543">
      <c r="G543" s="55"/>
      <c r="N543" s="6"/>
      <c r="O543" s="53"/>
      <c r="P543" s="53"/>
      <c r="Q543" s="53"/>
      <c r="R543" s="51"/>
      <c r="S543" s="51"/>
      <c r="T543" s="53"/>
      <c r="U543" s="53"/>
      <c r="V543" s="53"/>
      <c r="W543" s="53"/>
      <c r="X543" s="53"/>
      <c r="Y543" s="53"/>
      <c r="Z543" s="52"/>
      <c r="AA543" s="52"/>
      <c r="AB543" s="52"/>
      <c r="AC543" s="52"/>
      <c r="AD543" s="53"/>
      <c r="AE543" s="53"/>
      <c r="AF543" s="53"/>
    </row>
    <row r="544">
      <c r="G544" s="55"/>
      <c r="N544" s="6"/>
      <c r="O544" s="53"/>
      <c r="P544" s="53"/>
      <c r="Q544" s="53"/>
      <c r="R544" s="51"/>
      <c r="S544" s="51"/>
      <c r="T544" s="53"/>
      <c r="U544" s="53"/>
      <c r="V544" s="53"/>
      <c r="W544" s="53"/>
      <c r="X544" s="53"/>
      <c r="Y544" s="53"/>
      <c r="Z544" s="52"/>
      <c r="AA544" s="52"/>
      <c r="AB544" s="52"/>
      <c r="AC544" s="52"/>
      <c r="AD544" s="53"/>
      <c r="AE544" s="53"/>
      <c r="AF544" s="53"/>
    </row>
    <row r="545">
      <c r="G545" s="55"/>
      <c r="N545" s="6"/>
      <c r="O545" s="53"/>
      <c r="P545" s="53"/>
      <c r="Q545" s="53"/>
      <c r="R545" s="51"/>
      <c r="S545" s="51"/>
      <c r="T545" s="53"/>
      <c r="U545" s="53"/>
      <c r="V545" s="53"/>
      <c r="W545" s="53"/>
      <c r="X545" s="53"/>
      <c r="Y545" s="53"/>
      <c r="Z545" s="52"/>
      <c r="AA545" s="52"/>
      <c r="AB545" s="52"/>
      <c r="AC545" s="52"/>
      <c r="AD545" s="53"/>
      <c r="AE545" s="53"/>
      <c r="AF545" s="53"/>
    </row>
    <row r="546">
      <c r="G546" s="55"/>
      <c r="N546" s="6"/>
      <c r="O546" s="53"/>
      <c r="P546" s="53"/>
      <c r="Q546" s="53"/>
      <c r="R546" s="51"/>
      <c r="S546" s="51"/>
      <c r="T546" s="53"/>
      <c r="U546" s="53"/>
      <c r="V546" s="53"/>
      <c r="W546" s="53"/>
      <c r="X546" s="53"/>
      <c r="Y546" s="53"/>
      <c r="Z546" s="52"/>
      <c r="AA546" s="52"/>
      <c r="AB546" s="52"/>
      <c r="AC546" s="52"/>
      <c r="AD546" s="53"/>
      <c r="AE546" s="53"/>
      <c r="AF546" s="53"/>
    </row>
    <row r="547">
      <c r="G547" s="55"/>
      <c r="N547" s="6"/>
      <c r="O547" s="53"/>
      <c r="P547" s="53"/>
      <c r="Q547" s="53"/>
      <c r="R547" s="51"/>
      <c r="S547" s="51"/>
      <c r="T547" s="53"/>
      <c r="U547" s="53"/>
      <c r="V547" s="53"/>
      <c r="W547" s="53"/>
      <c r="X547" s="53"/>
      <c r="Y547" s="53"/>
      <c r="Z547" s="52"/>
      <c r="AA547" s="52"/>
      <c r="AB547" s="52"/>
      <c r="AC547" s="52"/>
      <c r="AD547" s="53"/>
      <c r="AE547" s="53"/>
      <c r="AF547" s="53"/>
    </row>
    <row r="548">
      <c r="G548" s="55"/>
      <c r="N548" s="6"/>
      <c r="O548" s="53"/>
      <c r="P548" s="53"/>
      <c r="Q548" s="53"/>
      <c r="R548" s="51"/>
      <c r="S548" s="51"/>
      <c r="T548" s="53"/>
      <c r="U548" s="53"/>
      <c r="V548" s="53"/>
      <c r="W548" s="53"/>
      <c r="X548" s="53"/>
      <c r="Y548" s="53"/>
      <c r="Z548" s="52"/>
      <c r="AA548" s="52"/>
      <c r="AB548" s="52"/>
      <c r="AC548" s="52"/>
      <c r="AD548" s="53"/>
      <c r="AE548" s="53"/>
      <c r="AF548" s="53"/>
    </row>
    <row r="549">
      <c r="G549" s="55"/>
      <c r="N549" s="6"/>
      <c r="O549" s="53"/>
      <c r="P549" s="53"/>
      <c r="Q549" s="53"/>
      <c r="R549" s="51"/>
      <c r="S549" s="51"/>
      <c r="T549" s="53"/>
      <c r="U549" s="53"/>
      <c r="V549" s="53"/>
      <c r="W549" s="53"/>
      <c r="X549" s="53"/>
      <c r="Y549" s="53"/>
      <c r="Z549" s="52"/>
      <c r="AA549" s="52"/>
      <c r="AB549" s="52"/>
      <c r="AC549" s="52"/>
      <c r="AD549" s="53"/>
      <c r="AE549" s="53"/>
      <c r="AF549" s="53"/>
    </row>
    <row r="550">
      <c r="G550" s="55"/>
      <c r="N550" s="6"/>
      <c r="O550" s="53"/>
      <c r="P550" s="53"/>
      <c r="Q550" s="53"/>
      <c r="R550" s="51"/>
      <c r="S550" s="51"/>
      <c r="T550" s="53"/>
      <c r="U550" s="53"/>
      <c r="V550" s="53"/>
      <c r="W550" s="53"/>
      <c r="X550" s="53"/>
      <c r="Y550" s="53"/>
      <c r="Z550" s="52"/>
      <c r="AA550" s="52"/>
      <c r="AB550" s="52"/>
      <c r="AC550" s="52"/>
      <c r="AD550" s="53"/>
      <c r="AE550" s="53"/>
      <c r="AF550" s="53"/>
    </row>
    <row r="551">
      <c r="G551" s="55"/>
      <c r="N551" s="6"/>
      <c r="O551" s="53"/>
      <c r="P551" s="53"/>
      <c r="Q551" s="53"/>
      <c r="R551" s="51"/>
      <c r="S551" s="51"/>
      <c r="T551" s="53"/>
      <c r="U551" s="53"/>
      <c r="V551" s="53"/>
      <c r="W551" s="53"/>
      <c r="X551" s="53"/>
      <c r="Y551" s="53"/>
      <c r="Z551" s="52"/>
      <c r="AA551" s="52"/>
      <c r="AB551" s="52"/>
      <c r="AC551" s="52"/>
      <c r="AD551" s="53"/>
      <c r="AE551" s="53"/>
      <c r="AF551" s="53"/>
    </row>
    <row r="552">
      <c r="G552" s="55"/>
      <c r="N552" s="6"/>
      <c r="O552" s="53"/>
      <c r="P552" s="53"/>
      <c r="Q552" s="53"/>
      <c r="R552" s="51"/>
      <c r="S552" s="51"/>
      <c r="T552" s="53"/>
      <c r="U552" s="53"/>
      <c r="V552" s="53"/>
      <c r="W552" s="53"/>
      <c r="X552" s="53"/>
      <c r="Y552" s="53"/>
      <c r="Z552" s="52"/>
      <c r="AA552" s="52"/>
      <c r="AB552" s="52"/>
      <c r="AC552" s="52"/>
      <c r="AD552" s="53"/>
      <c r="AE552" s="53"/>
      <c r="AF552" s="53"/>
    </row>
    <row r="553">
      <c r="G553" s="55"/>
      <c r="N553" s="6"/>
      <c r="O553" s="53"/>
      <c r="P553" s="53"/>
      <c r="Q553" s="53"/>
      <c r="R553" s="51"/>
      <c r="S553" s="51"/>
      <c r="T553" s="53"/>
      <c r="U553" s="53"/>
      <c r="V553" s="53"/>
      <c r="W553" s="53"/>
      <c r="X553" s="53"/>
      <c r="Y553" s="53"/>
      <c r="Z553" s="52"/>
      <c r="AA553" s="52"/>
      <c r="AB553" s="52"/>
      <c r="AC553" s="52"/>
      <c r="AD553" s="53"/>
      <c r="AE553" s="53"/>
      <c r="AF553" s="53"/>
    </row>
    <row r="554">
      <c r="G554" s="55"/>
      <c r="N554" s="6"/>
      <c r="O554" s="53"/>
      <c r="P554" s="53"/>
      <c r="Q554" s="53"/>
      <c r="R554" s="51"/>
      <c r="S554" s="51"/>
      <c r="T554" s="53"/>
      <c r="U554" s="53"/>
      <c r="V554" s="53"/>
      <c r="W554" s="53"/>
      <c r="X554" s="53"/>
      <c r="Y554" s="53"/>
      <c r="Z554" s="52"/>
      <c r="AA554" s="52"/>
      <c r="AB554" s="52"/>
      <c r="AC554" s="52"/>
      <c r="AD554" s="53"/>
      <c r="AE554" s="53"/>
      <c r="AF554" s="53"/>
    </row>
    <row r="555">
      <c r="G555" s="55"/>
      <c r="N555" s="6"/>
      <c r="O555" s="53"/>
      <c r="P555" s="53"/>
      <c r="Q555" s="53"/>
      <c r="R555" s="51"/>
      <c r="S555" s="51"/>
      <c r="T555" s="53"/>
      <c r="U555" s="53"/>
      <c r="V555" s="53"/>
      <c r="W555" s="53"/>
      <c r="X555" s="53"/>
      <c r="Y555" s="53"/>
      <c r="Z555" s="52"/>
      <c r="AA555" s="52"/>
      <c r="AB555" s="52"/>
      <c r="AC555" s="52"/>
      <c r="AD555" s="53"/>
      <c r="AE555" s="53"/>
      <c r="AF555" s="53"/>
    </row>
    <row r="556">
      <c r="G556" s="55"/>
      <c r="N556" s="6"/>
      <c r="O556" s="53"/>
      <c r="P556" s="53"/>
      <c r="Q556" s="53"/>
      <c r="R556" s="51"/>
      <c r="S556" s="51"/>
      <c r="T556" s="53"/>
      <c r="U556" s="53"/>
      <c r="V556" s="53"/>
      <c r="W556" s="53"/>
      <c r="X556" s="53"/>
      <c r="Y556" s="53"/>
      <c r="Z556" s="52"/>
      <c r="AA556" s="52"/>
      <c r="AB556" s="52"/>
      <c r="AC556" s="52"/>
      <c r="AD556" s="53"/>
      <c r="AE556" s="53"/>
      <c r="AF556" s="53"/>
    </row>
    <row r="557">
      <c r="G557" s="55"/>
      <c r="N557" s="6"/>
      <c r="O557" s="53"/>
      <c r="P557" s="53"/>
      <c r="Q557" s="53"/>
      <c r="R557" s="51"/>
      <c r="S557" s="51"/>
      <c r="T557" s="53"/>
      <c r="U557" s="53"/>
      <c r="V557" s="53"/>
      <c r="W557" s="53"/>
      <c r="X557" s="53"/>
      <c r="Y557" s="53"/>
      <c r="Z557" s="52"/>
      <c r="AA557" s="52"/>
      <c r="AB557" s="52"/>
      <c r="AC557" s="52"/>
      <c r="AD557" s="53"/>
      <c r="AE557" s="53"/>
      <c r="AF557" s="53"/>
    </row>
    <row r="558">
      <c r="G558" s="55"/>
      <c r="N558" s="6"/>
      <c r="O558" s="53"/>
      <c r="P558" s="53"/>
      <c r="Q558" s="53"/>
      <c r="R558" s="51"/>
      <c r="S558" s="51"/>
      <c r="T558" s="53"/>
      <c r="U558" s="53"/>
      <c r="V558" s="53"/>
      <c r="W558" s="53"/>
      <c r="X558" s="53"/>
      <c r="Y558" s="53"/>
      <c r="Z558" s="52"/>
      <c r="AA558" s="52"/>
      <c r="AB558" s="52"/>
      <c r="AC558" s="52"/>
      <c r="AD558" s="53"/>
      <c r="AE558" s="53"/>
      <c r="AF558" s="53"/>
    </row>
    <row r="559">
      <c r="G559" s="55"/>
      <c r="N559" s="6"/>
      <c r="O559" s="53"/>
      <c r="P559" s="53"/>
      <c r="Q559" s="53"/>
      <c r="R559" s="51"/>
      <c r="S559" s="51"/>
      <c r="T559" s="53"/>
      <c r="U559" s="53"/>
      <c r="V559" s="53"/>
      <c r="W559" s="53"/>
      <c r="X559" s="53"/>
      <c r="Y559" s="53"/>
      <c r="Z559" s="52"/>
      <c r="AA559" s="52"/>
      <c r="AB559" s="52"/>
      <c r="AC559" s="52"/>
      <c r="AD559" s="53"/>
      <c r="AE559" s="53"/>
      <c r="AF559" s="53"/>
    </row>
    <row r="560">
      <c r="G560" s="55"/>
      <c r="N560" s="6"/>
      <c r="O560" s="53"/>
      <c r="P560" s="53"/>
      <c r="Q560" s="53"/>
      <c r="R560" s="51"/>
      <c r="S560" s="51"/>
      <c r="T560" s="53"/>
      <c r="U560" s="53"/>
      <c r="V560" s="53"/>
      <c r="W560" s="53"/>
      <c r="X560" s="53"/>
      <c r="Y560" s="53"/>
      <c r="Z560" s="52"/>
      <c r="AA560" s="52"/>
      <c r="AB560" s="52"/>
      <c r="AC560" s="52"/>
      <c r="AD560" s="53"/>
      <c r="AE560" s="53"/>
      <c r="AF560" s="53"/>
    </row>
    <row r="561">
      <c r="G561" s="55"/>
      <c r="N561" s="6"/>
      <c r="O561" s="53"/>
      <c r="P561" s="53"/>
      <c r="Q561" s="53"/>
      <c r="R561" s="51"/>
      <c r="S561" s="51"/>
      <c r="T561" s="53"/>
      <c r="U561" s="53"/>
      <c r="V561" s="53"/>
      <c r="W561" s="53"/>
      <c r="X561" s="53"/>
      <c r="Y561" s="53"/>
      <c r="Z561" s="52"/>
      <c r="AA561" s="52"/>
      <c r="AB561" s="52"/>
      <c r="AC561" s="52"/>
      <c r="AD561" s="53"/>
      <c r="AE561" s="53"/>
      <c r="AF561" s="53"/>
    </row>
    <row r="562">
      <c r="G562" s="55"/>
      <c r="N562" s="6"/>
      <c r="O562" s="53"/>
      <c r="P562" s="53"/>
      <c r="Q562" s="53"/>
      <c r="R562" s="51"/>
      <c r="S562" s="51"/>
      <c r="T562" s="53"/>
      <c r="U562" s="53"/>
      <c r="V562" s="53"/>
      <c r="W562" s="53"/>
      <c r="X562" s="53"/>
      <c r="Y562" s="53"/>
      <c r="Z562" s="52"/>
      <c r="AA562" s="52"/>
      <c r="AB562" s="52"/>
      <c r="AC562" s="52"/>
      <c r="AD562" s="53"/>
      <c r="AE562" s="53"/>
      <c r="AF562" s="53"/>
    </row>
    <row r="563">
      <c r="G563" s="55"/>
      <c r="N563" s="6"/>
      <c r="O563" s="53"/>
      <c r="P563" s="53"/>
      <c r="Q563" s="53"/>
      <c r="R563" s="51"/>
      <c r="S563" s="51"/>
      <c r="T563" s="53"/>
      <c r="U563" s="53"/>
      <c r="V563" s="53"/>
      <c r="W563" s="53"/>
      <c r="X563" s="53"/>
      <c r="Y563" s="53"/>
      <c r="Z563" s="52"/>
      <c r="AA563" s="52"/>
      <c r="AB563" s="52"/>
      <c r="AC563" s="52"/>
      <c r="AD563" s="53"/>
      <c r="AE563" s="53"/>
      <c r="AF563" s="53"/>
    </row>
    <row r="564">
      <c r="G564" s="55"/>
      <c r="N564" s="6"/>
      <c r="O564" s="53"/>
      <c r="P564" s="53"/>
      <c r="Q564" s="53"/>
      <c r="R564" s="51"/>
      <c r="S564" s="51"/>
      <c r="T564" s="53"/>
      <c r="U564" s="53"/>
      <c r="V564" s="53"/>
      <c r="W564" s="53"/>
      <c r="X564" s="53"/>
      <c r="Y564" s="53"/>
      <c r="Z564" s="52"/>
      <c r="AA564" s="52"/>
      <c r="AB564" s="52"/>
      <c r="AC564" s="52"/>
      <c r="AD564" s="53"/>
      <c r="AE564" s="53"/>
      <c r="AF564" s="53"/>
    </row>
    <row r="565">
      <c r="G565" s="55"/>
      <c r="N565" s="6"/>
      <c r="O565" s="53"/>
      <c r="P565" s="53"/>
      <c r="Q565" s="53"/>
      <c r="R565" s="51"/>
      <c r="S565" s="51"/>
      <c r="T565" s="53"/>
      <c r="U565" s="53"/>
      <c r="V565" s="53"/>
      <c r="W565" s="53"/>
      <c r="X565" s="53"/>
      <c r="Y565" s="53"/>
      <c r="Z565" s="52"/>
      <c r="AA565" s="52"/>
      <c r="AB565" s="52"/>
      <c r="AC565" s="52"/>
      <c r="AD565" s="53"/>
      <c r="AE565" s="53"/>
      <c r="AF565" s="53"/>
    </row>
    <row r="566">
      <c r="G566" s="55"/>
      <c r="N566" s="6"/>
      <c r="O566" s="53"/>
      <c r="P566" s="53"/>
      <c r="Q566" s="53"/>
      <c r="R566" s="51"/>
      <c r="S566" s="51"/>
      <c r="T566" s="53"/>
      <c r="U566" s="53"/>
      <c r="V566" s="53"/>
      <c r="W566" s="53"/>
      <c r="X566" s="53"/>
      <c r="Y566" s="53"/>
      <c r="Z566" s="52"/>
      <c r="AA566" s="52"/>
      <c r="AB566" s="52"/>
      <c r="AC566" s="52"/>
      <c r="AD566" s="53"/>
      <c r="AE566" s="53"/>
      <c r="AF566" s="53"/>
    </row>
    <row r="567">
      <c r="G567" s="55"/>
      <c r="N567" s="6"/>
      <c r="O567" s="53"/>
      <c r="P567" s="53"/>
      <c r="Q567" s="53"/>
      <c r="R567" s="51"/>
      <c r="S567" s="51"/>
      <c r="T567" s="53"/>
      <c r="U567" s="53"/>
      <c r="V567" s="53"/>
      <c r="W567" s="53"/>
      <c r="X567" s="53"/>
      <c r="Y567" s="53"/>
      <c r="Z567" s="52"/>
      <c r="AA567" s="52"/>
      <c r="AB567" s="52"/>
      <c r="AC567" s="52"/>
      <c r="AD567" s="53"/>
      <c r="AE567" s="53"/>
      <c r="AF567" s="53"/>
    </row>
    <row r="568">
      <c r="G568" s="55"/>
      <c r="N568" s="6"/>
      <c r="O568" s="53"/>
      <c r="P568" s="53"/>
      <c r="Q568" s="53"/>
      <c r="R568" s="51"/>
      <c r="S568" s="51"/>
      <c r="T568" s="53"/>
      <c r="U568" s="53"/>
      <c r="V568" s="53"/>
      <c r="W568" s="53"/>
      <c r="X568" s="53"/>
      <c r="Y568" s="53"/>
      <c r="Z568" s="52"/>
      <c r="AA568" s="52"/>
      <c r="AB568" s="52"/>
      <c r="AC568" s="52"/>
      <c r="AD568" s="53"/>
      <c r="AE568" s="53"/>
      <c r="AF568" s="53"/>
    </row>
    <row r="569">
      <c r="G569" s="55"/>
      <c r="N569" s="6"/>
      <c r="O569" s="53"/>
      <c r="P569" s="53"/>
      <c r="Q569" s="53"/>
      <c r="R569" s="51"/>
      <c r="S569" s="51"/>
      <c r="T569" s="53"/>
      <c r="U569" s="53"/>
      <c r="V569" s="53"/>
      <c r="W569" s="53"/>
      <c r="X569" s="53"/>
      <c r="Y569" s="53"/>
      <c r="Z569" s="52"/>
      <c r="AA569" s="52"/>
      <c r="AB569" s="52"/>
      <c r="AC569" s="52"/>
      <c r="AD569" s="53"/>
      <c r="AE569" s="53"/>
      <c r="AF569" s="53"/>
    </row>
    <row r="570">
      <c r="G570" s="55"/>
      <c r="N570" s="6"/>
      <c r="O570" s="53"/>
      <c r="P570" s="53"/>
      <c r="Q570" s="53"/>
      <c r="R570" s="51"/>
      <c r="S570" s="51"/>
      <c r="T570" s="53"/>
      <c r="U570" s="53"/>
      <c r="V570" s="53"/>
      <c r="W570" s="53"/>
      <c r="X570" s="53"/>
      <c r="Y570" s="53"/>
      <c r="Z570" s="52"/>
      <c r="AA570" s="52"/>
      <c r="AB570" s="52"/>
      <c r="AC570" s="52"/>
      <c r="AD570" s="53"/>
      <c r="AE570" s="53"/>
      <c r="AF570" s="53"/>
    </row>
    <row r="571">
      <c r="G571" s="55"/>
      <c r="N571" s="6"/>
      <c r="O571" s="53"/>
      <c r="P571" s="53"/>
      <c r="Q571" s="53"/>
      <c r="R571" s="51"/>
      <c r="S571" s="51"/>
      <c r="T571" s="53"/>
      <c r="U571" s="53"/>
      <c r="V571" s="53"/>
      <c r="W571" s="53"/>
      <c r="X571" s="53"/>
      <c r="Y571" s="53"/>
      <c r="Z571" s="52"/>
      <c r="AA571" s="52"/>
      <c r="AB571" s="52"/>
      <c r="AC571" s="52"/>
      <c r="AD571" s="53"/>
      <c r="AE571" s="53"/>
      <c r="AF571" s="53"/>
    </row>
    <row r="572">
      <c r="G572" s="55"/>
      <c r="N572" s="6"/>
      <c r="O572" s="53"/>
      <c r="P572" s="53"/>
      <c r="Q572" s="53"/>
      <c r="R572" s="51"/>
      <c r="S572" s="51"/>
      <c r="T572" s="53"/>
      <c r="U572" s="53"/>
      <c r="V572" s="53"/>
      <c r="W572" s="53"/>
      <c r="X572" s="53"/>
      <c r="Y572" s="53"/>
      <c r="Z572" s="52"/>
      <c r="AA572" s="52"/>
      <c r="AB572" s="52"/>
      <c r="AC572" s="52"/>
      <c r="AD572" s="53"/>
      <c r="AE572" s="53"/>
      <c r="AF572" s="53"/>
    </row>
    <row r="573">
      <c r="G573" s="55"/>
      <c r="N573" s="6"/>
      <c r="O573" s="53"/>
      <c r="P573" s="53"/>
      <c r="Q573" s="53"/>
      <c r="R573" s="51"/>
      <c r="S573" s="51"/>
      <c r="T573" s="53"/>
      <c r="U573" s="53"/>
      <c r="V573" s="53"/>
      <c r="W573" s="53"/>
      <c r="X573" s="53"/>
      <c r="Y573" s="53"/>
      <c r="Z573" s="52"/>
      <c r="AA573" s="52"/>
      <c r="AB573" s="52"/>
      <c r="AC573" s="52"/>
      <c r="AD573" s="53"/>
      <c r="AE573" s="53"/>
      <c r="AF573" s="53"/>
    </row>
    <row r="574">
      <c r="G574" s="55"/>
      <c r="N574" s="6"/>
      <c r="O574" s="53"/>
      <c r="P574" s="53"/>
      <c r="Q574" s="53"/>
      <c r="R574" s="51"/>
      <c r="S574" s="51"/>
      <c r="T574" s="53"/>
      <c r="U574" s="53"/>
      <c r="V574" s="53"/>
      <c r="W574" s="53"/>
      <c r="X574" s="53"/>
      <c r="Y574" s="53"/>
      <c r="Z574" s="52"/>
      <c r="AA574" s="52"/>
      <c r="AB574" s="52"/>
      <c r="AC574" s="52"/>
      <c r="AD574" s="53"/>
      <c r="AE574" s="53"/>
      <c r="AF574" s="53"/>
    </row>
    <row r="575">
      <c r="G575" s="55"/>
      <c r="N575" s="6"/>
      <c r="O575" s="53"/>
      <c r="P575" s="53"/>
      <c r="Q575" s="53"/>
      <c r="R575" s="51"/>
      <c r="S575" s="51"/>
      <c r="T575" s="53"/>
      <c r="U575" s="53"/>
      <c r="V575" s="53"/>
      <c r="W575" s="53"/>
      <c r="X575" s="53"/>
      <c r="Y575" s="53"/>
      <c r="Z575" s="52"/>
      <c r="AA575" s="52"/>
      <c r="AB575" s="52"/>
      <c r="AC575" s="52"/>
      <c r="AD575" s="53"/>
      <c r="AE575" s="53"/>
      <c r="AF575" s="53"/>
    </row>
    <row r="576">
      <c r="G576" s="55"/>
      <c r="N576" s="6"/>
      <c r="O576" s="53"/>
      <c r="P576" s="53"/>
      <c r="Q576" s="53"/>
      <c r="R576" s="51"/>
      <c r="S576" s="51"/>
      <c r="T576" s="53"/>
      <c r="U576" s="53"/>
      <c r="V576" s="53"/>
      <c r="W576" s="53"/>
      <c r="X576" s="53"/>
      <c r="Y576" s="53"/>
      <c r="Z576" s="52"/>
      <c r="AA576" s="52"/>
      <c r="AB576" s="52"/>
      <c r="AC576" s="52"/>
      <c r="AD576" s="53"/>
      <c r="AE576" s="53"/>
      <c r="AF576" s="53"/>
    </row>
    <row r="577">
      <c r="G577" s="55"/>
      <c r="N577" s="6"/>
      <c r="O577" s="53"/>
      <c r="P577" s="53"/>
      <c r="Q577" s="53"/>
      <c r="R577" s="51"/>
      <c r="S577" s="51"/>
      <c r="T577" s="53"/>
      <c r="U577" s="53"/>
      <c r="V577" s="53"/>
      <c r="W577" s="53"/>
      <c r="X577" s="53"/>
      <c r="Y577" s="53"/>
      <c r="Z577" s="52"/>
      <c r="AA577" s="52"/>
      <c r="AB577" s="52"/>
      <c r="AC577" s="52"/>
      <c r="AD577" s="53"/>
      <c r="AE577" s="53"/>
      <c r="AF577" s="53"/>
    </row>
    <row r="578">
      <c r="G578" s="55"/>
      <c r="N578" s="6"/>
      <c r="O578" s="53"/>
      <c r="P578" s="53"/>
      <c r="Q578" s="53"/>
      <c r="R578" s="51"/>
      <c r="S578" s="51"/>
      <c r="T578" s="53"/>
      <c r="U578" s="53"/>
      <c r="V578" s="53"/>
      <c r="W578" s="53"/>
      <c r="X578" s="53"/>
      <c r="Y578" s="53"/>
      <c r="Z578" s="52"/>
      <c r="AA578" s="52"/>
      <c r="AB578" s="52"/>
      <c r="AC578" s="52"/>
      <c r="AD578" s="53"/>
      <c r="AE578" s="53"/>
      <c r="AF578" s="53"/>
    </row>
    <row r="579">
      <c r="G579" s="55"/>
      <c r="N579" s="6"/>
      <c r="O579" s="53"/>
      <c r="P579" s="53"/>
      <c r="Q579" s="53"/>
      <c r="R579" s="51"/>
      <c r="S579" s="51"/>
      <c r="T579" s="53"/>
      <c r="U579" s="53"/>
      <c r="V579" s="53"/>
      <c r="W579" s="53"/>
      <c r="X579" s="53"/>
      <c r="Y579" s="53"/>
      <c r="Z579" s="52"/>
      <c r="AA579" s="52"/>
      <c r="AB579" s="52"/>
      <c r="AC579" s="52"/>
      <c r="AD579" s="53"/>
      <c r="AE579" s="53"/>
      <c r="AF579" s="53"/>
    </row>
    <row r="580">
      <c r="G580" s="55"/>
      <c r="N580" s="6"/>
      <c r="O580" s="53"/>
      <c r="P580" s="53"/>
      <c r="Q580" s="53"/>
      <c r="R580" s="51"/>
      <c r="S580" s="51"/>
      <c r="T580" s="53"/>
      <c r="U580" s="53"/>
      <c r="V580" s="53"/>
      <c r="W580" s="53"/>
      <c r="X580" s="53"/>
      <c r="Y580" s="53"/>
      <c r="Z580" s="52"/>
      <c r="AA580" s="52"/>
      <c r="AB580" s="52"/>
      <c r="AC580" s="52"/>
      <c r="AD580" s="53"/>
      <c r="AE580" s="53"/>
      <c r="AF580" s="53"/>
    </row>
    <row r="581">
      <c r="G581" s="55"/>
      <c r="N581" s="6"/>
      <c r="O581" s="53"/>
      <c r="P581" s="53"/>
      <c r="Q581" s="53"/>
      <c r="R581" s="51"/>
      <c r="S581" s="51"/>
      <c r="T581" s="53"/>
      <c r="U581" s="53"/>
      <c r="V581" s="53"/>
      <c r="W581" s="53"/>
      <c r="X581" s="53"/>
      <c r="Y581" s="53"/>
      <c r="Z581" s="52"/>
      <c r="AA581" s="52"/>
      <c r="AB581" s="52"/>
      <c r="AC581" s="52"/>
      <c r="AD581" s="53"/>
      <c r="AE581" s="53"/>
      <c r="AF581" s="53"/>
    </row>
    <row r="582">
      <c r="G582" s="55"/>
      <c r="N582" s="6"/>
      <c r="O582" s="53"/>
      <c r="P582" s="53"/>
      <c r="Q582" s="53"/>
      <c r="R582" s="51"/>
      <c r="S582" s="51"/>
      <c r="T582" s="53"/>
      <c r="U582" s="53"/>
      <c r="V582" s="53"/>
      <c r="W582" s="53"/>
      <c r="X582" s="53"/>
      <c r="Y582" s="53"/>
      <c r="Z582" s="52"/>
      <c r="AA582" s="52"/>
      <c r="AB582" s="52"/>
      <c r="AC582" s="52"/>
      <c r="AD582" s="53"/>
      <c r="AE582" s="53"/>
      <c r="AF582" s="53"/>
    </row>
    <row r="583">
      <c r="G583" s="55"/>
      <c r="N583" s="6"/>
      <c r="O583" s="53"/>
      <c r="P583" s="53"/>
      <c r="Q583" s="53"/>
      <c r="R583" s="51"/>
      <c r="S583" s="51"/>
      <c r="T583" s="53"/>
      <c r="U583" s="53"/>
      <c r="V583" s="53"/>
      <c r="W583" s="53"/>
      <c r="X583" s="53"/>
      <c r="Y583" s="53"/>
      <c r="Z583" s="52"/>
      <c r="AA583" s="52"/>
      <c r="AB583" s="52"/>
      <c r="AC583" s="52"/>
      <c r="AD583" s="53"/>
      <c r="AE583" s="53"/>
      <c r="AF583" s="53"/>
    </row>
    <row r="584">
      <c r="G584" s="55"/>
      <c r="N584" s="6"/>
      <c r="O584" s="53"/>
      <c r="P584" s="53"/>
      <c r="Q584" s="53"/>
      <c r="R584" s="51"/>
      <c r="S584" s="51"/>
      <c r="T584" s="53"/>
      <c r="U584" s="53"/>
      <c r="V584" s="53"/>
      <c r="W584" s="53"/>
      <c r="X584" s="53"/>
      <c r="Y584" s="53"/>
      <c r="Z584" s="52"/>
      <c r="AA584" s="52"/>
      <c r="AB584" s="52"/>
      <c r="AC584" s="52"/>
      <c r="AD584" s="53"/>
      <c r="AE584" s="53"/>
      <c r="AF584" s="53"/>
    </row>
    <row r="585">
      <c r="G585" s="55"/>
      <c r="N585" s="6"/>
      <c r="O585" s="53"/>
      <c r="P585" s="53"/>
      <c r="Q585" s="53"/>
      <c r="R585" s="51"/>
      <c r="S585" s="51"/>
      <c r="T585" s="53"/>
      <c r="U585" s="53"/>
      <c r="V585" s="53"/>
      <c r="W585" s="53"/>
      <c r="X585" s="53"/>
      <c r="Y585" s="53"/>
      <c r="Z585" s="52"/>
      <c r="AA585" s="52"/>
      <c r="AB585" s="52"/>
      <c r="AC585" s="52"/>
      <c r="AD585" s="53"/>
      <c r="AE585" s="53"/>
      <c r="AF585" s="53"/>
    </row>
    <row r="586">
      <c r="G586" s="55"/>
      <c r="N586" s="6"/>
      <c r="O586" s="53"/>
      <c r="P586" s="53"/>
      <c r="Q586" s="53"/>
      <c r="R586" s="51"/>
      <c r="S586" s="51"/>
      <c r="T586" s="53"/>
      <c r="U586" s="53"/>
      <c r="V586" s="53"/>
      <c r="W586" s="53"/>
      <c r="X586" s="53"/>
      <c r="Y586" s="53"/>
      <c r="Z586" s="52"/>
      <c r="AA586" s="52"/>
      <c r="AB586" s="52"/>
      <c r="AC586" s="52"/>
      <c r="AD586" s="53"/>
      <c r="AE586" s="53"/>
      <c r="AF586" s="53"/>
    </row>
    <row r="587">
      <c r="G587" s="55"/>
      <c r="N587" s="6"/>
      <c r="O587" s="53"/>
      <c r="P587" s="53"/>
      <c r="Q587" s="53"/>
      <c r="R587" s="51"/>
      <c r="S587" s="51"/>
      <c r="T587" s="53"/>
      <c r="U587" s="53"/>
      <c r="V587" s="53"/>
      <c r="W587" s="53"/>
      <c r="X587" s="53"/>
      <c r="Y587" s="53"/>
      <c r="Z587" s="52"/>
      <c r="AA587" s="52"/>
      <c r="AB587" s="52"/>
      <c r="AC587" s="52"/>
      <c r="AD587" s="53"/>
      <c r="AE587" s="53"/>
      <c r="AF587" s="53"/>
    </row>
    <row r="588">
      <c r="G588" s="55"/>
      <c r="N588" s="6"/>
      <c r="O588" s="53"/>
      <c r="P588" s="53"/>
      <c r="Q588" s="53"/>
      <c r="R588" s="51"/>
      <c r="S588" s="51"/>
      <c r="T588" s="53"/>
      <c r="U588" s="53"/>
      <c r="V588" s="53"/>
      <c r="W588" s="53"/>
      <c r="X588" s="53"/>
      <c r="Y588" s="53"/>
      <c r="Z588" s="52"/>
      <c r="AA588" s="52"/>
      <c r="AB588" s="52"/>
      <c r="AC588" s="52"/>
      <c r="AD588" s="53"/>
      <c r="AE588" s="53"/>
      <c r="AF588" s="53"/>
    </row>
    <row r="589">
      <c r="G589" s="55"/>
      <c r="N589" s="6"/>
      <c r="O589" s="53"/>
      <c r="P589" s="53"/>
      <c r="Q589" s="53"/>
      <c r="R589" s="51"/>
      <c r="S589" s="51"/>
      <c r="T589" s="53"/>
      <c r="U589" s="53"/>
      <c r="V589" s="53"/>
      <c r="W589" s="53"/>
      <c r="X589" s="53"/>
      <c r="Y589" s="53"/>
      <c r="Z589" s="52"/>
      <c r="AA589" s="52"/>
      <c r="AB589" s="52"/>
      <c r="AC589" s="52"/>
      <c r="AD589" s="53"/>
      <c r="AE589" s="53"/>
      <c r="AF589" s="53"/>
    </row>
    <row r="590">
      <c r="G590" s="55"/>
      <c r="N590" s="6"/>
      <c r="O590" s="53"/>
      <c r="P590" s="53"/>
      <c r="Q590" s="53"/>
      <c r="R590" s="51"/>
      <c r="S590" s="51"/>
      <c r="T590" s="53"/>
      <c r="U590" s="53"/>
      <c r="V590" s="53"/>
      <c r="W590" s="53"/>
      <c r="X590" s="53"/>
      <c r="Y590" s="53"/>
      <c r="Z590" s="52"/>
      <c r="AA590" s="52"/>
      <c r="AB590" s="52"/>
      <c r="AC590" s="52"/>
      <c r="AD590" s="53"/>
      <c r="AE590" s="53"/>
      <c r="AF590" s="53"/>
    </row>
    <row r="591">
      <c r="G591" s="55"/>
      <c r="N591" s="6"/>
      <c r="O591" s="53"/>
      <c r="P591" s="53"/>
      <c r="Q591" s="53"/>
      <c r="R591" s="51"/>
      <c r="S591" s="51"/>
      <c r="T591" s="53"/>
      <c r="U591" s="53"/>
      <c r="V591" s="53"/>
      <c r="W591" s="53"/>
      <c r="X591" s="53"/>
      <c r="Y591" s="53"/>
      <c r="Z591" s="52"/>
      <c r="AA591" s="52"/>
      <c r="AB591" s="52"/>
      <c r="AC591" s="52"/>
      <c r="AD591" s="53"/>
      <c r="AE591" s="53"/>
      <c r="AF591" s="53"/>
    </row>
    <row r="592">
      <c r="G592" s="55"/>
      <c r="N592" s="6"/>
      <c r="O592" s="53"/>
      <c r="P592" s="53"/>
      <c r="Q592" s="53"/>
      <c r="R592" s="51"/>
      <c r="S592" s="51"/>
      <c r="T592" s="53"/>
      <c r="U592" s="53"/>
      <c r="V592" s="53"/>
      <c r="W592" s="53"/>
      <c r="X592" s="53"/>
      <c r="Y592" s="53"/>
      <c r="Z592" s="52"/>
      <c r="AA592" s="52"/>
      <c r="AB592" s="52"/>
      <c r="AC592" s="52"/>
      <c r="AD592" s="53"/>
      <c r="AE592" s="53"/>
      <c r="AF592" s="53"/>
    </row>
    <row r="593">
      <c r="G593" s="55"/>
      <c r="N593" s="6"/>
      <c r="O593" s="53"/>
      <c r="P593" s="53"/>
      <c r="Q593" s="53"/>
      <c r="R593" s="51"/>
      <c r="S593" s="51"/>
      <c r="T593" s="53"/>
      <c r="U593" s="53"/>
      <c r="V593" s="53"/>
      <c r="W593" s="53"/>
      <c r="X593" s="53"/>
      <c r="Y593" s="53"/>
      <c r="Z593" s="52"/>
      <c r="AA593" s="52"/>
      <c r="AB593" s="52"/>
      <c r="AC593" s="52"/>
      <c r="AD593" s="53"/>
      <c r="AE593" s="53"/>
      <c r="AF593" s="53"/>
    </row>
    <row r="594">
      <c r="G594" s="55"/>
      <c r="N594" s="6"/>
      <c r="O594" s="53"/>
      <c r="P594" s="53"/>
      <c r="Q594" s="53"/>
      <c r="R594" s="51"/>
      <c r="S594" s="51"/>
      <c r="T594" s="53"/>
      <c r="U594" s="53"/>
      <c r="V594" s="53"/>
      <c r="W594" s="53"/>
      <c r="X594" s="53"/>
      <c r="Y594" s="53"/>
      <c r="Z594" s="52"/>
      <c r="AA594" s="52"/>
      <c r="AB594" s="52"/>
      <c r="AC594" s="52"/>
      <c r="AD594" s="53"/>
      <c r="AE594" s="53"/>
      <c r="AF594" s="53"/>
    </row>
    <row r="595">
      <c r="G595" s="55"/>
      <c r="N595" s="6"/>
      <c r="O595" s="53"/>
      <c r="P595" s="53"/>
      <c r="Q595" s="53"/>
      <c r="R595" s="51"/>
      <c r="S595" s="51"/>
      <c r="T595" s="53"/>
      <c r="U595" s="53"/>
      <c r="V595" s="53"/>
      <c r="W595" s="53"/>
      <c r="X595" s="53"/>
      <c r="Y595" s="53"/>
      <c r="Z595" s="52"/>
      <c r="AA595" s="52"/>
      <c r="AB595" s="52"/>
      <c r="AC595" s="52"/>
      <c r="AD595" s="53"/>
      <c r="AE595" s="53"/>
      <c r="AF595" s="53"/>
    </row>
    <row r="596">
      <c r="G596" s="55"/>
      <c r="N596" s="6"/>
      <c r="O596" s="53"/>
      <c r="P596" s="53"/>
      <c r="Q596" s="53"/>
      <c r="R596" s="51"/>
      <c r="S596" s="51"/>
      <c r="T596" s="53"/>
      <c r="U596" s="53"/>
      <c r="V596" s="53"/>
      <c r="W596" s="53"/>
      <c r="X596" s="53"/>
      <c r="Y596" s="53"/>
      <c r="Z596" s="52"/>
      <c r="AA596" s="52"/>
      <c r="AB596" s="52"/>
      <c r="AC596" s="52"/>
      <c r="AD596" s="53"/>
      <c r="AE596" s="53"/>
      <c r="AF596" s="53"/>
    </row>
    <row r="597">
      <c r="G597" s="55"/>
      <c r="N597" s="6"/>
      <c r="O597" s="53"/>
      <c r="P597" s="53"/>
      <c r="Q597" s="53"/>
      <c r="R597" s="51"/>
      <c r="S597" s="51"/>
      <c r="T597" s="53"/>
      <c r="U597" s="53"/>
      <c r="V597" s="53"/>
      <c r="W597" s="53"/>
      <c r="X597" s="53"/>
      <c r="Y597" s="53"/>
      <c r="Z597" s="52"/>
      <c r="AA597" s="52"/>
      <c r="AB597" s="52"/>
      <c r="AC597" s="52"/>
      <c r="AD597" s="53"/>
      <c r="AE597" s="53"/>
      <c r="AF597" s="53"/>
    </row>
    <row r="598">
      <c r="G598" s="55"/>
      <c r="N598" s="6"/>
      <c r="O598" s="53"/>
      <c r="P598" s="53"/>
      <c r="Q598" s="53"/>
      <c r="R598" s="51"/>
      <c r="S598" s="51"/>
      <c r="T598" s="53"/>
      <c r="U598" s="53"/>
      <c r="V598" s="53"/>
      <c r="W598" s="53"/>
      <c r="X598" s="53"/>
      <c r="Y598" s="53"/>
      <c r="Z598" s="52"/>
      <c r="AA598" s="52"/>
      <c r="AB598" s="52"/>
      <c r="AC598" s="52"/>
      <c r="AD598" s="53"/>
      <c r="AE598" s="53"/>
      <c r="AF598" s="53"/>
    </row>
    <row r="599">
      <c r="G599" s="55"/>
      <c r="N599" s="6"/>
      <c r="O599" s="53"/>
      <c r="P599" s="53"/>
      <c r="Q599" s="53"/>
      <c r="R599" s="51"/>
      <c r="S599" s="51"/>
      <c r="T599" s="53"/>
      <c r="U599" s="53"/>
      <c r="V599" s="53"/>
      <c r="W599" s="53"/>
      <c r="X599" s="53"/>
      <c r="Y599" s="53"/>
      <c r="Z599" s="52"/>
      <c r="AA599" s="52"/>
      <c r="AB599" s="52"/>
      <c r="AC599" s="52"/>
      <c r="AD599" s="53"/>
      <c r="AE599" s="53"/>
      <c r="AF599" s="53"/>
    </row>
    <row r="600">
      <c r="G600" s="55"/>
      <c r="N600" s="6"/>
      <c r="O600" s="53"/>
      <c r="P600" s="53"/>
      <c r="Q600" s="53"/>
      <c r="R600" s="51"/>
      <c r="S600" s="51"/>
      <c r="T600" s="53"/>
      <c r="U600" s="53"/>
      <c r="V600" s="53"/>
      <c r="W600" s="53"/>
      <c r="X600" s="53"/>
      <c r="Y600" s="53"/>
      <c r="Z600" s="52"/>
      <c r="AA600" s="52"/>
      <c r="AB600" s="52"/>
      <c r="AC600" s="52"/>
      <c r="AD600" s="53"/>
      <c r="AE600" s="53"/>
      <c r="AF600" s="53"/>
    </row>
    <row r="601">
      <c r="G601" s="55"/>
      <c r="N601" s="6"/>
      <c r="O601" s="53"/>
      <c r="P601" s="53"/>
      <c r="Q601" s="53"/>
      <c r="R601" s="51"/>
      <c r="S601" s="51"/>
      <c r="T601" s="53"/>
      <c r="U601" s="53"/>
      <c r="V601" s="53"/>
      <c r="W601" s="53"/>
      <c r="X601" s="53"/>
      <c r="Y601" s="53"/>
      <c r="Z601" s="52"/>
      <c r="AA601" s="52"/>
      <c r="AB601" s="52"/>
      <c r="AC601" s="52"/>
      <c r="AD601" s="53"/>
      <c r="AE601" s="53"/>
      <c r="AF601" s="53"/>
    </row>
    <row r="602">
      <c r="G602" s="55"/>
      <c r="N602" s="6"/>
      <c r="O602" s="53"/>
      <c r="P602" s="53"/>
      <c r="Q602" s="53"/>
      <c r="R602" s="51"/>
      <c r="S602" s="51"/>
      <c r="T602" s="53"/>
      <c r="U602" s="53"/>
      <c r="V602" s="53"/>
      <c r="W602" s="53"/>
      <c r="X602" s="53"/>
      <c r="Y602" s="53"/>
      <c r="Z602" s="52"/>
      <c r="AA602" s="52"/>
      <c r="AB602" s="52"/>
      <c r="AC602" s="52"/>
      <c r="AD602" s="53"/>
      <c r="AE602" s="53"/>
      <c r="AF602" s="53"/>
    </row>
    <row r="603">
      <c r="G603" s="55"/>
      <c r="N603" s="6"/>
      <c r="O603" s="53"/>
      <c r="P603" s="53"/>
      <c r="Q603" s="53"/>
      <c r="R603" s="51"/>
      <c r="S603" s="51"/>
      <c r="T603" s="53"/>
      <c r="U603" s="53"/>
      <c r="V603" s="53"/>
      <c r="W603" s="53"/>
      <c r="X603" s="53"/>
      <c r="Y603" s="53"/>
      <c r="Z603" s="52"/>
      <c r="AA603" s="52"/>
      <c r="AB603" s="52"/>
      <c r="AC603" s="52"/>
      <c r="AD603" s="53"/>
      <c r="AE603" s="53"/>
      <c r="AF603" s="53"/>
    </row>
    <row r="604">
      <c r="G604" s="55"/>
      <c r="N604" s="6"/>
      <c r="O604" s="53"/>
      <c r="P604" s="53"/>
      <c r="Q604" s="53"/>
      <c r="R604" s="51"/>
      <c r="S604" s="51"/>
      <c r="T604" s="53"/>
      <c r="U604" s="53"/>
      <c r="V604" s="53"/>
      <c r="W604" s="53"/>
      <c r="X604" s="53"/>
      <c r="Y604" s="53"/>
      <c r="Z604" s="52"/>
      <c r="AA604" s="52"/>
      <c r="AB604" s="52"/>
      <c r="AC604" s="52"/>
      <c r="AD604" s="53"/>
      <c r="AE604" s="53"/>
      <c r="AF604" s="53"/>
    </row>
    <row r="605">
      <c r="G605" s="55"/>
      <c r="N605" s="6"/>
      <c r="O605" s="53"/>
      <c r="P605" s="53"/>
      <c r="Q605" s="53"/>
      <c r="R605" s="51"/>
      <c r="S605" s="51"/>
      <c r="T605" s="53"/>
      <c r="U605" s="53"/>
      <c r="V605" s="53"/>
      <c r="W605" s="53"/>
      <c r="X605" s="53"/>
      <c r="Y605" s="53"/>
      <c r="Z605" s="52"/>
      <c r="AA605" s="52"/>
      <c r="AB605" s="52"/>
      <c r="AC605" s="52"/>
      <c r="AD605" s="53"/>
      <c r="AE605" s="53"/>
      <c r="AF605" s="53"/>
    </row>
    <row r="606">
      <c r="G606" s="55"/>
      <c r="N606" s="6"/>
      <c r="O606" s="53"/>
      <c r="P606" s="53"/>
      <c r="Q606" s="53"/>
      <c r="R606" s="51"/>
      <c r="S606" s="51"/>
      <c r="T606" s="53"/>
      <c r="U606" s="53"/>
      <c r="V606" s="53"/>
      <c r="W606" s="53"/>
      <c r="X606" s="53"/>
      <c r="Y606" s="53"/>
      <c r="Z606" s="52"/>
      <c r="AA606" s="52"/>
      <c r="AB606" s="52"/>
      <c r="AC606" s="52"/>
      <c r="AD606" s="53"/>
      <c r="AE606" s="53"/>
      <c r="AF606" s="53"/>
    </row>
    <row r="607">
      <c r="G607" s="55"/>
      <c r="N607" s="6"/>
      <c r="O607" s="53"/>
      <c r="P607" s="53"/>
      <c r="Q607" s="53"/>
      <c r="R607" s="51"/>
      <c r="S607" s="51"/>
      <c r="T607" s="53"/>
      <c r="U607" s="53"/>
      <c r="V607" s="53"/>
      <c r="W607" s="53"/>
      <c r="X607" s="53"/>
      <c r="Y607" s="53"/>
      <c r="Z607" s="52"/>
      <c r="AA607" s="52"/>
      <c r="AB607" s="52"/>
      <c r="AC607" s="52"/>
      <c r="AD607" s="53"/>
      <c r="AE607" s="53"/>
      <c r="AF607" s="53"/>
    </row>
    <row r="608">
      <c r="G608" s="55"/>
      <c r="N608" s="6"/>
      <c r="O608" s="53"/>
      <c r="P608" s="53"/>
      <c r="Q608" s="53"/>
      <c r="R608" s="51"/>
      <c r="S608" s="51"/>
      <c r="T608" s="53"/>
      <c r="U608" s="53"/>
      <c r="V608" s="53"/>
      <c r="W608" s="53"/>
      <c r="X608" s="53"/>
      <c r="Y608" s="53"/>
      <c r="Z608" s="52"/>
      <c r="AA608" s="52"/>
      <c r="AB608" s="52"/>
      <c r="AC608" s="52"/>
      <c r="AD608" s="53"/>
      <c r="AE608" s="53"/>
      <c r="AF608" s="53"/>
    </row>
    <row r="609">
      <c r="G609" s="55"/>
      <c r="N609" s="6"/>
      <c r="O609" s="53"/>
      <c r="P609" s="53"/>
      <c r="Q609" s="53"/>
      <c r="R609" s="51"/>
      <c r="S609" s="51"/>
      <c r="T609" s="53"/>
      <c r="U609" s="53"/>
      <c r="V609" s="53"/>
      <c r="W609" s="53"/>
      <c r="X609" s="53"/>
      <c r="Y609" s="53"/>
      <c r="Z609" s="52"/>
      <c r="AA609" s="52"/>
      <c r="AB609" s="52"/>
      <c r="AC609" s="52"/>
      <c r="AD609" s="53"/>
      <c r="AE609" s="53"/>
      <c r="AF609" s="53"/>
    </row>
    <row r="610">
      <c r="G610" s="55"/>
      <c r="N610" s="6"/>
      <c r="O610" s="53"/>
      <c r="P610" s="53"/>
      <c r="Q610" s="53"/>
      <c r="R610" s="51"/>
      <c r="S610" s="51"/>
      <c r="T610" s="53"/>
      <c r="U610" s="53"/>
      <c r="V610" s="53"/>
      <c r="W610" s="53"/>
      <c r="X610" s="53"/>
      <c r="Y610" s="53"/>
      <c r="Z610" s="52"/>
      <c r="AA610" s="52"/>
      <c r="AB610" s="52"/>
      <c r="AC610" s="52"/>
      <c r="AD610" s="53"/>
      <c r="AE610" s="53"/>
      <c r="AF610" s="53"/>
    </row>
    <row r="611">
      <c r="G611" s="55"/>
      <c r="N611" s="6"/>
      <c r="O611" s="53"/>
      <c r="P611" s="53"/>
      <c r="Q611" s="53"/>
      <c r="R611" s="51"/>
      <c r="S611" s="51"/>
      <c r="T611" s="53"/>
      <c r="U611" s="53"/>
      <c r="V611" s="53"/>
      <c r="W611" s="53"/>
      <c r="X611" s="53"/>
      <c r="Y611" s="53"/>
      <c r="Z611" s="52"/>
      <c r="AA611" s="52"/>
      <c r="AB611" s="52"/>
      <c r="AC611" s="52"/>
      <c r="AD611" s="53"/>
      <c r="AE611" s="53"/>
      <c r="AF611" s="53"/>
    </row>
    <row r="612">
      <c r="G612" s="55"/>
      <c r="N612" s="6"/>
      <c r="O612" s="53"/>
      <c r="P612" s="53"/>
      <c r="Q612" s="53"/>
      <c r="R612" s="51"/>
      <c r="S612" s="51"/>
      <c r="T612" s="53"/>
      <c r="U612" s="53"/>
      <c r="V612" s="53"/>
      <c r="W612" s="53"/>
      <c r="X612" s="53"/>
      <c r="Y612" s="53"/>
      <c r="Z612" s="52"/>
      <c r="AA612" s="52"/>
      <c r="AB612" s="52"/>
      <c r="AC612" s="52"/>
      <c r="AD612" s="53"/>
      <c r="AE612" s="53"/>
      <c r="AF612" s="53"/>
    </row>
    <row r="613">
      <c r="G613" s="55"/>
      <c r="N613" s="6"/>
      <c r="O613" s="53"/>
      <c r="P613" s="53"/>
      <c r="Q613" s="53"/>
      <c r="R613" s="51"/>
      <c r="S613" s="51"/>
      <c r="T613" s="53"/>
      <c r="U613" s="53"/>
      <c r="V613" s="53"/>
      <c r="W613" s="53"/>
      <c r="X613" s="53"/>
      <c r="Y613" s="53"/>
      <c r="Z613" s="52"/>
      <c r="AA613" s="52"/>
      <c r="AB613" s="52"/>
      <c r="AC613" s="52"/>
      <c r="AD613" s="53"/>
      <c r="AE613" s="53"/>
      <c r="AF613" s="53"/>
    </row>
    <row r="614">
      <c r="G614" s="55"/>
      <c r="N614" s="6"/>
      <c r="O614" s="53"/>
      <c r="P614" s="53"/>
      <c r="Q614" s="53"/>
      <c r="R614" s="51"/>
      <c r="S614" s="51"/>
      <c r="T614" s="53"/>
      <c r="U614" s="53"/>
      <c r="V614" s="53"/>
      <c r="W614" s="53"/>
      <c r="X614" s="53"/>
      <c r="Y614" s="53"/>
      <c r="Z614" s="52"/>
      <c r="AA614" s="52"/>
      <c r="AB614" s="52"/>
      <c r="AC614" s="52"/>
      <c r="AD614" s="53"/>
      <c r="AE614" s="53"/>
      <c r="AF614" s="53"/>
    </row>
    <row r="615">
      <c r="G615" s="55"/>
      <c r="N615" s="6"/>
      <c r="O615" s="53"/>
      <c r="P615" s="53"/>
      <c r="Q615" s="53"/>
      <c r="R615" s="51"/>
      <c r="S615" s="51"/>
      <c r="T615" s="53"/>
      <c r="U615" s="53"/>
      <c r="V615" s="53"/>
      <c r="W615" s="53"/>
      <c r="X615" s="53"/>
      <c r="Y615" s="53"/>
      <c r="Z615" s="52"/>
      <c r="AA615" s="52"/>
      <c r="AB615" s="52"/>
      <c r="AC615" s="52"/>
      <c r="AD615" s="53"/>
      <c r="AE615" s="53"/>
      <c r="AF615" s="53"/>
    </row>
    <row r="616">
      <c r="G616" s="55"/>
      <c r="N616" s="6"/>
      <c r="O616" s="53"/>
      <c r="P616" s="53"/>
      <c r="Q616" s="53"/>
      <c r="R616" s="51"/>
      <c r="S616" s="51"/>
      <c r="T616" s="53"/>
      <c r="U616" s="53"/>
      <c r="V616" s="53"/>
      <c r="W616" s="53"/>
      <c r="X616" s="53"/>
      <c r="Y616" s="53"/>
      <c r="Z616" s="52"/>
      <c r="AA616" s="52"/>
      <c r="AB616" s="52"/>
      <c r="AC616" s="52"/>
      <c r="AD616" s="53"/>
      <c r="AE616" s="53"/>
      <c r="AF616" s="53"/>
    </row>
    <row r="617">
      <c r="G617" s="55"/>
      <c r="N617" s="6"/>
      <c r="O617" s="53"/>
      <c r="P617" s="53"/>
      <c r="Q617" s="53"/>
      <c r="R617" s="51"/>
      <c r="S617" s="51"/>
      <c r="T617" s="53"/>
      <c r="U617" s="53"/>
      <c r="V617" s="53"/>
      <c r="W617" s="53"/>
      <c r="X617" s="53"/>
      <c r="Y617" s="53"/>
      <c r="Z617" s="52"/>
      <c r="AA617" s="52"/>
      <c r="AB617" s="52"/>
      <c r="AC617" s="52"/>
      <c r="AD617" s="53"/>
      <c r="AE617" s="53"/>
      <c r="AF617" s="53"/>
    </row>
    <row r="618">
      <c r="G618" s="55"/>
      <c r="N618" s="6"/>
      <c r="O618" s="53"/>
      <c r="P618" s="53"/>
      <c r="Q618" s="53"/>
      <c r="R618" s="51"/>
      <c r="S618" s="51"/>
      <c r="T618" s="53"/>
      <c r="U618" s="53"/>
      <c r="V618" s="53"/>
      <c r="W618" s="53"/>
      <c r="X618" s="53"/>
      <c r="Y618" s="53"/>
      <c r="Z618" s="52"/>
      <c r="AA618" s="52"/>
      <c r="AB618" s="52"/>
      <c r="AC618" s="52"/>
      <c r="AD618" s="53"/>
      <c r="AE618" s="53"/>
      <c r="AF618" s="53"/>
    </row>
    <row r="619">
      <c r="G619" s="55"/>
      <c r="N619" s="6"/>
      <c r="O619" s="53"/>
      <c r="P619" s="53"/>
      <c r="Q619" s="53"/>
      <c r="R619" s="51"/>
      <c r="S619" s="51"/>
      <c r="T619" s="53"/>
      <c r="U619" s="53"/>
      <c r="V619" s="53"/>
      <c r="W619" s="53"/>
      <c r="X619" s="53"/>
      <c r="Y619" s="53"/>
      <c r="Z619" s="52"/>
      <c r="AA619" s="52"/>
      <c r="AB619" s="52"/>
      <c r="AC619" s="52"/>
      <c r="AD619" s="53"/>
      <c r="AE619" s="53"/>
      <c r="AF619" s="53"/>
    </row>
    <row r="620">
      <c r="G620" s="55"/>
      <c r="N620" s="6"/>
      <c r="O620" s="53"/>
      <c r="P620" s="53"/>
      <c r="Q620" s="53"/>
      <c r="R620" s="51"/>
      <c r="S620" s="51"/>
      <c r="T620" s="53"/>
      <c r="U620" s="53"/>
      <c r="V620" s="53"/>
      <c r="W620" s="53"/>
      <c r="X620" s="53"/>
      <c r="Y620" s="53"/>
      <c r="Z620" s="52"/>
      <c r="AA620" s="52"/>
      <c r="AB620" s="52"/>
      <c r="AC620" s="52"/>
      <c r="AD620" s="53"/>
      <c r="AE620" s="53"/>
      <c r="AF620" s="53"/>
    </row>
    <row r="621">
      <c r="G621" s="55"/>
      <c r="N621" s="6"/>
      <c r="O621" s="53"/>
      <c r="P621" s="53"/>
      <c r="Q621" s="53"/>
      <c r="R621" s="51"/>
      <c r="S621" s="51"/>
      <c r="T621" s="53"/>
      <c r="U621" s="53"/>
      <c r="V621" s="53"/>
      <c r="W621" s="53"/>
      <c r="X621" s="53"/>
      <c r="Y621" s="53"/>
      <c r="Z621" s="52"/>
      <c r="AA621" s="52"/>
      <c r="AB621" s="52"/>
      <c r="AC621" s="52"/>
      <c r="AD621" s="53"/>
      <c r="AE621" s="53"/>
      <c r="AF621" s="53"/>
    </row>
    <row r="622">
      <c r="G622" s="55"/>
      <c r="N622" s="6"/>
      <c r="O622" s="53"/>
      <c r="P622" s="53"/>
      <c r="Q622" s="53"/>
      <c r="R622" s="51"/>
      <c r="S622" s="51"/>
      <c r="T622" s="53"/>
      <c r="U622" s="53"/>
      <c r="V622" s="53"/>
      <c r="W622" s="53"/>
      <c r="X622" s="53"/>
      <c r="Y622" s="53"/>
      <c r="Z622" s="52"/>
      <c r="AA622" s="52"/>
      <c r="AB622" s="52"/>
      <c r="AC622" s="52"/>
      <c r="AD622" s="53"/>
      <c r="AE622" s="53"/>
      <c r="AF622" s="53"/>
    </row>
    <row r="623">
      <c r="G623" s="55"/>
      <c r="N623" s="6"/>
      <c r="O623" s="53"/>
      <c r="P623" s="53"/>
      <c r="Q623" s="53"/>
      <c r="R623" s="51"/>
      <c r="S623" s="51"/>
      <c r="T623" s="53"/>
      <c r="U623" s="53"/>
      <c r="V623" s="53"/>
      <c r="W623" s="53"/>
      <c r="X623" s="53"/>
      <c r="Y623" s="53"/>
      <c r="Z623" s="52"/>
      <c r="AA623" s="52"/>
      <c r="AB623" s="52"/>
      <c r="AC623" s="52"/>
      <c r="AD623" s="53"/>
      <c r="AE623" s="53"/>
      <c r="AF623" s="53"/>
    </row>
    <row r="624">
      <c r="G624" s="55"/>
      <c r="N624" s="6"/>
      <c r="O624" s="53"/>
      <c r="P624" s="53"/>
      <c r="Q624" s="53"/>
      <c r="R624" s="51"/>
      <c r="S624" s="51"/>
      <c r="T624" s="53"/>
      <c r="U624" s="53"/>
      <c r="V624" s="53"/>
      <c r="W624" s="53"/>
      <c r="X624" s="53"/>
      <c r="Y624" s="53"/>
      <c r="Z624" s="52"/>
      <c r="AA624" s="52"/>
      <c r="AB624" s="52"/>
      <c r="AC624" s="52"/>
      <c r="AD624" s="53"/>
      <c r="AE624" s="53"/>
      <c r="AF624" s="53"/>
    </row>
    <row r="625">
      <c r="G625" s="55"/>
      <c r="N625" s="6"/>
      <c r="O625" s="53"/>
      <c r="P625" s="53"/>
      <c r="Q625" s="53"/>
      <c r="R625" s="51"/>
      <c r="S625" s="51"/>
      <c r="T625" s="53"/>
      <c r="U625" s="53"/>
      <c r="V625" s="53"/>
      <c r="W625" s="53"/>
      <c r="X625" s="53"/>
      <c r="Y625" s="53"/>
      <c r="Z625" s="52"/>
      <c r="AA625" s="52"/>
      <c r="AB625" s="52"/>
      <c r="AC625" s="52"/>
      <c r="AD625" s="53"/>
      <c r="AE625" s="53"/>
      <c r="AF625" s="53"/>
    </row>
    <row r="626">
      <c r="G626" s="55"/>
      <c r="N626" s="6"/>
      <c r="O626" s="53"/>
      <c r="P626" s="53"/>
      <c r="Q626" s="53"/>
      <c r="R626" s="51"/>
      <c r="S626" s="51"/>
      <c r="T626" s="53"/>
      <c r="U626" s="53"/>
      <c r="V626" s="53"/>
      <c r="W626" s="53"/>
      <c r="X626" s="53"/>
      <c r="Y626" s="53"/>
      <c r="Z626" s="52"/>
      <c r="AA626" s="52"/>
      <c r="AB626" s="52"/>
      <c r="AC626" s="52"/>
      <c r="AD626" s="53"/>
      <c r="AE626" s="53"/>
      <c r="AF626" s="53"/>
    </row>
    <row r="627">
      <c r="G627" s="55"/>
      <c r="N627" s="6"/>
      <c r="O627" s="53"/>
      <c r="P627" s="53"/>
      <c r="Q627" s="53"/>
      <c r="R627" s="51"/>
      <c r="S627" s="51"/>
      <c r="T627" s="53"/>
      <c r="U627" s="53"/>
      <c r="V627" s="53"/>
      <c r="W627" s="53"/>
      <c r="X627" s="53"/>
      <c r="Y627" s="53"/>
      <c r="Z627" s="52"/>
      <c r="AA627" s="52"/>
      <c r="AB627" s="52"/>
      <c r="AC627" s="52"/>
      <c r="AD627" s="53"/>
      <c r="AE627" s="53"/>
      <c r="AF627" s="53"/>
    </row>
    <row r="628">
      <c r="G628" s="55"/>
      <c r="N628" s="6"/>
      <c r="O628" s="53"/>
      <c r="P628" s="53"/>
      <c r="Q628" s="53"/>
      <c r="R628" s="51"/>
      <c r="S628" s="51"/>
      <c r="T628" s="53"/>
      <c r="U628" s="53"/>
      <c r="V628" s="53"/>
      <c r="W628" s="53"/>
      <c r="X628" s="53"/>
      <c r="Y628" s="53"/>
      <c r="Z628" s="52"/>
      <c r="AA628" s="52"/>
      <c r="AB628" s="52"/>
      <c r="AC628" s="52"/>
      <c r="AD628" s="53"/>
      <c r="AE628" s="53"/>
      <c r="AF628" s="53"/>
    </row>
    <row r="629">
      <c r="G629" s="55"/>
      <c r="N629" s="6"/>
      <c r="O629" s="53"/>
      <c r="P629" s="53"/>
      <c r="Q629" s="53"/>
      <c r="R629" s="51"/>
      <c r="S629" s="51"/>
      <c r="T629" s="53"/>
      <c r="U629" s="53"/>
      <c r="V629" s="53"/>
      <c r="W629" s="53"/>
      <c r="X629" s="53"/>
      <c r="Y629" s="53"/>
      <c r="Z629" s="52"/>
      <c r="AA629" s="52"/>
      <c r="AB629" s="52"/>
      <c r="AC629" s="52"/>
      <c r="AD629" s="53"/>
      <c r="AE629" s="53"/>
      <c r="AF629" s="53"/>
    </row>
    <row r="630">
      <c r="G630" s="55"/>
      <c r="N630" s="6"/>
      <c r="O630" s="53"/>
      <c r="P630" s="53"/>
      <c r="Q630" s="53"/>
      <c r="R630" s="51"/>
      <c r="S630" s="51"/>
      <c r="T630" s="53"/>
      <c r="U630" s="53"/>
      <c r="V630" s="53"/>
      <c r="W630" s="53"/>
      <c r="X630" s="53"/>
      <c r="Y630" s="53"/>
      <c r="Z630" s="52"/>
      <c r="AA630" s="52"/>
      <c r="AB630" s="52"/>
      <c r="AC630" s="52"/>
      <c r="AD630" s="53"/>
      <c r="AE630" s="53"/>
      <c r="AF630" s="53"/>
    </row>
    <row r="631">
      <c r="G631" s="55"/>
      <c r="N631" s="6"/>
      <c r="O631" s="53"/>
      <c r="P631" s="53"/>
      <c r="Q631" s="53"/>
      <c r="R631" s="51"/>
      <c r="S631" s="51"/>
      <c r="T631" s="53"/>
      <c r="U631" s="53"/>
      <c r="V631" s="53"/>
      <c r="W631" s="53"/>
      <c r="X631" s="53"/>
      <c r="Y631" s="53"/>
      <c r="Z631" s="52"/>
      <c r="AA631" s="52"/>
      <c r="AB631" s="52"/>
      <c r="AC631" s="52"/>
      <c r="AD631" s="53"/>
      <c r="AE631" s="53"/>
      <c r="AF631" s="53"/>
    </row>
    <row r="632">
      <c r="G632" s="55"/>
      <c r="N632" s="6"/>
      <c r="O632" s="53"/>
      <c r="P632" s="53"/>
      <c r="Q632" s="53"/>
      <c r="R632" s="51"/>
      <c r="S632" s="51"/>
      <c r="T632" s="53"/>
      <c r="U632" s="53"/>
      <c r="V632" s="53"/>
      <c r="W632" s="53"/>
      <c r="X632" s="53"/>
      <c r="Y632" s="53"/>
      <c r="Z632" s="52"/>
      <c r="AA632" s="52"/>
      <c r="AB632" s="52"/>
      <c r="AC632" s="52"/>
      <c r="AD632" s="53"/>
      <c r="AE632" s="53"/>
      <c r="AF632" s="53"/>
    </row>
    <row r="633">
      <c r="G633" s="55"/>
      <c r="N633" s="6"/>
      <c r="O633" s="53"/>
      <c r="P633" s="53"/>
      <c r="Q633" s="53"/>
      <c r="R633" s="51"/>
      <c r="S633" s="51"/>
      <c r="T633" s="53"/>
      <c r="U633" s="53"/>
      <c r="V633" s="53"/>
      <c r="W633" s="53"/>
      <c r="X633" s="53"/>
      <c r="Y633" s="53"/>
      <c r="Z633" s="52"/>
      <c r="AA633" s="52"/>
      <c r="AB633" s="52"/>
      <c r="AC633" s="52"/>
      <c r="AD633" s="53"/>
      <c r="AE633" s="53"/>
      <c r="AF633" s="53"/>
    </row>
    <row r="634">
      <c r="G634" s="55"/>
      <c r="N634" s="6"/>
      <c r="O634" s="53"/>
      <c r="P634" s="53"/>
      <c r="Q634" s="53"/>
      <c r="R634" s="51"/>
      <c r="S634" s="51"/>
      <c r="T634" s="53"/>
      <c r="U634" s="53"/>
      <c r="V634" s="53"/>
      <c r="W634" s="53"/>
      <c r="X634" s="53"/>
      <c r="Y634" s="53"/>
      <c r="Z634" s="52"/>
      <c r="AA634" s="52"/>
      <c r="AB634" s="52"/>
      <c r="AC634" s="52"/>
      <c r="AD634" s="53"/>
      <c r="AE634" s="53"/>
      <c r="AF634" s="53"/>
    </row>
    <row r="635">
      <c r="G635" s="55"/>
      <c r="N635" s="6"/>
      <c r="O635" s="53"/>
      <c r="P635" s="53"/>
      <c r="Q635" s="53"/>
      <c r="R635" s="51"/>
      <c r="S635" s="51"/>
      <c r="T635" s="53"/>
      <c r="U635" s="53"/>
      <c r="V635" s="53"/>
      <c r="W635" s="53"/>
      <c r="X635" s="53"/>
      <c r="Y635" s="53"/>
      <c r="Z635" s="52"/>
      <c r="AA635" s="52"/>
      <c r="AB635" s="52"/>
      <c r="AC635" s="52"/>
      <c r="AD635" s="53"/>
      <c r="AE635" s="53"/>
      <c r="AF635" s="53"/>
    </row>
    <row r="636">
      <c r="G636" s="55"/>
      <c r="N636" s="6"/>
      <c r="O636" s="53"/>
      <c r="P636" s="53"/>
      <c r="Q636" s="53"/>
      <c r="R636" s="51"/>
      <c r="S636" s="51"/>
      <c r="T636" s="53"/>
      <c r="U636" s="53"/>
      <c r="V636" s="53"/>
      <c r="W636" s="53"/>
      <c r="X636" s="53"/>
      <c r="Y636" s="53"/>
      <c r="Z636" s="52"/>
      <c r="AA636" s="52"/>
      <c r="AB636" s="52"/>
      <c r="AC636" s="52"/>
      <c r="AD636" s="53"/>
      <c r="AE636" s="53"/>
      <c r="AF636" s="53"/>
    </row>
    <row r="637">
      <c r="G637" s="55"/>
      <c r="N637" s="6"/>
      <c r="O637" s="53"/>
      <c r="P637" s="53"/>
      <c r="Q637" s="53"/>
      <c r="R637" s="51"/>
      <c r="S637" s="51"/>
      <c r="T637" s="53"/>
      <c r="U637" s="53"/>
      <c r="V637" s="53"/>
      <c r="W637" s="53"/>
      <c r="X637" s="53"/>
      <c r="Y637" s="53"/>
      <c r="Z637" s="52"/>
      <c r="AA637" s="52"/>
      <c r="AB637" s="52"/>
      <c r="AC637" s="52"/>
      <c r="AD637" s="53"/>
      <c r="AE637" s="53"/>
      <c r="AF637" s="53"/>
    </row>
    <row r="638">
      <c r="G638" s="55"/>
      <c r="N638" s="6"/>
      <c r="O638" s="53"/>
      <c r="P638" s="53"/>
      <c r="Q638" s="53"/>
      <c r="R638" s="51"/>
      <c r="S638" s="51"/>
      <c r="T638" s="53"/>
      <c r="U638" s="53"/>
      <c r="V638" s="53"/>
      <c r="W638" s="53"/>
      <c r="X638" s="53"/>
      <c r="Y638" s="53"/>
      <c r="Z638" s="52"/>
      <c r="AA638" s="52"/>
      <c r="AB638" s="52"/>
      <c r="AC638" s="52"/>
      <c r="AD638" s="53"/>
      <c r="AE638" s="53"/>
      <c r="AF638" s="53"/>
    </row>
    <row r="639">
      <c r="G639" s="55"/>
      <c r="N639" s="6"/>
      <c r="O639" s="53"/>
      <c r="P639" s="53"/>
      <c r="Q639" s="53"/>
      <c r="R639" s="51"/>
      <c r="S639" s="51"/>
      <c r="T639" s="53"/>
      <c r="U639" s="53"/>
      <c r="V639" s="53"/>
      <c r="W639" s="53"/>
      <c r="X639" s="53"/>
      <c r="Y639" s="53"/>
      <c r="Z639" s="52"/>
      <c r="AA639" s="52"/>
      <c r="AB639" s="52"/>
      <c r="AC639" s="52"/>
      <c r="AD639" s="53"/>
      <c r="AE639" s="53"/>
      <c r="AF639" s="53"/>
    </row>
    <row r="640">
      <c r="G640" s="55"/>
      <c r="N640" s="6"/>
      <c r="O640" s="53"/>
      <c r="P640" s="53"/>
      <c r="Q640" s="53"/>
      <c r="R640" s="51"/>
      <c r="S640" s="51"/>
      <c r="T640" s="53"/>
      <c r="U640" s="53"/>
      <c r="V640" s="53"/>
      <c r="W640" s="53"/>
      <c r="X640" s="53"/>
      <c r="Y640" s="53"/>
      <c r="Z640" s="52"/>
      <c r="AA640" s="52"/>
      <c r="AB640" s="52"/>
      <c r="AC640" s="52"/>
      <c r="AD640" s="53"/>
      <c r="AE640" s="53"/>
      <c r="AF640" s="53"/>
    </row>
    <row r="641">
      <c r="G641" s="55"/>
      <c r="N641" s="6"/>
      <c r="O641" s="53"/>
      <c r="P641" s="53"/>
      <c r="Q641" s="53"/>
      <c r="R641" s="51"/>
      <c r="S641" s="51"/>
      <c r="T641" s="53"/>
      <c r="U641" s="53"/>
      <c r="V641" s="53"/>
      <c r="W641" s="53"/>
      <c r="X641" s="53"/>
      <c r="Y641" s="53"/>
      <c r="Z641" s="52"/>
      <c r="AA641" s="52"/>
      <c r="AB641" s="52"/>
      <c r="AC641" s="52"/>
      <c r="AD641" s="53"/>
      <c r="AE641" s="53"/>
      <c r="AF641" s="53"/>
    </row>
    <row r="642">
      <c r="G642" s="55"/>
      <c r="N642" s="6"/>
      <c r="O642" s="53"/>
      <c r="P642" s="53"/>
      <c r="Q642" s="53"/>
      <c r="R642" s="51"/>
      <c r="S642" s="51"/>
      <c r="T642" s="53"/>
      <c r="U642" s="53"/>
      <c r="V642" s="53"/>
      <c r="W642" s="53"/>
      <c r="X642" s="53"/>
      <c r="Y642" s="53"/>
      <c r="Z642" s="52"/>
      <c r="AA642" s="52"/>
      <c r="AB642" s="52"/>
      <c r="AC642" s="52"/>
      <c r="AD642" s="53"/>
      <c r="AE642" s="53"/>
      <c r="AF642" s="53"/>
    </row>
    <row r="643">
      <c r="G643" s="55"/>
      <c r="N643" s="6"/>
      <c r="O643" s="53"/>
      <c r="P643" s="53"/>
      <c r="Q643" s="53"/>
      <c r="R643" s="51"/>
      <c r="S643" s="51"/>
      <c r="T643" s="53"/>
      <c r="U643" s="53"/>
      <c r="V643" s="53"/>
      <c r="W643" s="53"/>
      <c r="X643" s="53"/>
      <c r="Y643" s="53"/>
      <c r="Z643" s="52"/>
      <c r="AA643" s="52"/>
      <c r="AB643" s="52"/>
      <c r="AC643" s="52"/>
      <c r="AD643" s="53"/>
      <c r="AE643" s="53"/>
      <c r="AF643" s="53"/>
    </row>
    <row r="644">
      <c r="G644" s="55"/>
      <c r="N644" s="6"/>
      <c r="O644" s="53"/>
      <c r="P644" s="53"/>
      <c r="Q644" s="53"/>
      <c r="R644" s="51"/>
      <c r="S644" s="51"/>
      <c r="T644" s="53"/>
      <c r="U644" s="53"/>
      <c r="V644" s="53"/>
      <c r="W644" s="53"/>
      <c r="X644" s="53"/>
      <c r="Y644" s="53"/>
      <c r="Z644" s="52"/>
      <c r="AA644" s="52"/>
      <c r="AB644" s="52"/>
      <c r="AC644" s="52"/>
      <c r="AD644" s="53"/>
      <c r="AE644" s="53"/>
      <c r="AF644" s="53"/>
    </row>
    <row r="645">
      <c r="G645" s="55"/>
      <c r="N645" s="6"/>
      <c r="O645" s="53"/>
      <c r="P645" s="53"/>
      <c r="Q645" s="53"/>
      <c r="R645" s="51"/>
      <c r="S645" s="51"/>
      <c r="T645" s="53"/>
      <c r="U645" s="53"/>
      <c r="V645" s="53"/>
      <c r="W645" s="53"/>
      <c r="X645" s="53"/>
      <c r="Y645" s="53"/>
      <c r="Z645" s="52"/>
      <c r="AA645" s="52"/>
      <c r="AB645" s="52"/>
      <c r="AC645" s="52"/>
      <c r="AD645" s="53"/>
      <c r="AE645" s="53"/>
      <c r="AF645" s="53"/>
    </row>
    <row r="646">
      <c r="G646" s="55"/>
      <c r="N646" s="6"/>
      <c r="O646" s="53"/>
      <c r="P646" s="53"/>
      <c r="Q646" s="53"/>
      <c r="R646" s="51"/>
      <c r="S646" s="51"/>
      <c r="T646" s="53"/>
      <c r="U646" s="53"/>
      <c r="V646" s="53"/>
      <c r="W646" s="53"/>
      <c r="X646" s="53"/>
      <c r="Y646" s="53"/>
      <c r="Z646" s="52"/>
      <c r="AA646" s="52"/>
      <c r="AB646" s="52"/>
      <c r="AC646" s="52"/>
      <c r="AD646" s="53"/>
      <c r="AE646" s="53"/>
      <c r="AF646" s="53"/>
    </row>
    <row r="647">
      <c r="G647" s="55"/>
      <c r="N647" s="6"/>
      <c r="O647" s="53"/>
      <c r="P647" s="53"/>
      <c r="Q647" s="53"/>
      <c r="R647" s="51"/>
      <c r="S647" s="51"/>
      <c r="T647" s="53"/>
      <c r="U647" s="53"/>
      <c r="V647" s="53"/>
      <c r="W647" s="53"/>
      <c r="X647" s="53"/>
      <c r="Y647" s="53"/>
      <c r="Z647" s="52"/>
      <c r="AA647" s="52"/>
      <c r="AB647" s="52"/>
      <c r="AC647" s="52"/>
      <c r="AD647" s="53"/>
      <c r="AE647" s="53"/>
      <c r="AF647" s="53"/>
    </row>
    <row r="648">
      <c r="G648" s="55"/>
      <c r="N648" s="6"/>
      <c r="O648" s="53"/>
      <c r="P648" s="53"/>
      <c r="Q648" s="53"/>
      <c r="R648" s="51"/>
      <c r="S648" s="51"/>
      <c r="T648" s="53"/>
      <c r="U648" s="53"/>
      <c r="V648" s="53"/>
      <c r="W648" s="53"/>
      <c r="X648" s="53"/>
      <c r="Y648" s="53"/>
      <c r="Z648" s="52"/>
      <c r="AA648" s="52"/>
      <c r="AB648" s="52"/>
      <c r="AC648" s="52"/>
      <c r="AD648" s="53"/>
      <c r="AE648" s="53"/>
      <c r="AF648" s="53"/>
    </row>
    <row r="649">
      <c r="G649" s="55"/>
      <c r="N649" s="6"/>
      <c r="O649" s="53"/>
      <c r="P649" s="53"/>
      <c r="Q649" s="53"/>
      <c r="R649" s="51"/>
      <c r="S649" s="51"/>
      <c r="T649" s="53"/>
      <c r="U649" s="53"/>
      <c r="V649" s="53"/>
      <c r="W649" s="53"/>
      <c r="X649" s="53"/>
      <c r="Y649" s="53"/>
      <c r="Z649" s="52"/>
      <c r="AA649" s="52"/>
      <c r="AB649" s="52"/>
      <c r="AC649" s="52"/>
      <c r="AD649" s="53"/>
      <c r="AE649" s="53"/>
      <c r="AF649" s="53"/>
    </row>
    <row r="650">
      <c r="G650" s="55"/>
      <c r="N650" s="6"/>
      <c r="O650" s="53"/>
      <c r="P650" s="53"/>
      <c r="Q650" s="53"/>
      <c r="R650" s="51"/>
      <c r="S650" s="51"/>
      <c r="T650" s="53"/>
      <c r="U650" s="53"/>
      <c r="V650" s="53"/>
      <c r="W650" s="53"/>
      <c r="X650" s="53"/>
      <c r="Y650" s="53"/>
      <c r="Z650" s="52"/>
      <c r="AA650" s="52"/>
      <c r="AB650" s="52"/>
      <c r="AC650" s="52"/>
      <c r="AD650" s="53"/>
      <c r="AE650" s="53"/>
      <c r="AF650" s="53"/>
    </row>
    <row r="651">
      <c r="G651" s="55"/>
      <c r="N651" s="6"/>
      <c r="O651" s="53"/>
      <c r="P651" s="53"/>
      <c r="Q651" s="53"/>
      <c r="R651" s="51"/>
      <c r="S651" s="51"/>
      <c r="T651" s="53"/>
      <c r="U651" s="53"/>
      <c r="V651" s="53"/>
      <c r="W651" s="53"/>
      <c r="X651" s="53"/>
      <c r="Y651" s="53"/>
      <c r="Z651" s="52"/>
      <c r="AA651" s="52"/>
      <c r="AB651" s="52"/>
      <c r="AC651" s="52"/>
      <c r="AD651" s="53"/>
      <c r="AE651" s="53"/>
      <c r="AF651" s="53"/>
    </row>
    <row r="652">
      <c r="G652" s="55"/>
      <c r="N652" s="6"/>
      <c r="O652" s="53"/>
      <c r="P652" s="53"/>
      <c r="Q652" s="53"/>
      <c r="R652" s="51"/>
      <c r="S652" s="51"/>
      <c r="T652" s="53"/>
      <c r="U652" s="53"/>
      <c r="V652" s="53"/>
      <c r="W652" s="53"/>
      <c r="X652" s="53"/>
      <c r="Y652" s="53"/>
      <c r="Z652" s="52"/>
      <c r="AA652" s="52"/>
      <c r="AB652" s="52"/>
      <c r="AC652" s="52"/>
      <c r="AD652" s="53"/>
      <c r="AE652" s="53"/>
      <c r="AF652" s="53"/>
    </row>
    <row r="653">
      <c r="G653" s="55"/>
      <c r="N653" s="6"/>
      <c r="O653" s="53"/>
      <c r="P653" s="53"/>
      <c r="Q653" s="53"/>
      <c r="R653" s="51"/>
      <c r="S653" s="51"/>
      <c r="T653" s="53"/>
      <c r="U653" s="53"/>
      <c r="V653" s="53"/>
      <c r="W653" s="53"/>
      <c r="X653" s="53"/>
      <c r="Y653" s="53"/>
      <c r="Z653" s="52"/>
      <c r="AA653" s="52"/>
      <c r="AB653" s="52"/>
      <c r="AC653" s="52"/>
      <c r="AD653" s="53"/>
      <c r="AE653" s="53"/>
      <c r="AF653" s="53"/>
    </row>
    <row r="654">
      <c r="G654" s="55"/>
      <c r="N654" s="6"/>
      <c r="O654" s="53"/>
      <c r="P654" s="53"/>
      <c r="Q654" s="53"/>
      <c r="R654" s="51"/>
      <c r="S654" s="51"/>
      <c r="T654" s="53"/>
      <c r="U654" s="53"/>
      <c r="V654" s="53"/>
      <c r="W654" s="53"/>
      <c r="X654" s="53"/>
      <c r="Y654" s="53"/>
      <c r="Z654" s="52"/>
      <c r="AA654" s="52"/>
      <c r="AB654" s="52"/>
      <c r="AC654" s="52"/>
      <c r="AD654" s="53"/>
      <c r="AE654" s="53"/>
      <c r="AF654" s="53"/>
    </row>
    <row r="655">
      <c r="G655" s="55"/>
      <c r="N655" s="6"/>
      <c r="O655" s="53"/>
      <c r="P655" s="53"/>
      <c r="Q655" s="53"/>
      <c r="R655" s="51"/>
      <c r="S655" s="51"/>
      <c r="T655" s="53"/>
      <c r="U655" s="53"/>
      <c r="V655" s="53"/>
      <c r="W655" s="53"/>
      <c r="X655" s="53"/>
      <c r="Y655" s="53"/>
      <c r="Z655" s="52"/>
      <c r="AA655" s="52"/>
      <c r="AB655" s="52"/>
      <c r="AC655" s="52"/>
      <c r="AD655" s="53"/>
      <c r="AE655" s="53"/>
      <c r="AF655" s="53"/>
    </row>
    <row r="656">
      <c r="G656" s="55"/>
      <c r="N656" s="6"/>
      <c r="O656" s="53"/>
      <c r="P656" s="53"/>
      <c r="Q656" s="53"/>
      <c r="R656" s="51"/>
      <c r="S656" s="51"/>
      <c r="T656" s="53"/>
      <c r="U656" s="53"/>
      <c r="V656" s="53"/>
      <c r="W656" s="53"/>
      <c r="X656" s="53"/>
      <c r="Y656" s="53"/>
      <c r="Z656" s="52"/>
      <c r="AA656" s="52"/>
      <c r="AB656" s="52"/>
      <c r="AC656" s="52"/>
      <c r="AD656" s="53"/>
      <c r="AE656" s="53"/>
      <c r="AF656" s="53"/>
    </row>
    <row r="657">
      <c r="G657" s="55"/>
      <c r="N657" s="6"/>
      <c r="O657" s="53"/>
      <c r="P657" s="53"/>
      <c r="Q657" s="53"/>
      <c r="R657" s="51"/>
      <c r="S657" s="51"/>
      <c r="T657" s="53"/>
      <c r="U657" s="53"/>
      <c r="V657" s="53"/>
      <c r="W657" s="53"/>
      <c r="X657" s="53"/>
      <c r="Y657" s="53"/>
      <c r="Z657" s="52"/>
      <c r="AA657" s="52"/>
      <c r="AB657" s="52"/>
      <c r="AC657" s="52"/>
      <c r="AD657" s="53"/>
      <c r="AE657" s="53"/>
      <c r="AF657" s="53"/>
    </row>
    <row r="658">
      <c r="G658" s="55"/>
      <c r="N658" s="6"/>
      <c r="O658" s="53"/>
      <c r="P658" s="53"/>
      <c r="Q658" s="53"/>
      <c r="R658" s="51"/>
      <c r="S658" s="51"/>
      <c r="T658" s="53"/>
      <c r="U658" s="53"/>
      <c r="V658" s="53"/>
      <c r="W658" s="53"/>
      <c r="X658" s="53"/>
      <c r="Y658" s="53"/>
      <c r="Z658" s="52"/>
      <c r="AA658" s="52"/>
      <c r="AB658" s="52"/>
      <c r="AC658" s="52"/>
      <c r="AD658" s="53"/>
      <c r="AE658" s="53"/>
      <c r="AF658" s="53"/>
    </row>
    <row r="659">
      <c r="G659" s="55"/>
      <c r="N659" s="6"/>
      <c r="O659" s="53"/>
      <c r="P659" s="53"/>
      <c r="Q659" s="53"/>
      <c r="R659" s="51"/>
      <c r="S659" s="51"/>
      <c r="T659" s="53"/>
      <c r="U659" s="53"/>
      <c r="V659" s="53"/>
      <c r="W659" s="53"/>
      <c r="X659" s="53"/>
      <c r="Y659" s="53"/>
      <c r="Z659" s="52"/>
      <c r="AA659" s="52"/>
      <c r="AB659" s="52"/>
      <c r="AC659" s="52"/>
      <c r="AD659" s="53"/>
      <c r="AE659" s="53"/>
      <c r="AF659" s="53"/>
    </row>
    <row r="660">
      <c r="G660" s="55"/>
      <c r="N660" s="6"/>
      <c r="O660" s="53"/>
      <c r="P660" s="53"/>
      <c r="Q660" s="53"/>
      <c r="R660" s="51"/>
      <c r="S660" s="51"/>
      <c r="T660" s="53"/>
      <c r="U660" s="53"/>
      <c r="V660" s="53"/>
      <c r="W660" s="53"/>
      <c r="X660" s="53"/>
      <c r="Y660" s="53"/>
      <c r="Z660" s="52"/>
      <c r="AA660" s="52"/>
      <c r="AB660" s="52"/>
      <c r="AC660" s="52"/>
      <c r="AD660" s="53"/>
      <c r="AE660" s="53"/>
      <c r="AF660" s="53"/>
    </row>
    <row r="661">
      <c r="G661" s="55"/>
      <c r="N661" s="6"/>
      <c r="O661" s="53"/>
      <c r="P661" s="53"/>
      <c r="Q661" s="53"/>
      <c r="R661" s="51"/>
      <c r="S661" s="51"/>
      <c r="T661" s="53"/>
      <c r="U661" s="53"/>
      <c r="V661" s="53"/>
      <c r="W661" s="53"/>
      <c r="X661" s="53"/>
      <c r="Y661" s="53"/>
      <c r="Z661" s="52"/>
      <c r="AA661" s="52"/>
      <c r="AB661" s="52"/>
      <c r="AC661" s="52"/>
      <c r="AD661" s="53"/>
      <c r="AE661" s="53"/>
      <c r="AF661" s="53"/>
    </row>
    <row r="662">
      <c r="G662" s="55"/>
      <c r="N662" s="6"/>
      <c r="O662" s="53"/>
      <c r="P662" s="53"/>
      <c r="Q662" s="53"/>
      <c r="R662" s="51"/>
      <c r="S662" s="51"/>
      <c r="T662" s="53"/>
      <c r="U662" s="53"/>
      <c r="V662" s="53"/>
      <c r="W662" s="53"/>
      <c r="X662" s="53"/>
      <c r="Y662" s="53"/>
      <c r="Z662" s="52"/>
      <c r="AA662" s="52"/>
      <c r="AB662" s="52"/>
      <c r="AC662" s="52"/>
      <c r="AD662" s="53"/>
      <c r="AE662" s="53"/>
      <c r="AF662" s="53"/>
    </row>
    <row r="663">
      <c r="G663" s="55"/>
      <c r="N663" s="6"/>
      <c r="O663" s="53"/>
      <c r="P663" s="53"/>
      <c r="Q663" s="53"/>
      <c r="R663" s="51"/>
      <c r="S663" s="51"/>
      <c r="T663" s="53"/>
      <c r="U663" s="53"/>
      <c r="V663" s="53"/>
      <c r="W663" s="53"/>
      <c r="X663" s="53"/>
      <c r="Y663" s="53"/>
      <c r="Z663" s="52"/>
      <c r="AA663" s="52"/>
      <c r="AB663" s="52"/>
      <c r="AC663" s="52"/>
      <c r="AD663" s="53"/>
      <c r="AE663" s="53"/>
      <c r="AF663" s="53"/>
    </row>
    <row r="664">
      <c r="G664" s="55"/>
      <c r="N664" s="6"/>
      <c r="O664" s="53"/>
      <c r="P664" s="53"/>
      <c r="Q664" s="53"/>
      <c r="R664" s="51"/>
      <c r="S664" s="51"/>
      <c r="T664" s="53"/>
      <c r="U664" s="53"/>
      <c r="V664" s="53"/>
      <c r="W664" s="53"/>
      <c r="X664" s="53"/>
      <c r="Y664" s="53"/>
      <c r="Z664" s="52"/>
      <c r="AA664" s="52"/>
      <c r="AB664" s="52"/>
      <c r="AC664" s="52"/>
      <c r="AD664" s="53"/>
      <c r="AE664" s="53"/>
      <c r="AF664" s="53"/>
    </row>
    <row r="665">
      <c r="G665" s="55"/>
      <c r="N665" s="6"/>
      <c r="O665" s="53"/>
      <c r="P665" s="53"/>
      <c r="Q665" s="53"/>
      <c r="R665" s="51"/>
      <c r="S665" s="51"/>
      <c r="T665" s="53"/>
      <c r="U665" s="53"/>
      <c r="V665" s="53"/>
      <c r="W665" s="53"/>
      <c r="X665" s="53"/>
      <c r="Y665" s="53"/>
      <c r="Z665" s="52"/>
      <c r="AA665" s="52"/>
      <c r="AB665" s="52"/>
      <c r="AC665" s="52"/>
      <c r="AD665" s="53"/>
      <c r="AE665" s="53"/>
      <c r="AF665" s="53"/>
    </row>
    <row r="666">
      <c r="G666" s="55"/>
      <c r="N666" s="6"/>
      <c r="O666" s="53"/>
      <c r="P666" s="53"/>
      <c r="Q666" s="53"/>
      <c r="R666" s="51"/>
      <c r="S666" s="51"/>
      <c r="T666" s="53"/>
      <c r="U666" s="53"/>
      <c r="V666" s="53"/>
      <c r="W666" s="53"/>
      <c r="X666" s="53"/>
      <c r="Y666" s="53"/>
      <c r="Z666" s="52"/>
      <c r="AA666" s="52"/>
      <c r="AB666" s="52"/>
      <c r="AC666" s="52"/>
      <c r="AD666" s="53"/>
      <c r="AE666" s="53"/>
      <c r="AF666" s="53"/>
    </row>
    <row r="667">
      <c r="G667" s="55"/>
      <c r="N667" s="6"/>
      <c r="O667" s="53"/>
      <c r="P667" s="53"/>
      <c r="Q667" s="53"/>
      <c r="R667" s="51"/>
      <c r="S667" s="51"/>
      <c r="T667" s="53"/>
      <c r="U667" s="53"/>
      <c r="V667" s="53"/>
      <c r="W667" s="53"/>
      <c r="X667" s="53"/>
      <c r="Y667" s="53"/>
      <c r="Z667" s="52"/>
      <c r="AA667" s="52"/>
      <c r="AB667" s="52"/>
      <c r="AC667" s="52"/>
      <c r="AD667" s="53"/>
      <c r="AE667" s="53"/>
      <c r="AF667" s="53"/>
    </row>
    <row r="668">
      <c r="G668" s="55"/>
      <c r="N668" s="6"/>
      <c r="O668" s="53"/>
      <c r="P668" s="53"/>
      <c r="Q668" s="53"/>
      <c r="R668" s="51"/>
      <c r="S668" s="51"/>
      <c r="T668" s="53"/>
      <c r="U668" s="53"/>
      <c r="V668" s="53"/>
      <c r="W668" s="53"/>
      <c r="X668" s="53"/>
      <c r="Y668" s="53"/>
      <c r="Z668" s="52"/>
      <c r="AA668" s="52"/>
      <c r="AB668" s="52"/>
      <c r="AC668" s="52"/>
      <c r="AD668" s="53"/>
      <c r="AE668" s="53"/>
      <c r="AF668" s="53"/>
    </row>
    <row r="669">
      <c r="G669" s="55"/>
      <c r="N669" s="6"/>
      <c r="O669" s="53"/>
      <c r="P669" s="53"/>
      <c r="Q669" s="53"/>
      <c r="R669" s="51"/>
      <c r="S669" s="51"/>
      <c r="T669" s="53"/>
      <c r="U669" s="53"/>
      <c r="V669" s="53"/>
      <c r="W669" s="53"/>
      <c r="X669" s="53"/>
      <c r="Y669" s="53"/>
      <c r="Z669" s="52"/>
      <c r="AA669" s="52"/>
      <c r="AB669" s="52"/>
      <c r="AC669" s="52"/>
      <c r="AD669" s="53"/>
      <c r="AE669" s="53"/>
      <c r="AF669" s="53"/>
    </row>
    <row r="670">
      <c r="G670" s="55"/>
      <c r="N670" s="6"/>
      <c r="O670" s="53"/>
      <c r="P670" s="53"/>
      <c r="Q670" s="53"/>
      <c r="R670" s="51"/>
      <c r="S670" s="51"/>
      <c r="T670" s="53"/>
      <c r="U670" s="53"/>
      <c r="V670" s="53"/>
      <c r="W670" s="53"/>
      <c r="X670" s="53"/>
      <c r="Y670" s="53"/>
      <c r="Z670" s="52"/>
      <c r="AA670" s="52"/>
      <c r="AB670" s="52"/>
      <c r="AC670" s="52"/>
      <c r="AD670" s="53"/>
      <c r="AE670" s="53"/>
      <c r="AF670" s="53"/>
    </row>
    <row r="671">
      <c r="G671" s="55"/>
      <c r="N671" s="6"/>
      <c r="O671" s="53"/>
      <c r="P671" s="53"/>
      <c r="Q671" s="53"/>
      <c r="R671" s="51"/>
      <c r="S671" s="51"/>
      <c r="T671" s="53"/>
      <c r="U671" s="53"/>
      <c r="V671" s="53"/>
      <c r="W671" s="53"/>
      <c r="X671" s="53"/>
      <c r="Y671" s="53"/>
      <c r="Z671" s="52"/>
      <c r="AA671" s="52"/>
      <c r="AB671" s="52"/>
      <c r="AC671" s="52"/>
      <c r="AD671" s="53"/>
      <c r="AE671" s="53"/>
      <c r="AF671" s="53"/>
    </row>
    <row r="672">
      <c r="G672" s="55"/>
      <c r="N672" s="6"/>
      <c r="O672" s="53"/>
      <c r="P672" s="53"/>
      <c r="Q672" s="53"/>
      <c r="R672" s="51"/>
      <c r="S672" s="51"/>
      <c r="T672" s="53"/>
      <c r="U672" s="53"/>
      <c r="V672" s="53"/>
      <c r="W672" s="53"/>
      <c r="X672" s="53"/>
      <c r="Y672" s="53"/>
      <c r="Z672" s="52"/>
      <c r="AA672" s="52"/>
      <c r="AB672" s="52"/>
      <c r="AC672" s="52"/>
      <c r="AD672" s="53"/>
      <c r="AE672" s="53"/>
      <c r="AF672" s="53"/>
    </row>
    <row r="673">
      <c r="G673" s="55"/>
      <c r="N673" s="6"/>
      <c r="O673" s="53"/>
      <c r="P673" s="53"/>
      <c r="Q673" s="53"/>
      <c r="R673" s="51"/>
      <c r="S673" s="51"/>
      <c r="T673" s="53"/>
      <c r="U673" s="53"/>
      <c r="V673" s="53"/>
      <c r="W673" s="53"/>
      <c r="X673" s="53"/>
      <c r="Y673" s="53"/>
      <c r="Z673" s="52"/>
      <c r="AA673" s="52"/>
      <c r="AB673" s="52"/>
      <c r="AC673" s="52"/>
      <c r="AD673" s="53"/>
      <c r="AE673" s="53"/>
      <c r="AF673" s="53"/>
    </row>
    <row r="674">
      <c r="G674" s="55"/>
      <c r="N674" s="6"/>
      <c r="O674" s="53"/>
      <c r="P674" s="53"/>
      <c r="Q674" s="53"/>
      <c r="R674" s="51"/>
      <c r="S674" s="51"/>
      <c r="T674" s="53"/>
      <c r="U674" s="53"/>
      <c r="V674" s="53"/>
      <c r="W674" s="53"/>
      <c r="X674" s="53"/>
      <c r="Y674" s="53"/>
      <c r="Z674" s="52"/>
      <c r="AA674" s="52"/>
      <c r="AB674" s="52"/>
      <c r="AC674" s="52"/>
      <c r="AD674" s="53"/>
      <c r="AE674" s="53"/>
      <c r="AF674" s="53"/>
    </row>
    <row r="675">
      <c r="G675" s="55"/>
      <c r="N675" s="6"/>
      <c r="O675" s="53"/>
      <c r="P675" s="53"/>
      <c r="Q675" s="53"/>
      <c r="R675" s="51"/>
      <c r="S675" s="51"/>
      <c r="T675" s="53"/>
      <c r="U675" s="53"/>
      <c r="V675" s="53"/>
      <c r="W675" s="53"/>
      <c r="X675" s="53"/>
      <c r="Y675" s="53"/>
      <c r="Z675" s="52"/>
      <c r="AA675" s="52"/>
      <c r="AB675" s="52"/>
      <c r="AC675" s="52"/>
      <c r="AD675" s="53"/>
      <c r="AE675" s="53"/>
      <c r="AF675" s="53"/>
    </row>
    <row r="676">
      <c r="G676" s="55"/>
      <c r="N676" s="6"/>
      <c r="O676" s="53"/>
      <c r="P676" s="53"/>
      <c r="Q676" s="53"/>
      <c r="R676" s="51"/>
      <c r="S676" s="51"/>
      <c r="T676" s="53"/>
      <c r="U676" s="53"/>
      <c r="V676" s="53"/>
      <c r="W676" s="53"/>
      <c r="X676" s="53"/>
      <c r="Y676" s="53"/>
      <c r="Z676" s="52"/>
      <c r="AA676" s="52"/>
      <c r="AB676" s="52"/>
      <c r="AC676" s="52"/>
      <c r="AD676" s="53"/>
      <c r="AE676" s="53"/>
      <c r="AF676" s="53"/>
    </row>
    <row r="677">
      <c r="G677" s="55"/>
      <c r="N677" s="6"/>
      <c r="O677" s="53"/>
      <c r="P677" s="53"/>
      <c r="Q677" s="53"/>
      <c r="R677" s="51"/>
      <c r="S677" s="51"/>
      <c r="T677" s="53"/>
      <c r="U677" s="53"/>
      <c r="V677" s="53"/>
      <c r="W677" s="53"/>
      <c r="X677" s="53"/>
      <c r="Y677" s="53"/>
      <c r="Z677" s="52"/>
      <c r="AA677" s="52"/>
      <c r="AB677" s="52"/>
      <c r="AC677" s="52"/>
      <c r="AD677" s="53"/>
      <c r="AE677" s="53"/>
      <c r="AF677" s="53"/>
    </row>
    <row r="678">
      <c r="G678" s="55"/>
      <c r="N678" s="6"/>
      <c r="O678" s="53"/>
      <c r="P678" s="53"/>
      <c r="Q678" s="53"/>
      <c r="R678" s="51"/>
      <c r="S678" s="51"/>
      <c r="T678" s="53"/>
      <c r="U678" s="53"/>
      <c r="V678" s="53"/>
      <c r="W678" s="53"/>
      <c r="X678" s="53"/>
      <c r="Y678" s="53"/>
      <c r="Z678" s="52"/>
      <c r="AA678" s="52"/>
      <c r="AB678" s="52"/>
      <c r="AC678" s="52"/>
      <c r="AD678" s="53"/>
      <c r="AE678" s="53"/>
      <c r="AF678" s="53"/>
    </row>
    <row r="679">
      <c r="G679" s="55"/>
      <c r="N679" s="6"/>
      <c r="O679" s="53"/>
      <c r="P679" s="53"/>
      <c r="Q679" s="53"/>
      <c r="R679" s="51"/>
      <c r="S679" s="51"/>
      <c r="T679" s="53"/>
      <c r="U679" s="53"/>
      <c r="V679" s="53"/>
      <c r="W679" s="53"/>
      <c r="X679" s="53"/>
      <c r="Y679" s="53"/>
      <c r="Z679" s="52"/>
      <c r="AA679" s="52"/>
      <c r="AB679" s="52"/>
      <c r="AC679" s="52"/>
      <c r="AD679" s="53"/>
      <c r="AE679" s="53"/>
      <c r="AF679" s="53"/>
    </row>
    <row r="680">
      <c r="G680" s="55"/>
      <c r="N680" s="6"/>
      <c r="O680" s="53"/>
      <c r="P680" s="53"/>
      <c r="Q680" s="53"/>
      <c r="R680" s="51"/>
      <c r="S680" s="51"/>
      <c r="T680" s="53"/>
      <c r="U680" s="53"/>
      <c r="V680" s="53"/>
      <c r="W680" s="53"/>
      <c r="X680" s="53"/>
      <c r="Y680" s="53"/>
      <c r="Z680" s="52"/>
      <c r="AA680" s="52"/>
      <c r="AB680" s="52"/>
      <c r="AC680" s="52"/>
      <c r="AD680" s="53"/>
      <c r="AE680" s="53"/>
      <c r="AF680" s="53"/>
    </row>
    <row r="681">
      <c r="G681" s="55"/>
      <c r="N681" s="6"/>
      <c r="O681" s="53"/>
      <c r="P681" s="53"/>
      <c r="Q681" s="53"/>
      <c r="R681" s="51"/>
      <c r="S681" s="51"/>
      <c r="T681" s="53"/>
      <c r="U681" s="53"/>
      <c r="V681" s="53"/>
      <c r="W681" s="53"/>
      <c r="X681" s="53"/>
      <c r="Y681" s="53"/>
      <c r="Z681" s="52"/>
      <c r="AA681" s="52"/>
      <c r="AB681" s="52"/>
      <c r="AC681" s="52"/>
      <c r="AD681" s="53"/>
      <c r="AE681" s="53"/>
      <c r="AF681" s="53"/>
    </row>
    <row r="682">
      <c r="G682" s="55"/>
      <c r="N682" s="6"/>
      <c r="O682" s="53"/>
      <c r="P682" s="53"/>
      <c r="Q682" s="53"/>
      <c r="R682" s="51"/>
      <c r="S682" s="51"/>
      <c r="T682" s="53"/>
      <c r="U682" s="53"/>
      <c r="V682" s="53"/>
      <c r="W682" s="53"/>
      <c r="X682" s="53"/>
      <c r="Y682" s="53"/>
      <c r="Z682" s="52"/>
      <c r="AA682" s="52"/>
      <c r="AB682" s="52"/>
      <c r="AC682" s="52"/>
      <c r="AD682" s="53"/>
      <c r="AE682" s="53"/>
      <c r="AF682" s="53"/>
    </row>
    <row r="683">
      <c r="G683" s="55"/>
      <c r="N683" s="6"/>
      <c r="O683" s="53"/>
      <c r="P683" s="53"/>
      <c r="Q683" s="53"/>
      <c r="R683" s="51"/>
      <c r="S683" s="51"/>
      <c r="T683" s="53"/>
      <c r="U683" s="53"/>
      <c r="V683" s="53"/>
      <c r="W683" s="53"/>
      <c r="X683" s="53"/>
      <c r="Y683" s="53"/>
      <c r="Z683" s="52"/>
      <c r="AA683" s="52"/>
      <c r="AB683" s="52"/>
      <c r="AC683" s="52"/>
      <c r="AD683" s="53"/>
      <c r="AE683" s="53"/>
      <c r="AF683" s="53"/>
    </row>
    <row r="684">
      <c r="G684" s="55"/>
      <c r="N684" s="6"/>
      <c r="O684" s="53"/>
      <c r="P684" s="53"/>
      <c r="Q684" s="53"/>
      <c r="R684" s="51"/>
      <c r="S684" s="51"/>
      <c r="T684" s="53"/>
      <c r="U684" s="53"/>
      <c r="V684" s="53"/>
      <c r="W684" s="53"/>
      <c r="X684" s="53"/>
      <c r="Y684" s="53"/>
      <c r="Z684" s="52"/>
      <c r="AA684" s="52"/>
      <c r="AB684" s="52"/>
      <c r="AC684" s="52"/>
      <c r="AD684" s="53"/>
      <c r="AE684" s="53"/>
      <c r="AF684" s="53"/>
    </row>
    <row r="685">
      <c r="G685" s="55"/>
      <c r="N685" s="6"/>
      <c r="O685" s="53"/>
      <c r="P685" s="53"/>
      <c r="Q685" s="53"/>
      <c r="R685" s="51"/>
      <c r="S685" s="51"/>
      <c r="T685" s="53"/>
      <c r="U685" s="53"/>
      <c r="V685" s="53"/>
      <c r="W685" s="53"/>
      <c r="X685" s="53"/>
      <c r="Y685" s="53"/>
      <c r="Z685" s="52"/>
      <c r="AA685" s="52"/>
      <c r="AB685" s="52"/>
      <c r="AC685" s="52"/>
      <c r="AD685" s="53"/>
      <c r="AE685" s="53"/>
      <c r="AF685" s="53"/>
    </row>
    <row r="686">
      <c r="G686" s="55"/>
      <c r="N686" s="6"/>
      <c r="O686" s="53"/>
      <c r="P686" s="53"/>
      <c r="Q686" s="53"/>
      <c r="R686" s="51"/>
      <c r="S686" s="51"/>
      <c r="T686" s="53"/>
      <c r="U686" s="53"/>
      <c r="V686" s="53"/>
      <c r="W686" s="53"/>
      <c r="X686" s="53"/>
      <c r="Y686" s="53"/>
      <c r="Z686" s="52"/>
      <c r="AA686" s="52"/>
      <c r="AB686" s="52"/>
      <c r="AC686" s="52"/>
      <c r="AD686" s="53"/>
      <c r="AE686" s="53"/>
      <c r="AF686" s="53"/>
    </row>
    <row r="687">
      <c r="G687" s="55"/>
      <c r="N687" s="6"/>
      <c r="O687" s="53"/>
      <c r="P687" s="53"/>
      <c r="Q687" s="53"/>
      <c r="R687" s="51"/>
      <c r="S687" s="51"/>
      <c r="T687" s="53"/>
      <c r="U687" s="53"/>
      <c r="V687" s="53"/>
      <c r="W687" s="53"/>
      <c r="X687" s="53"/>
      <c r="Y687" s="53"/>
      <c r="Z687" s="52"/>
      <c r="AA687" s="52"/>
      <c r="AB687" s="52"/>
      <c r="AC687" s="52"/>
      <c r="AD687" s="53"/>
      <c r="AE687" s="53"/>
      <c r="AF687" s="53"/>
    </row>
    <row r="688">
      <c r="G688" s="55"/>
      <c r="N688" s="6"/>
      <c r="O688" s="53"/>
      <c r="P688" s="53"/>
      <c r="Q688" s="53"/>
      <c r="R688" s="51"/>
      <c r="S688" s="51"/>
      <c r="T688" s="53"/>
      <c r="U688" s="53"/>
      <c r="V688" s="53"/>
      <c r="W688" s="53"/>
      <c r="X688" s="53"/>
      <c r="Y688" s="53"/>
      <c r="Z688" s="52"/>
      <c r="AA688" s="52"/>
      <c r="AB688" s="52"/>
      <c r="AC688" s="52"/>
      <c r="AD688" s="53"/>
      <c r="AE688" s="53"/>
      <c r="AF688" s="53"/>
    </row>
    <row r="689">
      <c r="G689" s="55"/>
      <c r="N689" s="6"/>
      <c r="O689" s="53"/>
      <c r="P689" s="53"/>
      <c r="Q689" s="53"/>
      <c r="R689" s="51"/>
      <c r="S689" s="51"/>
      <c r="T689" s="53"/>
      <c r="U689" s="53"/>
      <c r="V689" s="53"/>
      <c r="W689" s="53"/>
      <c r="X689" s="53"/>
      <c r="Y689" s="53"/>
      <c r="Z689" s="52"/>
      <c r="AA689" s="52"/>
      <c r="AB689" s="52"/>
      <c r="AC689" s="52"/>
      <c r="AD689" s="53"/>
      <c r="AE689" s="53"/>
      <c r="AF689" s="53"/>
    </row>
    <row r="690">
      <c r="G690" s="55"/>
      <c r="N690" s="6"/>
      <c r="O690" s="53"/>
      <c r="P690" s="53"/>
      <c r="Q690" s="53"/>
      <c r="R690" s="51"/>
      <c r="S690" s="51"/>
      <c r="T690" s="53"/>
      <c r="U690" s="53"/>
      <c r="V690" s="53"/>
      <c r="W690" s="53"/>
      <c r="X690" s="53"/>
      <c r="Y690" s="53"/>
      <c r="Z690" s="52"/>
      <c r="AA690" s="52"/>
      <c r="AB690" s="52"/>
      <c r="AC690" s="52"/>
      <c r="AD690" s="53"/>
      <c r="AE690" s="53"/>
      <c r="AF690" s="53"/>
    </row>
    <row r="691">
      <c r="G691" s="55"/>
      <c r="N691" s="6"/>
      <c r="O691" s="53"/>
      <c r="P691" s="53"/>
      <c r="Q691" s="53"/>
      <c r="R691" s="51"/>
      <c r="S691" s="51"/>
      <c r="T691" s="53"/>
      <c r="U691" s="53"/>
      <c r="V691" s="53"/>
      <c r="W691" s="53"/>
      <c r="X691" s="53"/>
      <c r="Y691" s="53"/>
      <c r="Z691" s="52"/>
      <c r="AA691" s="52"/>
      <c r="AB691" s="52"/>
      <c r="AC691" s="52"/>
      <c r="AD691" s="53"/>
      <c r="AE691" s="53"/>
      <c r="AF691" s="53"/>
    </row>
    <row r="692">
      <c r="G692" s="55"/>
      <c r="N692" s="6"/>
      <c r="O692" s="53"/>
      <c r="P692" s="53"/>
      <c r="Q692" s="53"/>
      <c r="R692" s="51"/>
      <c r="S692" s="51"/>
      <c r="T692" s="53"/>
      <c r="U692" s="53"/>
      <c r="V692" s="53"/>
      <c r="W692" s="53"/>
      <c r="X692" s="53"/>
      <c r="Y692" s="53"/>
      <c r="Z692" s="52"/>
      <c r="AA692" s="52"/>
      <c r="AB692" s="52"/>
      <c r="AC692" s="52"/>
      <c r="AD692" s="53"/>
      <c r="AE692" s="53"/>
      <c r="AF692" s="53"/>
    </row>
    <row r="693">
      <c r="G693" s="55"/>
      <c r="N693" s="6"/>
      <c r="O693" s="53"/>
      <c r="P693" s="53"/>
      <c r="Q693" s="53"/>
      <c r="R693" s="51"/>
      <c r="S693" s="51"/>
      <c r="T693" s="53"/>
      <c r="U693" s="53"/>
      <c r="V693" s="53"/>
      <c r="W693" s="53"/>
      <c r="X693" s="53"/>
      <c r="Y693" s="53"/>
      <c r="Z693" s="52"/>
      <c r="AA693" s="52"/>
      <c r="AB693" s="52"/>
      <c r="AC693" s="52"/>
      <c r="AD693" s="53"/>
      <c r="AE693" s="53"/>
      <c r="AF693" s="53"/>
    </row>
    <row r="694">
      <c r="G694" s="55"/>
      <c r="N694" s="6"/>
      <c r="O694" s="53"/>
      <c r="P694" s="53"/>
      <c r="Q694" s="53"/>
      <c r="R694" s="51"/>
      <c r="S694" s="51"/>
      <c r="T694" s="53"/>
      <c r="U694" s="53"/>
      <c r="V694" s="53"/>
      <c r="W694" s="53"/>
      <c r="X694" s="53"/>
      <c r="Y694" s="53"/>
      <c r="Z694" s="52"/>
      <c r="AA694" s="52"/>
      <c r="AB694" s="52"/>
      <c r="AC694" s="52"/>
      <c r="AD694" s="53"/>
      <c r="AE694" s="53"/>
      <c r="AF694" s="53"/>
    </row>
    <row r="695">
      <c r="G695" s="55"/>
      <c r="N695" s="6"/>
      <c r="O695" s="53"/>
      <c r="P695" s="53"/>
      <c r="Q695" s="53"/>
      <c r="R695" s="51"/>
      <c r="S695" s="51"/>
      <c r="T695" s="53"/>
      <c r="U695" s="53"/>
      <c r="V695" s="53"/>
      <c r="W695" s="53"/>
      <c r="X695" s="53"/>
      <c r="Y695" s="53"/>
      <c r="Z695" s="52"/>
      <c r="AA695" s="52"/>
      <c r="AB695" s="52"/>
      <c r="AC695" s="52"/>
      <c r="AD695" s="53"/>
      <c r="AE695" s="53"/>
      <c r="AF695" s="53"/>
    </row>
    <row r="696">
      <c r="G696" s="55"/>
      <c r="N696" s="6"/>
      <c r="O696" s="53"/>
      <c r="P696" s="53"/>
      <c r="Q696" s="53"/>
      <c r="R696" s="51"/>
      <c r="S696" s="51"/>
      <c r="T696" s="53"/>
      <c r="U696" s="53"/>
      <c r="V696" s="53"/>
      <c r="W696" s="53"/>
      <c r="X696" s="53"/>
      <c r="Y696" s="53"/>
      <c r="Z696" s="52"/>
      <c r="AA696" s="52"/>
      <c r="AB696" s="52"/>
      <c r="AC696" s="52"/>
      <c r="AD696" s="53"/>
      <c r="AE696" s="53"/>
      <c r="AF696" s="53"/>
    </row>
    <row r="697">
      <c r="G697" s="55"/>
      <c r="N697" s="6"/>
      <c r="O697" s="53"/>
      <c r="P697" s="53"/>
      <c r="Q697" s="53"/>
      <c r="R697" s="51"/>
      <c r="S697" s="51"/>
      <c r="T697" s="53"/>
      <c r="U697" s="53"/>
      <c r="V697" s="53"/>
      <c r="W697" s="53"/>
      <c r="X697" s="53"/>
      <c r="Y697" s="53"/>
      <c r="Z697" s="52"/>
      <c r="AA697" s="52"/>
      <c r="AB697" s="52"/>
      <c r="AC697" s="52"/>
      <c r="AD697" s="53"/>
      <c r="AE697" s="53"/>
      <c r="AF697" s="53"/>
    </row>
    <row r="698">
      <c r="G698" s="55"/>
      <c r="N698" s="6"/>
      <c r="O698" s="53"/>
      <c r="P698" s="53"/>
      <c r="Q698" s="53"/>
      <c r="R698" s="51"/>
      <c r="S698" s="51"/>
      <c r="T698" s="53"/>
      <c r="U698" s="53"/>
      <c r="V698" s="53"/>
      <c r="W698" s="53"/>
      <c r="X698" s="53"/>
      <c r="Y698" s="53"/>
      <c r="Z698" s="52"/>
      <c r="AA698" s="52"/>
      <c r="AB698" s="52"/>
      <c r="AC698" s="52"/>
      <c r="AD698" s="53"/>
      <c r="AE698" s="53"/>
      <c r="AF698" s="53"/>
    </row>
    <row r="699">
      <c r="G699" s="55"/>
      <c r="N699" s="6"/>
      <c r="O699" s="53"/>
      <c r="P699" s="53"/>
      <c r="Q699" s="53"/>
      <c r="R699" s="51"/>
      <c r="S699" s="51"/>
      <c r="T699" s="53"/>
      <c r="U699" s="53"/>
      <c r="V699" s="53"/>
      <c r="W699" s="53"/>
      <c r="X699" s="53"/>
      <c r="Y699" s="53"/>
      <c r="Z699" s="52"/>
      <c r="AA699" s="52"/>
      <c r="AB699" s="52"/>
      <c r="AC699" s="52"/>
      <c r="AD699" s="53"/>
      <c r="AE699" s="53"/>
      <c r="AF699" s="53"/>
    </row>
    <row r="700">
      <c r="G700" s="55"/>
      <c r="N700" s="6"/>
      <c r="O700" s="53"/>
      <c r="P700" s="53"/>
      <c r="Q700" s="53"/>
      <c r="R700" s="51"/>
      <c r="S700" s="51"/>
      <c r="T700" s="53"/>
      <c r="U700" s="53"/>
      <c r="V700" s="53"/>
      <c r="W700" s="53"/>
      <c r="X700" s="53"/>
      <c r="Y700" s="53"/>
      <c r="Z700" s="52"/>
      <c r="AA700" s="52"/>
      <c r="AB700" s="52"/>
      <c r="AC700" s="52"/>
      <c r="AD700" s="53"/>
      <c r="AE700" s="53"/>
      <c r="AF700" s="53"/>
    </row>
    <row r="701">
      <c r="G701" s="55"/>
      <c r="N701" s="6"/>
      <c r="O701" s="53"/>
      <c r="P701" s="53"/>
      <c r="Q701" s="53"/>
      <c r="R701" s="51"/>
      <c r="S701" s="51"/>
      <c r="T701" s="53"/>
      <c r="U701" s="53"/>
      <c r="V701" s="53"/>
      <c r="W701" s="53"/>
      <c r="X701" s="53"/>
      <c r="Y701" s="53"/>
      <c r="Z701" s="52"/>
      <c r="AA701" s="52"/>
      <c r="AB701" s="52"/>
      <c r="AC701" s="52"/>
      <c r="AD701" s="53"/>
      <c r="AE701" s="53"/>
      <c r="AF701" s="53"/>
    </row>
    <row r="702">
      <c r="G702" s="55"/>
      <c r="N702" s="6"/>
      <c r="O702" s="53"/>
      <c r="P702" s="53"/>
      <c r="Q702" s="53"/>
      <c r="R702" s="51"/>
      <c r="S702" s="51"/>
      <c r="T702" s="53"/>
      <c r="U702" s="53"/>
      <c r="V702" s="53"/>
      <c r="W702" s="53"/>
      <c r="X702" s="53"/>
      <c r="Y702" s="53"/>
      <c r="Z702" s="52"/>
      <c r="AA702" s="52"/>
      <c r="AB702" s="52"/>
      <c r="AC702" s="52"/>
      <c r="AD702" s="53"/>
      <c r="AE702" s="53"/>
      <c r="AF702" s="53"/>
    </row>
    <row r="703">
      <c r="G703" s="55"/>
      <c r="N703" s="6"/>
      <c r="O703" s="53"/>
      <c r="P703" s="53"/>
      <c r="Q703" s="53"/>
      <c r="R703" s="51"/>
      <c r="S703" s="51"/>
      <c r="T703" s="53"/>
      <c r="U703" s="53"/>
      <c r="V703" s="53"/>
      <c r="W703" s="53"/>
      <c r="X703" s="53"/>
      <c r="Y703" s="53"/>
      <c r="Z703" s="52"/>
      <c r="AA703" s="52"/>
      <c r="AB703" s="52"/>
      <c r="AC703" s="52"/>
      <c r="AD703" s="53"/>
      <c r="AE703" s="53"/>
      <c r="AF703" s="53"/>
    </row>
    <row r="704">
      <c r="G704" s="55"/>
      <c r="N704" s="6"/>
      <c r="O704" s="53"/>
      <c r="P704" s="53"/>
      <c r="Q704" s="53"/>
      <c r="R704" s="51"/>
      <c r="S704" s="51"/>
      <c r="T704" s="53"/>
      <c r="U704" s="53"/>
      <c r="V704" s="53"/>
      <c r="W704" s="53"/>
      <c r="X704" s="53"/>
      <c r="Y704" s="53"/>
      <c r="Z704" s="52"/>
      <c r="AA704" s="52"/>
      <c r="AB704" s="52"/>
      <c r="AC704" s="52"/>
      <c r="AD704" s="53"/>
      <c r="AE704" s="53"/>
      <c r="AF704" s="53"/>
    </row>
    <row r="705">
      <c r="G705" s="55"/>
      <c r="N705" s="6"/>
      <c r="O705" s="53"/>
      <c r="P705" s="53"/>
      <c r="Q705" s="53"/>
      <c r="R705" s="51"/>
      <c r="S705" s="51"/>
      <c r="T705" s="53"/>
      <c r="U705" s="53"/>
      <c r="V705" s="53"/>
      <c r="W705" s="53"/>
      <c r="X705" s="53"/>
      <c r="Y705" s="53"/>
      <c r="Z705" s="52"/>
      <c r="AA705" s="52"/>
      <c r="AB705" s="52"/>
      <c r="AC705" s="52"/>
      <c r="AD705" s="53"/>
      <c r="AE705" s="53"/>
      <c r="AF705" s="53"/>
    </row>
    <row r="706">
      <c r="G706" s="55"/>
      <c r="N706" s="6"/>
      <c r="O706" s="53"/>
      <c r="P706" s="53"/>
      <c r="Q706" s="53"/>
      <c r="R706" s="51"/>
      <c r="S706" s="51"/>
      <c r="T706" s="53"/>
      <c r="U706" s="53"/>
      <c r="V706" s="53"/>
      <c r="W706" s="53"/>
      <c r="X706" s="53"/>
      <c r="Y706" s="53"/>
      <c r="Z706" s="52"/>
      <c r="AA706" s="52"/>
      <c r="AB706" s="52"/>
      <c r="AC706" s="52"/>
      <c r="AD706" s="53"/>
      <c r="AE706" s="53"/>
      <c r="AF706" s="53"/>
    </row>
    <row r="707">
      <c r="G707" s="55"/>
      <c r="N707" s="6"/>
      <c r="O707" s="53"/>
      <c r="P707" s="53"/>
      <c r="Q707" s="53"/>
      <c r="R707" s="51"/>
      <c r="S707" s="51"/>
      <c r="T707" s="53"/>
      <c r="U707" s="53"/>
      <c r="V707" s="53"/>
      <c r="W707" s="53"/>
      <c r="X707" s="53"/>
      <c r="Y707" s="53"/>
      <c r="Z707" s="52"/>
      <c r="AA707" s="52"/>
      <c r="AB707" s="52"/>
      <c r="AC707" s="52"/>
      <c r="AD707" s="53"/>
      <c r="AE707" s="53"/>
      <c r="AF707" s="53"/>
    </row>
    <row r="708">
      <c r="G708" s="55"/>
      <c r="N708" s="6"/>
      <c r="O708" s="53"/>
      <c r="P708" s="53"/>
      <c r="Q708" s="53"/>
      <c r="R708" s="51"/>
      <c r="S708" s="51"/>
      <c r="T708" s="53"/>
      <c r="U708" s="53"/>
      <c r="V708" s="53"/>
      <c r="W708" s="53"/>
      <c r="X708" s="53"/>
      <c r="Y708" s="53"/>
      <c r="Z708" s="52"/>
      <c r="AA708" s="52"/>
      <c r="AB708" s="52"/>
      <c r="AC708" s="52"/>
      <c r="AD708" s="53"/>
      <c r="AE708" s="53"/>
      <c r="AF708" s="53"/>
    </row>
    <row r="709">
      <c r="G709" s="55"/>
      <c r="N709" s="6"/>
      <c r="O709" s="53"/>
      <c r="P709" s="53"/>
      <c r="Q709" s="53"/>
      <c r="R709" s="51"/>
      <c r="S709" s="51"/>
      <c r="T709" s="53"/>
      <c r="U709" s="53"/>
      <c r="V709" s="53"/>
      <c r="W709" s="53"/>
      <c r="X709" s="53"/>
      <c r="Y709" s="53"/>
      <c r="Z709" s="52"/>
      <c r="AA709" s="52"/>
      <c r="AB709" s="52"/>
      <c r="AC709" s="52"/>
      <c r="AD709" s="53"/>
      <c r="AE709" s="53"/>
      <c r="AF709" s="53"/>
    </row>
    <row r="710">
      <c r="G710" s="55"/>
      <c r="N710" s="6"/>
      <c r="O710" s="53"/>
      <c r="P710" s="53"/>
      <c r="Q710" s="53"/>
      <c r="R710" s="51"/>
      <c r="S710" s="51"/>
      <c r="T710" s="53"/>
      <c r="U710" s="53"/>
      <c r="V710" s="53"/>
      <c r="W710" s="53"/>
      <c r="X710" s="53"/>
      <c r="Y710" s="53"/>
      <c r="Z710" s="52"/>
      <c r="AA710" s="52"/>
      <c r="AB710" s="52"/>
      <c r="AC710" s="52"/>
      <c r="AD710" s="53"/>
      <c r="AE710" s="53"/>
      <c r="AF710" s="53"/>
    </row>
    <row r="711">
      <c r="G711" s="55"/>
      <c r="N711" s="6"/>
      <c r="O711" s="53"/>
      <c r="P711" s="53"/>
      <c r="Q711" s="53"/>
      <c r="R711" s="51"/>
      <c r="S711" s="51"/>
      <c r="T711" s="53"/>
      <c r="U711" s="53"/>
      <c r="V711" s="53"/>
      <c r="W711" s="53"/>
      <c r="X711" s="53"/>
      <c r="Y711" s="53"/>
      <c r="Z711" s="52"/>
      <c r="AA711" s="52"/>
      <c r="AB711" s="52"/>
      <c r="AC711" s="52"/>
      <c r="AD711" s="53"/>
      <c r="AE711" s="53"/>
      <c r="AF711" s="53"/>
    </row>
    <row r="712">
      <c r="G712" s="55"/>
      <c r="N712" s="6"/>
      <c r="O712" s="53"/>
      <c r="P712" s="53"/>
      <c r="Q712" s="53"/>
      <c r="R712" s="51"/>
      <c r="S712" s="51"/>
      <c r="T712" s="53"/>
      <c r="U712" s="53"/>
      <c r="V712" s="53"/>
      <c r="W712" s="53"/>
      <c r="X712" s="53"/>
      <c r="Y712" s="53"/>
      <c r="Z712" s="52"/>
      <c r="AA712" s="52"/>
      <c r="AB712" s="52"/>
      <c r="AC712" s="52"/>
      <c r="AD712" s="53"/>
      <c r="AE712" s="53"/>
      <c r="AF712" s="53"/>
    </row>
    <row r="713">
      <c r="G713" s="55"/>
      <c r="N713" s="6"/>
      <c r="O713" s="53"/>
      <c r="P713" s="53"/>
      <c r="Q713" s="53"/>
      <c r="R713" s="51"/>
      <c r="S713" s="51"/>
      <c r="T713" s="53"/>
      <c r="U713" s="53"/>
      <c r="V713" s="53"/>
      <c r="W713" s="53"/>
      <c r="X713" s="53"/>
      <c r="Y713" s="53"/>
      <c r="Z713" s="52"/>
      <c r="AA713" s="52"/>
      <c r="AB713" s="52"/>
      <c r="AC713" s="52"/>
      <c r="AD713" s="53"/>
      <c r="AE713" s="53"/>
      <c r="AF713" s="53"/>
    </row>
    <row r="714">
      <c r="G714" s="55"/>
      <c r="N714" s="6"/>
      <c r="O714" s="53"/>
      <c r="P714" s="53"/>
      <c r="Q714" s="53"/>
      <c r="R714" s="51"/>
      <c r="S714" s="51"/>
      <c r="T714" s="53"/>
      <c r="U714" s="53"/>
      <c r="V714" s="53"/>
      <c r="W714" s="53"/>
      <c r="X714" s="53"/>
      <c r="Y714" s="53"/>
      <c r="Z714" s="52"/>
      <c r="AA714" s="52"/>
      <c r="AB714" s="52"/>
      <c r="AC714" s="52"/>
      <c r="AD714" s="53"/>
      <c r="AE714" s="53"/>
      <c r="AF714" s="53"/>
    </row>
    <row r="715">
      <c r="G715" s="55"/>
      <c r="N715" s="6"/>
      <c r="O715" s="53"/>
      <c r="P715" s="53"/>
      <c r="Q715" s="53"/>
      <c r="R715" s="51"/>
      <c r="S715" s="51"/>
      <c r="T715" s="53"/>
      <c r="U715" s="53"/>
      <c r="V715" s="53"/>
      <c r="W715" s="53"/>
      <c r="X715" s="53"/>
      <c r="Y715" s="53"/>
      <c r="Z715" s="52"/>
      <c r="AA715" s="52"/>
      <c r="AB715" s="52"/>
      <c r="AC715" s="52"/>
      <c r="AD715" s="53"/>
      <c r="AE715" s="53"/>
      <c r="AF715" s="53"/>
    </row>
    <row r="716">
      <c r="G716" s="55"/>
      <c r="N716" s="6"/>
      <c r="O716" s="53"/>
      <c r="P716" s="53"/>
      <c r="Q716" s="53"/>
      <c r="R716" s="51"/>
      <c r="S716" s="51"/>
      <c r="T716" s="53"/>
      <c r="U716" s="53"/>
      <c r="V716" s="53"/>
      <c r="W716" s="53"/>
      <c r="X716" s="53"/>
      <c r="Y716" s="53"/>
      <c r="Z716" s="52"/>
      <c r="AA716" s="52"/>
      <c r="AB716" s="52"/>
      <c r="AC716" s="52"/>
      <c r="AD716" s="53"/>
      <c r="AE716" s="53"/>
      <c r="AF716" s="53"/>
    </row>
    <row r="717">
      <c r="G717" s="55"/>
      <c r="N717" s="6"/>
      <c r="O717" s="53"/>
      <c r="P717" s="53"/>
      <c r="Q717" s="53"/>
      <c r="R717" s="51"/>
      <c r="S717" s="51"/>
      <c r="T717" s="53"/>
      <c r="U717" s="53"/>
      <c r="V717" s="53"/>
      <c r="W717" s="53"/>
      <c r="X717" s="53"/>
      <c r="Y717" s="53"/>
      <c r="Z717" s="52"/>
      <c r="AA717" s="52"/>
      <c r="AB717" s="52"/>
      <c r="AC717" s="52"/>
      <c r="AD717" s="53"/>
      <c r="AE717" s="53"/>
      <c r="AF717" s="53"/>
    </row>
    <row r="718">
      <c r="G718" s="55"/>
      <c r="N718" s="6"/>
      <c r="O718" s="53"/>
      <c r="P718" s="53"/>
      <c r="Q718" s="53"/>
      <c r="R718" s="51"/>
      <c r="S718" s="51"/>
      <c r="T718" s="53"/>
      <c r="U718" s="53"/>
      <c r="V718" s="53"/>
      <c r="W718" s="53"/>
      <c r="X718" s="53"/>
      <c r="Y718" s="53"/>
      <c r="Z718" s="52"/>
      <c r="AA718" s="52"/>
      <c r="AB718" s="52"/>
      <c r="AC718" s="52"/>
      <c r="AD718" s="53"/>
      <c r="AE718" s="53"/>
      <c r="AF718" s="53"/>
    </row>
    <row r="719">
      <c r="G719" s="55"/>
      <c r="N719" s="6"/>
      <c r="O719" s="53"/>
      <c r="P719" s="53"/>
      <c r="Q719" s="53"/>
      <c r="R719" s="51"/>
      <c r="S719" s="51"/>
      <c r="T719" s="53"/>
      <c r="U719" s="53"/>
      <c r="V719" s="53"/>
      <c r="W719" s="53"/>
      <c r="X719" s="53"/>
      <c r="Y719" s="53"/>
      <c r="Z719" s="52"/>
      <c r="AA719" s="52"/>
      <c r="AB719" s="52"/>
      <c r="AC719" s="52"/>
      <c r="AD719" s="53"/>
      <c r="AE719" s="53"/>
      <c r="AF719" s="53"/>
    </row>
    <row r="720">
      <c r="G720" s="55"/>
      <c r="N720" s="6"/>
      <c r="O720" s="53"/>
      <c r="P720" s="53"/>
      <c r="Q720" s="53"/>
      <c r="R720" s="51"/>
      <c r="S720" s="51"/>
      <c r="T720" s="53"/>
      <c r="U720" s="53"/>
      <c r="V720" s="53"/>
      <c r="W720" s="53"/>
      <c r="X720" s="53"/>
      <c r="Y720" s="53"/>
      <c r="Z720" s="52"/>
      <c r="AA720" s="52"/>
      <c r="AB720" s="52"/>
      <c r="AC720" s="52"/>
      <c r="AD720" s="53"/>
      <c r="AE720" s="53"/>
      <c r="AF720" s="53"/>
    </row>
    <row r="721">
      <c r="G721" s="55"/>
      <c r="N721" s="6"/>
      <c r="O721" s="53"/>
      <c r="P721" s="53"/>
      <c r="Q721" s="53"/>
      <c r="R721" s="51"/>
      <c r="S721" s="51"/>
      <c r="T721" s="53"/>
      <c r="U721" s="53"/>
      <c r="V721" s="53"/>
      <c r="W721" s="53"/>
      <c r="X721" s="53"/>
      <c r="Y721" s="53"/>
      <c r="Z721" s="52"/>
      <c r="AA721" s="52"/>
      <c r="AB721" s="52"/>
      <c r="AC721" s="52"/>
      <c r="AD721" s="53"/>
      <c r="AE721" s="53"/>
      <c r="AF721" s="53"/>
    </row>
    <row r="722">
      <c r="G722" s="55"/>
      <c r="N722" s="6"/>
      <c r="O722" s="53"/>
      <c r="P722" s="53"/>
      <c r="Q722" s="53"/>
      <c r="R722" s="51"/>
      <c r="S722" s="51"/>
      <c r="T722" s="53"/>
      <c r="U722" s="53"/>
      <c r="V722" s="53"/>
      <c r="W722" s="53"/>
      <c r="X722" s="53"/>
      <c r="Y722" s="53"/>
      <c r="Z722" s="52"/>
      <c r="AA722" s="52"/>
      <c r="AB722" s="52"/>
      <c r="AC722" s="52"/>
      <c r="AD722" s="53"/>
      <c r="AE722" s="53"/>
      <c r="AF722" s="53"/>
    </row>
    <row r="723">
      <c r="G723" s="55"/>
      <c r="N723" s="6"/>
      <c r="O723" s="53"/>
      <c r="P723" s="53"/>
      <c r="Q723" s="53"/>
      <c r="R723" s="51"/>
      <c r="S723" s="51"/>
      <c r="T723" s="53"/>
      <c r="U723" s="53"/>
      <c r="V723" s="53"/>
      <c r="W723" s="53"/>
      <c r="X723" s="53"/>
      <c r="Y723" s="53"/>
      <c r="Z723" s="52"/>
      <c r="AA723" s="52"/>
      <c r="AB723" s="52"/>
      <c r="AC723" s="52"/>
      <c r="AD723" s="53"/>
      <c r="AE723" s="53"/>
      <c r="AF723" s="53"/>
    </row>
    <row r="724">
      <c r="G724" s="55"/>
      <c r="N724" s="6"/>
      <c r="O724" s="53"/>
      <c r="P724" s="53"/>
      <c r="Q724" s="53"/>
      <c r="R724" s="51"/>
      <c r="S724" s="51"/>
      <c r="T724" s="53"/>
      <c r="U724" s="53"/>
      <c r="V724" s="53"/>
      <c r="W724" s="53"/>
      <c r="X724" s="53"/>
      <c r="Y724" s="53"/>
      <c r="Z724" s="52"/>
      <c r="AA724" s="52"/>
      <c r="AB724" s="52"/>
      <c r="AC724" s="52"/>
      <c r="AD724" s="53"/>
      <c r="AE724" s="53"/>
      <c r="AF724" s="53"/>
    </row>
    <row r="725">
      <c r="G725" s="55"/>
      <c r="N725" s="6"/>
      <c r="O725" s="53"/>
      <c r="P725" s="53"/>
      <c r="Q725" s="53"/>
      <c r="R725" s="51"/>
      <c r="S725" s="51"/>
      <c r="T725" s="53"/>
      <c r="U725" s="53"/>
      <c r="V725" s="53"/>
      <c r="W725" s="53"/>
      <c r="X725" s="53"/>
      <c r="Y725" s="53"/>
      <c r="Z725" s="52"/>
      <c r="AA725" s="52"/>
      <c r="AB725" s="52"/>
      <c r="AC725" s="52"/>
      <c r="AD725" s="53"/>
      <c r="AE725" s="53"/>
      <c r="AF725" s="53"/>
    </row>
    <row r="726">
      <c r="G726" s="55"/>
      <c r="N726" s="6"/>
      <c r="O726" s="53"/>
      <c r="P726" s="53"/>
      <c r="Q726" s="53"/>
      <c r="R726" s="51"/>
      <c r="S726" s="51"/>
      <c r="T726" s="53"/>
      <c r="U726" s="53"/>
      <c r="V726" s="53"/>
      <c r="W726" s="53"/>
      <c r="X726" s="53"/>
      <c r="Y726" s="53"/>
      <c r="Z726" s="52"/>
      <c r="AA726" s="52"/>
      <c r="AB726" s="52"/>
      <c r="AC726" s="52"/>
      <c r="AD726" s="53"/>
      <c r="AE726" s="53"/>
      <c r="AF726" s="53"/>
    </row>
    <row r="727">
      <c r="G727" s="55"/>
      <c r="N727" s="6"/>
      <c r="O727" s="53"/>
      <c r="P727" s="53"/>
      <c r="Q727" s="53"/>
      <c r="R727" s="51"/>
      <c r="S727" s="51"/>
      <c r="T727" s="53"/>
      <c r="U727" s="53"/>
      <c r="V727" s="53"/>
      <c r="W727" s="53"/>
      <c r="X727" s="53"/>
      <c r="Y727" s="53"/>
      <c r="Z727" s="52"/>
      <c r="AA727" s="52"/>
      <c r="AB727" s="52"/>
      <c r="AC727" s="52"/>
      <c r="AD727" s="53"/>
      <c r="AE727" s="53"/>
      <c r="AF727" s="53"/>
    </row>
    <row r="728">
      <c r="G728" s="55"/>
      <c r="N728" s="6"/>
      <c r="O728" s="53"/>
      <c r="P728" s="53"/>
      <c r="Q728" s="53"/>
      <c r="R728" s="51"/>
      <c r="S728" s="51"/>
      <c r="T728" s="53"/>
      <c r="U728" s="53"/>
      <c r="V728" s="53"/>
      <c r="W728" s="53"/>
      <c r="X728" s="53"/>
      <c r="Y728" s="53"/>
      <c r="Z728" s="52"/>
      <c r="AA728" s="52"/>
      <c r="AB728" s="52"/>
      <c r="AC728" s="52"/>
      <c r="AD728" s="53"/>
      <c r="AE728" s="53"/>
      <c r="AF728" s="53"/>
    </row>
    <row r="729">
      <c r="G729" s="55"/>
      <c r="N729" s="6"/>
      <c r="O729" s="53"/>
      <c r="P729" s="53"/>
      <c r="Q729" s="53"/>
      <c r="R729" s="51"/>
      <c r="S729" s="51"/>
      <c r="T729" s="53"/>
      <c r="U729" s="53"/>
      <c r="V729" s="53"/>
      <c r="W729" s="53"/>
      <c r="X729" s="53"/>
      <c r="Y729" s="53"/>
      <c r="Z729" s="52"/>
      <c r="AA729" s="52"/>
      <c r="AB729" s="52"/>
      <c r="AC729" s="52"/>
      <c r="AD729" s="53"/>
      <c r="AE729" s="53"/>
      <c r="AF729" s="53"/>
    </row>
    <row r="730">
      <c r="G730" s="55"/>
      <c r="N730" s="6"/>
      <c r="O730" s="53"/>
      <c r="P730" s="53"/>
      <c r="Q730" s="53"/>
      <c r="R730" s="51"/>
      <c r="S730" s="51"/>
      <c r="T730" s="53"/>
      <c r="U730" s="53"/>
      <c r="V730" s="53"/>
      <c r="W730" s="53"/>
      <c r="X730" s="53"/>
      <c r="Y730" s="53"/>
      <c r="Z730" s="52"/>
      <c r="AA730" s="52"/>
      <c r="AB730" s="52"/>
      <c r="AC730" s="52"/>
      <c r="AD730" s="53"/>
      <c r="AE730" s="53"/>
      <c r="AF730" s="53"/>
    </row>
    <row r="731">
      <c r="G731" s="55"/>
      <c r="N731" s="6"/>
      <c r="O731" s="53"/>
      <c r="P731" s="53"/>
      <c r="Q731" s="53"/>
      <c r="R731" s="51"/>
      <c r="S731" s="51"/>
      <c r="T731" s="53"/>
      <c r="U731" s="53"/>
      <c r="V731" s="53"/>
      <c r="W731" s="53"/>
      <c r="X731" s="53"/>
      <c r="Y731" s="53"/>
      <c r="Z731" s="52"/>
      <c r="AA731" s="52"/>
      <c r="AB731" s="52"/>
      <c r="AC731" s="52"/>
      <c r="AD731" s="53"/>
      <c r="AE731" s="53"/>
      <c r="AF731" s="53"/>
    </row>
    <row r="732">
      <c r="G732" s="55"/>
      <c r="N732" s="6"/>
      <c r="O732" s="53"/>
      <c r="P732" s="53"/>
      <c r="Q732" s="53"/>
      <c r="R732" s="51"/>
      <c r="S732" s="51"/>
      <c r="T732" s="53"/>
      <c r="U732" s="53"/>
      <c r="V732" s="53"/>
      <c r="W732" s="53"/>
      <c r="X732" s="53"/>
      <c r="Y732" s="53"/>
      <c r="Z732" s="52"/>
      <c r="AA732" s="52"/>
      <c r="AB732" s="52"/>
      <c r="AC732" s="52"/>
      <c r="AD732" s="53"/>
      <c r="AE732" s="53"/>
      <c r="AF732" s="53"/>
    </row>
    <row r="733">
      <c r="G733" s="55"/>
      <c r="N733" s="6"/>
      <c r="O733" s="53"/>
      <c r="P733" s="53"/>
      <c r="Q733" s="53"/>
      <c r="R733" s="51"/>
      <c r="S733" s="51"/>
      <c r="T733" s="53"/>
      <c r="U733" s="53"/>
      <c r="V733" s="53"/>
      <c r="W733" s="53"/>
      <c r="X733" s="53"/>
      <c r="Y733" s="53"/>
      <c r="Z733" s="52"/>
      <c r="AA733" s="52"/>
      <c r="AB733" s="52"/>
      <c r="AC733" s="52"/>
      <c r="AD733" s="53"/>
      <c r="AE733" s="53"/>
      <c r="AF733" s="53"/>
    </row>
    <row r="734">
      <c r="G734" s="55"/>
      <c r="N734" s="6"/>
      <c r="O734" s="53"/>
      <c r="P734" s="53"/>
      <c r="Q734" s="53"/>
      <c r="R734" s="51"/>
      <c r="S734" s="51"/>
      <c r="T734" s="53"/>
      <c r="U734" s="53"/>
      <c r="V734" s="53"/>
      <c r="W734" s="53"/>
      <c r="X734" s="53"/>
      <c r="Y734" s="53"/>
      <c r="Z734" s="52"/>
      <c r="AA734" s="52"/>
      <c r="AB734" s="52"/>
      <c r="AC734" s="52"/>
      <c r="AD734" s="53"/>
      <c r="AE734" s="53"/>
      <c r="AF734" s="53"/>
    </row>
    <row r="735">
      <c r="G735" s="55"/>
      <c r="N735" s="6"/>
      <c r="O735" s="53"/>
      <c r="P735" s="53"/>
      <c r="Q735" s="53"/>
      <c r="R735" s="51"/>
      <c r="S735" s="51"/>
      <c r="T735" s="53"/>
      <c r="U735" s="53"/>
      <c r="V735" s="53"/>
      <c r="W735" s="53"/>
      <c r="X735" s="53"/>
      <c r="Y735" s="53"/>
      <c r="Z735" s="52"/>
      <c r="AA735" s="52"/>
      <c r="AB735" s="52"/>
      <c r="AC735" s="52"/>
      <c r="AD735" s="53"/>
      <c r="AE735" s="53"/>
      <c r="AF735" s="53"/>
    </row>
    <row r="736">
      <c r="G736" s="55"/>
      <c r="N736" s="6"/>
      <c r="O736" s="53"/>
      <c r="P736" s="53"/>
      <c r="Q736" s="53"/>
      <c r="R736" s="51"/>
      <c r="S736" s="51"/>
      <c r="T736" s="53"/>
      <c r="U736" s="53"/>
      <c r="V736" s="53"/>
      <c r="W736" s="53"/>
      <c r="X736" s="53"/>
      <c r="Y736" s="53"/>
      <c r="Z736" s="52"/>
      <c r="AA736" s="52"/>
      <c r="AB736" s="52"/>
      <c r="AC736" s="52"/>
      <c r="AD736" s="53"/>
      <c r="AE736" s="53"/>
      <c r="AF736" s="53"/>
    </row>
    <row r="737">
      <c r="G737" s="55"/>
      <c r="N737" s="6"/>
      <c r="O737" s="53"/>
      <c r="P737" s="53"/>
      <c r="Q737" s="53"/>
      <c r="R737" s="51"/>
      <c r="S737" s="51"/>
      <c r="T737" s="53"/>
      <c r="U737" s="53"/>
      <c r="V737" s="53"/>
      <c r="W737" s="53"/>
      <c r="X737" s="53"/>
      <c r="Y737" s="53"/>
      <c r="Z737" s="52"/>
      <c r="AA737" s="52"/>
      <c r="AB737" s="52"/>
      <c r="AC737" s="52"/>
      <c r="AD737" s="53"/>
      <c r="AE737" s="53"/>
      <c r="AF737" s="53"/>
    </row>
    <row r="738">
      <c r="G738" s="55"/>
      <c r="N738" s="6"/>
      <c r="O738" s="53"/>
      <c r="P738" s="53"/>
      <c r="Q738" s="53"/>
      <c r="R738" s="51"/>
      <c r="S738" s="51"/>
      <c r="T738" s="53"/>
      <c r="U738" s="53"/>
      <c r="V738" s="53"/>
      <c r="W738" s="53"/>
      <c r="X738" s="53"/>
      <c r="Y738" s="53"/>
      <c r="Z738" s="52"/>
      <c r="AA738" s="52"/>
      <c r="AB738" s="52"/>
      <c r="AC738" s="52"/>
      <c r="AD738" s="53"/>
      <c r="AE738" s="53"/>
      <c r="AF738" s="53"/>
    </row>
    <row r="739">
      <c r="G739" s="55"/>
      <c r="N739" s="6"/>
      <c r="O739" s="53"/>
      <c r="P739" s="53"/>
      <c r="Q739" s="53"/>
      <c r="R739" s="51"/>
      <c r="S739" s="51"/>
      <c r="T739" s="53"/>
      <c r="U739" s="53"/>
      <c r="V739" s="53"/>
      <c r="W739" s="53"/>
      <c r="X739" s="53"/>
      <c r="Y739" s="53"/>
      <c r="Z739" s="52"/>
      <c r="AA739" s="52"/>
      <c r="AB739" s="52"/>
      <c r="AC739" s="52"/>
      <c r="AD739" s="53"/>
      <c r="AE739" s="53"/>
      <c r="AF739" s="53"/>
    </row>
    <row r="740">
      <c r="G740" s="55"/>
      <c r="N740" s="6"/>
      <c r="O740" s="53"/>
      <c r="P740" s="53"/>
      <c r="Q740" s="53"/>
      <c r="R740" s="51"/>
      <c r="S740" s="51"/>
      <c r="T740" s="53"/>
      <c r="U740" s="53"/>
      <c r="V740" s="53"/>
      <c r="W740" s="53"/>
      <c r="X740" s="53"/>
      <c r="Y740" s="53"/>
      <c r="Z740" s="52"/>
      <c r="AA740" s="52"/>
      <c r="AB740" s="52"/>
      <c r="AC740" s="52"/>
      <c r="AD740" s="53"/>
      <c r="AE740" s="53"/>
      <c r="AF740" s="53"/>
    </row>
    <row r="741">
      <c r="G741" s="55"/>
      <c r="N741" s="6"/>
      <c r="O741" s="53"/>
      <c r="P741" s="53"/>
      <c r="Q741" s="53"/>
      <c r="R741" s="51"/>
      <c r="S741" s="51"/>
      <c r="T741" s="53"/>
      <c r="U741" s="53"/>
      <c r="V741" s="53"/>
      <c r="W741" s="53"/>
      <c r="X741" s="53"/>
      <c r="Y741" s="53"/>
      <c r="Z741" s="52"/>
      <c r="AA741" s="52"/>
      <c r="AB741" s="52"/>
      <c r="AC741" s="52"/>
      <c r="AD741" s="53"/>
      <c r="AE741" s="53"/>
      <c r="AF741" s="53"/>
    </row>
    <row r="742">
      <c r="G742" s="55"/>
      <c r="N742" s="6"/>
      <c r="O742" s="53"/>
      <c r="P742" s="53"/>
      <c r="Q742" s="53"/>
      <c r="R742" s="51"/>
      <c r="S742" s="51"/>
      <c r="T742" s="53"/>
      <c r="U742" s="53"/>
      <c r="V742" s="53"/>
      <c r="W742" s="53"/>
      <c r="X742" s="53"/>
      <c r="Y742" s="53"/>
      <c r="Z742" s="52"/>
      <c r="AA742" s="52"/>
      <c r="AB742" s="52"/>
      <c r="AC742" s="52"/>
      <c r="AD742" s="53"/>
      <c r="AE742" s="53"/>
      <c r="AF742" s="53"/>
    </row>
    <row r="743">
      <c r="G743" s="55"/>
      <c r="N743" s="6"/>
      <c r="O743" s="53"/>
      <c r="P743" s="53"/>
      <c r="Q743" s="53"/>
      <c r="R743" s="51"/>
      <c r="S743" s="51"/>
      <c r="T743" s="53"/>
      <c r="U743" s="53"/>
      <c r="V743" s="53"/>
      <c r="W743" s="53"/>
      <c r="X743" s="53"/>
      <c r="Y743" s="53"/>
      <c r="Z743" s="52"/>
      <c r="AA743" s="52"/>
      <c r="AB743" s="52"/>
      <c r="AC743" s="52"/>
      <c r="AD743" s="53"/>
      <c r="AE743" s="53"/>
      <c r="AF743" s="53"/>
    </row>
    <row r="744">
      <c r="G744" s="55"/>
      <c r="N744" s="6"/>
      <c r="O744" s="53"/>
      <c r="P744" s="53"/>
      <c r="Q744" s="53"/>
      <c r="R744" s="51"/>
      <c r="S744" s="51"/>
      <c r="T744" s="53"/>
      <c r="U744" s="53"/>
      <c r="V744" s="53"/>
      <c r="W744" s="53"/>
      <c r="X744" s="53"/>
      <c r="Y744" s="53"/>
      <c r="Z744" s="52"/>
      <c r="AA744" s="52"/>
      <c r="AB744" s="52"/>
      <c r="AC744" s="52"/>
      <c r="AD744" s="53"/>
      <c r="AE744" s="53"/>
      <c r="AF744" s="53"/>
    </row>
    <row r="745">
      <c r="G745" s="55"/>
      <c r="N745" s="6"/>
      <c r="O745" s="53"/>
      <c r="P745" s="53"/>
      <c r="Q745" s="53"/>
      <c r="R745" s="51"/>
      <c r="S745" s="51"/>
      <c r="T745" s="53"/>
      <c r="U745" s="53"/>
      <c r="V745" s="53"/>
      <c r="W745" s="53"/>
      <c r="X745" s="53"/>
      <c r="Y745" s="53"/>
      <c r="Z745" s="52"/>
      <c r="AA745" s="52"/>
      <c r="AB745" s="52"/>
      <c r="AC745" s="52"/>
      <c r="AD745" s="53"/>
      <c r="AE745" s="53"/>
      <c r="AF745" s="53"/>
    </row>
    <row r="746">
      <c r="G746" s="55"/>
      <c r="N746" s="6"/>
      <c r="O746" s="53"/>
      <c r="P746" s="53"/>
      <c r="Q746" s="53"/>
      <c r="R746" s="51"/>
      <c r="S746" s="51"/>
      <c r="T746" s="53"/>
      <c r="U746" s="53"/>
      <c r="V746" s="53"/>
      <c r="W746" s="53"/>
      <c r="X746" s="53"/>
      <c r="Y746" s="53"/>
      <c r="Z746" s="52"/>
      <c r="AA746" s="52"/>
      <c r="AB746" s="52"/>
      <c r="AC746" s="52"/>
      <c r="AD746" s="53"/>
      <c r="AE746" s="53"/>
      <c r="AF746" s="53"/>
    </row>
    <row r="747">
      <c r="G747" s="55"/>
      <c r="N747" s="6"/>
      <c r="O747" s="53"/>
      <c r="P747" s="53"/>
      <c r="Q747" s="53"/>
      <c r="R747" s="51"/>
      <c r="S747" s="51"/>
      <c r="T747" s="53"/>
      <c r="U747" s="53"/>
      <c r="V747" s="53"/>
      <c r="W747" s="53"/>
      <c r="X747" s="53"/>
      <c r="Y747" s="53"/>
      <c r="Z747" s="52"/>
      <c r="AA747" s="52"/>
      <c r="AB747" s="52"/>
      <c r="AC747" s="52"/>
      <c r="AD747" s="53"/>
      <c r="AE747" s="53"/>
      <c r="AF747" s="53"/>
    </row>
    <row r="748">
      <c r="G748" s="55"/>
      <c r="N748" s="6"/>
      <c r="O748" s="53"/>
      <c r="P748" s="53"/>
      <c r="Q748" s="53"/>
      <c r="R748" s="51"/>
      <c r="S748" s="51"/>
      <c r="T748" s="53"/>
      <c r="U748" s="53"/>
      <c r="V748" s="53"/>
      <c r="W748" s="53"/>
      <c r="X748" s="53"/>
      <c r="Y748" s="53"/>
      <c r="Z748" s="52"/>
      <c r="AA748" s="52"/>
      <c r="AB748" s="52"/>
      <c r="AC748" s="52"/>
      <c r="AD748" s="53"/>
      <c r="AE748" s="53"/>
      <c r="AF748" s="53"/>
    </row>
    <row r="749">
      <c r="G749" s="55"/>
      <c r="N749" s="6"/>
      <c r="O749" s="53"/>
      <c r="P749" s="53"/>
      <c r="Q749" s="53"/>
      <c r="R749" s="51"/>
      <c r="S749" s="51"/>
      <c r="T749" s="53"/>
      <c r="U749" s="53"/>
      <c r="V749" s="53"/>
      <c r="W749" s="53"/>
      <c r="X749" s="53"/>
      <c r="Y749" s="53"/>
      <c r="Z749" s="52"/>
      <c r="AA749" s="52"/>
      <c r="AB749" s="52"/>
      <c r="AC749" s="52"/>
      <c r="AD749" s="53"/>
      <c r="AE749" s="53"/>
      <c r="AF749" s="53"/>
    </row>
    <row r="750">
      <c r="G750" s="55"/>
      <c r="N750" s="6"/>
      <c r="O750" s="53"/>
      <c r="P750" s="53"/>
      <c r="Q750" s="53"/>
      <c r="R750" s="51"/>
      <c r="S750" s="51"/>
      <c r="T750" s="53"/>
      <c r="U750" s="53"/>
      <c r="V750" s="53"/>
      <c r="W750" s="53"/>
      <c r="X750" s="53"/>
      <c r="Y750" s="53"/>
      <c r="Z750" s="52"/>
      <c r="AA750" s="52"/>
      <c r="AB750" s="52"/>
      <c r="AC750" s="52"/>
      <c r="AD750" s="53"/>
      <c r="AE750" s="53"/>
      <c r="AF750" s="53"/>
    </row>
    <row r="751">
      <c r="G751" s="55"/>
      <c r="N751" s="6"/>
      <c r="O751" s="53"/>
      <c r="P751" s="53"/>
      <c r="Q751" s="53"/>
      <c r="R751" s="51"/>
      <c r="S751" s="51"/>
      <c r="T751" s="53"/>
      <c r="U751" s="53"/>
      <c r="V751" s="53"/>
      <c r="W751" s="53"/>
      <c r="X751" s="53"/>
      <c r="Y751" s="53"/>
      <c r="Z751" s="52"/>
      <c r="AA751" s="52"/>
      <c r="AB751" s="52"/>
      <c r="AC751" s="52"/>
      <c r="AD751" s="53"/>
      <c r="AE751" s="53"/>
      <c r="AF751" s="53"/>
    </row>
    <row r="752">
      <c r="G752" s="55"/>
      <c r="N752" s="6"/>
      <c r="O752" s="53"/>
      <c r="P752" s="53"/>
      <c r="Q752" s="53"/>
      <c r="R752" s="51"/>
      <c r="S752" s="51"/>
      <c r="T752" s="53"/>
      <c r="U752" s="53"/>
      <c r="V752" s="53"/>
      <c r="W752" s="53"/>
      <c r="X752" s="53"/>
      <c r="Y752" s="53"/>
      <c r="Z752" s="52"/>
      <c r="AA752" s="52"/>
      <c r="AB752" s="52"/>
      <c r="AC752" s="52"/>
      <c r="AD752" s="53"/>
      <c r="AE752" s="53"/>
      <c r="AF752" s="53"/>
    </row>
    <row r="753">
      <c r="G753" s="55"/>
      <c r="N753" s="6"/>
      <c r="O753" s="53"/>
      <c r="P753" s="53"/>
      <c r="Q753" s="53"/>
      <c r="R753" s="51"/>
      <c r="S753" s="51"/>
      <c r="T753" s="53"/>
      <c r="U753" s="53"/>
      <c r="V753" s="53"/>
      <c r="W753" s="53"/>
      <c r="X753" s="53"/>
      <c r="Y753" s="53"/>
      <c r="Z753" s="52"/>
      <c r="AA753" s="52"/>
      <c r="AB753" s="52"/>
      <c r="AC753" s="52"/>
      <c r="AD753" s="53"/>
      <c r="AE753" s="53"/>
      <c r="AF753" s="53"/>
    </row>
    <row r="754">
      <c r="G754" s="55"/>
      <c r="N754" s="6"/>
      <c r="O754" s="53"/>
      <c r="P754" s="53"/>
      <c r="Q754" s="53"/>
      <c r="R754" s="51"/>
      <c r="S754" s="51"/>
      <c r="T754" s="53"/>
      <c r="U754" s="53"/>
      <c r="V754" s="53"/>
      <c r="W754" s="53"/>
      <c r="X754" s="53"/>
      <c r="Y754" s="53"/>
      <c r="Z754" s="52"/>
      <c r="AA754" s="52"/>
      <c r="AB754" s="52"/>
      <c r="AC754" s="52"/>
      <c r="AD754" s="53"/>
      <c r="AE754" s="53"/>
      <c r="AF754" s="53"/>
    </row>
    <row r="755">
      <c r="G755" s="55"/>
      <c r="N755" s="6"/>
      <c r="O755" s="53"/>
      <c r="P755" s="53"/>
      <c r="Q755" s="53"/>
      <c r="R755" s="51"/>
      <c r="S755" s="51"/>
      <c r="T755" s="53"/>
      <c r="U755" s="53"/>
      <c r="V755" s="53"/>
      <c r="W755" s="53"/>
      <c r="X755" s="53"/>
      <c r="Y755" s="53"/>
      <c r="Z755" s="52"/>
      <c r="AA755" s="52"/>
      <c r="AB755" s="52"/>
      <c r="AC755" s="52"/>
      <c r="AD755" s="53"/>
      <c r="AE755" s="53"/>
      <c r="AF755" s="53"/>
    </row>
    <row r="756">
      <c r="G756" s="55"/>
      <c r="N756" s="6"/>
      <c r="O756" s="53"/>
      <c r="P756" s="53"/>
      <c r="Q756" s="53"/>
      <c r="R756" s="51"/>
      <c r="S756" s="51"/>
      <c r="T756" s="53"/>
      <c r="U756" s="53"/>
      <c r="V756" s="53"/>
      <c r="W756" s="53"/>
      <c r="X756" s="53"/>
      <c r="Y756" s="53"/>
      <c r="Z756" s="52"/>
      <c r="AA756" s="52"/>
      <c r="AB756" s="52"/>
      <c r="AC756" s="52"/>
      <c r="AD756" s="53"/>
      <c r="AE756" s="53"/>
      <c r="AF756" s="53"/>
    </row>
    <row r="757">
      <c r="G757" s="55"/>
      <c r="N757" s="6"/>
      <c r="O757" s="53"/>
      <c r="P757" s="53"/>
      <c r="Q757" s="53"/>
      <c r="R757" s="51"/>
      <c r="S757" s="51"/>
      <c r="T757" s="53"/>
      <c r="U757" s="53"/>
      <c r="V757" s="53"/>
      <c r="W757" s="53"/>
      <c r="X757" s="53"/>
      <c r="Y757" s="53"/>
      <c r="Z757" s="52"/>
      <c r="AA757" s="52"/>
      <c r="AB757" s="52"/>
      <c r="AC757" s="52"/>
      <c r="AD757" s="53"/>
      <c r="AE757" s="53"/>
      <c r="AF757" s="53"/>
    </row>
    <row r="758">
      <c r="G758" s="55"/>
      <c r="N758" s="6"/>
      <c r="O758" s="53"/>
      <c r="P758" s="53"/>
      <c r="Q758" s="53"/>
      <c r="R758" s="51"/>
      <c r="S758" s="51"/>
      <c r="T758" s="53"/>
      <c r="U758" s="53"/>
      <c r="V758" s="53"/>
      <c r="W758" s="53"/>
      <c r="X758" s="53"/>
      <c r="Y758" s="53"/>
      <c r="Z758" s="52"/>
      <c r="AA758" s="52"/>
      <c r="AB758" s="52"/>
      <c r="AC758" s="52"/>
      <c r="AD758" s="53"/>
      <c r="AE758" s="53"/>
      <c r="AF758" s="53"/>
    </row>
    <row r="759">
      <c r="G759" s="55"/>
      <c r="N759" s="6"/>
      <c r="O759" s="53"/>
      <c r="P759" s="53"/>
      <c r="Q759" s="53"/>
      <c r="R759" s="51"/>
      <c r="S759" s="51"/>
      <c r="T759" s="53"/>
      <c r="U759" s="53"/>
      <c r="V759" s="53"/>
      <c r="W759" s="53"/>
      <c r="X759" s="53"/>
      <c r="Y759" s="53"/>
      <c r="Z759" s="52"/>
      <c r="AA759" s="52"/>
      <c r="AB759" s="52"/>
      <c r="AC759" s="52"/>
      <c r="AD759" s="53"/>
      <c r="AE759" s="53"/>
      <c r="AF759" s="53"/>
    </row>
    <row r="760">
      <c r="G760" s="55"/>
      <c r="N760" s="6"/>
      <c r="O760" s="53"/>
      <c r="P760" s="53"/>
      <c r="Q760" s="53"/>
      <c r="R760" s="51"/>
      <c r="S760" s="51"/>
      <c r="T760" s="53"/>
      <c r="U760" s="53"/>
      <c r="V760" s="53"/>
      <c r="W760" s="53"/>
      <c r="X760" s="53"/>
      <c r="Y760" s="53"/>
      <c r="Z760" s="52"/>
      <c r="AA760" s="52"/>
      <c r="AB760" s="52"/>
      <c r="AC760" s="52"/>
      <c r="AD760" s="53"/>
      <c r="AE760" s="53"/>
      <c r="AF760" s="53"/>
    </row>
    <row r="761">
      <c r="G761" s="55"/>
      <c r="N761" s="6"/>
      <c r="O761" s="53"/>
      <c r="P761" s="53"/>
      <c r="Q761" s="53"/>
      <c r="R761" s="51"/>
      <c r="S761" s="51"/>
      <c r="T761" s="53"/>
      <c r="U761" s="53"/>
      <c r="V761" s="53"/>
      <c r="W761" s="53"/>
      <c r="X761" s="53"/>
      <c r="Y761" s="53"/>
      <c r="Z761" s="52"/>
      <c r="AA761" s="52"/>
      <c r="AB761" s="52"/>
      <c r="AC761" s="52"/>
      <c r="AD761" s="53"/>
      <c r="AE761" s="53"/>
      <c r="AF761" s="53"/>
    </row>
    <row r="762">
      <c r="G762" s="55"/>
      <c r="N762" s="6"/>
      <c r="O762" s="53"/>
      <c r="P762" s="53"/>
      <c r="Q762" s="53"/>
      <c r="R762" s="51"/>
      <c r="S762" s="51"/>
      <c r="T762" s="53"/>
      <c r="U762" s="53"/>
      <c r="V762" s="53"/>
      <c r="W762" s="53"/>
      <c r="X762" s="53"/>
      <c r="Y762" s="53"/>
      <c r="Z762" s="52"/>
      <c r="AA762" s="52"/>
      <c r="AB762" s="52"/>
      <c r="AC762" s="52"/>
      <c r="AD762" s="53"/>
      <c r="AE762" s="53"/>
      <c r="AF762" s="53"/>
    </row>
    <row r="763">
      <c r="G763" s="55"/>
      <c r="N763" s="6"/>
      <c r="O763" s="53"/>
      <c r="P763" s="53"/>
      <c r="Q763" s="53"/>
      <c r="R763" s="51"/>
      <c r="S763" s="51"/>
      <c r="T763" s="53"/>
      <c r="U763" s="53"/>
      <c r="V763" s="53"/>
      <c r="W763" s="53"/>
      <c r="X763" s="53"/>
      <c r="Y763" s="53"/>
      <c r="Z763" s="52"/>
      <c r="AA763" s="52"/>
      <c r="AB763" s="52"/>
      <c r="AC763" s="52"/>
      <c r="AD763" s="53"/>
      <c r="AE763" s="53"/>
      <c r="AF763" s="53"/>
    </row>
    <row r="764">
      <c r="G764" s="55"/>
      <c r="N764" s="6"/>
      <c r="O764" s="53"/>
      <c r="P764" s="53"/>
      <c r="Q764" s="53"/>
      <c r="R764" s="51"/>
      <c r="S764" s="51"/>
      <c r="T764" s="53"/>
      <c r="U764" s="53"/>
      <c r="V764" s="53"/>
      <c r="W764" s="53"/>
      <c r="X764" s="53"/>
      <c r="Y764" s="53"/>
      <c r="Z764" s="52"/>
      <c r="AA764" s="52"/>
      <c r="AB764" s="52"/>
      <c r="AC764" s="52"/>
      <c r="AD764" s="53"/>
      <c r="AE764" s="53"/>
      <c r="AF764" s="53"/>
    </row>
    <row r="765">
      <c r="G765" s="55"/>
      <c r="N765" s="6"/>
      <c r="O765" s="53"/>
      <c r="P765" s="53"/>
      <c r="Q765" s="53"/>
      <c r="R765" s="51"/>
      <c r="S765" s="51"/>
      <c r="T765" s="53"/>
      <c r="U765" s="53"/>
      <c r="V765" s="53"/>
      <c r="W765" s="53"/>
      <c r="X765" s="53"/>
      <c r="Y765" s="53"/>
      <c r="Z765" s="52"/>
      <c r="AA765" s="52"/>
      <c r="AB765" s="52"/>
      <c r="AC765" s="52"/>
      <c r="AD765" s="53"/>
      <c r="AE765" s="53"/>
      <c r="AF765" s="53"/>
    </row>
    <row r="766">
      <c r="G766" s="55"/>
      <c r="N766" s="6"/>
      <c r="O766" s="53"/>
      <c r="P766" s="53"/>
      <c r="Q766" s="53"/>
      <c r="R766" s="51"/>
      <c r="S766" s="51"/>
      <c r="T766" s="53"/>
      <c r="U766" s="53"/>
      <c r="V766" s="53"/>
      <c r="W766" s="53"/>
      <c r="X766" s="53"/>
      <c r="Y766" s="53"/>
      <c r="Z766" s="52"/>
      <c r="AA766" s="52"/>
      <c r="AB766" s="52"/>
      <c r="AC766" s="52"/>
      <c r="AD766" s="53"/>
      <c r="AE766" s="53"/>
      <c r="AF766" s="53"/>
    </row>
    <row r="767">
      <c r="G767" s="55"/>
      <c r="N767" s="6"/>
      <c r="O767" s="53"/>
      <c r="P767" s="53"/>
      <c r="Q767" s="53"/>
      <c r="R767" s="51"/>
      <c r="S767" s="51"/>
      <c r="T767" s="53"/>
      <c r="U767" s="53"/>
      <c r="V767" s="53"/>
      <c r="W767" s="53"/>
      <c r="X767" s="53"/>
      <c r="Y767" s="53"/>
      <c r="Z767" s="52"/>
      <c r="AA767" s="52"/>
      <c r="AB767" s="52"/>
      <c r="AC767" s="52"/>
      <c r="AD767" s="53"/>
      <c r="AE767" s="53"/>
      <c r="AF767" s="53"/>
    </row>
    <row r="768">
      <c r="G768" s="55"/>
      <c r="N768" s="6"/>
      <c r="O768" s="53"/>
      <c r="P768" s="53"/>
      <c r="Q768" s="53"/>
      <c r="R768" s="51"/>
      <c r="S768" s="51"/>
      <c r="T768" s="53"/>
      <c r="U768" s="53"/>
      <c r="V768" s="53"/>
      <c r="W768" s="53"/>
      <c r="X768" s="53"/>
      <c r="Y768" s="53"/>
      <c r="Z768" s="52"/>
      <c r="AA768" s="52"/>
      <c r="AB768" s="52"/>
      <c r="AC768" s="52"/>
      <c r="AD768" s="53"/>
      <c r="AE768" s="53"/>
      <c r="AF768" s="53"/>
    </row>
    <row r="769">
      <c r="G769" s="55"/>
      <c r="N769" s="6"/>
      <c r="O769" s="53"/>
      <c r="P769" s="53"/>
      <c r="Q769" s="53"/>
      <c r="R769" s="51"/>
      <c r="S769" s="51"/>
      <c r="T769" s="53"/>
      <c r="U769" s="53"/>
      <c r="V769" s="53"/>
      <c r="W769" s="53"/>
      <c r="X769" s="53"/>
      <c r="Y769" s="53"/>
      <c r="Z769" s="52"/>
      <c r="AA769" s="52"/>
      <c r="AB769" s="52"/>
      <c r="AC769" s="52"/>
      <c r="AD769" s="53"/>
      <c r="AE769" s="53"/>
      <c r="AF769" s="53"/>
    </row>
    <row r="770">
      <c r="G770" s="55"/>
      <c r="N770" s="6"/>
      <c r="O770" s="53"/>
      <c r="P770" s="53"/>
      <c r="Q770" s="53"/>
      <c r="R770" s="51"/>
      <c r="S770" s="51"/>
      <c r="T770" s="53"/>
      <c r="U770" s="53"/>
      <c r="V770" s="53"/>
      <c r="W770" s="53"/>
      <c r="X770" s="53"/>
      <c r="Y770" s="53"/>
      <c r="Z770" s="52"/>
      <c r="AA770" s="52"/>
      <c r="AB770" s="52"/>
      <c r="AC770" s="52"/>
      <c r="AD770" s="53"/>
      <c r="AE770" s="53"/>
      <c r="AF770" s="53"/>
    </row>
    <row r="771">
      <c r="G771" s="55"/>
      <c r="N771" s="6"/>
      <c r="O771" s="53"/>
      <c r="P771" s="53"/>
      <c r="Q771" s="53"/>
      <c r="R771" s="51"/>
      <c r="S771" s="51"/>
      <c r="T771" s="53"/>
      <c r="U771" s="53"/>
      <c r="V771" s="53"/>
      <c r="W771" s="53"/>
      <c r="X771" s="53"/>
      <c r="Y771" s="53"/>
      <c r="Z771" s="52"/>
      <c r="AA771" s="52"/>
      <c r="AB771" s="52"/>
      <c r="AC771" s="52"/>
      <c r="AD771" s="53"/>
      <c r="AE771" s="53"/>
      <c r="AF771" s="53"/>
    </row>
    <row r="772">
      <c r="G772" s="55"/>
      <c r="N772" s="6"/>
      <c r="O772" s="53"/>
      <c r="P772" s="53"/>
      <c r="Q772" s="53"/>
      <c r="R772" s="51"/>
      <c r="S772" s="51"/>
      <c r="T772" s="53"/>
      <c r="U772" s="53"/>
      <c r="V772" s="53"/>
      <c r="W772" s="53"/>
      <c r="X772" s="53"/>
      <c r="Y772" s="53"/>
      <c r="Z772" s="52"/>
      <c r="AA772" s="52"/>
      <c r="AB772" s="52"/>
      <c r="AC772" s="52"/>
      <c r="AD772" s="53"/>
      <c r="AE772" s="53"/>
      <c r="AF772" s="53"/>
    </row>
    <row r="773">
      <c r="G773" s="55"/>
      <c r="N773" s="6"/>
      <c r="O773" s="53"/>
      <c r="P773" s="53"/>
      <c r="Q773" s="53"/>
      <c r="R773" s="51"/>
      <c r="S773" s="51"/>
      <c r="T773" s="53"/>
      <c r="U773" s="53"/>
      <c r="V773" s="53"/>
      <c r="W773" s="53"/>
      <c r="X773" s="53"/>
      <c r="Y773" s="53"/>
      <c r="Z773" s="52"/>
      <c r="AA773" s="52"/>
      <c r="AB773" s="52"/>
      <c r="AC773" s="52"/>
      <c r="AD773" s="53"/>
      <c r="AE773" s="53"/>
      <c r="AF773" s="53"/>
    </row>
    <row r="774">
      <c r="G774" s="55"/>
      <c r="N774" s="6"/>
      <c r="O774" s="53"/>
      <c r="P774" s="53"/>
      <c r="Q774" s="53"/>
      <c r="R774" s="51"/>
      <c r="S774" s="51"/>
      <c r="T774" s="53"/>
      <c r="U774" s="53"/>
      <c r="V774" s="53"/>
      <c r="W774" s="53"/>
      <c r="X774" s="53"/>
      <c r="Y774" s="53"/>
      <c r="Z774" s="52"/>
      <c r="AA774" s="52"/>
      <c r="AB774" s="52"/>
      <c r="AC774" s="52"/>
      <c r="AD774" s="53"/>
      <c r="AE774" s="53"/>
      <c r="AF774" s="53"/>
    </row>
    <row r="775">
      <c r="G775" s="55"/>
      <c r="N775" s="6"/>
      <c r="O775" s="53"/>
      <c r="P775" s="53"/>
      <c r="Q775" s="53"/>
      <c r="R775" s="51"/>
      <c r="S775" s="51"/>
      <c r="T775" s="53"/>
      <c r="U775" s="53"/>
      <c r="V775" s="53"/>
      <c r="W775" s="53"/>
      <c r="X775" s="53"/>
      <c r="Y775" s="53"/>
      <c r="Z775" s="52"/>
      <c r="AA775" s="52"/>
      <c r="AB775" s="52"/>
      <c r="AC775" s="52"/>
      <c r="AD775" s="53"/>
      <c r="AE775" s="53"/>
      <c r="AF775" s="53"/>
    </row>
    <row r="776">
      <c r="G776" s="55"/>
      <c r="N776" s="6"/>
      <c r="O776" s="53"/>
      <c r="P776" s="53"/>
      <c r="Q776" s="53"/>
      <c r="R776" s="51"/>
      <c r="S776" s="51"/>
      <c r="T776" s="53"/>
      <c r="U776" s="53"/>
      <c r="V776" s="53"/>
      <c r="W776" s="53"/>
      <c r="X776" s="53"/>
      <c r="Y776" s="53"/>
      <c r="Z776" s="52"/>
      <c r="AA776" s="52"/>
      <c r="AB776" s="52"/>
      <c r="AC776" s="52"/>
      <c r="AD776" s="53"/>
      <c r="AE776" s="53"/>
      <c r="AF776" s="53"/>
    </row>
    <row r="777">
      <c r="G777" s="55"/>
      <c r="N777" s="6"/>
      <c r="O777" s="53"/>
      <c r="P777" s="53"/>
      <c r="Q777" s="53"/>
      <c r="R777" s="51"/>
      <c r="S777" s="51"/>
      <c r="T777" s="53"/>
      <c r="U777" s="53"/>
      <c r="V777" s="53"/>
      <c r="W777" s="53"/>
      <c r="X777" s="53"/>
      <c r="Y777" s="53"/>
      <c r="Z777" s="52"/>
      <c r="AA777" s="52"/>
      <c r="AB777" s="52"/>
      <c r="AC777" s="52"/>
      <c r="AD777" s="53"/>
      <c r="AE777" s="53"/>
      <c r="AF777" s="53"/>
    </row>
    <row r="778">
      <c r="G778" s="55"/>
      <c r="N778" s="6"/>
      <c r="O778" s="53"/>
      <c r="P778" s="53"/>
      <c r="Q778" s="53"/>
      <c r="R778" s="51"/>
      <c r="S778" s="51"/>
      <c r="T778" s="53"/>
      <c r="U778" s="53"/>
      <c r="V778" s="53"/>
      <c r="W778" s="53"/>
      <c r="X778" s="53"/>
      <c r="Y778" s="53"/>
      <c r="Z778" s="52"/>
      <c r="AA778" s="52"/>
      <c r="AB778" s="52"/>
      <c r="AC778" s="52"/>
      <c r="AD778" s="53"/>
      <c r="AE778" s="53"/>
      <c r="AF778" s="53"/>
    </row>
    <row r="779">
      <c r="G779" s="55"/>
      <c r="N779" s="6"/>
      <c r="O779" s="53"/>
      <c r="P779" s="53"/>
      <c r="Q779" s="53"/>
      <c r="R779" s="51"/>
      <c r="S779" s="51"/>
      <c r="T779" s="53"/>
      <c r="U779" s="53"/>
      <c r="V779" s="53"/>
      <c r="W779" s="53"/>
      <c r="X779" s="53"/>
      <c r="Y779" s="53"/>
      <c r="Z779" s="52"/>
      <c r="AA779" s="52"/>
      <c r="AB779" s="52"/>
      <c r="AC779" s="52"/>
      <c r="AD779" s="53"/>
      <c r="AE779" s="53"/>
      <c r="AF779" s="53"/>
    </row>
    <row r="780">
      <c r="G780" s="55"/>
      <c r="N780" s="6"/>
      <c r="O780" s="53"/>
      <c r="P780" s="53"/>
      <c r="Q780" s="53"/>
      <c r="R780" s="51"/>
      <c r="S780" s="51"/>
      <c r="T780" s="53"/>
      <c r="U780" s="53"/>
      <c r="V780" s="53"/>
      <c r="W780" s="53"/>
      <c r="X780" s="53"/>
      <c r="Y780" s="53"/>
      <c r="Z780" s="52"/>
      <c r="AA780" s="52"/>
      <c r="AB780" s="52"/>
      <c r="AC780" s="52"/>
      <c r="AD780" s="53"/>
      <c r="AE780" s="53"/>
      <c r="AF780" s="53"/>
    </row>
    <row r="781">
      <c r="G781" s="55"/>
      <c r="N781" s="6"/>
      <c r="O781" s="53"/>
      <c r="P781" s="53"/>
      <c r="Q781" s="53"/>
      <c r="R781" s="51"/>
      <c r="S781" s="51"/>
      <c r="T781" s="53"/>
      <c r="U781" s="53"/>
      <c r="V781" s="53"/>
      <c r="W781" s="53"/>
      <c r="X781" s="53"/>
      <c r="Y781" s="53"/>
      <c r="Z781" s="52"/>
      <c r="AA781" s="52"/>
      <c r="AB781" s="52"/>
      <c r="AC781" s="52"/>
      <c r="AD781" s="53"/>
      <c r="AE781" s="53"/>
      <c r="AF781" s="53"/>
    </row>
    <row r="782">
      <c r="G782" s="55"/>
      <c r="N782" s="6"/>
      <c r="O782" s="53"/>
      <c r="P782" s="53"/>
      <c r="Q782" s="53"/>
      <c r="R782" s="51"/>
      <c r="S782" s="51"/>
      <c r="T782" s="53"/>
      <c r="U782" s="53"/>
      <c r="V782" s="53"/>
      <c r="W782" s="53"/>
      <c r="X782" s="53"/>
      <c r="Y782" s="53"/>
      <c r="Z782" s="52"/>
      <c r="AA782" s="52"/>
      <c r="AB782" s="52"/>
      <c r="AC782" s="52"/>
      <c r="AD782" s="53"/>
      <c r="AE782" s="53"/>
      <c r="AF782" s="53"/>
    </row>
    <row r="783">
      <c r="G783" s="55"/>
      <c r="N783" s="6"/>
      <c r="O783" s="53"/>
      <c r="P783" s="53"/>
      <c r="Q783" s="53"/>
      <c r="R783" s="51"/>
      <c r="S783" s="51"/>
      <c r="T783" s="53"/>
      <c r="U783" s="53"/>
      <c r="V783" s="53"/>
      <c r="W783" s="53"/>
      <c r="X783" s="53"/>
      <c r="Y783" s="53"/>
      <c r="Z783" s="52"/>
      <c r="AA783" s="52"/>
      <c r="AB783" s="52"/>
      <c r="AC783" s="52"/>
      <c r="AD783" s="53"/>
      <c r="AE783" s="53"/>
      <c r="AF783" s="53"/>
    </row>
    <row r="784">
      <c r="G784" s="55"/>
      <c r="N784" s="6"/>
      <c r="O784" s="53"/>
      <c r="P784" s="53"/>
      <c r="Q784" s="53"/>
      <c r="R784" s="51"/>
      <c r="S784" s="51"/>
      <c r="T784" s="53"/>
      <c r="U784" s="53"/>
      <c r="V784" s="53"/>
      <c r="W784" s="53"/>
      <c r="X784" s="53"/>
      <c r="Y784" s="53"/>
      <c r="Z784" s="52"/>
      <c r="AA784" s="52"/>
      <c r="AB784" s="52"/>
      <c r="AC784" s="52"/>
      <c r="AD784" s="53"/>
      <c r="AE784" s="53"/>
      <c r="AF784" s="53"/>
    </row>
    <row r="785">
      <c r="G785" s="55"/>
      <c r="N785" s="6"/>
      <c r="O785" s="53"/>
      <c r="P785" s="53"/>
      <c r="Q785" s="53"/>
      <c r="R785" s="51"/>
      <c r="S785" s="51"/>
      <c r="T785" s="53"/>
      <c r="U785" s="53"/>
      <c r="V785" s="53"/>
      <c r="W785" s="53"/>
      <c r="X785" s="53"/>
      <c r="Y785" s="53"/>
      <c r="Z785" s="52"/>
      <c r="AA785" s="52"/>
      <c r="AB785" s="52"/>
      <c r="AC785" s="52"/>
      <c r="AD785" s="53"/>
      <c r="AE785" s="53"/>
      <c r="AF785" s="53"/>
    </row>
    <row r="786">
      <c r="G786" s="55"/>
      <c r="N786" s="6"/>
      <c r="O786" s="53"/>
      <c r="P786" s="53"/>
      <c r="Q786" s="53"/>
      <c r="R786" s="51"/>
      <c r="S786" s="51"/>
      <c r="T786" s="53"/>
      <c r="U786" s="53"/>
      <c r="V786" s="53"/>
      <c r="W786" s="53"/>
      <c r="X786" s="53"/>
      <c r="Y786" s="53"/>
      <c r="Z786" s="52"/>
      <c r="AA786" s="52"/>
      <c r="AB786" s="52"/>
      <c r="AC786" s="52"/>
      <c r="AD786" s="53"/>
      <c r="AE786" s="53"/>
      <c r="AF786" s="53"/>
    </row>
    <row r="787">
      <c r="G787" s="55"/>
      <c r="N787" s="6"/>
      <c r="O787" s="53"/>
      <c r="P787" s="53"/>
      <c r="Q787" s="53"/>
      <c r="R787" s="51"/>
      <c r="S787" s="51"/>
      <c r="T787" s="53"/>
      <c r="U787" s="53"/>
      <c r="V787" s="53"/>
      <c r="W787" s="53"/>
      <c r="X787" s="53"/>
      <c r="Y787" s="53"/>
      <c r="Z787" s="52"/>
      <c r="AA787" s="52"/>
      <c r="AB787" s="52"/>
      <c r="AC787" s="52"/>
      <c r="AD787" s="53"/>
      <c r="AE787" s="53"/>
      <c r="AF787" s="53"/>
    </row>
    <row r="788">
      <c r="G788" s="55"/>
      <c r="N788" s="6"/>
      <c r="O788" s="53"/>
      <c r="P788" s="53"/>
      <c r="Q788" s="53"/>
      <c r="R788" s="51"/>
      <c r="S788" s="51"/>
      <c r="T788" s="53"/>
      <c r="U788" s="53"/>
      <c r="V788" s="53"/>
      <c r="W788" s="53"/>
      <c r="X788" s="53"/>
      <c r="Y788" s="53"/>
      <c r="Z788" s="52"/>
      <c r="AA788" s="52"/>
      <c r="AB788" s="52"/>
      <c r="AC788" s="52"/>
      <c r="AD788" s="53"/>
      <c r="AE788" s="53"/>
      <c r="AF788" s="53"/>
    </row>
    <row r="789">
      <c r="G789" s="55"/>
      <c r="N789" s="6"/>
      <c r="O789" s="53"/>
      <c r="P789" s="53"/>
      <c r="Q789" s="53"/>
      <c r="R789" s="51"/>
      <c r="S789" s="51"/>
      <c r="T789" s="53"/>
      <c r="U789" s="53"/>
      <c r="V789" s="53"/>
      <c r="W789" s="53"/>
      <c r="X789" s="53"/>
      <c r="Y789" s="53"/>
      <c r="Z789" s="52"/>
      <c r="AA789" s="52"/>
      <c r="AB789" s="52"/>
      <c r="AC789" s="52"/>
      <c r="AD789" s="53"/>
      <c r="AE789" s="53"/>
      <c r="AF789" s="53"/>
    </row>
    <row r="790">
      <c r="G790" s="55"/>
      <c r="N790" s="6"/>
      <c r="O790" s="53"/>
      <c r="P790" s="53"/>
      <c r="Q790" s="53"/>
      <c r="R790" s="51"/>
      <c r="S790" s="51"/>
      <c r="T790" s="53"/>
      <c r="U790" s="53"/>
      <c r="V790" s="53"/>
      <c r="W790" s="53"/>
      <c r="X790" s="53"/>
      <c r="Y790" s="53"/>
      <c r="Z790" s="52"/>
      <c r="AA790" s="52"/>
      <c r="AB790" s="52"/>
      <c r="AC790" s="52"/>
      <c r="AD790" s="53"/>
      <c r="AE790" s="53"/>
      <c r="AF790" s="53"/>
    </row>
    <row r="791">
      <c r="G791" s="55"/>
      <c r="N791" s="6"/>
      <c r="O791" s="53"/>
      <c r="P791" s="53"/>
      <c r="Q791" s="53"/>
      <c r="R791" s="51"/>
      <c r="S791" s="51"/>
      <c r="T791" s="53"/>
      <c r="U791" s="53"/>
      <c r="V791" s="53"/>
      <c r="W791" s="53"/>
      <c r="X791" s="53"/>
      <c r="Y791" s="53"/>
      <c r="Z791" s="52"/>
      <c r="AA791" s="52"/>
      <c r="AB791" s="52"/>
      <c r="AC791" s="52"/>
      <c r="AD791" s="53"/>
      <c r="AE791" s="53"/>
      <c r="AF791" s="53"/>
    </row>
    <row r="792">
      <c r="G792" s="55"/>
      <c r="N792" s="6"/>
      <c r="O792" s="53"/>
      <c r="P792" s="53"/>
      <c r="Q792" s="53"/>
      <c r="R792" s="51"/>
      <c r="S792" s="51"/>
      <c r="T792" s="53"/>
      <c r="U792" s="53"/>
      <c r="V792" s="53"/>
      <c r="W792" s="53"/>
      <c r="X792" s="53"/>
      <c r="Y792" s="53"/>
      <c r="Z792" s="52"/>
      <c r="AA792" s="52"/>
      <c r="AB792" s="52"/>
      <c r="AC792" s="52"/>
      <c r="AD792" s="53"/>
      <c r="AE792" s="53"/>
      <c r="AF792" s="53"/>
    </row>
    <row r="793">
      <c r="G793" s="55"/>
      <c r="N793" s="6"/>
      <c r="O793" s="53"/>
      <c r="P793" s="53"/>
      <c r="Q793" s="53"/>
      <c r="R793" s="51"/>
      <c r="S793" s="51"/>
      <c r="T793" s="53"/>
      <c r="U793" s="53"/>
      <c r="V793" s="53"/>
      <c r="W793" s="53"/>
      <c r="X793" s="53"/>
      <c r="Y793" s="53"/>
      <c r="Z793" s="52"/>
      <c r="AA793" s="52"/>
      <c r="AB793" s="52"/>
      <c r="AC793" s="52"/>
      <c r="AD793" s="53"/>
      <c r="AE793" s="53"/>
      <c r="AF793" s="53"/>
    </row>
    <row r="794">
      <c r="G794" s="55"/>
      <c r="N794" s="6"/>
      <c r="O794" s="53"/>
      <c r="P794" s="53"/>
      <c r="Q794" s="53"/>
      <c r="R794" s="51"/>
      <c r="S794" s="51"/>
      <c r="T794" s="53"/>
      <c r="U794" s="53"/>
      <c r="V794" s="53"/>
      <c r="W794" s="53"/>
      <c r="X794" s="53"/>
      <c r="Y794" s="53"/>
      <c r="Z794" s="52"/>
      <c r="AA794" s="52"/>
      <c r="AB794" s="52"/>
      <c r="AC794" s="52"/>
      <c r="AD794" s="53"/>
      <c r="AE794" s="53"/>
      <c r="AF794" s="53"/>
    </row>
    <row r="795">
      <c r="G795" s="55"/>
      <c r="N795" s="6"/>
      <c r="O795" s="53"/>
      <c r="P795" s="53"/>
      <c r="Q795" s="53"/>
      <c r="R795" s="51"/>
      <c r="S795" s="51"/>
      <c r="T795" s="53"/>
      <c r="U795" s="53"/>
      <c r="V795" s="53"/>
      <c r="W795" s="53"/>
      <c r="X795" s="53"/>
      <c r="Y795" s="53"/>
      <c r="Z795" s="52"/>
      <c r="AA795" s="52"/>
      <c r="AB795" s="52"/>
      <c r="AC795" s="52"/>
      <c r="AD795" s="53"/>
      <c r="AE795" s="53"/>
      <c r="AF795" s="53"/>
    </row>
    <row r="796">
      <c r="G796" s="55"/>
      <c r="N796" s="6"/>
      <c r="O796" s="53"/>
      <c r="P796" s="53"/>
      <c r="Q796" s="53"/>
      <c r="R796" s="51"/>
      <c r="S796" s="51"/>
      <c r="T796" s="53"/>
      <c r="U796" s="53"/>
      <c r="V796" s="53"/>
      <c r="W796" s="53"/>
      <c r="X796" s="53"/>
      <c r="Y796" s="53"/>
      <c r="Z796" s="52"/>
      <c r="AA796" s="52"/>
      <c r="AB796" s="52"/>
      <c r="AC796" s="52"/>
      <c r="AD796" s="53"/>
      <c r="AE796" s="53"/>
      <c r="AF796" s="53"/>
    </row>
    <row r="797">
      <c r="G797" s="55"/>
      <c r="N797" s="6"/>
      <c r="O797" s="53"/>
      <c r="P797" s="53"/>
      <c r="Q797" s="53"/>
      <c r="R797" s="51"/>
      <c r="S797" s="51"/>
      <c r="T797" s="53"/>
      <c r="U797" s="53"/>
      <c r="V797" s="53"/>
      <c r="W797" s="53"/>
      <c r="X797" s="53"/>
      <c r="Y797" s="53"/>
      <c r="Z797" s="52"/>
      <c r="AA797" s="52"/>
      <c r="AB797" s="52"/>
      <c r="AC797" s="52"/>
      <c r="AD797" s="53"/>
      <c r="AE797" s="53"/>
      <c r="AF797" s="53"/>
    </row>
    <row r="798">
      <c r="G798" s="55"/>
      <c r="N798" s="6"/>
      <c r="O798" s="53"/>
      <c r="P798" s="53"/>
      <c r="Q798" s="53"/>
      <c r="R798" s="51"/>
      <c r="S798" s="51"/>
      <c r="T798" s="53"/>
      <c r="U798" s="53"/>
      <c r="V798" s="53"/>
      <c r="W798" s="53"/>
      <c r="X798" s="53"/>
      <c r="Y798" s="53"/>
      <c r="Z798" s="52"/>
      <c r="AA798" s="52"/>
      <c r="AB798" s="52"/>
      <c r="AC798" s="52"/>
      <c r="AD798" s="53"/>
      <c r="AE798" s="53"/>
      <c r="AF798" s="53"/>
    </row>
    <row r="799">
      <c r="G799" s="55"/>
      <c r="N799" s="6"/>
      <c r="O799" s="53"/>
      <c r="P799" s="53"/>
      <c r="Q799" s="53"/>
      <c r="R799" s="51"/>
      <c r="S799" s="51"/>
      <c r="T799" s="53"/>
      <c r="U799" s="53"/>
      <c r="V799" s="53"/>
      <c r="W799" s="53"/>
      <c r="X799" s="53"/>
      <c r="Y799" s="53"/>
      <c r="Z799" s="52"/>
      <c r="AA799" s="52"/>
      <c r="AB799" s="52"/>
      <c r="AC799" s="52"/>
      <c r="AD799" s="53"/>
      <c r="AE799" s="53"/>
      <c r="AF799" s="53"/>
    </row>
    <row r="800">
      <c r="G800" s="55"/>
      <c r="N800" s="6"/>
      <c r="O800" s="53"/>
      <c r="P800" s="53"/>
      <c r="Q800" s="53"/>
      <c r="R800" s="51"/>
      <c r="S800" s="51"/>
      <c r="T800" s="53"/>
      <c r="U800" s="53"/>
      <c r="V800" s="53"/>
      <c r="W800" s="53"/>
      <c r="X800" s="53"/>
      <c r="Y800" s="53"/>
      <c r="Z800" s="52"/>
      <c r="AA800" s="52"/>
      <c r="AB800" s="52"/>
      <c r="AC800" s="52"/>
      <c r="AD800" s="53"/>
      <c r="AE800" s="53"/>
      <c r="AF800" s="53"/>
    </row>
    <row r="801">
      <c r="G801" s="55"/>
      <c r="N801" s="6"/>
      <c r="O801" s="53"/>
      <c r="P801" s="53"/>
      <c r="Q801" s="53"/>
      <c r="R801" s="51"/>
      <c r="S801" s="51"/>
      <c r="T801" s="53"/>
      <c r="U801" s="53"/>
      <c r="V801" s="53"/>
      <c r="W801" s="53"/>
      <c r="X801" s="53"/>
      <c r="Y801" s="53"/>
      <c r="Z801" s="52"/>
      <c r="AA801" s="52"/>
      <c r="AB801" s="52"/>
      <c r="AC801" s="52"/>
      <c r="AD801" s="53"/>
      <c r="AE801" s="53"/>
      <c r="AF801" s="53"/>
    </row>
    <row r="802">
      <c r="G802" s="55"/>
      <c r="N802" s="6"/>
      <c r="O802" s="53"/>
      <c r="P802" s="53"/>
      <c r="Q802" s="53"/>
      <c r="R802" s="51"/>
      <c r="S802" s="51"/>
      <c r="T802" s="53"/>
      <c r="U802" s="53"/>
      <c r="V802" s="53"/>
      <c r="W802" s="53"/>
      <c r="X802" s="53"/>
      <c r="Y802" s="53"/>
      <c r="Z802" s="52"/>
      <c r="AA802" s="52"/>
      <c r="AB802" s="52"/>
      <c r="AC802" s="52"/>
      <c r="AD802" s="53"/>
      <c r="AE802" s="53"/>
      <c r="AF802" s="53"/>
    </row>
    <row r="803">
      <c r="G803" s="55"/>
      <c r="N803" s="6"/>
      <c r="O803" s="53"/>
      <c r="P803" s="53"/>
      <c r="Q803" s="53"/>
      <c r="R803" s="51"/>
      <c r="S803" s="51"/>
      <c r="T803" s="53"/>
      <c r="U803" s="53"/>
      <c r="V803" s="53"/>
      <c r="W803" s="53"/>
      <c r="X803" s="53"/>
      <c r="Y803" s="53"/>
      <c r="Z803" s="52"/>
      <c r="AA803" s="52"/>
      <c r="AB803" s="52"/>
      <c r="AC803" s="52"/>
      <c r="AD803" s="53"/>
      <c r="AE803" s="53"/>
      <c r="AF803" s="53"/>
    </row>
    <row r="804">
      <c r="G804" s="55"/>
      <c r="N804" s="6"/>
      <c r="O804" s="53"/>
      <c r="P804" s="53"/>
      <c r="Q804" s="53"/>
      <c r="R804" s="51"/>
      <c r="S804" s="51"/>
      <c r="T804" s="53"/>
      <c r="U804" s="53"/>
      <c r="V804" s="53"/>
      <c r="W804" s="53"/>
      <c r="X804" s="53"/>
      <c r="Y804" s="53"/>
      <c r="Z804" s="52"/>
      <c r="AA804" s="52"/>
      <c r="AB804" s="52"/>
      <c r="AC804" s="52"/>
      <c r="AD804" s="53"/>
      <c r="AE804" s="53"/>
      <c r="AF804" s="53"/>
    </row>
    <row r="805">
      <c r="G805" s="55"/>
      <c r="N805" s="6"/>
      <c r="O805" s="53"/>
      <c r="P805" s="53"/>
      <c r="Q805" s="53"/>
      <c r="R805" s="51"/>
      <c r="S805" s="51"/>
      <c r="T805" s="53"/>
      <c r="U805" s="53"/>
      <c r="V805" s="53"/>
      <c r="W805" s="53"/>
      <c r="X805" s="53"/>
      <c r="Y805" s="53"/>
      <c r="Z805" s="52"/>
      <c r="AA805" s="52"/>
      <c r="AB805" s="52"/>
      <c r="AC805" s="52"/>
      <c r="AD805" s="53"/>
      <c r="AE805" s="53"/>
      <c r="AF805" s="53"/>
    </row>
    <row r="806">
      <c r="G806" s="55"/>
      <c r="N806" s="6"/>
      <c r="O806" s="53"/>
      <c r="P806" s="53"/>
      <c r="Q806" s="53"/>
      <c r="R806" s="51"/>
      <c r="S806" s="51"/>
      <c r="T806" s="53"/>
      <c r="U806" s="53"/>
      <c r="V806" s="53"/>
      <c r="W806" s="53"/>
      <c r="X806" s="53"/>
      <c r="Y806" s="53"/>
      <c r="Z806" s="52"/>
      <c r="AA806" s="52"/>
      <c r="AB806" s="52"/>
      <c r="AC806" s="52"/>
      <c r="AD806" s="53"/>
      <c r="AE806" s="53"/>
      <c r="AF806" s="53"/>
    </row>
    <row r="807">
      <c r="G807" s="55"/>
      <c r="N807" s="6"/>
      <c r="O807" s="53"/>
      <c r="P807" s="53"/>
      <c r="Q807" s="53"/>
      <c r="R807" s="51"/>
      <c r="S807" s="51"/>
      <c r="T807" s="53"/>
      <c r="U807" s="53"/>
      <c r="V807" s="53"/>
      <c r="W807" s="53"/>
      <c r="X807" s="53"/>
      <c r="Y807" s="53"/>
      <c r="Z807" s="52"/>
      <c r="AA807" s="52"/>
      <c r="AB807" s="52"/>
      <c r="AC807" s="52"/>
      <c r="AD807" s="53"/>
      <c r="AE807" s="53"/>
      <c r="AF807" s="53"/>
    </row>
    <row r="808">
      <c r="G808" s="55"/>
      <c r="N808" s="6"/>
      <c r="O808" s="53"/>
      <c r="P808" s="53"/>
      <c r="Q808" s="53"/>
      <c r="R808" s="51"/>
      <c r="S808" s="51"/>
      <c r="T808" s="53"/>
      <c r="U808" s="53"/>
      <c r="V808" s="53"/>
      <c r="W808" s="53"/>
      <c r="X808" s="53"/>
      <c r="Y808" s="53"/>
      <c r="Z808" s="52"/>
      <c r="AA808" s="52"/>
      <c r="AB808" s="52"/>
      <c r="AC808" s="52"/>
      <c r="AD808" s="53"/>
      <c r="AE808" s="53"/>
      <c r="AF808" s="53"/>
    </row>
    <row r="809">
      <c r="G809" s="55"/>
      <c r="N809" s="6"/>
      <c r="O809" s="53"/>
      <c r="P809" s="53"/>
      <c r="Q809" s="53"/>
      <c r="R809" s="51"/>
      <c r="S809" s="51"/>
      <c r="T809" s="53"/>
      <c r="U809" s="53"/>
      <c r="V809" s="53"/>
      <c r="W809" s="53"/>
      <c r="X809" s="53"/>
      <c r="Y809" s="53"/>
      <c r="Z809" s="52"/>
      <c r="AA809" s="52"/>
      <c r="AB809" s="52"/>
      <c r="AC809" s="52"/>
      <c r="AD809" s="53"/>
      <c r="AE809" s="53"/>
      <c r="AF809" s="53"/>
    </row>
    <row r="810">
      <c r="G810" s="55"/>
      <c r="N810" s="6"/>
      <c r="O810" s="53"/>
      <c r="P810" s="53"/>
      <c r="Q810" s="53"/>
      <c r="R810" s="51"/>
      <c r="S810" s="51"/>
      <c r="T810" s="53"/>
      <c r="U810" s="53"/>
      <c r="V810" s="53"/>
      <c r="W810" s="53"/>
      <c r="X810" s="53"/>
      <c r="Y810" s="53"/>
      <c r="Z810" s="52"/>
      <c r="AA810" s="52"/>
      <c r="AB810" s="52"/>
      <c r="AC810" s="52"/>
      <c r="AD810" s="53"/>
      <c r="AE810" s="53"/>
      <c r="AF810" s="53"/>
    </row>
    <row r="811">
      <c r="G811" s="55"/>
      <c r="N811" s="6"/>
      <c r="O811" s="53"/>
      <c r="P811" s="53"/>
      <c r="Q811" s="53"/>
      <c r="R811" s="51"/>
      <c r="S811" s="51"/>
      <c r="T811" s="53"/>
      <c r="U811" s="53"/>
      <c r="V811" s="53"/>
      <c r="W811" s="53"/>
      <c r="X811" s="53"/>
      <c r="Y811" s="53"/>
      <c r="Z811" s="52"/>
      <c r="AA811" s="52"/>
      <c r="AB811" s="52"/>
      <c r="AC811" s="52"/>
      <c r="AD811" s="53"/>
      <c r="AE811" s="53"/>
      <c r="AF811" s="53"/>
    </row>
    <row r="812">
      <c r="G812" s="55"/>
      <c r="N812" s="6"/>
      <c r="O812" s="53"/>
      <c r="P812" s="53"/>
      <c r="Q812" s="53"/>
      <c r="R812" s="51"/>
      <c r="S812" s="51"/>
      <c r="T812" s="53"/>
      <c r="U812" s="53"/>
      <c r="V812" s="53"/>
      <c r="W812" s="53"/>
      <c r="X812" s="53"/>
      <c r="Y812" s="53"/>
      <c r="Z812" s="52"/>
      <c r="AA812" s="52"/>
      <c r="AB812" s="52"/>
      <c r="AC812" s="52"/>
      <c r="AD812" s="53"/>
      <c r="AE812" s="53"/>
      <c r="AF812" s="53"/>
    </row>
    <row r="813">
      <c r="G813" s="55"/>
      <c r="N813" s="6"/>
      <c r="O813" s="53"/>
      <c r="P813" s="53"/>
      <c r="Q813" s="53"/>
      <c r="R813" s="51"/>
      <c r="S813" s="51"/>
      <c r="T813" s="53"/>
      <c r="U813" s="53"/>
      <c r="V813" s="53"/>
      <c r="W813" s="53"/>
      <c r="X813" s="53"/>
      <c r="Y813" s="53"/>
      <c r="Z813" s="52"/>
      <c r="AA813" s="52"/>
      <c r="AB813" s="52"/>
      <c r="AC813" s="52"/>
      <c r="AD813" s="53"/>
      <c r="AE813" s="53"/>
      <c r="AF813" s="53"/>
    </row>
    <row r="814">
      <c r="G814" s="55"/>
      <c r="N814" s="6"/>
      <c r="O814" s="53"/>
      <c r="P814" s="53"/>
      <c r="Q814" s="53"/>
      <c r="R814" s="51"/>
      <c r="S814" s="51"/>
      <c r="T814" s="53"/>
      <c r="U814" s="53"/>
      <c r="V814" s="53"/>
      <c r="W814" s="53"/>
      <c r="X814" s="53"/>
      <c r="Y814" s="53"/>
      <c r="Z814" s="52"/>
      <c r="AA814" s="52"/>
      <c r="AB814" s="52"/>
      <c r="AC814" s="52"/>
      <c r="AD814" s="53"/>
      <c r="AE814" s="53"/>
      <c r="AF814" s="53"/>
    </row>
    <row r="815">
      <c r="G815" s="55"/>
      <c r="N815" s="6"/>
      <c r="O815" s="53"/>
      <c r="P815" s="53"/>
      <c r="Q815" s="53"/>
      <c r="R815" s="51"/>
      <c r="S815" s="51"/>
      <c r="T815" s="53"/>
      <c r="U815" s="53"/>
      <c r="V815" s="53"/>
      <c r="W815" s="53"/>
      <c r="X815" s="53"/>
      <c r="Y815" s="53"/>
      <c r="Z815" s="52"/>
      <c r="AA815" s="52"/>
      <c r="AB815" s="52"/>
      <c r="AC815" s="52"/>
      <c r="AD815" s="53"/>
      <c r="AE815" s="53"/>
      <c r="AF815" s="53"/>
    </row>
    <row r="816">
      <c r="G816" s="55"/>
      <c r="N816" s="6"/>
      <c r="O816" s="53"/>
      <c r="P816" s="53"/>
      <c r="Q816" s="53"/>
      <c r="R816" s="51"/>
      <c r="S816" s="51"/>
      <c r="T816" s="53"/>
      <c r="U816" s="53"/>
      <c r="V816" s="53"/>
      <c r="W816" s="53"/>
      <c r="X816" s="53"/>
      <c r="Y816" s="53"/>
      <c r="Z816" s="52"/>
      <c r="AA816" s="52"/>
      <c r="AB816" s="52"/>
      <c r="AC816" s="52"/>
      <c r="AD816" s="53"/>
      <c r="AE816" s="53"/>
      <c r="AF816" s="53"/>
    </row>
    <row r="817">
      <c r="G817" s="55"/>
      <c r="N817" s="6"/>
      <c r="O817" s="53"/>
      <c r="P817" s="53"/>
      <c r="Q817" s="53"/>
      <c r="R817" s="51"/>
      <c r="S817" s="51"/>
      <c r="T817" s="53"/>
      <c r="U817" s="53"/>
      <c r="V817" s="53"/>
      <c r="W817" s="53"/>
      <c r="X817" s="53"/>
      <c r="Y817" s="53"/>
      <c r="Z817" s="52"/>
      <c r="AA817" s="52"/>
      <c r="AB817" s="52"/>
      <c r="AC817" s="52"/>
      <c r="AD817" s="53"/>
      <c r="AE817" s="53"/>
      <c r="AF817" s="53"/>
    </row>
    <row r="818">
      <c r="G818" s="55"/>
      <c r="N818" s="6"/>
      <c r="O818" s="53"/>
      <c r="P818" s="53"/>
      <c r="Q818" s="53"/>
      <c r="R818" s="51"/>
      <c r="S818" s="51"/>
      <c r="T818" s="53"/>
      <c r="U818" s="53"/>
      <c r="V818" s="53"/>
      <c r="W818" s="53"/>
      <c r="X818" s="53"/>
      <c r="Y818" s="53"/>
      <c r="Z818" s="52"/>
      <c r="AA818" s="52"/>
      <c r="AB818" s="52"/>
      <c r="AC818" s="52"/>
      <c r="AD818" s="53"/>
      <c r="AE818" s="53"/>
      <c r="AF818" s="53"/>
    </row>
    <row r="819">
      <c r="G819" s="55"/>
      <c r="N819" s="6"/>
      <c r="O819" s="53"/>
      <c r="P819" s="53"/>
      <c r="Q819" s="53"/>
      <c r="R819" s="51"/>
      <c r="S819" s="51"/>
      <c r="T819" s="53"/>
      <c r="U819" s="53"/>
      <c r="V819" s="53"/>
      <c r="W819" s="53"/>
      <c r="X819" s="53"/>
      <c r="Y819" s="53"/>
      <c r="Z819" s="52"/>
      <c r="AA819" s="52"/>
      <c r="AB819" s="52"/>
      <c r="AC819" s="52"/>
      <c r="AD819" s="53"/>
      <c r="AE819" s="53"/>
      <c r="AF819" s="53"/>
    </row>
    <row r="820">
      <c r="G820" s="55"/>
      <c r="N820" s="6"/>
      <c r="O820" s="53"/>
      <c r="P820" s="53"/>
      <c r="Q820" s="53"/>
      <c r="R820" s="51"/>
      <c r="S820" s="51"/>
      <c r="T820" s="53"/>
      <c r="U820" s="53"/>
      <c r="V820" s="53"/>
      <c r="W820" s="53"/>
      <c r="X820" s="53"/>
      <c r="Y820" s="53"/>
      <c r="Z820" s="52"/>
      <c r="AA820" s="52"/>
      <c r="AB820" s="52"/>
      <c r="AC820" s="52"/>
      <c r="AD820" s="53"/>
      <c r="AE820" s="53"/>
      <c r="AF820" s="53"/>
    </row>
    <row r="821">
      <c r="G821" s="55"/>
      <c r="N821" s="6"/>
      <c r="O821" s="53"/>
      <c r="P821" s="53"/>
      <c r="Q821" s="53"/>
      <c r="R821" s="51"/>
      <c r="S821" s="51"/>
      <c r="T821" s="53"/>
      <c r="U821" s="53"/>
      <c r="V821" s="53"/>
      <c r="W821" s="53"/>
      <c r="X821" s="53"/>
      <c r="Y821" s="53"/>
      <c r="Z821" s="52"/>
      <c r="AA821" s="52"/>
      <c r="AB821" s="52"/>
      <c r="AC821" s="52"/>
      <c r="AD821" s="53"/>
      <c r="AE821" s="53"/>
      <c r="AF821" s="53"/>
    </row>
    <row r="822">
      <c r="G822" s="55"/>
      <c r="N822" s="6"/>
      <c r="O822" s="53"/>
      <c r="P822" s="53"/>
      <c r="Q822" s="53"/>
      <c r="R822" s="51"/>
      <c r="S822" s="51"/>
      <c r="T822" s="53"/>
      <c r="U822" s="53"/>
      <c r="V822" s="53"/>
      <c r="W822" s="53"/>
      <c r="X822" s="53"/>
      <c r="Y822" s="53"/>
      <c r="Z822" s="52"/>
      <c r="AA822" s="52"/>
      <c r="AB822" s="52"/>
      <c r="AC822" s="52"/>
      <c r="AD822" s="53"/>
      <c r="AE822" s="53"/>
      <c r="AF822" s="53"/>
    </row>
    <row r="823">
      <c r="G823" s="55"/>
      <c r="N823" s="6"/>
      <c r="O823" s="53"/>
      <c r="P823" s="53"/>
      <c r="Q823" s="53"/>
      <c r="R823" s="51"/>
      <c r="S823" s="51"/>
      <c r="T823" s="53"/>
      <c r="U823" s="53"/>
      <c r="V823" s="53"/>
      <c r="W823" s="53"/>
      <c r="X823" s="53"/>
      <c r="Y823" s="53"/>
      <c r="Z823" s="52"/>
      <c r="AA823" s="52"/>
      <c r="AB823" s="52"/>
      <c r="AC823" s="52"/>
      <c r="AD823" s="53"/>
      <c r="AE823" s="53"/>
      <c r="AF823" s="53"/>
    </row>
    <row r="824">
      <c r="G824" s="55"/>
      <c r="N824" s="6"/>
      <c r="O824" s="53"/>
      <c r="P824" s="53"/>
      <c r="Q824" s="53"/>
      <c r="R824" s="51"/>
      <c r="S824" s="51"/>
      <c r="T824" s="53"/>
      <c r="U824" s="53"/>
      <c r="V824" s="53"/>
      <c r="W824" s="53"/>
      <c r="X824" s="53"/>
      <c r="Y824" s="53"/>
      <c r="Z824" s="52"/>
      <c r="AA824" s="52"/>
      <c r="AB824" s="52"/>
      <c r="AC824" s="52"/>
      <c r="AD824" s="53"/>
      <c r="AE824" s="53"/>
      <c r="AF824" s="53"/>
    </row>
    <row r="825">
      <c r="G825" s="55"/>
      <c r="N825" s="6"/>
      <c r="O825" s="53"/>
      <c r="P825" s="53"/>
      <c r="Q825" s="53"/>
      <c r="R825" s="51"/>
      <c r="S825" s="51"/>
      <c r="T825" s="53"/>
      <c r="U825" s="53"/>
      <c r="V825" s="53"/>
      <c r="W825" s="53"/>
      <c r="X825" s="53"/>
      <c r="Y825" s="53"/>
      <c r="Z825" s="52"/>
      <c r="AA825" s="52"/>
      <c r="AB825" s="52"/>
      <c r="AC825" s="52"/>
      <c r="AD825" s="53"/>
      <c r="AE825" s="53"/>
      <c r="AF825" s="53"/>
    </row>
    <row r="826">
      <c r="G826" s="55"/>
      <c r="N826" s="6"/>
      <c r="O826" s="53"/>
      <c r="P826" s="53"/>
      <c r="Q826" s="53"/>
      <c r="R826" s="51"/>
      <c r="S826" s="51"/>
      <c r="T826" s="53"/>
      <c r="U826" s="53"/>
      <c r="V826" s="53"/>
      <c r="W826" s="53"/>
      <c r="X826" s="53"/>
      <c r="Y826" s="53"/>
      <c r="Z826" s="52"/>
      <c r="AA826" s="52"/>
      <c r="AB826" s="52"/>
      <c r="AC826" s="52"/>
      <c r="AD826" s="53"/>
      <c r="AE826" s="53"/>
      <c r="AF826" s="53"/>
    </row>
    <row r="827">
      <c r="G827" s="55"/>
      <c r="N827" s="6"/>
      <c r="O827" s="53"/>
      <c r="P827" s="53"/>
      <c r="Q827" s="53"/>
      <c r="R827" s="51"/>
      <c r="S827" s="51"/>
      <c r="T827" s="53"/>
      <c r="U827" s="53"/>
      <c r="V827" s="53"/>
      <c r="W827" s="53"/>
      <c r="X827" s="53"/>
      <c r="Y827" s="53"/>
      <c r="Z827" s="52"/>
      <c r="AA827" s="52"/>
      <c r="AB827" s="52"/>
      <c r="AC827" s="52"/>
      <c r="AD827" s="53"/>
      <c r="AE827" s="53"/>
      <c r="AF827" s="53"/>
    </row>
    <row r="828">
      <c r="G828" s="55"/>
      <c r="N828" s="6"/>
      <c r="O828" s="53"/>
      <c r="P828" s="53"/>
      <c r="Q828" s="53"/>
      <c r="R828" s="51"/>
      <c r="S828" s="51"/>
      <c r="T828" s="53"/>
      <c r="U828" s="53"/>
      <c r="V828" s="53"/>
      <c r="W828" s="53"/>
      <c r="X828" s="53"/>
      <c r="Y828" s="53"/>
      <c r="Z828" s="52"/>
      <c r="AA828" s="52"/>
      <c r="AB828" s="52"/>
      <c r="AC828" s="52"/>
      <c r="AD828" s="53"/>
      <c r="AE828" s="53"/>
      <c r="AF828" s="53"/>
    </row>
    <row r="829">
      <c r="G829" s="55"/>
      <c r="N829" s="6"/>
      <c r="O829" s="53"/>
      <c r="P829" s="53"/>
      <c r="Q829" s="53"/>
      <c r="R829" s="51"/>
      <c r="S829" s="51"/>
      <c r="T829" s="53"/>
      <c r="U829" s="53"/>
      <c r="V829" s="53"/>
      <c r="W829" s="53"/>
      <c r="X829" s="53"/>
      <c r="Y829" s="53"/>
      <c r="Z829" s="52"/>
      <c r="AA829" s="52"/>
      <c r="AB829" s="52"/>
      <c r="AC829" s="52"/>
      <c r="AD829" s="53"/>
      <c r="AE829" s="53"/>
      <c r="AF829" s="53"/>
    </row>
    <row r="830">
      <c r="G830" s="55"/>
      <c r="N830" s="6"/>
      <c r="O830" s="53"/>
      <c r="P830" s="53"/>
      <c r="Q830" s="53"/>
      <c r="R830" s="51"/>
      <c r="S830" s="51"/>
      <c r="T830" s="53"/>
      <c r="U830" s="53"/>
      <c r="V830" s="53"/>
      <c r="W830" s="53"/>
      <c r="X830" s="53"/>
      <c r="Y830" s="53"/>
      <c r="Z830" s="52"/>
      <c r="AA830" s="52"/>
      <c r="AB830" s="52"/>
      <c r="AC830" s="52"/>
      <c r="AD830" s="53"/>
      <c r="AE830" s="53"/>
      <c r="AF830" s="53"/>
    </row>
    <row r="831">
      <c r="G831" s="55"/>
      <c r="N831" s="6"/>
      <c r="O831" s="53"/>
      <c r="P831" s="53"/>
      <c r="Q831" s="53"/>
      <c r="R831" s="51"/>
      <c r="S831" s="51"/>
      <c r="T831" s="53"/>
      <c r="U831" s="53"/>
      <c r="V831" s="53"/>
      <c r="W831" s="53"/>
      <c r="X831" s="53"/>
      <c r="Y831" s="53"/>
      <c r="Z831" s="52"/>
      <c r="AA831" s="52"/>
      <c r="AB831" s="52"/>
      <c r="AC831" s="52"/>
      <c r="AD831" s="53"/>
      <c r="AE831" s="53"/>
      <c r="AF831" s="53"/>
    </row>
    <row r="832">
      <c r="G832" s="55"/>
      <c r="N832" s="6"/>
      <c r="O832" s="53"/>
      <c r="P832" s="53"/>
      <c r="Q832" s="53"/>
      <c r="R832" s="51"/>
      <c r="S832" s="51"/>
      <c r="T832" s="53"/>
      <c r="U832" s="53"/>
      <c r="V832" s="53"/>
      <c r="W832" s="53"/>
      <c r="X832" s="53"/>
      <c r="Y832" s="53"/>
      <c r="Z832" s="52"/>
      <c r="AA832" s="52"/>
      <c r="AB832" s="52"/>
      <c r="AC832" s="52"/>
      <c r="AD832" s="53"/>
      <c r="AE832" s="53"/>
      <c r="AF832" s="53"/>
    </row>
    <row r="833">
      <c r="G833" s="55"/>
      <c r="N833" s="6"/>
      <c r="O833" s="53"/>
      <c r="P833" s="53"/>
      <c r="Q833" s="53"/>
      <c r="R833" s="51"/>
      <c r="S833" s="51"/>
      <c r="T833" s="53"/>
      <c r="U833" s="53"/>
      <c r="V833" s="53"/>
      <c r="W833" s="53"/>
      <c r="X833" s="53"/>
      <c r="Y833" s="53"/>
      <c r="Z833" s="52"/>
      <c r="AA833" s="52"/>
      <c r="AB833" s="52"/>
      <c r="AC833" s="52"/>
      <c r="AD833" s="53"/>
      <c r="AE833" s="53"/>
      <c r="AF833" s="53"/>
    </row>
    <row r="834">
      <c r="G834" s="55"/>
      <c r="N834" s="6"/>
      <c r="O834" s="53"/>
      <c r="P834" s="53"/>
      <c r="Q834" s="53"/>
      <c r="R834" s="51"/>
      <c r="S834" s="51"/>
      <c r="T834" s="53"/>
      <c r="U834" s="53"/>
      <c r="V834" s="53"/>
      <c r="W834" s="53"/>
      <c r="X834" s="53"/>
      <c r="Y834" s="53"/>
      <c r="Z834" s="52"/>
      <c r="AA834" s="52"/>
      <c r="AB834" s="52"/>
      <c r="AC834" s="52"/>
      <c r="AD834" s="53"/>
      <c r="AE834" s="53"/>
      <c r="AF834" s="53"/>
    </row>
    <row r="835">
      <c r="G835" s="55"/>
      <c r="N835" s="6"/>
      <c r="O835" s="53"/>
      <c r="P835" s="53"/>
      <c r="Q835" s="53"/>
      <c r="R835" s="51"/>
      <c r="S835" s="51"/>
      <c r="T835" s="53"/>
      <c r="U835" s="53"/>
      <c r="V835" s="53"/>
      <c r="W835" s="53"/>
      <c r="X835" s="53"/>
      <c r="Y835" s="53"/>
      <c r="Z835" s="52"/>
      <c r="AA835" s="52"/>
      <c r="AB835" s="52"/>
      <c r="AC835" s="52"/>
      <c r="AD835" s="53"/>
      <c r="AE835" s="53"/>
      <c r="AF835" s="53"/>
    </row>
    <row r="836">
      <c r="G836" s="55"/>
      <c r="N836" s="6"/>
      <c r="O836" s="53"/>
      <c r="P836" s="53"/>
      <c r="Q836" s="53"/>
      <c r="R836" s="51"/>
      <c r="S836" s="51"/>
      <c r="T836" s="53"/>
      <c r="U836" s="53"/>
      <c r="V836" s="53"/>
      <c r="W836" s="53"/>
      <c r="X836" s="53"/>
      <c r="Y836" s="53"/>
      <c r="Z836" s="52"/>
      <c r="AA836" s="52"/>
      <c r="AB836" s="52"/>
      <c r="AC836" s="52"/>
      <c r="AD836" s="53"/>
      <c r="AE836" s="53"/>
      <c r="AF836" s="53"/>
    </row>
    <row r="837">
      <c r="G837" s="55"/>
      <c r="N837" s="6"/>
      <c r="O837" s="53"/>
      <c r="P837" s="53"/>
      <c r="Q837" s="53"/>
      <c r="R837" s="51"/>
      <c r="S837" s="51"/>
      <c r="T837" s="53"/>
      <c r="U837" s="53"/>
      <c r="V837" s="53"/>
      <c r="W837" s="53"/>
      <c r="X837" s="53"/>
      <c r="Y837" s="53"/>
      <c r="Z837" s="52"/>
      <c r="AA837" s="52"/>
      <c r="AB837" s="52"/>
      <c r="AC837" s="52"/>
      <c r="AD837" s="53"/>
      <c r="AE837" s="53"/>
      <c r="AF837" s="53"/>
    </row>
    <row r="838">
      <c r="G838" s="55"/>
      <c r="N838" s="6"/>
      <c r="O838" s="53"/>
      <c r="P838" s="53"/>
      <c r="Q838" s="53"/>
      <c r="R838" s="51"/>
      <c r="S838" s="51"/>
      <c r="T838" s="53"/>
      <c r="U838" s="53"/>
      <c r="V838" s="53"/>
      <c r="W838" s="53"/>
      <c r="X838" s="53"/>
      <c r="Y838" s="53"/>
      <c r="Z838" s="52"/>
      <c r="AA838" s="52"/>
      <c r="AB838" s="52"/>
      <c r="AC838" s="52"/>
      <c r="AD838" s="53"/>
      <c r="AE838" s="53"/>
      <c r="AF838" s="53"/>
    </row>
    <row r="839">
      <c r="G839" s="55"/>
      <c r="N839" s="6"/>
      <c r="O839" s="53"/>
      <c r="P839" s="53"/>
      <c r="Q839" s="53"/>
      <c r="R839" s="51"/>
      <c r="S839" s="51"/>
      <c r="T839" s="53"/>
      <c r="U839" s="53"/>
      <c r="V839" s="53"/>
      <c r="W839" s="53"/>
      <c r="X839" s="53"/>
      <c r="Y839" s="53"/>
      <c r="Z839" s="52"/>
      <c r="AA839" s="52"/>
      <c r="AB839" s="52"/>
      <c r="AC839" s="52"/>
      <c r="AD839" s="53"/>
      <c r="AE839" s="53"/>
      <c r="AF839" s="53"/>
    </row>
    <row r="840">
      <c r="G840" s="55"/>
      <c r="N840" s="6"/>
      <c r="O840" s="53"/>
      <c r="P840" s="53"/>
      <c r="Q840" s="53"/>
      <c r="R840" s="51"/>
      <c r="S840" s="51"/>
      <c r="T840" s="53"/>
      <c r="U840" s="53"/>
      <c r="V840" s="53"/>
      <c r="W840" s="53"/>
      <c r="X840" s="53"/>
      <c r="Y840" s="53"/>
      <c r="Z840" s="52"/>
      <c r="AA840" s="52"/>
      <c r="AB840" s="52"/>
      <c r="AC840" s="52"/>
      <c r="AD840" s="53"/>
      <c r="AE840" s="53"/>
      <c r="AF840" s="53"/>
    </row>
    <row r="841">
      <c r="G841" s="55"/>
      <c r="N841" s="6"/>
      <c r="O841" s="53"/>
      <c r="P841" s="53"/>
      <c r="Q841" s="53"/>
      <c r="R841" s="51"/>
      <c r="S841" s="51"/>
      <c r="T841" s="53"/>
      <c r="U841" s="53"/>
      <c r="V841" s="53"/>
      <c r="W841" s="53"/>
      <c r="X841" s="53"/>
      <c r="Y841" s="53"/>
      <c r="Z841" s="52"/>
      <c r="AA841" s="52"/>
      <c r="AB841" s="52"/>
      <c r="AC841" s="52"/>
      <c r="AD841" s="53"/>
      <c r="AE841" s="53"/>
      <c r="AF841" s="53"/>
    </row>
    <row r="842">
      <c r="G842" s="55"/>
      <c r="N842" s="6"/>
      <c r="O842" s="53"/>
      <c r="P842" s="53"/>
      <c r="Q842" s="53"/>
      <c r="R842" s="51"/>
      <c r="S842" s="51"/>
      <c r="T842" s="53"/>
      <c r="U842" s="53"/>
      <c r="V842" s="53"/>
      <c r="W842" s="53"/>
      <c r="X842" s="53"/>
      <c r="Y842" s="53"/>
      <c r="Z842" s="52"/>
      <c r="AA842" s="52"/>
      <c r="AB842" s="52"/>
      <c r="AC842" s="52"/>
      <c r="AD842" s="53"/>
      <c r="AE842" s="53"/>
      <c r="AF842" s="53"/>
    </row>
    <row r="843">
      <c r="G843" s="55"/>
      <c r="N843" s="6"/>
      <c r="O843" s="53"/>
      <c r="P843" s="53"/>
      <c r="Q843" s="53"/>
      <c r="R843" s="51"/>
      <c r="S843" s="51"/>
      <c r="T843" s="53"/>
      <c r="U843" s="53"/>
      <c r="V843" s="53"/>
      <c r="W843" s="53"/>
      <c r="X843" s="53"/>
      <c r="Y843" s="53"/>
      <c r="Z843" s="52"/>
      <c r="AA843" s="52"/>
      <c r="AB843" s="52"/>
      <c r="AC843" s="52"/>
      <c r="AD843" s="53"/>
      <c r="AE843" s="53"/>
      <c r="AF843" s="53"/>
    </row>
    <row r="844">
      <c r="G844" s="55"/>
      <c r="N844" s="6"/>
      <c r="O844" s="53"/>
      <c r="P844" s="53"/>
      <c r="Q844" s="53"/>
      <c r="R844" s="51"/>
      <c r="S844" s="51"/>
      <c r="T844" s="53"/>
      <c r="U844" s="53"/>
      <c r="V844" s="53"/>
      <c r="W844" s="53"/>
      <c r="X844" s="53"/>
      <c r="Y844" s="53"/>
      <c r="Z844" s="52"/>
      <c r="AA844" s="52"/>
      <c r="AB844" s="52"/>
      <c r="AC844" s="52"/>
      <c r="AD844" s="53"/>
      <c r="AE844" s="53"/>
      <c r="AF844" s="53"/>
    </row>
    <row r="845">
      <c r="G845" s="55"/>
      <c r="N845" s="6"/>
      <c r="O845" s="53"/>
      <c r="P845" s="53"/>
      <c r="Q845" s="53"/>
      <c r="R845" s="51"/>
      <c r="S845" s="51"/>
      <c r="T845" s="53"/>
      <c r="U845" s="53"/>
      <c r="V845" s="53"/>
      <c r="W845" s="53"/>
      <c r="X845" s="53"/>
      <c r="Y845" s="53"/>
      <c r="Z845" s="52"/>
      <c r="AA845" s="52"/>
      <c r="AB845" s="52"/>
      <c r="AC845" s="52"/>
      <c r="AD845" s="53"/>
      <c r="AE845" s="53"/>
      <c r="AF845" s="53"/>
    </row>
    <row r="846">
      <c r="G846" s="55"/>
      <c r="N846" s="6"/>
      <c r="O846" s="53"/>
      <c r="P846" s="53"/>
      <c r="Q846" s="53"/>
      <c r="R846" s="51"/>
      <c r="S846" s="51"/>
      <c r="T846" s="53"/>
      <c r="U846" s="53"/>
      <c r="V846" s="53"/>
      <c r="W846" s="53"/>
      <c r="X846" s="53"/>
      <c r="Y846" s="53"/>
      <c r="Z846" s="52"/>
      <c r="AA846" s="52"/>
      <c r="AB846" s="52"/>
      <c r="AC846" s="52"/>
      <c r="AD846" s="53"/>
      <c r="AE846" s="53"/>
      <c r="AF846" s="53"/>
    </row>
    <row r="847">
      <c r="G847" s="55"/>
      <c r="N847" s="6"/>
      <c r="O847" s="53"/>
      <c r="P847" s="53"/>
      <c r="Q847" s="53"/>
      <c r="R847" s="51"/>
      <c r="S847" s="51"/>
      <c r="T847" s="53"/>
      <c r="U847" s="53"/>
      <c r="V847" s="53"/>
      <c r="W847" s="53"/>
      <c r="X847" s="53"/>
      <c r="Y847" s="53"/>
      <c r="Z847" s="52"/>
      <c r="AA847" s="52"/>
      <c r="AB847" s="52"/>
      <c r="AC847" s="52"/>
      <c r="AD847" s="53"/>
      <c r="AE847" s="53"/>
      <c r="AF847" s="53"/>
    </row>
    <row r="848">
      <c r="G848" s="55"/>
      <c r="N848" s="6"/>
      <c r="O848" s="53"/>
      <c r="P848" s="53"/>
      <c r="Q848" s="53"/>
      <c r="R848" s="51"/>
      <c r="S848" s="51"/>
      <c r="T848" s="53"/>
      <c r="U848" s="53"/>
      <c r="V848" s="53"/>
      <c r="W848" s="53"/>
      <c r="X848" s="53"/>
      <c r="Y848" s="53"/>
      <c r="Z848" s="52"/>
      <c r="AA848" s="52"/>
      <c r="AB848" s="52"/>
      <c r="AC848" s="52"/>
      <c r="AD848" s="53"/>
      <c r="AE848" s="53"/>
      <c r="AF848" s="53"/>
    </row>
    <row r="849">
      <c r="G849" s="55"/>
      <c r="N849" s="6"/>
      <c r="O849" s="53"/>
      <c r="P849" s="53"/>
      <c r="Q849" s="53"/>
      <c r="R849" s="51"/>
      <c r="S849" s="51"/>
      <c r="T849" s="53"/>
      <c r="U849" s="53"/>
      <c r="V849" s="53"/>
      <c r="W849" s="53"/>
      <c r="X849" s="53"/>
      <c r="Y849" s="53"/>
      <c r="Z849" s="52"/>
      <c r="AA849" s="52"/>
      <c r="AB849" s="52"/>
      <c r="AC849" s="52"/>
      <c r="AD849" s="53"/>
      <c r="AE849" s="53"/>
      <c r="AF849" s="53"/>
    </row>
    <row r="850">
      <c r="G850" s="55"/>
      <c r="N850" s="6"/>
      <c r="O850" s="53"/>
      <c r="P850" s="53"/>
      <c r="Q850" s="53"/>
      <c r="R850" s="51"/>
      <c r="S850" s="51"/>
      <c r="T850" s="53"/>
      <c r="U850" s="53"/>
      <c r="V850" s="53"/>
      <c r="W850" s="53"/>
      <c r="X850" s="53"/>
      <c r="Y850" s="53"/>
      <c r="Z850" s="52"/>
      <c r="AA850" s="52"/>
      <c r="AB850" s="52"/>
      <c r="AC850" s="52"/>
      <c r="AD850" s="53"/>
      <c r="AE850" s="53"/>
      <c r="AF850" s="53"/>
    </row>
    <row r="851">
      <c r="G851" s="55"/>
      <c r="N851" s="6"/>
      <c r="O851" s="53"/>
      <c r="P851" s="53"/>
      <c r="Q851" s="53"/>
      <c r="R851" s="51"/>
      <c r="S851" s="51"/>
      <c r="T851" s="53"/>
      <c r="U851" s="53"/>
      <c r="V851" s="53"/>
      <c r="W851" s="53"/>
      <c r="X851" s="53"/>
      <c r="Y851" s="53"/>
      <c r="Z851" s="52"/>
      <c r="AA851" s="52"/>
      <c r="AB851" s="52"/>
      <c r="AC851" s="52"/>
      <c r="AD851" s="53"/>
      <c r="AE851" s="53"/>
      <c r="AF851" s="53"/>
    </row>
    <row r="852">
      <c r="G852" s="55"/>
      <c r="N852" s="6"/>
      <c r="O852" s="53"/>
      <c r="P852" s="53"/>
      <c r="Q852" s="53"/>
      <c r="R852" s="51"/>
      <c r="S852" s="51"/>
      <c r="T852" s="53"/>
      <c r="U852" s="53"/>
      <c r="V852" s="53"/>
      <c r="W852" s="53"/>
      <c r="X852" s="53"/>
      <c r="Y852" s="53"/>
      <c r="Z852" s="52"/>
      <c r="AA852" s="52"/>
      <c r="AB852" s="52"/>
      <c r="AC852" s="52"/>
      <c r="AD852" s="53"/>
      <c r="AE852" s="53"/>
      <c r="AF852" s="53"/>
    </row>
    <row r="853">
      <c r="G853" s="55"/>
      <c r="N853" s="6"/>
      <c r="O853" s="53"/>
      <c r="P853" s="53"/>
      <c r="Q853" s="53"/>
      <c r="R853" s="51"/>
      <c r="S853" s="51"/>
      <c r="T853" s="53"/>
      <c r="U853" s="53"/>
      <c r="V853" s="53"/>
      <c r="W853" s="53"/>
      <c r="X853" s="53"/>
      <c r="Y853" s="53"/>
      <c r="Z853" s="52"/>
      <c r="AA853" s="52"/>
      <c r="AB853" s="52"/>
      <c r="AC853" s="52"/>
      <c r="AD853" s="53"/>
      <c r="AE853" s="53"/>
      <c r="AF853" s="53"/>
    </row>
    <row r="854">
      <c r="G854" s="55"/>
      <c r="N854" s="6"/>
      <c r="O854" s="53"/>
      <c r="P854" s="53"/>
      <c r="Q854" s="53"/>
      <c r="R854" s="51"/>
      <c r="S854" s="51"/>
      <c r="T854" s="53"/>
      <c r="U854" s="53"/>
      <c r="V854" s="53"/>
      <c r="W854" s="53"/>
      <c r="X854" s="53"/>
      <c r="Y854" s="53"/>
      <c r="Z854" s="52"/>
      <c r="AA854" s="52"/>
      <c r="AB854" s="52"/>
      <c r="AC854" s="52"/>
      <c r="AD854" s="53"/>
      <c r="AE854" s="53"/>
      <c r="AF854" s="53"/>
    </row>
    <row r="855">
      <c r="G855" s="55"/>
      <c r="N855" s="6"/>
      <c r="O855" s="53"/>
      <c r="P855" s="53"/>
      <c r="Q855" s="53"/>
      <c r="R855" s="51"/>
      <c r="S855" s="51"/>
      <c r="T855" s="53"/>
      <c r="U855" s="53"/>
      <c r="V855" s="53"/>
      <c r="W855" s="53"/>
      <c r="X855" s="53"/>
      <c r="Y855" s="53"/>
      <c r="Z855" s="52"/>
      <c r="AA855" s="52"/>
      <c r="AB855" s="52"/>
      <c r="AC855" s="52"/>
      <c r="AD855" s="53"/>
      <c r="AE855" s="53"/>
      <c r="AF855" s="53"/>
    </row>
    <row r="856">
      <c r="G856" s="55"/>
      <c r="N856" s="6"/>
      <c r="O856" s="53"/>
      <c r="P856" s="53"/>
      <c r="Q856" s="53"/>
      <c r="R856" s="51"/>
      <c r="S856" s="51"/>
      <c r="T856" s="53"/>
      <c r="U856" s="53"/>
      <c r="V856" s="53"/>
      <c r="W856" s="53"/>
      <c r="X856" s="53"/>
      <c r="Y856" s="53"/>
      <c r="Z856" s="52"/>
      <c r="AA856" s="52"/>
      <c r="AB856" s="52"/>
      <c r="AC856" s="52"/>
      <c r="AD856" s="53"/>
      <c r="AE856" s="53"/>
      <c r="AF856" s="53"/>
    </row>
    <row r="857">
      <c r="G857" s="55"/>
      <c r="N857" s="6"/>
      <c r="O857" s="53"/>
      <c r="P857" s="53"/>
      <c r="Q857" s="53"/>
      <c r="R857" s="51"/>
      <c r="S857" s="51"/>
      <c r="T857" s="53"/>
      <c r="U857" s="53"/>
      <c r="V857" s="53"/>
      <c r="W857" s="53"/>
      <c r="X857" s="53"/>
      <c r="Y857" s="53"/>
      <c r="Z857" s="52"/>
      <c r="AA857" s="52"/>
      <c r="AB857" s="52"/>
      <c r="AC857" s="52"/>
      <c r="AD857" s="53"/>
      <c r="AE857" s="53"/>
      <c r="AF857" s="53"/>
    </row>
    <row r="858">
      <c r="G858" s="55"/>
      <c r="N858" s="6"/>
      <c r="O858" s="53"/>
      <c r="P858" s="53"/>
      <c r="Q858" s="53"/>
      <c r="R858" s="51"/>
      <c r="S858" s="51"/>
      <c r="T858" s="53"/>
      <c r="U858" s="53"/>
      <c r="V858" s="53"/>
      <c r="W858" s="53"/>
      <c r="X858" s="53"/>
      <c r="Y858" s="53"/>
      <c r="Z858" s="52"/>
      <c r="AA858" s="52"/>
      <c r="AB858" s="52"/>
      <c r="AC858" s="52"/>
      <c r="AD858" s="53"/>
      <c r="AE858" s="53"/>
      <c r="AF858" s="53"/>
    </row>
    <row r="859">
      <c r="G859" s="55"/>
      <c r="N859" s="6"/>
      <c r="O859" s="53"/>
      <c r="P859" s="53"/>
      <c r="Q859" s="53"/>
      <c r="R859" s="51"/>
      <c r="S859" s="51"/>
      <c r="T859" s="53"/>
      <c r="U859" s="53"/>
      <c r="V859" s="53"/>
      <c r="W859" s="53"/>
      <c r="X859" s="53"/>
      <c r="Y859" s="53"/>
      <c r="Z859" s="52"/>
      <c r="AA859" s="52"/>
      <c r="AB859" s="52"/>
      <c r="AC859" s="52"/>
      <c r="AD859" s="53"/>
      <c r="AE859" s="53"/>
      <c r="AF859" s="53"/>
    </row>
    <row r="860">
      <c r="G860" s="55"/>
      <c r="N860" s="6"/>
      <c r="O860" s="53"/>
      <c r="P860" s="53"/>
      <c r="Q860" s="53"/>
      <c r="R860" s="51"/>
      <c r="S860" s="51"/>
      <c r="T860" s="53"/>
      <c r="U860" s="53"/>
      <c r="V860" s="53"/>
      <c r="W860" s="53"/>
      <c r="X860" s="53"/>
      <c r="Y860" s="53"/>
      <c r="Z860" s="52"/>
      <c r="AA860" s="52"/>
      <c r="AB860" s="52"/>
      <c r="AC860" s="52"/>
      <c r="AD860" s="53"/>
      <c r="AE860" s="53"/>
      <c r="AF860" s="53"/>
    </row>
    <row r="861">
      <c r="G861" s="55"/>
      <c r="N861" s="6"/>
      <c r="O861" s="53"/>
      <c r="P861" s="53"/>
      <c r="Q861" s="53"/>
      <c r="R861" s="51"/>
      <c r="S861" s="51"/>
      <c r="T861" s="53"/>
      <c r="U861" s="53"/>
      <c r="V861" s="53"/>
      <c r="W861" s="53"/>
      <c r="X861" s="53"/>
      <c r="Y861" s="53"/>
      <c r="Z861" s="52"/>
      <c r="AA861" s="52"/>
      <c r="AB861" s="52"/>
      <c r="AC861" s="52"/>
      <c r="AD861" s="53"/>
      <c r="AE861" s="53"/>
      <c r="AF861" s="53"/>
    </row>
    <row r="862">
      <c r="G862" s="55"/>
      <c r="N862" s="6"/>
      <c r="O862" s="53"/>
      <c r="P862" s="53"/>
      <c r="Q862" s="53"/>
      <c r="R862" s="51"/>
      <c r="S862" s="51"/>
      <c r="T862" s="53"/>
      <c r="U862" s="53"/>
      <c r="V862" s="53"/>
      <c r="W862" s="53"/>
      <c r="X862" s="53"/>
      <c r="Y862" s="53"/>
      <c r="Z862" s="52"/>
      <c r="AA862" s="52"/>
      <c r="AB862" s="52"/>
      <c r="AC862" s="52"/>
      <c r="AD862" s="53"/>
      <c r="AE862" s="53"/>
      <c r="AF862" s="53"/>
    </row>
    <row r="863">
      <c r="G863" s="55"/>
      <c r="N863" s="6"/>
      <c r="O863" s="53"/>
      <c r="P863" s="53"/>
      <c r="Q863" s="53"/>
      <c r="R863" s="51"/>
      <c r="S863" s="51"/>
      <c r="T863" s="53"/>
      <c r="U863" s="53"/>
      <c r="V863" s="53"/>
      <c r="W863" s="53"/>
      <c r="X863" s="53"/>
      <c r="Y863" s="53"/>
      <c r="Z863" s="52"/>
      <c r="AA863" s="52"/>
      <c r="AB863" s="52"/>
      <c r="AC863" s="52"/>
      <c r="AD863" s="53"/>
      <c r="AE863" s="53"/>
      <c r="AF863" s="53"/>
    </row>
    <row r="864">
      <c r="G864" s="55"/>
      <c r="N864" s="6"/>
      <c r="O864" s="53"/>
      <c r="P864" s="53"/>
      <c r="Q864" s="53"/>
      <c r="R864" s="51"/>
      <c r="S864" s="51"/>
      <c r="T864" s="53"/>
      <c r="U864" s="53"/>
      <c r="V864" s="53"/>
      <c r="W864" s="53"/>
      <c r="X864" s="53"/>
      <c r="Y864" s="53"/>
      <c r="Z864" s="52"/>
      <c r="AA864" s="52"/>
      <c r="AB864" s="52"/>
      <c r="AC864" s="52"/>
      <c r="AD864" s="53"/>
      <c r="AE864" s="53"/>
      <c r="AF864" s="53"/>
    </row>
    <row r="865">
      <c r="G865" s="55"/>
      <c r="N865" s="6"/>
      <c r="O865" s="53"/>
      <c r="P865" s="53"/>
      <c r="Q865" s="53"/>
      <c r="R865" s="51"/>
      <c r="S865" s="51"/>
      <c r="T865" s="53"/>
      <c r="U865" s="53"/>
      <c r="V865" s="53"/>
      <c r="W865" s="53"/>
      <c r="X865" s="53"/>
      <c r="Y865" s="53"/>
      <c r="Z865" s="52"/>
      <c r="AA865" s="52"/>
      <c r="AB865" s="52"/>
      <c r="AC865" s="52"/>
      <c r="AD865" s="53"/>
      <c r="AE865" s="53"/>
      <c r="AF865" s="53"/>
    </row>
    <row r="866">
      <c r="G866" s="55"/>
      <c r="N866" s="6"/>
      <c r="O866" s="53"/>
      <c r="P866" s="53"/>
      <c r="Q866" s="53"/>
      <c r="R866" s="51"/>
      <c r="S866" s="51"/>
      <c r="T866" s="53"/>
      <c r="U866" s="53"/>
      <c r="V866" s="53"/>
      <c r="W866" s="53"/>
      <c r="X866" s="53"/>
      <c r="Y866" s="53"/>
      <c r="Z866" s="52"/>
      <c r="AA866" s="52"/>
      <c r="AB866" s="52"/>
      <c r="AC866" s="52"/>
      <c r="AD866" s="53"/>
      <c r="AE866" s="53"/>
      <c r="AF866" s="53"/>
    </row>
    <row r="867">
      <c r="G867" s="55"/>
      <c r="N867" s="6"/>
      <c r="O867" s="53"/>
      <c r="P867" s="53"/>
      <c r="Q867" s="53"/>
      <c r="R867" s="51"/>
      <c r="S867" s="51"/>
      <c r="T867" s="53"/>
      <c r="U867" s="53"/>
      <c r="V867" s="53"/>
      <c r="W867" s="53"/>
      <c r="X867" s="53"/>
      <c r="Y867" s="53"/>
      <c r="Z867" s="52"/>
      <c r="AA867" s="52"/>
      <c r="AB867" s="52"/>
      <c r="AC867" s="52"/>
      <c r="AD867" s="53"/>
      <c r="AE867" s="53"/>
      <c r="AF867" s="53"/>
    </row>
    <row r="868">
      <c r="G868" s="55"/>
      <c r="N868" s="6"/>
      <c r="O868" s="53"/>
      <c r="P868" s="53"/>
      <c r="Q868" s="53"/>
      <c r="R868" s="51"/>
      <c r="S868" s="51"/>
      <c r="T868" s="53"/>
      <c r="U868" s="53"/>
      <c r="V868" s="53"/>
      <c r="W868" s="53"/>
      <c r="X868" s="53"/>
      <c r="Y868" s="53"/>
      <c r="Z868" s="52"/>
      <c r="AA868" s="52"/>
      <c r="AB868" s="52"/>
      <c r="AC868" s="52"/>
      <c r="AD868" s="53"/>
      <c r="AE868" s="53"/>
      <c r="AF868" s="53"/>
    </row>
    <row r="869">
      <c r="G869" s="55"/>
      <c r="N869" s="6"/>
      <c r="O869" s="53"/>
      <c r="P869" s="53"/>
      <c r="Q869" s="53"/>
      <c r="R869" s="51"/>
      <c r="S869" s="51"/>
      <c r="T869" s="53"/>
      <c r="U869" s="53"/>
      <c r="V869" s="53"/>
      <c r="W869" s="53"/>
      <c r="X869" s="53"/>
      <c r="Y869" s="53"/>
      <c r="Z869" s="52"/>
      <c r="AA869" s="52"/>
      <c r="AB869" s="52"/>
      <c r="AC869" s="52"/>
      <c r="AD869" s="53"/>
      <c r="AE869" s="53"/>
      <c r="AF869" s="53"/>
    </row>
    <row r="870">
      <c r="G870" s="55"/>
      <c r="N870" s="6"/>
      <c r="O870" s="53"/>
      <c r="P870" s="53"/>
      <c r="Q870" s="53"/>
      <c r="R870" s="51"/>
      <c r="S870" s="51"/>
      <c r="T870" s="53"/>
      <c r="U870" s="53"/>
      <c r="V870" s="53"/>
      <c r="W870" s="53"/>
      <c r="X870" s="53"/>
      <c r="Y870" s="53"/>
      <c r="Z870" s="52"/>
      <c r="AA870" s="52"/>
      <c r="AB870" s="52"/>
      <c r="AC870" s="52"/>
      <c r="AD870" s="53"/>
      <c r="AE870" s="53"/>
      <c r="AF870" s="53"/>
    </row>
    <row r="871">
      <c r="G871" s="55"/>
      <c r="N871" s="6"/>
      <c r="O871" s="53"/>
      <c r="P871" s="53"/>
      <c r="Q871" s="53"/>
      <c r="R871" s="51"/>
      <c r="S871" s="51"/>
      <c r="T871" s="53"/>
      <c r="U871" s="53"/>
      <c r="V871" s="53"/>
      <c r="W871" s="53"/>
      <c r="X871" s="53"/>
      <c r="Y871" s="53"/>
      <c r="Z871" s="52"/>
      <c r="AA871" s="52"/>
      <c r="AB871" s="52"/>
      <c r="AC871" s="52"/>
      <c r="AD871" s="53"/>
      <c r="AE871" s="53"/>
      <c r="AF871" s="53"/>
    </row>
    <row r="872">
      <c r="G872" s="55"/>
      <c r="N872" s="6"/>
      <c r="O872" s="53"/>
      <c r="P872" s="53"/>
      <c r="Q872" s="53"/>
      <c r="R872" s="51"/>
      <c r="S872" s="51"/>
      <c r="T872" s="53"/>
      <c r="U872" s="53"/>
      <c r="V872" s="53"/>
      <c r="W872" s="53"/>
      <c r="X872" s="53"/>
      <c r="Y872" s="53"/>
      <c r="Z872" s="52"/>
      <c r="AA872" s="52"/>
      <c r="AB872" s="52"/>
      <c r="AC872" s="52"/>
      <c r="AD872" s="53"/>
      <c r="AE872" s="53"/>
      <c r="AF872" s="53"/>
    </row>
    <row r="873">
      <c r="G873" s="55"/>
      <c r="N873" s="6"/>
      <c r="O873" s="53"/>
      <c r="P873" s="53"/>
      <c r="Q873" s="53"/>
      <c r="R873" s="51"/>
      <c r="S873" s="51"/>
      <c r="T873" s="53"/>
      <c r="U873" s="53"/>
      <c r="V873" s="53"/>
      <c r="W873" s="53"/>
      <c r="X873" s="53"/>
      <c r="Y873" s="53"/>
      <c r="Z873" s="52"/>
      <c r="AA873" s="52"/>
      <c r="AB873" s="52"/>
      <c r="AC873" s="52"/>
      <c r="AD873" s="53"/>
      <c r="AE873" s="53"/>
      <c r="AF873" s="53"/>
    </row>
    <row r="874">
      <c r="G874" s="55"/>
      <c r="N874" s="6"/>
      <c r="O874" s="53"/>
      <c r="P874" s="53"/>
      <c r="Q874" s="53"/>
      <c r="R874" s="51"/>
      <c r="S874" s="51"/>
      <c r="T874" s="53"/>
      <c r="U874" s="53"/>
      <c r="V874" s="53"/>
      <c r="W874" s="53"/>
      <c r="X874" s="53"/>
      <c r="Y874" s="53"/>
      <c r="Z874" s="52"/>
      <c r="AA874" s="52"/>
      <c r="AB874" s="52"/>
      <c r="AC874" s="52"/>
      <c r="AD874" s="53"/>
      <c r="AE874" s="53"/>
      <c r="AF874" s="53"/>
    </row>
    <row r="875">
      <c r="G875" s="55"/>
      <c r="N875" s="6"/>
      <c r="O875" s="53"/>
      <c r="P875" s="53"/>
      <c r="Q875" s="53"/>
      <c r="R875" s="51"/>
      <c r="S875" s="51"/>
      <c r="T875" s="53"/>
      <c r="U875" s="53"/>
      <c r="V875" s="53"/>
      <c r="W875" s="53"/>
      <c r="X875" s="53"/>
      <c r="Y875" s="53"/>
      <c r="Z875" s="52"/>
      <c r="AA875" s="52"/>
      <c r="AB875" s="52"/>
      <c r="AC875" s="52"/>
      <c r="AD875" s="53"/>
      <c r="AE875" s="53"/>
      <c r="AF875" s="53"/>
    </row>
    <row r="876">
      <c r="G876" s="55"/>
      <c r="N876" s="6"/>
      <c r="O876" s="53"/>
      <c r="P876" s="53"/>
      <c r="Q876" s="53"/>
      <c r="R876" s="51"/>
      <c r="S876" s="51"/>
      <c r="T876" s="53"/>
      <c r="U876" s="53"/>
      <c r="V876" s="53"/>
      <c r="W876" s="53"/>
      <c r="X876" s="53"/>
      <c r="Y876" s="53"/>
      <c r="Z876" s="52"/>
      <c r="AA876" s="52"/>
      <c r="AB876" s="52"/>
      <c r="AC876" s="52"/>
      <c r="AD876" s="53"/>
      <c r="AE876" s="53"/>
      <c r="AF876" s="53"/>
    </row>
    <row r="877">
      <c r="G877" s="55"/>
      <c r="N877" s="6"/>
      <c r="O877" s="53"/>
      <c r="P877" s="53"/>
      <c r="Q877" s="53"/>
      <c r="R877" s="51"/>
      <c r="S877" s="51"/>
      <c r="T877" s="53"/>
      <c r="U877" s="53"/>
      <c r="V877" s="53"/>
      <c r="W877" s="53"/>
      <c r="X877" s="53"/>
      <c r="Y877" s="53"/>
      <c r="Z877" s="52"/>
      <c r="AA877" s="52"/>
      <c r="AB877" s="52"/>
      <c r="AC877" s="52"/>
      <c r="AD877" s="53"/>
      <c r="AE877" s="53"/>
      <c r="AF877" s="53"/>
    </row>
    <row r="878">
      <c r="G878" s="55"/>
      <c r="N878" s="6"/>
      <c r="O878" s="53"/>
      <c r="P878" s="53"/>
      <c r="Q878" s="53"/>
      <c r="R878" s="51"/>
      <c r="S878" s="51"/>
      <c r="T878" s="53"/>
      <c r="U878" s="53"/>
      <c r="V878" s="53"/>
      <c r="W878" s="53"/>
      <c r="X878" s="53"/>
      <c r="Y878" s="53"/>
      <c r="Z878" s="52"/>
      <c r="AA878" s="52"/>
      <c r="AB878" s="52"/>
      <c r="AC878" s="52"/>
      <c r="AD878" s="53"/>
      <c r="AE878" s="53"/>
      <c r="AF878" s="53"/>
    </row>
    <row r="879">
      <c r="G879" s="55"/>
      <c r="N879" s="6"/>
      <c r="O879" s="53"/>
      <c r="P879" s="53"/>
      <c r="Q879" s="53"/>
      <c r="R879" s="51"/>
      <c r="S879" s="51"/>
      <c r="T879" s="53"/>
      <c r="U879" s="53"/>
      <c r="V879" s="53"/>
      <c r="W879" s="53"/>
      <c r="X879" s="53"/>
      <c r="Y879" s="53"/>
      <c r="Z879" s="52"/>
      <c r="AA879" s="52"/>
      <c r="AB879" s="52"/>
      <c r="AC879" s="52"/>
      <c r="AD879" s="53"/>
      <c r="AE879" s="53"/>
      <c r="AF879" s="53"/>
    </row>
    <row r="880">
      <c r="G880" s="55"/>
      <c r="N880" s="6"/>
      <c r="O880" s="53"/>
      <c r="P880" s="53"/>
      <c r="Q880" s="53"/>
      <c r="R880" s="51"/>
      <c r="S880" s="51"/>
      <c r="T880" s="53"/>
      <c r="U880" s="53"/>
      <c r="V880" s="53"/>
      <c r="W880" s="53"/>
      <c r="X880" s="53"/>
      <c r="Y880" s="53"/>
      <c r="Z880" s="52"/>
      <c r="AA880" s="52"/>
      <c r="AB880" s="52"/>
      <c r="AC880" s="52"/>
      <c r="AD880" s="53"/>
      <c r="AE880" s="53"/>
      <c r="AF880" s="53"/>
    </row>
    <row r="881">
      <c r="G881" s="55"/>
      <c r="N881" s="6"/>
      <c r="O881" s="53"/>
      <c r="P881" s="53"/>
      <c r="Q881" s="53"/>
      <c r="R881" s="51"/>
      <c r="S881" s="51"/>
      <c r="T881" s="53"/>
      <c r="U881" s="53"/>
      <c r="V881" s="53"/>
      <c r="W881" s="53"/>
      <c r="X881" s="53"/>
      <c r="Y881" s="53"/>
      <c r="Z881" s="52"/>
      <c r="AA881" s="52"/>
      <c r="AB881" s="52"/>
      <c r="AC881" s="52"/>
      <c r="AD881" s="53"/>
      <c r="AE881" s="53"/>
      <c r="AF881" s="53"/>
    </row>
    <row r="882">
      <c r="G882" s="55"/>
      <c r="N882" s="6"/>
      <c r="O882" s="53"/>
      <c r="P882" s="53"/>
      <c r="Q882" s="53"/>
      <c r="R882" s="51"/>
      <c r="S882" s="51"/>
      <c r="T882" s="53"/>
      <c r="U882" s="53"/>
      <c r="V882" s="53"/>
      <c r="W882" s="53"/>
      <c r="X882" s="53"/>
      <c r="Y882" s="53"/>
      <c r="Z882" s="52"/>
      <c r="AA882" s="52"/>
      <c r="AB882" s="52"/>
      <c r="AC882" s="52"/>
      <c r="AD882" s="53"/>
      <c r="AE882" s="53"/>
      <c r="AF882" s="53"/>
    </row>
    <row r="883">
      <c r="G883" s="55"/>
      <c r="N883" s="6"/>
      <c r="O883" s="53"/>
      <c r="P883" s="53"/>
      <c r="Q883" s="53"/>
      <c r="R883" s="51"/>
      <c r="S883" s="51"/>
      <c r="T883" s="53"/>
      <c r="U883" s="53"/>
      <c r="V883" s="53"/>
      <c r="W883" s="53"/>
      <c r="X883" s="53"/>
      <c r="Y883" s="53"/>
      <c r="Z883" s="52"/>
      <c r="AA883" s="52"/>
      <c r="AB883" s="52"/>
      <c r="AC883" s="52"/>
      <c r="AD883" s="53"/>
      <c r="AE883" s="53"/>
      <c r="AF883" s="53"/>
    </row>
    <row r="884">
      <c r="G884" s="55"/>
      <c r="N884" s="6"/>
      <c r="O884" s="53"/>
      <c r="P884" s="53"/>
      <c r="Q884" s="53"/>
      <c r="R884" s="51"/>
      <c r="S884" s="51"/>
      <c r="T884" s="53"/>
      <c r="U884" s="53"/>
      <c r="V884" s="53"/>
      <c r="W884" s="53"/>
      <c r="X884" s="53"/>
      <c r="Y884" s="53"/>
      <c r="Z884" s="52"/>
      <c r="AA884" s="52"/>
      <c r="AB884" s="52"/>
      <c r="AC884" s="52"/>
      <c r="AD884" s="53"/>
      <c r="AE884" s="53"/>
      <c r="AF884" s="53"/>
    </row>
    <row r="885">
      <c r="G885" s="55"/>
      <c r="N885" s="6"/>
      <c r="O885" s="53"/>
      <c r="P885" s="53"/>
      <c r="Q885" s="53"/>
      <c r="R885" s="51"/>
      <c r="S885" s="51"/>
      <c r="T885" s="53"/>
      <c r="U885" s="53"/>
      <c r="V885" s="53"/>
      <c r="W885" s="53"/>
      <c r="X885" s="53"/>
      <c r="Y885" s="53"/>
      <c r="Z885" s="52"/>
      <c r="AA885" s="52"/>
      <c r="AB885" s="52"/>
      <c r="AC885" s="52"/>
      <c r="AD885" s="53"/>
      <c r="AE885" s="53"/>
      <c r="AF885" s="53"/>
    </row>
    <row r="886">
      <c r="G886" s="55"/>
      <c r="N886" s="6"/>
      <c r="O886" s="53"/>
      <c r="P886" s="53"/>
      <c r="Q886" s="53"/>
      <c r="R886" s="51"/>
      <c r="S886" s="51"/>
      <c r="T886" s="53"/>
      <c r="U886" s="53"/>
      <c r="V886" s="53"/>
      <c r="W886" s="53"/>
      <c r="X886" s="53"/>
      <c r="Y886" s="53"/>
      <c r="Z886" s="52"/>
      <c r="AA886" s="52"/>
      <c r="AB886" s="52"/>
      <c r="AC886" s="52"/>
      <c r="AD886" s="53"/>
      <c r="AE886" s="53"/>
      <c r="AF886" s="53"/>
    </row>
    <row r="887">
      <c r="G887" s="55"/>
      <c r="N887" s="6"/>
      <c r="O887" s="53"/>
      <c r="P887" s="53"/>
      <c r="Q887" s="53"/>
      <c r="R887" s="51"/>
      <c r="S887" s="51"/>
      <c r="T887" s="53"/>
      <c r="U887" s="53"/>
      <c r="V887" s="53"/>
      <c r="W887" s="53"/>
      <c r="X887" s="53"/>
      <c r="Y887" s="53"/>
      <c r="Z887" s="52"/>
      <c r="AA887" s="52"/>
      <c r="AB887" s="52"/>
      <c r="AC887" s="52"/>
      <c r="AD887" s="53"/>
      <c r="AE887" s="53"/>
      <c r="AF887" s="53"/>
    </row>
    <row r="888">
      <c r="G888" s="55"/>
      <c r="N888" s="6"/>
      <c r="O888" s="53"/>
      <c r="P888" s="53"/>
      <c r="Q888" s="53"/>
      <c r="R888" s="51"/>
      <c r="S888" s="51"/>
      <c r="T888" s="53"/>
      <c r="U888" s="53"/>
      <c r="V888" s="53"/>
      <c r="W888" s="53"/>
      <c r="X888" s="53"/>
      <c r="Y888" s="53"/>
      <c r="Z888" s="52"/>
      <c r="AA888" s="52"/>
      <c r="AB888" s="52"/>
      <c r="AC888" s="52"/>
      <c r="AD888" s="53"/>
      <c r="AE888" s="53"/>
      <c r="AF888" s="53"/>
    </row>
    <row r="889">
      <c r="G889" s="55"/>
      <c r="N889" s="6"/>
      <c r="O889" s="53"/>
      <c r="P889" s="53"/>
      <c r="Q889" s="53"/>
      <c r="R889" s="51"/>
      <c r="S889" s="51"/>
      <c r="T889" s="53"/>
      <c r="U889" s="53"/>
      <c r="V889" s="53"/>
      <c r="W889" s="53"/>
      <c r="X889" s="53"/>
      <c r="Y889" s="53"/>
      <c r="Z889" s="52"/>
      <c r="AA889" s="52"/>
      <c r="AB889" s="52"/>
      <c r="AC889" s="52"/>
      <c r="AD889" s="53"/>
      <c r="AE889" s="53"/>
      <c r="AF889" s="53"/>
    </row>
    <row r="890">
      <c r="G890" s="55"/>
      <c r="N890" s="6"/>
      <c r="O890" s="53"/>
      <c r="P890" s="53"/>
      <c r="Q890" s="53"/>
      <c r="R890" s="51"/>
      <c r="S890" s="51"/>
      <c r="T890" s="53"/>
      <c r="U890" s="53"/>
      <c r="V890" s="53"/>
      <c r="W890" s="53"/>
      <c r="X890" s="53"/>
      <c r="Y890" s="53"/>
      <c r="Z890" s="52"/>
      <c r="AA890" s="52"/>
      <c r="AB890" s="52"/>
      <c r="AC890" s="52"/>
      <c r="AD890" s="53"/>
      <c r="AE890" s="53"/>
      <c r="AF890" s="53"/>
    </row>
    <row r="891">
      <c r="G891" s="55"/>
      <c r="N891" s="6"/>
      <c r="O891" s="53"/>
      <c r="P891" s="53"/>
      <c r="Q891" s="53"/>
      <c r="R891" s="51"/>
      <c r="S891" s="51"/>
      <c r="T891" s="53"/>
      <c r="U891" s="53"/>
      <c r="V891" s="53"/>
      <c r="W891" s="53"/>
      <c r="X891" s="53"/>
      <c r="Y891" s="53"/>
      <c r="Z891" s="52"/>
      <c r="AA891" s="52"/>
      <c r="AB891" s="52"/>
      <c r="AC891" s="52"/>
      <c r="AD891" s="53"/>
      <c r="AE891" s="53"/>
      <c r="AF891" s="53"/>
    </row>
    <row r="892">
      <c r="G892" s="55"/>
      <c r="N892" s="6"/>
      <c r="O892" s="53"/>
      <c r="P892" s="53"/>
      <c r="Q892" s="53"/>
      <c r="R892" s="51"/>
      <c r="S892" s="51"/>
      <c r="T892" s="53"/>
      <c r="U892" s="53"/>
      <c r="V892" s="53"/>
      <c r="W892" s="53"/>
      <c r="X892" s="53"/>
      <c r="Y892" s="53"/>
      <c r="Z892" s="52"/>
      <c r="AA892" s="52"/>
      <c r="AB892" s="52"/>
      <c r="AC892" s="52"/>
      <c r="AD892" s="53"/>
      <c r="AE892" s="53"/>
      <c r="AF892" s="53"/>
    </row>
    <row r="893">
      <c r="G893" s="55"/>
      <c r="N893" s="6"/>
      <c r="O893" s="53"/>
      <c r="P893" s="53"/>
      <c r="Q893" s="53"/>
      <c r="R893" s="51"/>
      <c r="S893" s="51"/>
      <c r="T893" s="53"/>
      <c r="U893" s="53"/>
      <c r="V893" s="53"/>
      <c r="W893" s="53"/>
      <c r="X893" s="53"/>
      <c r="Y893" s="53"/>
      <c r="Z893" s="52"/>
      <c r="AA893" s="52"/>
      <c r="AB893" s="52"/>
      <c r="AC893" s="52"/>
      <c r="AD893" s="53"/>
      <c r="AE893" s="53"/>
      <c r="AF893" s="53"/>
    </row>
    <row r="894">
      <c r="G894" s="55"/>
      <c r="N894" s="6"/>
      <c r="O894" s="53"/>
      <c r="P894" s="53"/>
      <c r="Q894" s="53"/>
      <c r="R894" s="51"/>
      <c r="S894" s="51"/>
      <c r="T894" s="53"/>
      <c r="U894" s="53"/>
      <c r="V894" s="53"/>
      <c r="W894" s="53"/>
      <c r="X894" s="53"/>
      <c r="Y894" s="53"/>
      <c r="Z894" s="52"/>
      <c r="AA894" s="52"/>
      <c r="AB894" s="52"/>
      <c r="AC894" s="52"/>
      <c r="AD894" s="53"/>
      <c r="AE894" s="53"/>
      <c r="AF894" s="53"/>
    </row>
    <row r="895">
      <c r="G895" s="55"/>
      <c r="N895" s="6"/>
      <c r="O895" s="53"/>
      <c r="P895" s="53"/>
      <c r="Q895" s="53"/>
      <c r="R895" s="51"/>
      <c r="S895" s="51"/>
      <c r="T895" s="53"/>
      <c r="U895" s="53"/>
      <c r="V895" s="53"/>
      <c r="W895" s="53"/>
      <c r="X895" s="53"/>
      <c r="Y895" s="53"/>
      <c r="Z895" s="52"/>
      <c r="AA895" s="52"/>
      <c r="AB895" s="52"/>
      <c r="AC895" s="52"/>
      <c r="AD895" s="53"/>
      <c r="AE895" s="53"/>
      <c r="AF895" s="53"/>
    </row>
    <row r="896">
      <c r="G896" s="55"/>
      <c r="N896" s="6"/>
      <c r="O896" s="53"/>
      <c r="P896" s="53"/>
      <c r="Q896" s="53"/>
      <c r="R896" s="51"/>
      <c r="S896" s="51"/>
      <c r="T896" s="53"/>
      <c r="U896" s="53"/>
      <c r="V896" s="53"/>
      <c r="W896" s="53"/>
      <c r="X896" s="53"/>
      <c r="Y896" s="53"/>
      <c r="Z896" s="52"/>
      <c r="AA896" s="52"/>
      <c r="AB896" s="52"/>
      <c r="AC896" s="52"/>
      <c r="AD896" s="53"/>
      <c r="AE896" s="53"/>
      <c r="AF896" s="53"/>
    </row>
    <row r="897">
      <c r="G897" s="55"/>
      <c r="N897" s="6"/>
      <c r="O897" s="53"/>
      <c r="P897" s="53"/>
      <c r="Q897" s="53"/>
      <c r="R897" s="51"/>
      <c r="S897" s="51"/>
      <c r="T897" s="53"/>
      <c r="U897" s="53"/>
      <c r="V897" s="53"/>
      <c r="W897" s="53"/>
      <c r="X897" s="53"/>
      <c r="Y897" s="53"/>
      <c r="Z897" s="52"/>
      <c r="AA897" s="52"/>
      <c r="AB897" s="52"/>
      <c r="AC897" s="52"/>
      <c r="AD897" s="53"/>
      <c r="AE897" s="53"/>
      <c r="AF897" s="53"/>
    </row>
    <row r="898">
      <c r="G898" s="55"/>
      <c r="N898" s="6"/>
      <c r="O898" s="53"/>
      <c r="P898" s="53"/>
      <c r="Q898" s="53"/>
      <c r="R898" s="51"/>
      <c r="S898" s="51"/>
      <c r="T898" s="53"/>
      <c r="U898" s="53"/>
      <c r="V898" s="53"/>
      <c r="W898" s="53"/>
      <c r="X898" s="53"/>
      <c r="Y898" s="53"/>
      <c r="Z898" s="52"/>
      <c r="AA898" s="52"/>
      <c r="AB898" s="52"/>
      <c r="AC898" s="52"/>
      <c r="AD898" s="53"/>
      <c r="AE898" s="53"/>
      <c r="AF898" s="53"/>
    </row>
    <row r="899">
      <c r="G899" s="55"/>
      <c r="N899" s="6"/>
      <c r="O899" s="53"/>
      <c r="P899" s="53"/>
      <c r="Q899" s="53"/>
      <c r="R899" s="51"/>
      <c r="S899" s="51"/>
      <c r="T899" s="53"/>
      <c r="U899" s="53"/>
      <c r="V899" s="53"/>
      <c r="W899" s="53"/>
      <c r="X899" s="53"/>
      <c r="Y899" s="53"/>
      <c r="Z899" s="52"/>
      <c r="AA899" s="52"/>
      <c r="AB899" s="52"/>
      <c r="AC899" s="52"/>
      <c r="AD899" s="53"/>
      <c r="AE899" s="53"/>
      <c r="AF899" s="53"/>
    </row>
    <row r="900">
      <c r="G900" s="55"/>
      <c r="N900" s="6"/>
      <c r="O900" s="53"/>
      <c r="P900" s="53"/>
      <c r="Q900" s="53"/>
      <c r="R900" s="51"/>
      <c r="S900" s="51"/>
      <c r="T900" s="53"/>
      <c r="U900" s="53"/>
      <c r="V900" s="53"/>
      <c r="W900" s="53"/>
      <c r="X900" s="53"/>
      <c r="Y900" s="53"/>
      <c r="Z900" s="52"/>
      <c r="AA900" s="52"/>
      <c r="AB900" s="52"/>
      <c r="AC900" s="52"/>
      <c r="AD900" s="53"/>
      <c r="AE900" s="53"/>
      <c r="AF900" s="53"/>
    </row>
    <row r="901">
      <c r="G901" s="55"/>
      <c r="N901" s="6"/>
      <c r="O901" s="53"/>
      <c r="P901" s="53"/>
      <c r="Q901" s="53"/>
      <c r="R901" s="51"/>
      <c r="S901" s="51"/>
      <c r="T901" s="53"/>
      <c r="U901" s="53"/>
      <c r="V901" s="53"/>
      <c r="W901" s="53"/>
      <c r="X901" s="53"/>
      <c r="Y901" s="53"/>
      <c r="Z901" s="52"/>
      <c r="AA901" s="52"/>
      <c r="AB901" s="52"/>
      <c r="AC901" s="52"/>
      <c r="AD901" s="53"/>
      <c r="AE901" s="53"/>
      <c r="AF901" s="53"/>
    </row>
    <row r="902">
      <c r="G902" s="55"/>
      <c r="N902" s="6"/>
      <c r="O902" s="53"/>
      <c r="P902" s="53"/>
      <c r="Q902" s="53"/>
      <c r="R902" s="51"/>
      <c r="S902" s="51"/>
      <c r="T902" s="53"/>
      <c r="U902" s="53"/>
      <c r="V902" s="53"/>
      <c r="W902" s="53"/>
      <c r="X902" s="53"/>
      <c r="Y902" s="53"/>
      <c r="Z902" s="52"/>
      <c r="AA902" s="52"/>
      <c r="AB902" s="52"/>
      <c r="AC902" s="52"/>
      <c r="AD902" s="53"/>
      <c r="AE902" s="53"/>
      <c r="AF902" s="53"/>
    </row>
    <row r="903">
      <c r="G903" s="55"/>
      <c r="N903" s="6"/>
      <c r="O903" s="53"/>
      <c r="P903" s="53"/>
      <c r="Q903" s="53"/>
      <c r="R903" s="51"/>
      <c r="S903" s="51"/>
      <c r="T903" s="53"/>
      <c r="U903" s="53"/>
      <c r="V903" s="53"/>
      <c r="W903" s="53"/>
      <c r="X903" s="53"/>
      <c r="Y903" s="53"/>
      <c r="Z903" s="52"/>
      <c r="AA903" s="52"/>
      <c r="AB903" s="52"/>
      <c r="AC903" s="52"/>
      <c r="AD903" s="53"/>
      <c r="AE903" s="53"/>
      <c r="AF903" s="53"/>
    </row>
    <row r="904">
      <c r="G904" s="55"/>
      <c r="N904" s="6"/>
      <c r="O904" s="53"/>
      <c r="P904" s="53"/>
      <c r="Q904" s="53"/>
      <c r="R904" s="51"/>
      <c r="S904" s="51"/>
      <c r="T904" s="53"/>
      <c r="U904" s="53"/>
      <c r="V904" s="53"/>
      <c r="W904" s="53"/>
      <c r="X904" s="53"/>
      <c r="Y904" s="53"/>
      <c r="Z904" s="52"/>
      <c r="AA904" s="52"/>
      <c r="AB904" s="52"/>
      <c r="AC904" s="52"/>
      <c r="AD904" s="53"/>
      <c r="AE904" s="53"/>
      <c r="AF904" s="53"/>
    </row>
    <row r="905">
      <c r="G905" s="55"/>
      <c r="N905" s="6"/>
      <c r="O905" s="53"/>
      <c r="P905" s="53"/>
      <c r="Q905" s="53"/>
      <c r="R905" s="51"/>
      <c r="S905" s="51"/>
      <c r="T905" s="53"/>
      <c r="U905" s="53"/>
      <c r="V905" s="53"/>
      <c r="W905" s="53"/>
      <c r="X905" s="53"/>
      <c r="Y905" s="53"/>
      <c r="Z905" s="52"/>
      <c r="AA905" s="52"/>
      <c r="AB905" s="52"/>
      <c r="AC905" s="52"/>
      <c r="AD905" s="53"/>
      <c r="AE905" s="53"/>
      <c r="AF905" s="53"/>
    </row>
    <row r="906">
      <c r="G906" s="55"/>
      <c r="N906" s="6"/>
      <c r="O906" s="53"/>
      <c r="P906" s="53"/>
      <c r="Q906" s="53"/>
      <c r="R906" s="51"/>
      <c r="S906" s="51"/>
      <c r="T906" s="53"/>
      <c r="U906" s="53"/>
      <c r="V906" s="53"/>
      <c r="W906" s="53"/>
      <c r="X906" s="53"/>
      <c r="Y906" s="53"/>
      <c r="Z906" s="52"/>
      <c r="AA906" s="52"/>
      <c r="AB906" s="52"/>
      <c r="AC906" s="52"/>
      <c r="AD906" s="53"/>
      <c r="AE906" s="53"/>
      <c r="AF906" s="53"/>
    </row>
    <row r="907">
      <c r="G907" s="55"/>
      <c r="N907" s="6"/>
      <c r="O907" s="53"/>
      <c r="P907" s="53"/>
      <c r="Q907" s="53"/>
      <c r="R907" s="51"/>
      <c r="S907" s="51"/>
      <c r="T907" s="53"/>
      <c r="U907" s="53"/>
      <c r="V907" s="53"/>
      <c r="W907" s="53"/>
      <c r="X907" s="53"/>
      <c r="Y907" s="53"/>
      <c r="Z907" s="52"/>
      <c r="AA907" s="52"/>
      <c r="AB907" s="52"/>
      <c r="AC907" s="52"/>
      <c r="AD907" s="53"/>
      <c r="AE907" s="53"/>
      <c r="AF907" s="53"/>
    </row>
    <row r="908">
      <c r="G908" s="55"/>
      <c r="N908" s="6"/>
      <c r="O908" s="53"/>
      <c r="P908" s="53"/>
      <c r="Q908" s="53"/>
      <c r="R908" s="51"/>
      <c r="S908" s="51"/>
      <c r="T908" s="53"/>
      <c r="U908" s="53"/>
      <c r="V908" s="53"/>
      <c r="W908" s="53"/>
      <c r="X908" s="53"/>
      <c r="Y908" s="53"/>
      <c r="Z908" s="52"/>
      <c r="AA908" s="52"/>
      <c r="AB908" s="52"/>
      <c r="AC908" s="52"/>
      <c r="AD908" s="53"/>
      <c r="AE908" s="53"/>
      <c r="AF908" s="53"/>
    </row>
    <row r="909">
      <c r="G909" s="55"/>
      <c r="N909" s="6"/>
      <c r="O909" s="53"/>
      <c r="P909" s="53"/>
      <c r="Q909" s="53"/>
      <c r="R909" s="51"/>
      <c r="S909" s="51"/>
      <c r="T909" s="53"/>
      <c r="U909" s="53"/>
      <c r="V909" s="53"/>
      <c r="W909" s="53"/>
      <c r="X909" s="53"/>
      <c r="Y909" s="53"/>
      <c r="Z909" s="52"/>
      <c r="AA909" s="52"/>
      <c r="AB909" s="52"/>
      <c r="AC909" s="52"/>
      <c r="AD909" s="53"/>
      <c r="AE909" s="53"/>
      <c r="AF909" s="53"/>
    </row>
    <row r="910">
      <c r="G910" s="55"/>
      <c r="N910" s="6"/>
      <c r="O910" s="53"/>
      <c r="P910" s="53"/>
      <c r="Q910" s="53"/>
      <c r="R910" s="51"/>
      <c r="S910" s="51"/>
      <c r="T910" s="53"/>
      <c r="U910" s="53"/>
      <c r="V910" s="53"/>
      <c r="W910" s="53"/>
      <c r="X910" s="53"/>
      <c r="Y910" s="53"/>
      <c r="Z910" s="52"/>
      <c r="AA910" s="52"/>
      <c r="AB910" s="52"/>
      <c r="AC910" s="52"/>
      <c r="AD910" s="53"/>
      <c r="AE910" s="53"/>
      <c r="AF910" s="53"/>
    </row>
    <row r="911">
      <c r="G911" s="55"/>
      <c r="N911" s="6"/>
      <c r="O911" s="53"/>
      <c r="P911" s="53"/>
      <c r="Q911" s="53"/>
      <c r="R911" s="51"/>
      <c r="S911" s="51"/>
      <c r="T911" s="53"/>
      <c r="U911" s="53"/>
      <c r="V911" s="53"/>
      <c r="W911" s="53"/>
      <c r="X911" s="53"/>
      <c r="Y911" s="53"/>
      <c r="Z911" s="52"/>
      <c r="AA911" s="52"/>
      <c r="AB911" s="52"/>
      <c r="AC911" s="52"/>
      <c r="AD911" s="53"/>
      <c r="AE911" s="53"/>
      <c r="AF911" s="53"/>
    </row>
    <row r="912">
      <c r="G912" s="55"/>
      <c r="N912" s="6"/>
      <c r="O912" s="53"/>
      <c r="P912" s="53"/>
      <c r="Q912" s="53"/>
      <c r="R912" s="51"/>
      <c r="S912" s="51"/>
      <c r="T912" s="53"/>
      <c r="U912" s="53"/>
      <c r="V912" s="53"/>
      <c r="W912" s="53"/>
      <c r="X912" s="53"/>
      <c r="Y912" s="53"/>
      <c r="Z912" s="52"/>
      <c r="AA912" s="52"/>
      <c r="AB912" s="52"/>
      <c r="AC912" s="52"/>
      <c r="AD912" s="53"/>
      <c r="AE912" s="53"/>
      <c r="AF912" s="53"/>
    </row>
    <row r="913">
      <c r="G913" s="55"/>
      <c r="N913" s="6"/>
      <c r="O913" s="53"/>
      <c r="P913" s="53"/>
      <c r="Q913" s="53"/>
      <c r="R913" s="51"/>
      <c r="S913" s="51"/>
      <c r="T913" s="53"/>
      <c r="U913" s="53"/>
      <c r="V913" s="53"/>
      <c r="W913" s="53"/>
      <c r="X913" s="53"/>
      <c r="Y913" s="53"/>
      <c r="Z913" s="52"/>
      <c r="AA913" s="52"/>
      <c r="AB913" s="52"/>
      <c r="AC913" s="52"/>
      <c r="AD913" s="53"/>
      <c r="AE913" s="53"/>
      <c r="AF913" s="53"/>
    </row>
    <row r="914">
      <c r="G914" s="55"/>
      <c r="N914" s="6"/>
      <c r="O914" s="53"/>
      <c r="P914" s="53"/>
      <c r="Q914" s="53"/>
      <c r="R914" s="51"/>
      <c r="S914" s="51"/>
      <c r="T914" s="53"/>
      <c r="U914" s="53"/>
      <c r="V914" s="53"/>
      <c r="W914" s="53"/>
      <c r="X914" s="53"/>
      <c r="Y914" s="53"/>
      <c r="Z914" s="52"/>
      <c r="AA914" s="52"/>
      <c r="AB914" s="52"/>
      <c r="AC914" s="52"/>
      <c r="AD914" s="53"/>
      <c r="AE914" s="53"/>
      <c r="AF914" s="53"/>
    </row>
    <row r="915">
      <c r="G915" s="55"/>
      <c r="N915" s="6"/>
      <c r="O915" s="53"/>
      <c r="P915" s="53"/>
      <c r="Q915" s="53"/>
      <c r="R915" s="51"/>
      <c r="S915" s="51"/>
      <c r="T915" s="53"/>
      <c r="U915" s="53"/>
      <c r="V915" s="53"/>
      <c r="W915" s="53"/>
      <c r="X915" s="53"/>
      <c r="Y915" s="53"/>
      <c r="Z915" s="52"/>
      <c r="AA915" s="52"/>
      <c r="AB915" s="52"/>
      <c r="AC915" s="52"/>
      <c r="AD915" s="53"/>
      <c r="AE915" s="53"/>
      <c r="AF915" s="53"/>
    </row>
    <row r="916">
      <c r="G916" s="55"/>
      <c r="N916" s="6"/>
      <c r="O916" s="53"/>
      <c r="P916" s="53"/>
      <c r="Q916" s="53"/>
      <c r="R916" s="51"/>
      <c r="S916" s="51"/>
      <c r="T916" s="53"/>
      <c r="U916" s="53"/>
      <c r="V916" s="53"/>
      <c r="W916" s="53"/>
      <c r="X916" s="53"/>
      <c r="Y916" s="53"/>
      <c r="Z916" s="52"/>
      <c r="AA916" s="52"/>
      <c r="AB916" s="52"/>
      <c r="AC916" s="52"/>
      <c r="AD916" s="53"/>
      <c r="AE916" s="53"/>
      <c r="AF916" s="53"/>
    </row>
    <row r="917">
      <c r="G917" s="55"/>
      <c r="N917" s="6"/>
      <c r="O917" s="53"/>
      <c r="P917" s="53"/>
      <c r="Q917" s="53"/>
      <c r="R917" s="51"/>
      <c r="S917" s="51"/>
      <c r="T917" s="53"/>
      <c r="U917" s="53"/>
      <c r="V917" s="53"/>
      <c r="W917" s="53"/>
      <c r="X917" s="53"/>
      <c r="Y917" s="53"/>
      <c r="Z917" s="52"/>
      <c r="AA917" s="52"/>
      <c r="AB917" s="52"/>
      <c r="AC917" s="52"/>
      <c r="AD917" s="53"/>
      <c r="AE917" s="53"/>
      <c r="AF917" s="53"/>
    </row>
    <row r="918">
      <c r="G918" s="55"/>
      <c r="N918" s="6"/>
      <c r="O918" s="53"/>
      <c r="P918" s="53"/>
      <c r="Q918" s="53"/>
      <c r="R918" s="51"/>
      <c r="S918" s="51"/>
      <c r="T918" s="53"/>
      <c r="U918" s="53"/>
      <c r="V918" s="53"/>
      <c r="W918" s="53"/>
      <c r="X918" s="53"/>
      <c r="Y918" s="53"/>
      <c r="Z918" s="52"/>
      <c r="AA918" s="52"/>
      <c r="AB918" s="52"/>
      <c r="AC918" s="52"/>
      <c r="AD918" s="53"/>
      <c r="AE918" s="53"/>
      <c r="AF918" s="53"/>
    </row>
    <row r="919">
      <c r="G919" s="55"/>
      <c r="N919" s="6"/>
      <c r="O919" s="53"/>
      <c r="P919" s="53"/>
      <c r="Q919" s="53"/>
      <c r="R919" s="51"/>
      <c r="S919" s="51"/>
      <c r="T919" s="53"/>
      <c r="U919" s="53"/>
      <c r="V919" s="53"/>
      <c r="W919" s="53"/>
      <c r="X919" s="53"/>
      <c r="Y919" s="53"/>
      <c r="Z919" s="52"/>
      <c r="AA919" s="52"/>
      <c r="AB919" s="52"/>
      <c r="AC919" s="52"/>
      <c r="AD919" s="53"/>
      <c r="AE919" s="53"/>
      <c r="AF919" s="53"/>
    </row>
    <row r="920">
      <c r="G920" s="55"/>
      <c r="N920" s="6"/>
      <c r="O920" s="53"/>
      <c r="P920" s="53"/>
      <c r="Q920" s="53"/>
      <c r="R920" s="51"/>
      <c r="S920" s="51"/>
      <c r="T920" s="53"/>
      <c r="U920" s="53"/>
      <c r="V920" s="53"/>
      <c r="W920" s="53"/>
      <c r="X920" s="53"/>
      <c r="Y920" s="53"/>
      <c r="Z920" s="52"/>
      <c r="AA920" s="52"/>
      <c r="AB920" s="52"/>
      <c r="AC920" s="52"/>
      <c r="AD920" s="53"/>
      <c r="AE920" s="53"/>
      <c r="AF920" s="53"/>
    </row>
    <row r="921">
      <c r="G921" s="55"/>
      <c r="N921" s="6"/>
      <c r="O921" s="53"/>
      <c r="P921" s="53"/>
      <c r="Q921" s="53"/>
      <c r="R921" s="51"/>
      <c r="S921" s="51"/>
      <c r="T921" s="53"/>
      <c r="U921" s="53"/>
      <c r="V921" s="53"/>
      <c r="W921" s="53"/>
      <c r="X921" s="53"/>
      <c r="Y921" s="53"/>
      <c r="Z921" s="52"/>
      <c r="AA921" s="52"/>
      <c r="AB921" s="52"/>
      <c r="AC921" s="52"/>
      <c r="AD921" s="53"/>
      <c r="AE921" s="53"/>
      <c r="AF921" s="53"/>
    </row>
    <row r="922">
      <c r="G922" s="55"/>
      <c r="N922" s="6"/>
      <c r="O922" s="53"/>
      <c r="P922" s="53"/>
      <c r="Q922" s="53"/>
      <c r="R922" s="51"/>
      <c r="S922" s="51"/>
      <c r="T922" s="53"/>
      <c r="U922" s="53"/>
      <c r="V922" s="53"/>
      <c r="W922" s="53"/>
      <c r="X922" s="53"/>
      <c r="Y922" s="53"/>
      <c r="Z922" s="52"/>
      <c r="AA922" s="52"/>
      <c r="AB922" s="52"/>
      <c r="AC922" s="52"/>
      <c r="AD922" s="53"/>
      <c r="AE922" s="53"/>
      <c r="AF922" s="53"/>
    </row>
    <row r="923">
      <c r="G923" s="55"/>
      <c r="N923" s="6"/>
      <c r="O923" s="53"/>
      <c r="P923" s="53"/>
      <c r="Q923" s="53"/>
      <c r="R923" s="51"/>
      <c r="S923" s="51"/>
      <c r="T923" s="53"/>
      <c r="U923" s="53"/>
      <c r="V923" s="53"/>
      <c r="W923" s="53"/>
      <c r="X923" s="53"/>
      <c r="Y923" s="53"/>
      <c r="Z923" s="52"/>
      <c r="AA923" s="52"/>
      <c r="AB923" s="52"/>
      <c r="AC923" s="52"/>
      <c r="AD923" s="53"/>
      <c r="AE923" s="53"/>
      <c r="AF923" s="53"/>
    </row>
    <row r="924">
      <c r="G924" s="55"/>
      <c r="N924" s="6"/>
      <c r="O924" s="53"/>
      <c r="P924" s="53"/>
      <c r="Q924" s="53"/>
      <c r="R924" s="51"/>
      <c r="S924" s="51"/>
      <c r="T924" s="53"/>
      <c r="U924" s="53"/>
      <c r="V924" s="53"/>
      <c r="W924" s="53"/>
      <c r="X924" s="53"/>
      <c r="Y924" s="53"/>
      <c r="Z924" s="52"/>
      <c r="AA924" s="52"/>
      <c r="AB924" s="52"/>
      <c r="AC924" s="52"/>
      <c r="AD924" s="53"/>
      <c r="AE924" s="53"/>
      <c r="AF924" s="53"/>
    </row>
    <row r="925">
      <c r="G925" s="55"/>
      <c r="N925" s="6"/>
      <c r="O925" s="53"/>
      <c r="P925" s="53"/>
      <c r="Q925" s="53"/>
      <c r="R925" s="51"/>
      <c r="S925" s="51"/>
      <c r="T925" s="53"/>
      <c r="U925" s="53"/>
      <c r="V925" s="53"/>
      <c r="W925" s="53"/>
      <c r="X925" s="53"/>
      <c r="Y925" s="53"/>
      <c r="Z925" s="52"/>
      <c r="AA925" s="52"/>
      <c r="AB925" s="52"/>
      <c r="AC925" s="52"/>
      <c r="AD925" s="53"/>
      <c r="AE925" s="53"/>
      <c r="AF925" s="53"/>
    </row>
    <row r="926">
      <c r="G926" s="55"/>
      <c r="N926" s="6"/>
      <c r="O926" s="53"/>
      <c r="P926" s="53"/>
      <c r="Q926" s="53"/>
      <c r="R926" s="51"/>
      <c r="S926" s="51"/>
      <c r="T926" s="53"/>
      <c r="U926" s="53"/>
      <c r="V926" s="53"/>
      <c r="W926" s="53"/>
      <c r="X926" s="53"/>
      <c r="Y926" s="53"/>
      <c r="Z926" s="52"/>
      <c r="AA926" s="52"/>
      <c r="AB926" s="52"/>
      <c r="AC926" s="52"/>
      <c r="AD926" s="53"/>
      <c r="AE926" s="53"/>
      <c r="AF926" s="53"/>
    </row>
    <row r="927">
      <c r="G927" s="55"/>
      <c r="N927" s="6"/>
      <c r="O927" s="53"/>
      <c r="P927" s="53"/>
      <c r="Q927" s="53"/>
      <c r="R927" s="51"/>
      <c r="S927" s="51"/>
      <c r="T927" s="53"/>
      <c r="U927" s="53"/>
      <c r="V927" s="53"/>
      <c r="W927" s="53"/>
      <c r="X927" s="53"/>
      <c r="Y927" s="53"/>
      <c r="Z927" s="52"/>
      <c r="AA927" s="52"/>
      <c r="AB927" s="52"/>
      <c r="AC927" s="52"/>
      <c r="AD927" s="53"/>
      <c r="AE927" s="53"/>
      <c r="AF927" s="53"/>
    </row>
    <row r="928">
      <c r="G928" s="55"/>
      <c r="N928" s="6"/>
      <c r="O928" s="53"/>
      <c r="P928" s="53"/>
      <c r="Q928" s="53"/>
      <c r="R928" s="51"/>
      <c r="S928" s="51"/>
      <c r="T928" s="53"/>
      <c r="U928" s="53"/>
      <c r="V928" s="53"/>
      <c r="W928" s="53"/>
      <c r="X928" s="53"/>
      <c r="Y928" s="53"/>
      <c r="Z928" s="52"/>
      <c r="AA928" s="52"/>
      <c r="AB928" s="52"/>
      <c r="AC928" s="52"/>
      <c r="AD928" s="53"/>
      <c r="AE928" s="53"/>
      <c r="AF928" s="53"/>
    </row>
    <row r="929">
      <c r="G929" s="55"/>
      <c r="N929" s="6"/>
      <c r="O929" s="53"/>
      <c r="P929" s="53"/>
      <c r="Q929" s="53"/>
      <c r="R929" s="51"/>
      <c r="S929" s="51"/>
      <c r="T929" s="53"/>
      <c r="U929" s="53"/>
      <c r="V929" s="53"/>
      <c r="W929" s="53"/>
      <c r="X929" s="53"/>
      <c r="Y929" s="53"/>
      <c r="Z929" s="52"/>
      <c r="AA929" s="52"/>
      <c r="AB929" s="52"/>
      <c r="AC929" s="52"/>
      <c r="AD929" s="53"/>
      <c r="AE929" s="53"/>
      <c r="AF929" s="53"/>
    </row>
    <row r="930">
      <c r="G930" s="55"/>
      <c r="N930" s="6"/>
      <c r="O930" s="53"/>
      <c r="P930" s="53"/>
      <c r="Q930" s="53"/>
      <c r="R930" s="51"/>
      <c r="S930" s="51"/>
      <c r="T930" s="53"/>
      <c r="U930" s="53"/>
      <c r="V930" s="53"/>
      <c r="W930" s="53"/>
      <c r="X930" s="53"/>
      <c r="Y930" s="53"/>
      <c r="Z930" s="52"/>
      <c r="AA930" s="52"/>
      <c r="AB930" s="52"/>
      <c r="AC930" s="52"/>
      <c r="AD930" s="53"/>
      <c r="AE930" s="53"/>
      <c r="AF930" s="53"/>
    </row>
    <row r="931">
      <c r="G931" s="55"/>
      <c r="N931" s="6"/>
      <c r="O931" s="53"/>
      <c r="P931" s="53"/>
      <c r="Q931" s="53"/>
      <c r="R931" s="51"/>
      <c r="S931" s="51"/>
      <c r="T931" s="53"/>
      <c r="U931" s="53"/>
      <c r="V931" s="53"/>
      <c r="W931" s="53"/>
      <c r="X931" s="53"/>
      <c r="Y931" s="53"/>
      <c r="Z931" s="52"/>
      <c r="AA931" s="52"/>
      <c r="AB931" s="52"/>
      <c r="AC931" s="52"/>
      <c r="AD931" s="53"/>
      <c r="AE931" s="53"/>
      <c r="AF931" s="53"/>
    </row>
    <row r="932">
      <c r="G932" s="55"/>
      <c r="N932" s="6"/>
      <c r="O932" s="53"/>
      <c r="P932" s="53"/>
      <c r="Q932" s="53"/>
      <c r="R932" s="51"/>
      <c r="S932" s="51"/>
      <c r="T932" s="53"/>
      <c r="U932" s="53"/>
      <c r="V932" s="53"/>
      <c r="W932" s="53"/>
      <c r="X932" s="53"/>
      <c r="Y932" s="53"/>
      <c r="Z932" s="52"/>
      <c r="AA932" s="52"/>
      <c r="AB932" s="52"/>
      <c r="AC932" s="52"/>
      <c r="AD932" s="53"/>
      <c r="AE932" s="53"/>
      <c r="AF932" s="53"/>
    </row>
    <row r="933">
      <c r="G933" s="55"/>
      <c r="N933" s="6"/>
      <c r="O933" s="53"/>
      <c r="P933" s="53"/>
      <c r="Q933" s="53"/>
      <c r="R933" s="51"/>
      <c r="S933" s="51"/>
      <c r="T933" s="53"/>
      <c r="U933" s="53"/>
      <c r="V933" s="53"/>
      <c r="W933" s="53"/>
      <c r="X933" s="53"/>
      <c r="Y933" s="53"/>
      <c r="Z933" s="52"/>
      <c r="AA933" s="52"/>
      <c r="AB933" s="52"/>
      <c r="AC933" s="52"/>
      <c r="AD933" s="53"/>
      <c r="AE933" s="53"/>
      <c r="AF933" s="53"/>
    </row>
    <row r="934">
      <c r="G934" s="55"/>
      <c r="N934" s="6"/>
      <c r="O934" s="53"/>
      <c r="P934" s="53"/>
      <c r="Q934" s="53"/>
      <c r="R934" s="51"/>
      <c r="S934" s="51"/>
      <c r="T934" s="53"/>
      <c r="U934" s="53"/>
      <c r="V934" s="53"/>
      <c r="W934" s="53"/>
      <c r="X934" s="53"/>
      <c r="Y934" s="53"/>
      <c r="Z934" s="52"/>
      <c r="AA934" s="52"/>
      <c r="AB934" s="52"/>
      <c r="AC934" s="52"/>
      <c r="AD934" s="53"/>
      <c r="AE934" s="53"/>
      <c r="AF934" s="53"/>
    </row>
    <row r="935">
      <c r="G935" s="55"/>
      <c r="N935" s="6"/>
      <c r="O935" s="53"/>
      <c r="P935" s="53"/>
      <c r="Q935" s="53"/>
      <c r="R935" s="51"/>
      <c r="S935" s="51"/>
      <c r="T935" s="53"/>
      <c r="U935" s="53"/>
      <c r="V935" s="53"/>
      <c r="W935" s="53"/>
      <c r="X935" s="53"/>
      <c r="Y935" s="53"/>
      <c r="Z935" s="52"/>
      <c r="AA935" s="52"/>
      <c r="AB935" s="52"/>
      <c r="AC935" s="52"/>
      <c r="AD935" s="53"/>
      <c r="AE935" s="53"/>
      <c r="AF935" s="53"/>
    </row>
    <row r="936">
      <c r="G936" s="55"/>
      <c r="N936" s="6"/>
      <c r="O936" s="53"/>
      <c r="P936" s="53"/>
      <c r="Q936" s="53"/>
      <c r="R936" s="51"/>
      <c r="S936" s="51"/>
      <c r="T936" s="53"/>
      <c r="U936" s="53"/>
      <c r="V936" s="53"/>
      <c r="W936" s="53"/>
      <c r="X936" s="53"/>
      <c r="Y936" s="53"/>
      <c r="Z936" s="52"/>
      <c r="AA936" s="52"/>
      <c r="AB936" s="52"/>
      <c r="AC936" s="52"/>
      <c r="AD936" s="53"/>
      <c r="AE936" s="53"/>
      <c r="AF936" s="53"/>
    </row>
    <row r="937">
      <c r="G937" s="55"/>
      <c r="N937" s="6"/>
      <c r="O937" s="53"/>
      <c r="P937" s="53"/>
      <c r="Q937" s="53"/>
      <c r="R937" s="51"/>
      <c r="S937" s="51"/>
      <c r="T937" s="53"/>
      <c r="U937" s="53"/>
      <c r="V937" s="53"/>
      <c r="W937" s="53"/>
      <c r="X937" s="53"/>
      <c r="Y937" s="53"/>
      <c r="Z937" s="52"/>
      <c r="AA937" s="52"/>
      <c r="AB937" s="52"/>
      <c r="AC937" s="52"/>
      <c r="AD937" s="53"/>
      <c r="AE937" s="53"/>
      <c r="AF937" s="53"/>
    </row>
    <row r="938">
      <c r="G938" s="55"/>
      <c r="N938" s="6"/>
      <c r="O938" s="53"/>
      <c r="P938" s="53"/>
      <c r="Q938" s="53"/>
      <c r="R938" s="51"/>
      <c r="S938" s="51"/>
      <c r="T938" s="53"/>
      <c r="U938" s="53"/>
      <c r="V938" s="53"/>
      <c r="W938" s="53"/>
      <c r="X938" s="53"/>
      <c r="Y938" s="53"/>
      <c r="Z938" s="52"/>
      <c r="AA938" s="52"/>
      <c r="AB938" s="52"/>
      <c r="AC938" s="52"/>
      <c r="AD938" s="53"/>
      <c r="AE938" s="53"/>
      <c r="AF938" s="53"/>
    </row>
    <row r="939">
      <c r="G939" s="55"/>
      <c r="N939" s="6"/>
      <c r="O939" s="53"/>
      <c r="P939" s="53"/>
      <c r="Q939" s="53"/>
      <c r="R939" s="51"/>
      <c r="S939" s="51"/>
      <c r="T939" s="53"/>
      <c r="U939" s="53"/>
      <c r="V939" s="53"/>
      <c r="W939" s="53"/>
      <c r="X939" s="53"/>
      <c r="Y939" s="53"/>
      <c r="Z939" s="52"/>
      <c r="AA939" s="52"/>
      <c r="AB939" s="52"/>
      <c r="AC939" s="52"/>
      <c r="AD939" s="53"/>
      <c r="AE939" s="53"/>
      <c r="AF939" s="53"/>
    </row>
    <row r="940">
      <c r="G940" s="55"/>
      <c r="N940" s="6"/>
      <c r="O940" s="53"/>
      <c r="P940" s="53"/>
      <c r="Q940" s="53"/>
      <c r="R940" s="51"/>
      <c r="S940" s="51"/>
      <c r="T940" s="53"/>
      <c r="U940" s="53"/>
      <c r="V940" s="53"/>
      <c r="W940" s="53"/>
      <c r="X940" s="53"/>
      <c r="Y940" s="53"/>
      <c r="Z940" s="52"/>
      <c r="AA940" s="52"/>
      <c r="AB940" s="52"/>
      <c r="AC940" s="52"/>
      <c r="AD940" s="53"/>
      <c r="AE940" s="53"/>
      <c r="AF940" s="53"/>
    </row>
    <row r="941">
      <c r="G941" s="55"/>
      <c r="N941" s="6"/>
      <c r="O941" s="53"/>
      <c r="P941" s="53"/>
      <c r="Q941" s="53"/>
      <c r="R941" s="51"/>
      <c r="S941" s="51"/>
      <c r="T941" s="53"/>
      <c r="U941" s="53"/>
      <c r="V941" s="53"/>
      <c r="W941" s="53"/>
      <c r="X941" s="53"/>
      <c r="Y941" s="53"/>
      <c r="Z941" s="52"/>
      <c r="AA941" s="52"/>
      <c r="AB941" s="52"/>
      <c r="AC941" s="52"/>
      <c r="AD941" s="53"/>
      <c r="AE941" s="53"/>
      <c r="AF941" s="53"/>
    </row>
    <row r="942">
      <c r="G942" s="55"/>
      <c r="N942" s="6"/>
      <c r="O942" s="53"/>
      <c r="P942" s="53"/>
      <c r="Q942" s="53"/>
      <c r="R942" s="51"/>
      <c r="S942" s="51"/>
      <c r="T942" s="53"/>
      <c r="U942" s="53"/>
      <c r="V942" s="53"/>
      <c r="W942" s="53"/>
      <c r="X942" s="53"/>
      <c r="Y942" s="53"/>
      <c r="Z942" s="52"/>
      <c r="AA942" s="52"/>
      <c r="AB942" s="52"/>
      <c r="AC942" s="52"/>
      <c r="AD942" s="53"/>
      <c r="AE942" s="53"/>
      <c r="AF942" s="53"/>
    </row>
    <row r="943">
      <c r="G943" s="55"/>
      <c r="N943" s="6"/>
      <c r="O943" s="53"/>
      <c r="P943" s="53"/>
      <c r="Q943" s="53"/>
      <c r="R943" s="51"/>
      <c r="S943" s="51"/>
      <c r="T943" s="53"/>
      <c r="U943" s="53"/>
      <c r="V943" s="53"/>
      <c r="W943" s="53"/>
      <c r="X943" s="53"/>
      <c r="Y943" s="53"/>
      <c r="Z943" s="52"/>
      <c r="AA943" s="52"/>
      <c r="AB943" s="52"/>
      <c r="AC943" s="52"/>
      <c r="AD943" s="53"/>
      <c r="AE943" s="53"/>
      <c r="AF943" s="53"/>
    </row>
    <row r="944">
      <c r="G944" s="55"/>
      <c r="N944" s="6"/>
      <c r="O944" s="53"/>
      <c r="P944" s="53"/>
      <c r="Q944" s="53"/>
      <c r="R944" s="51"/>
      <c r="S944" s="51"/>
      <c r="T944" s="53"/>
      <c r="U944" s="53"/>
      <c r="V944" s="53"/>
      <c r="W944" s="53"/>
      <c r="X944" s="53"/>
      <c r="Y944" s="53"/>
      <c r="Z944" s="52"/>
      <c r="AA944" s="52"/>
      <c r="AB944" s="52"/>
      <c r="AC944" s="52"/>
      <c r="AD944" s="53"/>
      <c r="AE944" s="53"/>
      <c r="AF944" s="53"/>
    </row>
    <row r="945">
      <c r="G945" s="55"/>
      <c r="N945" s="6"/>
      <c r="O945" s="53"/>
      <c r="P945" s="53"/>
      <c r="Q945" s="53"/>
      <c r="R945" s="51"/>
      <c r="S945" s="51"/>
      <c r="T945" s="53"/>
      <c r="U945" s="53"/>
      <c r="V945" s="53"/>
      <c r="W945" s="53"/>
      <c r="X945" s="53"/>
      <c r="Y945" s="53"/>
      <c r="Z945" s="52"/>
      <c r="AA945" s="52"/>
      <c r="AB945" s="52"/>
      <c r="AC945" s="52"/>
      <c r="AD945" s="53"/>
      <c r="AE945" s="53"/>
      <c r="AF945" s="53"/>
    </row>
    <row r="946">
      <c r="G946" s="55"/>
      <c r="N946" s="6"/>
      <c r="O946" s="53"/>
      <c r="P946" s="53"/>
      <c r="Q946" s="53"/>
      <c r="R946" s="51"/>
      <c r="S946" s="51"/>
      <c r="T946" s="53"/>
      <c r="U946" s="53"/>
      <c r="V946" s="53"/>
      <c r="W946" s="53"/>
      <c r="X946" s="53"/>
      <c r="Y946" s="53"/>
      <c r="Z946" s="52"/>
      <c r="AA946" s="52"/>
      <c r="AB946" s="52"/>
      <c r="AC946" s="52"/>
      <c r="AD946" s="53"/>
      <c r="AE946" s="53"/>
      <c r="AF946" s="53"/>
    </row>
    <row r="947">
      <c r="G947" s="55"/>
      <c r="N947" s="6"/>
      <c r="O947" s="53"/>
      <c r="P947" s="53"/>
      <c r="Q947" s="53"/>
      <c r="R947" s="51"/>
      <c r="S947" s="51"/>
      <c r="T947" s="53"/>
      <c r="U947" s="53"/>
      <c r="V947" s="53"/>
      <c r="W947" s="53"/>
      <c r="X947" s="53"/>
      <c r="Y947" s="53"/>
      <c r="Z947" s="52"/>
      <c r="AA947" s="52"/>
      <c r="AB947" s="52"/>
      <c r="AC947" s="52"/>
      <c r="AD947" s="53"/>
      <c r="AE947" s="53"/>
      <c r="AF947" s="53"/>
    </row>
    <row r="948">
      <c r="G948" s="55"/>
      <c r="N948" s="6"/>
      <c r="O948" s="53"/>
      <c r="P948" s="53"/>
      <c r="Q948" s="53"/>
      <c r="R948" s="51"/>
      <c r="S948" s="51"/>
      <c r="T948" s="53"/>
      <c r="U948" s="53"/>
      <c r="V948" s="53"/>
      <c r="W948" s="53"/>
      <c r="X948" s="53"/>
      <c r="Y948" s="53"/>
      <c r="Z948" s="52"/>
      <c r="AA948" s="52"/>
      <c r="AB948" s="52"/>
      <c r="AC948" s="52"/>
      <c r="AD948" s="53"/>
      <c r="AE948" s="53"/>
      <c r="AF948" s="53"/>
    </row>
    <row r="949">
      <c r="G949" s="55"/>
      <c r="N949" s="6"/>
      <c r="O949" s="53"/>
      <c r="P949" s="53"/>
      <c r="Q949" s="53"/>
      <c r="R949" s="51"/>
      <c r="S949" s="51"/>
      <c r="T949" s="53"/>
      <c r="U949" s="53"/>
      <c r="V949" s="53"/>
      <c r="W949" s="53"/>
      <c r="X949" s="53"/>
      <c r="Y949" s="53"/>
      <c r="Z949" s="52"/>
      <c r="AA949" s="52"/>
      <c r="AB949" s="52"/>
      <c r="AC949" s="52"/>
      <c r="AD949" s="53"/>
      <c r="AE949" s="53"/>
      <c r="AF949" s="53"/>
    </row>
    <row r="950">
      <c r="G950" s="55"/>
      <c r="N950" s="6"/>
      <c r="O950" s="53"/>
      <c r="P950" s="53"/>
      <c r="Q950" s="53"/>
      <c r="R950" s="51"/>
      <c r="S950" s="51"/>
      <c r="T950" s="53"/>
      <c r="U950" s="53"/>
      <c r="V950" s="53"/>
      <c r="W950" s="53"/>
      <c r="X950" s="53"/>
      <c r="Y950" s="53"/>
      <c r="Z950" s="52"/>
      <c r="AA950" s="52"/>
      <c r="AB950" s="52"/>
      <c r="AC950" s="52"/>
      <c r="AD950" s="53"/>
      <c r="AE950" s="53"/>
      <c r="AF950" s="53"/>
    </row>
    <row r="951">
      <c r="G951" s="55"/>
      <c r="N951" s="6"/>
      <c r="O951" s="53"/>
      <c r="P951" s="53"/>
      <c r="Q951" s="53"/>
      <c r="R951" s="51"/>
      <c r="S951" s="51"/>
      <c r="T951" s="53"/>
      <c r="U951" s="53"/>
      <c r="V951" s="53"/>
      <c r="W951" s="53"/>
      <c r="X951" s="53"/>
      <c r="Y951" s="53"/>
      <c r="Z951" s="52"/>
      <c r="AA951" s="52"/>
      <c r="AB951" s="52"/>
      <c r="AC951" s="52"/>
      <c r="AD951" s="53"/>
      <c r="AE951" s="53"/>
      <c r="AF951" s="53"/>
    </row>
    <row r="952">
      <c r="G952" s="55"/>
      <c r="N952" s="6"/>
      <c r="O952" s="53"/>
      <c r="P952" s="53"/>
      <c r="Q952" s="53"/>
      <c r="R952" s="51"/>
      <c r="S952" s="51"/>
      <c r="T952" s="53"/>
      <c r="U952" s="53"/>
      <c r="V952" s="53"/>
      <c r="W952" s="53"/>
      <c r="X952" s="53"/>
      <c r="Y952" s="53"/>
      <c r="Z952" s="52"/>
      <c r="AA952" s="52"/>
      <c r="AB952" s="52"/>
      <c r="AC952" s="52"/>
      <c r="AD952" s="53"/>
      <c r="AE952" s="53"/>
      <c r="AF952" s="53"/>
    </row>
    <row r="953">
      <c r="G953" s="55"/>
      <c r="N953" s="6"/>
      <c r="O953" s="53"/>
      <c r="P953" s="53"/>
      <c r="Q953" s="53"/>
      <c r="R953" s="51"/>
      <c r="S953" s="51"/>
      <c r="T953" s="53"/>
      <c r="U953" s="53"/>
      <c r="V953" s="53"/>
      <c r="W953" s="53"/>
      <c r="X953" s="53"/>
      <c r="Y953" s="53"/>
      <c r="Z953" s="52"/>
      <c r="AA953" s="52"/>
      <c r="AB953" s="52"/>
      <c r="AC953" s="52"/>
      <c r="AD953" s="53"/>
      <c r="AE953" s="53"/>
      <c r="AF953" s="53"/>
    </row>
    <row r="954">
      <c r="G954" s="55"/>
      <c r="N954" s="6"/>
      <c r="O954" s="53"/>
      <c r="P954" s="53"/>
      <c r="Q954" s="53"/>
      <c r="R954" s="51"/>
      <c r="S954" s="51"/>
      <c r="T954" s="53"/>
      <c r="U954" s="53"/>
      <c r="V954" s="53"/>
      <c r="W954" s="53"/>
      <c r="X954" s="53"/>
      <c r="Y954" s="53"/>
      <c r="Z954" s="52"/>
      <c r="AA954" s="52"/>
      <c r="AB954" s="52"/>
      <c r="AC954" s="52"/>
      <c r="AD954" s="53"/>
      <c r="AE954" s="53"/>
      <c r="AF954" s="53"/>
    </row>
    <row r="955">
      <c r="G955" s="55"/>
      <c r="N955" s="6"/>
      <c r="O955" s="53"/>
      <c r="P955" s="53"/>
      <c r="Q955" s="53"/>
      <c r="R955" s="51"/>
      <c r="S955" s="51"/>
      <c r="T955" s="53"/>
      <c r="U955" s="53"/>
      <c r="V955" s="53"/>
      <c r="W955" s="53"/>
      <c r="X955" s="53"/>
      <c r="Y955" s="53"/>
      <c r="Z955" s="52"/>
      <c r="AA955" s="52"/>
      <c r="AB955" s="52"/>
      <c r="AC955" s="52"/>
      <c r="AD955" s="53"/>
      <c r="AE955" s="53"/>
      <c r="AF955" s="53"/>
    </row>
    <row r="956">
      <c r="G956" s="55"/>
      <c r="N956" s="6"/>
      <c r="O956" s="53"/>
      <c r="P956" s="53"/>
      <c r="Q956" s="53"/>
      <c r="R956" s="51"/>
      <c r="S956" s="51"/>
      <c r="T956" s="53"/>
      <c r="U956" s="53"/>
      <c r="V956" s="53"/>
      <c r="W956" s="53"/>
      <c r="X956" s="53"/>
      <c r="Y956" s="53"/>
      <c r="Z956" s="52"/>
      <c r="AA956" s="52"/>
      <c r="AB956" s="52"/>
      <c r="AC956" s="52"/>
      <c r="AD956" s="53"/>
      <c r="AE956" s="53"/>
      <c r="AF956" s="53"/>
    </row>
    <row r="957">
      <c r="G957" s="55"/>
      <c r="N957" s="6"/>
      <c r="O957" s="53"/>
      <c r="P957" s="53"/>
      <c r="Q957" s="53"/>
      <c r="R957" s="51"/>
      <c r="S957" s="51"/>
      <c r="T957" s="53"/>
      <c r="U957" s="53"/>
      <c r="V957" s="53"/>
      <c r="W957" s="53"/>
      <c r="X957" s="53"/>
      <c r="Y957" s="53"/>
      <c r="Z957" s="52"/>
      <c r="AA957" s="52"/>
      <c r="AB957" s="52"/>
      <c r="AC957" s="52"/>
      <c r="AD957" s="53"/>
      <c r="AE957" s="53"/>
      <c r="AF957" s="53"/>
    </row>
    <row r="958">
      <c r="G958" s="55"/>
      <c r="N958" s="6"/>
      <c r="O958" s="53"/>
      <c r="P958" s="53"/>
      <c r="Q958" s="53"/>
      <c r="R958" s="51"/>
      <c r="S958" s="51"/>
      <c r="T958" s="53"/>
      <c r="U958" s="53"/>
      <c r="V958" s="53"/>
      <c r="W958" s="53"/>
      <c r="X958" s="53"/>
      <c r="Y958" s="53"/>
      <c r="Z958" s="52"/>
      <c r="AA958" s="52"/>
      <c r="AB958" s="52"/>
      <c r="AC958" s="52"/>
      <c r="AD958" s="53"/>
      <c r="AE958" s="53"/>
      <c r="AF958" s="53"/>
    </row>
    <row r="959">
      <c r="G959" s="55"/>
      <c r="N959" s="6"/>
      <c r="O959" s="53"/>
      <c r="P959" s="53"/>
      <c r="Q959" s="53"/>
      <c r="R959" s="51"/>
      <c r="S959" s="51"/>
      <c r="T959" s="53"/>
      <c r="U959" s="53"/>
      <c r="V959" s="53"/>
      <c r="W959" s="53"/>
      <c r="X959" s="53"/>
      <c r="Y959" s="53"/>
      <c r="Z959" s="52"/>
      <c r="AA959" s="52"/>
      <c r="AB959" s="52"/>
      <c r="AC959" s="52"/>
      <c r="AD959" s="53"/>
      <c r="AE959" s="53"/>
      <c r="AF959" s="53"/>
    </row>
    <row r="960">
      <c r="G960" s="55"/>
      <c r="N960" s="6"/>
      <c r="O960" s="53"/>
      <c r="P960" s="53"/>
      <c r="Q960" s="53"/>
      <c r="R960" s="51"/>
      <c r="S960" s="51"/>
      <c r="T960" s="53"/>
      <c r="U960" s="53"/>
      <c r="V960" s="53"/>
      <c r="W960" s="53"/>
      <c r="X960" s="53"/>
      <c r="Y960" s="53"/>
      <c r="Z960" s="52"/>
      <c r="AA960" s="52"/>
      <c r="AB960" s="52"/>
      <c r="AC960" s="52"/>
      <c r="AD960" s="53"/>
      <c r="AE960" s="53"/>
      <c r="AF960" s="53"/>
    </row>
    <row r="961">
      <c r="G961" s="55"/>
      <c r="N961" s="6"/>
      <c r="O961" s="53"/>
      <c r="P961" s="53"/>
      <c r="Q961" s="53"/>
      <c r="R961" s="51"/>
      <c r="S961" s="51"/>
      <c r="T961" s="53"/>
      <c r="U961" s="53"/>
      <c r="V961" s="53"/>
      <c r="W961" s="53"/>
      <c r="X961" s="53"/>
      <c r="Y961" s="53"/>
      <c r="Z961" s="52"/>
      <c r="AA961" s="52"/>
      <c r="AB961" s="52"/>
      <c r="AC961" s="52"/>
      <c r="AD961" s="53"/>
      <c r="AE961" s="53"/>
      <c r="AF961" s="53"/>
    </row>
    <row r="962">
      <c r="G962" s="55"/>
      <c r="N962" s="6"/>
      <c r="O962" s="53"/>
      <c r="P962" s="53"/>
      <c r="Q962" s="53"/>
      <c r="R962" s="51"/>
      <c r="S962" s="51"/>
      <c r="T962" s="53"/>
      <c r="U962" s="53"/>
      <c r="V962" s="53"/>
      <c r="W962" s="53"/>
      <c r="X962" s="53"/>
      <c r="Y962" s="53"/>
      <c r="Z962" s="52"/>
      <c r="AA962" s="52"/>
      <c r="AB962" s="52"/>
      <c r="AC962" s="52"/>
      <c r="AD962" s="53"/>
      <c r="AE962" s="53"/>
      <c r="AF962" s="53"/>
    </row>
    <row r="963">
      <c r="G963" s="55"/>
      <c r="N963" s="6"/>
      <c r="O963" s="53"/>
      <c r="P963" s="53"/>
      <c r="Q963" s="53"/>
      <c r="R963" s="51"/>
      <c r="S963" s="51"/>
      <c r="T963" s="53"/>
      <c r="U963" s="53"/>
      <c r="V963" s="53"/>
      <c r="W963" s="53"/>
      <c r="X963" s="53"/>
      <c r="Y963" s="53"/>
      <c r="Z963" s="52"/>
      <c r="AA963" s="52"/>
      <c r="AB963" s="52"/>
      <c r="AC963" s="52"/>
      <c r="AD963" s="53"/>
      <c r="AE963" s="53"/>
      <c r="AF963" s="53"/>
    </row>
    <row r="964">
      <c r="G964" s="55"/>
      <c r="N964" s="6"/>
      <c r="O964" s="53"/>
      <c r="P964" s="53"/>
      <c r="Q964" s="53"/>
      <c r="R964" s="51"/>
      <c r="S964" s="51"/>
      <c r="T964" s="53"/>
      <c r="U964" s="53"/>
      <c r="V964" s="53"/>
      <c r="W964" s="53"/>
      <c r="X964" s="53"/>
      <c r="Y964" s="53"/>
      <c r="Z964" s="52"/>
      <c r="AA964" s="52"/>
      <c r="AB964" s="52"/>
      <c r="AC964" s="52"/>
      <c r="AD964" s="53"/>
      <c r="AE964" s="53"/>
      <c r="AF964" s="53"/>
    </row>
    <row r="965">
      <c r="G965" s="55"/>
      <c r="N965" s="6"/>
      <c r="O965" s="53"/>
      <c r="P965" s="53"/>
      <c r="Q965" s="53"/>
      <c r="R965" s="51"/>
      <c r="S965" s="51"/>
      <c r="T965" s="53"/>
      <c r="U965" s="53"/>
      <c r="V965" s="53"/>
      <c r="W965" s="53"/>
      <c r="X965" s="53"/>
      <c r="Y965" s="53"/>
      <c r="Z965" s="52"/>
      <c r="AA965" s="52"/>
      <c r="AB965" s="52"/>
      <c r="AC965" s="52"/>
      <c r="AD965" s="53"/>
      <c r="AE965" s="53"/>
      <c r="AF965" s="53"/>
    </row>
    <row r="966">
      <c r="G966" s="55"/>
      <c r="N966" s="6"/>
      <c r="O966" s="53"/>
      <c r="P966" s="53"/>
      <c r="Q966" s="53"/>
      <c r="R966" s="51"/>
      <c r="S966" s="51"/>
      <c r="T966" s="53"/>
      <c r="U966" s="53"/>
      <c r="V966" s="53"/>
      <c r="W966" s="53"/>
      <c r="X966" s="53"/>
      <c r="Y966" s="53"/>
      <c r="Z966" s="52"/>
      <c r="AA966" s="52"/>
      <c r="AB966" s="52"/>
      <c r="AC966" s="52"/>
      <c r="AD966" s="53"/>
      <c r="AE966" s="53"/>
      <c r="AF966" s="53"/>
    </row>
    <row r="967">
      <c r="G967" s="55"/>
      <c r="N967" s="6"/>
      <c r="O967" s="53"/>
      <c r="P967" s="53"/>
      <c r="Q967" s="53"/>
      <c r="R967" s="51"/>
      <c r="S967" s="51"/>
      <c r="T967" s="53"/>
      <c r="U967" s="53"/>
      <c r="V967" s="53"/>
      <c r="W967" s="53"/>
      <c r="X967" s="53"/>
      <c r="Y967" s="53"/>
      <c r="Z967" s="52"/>
      <c r="AA967" s="52"/>
      <c r="AB967" s="52"/>
      <c r="AC967" s="52"/>
      <c r="AD967" s="53"/>
      <c r="AE967" s="53"/>
      <c r="AF967" s="53"/>
    </row>
    <row r="968">
      <c r="G968" s="55"/>
      <c r="N968" s="6"/>
      <c r="O968" s="53"/>
      <c r="P968" s="53"/>
      <c r="Q968" s="53"/>
      <c r="R968" s="51"/>
      <c r="S968" s="51"/>
      <c r="T968" s="53"/>
      <c r="U968" s="53"/>
      <c r="V968" s="53"/>
      <c r="W968" s="53"/>
      <c r="X968" s="53"/>
      <c r="Y968" s="53"/>
      <c r="Z968" s="52"/>
      <c r="AA968" s="52"/>
      <c r="AB968" s="52"/>
      <c r="AC968" s="52"/>
      <c r="AD968" s="53"/>
      <c r="AE968" s="53"/>
      <c r="AF968" s="53"/>
    </row>
    <row r="969">
      <c r="G969" s="55"/>
      <c r="N969" s="6"/>
      <c r="O969" s="53"/>
      <c r="P969" s="53"/>
      <c r="Q969" s="53"/>
      <c r="R969" s="51"/>
      <c r="S969" s="51"/>
      <c r="T969" s="53"/>
      <c r="U969" s="53"/>
      <c r="V969" s="53"/>
      <c r="W969" s="53"/>
      <c r="X969" s="53"/>
      <c r="Y969" s="53"/>
      <c r="Z969" s="52"/>
      <c r="AA969" s="52"/>
      <c r="AB969" s="52"/>
      <c r="AC969" s="52"/>
      <c r="AD969" s="53"/>
      <c r="AE969" s="53"/>
      <c r="AF969" s="53"/>
    </row>
    <row r="970">
      <c r="G970" s="55"/>
      <c r="N970" s="6"/>
      <c r="O970" s="53"/>
      <c r="P970" s="53"/>
      <c r="Q970" s="53"/>
      <c r="R970" s="51"/>
      <c r="S970" s="51"/>
      <c r="T970" s="53"/>
      <c r="U970" s="53"/>
      <c r="V970" s="53"/>
      <c r="W970" s="53"/>
      <c r="X970" s="53"/>
      <c r="Y970" s="53"/>
      <c r="Z970" s="52"/>
      <c r="AA970" s="52"/>
      <c r="AB970" s="52"/>
      <c r="AC970" s="52"/>
      <c r="AD970" s="53"/>
      <c r="AE970" s="53"/>
      <c r="AF970" s="53"/>
    </row>
    <row r="971">
      <c r="G971" s="55"/>
      <c r="N971" s="6"/>
      <c r="O971" s="53"/>
      <c r="P971" s="53"/>
      <c r="Q971" s="53"/>
      <c r="R971" s="51"/>
      <c r="S971" s="51"/>
      <c r="T971" s="53"/>
      <c r="U971" s="53"/>
      <c r="V971" s="53"/>
      <c r="W971" s="53"/>
      <c r="X971" s="53"/>
      <c r="Y971" s="53"/>
      <c r="Z971" s="52"/>
      <c r="AA971" s="52"/>
      <c r="AB971" s="52"/>
      <c r="AC971" s="52"/>
      <c r="AD971" s="53"/>
      <c r="AE971" s="53"/>
      <c r="AF971" s="53"/>
    </row>
    <row r="972">
      <c r="G972" s="55"/>
      <c r="N972" s="6"/>
      <c r="O972" s="53"/>
      <c r="P972" s="53"/>
      <c r="Q972" s="53"/>
      <c r="R972" s="51"/>
      <c r="S972" s="51"/>
      <c r="T972" s="53"/>
      <c r="U972" s="53"/>
      <c r="V972" s="53"/>
      <c r="W972" s="53"/>
      <c r="X972" s="53"/>
      <c r="Y972" s="53"/>
      <c r="Z972" s="52"/>
      <c r="AA972" s="52"/>
      <c r="AB972" s="52"/>
      <c r="AC972" s="52"/>
      <c r="AD972" s="53"/>
      <c r="AE972" s="53"/>
      <c r="AF972" s="53"/>
    </row>
    <row r="973">
      <c r="G973" s="55"/>
      <c r="N973" s="6"/>
      <c r="O973" s="53"/>
      <c r="P973" s="53"/>
      <c r="Q973" s="53"/>
      <c r="R973" s="51"/>
      <c r="S973" s="51"/>
      <c r="T973" s="53"/>
      <c r="U973" s="53"/>
      <c r="V973" s="53"/>
      <c r="W973" s="53"/>
      <c r="X973" s="53"/>
      <c r="Y973" s="53"/>
      <c r="Z973" s="52"/>
      <c r="AA973" s="52"/>
      <c r="AB973" s="52"/>
      <c r="AC973" s="52"/>
      <c r="AD973" s="53"/>
      <c r="AE973" s="53"/>
      <c r="AF973" s="53"/>
    </row>
    <row r="974">
      <c r="G974" s="55"/>
      <c r="N974" s="6"/>
      <c r="O974" s="53"/>
      <c r="P974" s="53"/>
      <c r="Q974" s="53"/>
      <c r="R974" s="51"/>
      <c r="S974" s="51"/>
      <c r="T974" s="53"/>
      <c r="U974" s="53"/>
      <c r="V974" s="53"/>
      <c r="W974" s="53"/>
      <c r="X974" s="53"/>
      <c r="Y974" s="53"/>
      <c r="Z974" s="52"/>
      <c r="AA974" s="52"/>
      <c r="AB974" s="52"/>
      <c r="AC974" s="52"/>
      <c r="AD974" s="53"/>
      <c r="AE974" s="53"/>
      <c r="AF974" s="53"/>
    </row>
    <row r="975">
      <c r="G975" s="55"/>
      <c r="N975" s="6"/>
      <c r="O975" s="53"/>
      <c r="P975" s="53"/>
      <c r="Q975" s="53"/>
      <c r="R975" s="51"/>
      <c r="S975" s="51"/>
      <c r="T975" s="53"/>
      <c r="U975" s="53"/>
      <c r="V975" s="53"/>
      <c r="W975" s="53"/>
      <c r="X975" s="53"/>
      <c r="Y975" s="53"/>
      <c r="Z975" s="52"/>
      <c r="AA975" s="52"/>
      <c r="AB975" s="52"/>
      <c r="AC975" s="52"/>
      <c r="AD975" s="53"/>
      <c r="AE975" s="53"/>
      <c r="AF975" s="53"/>
    </row>
    <row r="976">
      <c r="G976" s="55"/>
      <c r="N976" s="6"/>
      <c r="O976" s="53"/>
      <c r="P976" s="53"/>
      <c r="Q976" s="53"/>
      <c r="R976" s="51"/>
      <c r="S976" s="51"/>
      <c r="T976" s="53"/>
      <c r="U976" s="53"/>
      <c r="V976" s="53"/>
      <c r="W976" s="53"/>
      <c r="X976" s="53"/>
      <c r="Y976" s="53"/>
      <c r="Z976" s="52"/>
      <c r="AA976" s="52"/>
      <c r="AB976" s="52"/>
      <c r="AC976" s="52"/>
      <c r="AD976" s="53"/>
      <c r="AE976" s="53"/>
      <c r="AF976" s="53"/>
    </row>
    <row r="977">
      <c r="G977" s="55"/>
      <c r="N977" s="6"/>
      <c r="O977" s="53"/>
      <c r="P977" s="53"/>
      <c r="Q977" s="53"/>
      <c r="R977" s="51"/>
      <c r="S977" s="51"/>
      <c r="T977" s="53"/>
      <c r="U977" s="53"/>
      <c r="V977" s="53"/>
      <c r="W977" s="53"/>
      <c r="X977" s="53"/>
      <c r="Y977" s="53"/>
      <c r="Z977" s="52"/>
      <c r="AA977" s="52"/>
      <c r="AB977" s="52"/>
      <c r="AC977" s="52"/>
      <c r="AD977" s="53"/>
      <c r="AE977" s="53"/>
      <c r="AF977" s="53"/>
    </row>
    <row r="978">
      <c r="G978" s="55"/>
      <c r="N978" s="6"/>
      <c r="O978" s="53"/>
      <c r="P978" s="53"/>
      <c r="Q978" s="53"/>
      <c r="R978" s="51"/>
      <c r="S978" s="51"/>
      <c r="T978" s="53"/>
      <c r="U978" s="53"/>
      <c r="V978" s="53"/>
      <c r="W978" s="53"/>
      <c r="X978" s="53"/>
      <c r="Y978" s="53"/>
      <c r="Z978" s="52"/>
      <c r="AA978" s="52"/>
      <c r="AB978" s="52"/>
      <c r="AC978" s="52"/>
      <c r="AD978" s="53"/>
      <c r="AE978" s="53"/>
      <c r="AF978" s="53"/>
    </row>
    <row r="979">
      <c r="G979" s="55"/>
      <c r="N979" s="6"/>
      <c r="O979" s="53"/>
      <c r="P979" s="53"/>
      <c r="Q979" s="53"/>
      <c r="R979" s="51"/>
      <c r="S979" s="51"/>
      <c r="T979" s="53"/>
      <c r="U979" s="53"/>
      <c r="V979" s="53"/>
      <c r="W979" s="53"/>
      <c r="X979" s="53"/>
      <c r="Y979" s="53"/>
      <c r="Z979" s="52"/>
      <c r="AA979" s="52"/>
      <c r="AB979" s="52"/>
      <c r="AC979" s="52"/>
      <c r="AD979" s="53"/>
      <c r="AE979" s="53"/>
      <c r="AF979" s="53"/>
    </row>
    <row r="980">
      <c r="G980" s="55"/>
      <c r="N980" s="6"/>
      <c r="O980" s="53"/>
      <c r="P980" s="53"/>
      <c r="Q980" s="53"/>
      <c r="R980" s="51"/>
      <c r="S980" s="51"/>
      <c r="T980" s="53"/>
      <c r="U980" s="53"/>
      <c r="V980" s="53"/>
      <c r="W980" s="53"/>
      <c r="X980" s="53"/>
      <c r="Y980" s="53"/>
      <c r="Z980" s="52"/>
      <c r="AA980" s="52"/>
      <c r="AB980" s="52"/>
      <c r="AC980" s="52"/>
      <c r="AD980" s="53"/>
      <c r="AE980" s="53"/>
      <c r="AF980" s="53"/>
    </row>
    <row r="981">
      <c r="G981" s="55"/>
      <c r="N981" s="6"/>
      <c r="O981" s="53"/>
      <c r="P981" s="53"/>
      <c r="Q981" s="53"/>
      <c r="R981" s="51"/>
      <c r="S981" s="51"/>
      <c r="T981" s="53"/>
      <c r="U981" s="53"/>
      <c r="V981" s="53"/>
      <c r="W981" s="53"/>
      <c r="X981" s="53"/>
      <c r="Y981" s="53"/>
      <c r="Z981" s="52"/>
      <c r="AA981" s="52"/>
      <c r="AB981" s="52"/>
      <c r="AC981" s="52"/>
      <c r="AD981" s="53"/>
      <c r="AE981" s="53"/>
      <c r="AF981" s="53"/>
    </row>
    <row r="982">
      <c r="G982" s="55"/>
      <c r="N982" s="6"/>
      <c r="O982" s="53"/>
      <c r="P982" s="53"/>
      <c r="Q982" s="53"/>
      <c r="R982" s="51"/>
      <c r="S982" s="51"/>
      <c r="T982" s="53"/>
      <c r="U982" s="53"/>
      <c r="V982" s="53"/>
      <c r="W982" s="53"/>
      <c r="X982" s="53"/>
      <c r="Y982" s="53"/>
      <c r="Z982" s="52"/>
      <c r="AA982" s="52"/>
      <c r="AB982" s="52"/>
      <c r="AC982" s="52"/>
      <c r="AD982" s="53"/>
      <c r="AE982" s="53"/>
      <c r="AF982" s="53"/>
    </row>
    <row r="983">
      <c r="G983" s="55"/>
      <c r="N983" s="6"/>
      <c r="O983" s="53"/>
      <c r="P983" s="53"/>
      <c r="Q983" s="53"/>
      <c r="R983" s="51"/>
      <c r="S983" s="51"/>
      <c r="T983" s="53"/>
      <c r="U983" s="53"/>
      <c r="V983" s="53"/>
      <c r="W983" s="53"/>
      <c r="X983" s="53"/>
      <c r="Y983" s="53"/>
      <c r="Z983" s="52"/>
      <c r="AA983" s="52"/>
      <c r="AB983" s="52"/>
      <c r="AC983" s="52"/>
      <c r="AD983" s="53"/>
      <c r="AE983" s="53"/>
      <c r="AF983" s="53"/>
    </row>
    <row r="984">
      <c r="G984" s="55"/>
      <c r="N984" s="6"/>
      <c r="O984" s="53"/>
      <c r="P984" s="53"/>
      <c r="Q984" s="53"/>
      <c r="R984" s="51"/>
      <c r="S984" s="51"/>
      <c r="T984" s="53"/>
      <c r="U984" s="53"/>
      <c r="V984" s="53"/>
      <c r="W984" s="53"/>
      <c r="X984" s="53"/>
      <c r="Y984" s="53"/>
      <c r="Z984" s="52"/>
      <c r="AA984" s="52"/>
      <c r="AB984" s="52"/>
      <c r="AC984" s="52"/>
      <c r="AD984" s="53"/>
      <c r="AE984" s="53"/>
      <c r="AF984" s="53"/>
    </row>
    <row r="985">
      <c r="G985" s="55"/>
      <c r="N985" s="6"/>
      <c r="O985" s="53"/>
      <c r="P985" s="53"/>
      <c r="Q985" s="53"/>
      <c r="R985" s="51"/>
      <c r="S985" s="51"/>
      <c r="T985" s="53"/>
      <c r="U985" s="53"/>
      <c r="V985" s="53"/>
      <c r="W985" s="53"/>
      <c r="X985" s="53"/>
      <c r="Y985" s="53"/>
      <c r="Z985" s="52"/>
      <c r="AA985" s="52"/>
      <c r="AB985" s="52"/>
      <c r="AC985" s="52"/>
      <c r="AD985" s="53"/>
      <c r="AE985" s="53"/>
      <c r="AF985" s="53"/>
    </row>
    <row r="986">
      <c r="G986" s="55"/>
      <c r="N986" s="6"/>
      <c r="O986" s="53"/>
      <c r="P986" s="53"/>
      <c r="Q986" s="53"/>
      <c r="R986" s="51"/>
      <c r="S986" s="51"/>
      <c r="T986" s="53"/>
      <c r="U986" s="53"/>
      <c r="V986" s="53"/>
      <c r="W986" s="53"/>
      <c r="X986" s="53"/>
      <c r="Y986" s="53"/>
      <c r="Z986" s="52"/>
      <c r="AA986" s="52"/>
      <c r="AB986" s="52"/>
      <c r="AC986" s="52"/>
      <c r="AD986" s="53"/>
      <c r="AE986" s="53"/>
      <c r="AF986" s="53"/>
    </row>
    <row r="987">
      <c r="G987" s="55"/>
      <c r="N987" s="6"/>
      <c r="O987" s="53"/>
      <c r="P987" s="53"/>
      <c r="Q987" s="53"/>
      <c r="R987" s="51"/>
      <c r="S987" s="51"/>
      <c r="T987" s="53"/>
      <c r="U987" s="53"/>
      <c r="V987" s="53"/>
      <c r="W987" s="53"/>
      <c r="X987" s="53"/>
      <c r="Y987" s="53"/>
      <c r="Z987" s="52"/>
      <c r="AA987" s="52"/>
      <c r="AB987" s="52"/>
      <c r="AC987" s="52"/>
      <c r="AD987" s="53"/>
      <c r="AE987" s="53"/>
      <c r="AF987" s="53"/>
    </row>
    <row r="988">
      <c r="G988" s="55"/>
      <c r="N988" s="6"/>
      <c r="O988" s="53"/>
      <c r="P988" s="53"/>
      <c r="Q988" s="53"/>
      <c r="R988" s="51"/>
      <c r="S988" s="51"/>
      <c r="T988" s="53"/>
      <c r="U988" s="53"/>
      <c r="V988" s="53"/>
      <c r="W988" s="53"/>
      <c r="X988" s="53"/>
      <c r="Y988" s="53"/>
      <c r="Z988" s="52"/>
      <c r="AA988" s="52"/>
      <c r="AB988" s="52"/>
      <c r="AC988" s="52"/>
      <c r="AD988" s="53"/>
      <c r="AE988" s="53"/>
      <c r="AF988" s="53"/>
    </row>
    <row r="989">
      <c r="G989" s="55"/>
      <c r="N989" s="6"/>
      <c r="O989" s="53"/>
      <c r="P989" s="53"/>
      <c r="Q989" s="53"/>
      <c r="R989" s="51"/>
      <c r="S989" s="51"/>
      <c r="T989" s="53"/>
      <c r="U989" s="53"/>
      <c r="V989" s="53"/>
      <c r="W989" s="53"/>
      <c r="X989" s="53"/>
      <c r="Y989" s="53"/>
      <c r="Z989" s="52"/>
      <c r="AA989" s="52"/>
      <c r="AB989" s="52"/>
      <c r="AC989" s="52"/>
      <c r="AD989" s="53"/>
      <c r="AE989" s="53"/>
      <c r="AF989" s="53"/>
    </row>
    <row r="990">
      <c r="G990" s="55"/>
      <c r="N990" s="6"/>
      <c r="O990" s="53"/>
      <c r="P990" s="53"/>
      <c r="Q990" s="53"/>
      <c r="R990" s="51"/>
      <c r="S990" s="51"/>
      <c r="T990" s="53"/>
      <c r="U990" s="53"/>
      <c r="V990" s="53"/>
      <c r="W990" s="53"/>
      <c r="X990" s="53"/>
      <c r="Y990" s="53"/>
      <c r="Z990" s="52"/>
      <c r="AA990" s="52"/>
      <c r="AB990" s="52"/>
      <c r="AC990" s="52"/>
      <c r="AD990" s="53"/>
      <c r="AE990" s="53"/>
      <c r="AF990" s="53"/>
    </row>
    <row r="991">
      <c r="G991" s="55"/>
      <c r="N991" s="6"/>
      <c r="O991" s="53"/>
      <c r="P991" s="53"/>
      <c r="Q991" s="53"/>
      <c r="R991" s="51"/>
      <c r="S991" s="51"/>
      <c r="T991" s="53"/>
      <c r="U991" s="53"/>
      <c r="V991" s="53"/>
      <c r="W991" s="53"/>
      <c r="X991" s="53"/>
      <c r="Y991" s="53"/>
      <c r="Z991" s="52"/>
      <c r="AA991" s="52"/>
      <c r="AB991" s="52"/>
      <c r="AC991" s="52"/>
      <c r="AD991" s="53"/>
      <c r="AE991" s="53"/>
      <c r="AF991" s="53"/>
    </row>
    <row r="992">
      <c r="G992" s="55"/>
      <c r="N992" s="6"/>
      <c r="O992" s="53"/>
      <c r="P992" s="53"/>
      <c r="Q992" s="53"/>
      <c r="R992" s="51"/>
      <c r="S992" s="51"/>
      <c r="T992" s="53"/>
      <c r="U992" s="53"/>
      <c r="V992" s="53"/>
      <c r="W992" s="53"/>
      <c r="X992" s="53"/>
      <c r="Y992" s="53"/>
      <c r="Z992" s="52"/>
      <c r="AA992" s="52"/>
      <c r="AB992" s="52"/>
      <c r="AC992" s="52"/>
      <c r="AD992" s="53"/>
      <c r="AE992" s="53"/>
      <c r="AF992" s="53"/>
    </row>
    <row r="993">
      <c r="G993" s="55"/>
      <c r="N993" s="6"/>
      <c r="O993" s="53"/>
      <c r="P993" s="53"/>
      <c r="Q993" s="53"/>
      <c r="R993" s="51"/>
      <c r="S993" s="51"/>
      <c r="T993" s="53"/>
      <c r="U993" s="53"/>
      <c r="V993" s="53"/>
      <c r="W993" s="53"/>
      <c r="X993" s="53"/>
      <c r="Y993" s="53"/>
      <c r="Z993" s="52"/>
      <c r="AA993" s="52"/>
      <c r="AB993" s="52"/>
      <c r="AC993" s="52"/>
      <c r="AD993" s="53"/>
      <c r="AE993" s="53"/>
      <c r="AF993" s="53"/>
    </row>
    <row r="994">
      <c r="G994" s="55"/>
      <c r="N994" s="6"/>
      <c r="O994" s="53"/>
      <c r="P994" s="53"/>
      <c r="Q994" s="53"/>
      <c r="R994" s="51"/>
      <c r="S994" s="51"/>
      <c r="T994" s="53"/>
      <c r="U994" s="53"/>
      <c r="V994" s="53"/>
      <c r="W994" s="53"/>
      <c r="X994" s="53"/>
      <c r="Y994" s="53"/>
      <c r="Z994" s="52"/>
      <c r="AA994" s="52"/>
      <c r="AB994" s="52"/>
      <c r="AC994" s="52"/>
      <c r="AD994" s="53"/>
      <c r="AE994" s="53"/>
      <c r="AF994" s="53"/>
    </row>
    <row r="995">
      <c r="G995" s="55"/>
      <c r="N995" s="6"/>
      <c r="O995" s="53"/>
      <c r="P995" s="53"/>
      <c r="Q995" s="53"/>
      <c r="R995" s="51"/>
      <c r="S995" s="51"/>
      <c r="T995" s="53"/>
      <c r="U995" s="53"/>
      <c r="V995" s="53"/>
      <c r="W995" s="53"/>
      <c r="X995" s="53"/>
      <c r="Y995" s="53"/>
      <c r="Z995" s="52"/>
      <c r="AA995" s="52"/>
      <c r="AB995" s="52"/>
      <c r="AC995" s="52"/>
      <c r="AD995" s="53"/>
      <c r="AE995" s="53"/>
      <c r="AF995" s="53"/>
    </row>
    <row r="996">
      <c r="G996" s="55"/>
      <c r="N996" s="6"/>
      <c r="O996" s="53"/>
      <c r="P996" s="53"/>
      <c r="Q996" s="53"/>
      <c r="R996" s="51"/>
      <c r="S996" s="51"/>
      <c r="T996" s="53"/>
      <c r="U996" s="53"/>
      <c r="V996" s="53"/>
      <c r="W996" s="53"/>
      <c r="X996" s="53"/>
      <c r="Y996" s="53"/>
      <c r="Z996" s="52"/>
      <c r="AA996" s="52"/>
      <c r="AB996" s="52"/>
      <c r="AC996" s="52"/>
      <c r="AD996" s="53"/>
      <c r="AE996" s="53"/>
      <c r="AF996" s="53"/>
    </row>
    <row r="997">
      <c r="G997" s="55"/>
      <c r="N997" s="6"/>
      <c r="O997" s="53"/>
      <c r="P997" s="53"/>
      <c r="Q997" s="53"/>
      <c r="R997" s="51"/>
      <c r="S997" s="51"/>
      <c r="T997" s="53"/>
      <c r="U997" s="53"/>
      <c r="V997" s="53"/>
      <c r="W997" s="53"/>
      <c r="X997" s="53"/>
      <c r="Y997" s="53"/>
      <c r="Z997" s="52"/>
      <c r="AA997" s="52"/>
      <c r="AB997" s="52"/>
      <c r="AC997" s="52"/>
      <c r="AD997" s="53"/>
      <c r="AE997" s="53"/>
      <c r="AF997" s="53"/>
    </row>
    <row r="998">
      <c r="G998" s="55"/>
      <c r="N998" s="6"/>
      <c r="O998" s="53"/>
      <c r="P998" s="53"/>
      <c r="Q998" s="53"/>
      <c r="R998" s="51"/>
      <c r="S998" s="51"/>
      <c r="T998" s="53"/>
      <c r="U998" s="53"/>
      <c r="V998" s="53"/>
      <c r="W998" s="53"/>
      <c r="X998" s="53"/>
      <c r="Y998" s="53"/>
      <c r="Z998" s="52"/>
      <c r="AA998" s="52"/>
      <c r="AB998" s="52"/>
      <c r="AC998" s="52"/>
      <c r="AD998" s="53"/>
      <c r="AE998" s="53"/>
      <c r="AF998" s="53"/>
    </row>
    <row r="999">
      <c r="G999" s="55"/>
      <c r="N999" s="6"/>
      <c r="O999" s="53"/>
      <c r="P999" s="53"/>
      <c r="Q999" s="53"/>
      <c r="R999" s="51"/>
      <c r="S999" s="51"/>
      <c r="T999" s="53"/>
      <c r="U999" s="53"/>
      <c r="V999" s="53"/>
      <c r="W999" s="53"/>
      <c r="X999" s="53"/>
      <c r="Y999" s="53"/>
      <c r="Z999" s="52"/>
      <c r="AA999" s="52"/>
      <c r="AB999" s="52"/>
      <c r="AC999" s="52"/>
      <c r="AD999" s="53"/>
      <c r="AE999" s="53"/>
      <c r="AF999" s="53"/>
    </row>
    <row r="1000">
      <c r="G1000" s="55"/>
      <c r="N1000" s="6"/>
      <c r="O1000" s="53"/>
      <c r="P1000" s="53"/>
      <c r="Q1000" s="53"/>
      <c r="R1000" s="51"/>
      <c r="S1000" s="51"/>
      <c r="T1000" s="53"/>
      <c r="U1000" s="53"/>
      <c r="V1000" s="53"/>
      <c r="W1000" s="53"/>
      <c r="X1000" s="53"/>
      <c r="Y1000" s="53"/>
      <c r="Z1000" s="52"/>
      <c r="AA1000" s="52"/>
      <c r="AB1000" s="52"/>
      <c r="AC1000" s="52"/>
      <c r="AD1000" s="53"/>
      <c r="AE1000" s="53"/>
      <c r="AF1000" s="53"/>
    </row>
    <row r="1001">
      <c r="G1001" s="55"/>
      <c r="N1001" s="6"/>
      <c r="O1001" s="53"/>
      <c r="P1001" s="53"/>
      <c r="Q1001" s="53"/>
      <c r="R1001" s="51"/>
      <c r="S1001" s="51"/>
      <c r="T1001" s="53"/>
      <c r="U1001" s="53"/>
      <c r="V1001" s="53"/>
      <c r="W1001" s="53"/>
      <c r="X1001" s="53"/>
      <c r="Y1001" s="53"/>
      <c r="Z1001" s="52"/>
      <c r="AA1001" s="52"/>
      <c r="AB1001" s="52"/>
      <c r="AC1001" s="52"/>
      <c r="AD1001" s="53"/>
      <c r="AE1001" s="53"/>
      <c r="AF1001" s="53"/>
    </row>
    <row r="1002">
      <c r="G1002" s="55"/>
      <c r="N1002" s="6"/>
      <c r="O1002" s="53"/>
      <c r="P1002" s="53"/>
      <c r="Q1002" s="53"/>
      <c r="R1002" s="51"/>
      <c r="S1002" s="51"/>
      <c r="T1002" s="53"/>
      <c r="U1002" s="53"/>
      <c r="V1002" s="53"/>
      <c r="W1002" s="53"/>
      <c r="X1002" s="53"/>
      <c r="Y1002" s="53"/>
      <c r="Z1002" s="52"/>
      <c r="AA1002" s="52"/>
      <c r="AB1002" s="52"/>
      <c r="AC1002" s="52"/>
      <c r="AD1002" s="53"/>
      <c r="AE1002" s="53"/>
      <c r="AF1002" s="53"/>
    </row>
    <row r="1003">
      <c r="G1003" s="55"/>
      <c r="N1003" s="6"/>
      <c r="O1003" s="53"/>
      <c r="P1003" s="53"/>
      <c r="Q1003" s="53"/>
      <c r="R1003" s="51"/>
      <c r="S1003" s="51"/>
      <c r="T1003" s="53"/>
      <c r="U1003" s="53"/>
      <c r="V1003" s="53"/>
      <c r="W1003" s="53"/>
      <c r="X1003" s="53"/>
      <c r="Y1003" s="53"/>
      <c r="Z1003" s="52"/>
      <c r="AA1003" s="52"/>
      <c r="AB1003" s="52"/>
      <c r="AC1003" s="52"/>
      <c r="AD1003" s="53"/>
      <c r="AE1003" s="53"/>
      <c r="AF1003" s="53"/>
    </row>
    <row r="1004">
      <c r="G1004" s="55"/>
      <c r="N1004" s="6"/>
      <c r="O1004" s="53"/>
      <c r="P1004" s="53"/>
      <c r="Q1004" s="53"/>
      <c r="R1004" s="51"/>
      <c r="S1004" s="51"/>
      <c r="T1004" s="53"/>
      <c r="U1004" s="53"/>
      <c r="V1004" s="53"/>
      <c r="W1004" s="53"/>
      <c r="X1004" s="53"/>
      <c r="Y1004" s="53"/>
      <c r="Z1004" s="52"/>
      <c r="AA1004" s="52"/>
      <c r="AB1004" s="52"/>
      <c r="AC1004" s="52"/>
      <c r="AD1004" s="53"/>
      <c r="AE1004" s="53"/>
      <c r="AF1004" s="53"/>
    </row>
    <row r="1005">
      <c r="G1005" s="55"/>
      <c r="N1005" s="6"/>
      <c r="O1005" s="53"/>
      <c r="P1005" s="53"/>
      <c r="Q1005" s="53"/>
      <c r="R1005" s="51"/>
      <c r="S1005" s="51"/>
      <c r="T1005" s="53"/>
      <c r="U1005" s="53"/>
      <c r="V1005" s="53"/>
      <c r="W1005" s="53"/>
      <c r="X1005" s="53"/>
      <c r="Y1005" s="53"/>
      <c r="Z1005" s="52"/>
      <c r="AA1005" s="52"/>
      <c r="AB1005" s="52"/>
      <c r="AC1005" s="52"/>
      <c r="AD1005" s="53"/>
      <c r="AE1005" s="53"/>
      <c r="AF1005" s="53"/>
    </row>
    <row r="1006">
      <c r="G1006" s="55"/>
      <c r="N1006" s="6"/>
      <c r="O1006" s="53"/>
      <c r="P1006" s="53"/>
      <c r="Q1006" s="53"/>
      <c r="R1006" s="51"/>
      <c r="S1006" s="51"/>
      <c r="T1006" s="53"/>
      <c r="U1006" s="53"/>
      <c r="V1006" s="53"/>
      <c r="W1006" s="53"/>
      <c r="X1006" s="53"/>
      <c r="Y1006" s="53"/>
      <c r="Z1006" s="52"/>
      <c r="AA1006" s="52"/>
      <c r="AB1006" s="52"/>
      <c r="AC1006" s="52"/>
      <c r="AD1006" s="53"/>
      <c r="AE1006" s="53"/>
      <c r="AF1006" s="53"/>
    </row>
    <row r="1007">
      <c r="G1007" s="55"/>
      <c r="N1007" s="6"/>
      <c r="O1007" s="53"/>
      <c r="P1007" s="53"/>
      <c r="Q1007" s="53"/>
      <c r="R1007" s="51"/>
      <c r="S1007" s="51"/>
      <c r="T1007" s="53"/>
      <c r="U1007" s="53"/>
      <c r="V1007" s="53"/>
      <c r="W1007" s="53"/>
      <c r="X1007" s="53"/>
      <c r="Y1007" s="53"/>
      <c r="Z1007" s="52"/>
      <c r="AA1007" s="52"/>
      <c r="AB1007" s="52"/>
      <c r="AC1007" s="52"/>
      <c r="AD1007" s="53"/>
      <c r="AE1007" s="53"/>
      <c r="AF1007" s="53"/>
    </row>
    <row r="1008">
      <c r="G1008" s="55"/>
      <c r="N1008" s="6"/>
      <c r="O1008" s="53"/>
      <c r="P1008" s="53"/>
      <c r="Q1008" s="53"/>
      <c r="R1008" s="51"/>
      <c r="S1008" s="51"/>
      <c r="T1008" s="53"/>
      <c r="U1008" s="53"/>
      <c r="V1008" s="53"/>
      <c r="W1008" s="53"/>
      <c r="X1008" s="53"/>
      <c r="Y1008" s="53"/>
      <c r="Z1008" s="52"/>
      <c r="AA1008" s="52"/>
      <c r="AB1008" s="52"/>
      <c r="AC1008" s="52"/>
      <c r="AD1008" s="53"/>
      <c r="AE1008" s="53"/>
      <c r="AF1008" s="53"/>
    </row>
    <row r="1009">
      <c r="G1009" s="55"/>
      <c r="N1009" s="6"/>
      <c r="O1009" s="53"/>
      <c r="P1009" s="53"/>
      <c r="Q1009" s="53"/>
      <c r="R1009" s="51"/>
      <c r="S1009" s="51"/>
      <c r="T1009" s="53"/>
      <c r="U1009" s="53"/>
      <c r="V1009" s="53"/>
      <c r="W1009" s="53"/>
      <c r="X1009" s="53"/>
      <c r="Y1009" s="53"/>
      <c r="Z1009" s="52"/>
      <c r="AA1009" s="52"/>
      <c r="AB1009" s="52"/>
      <c r="AC1009" s="52"/>
      <c r="AD1009" s="53"/>
      <c r="AE1009" s="53"/>
      <c r="AF1009" s="53"/>
    </row>
    <row r="1010">
      <c r="G1010" s="55"/>
      <c r="N1010" s="6"/>
      <c r="O1010" s="53"/>
      <c r="P1010" s="53"/>
      <c r="Q1010" s="53"/>
      <c r="R1010" s="51"/>
      <c r="S1010" s="51"/>
      <c r="T1010" s="53"/>
      <c r="U1010" s="53"/>
      <c r="V1010" s="53"/>
      <c r="W1010" s="53"/>
      <c r="X1010" s="53"/>
      <c r="Y1010" s="53"/>
      <c r="Z1010" s="52"/>
      <c r="AA1010" s="52"/>
      <c r="AB1010" s="52"/>
      <c r="AC1010" s="52"/>
      <c r="AD1010" s="53"/>
      <c r="AE1010" s="53"/>
      <c r="AF1010" s="53"/>
    </row>
    <row r="1011">
      <c r="G1011" s="55"/>
      <c r="N1011" s="6"/>
      <c r="O1011" s="53"/>
      <c r="P1011" s="53"/>
      <c r="Q1011" s="53"/>
      <c r="R1011" s="51"/>
      <c r="S1011" s="51"/>
      <c r="T1011" s="53"/>
      <c r="U1011" s="53"/>
      <c r="V1011" s="53"/>
      <c r="W1011" s="53"/>
      <c r="X1011" s="53"/>
      <c r="Y1011" s="53"/>
      <c r="Z1011" s="52"/>
      <c r="AA1011" s="52"/>
      <c r="AB1011" s="52"/>
      <c r="AC1011" s="52"/>
      <c r="AD1011" s="53"/>
      <c r="AE1011" s="53"/>
      <c r="AF1011" s="53"/>
    </row>
    <row r="1012">
      <c r="G1012" s="55"/>
      <c r="N1012" s="6"/>
      <c r="O1012" s="53"/>
      <c r="P1012" s="53"/>
      <c r="Q1012" s="53"/>
      <c r="R1012" s="51"/>
      <c r="S1012" s="51"/>
      <c r="T1012" s="53"/>
      <c r="U1012" s="53"/>
      <c r="V1012" s="53"/>
      <c r="W1012" s="53"/>
      <c r="X1012" s="53"/>
      <c r="Y1012" s="53"/>
      <c r="Z1012" s="52"/>
      <c r="AA1012" s="52"/>
      <c r="AB1012" s="52"/>
      <c r="AC1012" s="52"/>
      <c r="AD1012" s="53"/>
      <c r="AE1012" s="53"/>
      <c r="AF1012" s="53"/>
    </row>
    <row r="1013">
      <c r="G1013" s="55"/>
      <c r="N1013" s="6"/>
      <c r="O1013" s="53"/>
      <c r="P1013" s="53"/>
      <c r="Q1013" s="53"/>
      <c r="R1013" s="51"/>
      <c r="S1013" s="51"/>
      <c r="T1013" s="53"/>
      <c r="U1013" s="53"/>
      <c r="V1013" s="53"/>
      <c r="W1013" s="53"/>
      <c r="X1013" s="53"/>
      <c r="Y1013" s="53"/>
      <c r="Z1013" s="52"/>
      <c r="AA1013" s="52"/>
      <c r="AB1013" s="52"/>
      <c r="AC1013" s="52"/>
      <c r="AD1013" s="53"/>
      <c r="AE1013" s="53"/>
      <c r="AF1013" s="53"/>
    </row>
    <row r="1014">
      <c r="G1014" s="55"/>
      <c r="N1014" s="6"/>
      <c r="O1014" s="53"/>
      <c r="P1014" s="53"/>
      <c r="Q1014" s="53"/>
      <c r="R1014" s="51"/>
      <c r="S1014" s="51"/>
      <c r="T1014" s="53"/>
      <c r="U1014" s="53"/>
      <c r="V1014" s="53"/>
      <c r="W1014" s="53"/>
      <c r="X1014" s="53"/>
      <c r="Y1014" s="53"/>
      <c r="Z1014" s="52"/>
      <c r="AA1014" s="52"/>
      <c r="AB1014" s="52"/>
      <c r="AC1014" s="52"/>
      <c r="AD1014" s="53"/>
      <c r="AE1014" s="53"/>
      <c r="AF1014" s="53"/>
    </row>
    <row r="1015">
      <c r="G1015" s="55"/>
      <c r="N1015" s="6"/>
      <c r="O1015" s="53"/>
      <c r="P1015" s="53"/>
      <c r="Q1015" s="53"/>
      <c r="R1015" s="51"/>
      <c r="S1015" s="51"/>
      <c r="T1015" s="53"/>
      <c r="U1015" s="53"/>
      <c r="V1015" s="53"/>
      <c r="W1015" s="53"/>
      <c r="X1015" s="53"/>
      <c r="Y1015" s="53"/>
      <c r="Z1015" s="52"/>
      <c r="AA1015" s="52"/>
      <c r="AB1015" s="52"/>
      <c r="AC1015" s="52"/>
      <c r="AD1015" s="53"/>
      <c r="AE1015" s="53"/>
      <c r="AF1015" s="53"/>
    </row>
    <row r="1016">
      <c r="G1016" s="55"/>
      <c r="N1016" s="6"/>
      <c r="O1016" s="53"/>
      <c r="P1016" s="53"/>
      <c r="Q1016" s="53"/>
      <c r="R1016" s="51"/>
      <c r="S1016" s="51"/>
      <c r="T1016" s="53"/>
      <c r="U1016" s="53"/>
      <c r="V1016" s="53"/>
      <c r="W1016" s="53"/>
      <c r="X1016" s="53"/>
      <c r="Y1016" s="53"/>
      <c r="Z1016" s="52"/>
      <c r="AA1016" s="52"/>
      <c r="AB1016" s="52"/>
      <c r="AC1016" s="52"/>
      <c r="AD1016" s="53"/>
      <c r="AE1016" s="53"/>
      <c r="AF1016" s="53"/>
    </row>
    <row r="1017">
      <c r="G1017" s="55"/>
      <c r="N1017" s="6"/>
      <c r="O1017" s="53"/>
      <c r="P1017" s="53"/>
      <c r="Q1017" s="53"/>
      <c r="R1017" s="51"/>
      <c r="S1017" s="51"/>
      <c r="T1017" s="53"/>
      <c r="U1017" s="53"/>
      <c r="V1017" s="53"/>
      <c r="W1017" s="53"/>
      <c r="X1017" s="53"/>
      <c r="Y1017" s="53"/>
      <c r="Z1017" s="52"/>
      <c r="AA1017" s="52"/>
      <c r="AB1017" s="52"/>
      <c r="AC1017" s="52"/>
      <c r="AD1017" s="53"/>
      <c r="AE1017" s="53"/>
      <c r="AF1017" s="53"/>
    </row>
    <row r="1018">
      <c r="G1018" s="55"/>
      <c r="N1018" s="6"/>
      <c r="O1018" s="53"/>
      <c r="P1018" s="53"/>
      <c r="Q1018" s="53"/>
      <c r="R1018" s="51"/>
      <c r="S1018" s="51"/>
      <c r="T1018" s="53"/>
      <c r="U1018" s="53"/>
      <c r="V1018" s="53"/>
      <c r="W1018" s="53"/>
      <c r="X1018" s="53"/>
      <c r="Y1018" s="53"/>
      <c r="Z1018" s="52"/>
      <c r="AA1018" s="52"/>
      <c r="AB1018" s="52"/>
      <c r="AC1018" s="52"/>
      <c r="AD1018" s="53"/>
      <c r="AE1018" s="53"/>
      <c r="AF1018" s="53"/>
    </row>
    <row r="1019">
      <c r="G1019" s="55"/>
      <c r="N1019" s="6"/>
      <c r="O1019" s="53"/>
      <c r="P1019" s="53"/>
      <c r="Q1019" s="53"/>
      <c r="R1019" s="51"/>
      <c r="S1019" s="51"/>
      <c r="T1019" s="53"/>
      <c r="U1019" s="53"/>
      <c r="V1019" s="53"/>
      <c r="W1019" s="53"/>
      <c r="X1019" s="53"/>
      <c r="Y1019" s="53"/>
      <c r="Z1019" s="52"/>
      <c r="AA1019" s="52"/>
      <c r="AB1019" s="52"/>
      <c r="AC1019" s="52"/>
      <c r="AD1019" s="53"/>
      <c r="AE1019" s="53"/>
      <c r="AF1019" s="53"/>
    </row>
    <row r="1020">
      <c r="G1020" s="55"/>
      <c r="N1020" s="6"/>
      <c r="O1020" s="53"/>
      <c r="P1020" s="53"/>
      <c r="Q1020" s="53"/>
      <c r="R1020" s="51"/>
      <c r="S1020" s="51"/>
      <c r="T1020" s="53"/>
      <c r="U1020" s="53"/>
      <c r="V1020" s="53"/>
      <c r="W1020" s="53"/>
      <c r="X1020" s="53"/>
      <c r="Y1020" s="53"/>
      <c r="Z1020" s="52"/>
      <c r="AA1020" s="52"/>
      <c r="AB1020" s="52"/>
      <c r="AC1020" s="52"/>
      <c r="AD1020" s="53"/>
      <c r="AE1020" s="53"/>
      <c r="AF1020" s="53"/>
    </row>
    <row r="1021">
      <c r="G1021" s="55"/>
      <c r="N1021" s="6"/>
      <c r="O1021" s="53"/>
      <c r="P1021" s="53"/>
      <c r="Q1021" s="53"/>
      <c r="R1021" s="51"/>
      <c r="S1021" s="51"/>
      <c r="T1021" s="53"/>
      <c r="U1021" s="53"/>
      <c r="V1021" s="53"/>
      <c r="W1021" s="53"/>
      <c r="X1021" s="53"/>
      <c r="Y1021" s="53"/>
      <c r="Z1021" s="52"/>
      <c r="AA1021" s="52"/>
      <c r="AB1021" s="52"/>
      <c r="AC1021" s="52"/>
      <c r="AD1021" s="53"/>
      <c r="AE1021" s="53"/>
      <c r="AF1021" s="53"/>
    </row>
    <row r="1022">
      <c r="G1022" s="55"/>
      <c r="N1022" s="6"/>
      <c r="O1022" s="53"/>
      <c r="P1022" s="53"/>
      <c r="Q1022" s="53"/>
      <c r="R1022" s="51"/>
      <c r="S1022" s="51"/>
      <c r="T1022" s="53"/>
      <c r="U1022" s="53"/>
      <c r="V1022" s="53"/>
      <c r="W1022" s="53"/>
      <c r="X1022" s="53"/>
      <c r="Y1022" s="53"/>
      <c r="Z1022" s="52"/>
      <c r="AA1022" s="52"/>
      <c r="AB1022" s="52"/>
      <c r="AC1022" s="52"/>
      <c r="AD1022" s="53"/>
      <c r="AE1022" s="53"/>
      <c r="AF1022" s="53"/>
    </row>
    <row r="1023">
      <c r="G1023" s="55"/>
      <c r="N1023" s="6"/>
      <c r="O1023" s="53"/>
      <c r="P1023" s="53"/>
      <c r="Q1023" s="53"/>
      <c r="R1023" s="51"/>
      <c r="S1023" s="51"/>
      <c r="T1023" s="53"/>
      <c r="U1023" s="53"/>
      <c r="V1023" s="53"/>
      <c r="W1023" s="53"/>
      <c r="X1023" s="53"/>
      <c r="Y1023" s="53"/>
      <c r="Z1023" s="52"/>
      <c r="AA1023" s="52"/>
      <c r="AB1023" s="52"/>
      <c r="AC1023" s="52"/>
      <c r="AD1023" s="53"/>
      <c r="AE1023" s="53"/>
      <c r="AF1023" s="53"/>
    </row>
    <row r="1024">
      <c r="G1024" s="55"/>
      <c r="N1024" s="6"/>
      <c r="O1024" s="53"/>
      <c r="P1024" s="53"/>
      <c r="Q1024" s="53"/>
      <c r="R1024" s="51"/>
      <c r="S1024" s="51"/>
      <c r="T1024" s="53"/>
      <c r="U1024" s="53"/>
      <c r="V1024" s="53"/>
      <c r="W1024" s="53"/>
      <c r="X1024" s="53"/>
      <c r="Y1024" s="53"/>
      <c r="Z1024" s="52"/>
      <c r="AA1024" s="52"/>
      <c r="AB1024" s="52"/>
      <c r="AC1024" s="52"/>
      <c r="AD1024" s="53"/>
      <c r="AE1024" s="53"/>
      <c r="AF1024" s="53"/>
    </row>
    <row r="1025">
      <c r="G1025" s="55"/>
      <c r="N1025" s="6"/>
      <c r="O1025" s="53"/>
      <c r="P1025" s="53"/>
      <c r="Q1025" s="53"/>
      <c r="R1025" s="51"/>
      <c r="S1025" s="51"/>
      <c r="T1025" s="53"/>
      <c r="U1025" s="53"/>
      <c r="V1025" s="53"/>
      <c r="W1025" s="53"/>
      <c r="X1025" s="53"/>
      <c r="Y1025" s="53"/>
      <c r="Z1025" s="52"/>
      <c r="AA1025" s="52"/>
      <c r="AB1025" s="52"/>
      <c r="AC1025" s="52"/>
      <c r="AD1025" s="53"/>
      <c r="AE1025" s="53"/>
      <c r="AF1025" s="53"/>
    </row>
    <row r="1026">
      <c r="G1026" s="55"/>
      <c r="N1026" s="6"/>
      <c r="O1026" s="53"/>
      <c r="P1026" s="53"/>
      <c r="Q1026" s="53"/>
      <c r="R1026" s="51"/>
      <c r="S1026" s="51"/>
      <c r="T1026" s="53"/>
      <c r="U1026" s="53"/>
      <c r="V1026" s="53"/>
      <c r="W1026" s="53"/>
      <c r="X1026" s="53"/>
      <c r="Y1026" s="53"/>
      <c r="Z1026" s="52"/>
      <c r="AA1026" s="52"/>
      <c r="AB1026" s="52"/>
      <c r="AC1026" s="52"/>
      <c r="AD1026" s="53"/>
      <c r="AE1026" s="53"/>
      <c r="AF1026" s="53"/>
    </row>
    <row r="1027">
      <c r="G1027" s="55"/>
      <c r="N1027" s="6"/>
      <c r="O1027" s="53"/>
      <c r="P1027" s="53"/>
      <c r="Q1027" s="53"/>
      <c r="R1027" s="51"/>
      <c r="S1027" s="51"/>
      <c r="T1027" s="53"/>
      <c r="U1027" s="53"/>
      <c r="V1027" s="53"/>
      <c r="W1027" s="53"/>
      <c r="X1027" s="53"/>
      <c r="Y1027" s="53"/>
      <c r="Z1027" s="52"/>
      <c r="AA1027" s="52"/>
      <c r="AB1027" s="52"/>
      <c r="AC1027" s="52"/>
      <c r="AD1027" s="53"/>
      <c r="AE1027" s="53"/>
      <c r="AF1027" s="53"/>
    </row>
    <row r="1028">
      <c r="G1028" s="55"/>
      <c r="N1028" s="6"/>
      <c r="O1028" s="53"/>
      <c r="P1028" s="53"/>
      <c r="Q1028" s="53"/>
      <c r="R1028" s="51"/>
      <c r="S1028" s="51"/>
      <c r="T1028" s="53"/>
      <c r="U1028" s="53"/>
      <c r="V1028" s="53"/>
      <c r="W1028" s="53"/>
      <c r="X1028" s="53"/>
      <c r="Y1028" s="53"/>
      <c r="Z1028" s="52"/>
      <c r="AA1028" s="52"/>
      <c r="AB1028" s="52"/>
      <c r="AC1028" s="52"/>
      <c r="AD1028" s="53"/>
      <c r="AE1028" s="53"/>
      <c r="AF1028" s="53"/>
    </row>
    <row r="1029">
      <c r="G1029" s="55"/>
      <c r="N1029" s="6"/>
      <c r="O1029" s="53"/>
      <c r="P1029" s="53"/>
      <c r="Q1029" s="53"/>
      <c r="R1029" s="51"/>
      <c r="S1029" s="51"/>
      <c r="T1029" s="53"/>
      <c r="U1029" s="53"/>
      <c r="V1029" s="53"/>
      <c r="W1029" s="53"/>
      <c r="X1029" s="53"/>
      <c r="Y1029" s="53"/>
      <c r="Z1029" s="52"/>
      <c r="AA1029" s="52"/>
      <c r="AB1029" s="52"/>
      <c r="AC1029" s="52"/>
      <c r="AD1029" s="53"/>
      <c r="AE1029" s="53"/>
      <c r="AF1029" s="53"/>
    </row>
    <row r="1030">
      <c r="G1030" s="55"/>
      <c r="N1030" s="6"/>
      <c r="O1030" s="53"/>
      <c r="P1030" s="53"/>
      <c r="Q1030" s="53"/>
      <c r="R1030" s="51"/>
      <c r="S1030" s="51"/>
      <c r="T1030" s="53"/>
      <c r="U1030" s="53"/>
      <c r="V1030" s="53"/>
      <c r="W1030" s="53"/>
      <c r="X1030" s="53"/>
      <c r="Y1030" s="53"/>
      <c r="Z1030" s="52"/>
      <c r="AA1030" s="52"/>
      <c r="AB1030" s="52"/>
      <c r="AC1030" s="52"/>
      <c r="AD1030" s="53"/>
      <c r="AE1030" s="53"/>
      <c r="AF1030" s="53"/>
    </row>
    <row r="1031">
      <c r="G1031" s="55"/>
      <c r="N1031" s="6"/>
      <c r="O1031" s="53"/>
      <c r="P1031" s="53"/>
      <c r="Q1031" s="53"/>
      <c r="R1031" s="51"/>
      <c r="S1031" s="51"/>
      <c r="T1031" s="53"/>
      <c r="U1031" s="53"/>
      <c r="V1031" s="53"/>
      <c r="W1031" s="53"/>
      <c r="X1031" s="53"/>
      <c r="Y1031" s="53"/>
      <c r="Z1031" s="52"/>
      <c r="AA1031" s="52"/>
      <c r="AB1031" s="52"/>
      <c r="AC1031" s="52"/>
      <c r="AD1031" s="53"/>
      <c r="AE1031" s="53"/>
      <c r="AF1031" s="53"/>
    </row>
    <row r="1032">
      <c r="G1032" s="55"/>
      <c r="N1032" s="6"/>
      <c r="O1032" s="53"/>
      <c r="P1032" s="53"/>
      <c r="Q1032" s="53"/>
      <c r="R1032" s="51"/>
      <c r="S1032" s="51"/>
      <c r="T1032" s="53"/>
      <c r="U1032" s="53"/>
      <c r="V1032" s="53"/>
      <c r="W1032" s="53"/>
      <c r="X1032" s="53"/>
      <c r="Y1032" s="53"/>
      <c r="Z1032" s="52"/>
      <c r="AA1032" s="52"/>
      <c r="AB1032" s="52"/>
      <c r="AC1032" s="52"/>
      <c r="AD1032" s="53"/>
      <c r="AE1032" s="53"/>
      <c r="AF1032" s="53"/>
    </row>
    <row r="1033">
      <c r="G1033" s="55"/>
      <c r="N1033" s="6"/>
      <c r="O1033" s="53"/>
      <c r="P1033" s="53"/>
      <c r="Q1033" s="53"/>
      <c r="R1033" s="51"/>
      <c r="S1033" s="51"/>
      <c r="T1033" s="53"/>
      <c r="U1033" s="53"/>
      <c r="V1033" s="53"/>
      <c r="W1033" s="53"/>
      <c r="X1033" s="53"/>
      <c r="Y1033" s="53"/>
      <c r="Z1033" s="52"/>
      <c r="AA1033" s="52"/>
      <c r="AB1033" s="52"/>
      <c r="AC1033" s="52"/>
      <c r="AD1033" s="53"/>
      <c r="AE1033" s="53"/>
      <c r="AF1033" s="53"/>
    </row>
    <row r="1034">
      <c r="G1034" s="55"/>
      <c r="N1034" s="6"/>
      <c r="O1034" s="53"/>
      <c r="P1034" s="53"/>
      <c r="Q1034" s="53"/>
      <c r="R1034" s="51"/>
      <c r="S1034" s="51"/>
      <c r="T1034" s="53"/>
      <c r="U1034" s="53"/>
      <c r="V1034" s="53"/>
      <c r="W1034" s="53"/>
      <c r="X1034" s="53"/>
      <c r="Y1034" s="53"/>
      <c r="Z1034" s="52"/>
      <c r="AA1034" s="52"/>
      <c r="AB1034" s="52"/>
      <c r="AC1034" s="52"/>
      <c r="AD1034" s="53"/>
      <c r="AE1034" s="53"/>
      <c r="AF1034" s="53"/>
    </row>
    <row r="1035">
      <c r="G1035" s="55"/>
      <c r="N1035" s="6"/>
      <c r="O1035" s="53"/>
      <c r="P1035" s="53"/>
      <c r="Q1035" s="53"/>
      <c r="R1035" s="51"/>
      <c r="S1035" s="51"/>
      <c r="T1035" s="53"/>
      <c r="U1035" s="53"/>
      <c r="V1035" s="53"/>
      <c r="W1035" s="53"/>
      <c r="X1035" s="53"/>
      <c r="Y1035" s="53"/>
      <c r="Z1035" s="52"/>
      <c r="AA1035" s="52"/>
      <c r="AB1035" s="52"/>
      <c r="AC1035" s="52"/>
      <c r="AD1035" s="53"/>
      <c r="AE1035" s="53"/>
      <c r="AF1035" s="53"/>
    </row>
    <row r="1036">
      <c r="G1036" s="55"/>
      <c r="N1036" s="6"/>
      <c r="O1036" s="53"/>
      <c r="P1036" s="53"/>
      <c r="Q1036" s="53"/>
      <c r="R1036" s="51"/>
      <c r="S1036" s="51"/>
      <c r="T1036" s="53"/>
      <c r="U1036" s="53"/>
      <c r="V1036" s="53"/>
      <c r="W1036" s="53"/>
      <c r="X1036" s="53"/>
      <c r="Y1036" s="53"/>
      <c r="Z1036" s="52"/>
      <c r="AA1036" s="52"/>
      <c r="AB1036" s="52"/>
      <c r="AC1036" s="52"/>
      <c r="AD1036" s="53"/>
      <c r="AE1036" s="53"/>
      <c r="AF1036" s="53"/>
    </row>
    <row r="1037">
      <c r="G1037" s="55"/>
      <c r="N1037" s="6"/>
      <c r="O1037" s="53"/>
      <c r="P1037" s="53"/>
      <c r="Q1037" s="53"/>
      <c r="R1037" s="51"/>
      <c r="S1037" s="51"/>
      <c r="T1037" s="53"/>
      <c r="U1037" s="53"/>
      <c r="V1037" s="53"/>
      <c r="W1037" s="53"/>
      <c r="X1037" s="53"/>
      <c r="Y1037" s="53"/>
      <c r="Z1037" s="52"/>
      <c r="AA1037" s="52"/>
      <c r="AB1037" s="52"/>
      <c r="AC1037" s="52"/>
      <c r="AD1037" s="53"/>
      <c r="AE1037" s="53"/>
      <c r="AF1037" s="53"/>
    </row>
    <row r="1038">
      <c r="G1038" s="55"/>
      <c r="N1038" s="6"/>
      <c r="O1038" s="53"/>
      <c r="P1038" s="53"/>
      <c r="Q1038" s="53"/>
      <c r="R1038" s="51"/>
      <c r="S1038" s="51"/>
      <c r="T1038" s="53"/>
      <c r="U1038" s="53"/>
      <c r="V1038" s="53"/>
      <c r="W1038" s="53"/>
      <c r="X1038" s="53"/>
      <c r="Y1038" s="53"/>
      <c r="Z1038" s="52"/>
      <c r="AA1038" s="52"/>
      <c r="AB1038" s="52"/>
      <c r="AC1038" s="52"/>
      <c r="AD1038" s="53"/>
      <c r="AE1038" s="53"/>
      <c r="AF1038" s="53"/>
    </row>
    <row r="1039">
      <c r="G1039" s="55"/>
      <c r="N1039" s="6"/>
      <c r="O1039" s="53"/>
      <c r="P1039" s="53"/>
      <c r="Q1039" s="53"/>
      <c r="R1039" s="51"/>
      <c r="S1039" s="51"/>
      <c r="T1039" s="53"/>
      <c r="U1039" s="53"/>
      <c r="V1039" s="53"/>
      <c r="W1039" s="53"/>
      <c r="X1039" s="53"/>
      <c r="Y1039" s="53"/>
      <c r="Z1039" s="52"/>
      <c r="AA1039" s="52"/>
      <c r="AB1039" s="52"/>
      <c r="AC1039" s="52"/>
      <c r="AD1039" s="53"/>
      <c r="AE1039" s="53"/>
      <c r="AF1039" s="53"/>
    </row>
    <row r="1040">
      <c r="G1040" s="55"/>
      <c r="N1040" s="6"/>
      <c r="O1040" s="53"/>
      <c r="P1040" s="53"/>
      <c r="Q1040" s="53"/>
      <c r="R1040" s="51"/>
      <c r="S1040" s="51"/>
      <c r="T1040" s="53"/>
      <c r="U1040" s="53"/>
      <c r="V1040" s="53"/>
      <c r="W1040" s="53"/>
      <c r="X1040" s="53"/>
      <c r="Y1040" s="53"/>
      <c r="Z1040" s="52"/>
      <c r="AA1040" s="52"/>
      <c r="AB1040" s="52"/>
      <c r="AC1040" s="52"/>
      <c r="AD1040" s="53"/>
      <c r="AE1040" s="53"/>
      <c r="AF1040" s="53"/>
    </row>
    <row r="1041">
      <c r="G1041" s="55"/>
      <c r="N1041" s="6"/>
      <c r="O1041" s="53"/>
      <c r="P1041" s="53"/>
      <c r="Q1041" s="53"/>
      <c r="R1041" s="51"/>
      <c r="S1041" s="51"/>
      <c r="T1041" s="53"/>
      <c r="U1041" s="53"/>
      <c r="V1041" s="53"/>
      <c r="W1041" s="53"/>
      <c r="X1041" s="53"/>
      <c r="Y1041" s="53"/>
      <c r="Z1041" s="52"/>
      <c r="AA1041" s="52"/>
      <c r="AB1041" s="52"/>
      <c r="AC1041" s="52"/>
      <c r="AD1041" s="53"/>
      <c r="AE1041" s="53"/>
      <c r="AF1041" s="53"/>
    </row>
    <row r="1042">
      <c r="G1042" s="55"/>
      <c r="N1042" s="6"/>
      <c r="O1042" s="53"/>
      <c r="P1042" s="53"/>
      <c r="Q1042" s="53"/>
      <c r="R1042" s="51"/>
      <c r="S1042" s="51"/>
      <c r="T1042" s="53"/>
      <c r="U1042" s="53"/>
      <c r="V1042" s="53"/>
      <c r="W1042" s="53"/>
      <c r="X1042" s="53"/>
      <c r="Y1042" s="53"/>
      <c r="Z1042" s="52"/>
      <c r="AA1042" s="52"/>
      <c r="AB1042" s="52"/>
      <c r="AC1042" s="52"/>
      <c r="AD1042" s="53"/>
      <c r="AE1042" s="53"/>
      <c r="AF1042" s="53"/>
    </row>
    <row r="1043">
      <c r="G1043" s="55"/>
      <c r="N1043" s="6"/>
      <c r="O1043" s="53"/>
      <c r="P1043" s="53"/>
      <c r="Q1043" s="53"/>
      <c r="R1043" s="51"/>
      <c r="S1043" s="51"/>
      <c r="T1043" s="53"/>
      <c r="U1043" s="53"/>
      <c r="V1043" s="53"/>
      <c r="W1043" s="53"/>
      <c r="X1043" s="53"/>
      <c r="Y1043" s="53"/>
      <c r="Z1043" s="52"/>
      <c r="AA1043" s="52"/>
      <c r="AB1043" s="52"/>
      <c r="AC1043" s="52"/>
      <c r="AD1043" s="53"/>
      <c r="AE1043" s="53"/>
      <c r="AF1043" s="53"/>
    </row>
    <row r="1044">
      <c r="G1044" s="55"/>
      <c r="N1044" s="6"/>
      <c r="O1044" s="53"/>
      <c r="P1044" s="53"/>
      <c r="Q1044" s="53"/>
      <c r="R1044" s="51"/>
      <c r="S1044" s="51"/>
      <c r="T1044" s="53"/>
      <c r="U1044" s="53"/>
      <c r="V1044" s="53"/>
      <c r="W1044" s="53"/>
      <c r="X1044" s="53"/>
      <c r="Y1044" s="53"/>
      <c r="Z1044" s="52"/>
      <c r="AA1044" s="52"/>
      <c r="AB1044" s="52"/>
      <c r="AC1044" s="52"/>
      <c r="AD1044" s="53"/>
      <c r="AE1044" s="53"/>
      <c r="AF1044" s="53"/>
    </row>
    <row r="1045">
      <c r="G1045" s="55"/>
      <c r="N1045" s="6"/>
      <c r="O1045" s="53"/>
      <c r="P1045" s="53"/>
      <c r="Q1045" s="53"/>
      <c r="R1045" s="51"/>
      <c r="S1045" s="51"/>
      <c r="T1045" s="53"/>
      <c r="U1045" s="53"/>
      <c r="V1045" s="53"/>
      <c r="W1045" s="53"/>
      <c r="X1045" s="53"/>
      <c r="Y1045" s="53"/>
      <c r="Z1045" s="52"/>
      <c r="AA1045" s="52"/>
      <c r="AB1045" s="52"/>
      <c r="AC1045" s="52"/>
      <c r="AD1045" s="53"/>
      <c r="AE1045" s="53"/>
      <c r="AF1045" s="53"/>
    </row>
    <row r="1046">
      <c r="G1046" s="55"/>
      <c r="N1046" s="6"/>
      <c r="O1046" s="53"/>
      <c r="P1046" s="53"/>
      <c r="Q1046" s="53"/>
      <c r="R1046" s="51"/>
      <c r="S1046" s="51"/>
      <c r="T1046" s="53"/>
      <c r="U1046" s="53"/>
      <c r="V1046" s="53"/>
      <c r="W1046" s="53"/>
      <c r="X1046" s="53"/>
      <c r="Y1046" s="53"/>
      <c r="Z1046" s="52"/>
      <c r="AA1046" s="52"/>
      <c r="AB1046" s="52"/>
      <c r="AC1046" s="52"/>
      <c r="AD1046" s="53"/>
      <c r="AE1046" s="53"/>
      <c r="AF1046" s="53"/>
    </row>
    <row r="1047">
      <c r="G1047" s="55"/>
      <c r="N1047" s="6"/>
      <c r="O1047" s="53"/>
      <c r="P1047" s="53"/>
      <c r="Q1047" s="53"/>
      <c r="R1047" s="51"/>
      <c r="S1047" s="51"/>
      <c r="T1047" s="53"/>
      <c r="U1047" s="53"/>
      <c r="V1047" s="53"/>
      <c r="W1047" s="53"/>
      <c r="X1047" s="53"/>
      <c r="Y1047" s="53"/>
      <c r="Z1047" s="52"/>
      <c r="AA1047" s="52"/>
      <c r="AB1047" s="52"/>
      <c r="AC1047" s="52"/>
      <c r="AD1047" s="53"/>
      <c r="AE1047" s="53"/>
      <c r="AF1047" s="53"/>
    </row>
    <row r="1048">
      <c r="G1048" s="55"/>
      <c r="N1048" s="6"/>
      <c r="O1048" s="53"/>
      <c r="P1048" s="53"/>
      <c r="Q1048" s="53"/>
      <c r="R1048" s="51"/>
      <c r="S1048" s="51"/>
      <c r="T1048" s="53"/>
      <c r="U1048" s="53"/>
      <c r="V1048" s="53"/>
      <c r="W1048" s="53"/>
      <c r="X1048" s="53"/>
      <c r="Y1048" s="53"/>
      <c r="Z1048" s="52"/>
      <c r="AA1048" s="52"/>
      <c r="AB1048" s="52"/>
      <c r="AC1048" s="52"/>
      <c r="AD1048" s="53"/>
      <c r="AE1048" s="53"/>
      <c r="AF1048" s="53"/>
    </row>
    <row r="1049">
      <c r="G1049" s="55"/>
      <c r="N1049" s="6"/>
      <c r="O1049" s="53"/>
      <c r="P1049" s="53"/>
      <c r="Q1049" s="53"/>
      <c r="R1049" s="51"/>
      <c r="S1049" s="51"/>
      <c r="T1049" s="53"/>
      <c r="U1049" s="53"/>
      <c r="V1049" s="53"/>
      <c r="W1049" s="53"/>
      <c r="X1049" s="53"/>
      <c r="Y1049" s="53"/>
      <c r="Z1049" s="52"/>
      <c r="AA1049" s="52"/>
      <c r="AB1049" s="52"/>
      <c r="AC1049" s="52"/>
      <c r="AD1049" s="53"/>
      <c r="AE1049" s="53"/>
      <c r="AF1049" s="53"/>
    </row>
    <row r="1050">
      <c r="G1050" s="55"/>
      <c r="N1050" s="6"/>
      <c r="O1050" s="53"/>
      <c r="P1050" s="53"/>
      <c r="Q1050" s="53"/>
      <c r="R1050" s="51"/>
      <c r="S1050" s="51"/>
      <c r="T1050" s="53"/>
      <c r="U1050" s="53"/>
      <c r="V1050" s="53"/>
      <c r="W1050" s="53"/>
      <c r="X1050" s="53"/>
      <c r="Y1050" s="53"/>
      <c r="Z1050" s="52"/>
      <c r="AA1050" s="52"/>
      <c r="AB1050" s="52"/>
      <c r="AC1050" s="52"/>
      <c r="AD1050" s="53"/>
      <c r="AE1050" s="53"/>
      <c r="AF1050" s="53"/>
    </row>
    <row r="1051">
      <c r="G1051" s="55"/>
      <c r="N1051" s="6"/>
      <c r="O1051" s="53"/>
      <c r="P1051" s="53"/>
      <c r="Q1051" s="53"/>
      <c r="R1051" s="51"/>
      <c r="S1051" s="51"/>
      <c r="T1051" s="53"/>
      <c r="U1051" s="53"/>
      <c r="V1051" s="53"/>
      <c r="W1051" s="53"/>
      <c r="X1051" s="53"/>
      <c r="Y1051" s="53"/>
      <c r="Z1051" s="52"/>
      <c r="AA1051" s="52"/>
      <c r="AB1051" s="52"/>
      <c r="AC1051" s="52"/>
      <c r="AD1051" s="53"/>
      <c r="AE1051" s="53"/>
      <c r="AF1051" s="53"/>
    </row>
    <row r="1052">
      <c r="G1052" s="55"/>
      <c r="N1052" s="6"/>
      <c r="O1052" s="53"/>
      <c r="P1052" s="53"/>
      <c r="Q1052" s="53"/>
      <c r="R1052" s="51"/>
      <c r="S1052" s="51"/>
      <c r="T1052" s="53"/>
      <c r="U1052" s="53"/>
      <c r="V1052" s="53"/>
      <c r="W1052" s="53"/>
      <c r="X1052" s="53"/>
      <c r="Y1052" s="53"/>
      <c r="Z1052" s="52"/>
      <c r="AA1052" s="52"/>
      <c r="AB1052" s="52"/>
      <c r="AC1052" s="52"/>
      <c r="AD1052" s="53"/>
      <c r="AE1052" s="53"/>
      <c r="AF1052" s="53"/>
    </row>
    <row r="1053">
      <c r="G1053" s="55"/>
      <c r="N1053" s="6"/>
      <c r="O1053" s="53"/>
      <c r="P1053" s="53"/>
      <c r="Q1053" s="53"/>
      <c r="R1053" s="51"/>
      <c r="S1053" s="51"/>
      <c r="T1053" s="53"/>
      <c r="U1053" s="53"/>
      <c r="V1053" s="53"/>
      <c r="W1053" s="53"/>
      <c r="X1053" s="53"/>
      <c r="Y1053" s="53"/>
      <c r="Z1053" s="52"/>
      <c r="AA1053" s="52"/>
      <c r="AB1053" s="52"/>
      <c r="AC1053" s="52"/>
      <c r="AD1053" s="53"/>
      <c r="AE1053" s="53"/>
      <c r="AF1053" s="53"/>
    </row>
    <row r="1054">
      <c r="G1054" s="55"/>
      <c r="N1054" s="6"/>
      <c r="O1054" s="53"/>
      <c r="P1054" s="53"/>
      <c r="Q1054" s="53"/>
      <c r="R1054" s="51"/>
      <c r="S1054" s="51"/>
      <c r="T1054" s="53"/>
      <c r="U1054" s="53"/>
      <c r="V1054" s="53"/>
      <c r="W1054" s="53"/>
      <c r="X1054" s="53"/>
      <c r="Y1054" s="53"/>
      <c r="Z1054" s="52"/>
      <c r="AA1054" s="52"/>
      <c r="AB1054" s="52"/>
      <c r="AC1054" s="52"/>
      <c r="AD1054" s="53"/>
      <c r="AE1054" s="53"/>
      <c r="AF1054" s="53"/>
    </row>
    <row r="1055">
      <c r="G1055" s="55"/>
      <c r="N1055" s="6"/>
      <c r="O1055" s="53"/>
      <c r="P1055" s="53"/>
      <c r="Q1055" s="53"/>
      <c r="R1055" s="51"/>
      <c r="S1055" s="51"/>
      <c r="T1055" s="53"/>
      <c r="U1055" s="53"/>
      <c r="V1055" s="53"/>
      <c r="W1055" s="53"/>
      <c r="X1055" s="53"/>
      <c r="Y1055" s="53"/>
      <c r="Z1055" s="52"/>
      <c r="AA1055" s="52"/>
      <c r="AB1055" s="52"/>
      <c r="AC1055" s="52"/>
      <c r="AD1055" s="53"/>
      <c r="AE1055" s="53"/>
      <c r="AF1055" s="53"/>
    </row>
    <row r="1056">
      <c r="G1056" s="55"/>
      <c r="N1056" s="6"/>
      <c r="O1056" s="53"/>
      <c r="P1056" s="53"/>
      <c r="Q1056" s="53"/>
      <c r="R1056" s="51"/>
      <c r="S1056" s="51"/>
      <c r="T1056" s="53"/>
      <c r="U1056" s="53"/>
      <c r="V1056" s="53"/>
      <c r="W1056" s="53"/>
      <c r="X1056" s="53"/>
      <c r="Y1056" s="53"/>
      <c r="Z1056" s="52"/>
      <c r="AA1056" s="52"/>
      <c r="AB1056" s="52"/>
      <c r="AC1056" s="52"/>
      <c r="AD1056" s="53"/>
      <c r="AE1056" s="53"/>
      <c r="AF1056" s="53"/>
    </row>
    <row r="1057">
      <c r="G1057" s="55"/>
      <c r="N1057" s="6"/>
      <c r="O1057" s="53"/>
      <c r="P1057" s="53"/>
      <c r="Q1057" s="53"/>
      <c r="R1057" s="51"/>
      <c r="S1057" s="51"/>
      <c r="T1057" s="53"/>
      <c r="U1057" s="53"/>
      <c r="V1057" s="53"/>
      <c r="W1057" s="53"/>
      <c r="X1057" s="53"/>
      <c r="Y1057" s="53"/>
      <c r="Z1057" s="52"/>
      <c r="AA1057" s="52"/>
      <c r="AB1057" s="52"/>
      <c r="AC1057" s="52"/>
      <c r="AD1057" s="53"/>
      <c r="AE1057" s="53"/>
      <c r="AF1057" s="53"/>
    </row>
    <row r="1058">
      <c r="G1058" s="55"/>
      <c r="N1058" s="6"/>
      <c r="O1058" s="53"/>
      <c r="P1058" s="53"/>
      <c r="Q1058" s="53"/>
      <c r="R1058" s="51"/>
      <c r="S1058" s="51"/>
      <c r="T1058" s="53"/>
      <c r="U1058" s="53"/>
      <c r="V1058" s="53"/>
      <c r="W1058" s="53"/>
      <c r="X1058" s="53"/>
      <c r="Y1058" s="53"/>
      <c r="Z1058" s="52"/>
      <c r="AA1058" s="52"/>
      <c r="AB1058" s="52"/>
      <c r="AC1058" s="52"/>
      <c r="AD1058" s="53"/>
      <c r="AE1058" s="53"/>
      <c r="AF1058" s="53"/>
    </row>
    <row r="1059">
      <c r="G1059" s="55"/>
      <c r="N1059" s="6"/>
      <c r="O1059" s="53"/>
      <c r="P1059" s="53"/>
      <c r="Q1059" s="53"/>
      <c r="R1059" s="51"/>
      <c r="S1059" s="51"/>
      <c r="T1059" s="53"/>
      <c r="U1059" s="53"/>
      <c r="V1059" s="53"/>
      <c r="W1059" s="53"/>
      <c r="X1059" s="53"/>
      <c r="Y1059" s="53"/>
      <c r="Z1059" s="52"/>
      <c r="AA1059" s="52"/>
      <c r="AB1059" s="52"/>
      <c r="AC1059" s="52"/>
      <c r="AD1059" s="53"/>
      <c r="AE1059" s="53"/>
      <c r="AF1059" s="53"/>
    </row>
    <row r="1060">
      <c r="G1060" s="55"/>
      <c r="N1060" s="6"/>
      <c r="O1060" s="53"/>
      <c r="P1060" s="53"/>
      <c r="Q1060" s="53"/>
      <c r="R1060" s="51"/>
      <c r="S1060" s="51"/>
      <c r="T1060" s="53"/>
      <c r="U1060" s="53"/>
      <c r="V1060" s="53"/>
      <c r="W1060" s="53"/>
      <c r="X1060" s="53"/>
      <c r="Y1060" s="53"/>
      <c r="Z1060" s="52"/>
      <c r="AA1060" s="52"/>
      <c r="AB1060" s="52"/>
      <c r="AC1060" s="52"/>
      <c r="AD1060" s="53"/>
      <c r="AE1060" s="53"/>
      <c r="AF1060" s="53"/>
    </row>
    <row r="1061">
      <c r="G1061" s="55"/>
      <c r="N1061" s="6"/>
      <c r="O1061" s="53"/>
      <c r="P1061" s="53"/>
      <c r="Q1061" s="53"/>
      <c r="R1061" s="51"/>
      <c r="S1061" s="51"/>
      <c r="T1061" s="53"/>
      <c r="U1061" s="53"/>
      <c r="V1061" s="53"/>
      <c r="W1061" s="53"/>
      <c r="X1061" s="53"/>
      <c r="Y1061" s="53"/>
      <c r="Z1061" s="52"/>
      <c r="AA1061" s="52"/>
      <c r="AB1061" s="52"/>
      <c r="AC1061" s="52"/>
      <c r="AD1061" s="53"/>
      <c r="AE1061" s="53"/>
      <c r="AF1061" s="53"/>
    </row>
    <row r="1062">
      <c r="G1062" s="55"/>
      <c r="N1062" s="6"/>
      <c r="O1062" s="53"/>
      <c r="P1062" s="53"/>
      <c r="Q1062" s="53"/>
      <c r="R1062" s="51"/>
      <c r="S1062" s="51"/>
      <c r="T1062" s="53"/>
      <c r="U1062" s="53"/>
      <c r="V1062" s="53"/>
      <c r="W1062" s="53"/>
      <c r="X1062" s="53"/>
      <c r="Y1062" s="53"/>
      <c r="Z1062" s="52"/>
      <c r="AA1062" s="52"/>
      <c r="AB1062" s="52"/>
      <c r="AC1062" s="52"/>
      <c r="AD1062" s="53"/>
      <c r="AE1062" s="53"/>
      <c r="AF1062" s="53"/>
    </row>
    <row r="1063">
      <c r="G1063" s="55"/>
      <c r="N1063" s="6"/>
      <c r="O1063" s="53"/>
      <c r="P1063" s="53"/>
      <c r="Q1063" s="53"/>
      <c r="R1063" s="51"/>
      <c r="S1063" s="51"/>
      <c r="T1063" s="53"/>
      <c r="U1063" s="53"/>
      <c r="V1063" s="53"/>
      <c r="W1063" s="53"/>
      <c r="X1063" s="53"/>
      <c r="Y1063" s="53"/>
      <c r="Z1063" s="52"/>
      <c r="AA1063" s="52"/>
      <c r="AB1063" s="52"/>
      <c r="AC1063" s="52"/>
      <c r="AD1063" s="53"/>
      <c r="AE1063" s="53"/>
      <c r="AF1063" s="53"/>
    </row>
    <row r="1064">
      <c r="G1064" s="55"/>
      <c r="N1064" s="6"/>
      <c r="O1064" s="53"/>
      <c r="P1064" s="53"/>
      <c r="Q1064" s="53"/>
      <c r="R1064" s="51"/>
      <c r="S1064" s="51"/>
      <c r="T1064" s="53"/>
      <c r="U1064" s="53"/>
      <c r="V1064" s="53"/>
      <c r="W1064" s="53"/>
      <c r="X1064" s="53"/>
      <c r="Y1064" s="53"/>
      <c r="Z1064" s="52"/>
      <c r="AA1064" s="52"/>
      <c r="AB1064" s="52"/>
      <c r="AC1064" s="52"/>
      <c r="AD1064" s="53"/>
      <c r="AE1064" s="53"/>
      <c r="AF1064" s="53"/>
    </row>
    <row r="1065">
      <c r="G1065" s="55"/>
      <c r="N1065" s="6"/>
      <c r="O1065" s="53"/>
      <c r="P1065" s="53"/>
      <c r="Q1065" s="53"/>
      <c r="R1065" s="51"/>
      <c r="S1065" s="51"/>
      <c r="T1065" s="53"/>
      <c r="U1065" s="53"/>
      <c r="V1065" s="53"/>
      <c r="W1065" s="53"/>
      <c r="X1065" s="53"/>
      <c r="Y1065" s="53"/>
      <c r="Z1065" s="52"/>
      <c r="AA1065" s="52"/>
      <c r="AB1065" s="52"/>
      <c r="AC1065" s="52"/>
      <c r="AD1065" s="53"/>
      <c r="AE1065" s="53"/>
      <c r="AF1065" s="53"/>
    </row>
    <row r="1066">
      <c r="G1066" s="55"/>
      <c r="N1066" s="6"/>
      <c r="O1066" s="53"/>
      <c r="P1066" s="53"/>
      <c r="Q1066" s="53"/>
      <c r="R1066" s="51"/>
      <c r="S1066" s="51"/>
      <c r="T1066" s="53"/>
      <c r="U1066" s="53"/>
      <c r="V1066" s="53"/>
      <c r="W1066" s="53"/>
      <c r="X1066" s="53"/>
      <c r="Y1066" s="53"/>
      <c r="Z1066" s="52"/>
      <c r="AA1066" s="52"/>
      <c r="AB1066" s="52"/>
      <c r="AC1066" s="52"/>
      <c r="AD1066" s="53"/>
      <c r="AE1066" s="53"/>
      <c r="AF1066" s="53"/>
    </row>
    <row r="1067">
      <c r="G1067" s="55"/>
      <c r="N1067" s="6"/>
      <c r="O1067" s="53"/>
      <c r="P1067" s="53"/>
      <c r="Q1067" s="53"/>
      <c r="R1067" s="51"/>
      <c r="S1067" s="51"/>
      <c r="T1067" s="53"/>
      <c r="U1067" s="53"/>
      <c r="V1067" s="53"/>
      <c r="W1067" s="53"/>
      <c r="X1067" s="53"/>
      <c r="Y1067" s="53"/>
      <c r="Z1067" s="52"/>
      <c r="AA1067" s="52"/>
      <c r="AB1067" s="52"/>
      <c r="AC1067" s="52"/>
      <c r="AD1067" s="53"/>
      <c r="AE1067" s="53"/>
      <c r="AF1067" s="53"/>
    </row>
    <row r="1068">
      <c r="G1068" s="55"/>
      <c r="N1068" s="6"/>
      <c r="O1068" s="53"/>
      <c r="P1068" s="53"/>
      <c r="Q1068" s="53"/>
      <c r="R1068" s="51"/>
      <c r="S1068" s="51"/>
      <c r="T1068" s="53"/>
      <c r="U1068" s="53"/>
      <c r="V1068" s="53"/>
      <c r="W1068" s="53"/>
      <c r="X1068" s="53"/>
      <c r="Y1068" s="53"/>
      <c r="Z1068" s="52"/>
      <c r="AA1068" s="52"/>
      <c r="AB1068" s="52"/>
      <c r="AC1068" s="52"/>
      <c r="AD1068" s="53"/>
      <c r="AE1068" s="53"/>
      <c r="AF1068" s="53"/>
    </row>
    <row r="1069">
      <c r="G1069" s="55"/>
      <c r="N1069" s="6"/>
      <c r="O1069" s="53"/>
      <c r="P1069" s="53"/>
      <c r="Q1069" s="53"/>
      <c r="R1069" s="51"/>
      <c r="S1069" s="51"/>
      <c r="T1069" s="53"/>
      <c r="U1069" s="53"/>
      <c r="V1069" s="53"/>
      <c r="W1069" s="53"/>
      <c r="X1069" s="53"/>
      <c r="Y1069" s="53"/>
      <c r="Z1069" s="52"/>
      <c r="AA1069" s="52"/>
      <c r="AB1069" s="52"/>
      <c r="AC1069" s="52"/>
      <c r="AD1069" s="53"/>
      <c r="AE1069" s="53"/>
      <c r="AF1069" s="53"/>
    </row>
    <row r="1070">
      <c r="G1070" s="55"/>
      <c r="N1070" s="6"/>
      <c r="O1070" s="53"/>
      <c r="P1070" s="53"/>
      <c r="Q1070" s="53"/>
      <c r="R1070" s="51"/>
      <c r="S1070" s="51"/>
      <c r="T1070" s="53"/>
      <c r="U1070" s="53"/>
      <c r="V1070" s="53"/>
      <c r="W1070" s="53"/>
      <c r="X1070" s="53"/>
      <c r="Y1070" s="53"/>
      <c r="Z1070" s="52"/>
      <c r="AA1070" s="52"/>
      <c r="AB1070" s="52"/>
      <c r="AC1070" s="52"/>
      <c r="AD1070" s="53"/>
      <c r="AE1070" s="53"/>
      <c r="AF1070" s="53"/>
    </row>
    <row r="1071">
      <c r="G1071" s="55"/>
      <c r="N1071" s="6"/>
      <c r="O1071" s="53"/>
      <c r="P1071" s="53"/>
      <c r="Q1071" s="53"/>
      <c r="R1071" s="51"/>
      <c r="S1071" s="51"/>
      <c r="T1071" s="53"/>
      <c r="U1071" s="53"/>
      <c r="V1071" s="53"/>
      <c r="W1071" s="53"/>
      <c r="X1071" s="53"/>
      <c r="Y1071" s="53"/>
      <c r="Z1071" s="52"/>
      <c r="AA1071" s="52"/>
      <c r="AB1071" s="52"/>
      <c r="AC1071" s="52"/>
      <c r="AD1071" s="53"/>
      <c r="AE1071" s="53"/>
      <c r="AF1071" s="53"/>
    </row>
    <row r="1072">
      <c r="G1072" s="55"/>
      <c r="N1072" s="6"/>
      <c r="O1072" s="53"/>
      <c r="P1072" s="53"/>
      <c r="Q1072" s="53"/>
      <c r="R1072" s="51"/>
      <c r="S1072" s="51"/>
      <c r="T1072" s="53"/>
      <c r="U1072" s="53"/>
      <c r="V1072" s="53"/>
      <c r="W1072" s="53"/>
      <c r="X1072" s="53"/>
      <c r="Y1072" s="53"/>
      <c r="Z1072" s="52"/>
      <c r="AA1072" s="52"/>
      <c r="AB1072" s="52"/>
      <c r="AC1072" s="52"/>
      <c r="AD1072" s="53"/>
      <c r="AE1072" s="53"/>
      <c r="AF1072" s="53"/>
    </row>
    <row r="1073">
      <c r="G1073" s="55"/>
      <c r="N1073" s="6"/>
      <c r="O1073" s="53"/>
      <c r="P1073" s="53"/>
      <c r="Q1073" s="53"/>
      <c r="R1073" s="51"/>
      <c r="S1073" s="51"/>
      <c r="T1073" s="53"/>
      <c r="U1073" s="53"/>
      <c r="V1073" s="53"/>
      <c r="W1073" s="53"/>
      <c r="X1073" s="53"/>
      <c r="Y1073" s="53"/>
      <c r="Z1073" s="52"/>
      <c r="AA1073" s="52"/>
      <c r="AB1073" s="52"/>
      <c r="AC1073" s="52"/>
      <c r="AD1073" s="53"/>
      <c r="AE1073" s="53"/>
      <c r="AF1073" s="53"/>
    </row>
    <row r="1074">
      <c r="G1074" s="55"/>
      <c r="N1074" s="6"/>
      <c r="O1074" s="53"/>
      <c r="P1074" s="53"/>
      <c r="Q1074" s="53"/>
      <c r="R1074" s="51"/>
      <c r="S1074" s="51"/>
      <c r="T1074" s="53"/>
      <c r="U1074" s="53"/>
      <c r="V1074" s="53"/>
      <c r="W1074" s="53"/>
      <c r="X1074" s="53"/>
      <c r="Y1074" s="53"/>
      <c r="Z1074" s="52"/>
      <c r="AA1074" s="52"/>
      <c r="AB1074" s="52"/>
      <c r="AC1074" s="52"/>
      <c r="AD1074" s="53"/>
      <c r="AE1074" s="53"/>
      <c r="AF1074" s="53"/>
    </row>
    <row r="1075">
      <c r="G1075" s="55"/>
      <c r="N1075" s="6"/>
      <c r="O1075" s="53"/>
      <c r="P1075" s="53"/>
      <c r="Q1075" s="53"/>
      <c r="R1075" s="51"/>
      <c r="S1075" s="51"/>
      <c r="T1075" s="53"/>
      <c r="U1075" s="53"/>
      <c r="V1075" s="53"/>
      <c r="W1075" s="53"/>
      <c r="X1075" s="53"/>
      <c r="Y1075" s="53"/>
      <c r="Z1075" s="52"/>
      <c r="AA1075" s="52"/>
      <c r="AB1075" s="52"/>
      <c r="AC1075" s="52"/>
      <c r="AD1075" s="53"/>
      <c r="AE1075" s="53"/>
      <c r="AF1075" s="53"/>
    </row>
    <row r="1076">
      <c r="G1076" s="55"/>
      <c r="N1076" s="6"/>
      <c r="O1076" s="53"/>
      <c r="P1076" s="53"/>
      <c r="Q1076" s="53"/>
      <c r="R1076" s="51"/>
      <c r="S1076" s="51"/>
      <c r="T1076" s="53"/>
      <c r="U1076" s="53"/>
      <c r="V1076" s="53"/>
      <c r="W1076" s="53"/>
      <c r="X1076" s="53"/>
      <c r="Y1076" s="53"/>
      <c r="Z1076" s="52"/>
      <c r="AA1076" s="52"/>
      <c r="AB1076" s="52"/>
      <c r="AC1076" s="52"/>
      <c r="AD1076" s="53"/>
      <c r="AE1076" s="53"/>
      <c r="AF1076" s="53"/>
    </row>
    <row r="1077">
      <c r="G1077" s="55"/>
      <c r="N1077" s="6"/>
      <c r="O1077" s="53"/>
      <c r="P1077" s="53"/>
      <c r="Q1077" s="53"/>
      <c r="R1077" s="51"/>
      <c r="S1077" s="51"/>
      <c r="T1077" s="53"/>
      <c r="U1077" s="53"/>
      <c r="V1077" s="53"/>
      <c r="W1077" s="53"/>
      <c r="X1077" s="53"/>
      <c r="Y1077" s="53"/>
      <c r="Z1077" s="52"/>
      <c r="AA1077" s="52"/>
      <c r="AB1077" s="52"/>
      <c r="AC1077" s="52"/>
      <c r="AD1077" s="53"/>
      <c r="AE1077" s="53"/>
      <c r="AF1077" s="53"/>
    </row>
    <row r="1078">
      <c r="G1078" s="55"/>
      <c r="N1078" s="6"/>
      <c r="O1078" s="53"/>
      <c r="P1078" s="53"/>
      <c r="Q1078" s="53"/>
      <c r="R1078" s="51"/>
      <c r="S1078" s="51"/>
      <c r="T1078" s="53"/>
      <c r="U1078" s="53"/>
      <c r="V1078" s="53"/>
      <c r="W1078" s="53"/>
      <c r="X1078" s="53"/>
      <c r="Y1078" s="53"/>
      <c r="Z1078" s="52"/>
      <c r="AA1078" s="52"/>
      <c r="AB1078" s="52"/>
      <c r="AC1078" s="52"/>
      <c r="AD1078" s="53"/>
      <c r="AE1078" s="53"/>
      <c r="AF1078" s="53"/>
    </row>
    <row r="1079">
      <c r="G1079" s="55"/>
      <c r="N1079" s="6"/>
      <c r="O1079" s="53"/>
      <c r="P1079" s="53"/>
      <c r="Q1079" s="53"/>
      <c r="R1079" s="51"/>
      <c r="S1079" s="51"/>
      <c r="T1079" s="53"/>
      <c r="U1079" s="53"/>
      <c r="V1079" s="53"/>
      <c r="W1079" s="53"/>
      <c r="X1079" s="53"/>
      <c r="Y1079" s="53"/>
      <c r="Z1079" s="52"/>
      <c r="AA1079" s="52"/>
      <c r="AB1079" s="52"/>
      <c r="AC1079" s="52"/>
      <c r="AD1079" s="53"/>
      <c r="AE1079" s="53"/>
      <c r="AF1079" s="53"/>
    </row>
    <row r="1080">
      <c r="G1080" s="55"/>
      <c r="N1080" s="6"/>
      <c r="O1080" s="53"/>
      <c r="P1080" s="53"/>
      <c r="Q1080" s="53"/>
      <c r="R1080" s="51"/>
      <c r="S1080" s="51"/>
      <c r="T1080" s="53"/>
      <c r="U1080" s="53"/>
      <c r="V1080" s="53"/>
      <c r="W1080" s="53"/>
      <c r="X1080" s="53"/>
      <c r="Y1080" s="53"/>
      <c r="Z1080" s="52"/>
      <c r="AA1080" s="52"/>
      <c r="AB1080" s="52"/>
      <c r="AC1080" s="52"/>
      <c r="AD1080" s="53"/>
      <c r="AE1080" s="53"/>
      <c r="AF1080" s="53"/>
    </row>
    <row r="1081">
      <c r="G1081" s="55"/>
      <c r="N1081" s="6"/>
      <c r="O1081" s="53"/>
      <c r="P1081" s="53"/>
      <c r="Q1081" s="53"/>
      <c r="R1081" s="51"/>
      <c r="S1081" s="51"/>
      <c r="T1081" s="53"/>
      <c r="U1081" s="53"/>
      <c r="V1081" s="53"/>
      <c r="W1081" s="53"/>
      <c r="X1081" s="53"/>
      <c r="Y1081" s="53"/>
      <c r="Z1081" s="52"/>
      <c r="AA1081" s="52"/>
      <c r="AB1081" s="52"/>
      <c r="AC1081" s="52"/>
      <c r="AD1081" s="53"/>
      <c r="AE1081" s="53"/>
      <c r="AF1081" s="53"/>
    </row>
    <row r="1082">
      <c r="G1082" s="55"/>
      <c r="N1082" s="6"/>
      <c r="O1082" s="53"/>
      <c r="P1082" s="53"/>
      <c r="Q1082" s="53"/>
      <c r="R1082" s="51"/>
      <c r="S1082" s="51"/>
      <c r="T1082" s="53"/>
      <c r="U1082" s="53"/>
      <c r="V1082" s="53"/>
      <c r="W1082" s="53"/>
      <c r="X1082" s="53"/>
      <c r="Y1082" s="53"/>
      <c r="Z1082" s="52"/>
      <c r="AA1082" s="52"/>
      <c r="AB1082" s="52"/>
      <c r="AC1082" s="52"/>
      <c r="AD1082" s="53"/>
      <c r="AE1082" s="53"/>
      <c r="AF1082" s="53"/>
    </row>
    <row r="1083">
      <c r="G1083" s="55"/>
      <c r="N1083" s="6"/>
      <c r="O1083" s="53"/>
      <c r="P1083" s="53"/>
      <c r="Q1083" s="53"/>
      <c r="R1083" s="51"/>
      <c r="S1083" s="51"/>
      <c r="T1083" s="53"/>
      <c r="U1083" s="53"/>
      <c r="V1083" s="53"/>
      <c r="W1083" s="53"/>
      <c r="X1083" s="53"/>
      <c r="Y1083" s="53"/>
      <c r="Z1083" s="52"/>
      <c r="AA1083" s="52"/>
      <c r="AB1083" s="52"/>
      <c r="AC1083" s="52"/>
      <c r="AD1083" s="53"/>
      <c r="AE1083" s="53"/>
      <c r="AF1083" s="53"/>
    </row>
    <row r="1084">
      <c r="G1084" s="55"/>
      <c r="N1084" s="6"/>
      <c r="O1084" s="53"/>
      <c r="P1084" s="53"/>
      <c r="Q1084" s="53"/>
      <c r="R1084" s="51"/>
      <c r="S1084" s="51"/>
      <c r="T1084" s="53"/>
      <c r="U1084" s="53"/>
      <c r="V1084" s="53"/>
      <c r="W1084" s="53"/>
      <c r="X1084" s="53"/>
      <c r="Y1084" s="53"/>
      <c r="Z1084" s="52"/>
      <c r="AA1084" s="52"/>
      <c r="AB1084" s="52"/>
      <c r="AC1084" s="52"/>
      <c r="AD1084" s="53"/>
      <c r="AE1084" s="53"/>
      <c r="AF1084" s="53"/>
    </row>
    <row r="1085">
      <c r="G1085" s="55"/>
      <c r="N1085" s="6"/>
      <c r="O1085" s="53"/>
      <c r="P1085" s="53"/>
      <c r="Q1085" s="53"/>
      <c r="R1085" s="51"/>
      <c r="S1085" s="51"/>
      <c r="T1085" s="53"/>
      <c r="U1085" s="53"/>
      <c r="V1085" s="53"/>
      <c r="W1085" s="53"/>
      <c r="X1085" s="53"/>
      <c r="Y1085" s="53"/>
      <c r="Z1085" s="52"/>
      <c r="AA1085" s="52"/>
      <c r="AB1085" s="52"/>
      <c r="AC1085" s="52"/>
      <c r="AD1085" s="53"/>
      <c r="AE1085" s="53"/>
      <c r="AF1085" s="53"/>
    </row>
    <row r="1086">
      <c r="G1086" s="55"/>
      <c r="N1086" s="6"/>
      <c r="O1086" s="53"/>
      <c r="P1086" s="53"/>
      <c r="Q1086" s="53"/>
      <c r="R1086" s="51"/>
      <c r="S1086" s="51"/>
      <c r="T1086" s="53"/>
      <c r="U1086" s="53"/>
      <c r="V1086" s="53"/>
      <c r="W1086" s="53"/>
      <c r="X1086" s="53"/>
      <c r="Y1086" s="53"/>
      <c r="Z1086" s="52"/>
      <c r="AA1086" s="52"/>
      <c r="AB1086" s="52"/>
      <c r="AC1086" s="52"/>
      <c r="AD1086" s="53"/>
      <c r="AE1086" s="53"/>
      <c r="AF1086" s="53"/>
    </row>
    <row r="1087">
      <c r="G1087" s="55"/>
      <c r="N1087" s="6"/>
      <c r="O1087" s="53"/>
      <c r="P1087" s="53"/>
      <c r="Q1087" s="53"/>
      <c r="R1087" s="51"/>
      <c r="S1087" s="51"/>
      <c r="T1087" s="53"/>
      <c r="U1087" s="53"/>
      <c r="V1087" s="53"/>
      <c r="W1087" s="53"/>
      <c r="X1087" s="53"/>
      <c r="Y1087" s="53"/>
      <c r="Z1087" s="52"/>
      <c r="AA1087" s="52"/>
      <c r="AB1087" s="52"/>
      <c r="AC1087" s="52"/>
      <c r="AD1087" s="53"/>
      <c r="AE1087" s="53"/>
      <c r="AF1087" s="53"/>
    </row>
    <row r="1088">
      <c r="G1088" s="55"/>
      <c r="N1088" s="6"/>
      <c r="O1088" s="53"/>
      <c r="P1088" s="53"/>
      <c r="Q1088" s="53"/>
      <c r="R1088" s="51"/>
      <c r="S1088" s="51"/>
      <c r="T1088" s="53"/>
      <c r="U1088" s="53"/>
      <c r="V1088" s="53"/>
      <c r="W1088" s="53"/>
      <c r="X1088" s="53"/>
      <c r="Y1088" s="53"/>
      <c r="Z1088" s="52"/>
      <c r="AA1088" s="52"/>
      <c r="AB1088" s="52"/>
      <c r="AC1088" s="52"/>
      <c r="AD1088" s="53"/>
      <c r="AE1088" s="53"/>
      <c r="AF1088" s="53"/>
    </row>
    <row r="1089">
      <c r="G1089" s="55"/>
      <c r="N1089" s="6"/>
      <c r="O1089" s="53"/>
      <c r="P1089" s="53"/>
      <c r="Q1089" s="53"/>
      <c r="R1089" s="51"/>
      <c r="S1089" s="51"/>
      <c r="T1089" s="53"/>
      <c r="U1089" s="53"/>
      <c r="V1089" s="53"/>
      <c r="W1089" s="53"/>
      <c r="X1089" s="53"/>
      <c r="Y1089" s="53"/>
      <c r="Z1089" s="52"/>
      <c r="AA1089" s="52"/>
      <c r="AB1089" s="52"/>
      <c r="AC1089" s="52"/>
      <c r="AD1089" s="53"/>
      <c r="AE1089" s="53"/>
      <c r="AF1089" s="53"/>
    </row>
    <row r="1090">
      <c r="G1090" s="55"/>
      <c r="N1090" s="6"/>
      <c r="O1090" s="53"/>
      <c r="P1090" s="53"/>
      <c r="Q1090" s="53"/>
      <c r="R1090" s="51"/>
      <c r="S1090" s="51"/>
      <c r="T1090" s="53"/>
      <c r="U1090" s="53"/>
      <c r="V1090" s="53"/>
      <c r="W1090" s="53"/>
      <c r="X1090" s="53"/>
      <c r="Y1090" s="53"/>
      <c r="Z1090" s="52"/>
      <c r="AA1090" s="52"/>
      <c r="AB1090" s="52"/>
      <c r="AC1090" s="52"/>
      <c r="AD1090" s="53"/>
      <c r="AE1090" s="53"/>
      <c r="AF1090" s="53"/>
    </row>
    <row r="1091">
      <c r="G1091" s="55"/>
      <c r="N1091" s="6"/>
      <c r="O1091" s="53"/>
      <c r="P1091" s="53"/>
      <c r="Q1091" s="53"/>
      <c r="R1091" s="51"/>
      <c r="S1091" s="51"/>
      <c r="T1091" s="53"/>
      <c r="U1091" s="53"/>
      <c r="V1091" s="53"/>
      <c r="W1091" s="53"/>
      <c r="X1091" s="53"/>
      <c r="Y1091" s="53"/>
      <c r="Z1091" s="52"/>
      <c r="AA1091" s="52"/>
      <c r="AB1091" s="52"/>
      <c r="AC1091" s="52"/>
      <c r="AD1091" s="53"/>
      <c r="AE1091" s="53"/>
      <c r="AF1091" s="53"/>
    </row>
    <row r="1092">
      <c r="G1092" s="55"/>
      <c r="N1092" s="6"/>
      <c r="O1092" s="53"/>
      <c r="P1092" s="53"/>
      <c r="Q1092" s="53"/>
      <c r="R1092" s="51"/>
      <c r="S1092" s="51"/>
      <c r="T1092" s="53"/>
      <c r="U1092" s="53"/>
      <c r="V1092" s="53"/>
      <c r="W1092" s="53"/>
      <c r="X1092" s="53"/>
      <c r="Y1092" s="53"/>
      <c r="Z1092" s="52"/>
      <c r="AA1092" s="52"/>
      <c r="AB1092" s="52"/>
      <c r="AC1092" s="52"/>
      <c r="AD1092" s="53"/>
      <c r="AE1092" s="53"/>
      <c r="AF1092" s="53"/>
    </row>
    <row r="1093">
      <c r="G1093" s="55"/>
      <c r="N1093" s="6"/>
      <c r="O1093" s="53"/>
      <c r="P1093" s="53"/>
      <c r="Q1093" s="53"/>
      <c r="R1093" s="51"/>
      <c r="S1093" s="51"/>
      <c r="T1093" s="53"/>
      <c r="U1093" s="53"/>
      <c r="V1093" s="53"/>
      <c r="W1093" s="53"/>
      <c r="X1093" s="53"/>
      <c r="Y1093" s="53"/>
      <c r="Z1093" s="52"/>
      <c r="AA1093" s="52"/>
      <c r="AB1093" s="52"/>
      <c r="AC1093" s="52"/>
      <c r="AD1093" s="53"/>
      <c r="AE1093" s="53"/>
      <c r="AF1093" s="53"/>
    </row>
    <row r="1094">
      <c r="G1094" s="55"/>
      <c r="N1094" s="6"/>
      <c r="O1094" s="53"/>
      <c r="P1094" s="53"/>
      <c r="Q1094" s="53"/>
      <c r="R1094" s="51"/>
      <c r="S1094" s="51"/>
      <c r="T1094" s="53"/>
      <c r="U1094" s="53"/>
      <c r="V1094" s="53"/>
      <c r="W1094" s="53"/>
      <c r="X1094" s="53"/>
      <c r="Y1094" s="53"/>
      <c r="Z1094" s="52"/>
      <c r="AA1094" s="52"/>
      <c r="AB1094" s="52"/>
      <c r="AC1094" s="52"/>
      <c r="AD1094" s="53"/>
      <c r="AE1094" s="53"/>
      <c r="AF1094" s="53"/>
    </row>
    <row r="1095">
      <c r="G1095" s="55"/>
      <c r="N1095" s="6"/>
      <c r="O1095" s="53"/>
      <c r="P1095" s="53"/>
      <c r="Q1095" s="53"/>
      <c r="R1095" s="51"/>
      <c r="S1095" s="51"/>
      <c r="T1095" s="53"/>
      <c r="U1095" s="53"/>
      <c r="V1095" s="53"/>
      <c r="W1095" s="53"/>
      <c r="X1095" s="53"/>
      <c r="Y1095" s="53"/>
      <c r="Z1095" s="52"/>
      <c r="AA1095" s="52"/>
      <c r="AB1095" s="52"/>
      <c r="AC1095" s="52"/>
      <c r="AD1095" s="53"/>
      <c r="AE1095" s="53"/>
      <c r="AF1095" s="53"/>
    </row>
    <row r="1096">
      <c r="G1096" s="55"/>
      <c r="N1096" s="6"/>
      <c r="O1096" s="53"/>
      <c r="P1096" s="53"/>
      <c r="Q1096" s="53"/>
      <c r="R1096" s="51"/>
      <c r="S1096" s="51"/>
      <c r="T1096" s="53"/>
      <c r="U1096" s="53"/>
      <c r="V1096" s="53"/>
      <c r="W1096" s="53"/>
      <c r="X1096" s="53"/>
      <c r="Y1096" s="53"/>
      <c r="Z1096" s="52"/>
      <c r="AA1096" s="52"/>
      <c r="AB1096" s="52"/>
      <c r="AC1096" s="52"/>
      <c r="AD1096" s="53"/>
      <c r="AE1096" s="53"/>
      <c r="AF1096" s="53"/>
    </row>
    <row r="1097">
      <c r="G1097" s="55"/>
      <c r="N1097" s="6"/>
      <c r="O1097" s="53"/>
      <c r="P1097" s="53"/>
      <c r="Q1097" s="53"/>
      <c r="R1097" s="51"/>
      <c r="S1097" s="51"/>
      <c r="T1097" s="53"/>
      <c r="U1097" s="53"/>
      <c r="V1097" s="53"/>
      <c r="W1097" s="53"/>
      <c r="X1097" s="53"/>
      <c r="Y1097" s="53"/>
      <c r="Z1097" s="52"/>
      <c r="AA1097" s="52"/>
      <c r="AB1097" s="52"/>
      <c r="AC1097" s="52"/>
      <c r="AD1097" s="53"/>
      <c r="AE1097" s="53"/>
      <c r="AF1097" s="53"/>
    </row>
    <row r="1098">
      <c r="G1098" s="55"/>
      <c r="N1098" s="6"/>
      <c r="O1098" s="53"/>
      <c r="P1098" s="53"/>
      <c r="Q1098" s="53"/>
      <c r="R1098" s="51"/>
      <c r="S1098" s="51"/>
      <c r="T1098" s="53"/>
      <c r="U1098" s="53"/>
      <c r="V1098" s="53"/>
      <c r="W1098" s="53"/>
      <c r="X1098" s="53"/>
      <c r="Y1098" s="53"/>
      <c r="Z1098" s="52"/>
      <c r="AA1098" s="52"/>
      <c r="AB1098" s="52"/>
      <c r="AC1098" s="52"/>
      <c r="AD1098" s="53"/>
      <c r="AE1098" s="53"/>
      <c r="AF1098" s="53"/>
    </row>
    <row r="1099">
      <c r="G1099" s="55"/>
      <c r="N1099" s="6"/>
      <c r="O1099" s="53"/>
      <c r="P1099" s="53"/>
      <c r="Q1099" s="53"/>
      <c r="R1099" s="51"/>
      <c r="S1099" s="51"/>
      <c r="T1099" s="53"/>
      <c r="U1099" s="53"/>
      <c r="V1099" s="53"/>
      <c r="W1099" s="53"/>
      <c r="X1099" s="53"/>
      <c r="Y1099" s="53"/>
      <c r="Z1099" s="52"/>
      <c r="AA1099" s="52"/>
      <c r="AB1099" s="52"/>
      <c r="AC1099" s="52"/>
      <c r="AD1099" s="53"/>
      <c r="AE1099" s="53"/>
      <c r="AF1099" s="53"/>
    </row>
    <row r="1100">
      <c r="G1100" s="55"/>
      <c r="N1100" s="6"/>
      <c r="O1100" s="53"/>
      <c r="P1100" s="53"/>
      <c r="Q1100" s="53"/>
      <c r="R1100" s="51"/>
      <c r="S1100" s="51"/>
      <c r="T1100" s="53"/>
      <c r="U1100" s="53"/>
      <c r="V1100" s="53"/>
      <c r="W1100" s="53"/>
      <c r="X1100" s="53"/>
      <c r="Y1100" s="53"/>
      <c r="Z1100" s="52"/>
      <c r="AA1100" s="52"/>
      <c r="AB1100" s="52"/>
      <c r="AC1100" s="52"/>
      <c r="AD1100" s="53"/>
      <c r="AE1100" s="53"/>
      <c r="AF1100" s="53"/>
    </row>
    <row r="1101">
      <c r="G1101" s="55"/>
      <c r="N1101" s="6"/>
      <c r="O1101" s="53"/>
      <c r="P1101" s="53"/>
      <c r="Q1101" s="53"/>
      <c r="R1101" s="51"/>
      <c r="S1101" s="51"/>
      <c r="T1101" s="53"/>
      <c r="U1101" s="53"/>
      <c r="V1101" s="53"/>
      <c r="W1101" s="53"/>
      <c r="X1101" s="53"/>
      <c r="Y1101" s="53"/>
      <c r="Z1101" s="52"/>
      <c r="AA1101" s="52"/>
      <c r="AB1101" s="52"/>
      <c r="AC1101" s="52"/>
      <c r="AD1101" s="53"/>
      <c r="AE1101" s="53"/>
      <c r="AF1101" s="53"/>
    </row>
    <row r="1102">
      <c r="G1102" s="55"/>
      <c r="N1102" s="6"/>
      <c r="O1102" s="53"/>
      <c r="P1102" s="53"/>
      <c r="Q1102" s="53"/>
      <c r="R1102" s="51"/>
      <c r="S1102" s="51"/>
      <c r="T1102" s="53"/>
      <c r="U1102" s="53"/>
      <c r="V1102" s="53"/>
      <c r="W1102" s="53"/>
      <c r="X1102" s="53"/>
      <c r="Y1102" s="53"/>
      <c r="Z1102" s="52"/>
      <c r="AA1102" s="52"/>
      <c r="AB1102" s="52"/>
      <c r="AC1102" s="52"/>
      <c r="AD1102" s="53"/>
      <c r="AE1102" s="53"/>
      <c r="AF1102" s="53"/>
    </row>
    <row r="1103">
      <c r="G1103" s="55"/>
      <c r="N1103" s="6"/>
      <c r="O1103" s="53"/>
      <c r="P1103" s="53"/>
      <c r="Q1103" s="53"/>
      <c r="R1103" s="51"/>
      <c r="S1103" s="51"/>
      <c r="T1103" s="53"/>
      <c r="U1103" s="53"/>
      <c r="V1103" s="53"/>
      <c r="W1103" s="53"/>
      <c r="X1103" s="53"/>
      <c r="Y1103" s="53"/>
      <c r="Z1103" s="52"/>
      <c r="AA1103" s="52"/>
      <c r="AB1103" s="52"/>
      <c r="AC1103" s="52"/>
      <c r="AD1103" s="53"/>
      <c r="AE1103" s="53"/>
      <c r="AF1103" s="53"/>
    </row>
    <row r="1104">
      <c r="G1104" s="55"/>
      <c r="N1104" s="6"/>
      <c r="O1104" s="53"/>
      <c r="P1104" s="53"/>
      <c r="Q1104" s="53"/>
      <c r="R1104" s="51"/>
      <c r="S1104" s="51"/>
      <c r="T1104" s="53"/>
      <c r="U1104" s="53"/>
      <c r="V1104" s="53"/>
      <c r="W1104" s="53"/>
      <c r="X1104" s="53"/>
      <c r="Y1104" s="53"/>
      <c r="Z1104" s="52"/>
      <c r="AA1104" s="52"/>
      <c r="AB1104" s="52"/>
      <c r="AC1104" s="52"/>
      <c r="AD1104" s="53"/>
      <c r="AE1104" s="53"/>
      <c r="AF1104" s="53"/>
    </row>
    <row r="1105">
      <c r="G1105" s="55"/>
      <c r="N1105" s="6"/>
      <c r="O1105" s="53"/>
      <c r="P1105" s="53"/>
      <c r="Q1105" s="53"/>
      <c r="R1105" s="51"/>
      <c r="S1105" s="51"/>
      <c r="T1105" s="53"/>
      <c r="U1105" s="53"/>
      <c r="V1105" s="53"/>
      <c r="W1105" s="53"/>
      <c r="X1105" s="53"/>
      <c r="Y1105" s="53"/>
      <c r="Z1105" s="52"/>
      <c r="AA1105" s="52"/>
      <c r="AB1105" s="52"/>
      <c r="AC1105" s="52"/>
      <c r="AD1105" s="53"/>
      <c r="AE1105" s="53"/>
      <c r="AF1105" s="53"/>
    </row>
    <row r="1106">
      <c r="G1106" s="55"/>
      <c r="N1106" s="6"/>
      <c r="O1106" s="53"/>
      <c r="P1106" s="53"/>
      <c r="Q1106" s="53"/>
      <c r="R1106" s="51"/>
      <c r="S1106" s="51"/>
      <c r="T1106" s="53"/>
      <c r="U1106" s="53"/>
      <c r="V1106" s="53"/>
      <c r="W1106" s="53"/>
      <c r="X1106" s="53"/>
      <c r="Y1106" s="53"/>
      <c r="Z1106" s="52"/>
      <c r="AA1106" s="52"/>
      <c r="AB1106" s="52"/>
      <c r="AC1106" s="52"/>
      <c r="AD1106" s="53"/>
      <c r="AE1106" s="53"/>
      <c r="AF1106" s="53"/>
    </row>
    <row r="1107">
      <c r="G1107" s="55"/>
      <c r="N1107" s="6"/>
      <c r="O1107" s="53"/>
      <c r="P1107" s="53"/>
      <c r="Q1107" s="53"/>
      <c r="R1107" s="51"/>
      <c r="S1107" s="51"/>
      <c r="T1107" s="53"/>
      <c r="U1107" s="53"/>
      <c r="V1107" s="53"/>
      <c r="W1107" s="53"/>
      <c r="X1107" s="53"/>
      <c r="Y1107" s="53"/>
      <c r="Z1107" s="52"/>
      <c r="AA1107" s="52"/>
      <c r="AB1107" s="52"/>
      <c r="AC1107" s="52"/>
      <c r="AD1107" s="53"/>
      <c r="AE1107" s="53"/>
      <c r="AF1107" s="53"/>
    </row>
    <row r="1108">
      <c r="G1108" s="55"/>
      <c r="N1108" s="6"/>
      <c r="O1108" s="53"/>
      <c r="P1108" s="53"/>
      <c r="Q1108" s="53"/>
      <c r="R1108" s="51"/>
      <c r="S1108" s="51"/>
      <c r="T1108" s="53"/>
      <c r="U1108" s="53"/>
      <c r="V1108" s="53"/>
      <c r="W1108" s="53"/>
      <c r="X1108" s="53"/>
      <c r="Y1108" s="53"/>
      <c r="Z1108" s="52"/>
      <c r="AA1108" s="52"/>
      <c r="AB1108" s="52"/>
      <c r="AC1108" s="52"/>
      <c r="AD1108" s="53"/>
      <c r="AE1108" s="53"/>
      <c r="AF1108" s="53"/>
    </row>
    <row r="1109">
      <c r="G1109" s="55"/>
      <c r="N1109" s="6"/>
      <c r="O1109" s="53"/>
      <c r="P1109" s="53"/>
      <c r="Q1109" s="53"/>
      <c r="R1109" s="51"/>
      <c r="S1109" s="51"/>
      <c r="T1109" s="53"/>
      <c r="U1109" s="53"/>
      <c r="V1109" s="53"/>
      <c r="W1109" s="53"/>
      <c r="X1109" s="53"/>
      <c r="Y1109" s="53"/>
      <c r="Z1109" s="52"/>
      <c r="AA1109" s="52"/>
      <c r="AB1109" s="52"/>
      <c r="AC1109" s="52"/>
      <c r="AD1109" s="53"/>
      <c r="AE1109" s="53"/>
      <c r="AF1109" s="53"/>
    </row>
    <row r="1110">
      <c r="G1110" s="55"/>
      <c r="N1110" s="6"/>
      <c r="O1110" s="53"/>
      <c r="P1110" s="53"/>
      <c r="Q1110" s="53"/>
      <c r="R1110" s="51"/>
      <c r="S1110" s="51"/>
      <c r="T1110" s="53"/>
      <c r="U1110" s="53"/>
      <c r="V1110" s="53"/>
      <c r="W1110" s="53"/>
      <c r="X1110" s="53"/>
      <c r="Y1110" s="53"/>
      <c r="Z1110" s="52"/>
      <c r="AA1110" s="52"/>
      <c r="AB1110" s="52"/>
      <c r="AC1110" s="52"/>
      <c r="AD1110" s="53"/>
      <c r="AE1110" s="53"/>
      <c r="AF1110" s="53"/>
    </row>
    <row r="1111">
      <c r="G1111" s="55"/>
      <c r="N1111" s="6"/>
      <c r="O1111" s="53"/>
      <c r="P1111" s="53"/>
      <c r="Q1111" s="53"/>
      <c r="R1111" s="51"/>
      <c r="S1111" s="51"/>
      <c r="T1111" s="53"/>
      <c r="U1111" s="53"/>
      <c r="V1111" s="53"/>
      <c r="W1111" s="53"/>
      <c r="X1111" s="53"/>
      <c r="Y1111" s="53"/>
      <c r="Z1111" s="52"/>
      <c r="AA1111" s="52"/>
      <c r="AB1111" s="52"/>
      <c r="AC1111" s="52"/>
      <c r="AD1111" s="53"/>
      <c r="AE1111" s="53"/>
      <c r="AF1111" s="53"/>
    </row>
    <row r="1112">
      <c r="G1112" s="55"/>
      <c r="N1112" s="6"/>
      <c r="O1112" s="53"/>
      <c r="P1112" s="53"/>
      <c r="Q1112" s="53"/>
      <c r="R1112" s="51"/>
      <c r="S1112" s="51"/>
      <c r="T1112" s="53"/>
      <c r="U1112" s="53"/>
      <c r="V1112" s="53"/>
      <c r="W1112" s="53"/>
      <c r="X1112" s="53"/>
      <c r="Y1112" s="53"/>
      <c r="Z1112" s="52"/>
      <c r="AA1112" s="52"/>
      <c r="AB1112" s="52"/>
      <c r="AC1112" s="52"/>
      <c r="AD1112" s="53"/>
      <c r="AE1112" s="53"/>
      <c r="AF1112" s="53"/>
    </row>
    <row r="1113">
      <c r="G1113" s="55"/>
      <c r="N1113" s="6"/>
      <c r="O1113" s="53"/>
      <c r="P1113" s="53"/>
      <c r="Q1113" s="53"/>
      <c r="R1113" s="51"/>
      <c r="S1113" s="51"/>
      <c r="T1113" s="53"/>
      <c r="U1113" s="53"/>
      <c r="V1113" s="53"/>
      <c r="W1113" s="53"/>
      <c r="X1113" s="53"/>
      <c r="Y1113" s="53"/>
      <c r="Z1113" s="52"/>
      <c r="AA1113" s="52"/>
      <c r="AB1113" s="52"/>
      <c r="AC1113" s="52"/>
      <c r="AD1113" s="53"/>
      <c r="AE1113" s="53"/>
      <c r="AF1113" s="53"/>
    </row>
    <row r="1114">
      <c r="G1114" s="55"/>
      <c r="N1114" s="6"/>
      <c r="O1114" s="53"/>
      <c r="P1114" s="53"/>
      <c r="Q1114" s="53"/>
      <c r="R1114" s="51"/>
      <c r="S1114" s="51"/>
      <c r="T1114" s="53"/>
      <c r="U1114" s="53"/>
      <c r="V1114" s="53"/>
      <c r="W1114" s="53"/>
      <c r="X1114" s="53"/>
      <c r="Y1114" s="53"/>
      <c r="Z1114" s="52"/>
      <c r="AA1114" s="52"/>
      <c r="AB1114" s="52"/>
      <c r="AC1114" s="52"/>
      <c r="AD1114" s="53"/>
      <c r="AE1114" s="53"/>
      <c r="AF1114" s="53"/>
    </row>
    <row r="1115">
      <c r="G1115" s="55"/>
      <c r="N1115" s="6"/>
      <c r="O1115" s="53"/>
      <c r="P1115" s="53"/>
      <c r="Q1115" s="53"/>
      <c r="R1115" s="51"/>
      <c r="S1115" s="51"/>
      <c r="T1115" s="53"/>
      <c r="U1115" s="53"/>
      <c r="V1115" s="53"/>
      <c r="W1115" s="53"/>
      <c r="X1115" s="53"/>
      <c r="Y1115" s="53"/>
      <c r="Z1115" s="52"/>
      <c r="AA1115" s="52"/>
      <c r="AB1115" s="52"/>
      <c r="AC1115" s="52"/>
      <c r="AD1115" s="53"/>
      <c r="AE1115" s="53"/>
      <c r="AF1115" s="53"/>
    </row>
    <row r="1116">
      <c r="G1116" s="55"/>
      <c r="N1116" s="6"/>
      <c r="O1116" s="53"/>
      <c r="P1116" s="53"/>
      <c r="Q1116" s="53"/>
      <c r="R1116" s="51"/>
      <c r="S1116" s="51"/>
      <c r="T1116" s="53"/>
      <c r="U1116" s="53"/>
      <c r="V1116" s="53"/>
      <c r="W1116" s="53"/>
      <c r="X1116" s="53"/>
      <c r="Y1116" s="53"/>
      <c r="Z1116" s="52"/>
      <c r="AA1116" s="52"/>
      <c r="AB1116" s="52"/>
      <c r="AC1116" s="52"/>
      <c r="AD1116" s="53"/>
      <c r="AE1116" s="53"/>
      <c r="AF1116" s="53"/>
    </row>
    <row r="1117">
      <c r="G1117" s="55"/>
      <c r="N1117" s="6"/>
      <c r="O1117" s="53"/>
      <c r="P1117" s="53"/>
      <c r="Q1117" s="53"/>
      <c r="R1117" s="51"/>
      <c r="S1117" s="51"/>
      <c r="T1117" s="53"/>
      <c r="U1117" s="53"/>
      <c r="V1117" s="53"/>
      <c r="W1117" s="53"/>
      <c r="X1117" s="53"/>
      <c r="Y1117" s="53"/>
      <c r="Z1117" s="52"/>
      <c r="AA1117" s="52"/>
      <c r="AB1117" s="52"/>
      <c r="AC1117" s="52"/>
      <c r="AD1117" s="53"/>
      <c r="AE1117" s="53"/>
      <c r="AF1117" s="53"/>
    </row>
    <row r="1118">
      <c r="G1118" s="55"/>
      <c r="N1118" s="6"/>
      <c r="O1118" s="53"/>
      <c r="P1118" s="53"/>
      <c r="Q1118" s="53"/>
      <c r="R1118" s="51"/>
      <c r="S1118" s="51"/>
      <c r="T1118" s="53"/>
      <c r="U1118" s="53"/>
      <c r="V1118" s="53"/>
      <c r="W1118" s="53"/>
      <c r="X1118" s="53"/>
      <c r="Y1118" s="53"/>
      <c r="Z1118" s="52"/>
      <c r="AA1118" s="52"/>
      <c r="AB1118" s="52"/>
      <c r="AC1118" s="52"/>
      <c r="AD1118" s="53"/>
      <c r="AE1118" s="53"/>
      <c r="AF1118" s="53"/>
    </row>
    <row r="1119">
      <c r="G1119" s="55"/>
      <c r="N1119" s="6"/>
      <c r="O1119" s="53"/>
      <c r="P1119" s="53"/>
      <c r="Q1119" s="53"/>
      <c r="R1119" s="51"/>
      <c r="S1119" s="51"/>
      <c r="T1119" s="53"/>
      <c r="U1119" s="53"/>
      <c r="V1119" s="53"/>
      <c r="W1119" s="53"/>
      <c r="X1119" s="53"/>
      <c r="Y1119" s="53"/>
      <c r="Z1119" s="52"/>
      <c r="AA1119" s="52"/>
      <c r="AB1119" s="52"/>
      <c r="AC1119" s="52"/>
      <c r="AD1119" s="53"/>
      <c r="AE1119" s="53"/>
      <c r="AF1119" s="53"/>
    </row>
    <row r="1120">
      <c r="G1120" s="55"/>
      <c r="N1120" s="6"/>
      <c r="O1120" s="53"/>
      <c r="P1120" s="53"/>
      <c r="Q1120" s="53"/>
      <c r="R1120" s="51"/>
      <c r="S1120" s="51"/>
      <c r="T1120" s="53"/>
      <c r="U1120" s="53"/>
      <c r="V1120" s="53"/>
      <c r="W1120" s="53"/>
      <c r="X1120" s="53"/>
      <c r="Y1120" s="53"/>
      <c r="Z1120" s="52"/>
      <c r="AA1120" s="52"/>
      <c r="AB1120" s="52"/>
      <c r="AC1120" s="52"/>
      <c r="AD1120" s="53"/>
      <c r="AE1120" s="53"/>
      <c r="AF1120" s="53"/>
    </row>
    <row r="1121">
      <c r="G1121" s="55"/>
      <c r="N1121" s="6"/>
      <c r="O1121" s="53"/>
      <c r="P1121" s="53"/>
      <c r="Q1121" s="53"/>
      <c r="R1121" s="51"/>
      <c r="S1121" s="51"/>
      <c r="T1121" s="53"/>
      <c r="U1121" s="53"/>
      <c r="V1121" s="53"/>
      <c r="W1121" s="53"/>
      <c r="X1121" s="53"/>
      <c r="Y1121" s="53"/>
      <c r="Z1121" s="52"/>
      <c r="AA1121" s="52"/>
      <c r="AB1121" s="52"/>
      <c r="AC1121" s="52"/>
      <c r="AD1121" s="53"/>
      <c r="AE1121" s="53"/>
      <c r="AF1121" s="53"/>
    </row>
    <row r="1122">
      <c r="G1122" s="55"/>
      <c r="N1122" s="6"/>
      <c r="O1122" s="53"/>
      <c r="P1122" s="53"/>
      <c r="Q1122" s="53"/>
      <c r="R1122" s="51"/>
      <c r="S1122" s="51"/>
      <c r="T1122" s="53"/>
      <c r="U1122" s="53"/>
      <c r="V1122" s="53"/>
      <c r="W1122" s="53"/>
      <c r="X1122" s="53"/>
      <c r="Y1122" s="53"/>
      <c r="Z1122" s="52"/>
      <c r="AA1122" s="52"/>
      <c r="AB1122" s="52"/>
      <c r="AC1122" s="52"/>
      <c r="AD1122" s="53"/>
      <c r="AE1122" s="53"/>
      <c r="AF1122" s="53"/>
    </row>
    <row r="1123">
      <c r="G1123" s="55"/>
      <c r="N1123" s="6"/>
      <c r="O1123" s="53"/>
      <c r="P1123" s="53"/>
      <c r="Q1123" s="53"/>
      <c r="R1123" s="51"/>
      <c r="S1123" s="51"/>
      <c r="T1123" s="53"/>
      <c r="U1123" s="53"/>
      <c r="V1123" s="53"/>
      <c r="W1123" s="53"/>
      <c r="X1123" s="53"/>
      <c r="Y1123" s="53"/>
      <c r="Z1123" s="52"/>
      <c r="AA1123" s="52"/>
      <c r="AB1123" s="52"/>
      <c r="AC1123" s="52"/>
      <c r="AD1123" s="53"/>
      <c r="AE1123" s="53"/>
      <c r="AF1123" s="53"/>
    </row>
    <row r="1124">
      <c r="G1124" s="55"/>
      <c r="N1124" s="6"/>
      <c r="O1124" s="53"/>
      <c r="P1124" s="53"/>
      <c r="Q1124" s="53"/>
      <c r="R1124" s="51"/>
      <c r="S1124" s="51"/>
      <c r="T1124" s="53"/>
      <c r="U1124" s="53"/>
      <c r="V1124" s="53"/>
      <c r="W1124" s="53"/>
      <c r="X1124" s="53"/>
      <c r="Y1124" s="53"/>
      <c r="Z1124" s="52"/>
      <c r="AA1124" s="52"/>
      <c r="AB1124" s="52"/>
      <c r="AC1124" s="52"/>
      <c r="AD1124" s="53"/>
      <c r="AE1124" s="53"/>
      <c r="AF1124" s="53"/>
    </row>
    <row r="1125">
      <c r="G1125" s="55"/>
      <c r="N1125" s="6"/>
      <c r="O1125" s="53"/>
      <c r="P1125" s="53"/>
      <c r="Q1125" s="53"/>
      <c r="R1125" s="51"/>
      <c r="S1125" s="51"/>
      <c r="T1125" s="53"/>
      <c r="U1125" s="53"/>
      <c r="V1125" s="53"/>
      <c r="W1125" s="53"/>
      <c r="X1125" s="53"/>
      <c r="Y1125" s="53"/>
      <c r="Z1125" s="52"/>
      <c r="AA1125" s="52"/>
      <c r="AB1125" s="52"/>
      <c r="AC1125" s="52"/>
      <c r="AD1125" s="53"/>
      <c r="AE1125" s="53"/>
      <c r="AF1125" s="53"/>
    </row>
    <row r="1126">
      <c r="G1126" s="55"/>
      <c r="N1126" s="6"/>
      <c r="O1126" s="53"/>
      <c r="P1126" s="53"/>
      <c r="Q1126" s="53"/>
      <c r="R1126" s="51"/>
      <c r="S1126" s="51"/>
      <c r="T1126" s="53"/>
      <c r="U1126" s="53"/>
      <c r="V1126" s="53"/>
      <c r="W1126" s="53"/>
      <c r="X1126" s="53"/>
      <c r="Y1126" s="53"/>
      <c r="Z1126" s="52"/>
      <c r="AA1126" s="52"/>
      <c r="AB1126" s="52"/>
      <c r="AC1126" s="52"/>
      <c r="AD1126" s="53"/>
      <c r="AE1126" s="53"/>
      <c r="AF1126" s="53"/>
    </row>
    <row r="1127">
      <c r="G1127" s="55"/>
      <c r="N1127" s="6"/>
      <c r="O1127" s="53"/>
      <c r="P1127" s="53"/>
      <c r="Q1127" s="53"/>
      <c r="R1127" s="51"/>
      <c r="S1127" s="51"/>
      <c r="T1127" s="53"/>
      <c r="U1127" s="53"/>
      <c r="V1127" s="53"/>
      <c r="W1127" s="53"/>
      <c r="X1127" s="53"/>
      <c r="Y1127" s="53"/>
      <c r="Z1127" s="52"/>
      <c r="AA1127" s="52"/>
      <c r="AB1127" s="52"/>
      <c r="AC1127" s="52"/>
      <c r="AD1127" s="53"/>
      <c r="AE1127" s="53"/>
      <c r="AF1127" s="53"/>
    </row>
    <row r="1128">
      <c r="G1128" s="55"/>
      <c r="N1128" s="6"/>
      <c r="O1128" s="53"/>
      <c r="P1128" s="53"/>
      <c r="Q1128" s="53"/>
      <c r="R1128" s="51"/>
      <c r="S1128" s="51"/>
      <c r="T1128" s="53"/>
      <c r="U1128" s="53"/>
      <c r="V1128" s="53"/>
      <c r="W1128" s="53"/>
      <c r="X1128" s="53"/>
      <c r="Y1128" s="53"/>
      <c r="Z1128" s="52"/>
      <c r="AA1128" s="52"/>
      <c r="AB1128" s="52"/>
      <c r="AC1128" s="52"/>
      <c r="AD1128" s="53"/>
      <c r="AE1128" s="53"/>
      <c r="AF1128" s="53"/>
    </row>
    <row r="1129">
      <c r="G1129" s="55"/>
      <c r="N1129" s="6"/>
      <c r="O1129" s="53"/>
      <c r="P1129" s="53"/>
      <c r="Q1129" s="53"/>
      <c r="R1129" s="51"/>
      <c r="S1129" s="51"/>
      <c r="T1129" s="53"/>
      <c r="U1129" s="53"/>
      <c r="V1129" s="53"/>
      <c r="W1129" s="53"/>
      <c r="X1129" s="53"/>
      <c r="Y1129" s="53"/>
      <c r="Z1129" s="52"/>
      <c r="AA1129" s="52"/>
      <c r="AB1129" s="52"/>
      <c r="AC1129" s="52"/>
      <c r="AD1129" s="53"/>
      <c r="AE1129" s="53"/>
      <c r="AF1129" s="53"/>
    </row>
    <row r="1130">
      <c r="G1130" s="55"/>
      <c r="N1130" s="6"/>
      <c r="O1130" s="53"/>
      <c r="P1130" s="53"/>
      <c r="Q1130" s="53"/>
      <c r="R1130" s="51"/>
      <c r="S1130" s="51"/>
      <c r="T1130" s="53"/>
      <c r="U1130" s="53"/>
      <c r="V1130" s="53"/>
      <c r="W1130" s="53"/>
      <c r="X1130" s="53"/>
      <c r="Y1130" s="53"/>
      <c r="Z1130" s="52"/>
      <c r="AA1130" s="52"/>
      <c r="AB1130" s="52"/>
      <c r="AC1130" s="52"/>
      <c r="AD1130" s="53"/>
      <c r="AE1130" s="53"/>
      <c r="AF1130" s="53"/>
    </row>
    <row r="1131">
      <c r="G1131" s="55"/>
      <c r="N1131" s="6"/>
      <c r="O1131" s="53"/>
      <c r="P1131" s="53"/>
      <c r="Q1131" s="53"/>
      <c r="R1131" s="51"/>
      <c r="S1131" s="51"/>
      <c r="T1131" s="53"/>
      <c r="U1131" s="53"/>
      <c r="V1131" s="53"/>
      <c r="W1131" s="53"/>
      <c r="X1131" s="53"/>
      <c r="Y1131" s="53"/>
      <c r="Z1131" s="52"/>
      <c r="AA1131" s="52"/>
      <c r="AB1131" s="52"/>
      <c r="AC1131" s="52"/>
      <c r="AD1131" s="53"/>
      <c r="AE1131" s="53"/>
      <c r="AF1131" s="53"/>
    </row>
    <row r="1132">
      <c r="G1132" s="55"/>
      <c r="N1132" s="6"/>
      <c r="O1132" s="53"/>
      <c r="P1132" s="53"/>
      <c r="Q1132" s="53"/>
      <c r="R1132" s="51"/>
      <c r="S1132" s="51"/>
      <c r="T1132" s="53"/>
      <c r="U1132" s="53"/>
      <c r="V1132" s="53"/>
      <c r="W1132" s="53"/>
      <c r="X1132" s="53"/>
      <c r="Y1132" s="53"/>
      <c r="Z1132" s="52"/>
      <c r="AA1132" s="52"/>
      <c r="AB1132" s="52"/>
      <c r="AC1132" s="52"/>
      <c r="AD1132" s="53"/>
      <c r="AE1132" s="53"/>
      <c r="AF1132" s="53"/>
    </row>
    <row r="1133">
      <c r="G1133" s="55"/>
      <c r="N1133" s="6"/>
      <c r="O1133" s="53"/>
      <c r="P1133" s="53"/>
      <c r="Q1133" s="53"/>
      <c r="R1133" s="51"/>
      <c r="S1133" s="51"/>
      <c r="T1133" s="53"/>
      <c r="U1133" s="53"/>
      <c r="V1133" s="53"/>
      <c r="W1133" s="53"/>
      <c r="X1133" s="53"/>
      <c r="Y1133" s="53"/>
      <c r="Z1133" s="52"/>
      <c r="AA1133" s="52"/>
      <c r="AB1133" s="52"/>
      <c r="AC1133" s="52"/>
      <c r="AD1133" s="53"/>
      <c r="AE1133" s="53"/>
      <c r="AF1133" s="53"/>
    </row>
    <row r="1134">
      <c r="G1134" s="55"/>
      <c r="N1134" s="6"/>
      <c r="O1134" s="53"/>
      <c r="P1134" s="53"/>
      <c r="Q1134" s="53"/>
      <c r="R1134" s="51"/>
      <c r="S1134" s="51"/>
      <c r="T1134" s="53"/>
      <c r="U1134" s="53"/>
      <c r="V1134" s="53"/>
      <c r="W1134" s="53"/>
      <c r="X1134" s="53"/>
      <c r="Y1134" s="53"/>
      <c r="Z1134" s="52"/>
      <c r="AA1134" s="52"/>
      <c r="AB1134" s="52"/>
      <c r="AC1134" s="52"/>
      <c r="AD1134" s="53"/>
      <c r="AE1134" s="53"/>
      <c r="AF1134" s="53"/>
    </row>
    <row r="1135">
      <c r="G1135" s="55"/>
      <c r="N1135" s="6"/>
      <c r="O1135" s="53"/>
      <c r="P1135" s="53"/>
      <c r="Q1135" s="53"/>
      <c r="R1135" s="51"/>
      <c r="S1135" s="51"/>
      <c r="T1135" s="53"/>
      <c r="U1135" s="53"/>
      <c r="V1135" s="53"/>
      <c r="W1135" s="53"/>
      <c r="X1135" s="53"/>
      <c r="Y1135" s="53"/>
      <c r="Z1135" s="52"/>
      <c r="AA1135" s="52"/>
      <c r="AB1135" s="52"/>
      <c r="AC1135" s="52"/>
      <c r="AD1135" s="53"/>
      <c r="AE1135" s="53"/>
      <c r="AF1135" s="53"/>
    </row>
    <row r="1136">
      <c r="G1136" s="55"/>
      <c r="N1136" s="6"/>
      <c r="O1136" s="53"/>
      <c r="P1136" s="53"/>
      <c r="Q1136" s="53"/>
      <c r="R1136" s="51"/>
      <c r="S1136" s="51"/>
      <c r="T1136" s="53"/>
      <c r="U1136" s="53"/>
      <c r="V1136" s="53"/>
      <c r="W1136" s="53"/>
      <c r="X1136" s="53"/>
      <c r="Y1136" s="53"/>
      <c r="Z1136" s="52"/>
      <c r="AA1136" s="52"/>
      <c r="AB1136" s="52"/>
      <c r="AC1136" s="52"/>
      <c r="AD1136" s="53"/>
      <c r="AE1136" s="53"/>
      <c r="AF1136" s="53"/>
    </row>
    <row r="1137">
      <c r="G1137" s="55"/>
      <c r="N1137" s="6"/>
      <c r="O1137" s="53"/>
      <c r="P1137" s="53"/>
      <c r="Q1137" s="53"/>
      <c r="R1137" s="51"/>
      <c r="S1137" s="51"/>
      <c r="T1137" s="53"/>
      <c r="U1137" s="53"/>
      <c r="V1137" s="53"/>
      <c r="W1137" s="53"/>
      <c r="X1137" s="53"/>
      <c r="Y1137" s="53"/>
      <c r="Z1137" s="52"/>
      <c r="AA1137" s="52"/>
      <c r="AB1137" s="52"/>
      <c r="AC1137" s="52"/>
      <c r="AD1137" s="53"/>
      <c r="AE1137" s="53"/>
      <c r="AF1137" s="53"/>
    </row>
    <row r="1138">
      <c r="G1138" s="55"/>
      <c r="N1138" s="6"/>
      <c r="O1138" s="53"/>
      <c r="P1138" s="53"/>
      <c r="Q1138" s="53"/>
      <c r="R1138" s="51"/>
      <c r="S1138" s="51"/>
      <c r="T1138" s="53"/>
      <c r="U1138" s="53"/>
      <c r="V1138" s="53"/>
      <c r="W1138" s="53"/>
      <c r="X1138" s="53"/>
      <c r="Y1138" s="53"/>
      <c r="Z1138" s="52"/>
      <c r="AA1138" s="52"/>
      <c r="AB1138" s="52"/>
      <c r="AC1138" s="52"/>
      <c r="AD1138" s="53"/>
      <c r="AE1138" s="53"/>
      <c r="AF1138" s="53"/>
    </row>
    <row r="1139">
      <c r="G1139" s="55"/>
      <c r="N1139" s="6"/>
      <c r="O1139" s="53"/>
      <c r="P1139" s="53"/>
      <c r="Q1139" s="53"/>
      <c r="R1139" s="51"/>
      <c r="S1139" s="51"/>
      <c r="T1139" s="53"/>
      <c r="U1139" s="53"/>
      <c r="V1139" s="53"/>
      <c r="W1139" s="53"/>
      <c r="X1139" s="53"/>
      <c r="Y1139" s="53"/>
      <c r="Z1139" s="52"/>
      <c r="AA1139" s="52"/>
      <c r="AB1139" s="52"/>
      <c r="AC1139" s="52"/>
      <c r="AD1139" s="53"/>
      <c r="AE1139" s="53"/>
      <c r="AF1139" s="53"/>
    </row>
    <row r="1140">
      <c r="G1140" s="55"/>
      <c r="N1140" s="6"/>
      <c r="O1140" s="53"/>
      <c r="P1140" s="53"/>
      <c r="Q1140" s="53"/>
      <c r="R1140" s="51"/>
      <c r="S1140" s="51"/>
      <c r="T1140" s="53"/>
      <c r="U1140" s="53"/>
      <c r="V1140" s="53"/>
      <c r="W1140" s="53"/>
      <c r="X1140" s="53"/>
      <c r="Y1140" s="53"/>
      <c r="Z1140" s="52"/>
      <c r="AA1140" s="52"/>
      <c r="AB1140" s="52"/>
      <c r="AC1140" s="52"/>
      <c r="AD1140" s="53"/>
      <c r="AE1140" s="53"/>
      <c r="AF1140" s="53"/>
    </row>
    <row r="1141">
      <c r="G1141" s="55"/>
      <c r="N1141" s="6"/>
      <c r="O1141" s="53"/>
      <c r="P1141" s="53"/>
      <c r="Q1141" s="53"/>
      <c r="R1141" s="51"/>
      <c r="S1141" s="51"/>
      <c r="T1141" s="53"/>
      <c r="U1141" s="53"/>
      <c r="V1141" s="53"/>
      <c r="W1141" s="53"/>
      <c r="X1141" s="53"/>
      <c r="Y1141" s="53"/>
      <c r="Z1141" s="52"/>
      <c r="AA1141" s="52"/>
      <c r="AB1141" s="52"/>
      <c r="AC1141" s="52"/>
      <c r="AD1141" s="53"/>
      <c r="AE1141" s="53"/>
      <c r="AF1141" s="53"/>
    </row>
    <row r="1142">
      <c r="G1142" s="55"/>
      <c r="N1142" s="6"/>
      <c r="O1142" s="53"/>
      <c r="P1142" s="53"/>
      <c r="Q1142" s="53"/>
      <c r="R1142" s="51"/>
      <c r="S1142" s="51"/>
      <c r="T1142" s="53"/>
      <c r="U1142" s="53"/>
      <c r="V1142" s="53"/>
      <c r="W1142" s="53"/>
      <c r="X1142" s="53"/>
      <c r="Y1142" s="53"/>
      <c r="Z1142" s="52"/>
      <c r="AA1142" s="52"/>
      <c r="AB1142" s="52"/>
      <c r="AC1142" s="52"/>
      <c r="AD1142" s="53"/>
      <c r="AE1142" s="53"/>
      <c r="AF1142" s="53"/>
    </row>
    <row r="1143">
      <c r="G1143" s="55"/>
      <c r="N1143" s="6"/>
      <c r="O1143" s="53"/>
      <c r="P1143" s="53"/>
      <c r="Q1143" s="53"/>
      <c r="R1143" s="51"/>
      <c r="S1143" s="51"/>
      <c r="T1143" s="53"/>
      <c r="U1143" s="53"/>
      <c r="V1143" s="53"/>
      <c r="W1143" s="53"/>
      <c r="X1143" s="53"/>
      <c r="Y1143" s="53"/>
      <c r="Z1143" s="52"/>
      <c r="AA1143" s="52"/>
      <c r="AB1143" s="52"/>
      <c r="AC1143" s="52"/>
      <c r="AD1143" s="53"/>
      <c r="AE1143" s="53"/>
      <c r="AF1143" s="53"/>
    </row>
    <row r="1144">
      <c r="G1144" s="55"/>
      <c r="N1144" s="6"/>
      <c r="O1144" s="53"/>
      <c r="P1144" s="53"/>
      <c r="Q1144" s="53"/>
      <c r="R1144" s="51"/>
      <c r="S1144" s="51"/>
      <c r="T1144" s="53"/>
      <c r="U1144" s="53"/>
      <c r="V1144" s="53"/>
      <c r="W1144" s="53"/>
      <c r="X1144" s="53"/>
      <c r="Y1144" s="53"/>
      <c r="Z1144" s="52"/>
      <c r="AA1144" s="52"/>
      <c r="AB1144" s="52"/>
      <c r="AC1144" s="52"/>
      <c r="AD1144" s="53"/>
      <c r="AE1144" s="53"/>
      <c r="AF1144" s="53"/>
    </row>
    <row r="1145">
      <c r="G1145" s="55"/>
      <c r="N1145" s="6"/>
      <c r="O1145" s="53"/>
      <c r="P1145" s="53"/>
      <c r="Q1145" s="53"/>
      <c r="R1145" s="51"/>
      <c r="S1145" s="51"/>
      <c r="T1145" s="53"/>
      <c r="U1145" s="53"/>
      <c r="V1145" s="53"/>
      <c r="W1145" s="53"/>
      <c r="X1145" s="53"/>
      <c r="Y1145" s="53"/>
      <c r="Z1145" s="52"/>
      <c r="AA1145" s="52"/>
      <c r="AB1145" s="52"/>
      <c r="AC1145" s="52"/>
      <c r="AD1145" s="53"/>
      <c r="AE1145" s="53"/>
      <c r="AF1145" s="53"/>
    </row>
    <row r="1146">
      <c r="G1146" s="55"/>
      <c r="N1146" s="6"/>
      <c r="O1146" s="53"/>
      <c r="P1146" s="53"/>
      <c r="Q1146" s="53"/>
      <c r="R1146" s="51"/>
      <c r="S1146" s="51"/>
      <c r="T1146" s="53"/>
      <c r="U1146" s="53"/>
      <c r="V1146" s="53"/>
      <c r="W1146" s="53"/>
      <c r="X1146" s="53"/>
      <c r="Y1146" s="53"/>
      <c r="Z1146" s="52"/>
      <c r="AA1146" s="52"/>
      <c r="AB1146" s="52"/>
      <c r="AC1146" s="52"/>
      <c r="AD1146" s="53"/>
      <c r="AE1146" s="53"/>
      <c r="AF1146" s="53"/>
    </row>
    <row r="1147">
      <c r="G1147" s="55"/>
      <c r="N1147" s="6"/>
      <c r="O1147" s="53"/>
      <c r="P1147" s="53"/>
      <c r="Q1147" s="53"/>
      <c r="R1147" s="51"/>
      <c r="S1147" s="51"/>
      <c r="T1147" s="53"/>
      <c r="U1147" s="53"/>
      <c r="V1147" s="53"/>
      <c r="W1147" s="53"/>
      <c r="X1147" s="53"/>
      <c r="Y1147" s="53"/>
      <c r="Z1147" s="52"/>
      <c r="AA1147" s="52"/>
      <c r="AB1147" s="52"/>
      <c r="AC1147" s="52"/>
      <c r="AD1147" s="53"/>
      <c r="AE1147" s="53"/>
      <c r="AF1147" s="53"/>
    </row>
    <row r="1148">
      <c r="G1148" s="55"/>
      <c r="N1148" s="6"/>
      <c r="O1148" s="53"/>
      <c r="P1148" s="53"/>
      <c r="Q1148" s="53"/>
      <c r="R1148" s="51"/>
      <c r="S1148" s="51"/>
      <c r="T1148" s="53"/>
      <c r="U1148" s="53"/>
      <c r="V1148" s="53"/>
      <c r="W1148" s="53"/>
      <c r="X1148" s="53"/>
      <c r="Y1148" s="53"/>
      <c r="Z1148" s="52"/>
      <c r="AA1148" s="52"/>
      <c r="AB1148" s="52"/>
      <c r="AC1148" s="52"/>
      <c r="AD1148" s="53"/>
      <c r="AE1148" s="53"/>
      <c r="AF1148" s="53"/>
    </row>
    <row r="1149">
      <c r="G1149" s="55"/>
      <c r="N1149" s="6"/>
      <c r="O1149" s="53"/>
      <c r="P1149" s="53"/>
      <c r="Q1149" s="53"/>
      <c r="R1149" s="51"/>
      <c r="S1149" s="51"/>
      <c r="T1149" s="53"/>
      <c r="U1149" s="53"/>
      <c r="V1149" s="53"/>
      <c r="W1149" s="53"/>
      <c r="X1149" s="53"/>
      <c r="Y1149" s="53"/>
      <c r="Z1149" s="52"/>
      <c r="AA1149" s="52"/>
      <c r="AB1149" s="52"/>
      <c r="AC1149" s="52"/>
      <c r="AD1149" s="53"/>
      <c r="AE1149" s="53"/>
      <c r="AF1149" s="53"/>
    </row>
    <row r="1150">
      <c r="G1150" s="55"/>
      <c r="N1150" s="6"/>
      <c r="O1150" s="53"/>
      <c r="P1150" s="53"/>
      <c r="Q1150" s="53"/>
      <c r="R1150" s="51"/>
      <c r="S1150" s="51"/>
      <c r="T1150" s="53"/>
      <c r="U1150" s="53"/>
      <c r="V1150" s="53"/>
      <c r="W1150" s="53"/>
      <c r="X1150" s="53"/>
      <c r="Y1150" s="53"/>
      <c r="Z1150" s="52"/>
      <c r="AA1150" s="52"/>
      <c r="AB1150" s="52"/>
      <c r="AC1150" s="52"/>
      <c r="AD1150" s="53"/>
      <c r="AE1150" s="53"/>
      <c r="AF1150" s="53"/>
    </row>
    <row r="1151">
      <c r="G1151" s="55"/>
      <c r="N1151" s="6"/>
      <c r="O1151" s="53"/>
      <c r="P1151" s="53"/>
      <c r="Q1151" s="53"/>
      <c r="R1151" s="51"/>
      <c r="S1151" s="51"/>
      <c r="T1151" s="53"/>
      <c r="U1151" s="53"/>
      <c r="V1151" s="53"/>
      <c r="W1151" s="53"/>
      <c r="X1151" s="53"/>
      <c r="Y1151" s="53"/>
      <c r="Z1151" s="52"/>
      <c r="AA1151" s="52"/>
      <c r="AB1151" s="52"/>
      <c r="AC1151" s="52"/>
      <c r="AD1151" s="53"/>
      <c r="AE1151" s="53"/>
      <c r="AF1151" s="53"/>
    </row>
    <row r="1152">
      <c r="G1152" s="55"/>
      <c r="N1152" s="6"/>
      <c r="O1152" s="53"/>
      <c r="P1152" s="53"/>
      <c r="Q1152" s="53"/>
      <c r="R1152" s="51"/>
      <c r="S1152" s="51"/>
      <c r="T1152" s="53"/>
      <c r="U1152" s="53"/>
      <c r="V1152" s="53"/>
      <c r="W1152" s="53"/>
      <c r="X1152" s="53"/>
      <c r="Y1152" s="53"/>
      <c r="Z1152" s="52"/>
      <c r="AA1152" s="52"/>
      <c r="AB1152" s="52"/>
      <c r="AC1152" s="52"/>
      <c r="AD1152" s="53"/>
      <c r="AE1152" s="53"/>
      <c r="AF1152" s="53"/>
    </row>
    <row r="1153">
      <c r="G1153" s="55"/>
      <c r="N1153" s="6"/>
      <c r="O1153" s="53"/>
      <c r="P1153" s="53"/>
      <c r="Q1153" s="53"/>
      <c r="R1153" s="51"/>
      <c r="S1153" s="51"/>
      <c r="T1153" s="53"/>
      <c r="U1153" s="53"/>
      <c r="V1153" s="53"/>
      <c r="W1153" s="53"/>
      <c r="X1153" s="53"/>
      <c r="Y1153" s="53"/>
      <c r="Z1153" s="52"/>
      <c r="AA1153" s="52"/>
      <c r="AB1153" s="52"/>
      <c r="AC1153" s="52"/>
      <c r="AD1153" s="53"/>
      <c r="AE1153" s="53"/>
      <c r="AF1153" s="53"/>
    </row>
    <row r="1154">
      <c r="G1154" s="55"/>
      <c r="N1154" s="6"/>
      <c r="O1154" s="53"/>
      <c r="P1154" s="53"/>
      <c r="Q1154" s="53"/>
      <c r="R1154" s="51"/>
      <c r="S1154" s="51"/>
      <c r="T1154" s="53"/>
      <c r="U1154" s="53"/>
      <c r="V1154" s="53"/>
      <c r="W1154" s="53"/>
      <c r="X1154" s="53"/>
      <c r="Y1154" s="53"/>
      <c r="Z1154" s="52"/>
      <c r="AA1154" s="52"/>
      <c r="AB1154" s="52"/>
      <c r="AC1154" s="52"/>
      <c r="AD1154" s="53"/>
      <c r="AE1154" s="53"/>
      <c r="AF1154" s="53"/>
    </row>
    <row r="1155">
      <c r="G1155" s="55"/>
      <c r="N1155" s="6"/>
      <c r="O1155" s="53"/>
      <c r="P1155" s="53"/>
      <c r="Q1155" s="53"/>
      <c r="R1155" s="51"/>
      <c r="S1155" s="51"/>
      <c r="T1155" s="53"/>
      <c r="U1155" s="53"/>
      <c r="V1155" s="53"/>
      <c r="W1155" s="53"/>
      <c r="X1155" s="53"/>
      <c r="Y1155" s="53"/>
      <c r="Z1155" s="52"/>
      <c r="AA1155" s="52"/>
      <c r="AB1155" s="52"/>
      <c r="AC1155" s="52"/>
      <c r="AD1155" s="53"/>
      <c r="AE1155" s="53"/>
      <c r="AF1155" s="53"/>
    </row>
    <row r="1156">
      <c r="G1156" s="55"/>
      <c r="N1156" s="6"/>
      <c r="O1156" s="53"/>
      <c r="P1156" s="53"/>
      <c r="Q1156" s="53"/>
      <c r="R1156" s="51"/>
      <c r="S1156" s="51"/>
      <c r="T1156" s="53"/>
      <c r="U1156" s="53"/>
      <c r="V1156" s="53"/>
      <c r="W1156" s="53"/>
      <c r="X1156" s="53"/>
      <c r="Y1156" s="53"/>
      <c r="Z1156" s="52"/>
      <c r="AA1156" s="52"/>
      <c r="AB1156" s="52"/>
      <c r="AC1156" s="52"/>
      <c r="AD1156" s="53"/>
      <c r="AE1156" s="53"/>
      <c r="AF1156" s="53"/>
    </row>
    <row r="1157">
      <c r="G1157" s="55"/>
      <c r="N1157" s="6"/>
      <c r="O1157" s="53"/>
      <c r="P1157" s="53"/>
      <c r="Q1157" s="53"/>
      <c r="R1157" s="51"/>
      <c r="S1157" s="51"/>
      <c r="T1157" s="53"/>
      <c r="U1157" s="53"/>
      <c r="V1157" s="53"/>
      <c r="W1157" s="53"/>
      <c r="X1157" s="53"/>
      <c r="Y1157" s="53"/>
      <c r="Z1157" s="52"/>
      <c r="AA1157" s="52"/>
      <c r="AB1157" s="52"/>
      <c r="AC1157" s="52"/>
      <c r="AD1157" s="53"/>
      <c r="AE1157" s="53"/>
      <c r="AF1157" s="53"/>
    </row>
    <row r="1158">
      <c r="G1158" s="55"/>
      <c r="N1158" s="6"/>
      <c r="O1158" s="53"/>
      <c r="P1158" s="53"/>
      <c r="Q1158" s="53"/>
      <c r="R1158" s="51"/>
      <c r="S1158" s="51"/>
      <c r="T1158" s="53"/>
      <c r="U1158" s="53"/>
      <c r="V1158" s="53"/>
      <c r="W1158" s="53"/>
      <c r="X1158" s="53"/>
      <c r="Y1158" s="53"/>
      <c r="Z1158" s="52"/>
      <c r="AA1158" s="52"/>
      <c r="AB1158" s="52"/>
      <c r="AC1158" s="52"/>
      <c r="AD1158" s="53"/>
      <c r="AE1158" s="53"/>
      <c r="AF1158" s="53"/>
    </row>
    <row r="1159">
      <c r="G1159" s="55"/>
      <c r="N1159" s="6"/>
      <c r="O1159" s="53"/>
      <c r="P1159" s="53"/>
      <c r="Q1159" s="53"/>
      <c r="R1159" s="51"/>
      <c r="S1159" s="51"/>
      <c r="T1159" s="53"/>
      <c r="U1159" s="53"/>
      <c r="V1159" s="53"/>
      <c r="W1159" s="53"/>
      <c r="X1159" s="53"/>
      <c r="Y1159" s="53"/>
      <c r="Z1159" s="52"/>
      <c r="AA1159" s="52"/>
      <c r="AB1159" s="52"/>
      <c r="AC1159" s="52"/>
      <c r="AD1159" s="53"/>
      <c r="AE1159" s="53"/>
      <c r="AF1159" s="53"/>
    </row>
    <row r="1160">
      <c r="G1160" s="55"/>
      <c r="N1160" s="6"/>
      <c r="O1160" s="53"/>
      <c r="P1160" s="53"/>
      <c r="Q1160" s="53"/>
      <c r="R1160" s="51"/>
      <c r="S1160" s="51"/>
      <c r="T1160" s="53"/>
      <c r="U1160" s="53"/>
      <c r="V1160" s="53"/>
      <c r="W1160" s="53"/>
      <c r="X1160" s="53"/>
      <c r="Y1160" s="53"/>
      <c r="Z1160" s="52"/>
      <c r="AA1160" s="52"/>
      <c r="AB1160" s="52"/>
      <c r="AC1160" s="52"/>
      <c r="AD1160" s="53"/>
      <c r="AE1160" s="53"/>
      <c r="AF1160" s="53"/>
    </row>
    <row r="1161">
      <c r="G1161" s="55"/>
      <c r="N1161" s="6"/>
      <c r="O1161" s="53"/>
      <c r="P1161" s="53"/>
      <c r="Q1161" s="53"/>
      <c r="R1161" s="51"/>
      <c r="S1161" s="51"/>
      <c r="T1161" s="53"/>
      <c r="U1161" s="53"/>
      <c r="V1161" s="53"/>
      <c r="W1161" s="53"/>
      <c r="X1161" s="53"/>
      <c r="Y1161" s="53"/>
      <c r="Z1161" s="52"/>
      <c r="AA1161" s="52"/>
      <c r="AB1161" s="52"/>
      <c r="AC1161" s="52"/>
      <c r="AD1161" s="53"/>
      <c r="AE1161" s="53"/>
      <c r="AF1161" s="53"/>
    </row>
    <row r="1162">
      <c r="G1162" s="55"/>
      <c r="N1162" s="6"/>
      <c r="O1162" s="53"/>
      <c r="P1162" s="53"/>
      <c r="Q1162" s="53"/>
      <c r="R1162" s="51"/>
      <c r="S1162" s="51"/>
      <c r="T1162" s="53"/>
      <c r="U1162" s="53"/>
      <c r="V1162" s="53"/>
      <c r="W1162" s="53"/>
      <c r="X1162" s="53"/>
      <c r="Y1162" s="53"/>
      <c r="Z1162" s="52"/>
      <c r="AA1162" s="52"/>
      <c r="AB1162" s="52"/>
      <c r="AC1162" s="52"/>
      <c r="AD1162" s="53"/>
      <c r="AE1162" s="53"/>
      <c r="AF1162" s="53"/>
    </row>
    <row r="1163">
      <c r="G1163" s="55"/>
      <c r="N1163" s="6"/>
      <c r="O1163" s="53"/>
      <c r="P1163" s="53"/>
      <c r="Q1163" s="53"/>
      <c r="R1163" s="51"/>
      <c r="S1163" s="51"/>
      <c r="T1163" s="53"/>
      <c r="U1163" s="53"/>
      <c r="V1163" s="53"/>
      <c r="W1163" s="53"/>
      <c r="X1163" s="53"/>
      <c r="Y1163" s="53"/>
      <c r="Z1163" s="52"/>
      <c r="AA1163" s="52"/>
      <c r="AB1163" s="52"/>
      <c r="AC1163" s="52"/>
      <c r="AD1163" s="53"/>
      <c r="AE1163" s="53"/>
      <c r="AF1163" s="53"/>
    </row>
    <row r="1164">
      <c r="G1164" s="55"/>
      <c r="N1164" s="6"/>
      <c r="O1164" s="53"/>
      <c r="P1164" s="53"/>
      <c r="Q1164" s="53"/>
      <c r="R1164" s="51"/>
      <c r="S1164" s="51"/>
      <c r="T1164" s="53"/>
      <c r="U1164" s="53"/>
      <c r="V1164" s="53"/>
      <c r="W1164" s="53"/>
      <c r="X1164" s="53"/>
      <c r="Y1164" s="53"/>
      <c r="Z1164" s="52"/>
      <c r="AA1164" s="52"/>
      <c r="AB1164" s="52"/>
      <c r="AC1164" s="52"/>
      <c r="AD1164" s="53"/>
      <c r="AE1164" s="53"/>
      <c r="AF1164" s="53"/>
    </row>
    <row r="1165">
      <c r="G1165" s="55"/>
      <c r="N1165" s="6"/>
      <c r="O1165" s="53"/>
      <c r="P1165" s="53"/>
      <c r="Q1165" s="53"/>
      <c r="R1165" s="51"/>
      <c r="S1165" s="51"/>
      <c r="T1165" s="53"/>
      <c r="U1165" s="53"/>
      <c r="V1165" s="53"/>
      <c r="W1165" s="53"/>
      <c r="X1165" s="53"/>
      <c r="Y1165" s="53"/>
      <c r="Z1165" s="52"/>
      <c r="AA1165" s="52"/>
      <c r="AB1165" s="52"/>
      <c r="AC1165" s="52"/>
      <c r="AD1165" s="53"/>
      <c r="AE1165" s="53"/>
      <c r="AF1165" s="53"/>
    </row>
    <row r="1166">
      <c r="G1166" s="55"/>
      <c r="N1166" s="6"/>
      <c r="O1166" s="53"/>
      <c r="P1166" s="53"/>
      <c r="Q1166" s="53"/>
      <c r="R1166" s="51"/>
      <c r="S1166" s="51"/>
      <c r="T1166" s="53"/>
      <c r="U1166" s="53"/>
      <c r="V1166" s="53"/>
      <c r="W1166" s="53"/>
      <c r="X1166" s="53"/>
      <c r="Y1166" s="53"/>
      <c r="Z1166" s="52"/>
      <c r="AA1166" s="52"/>
      <c r="AB1166" s="52"/>
      <c r="AC1166" s="52"/>
      <c r="AD1166" s="53"/>
      <c r="AE1166" s="53"/>
      <c r="AF1166" s="53"/>
    </row>
    <row r="1167">
      <c r="G1167" s="55"/>
      <c r="N1167" s="6"/>
      <c r="O1167" s="53"/>
      <c r="P1167" s="53"/>
      <c r="Q1167" s="53"/>
      <c r="R1167" s="51"/>
      <c r="S1167" s="51"/>
      <c r="T1167" s="53"/>
      <c r="U1167" s="53"/>
      <c r="V1167" s="53"/>
      <c r="W1167" s="53"/>
      <c r="X1167" s="53"/>
      <c r="Y1167" s="53"/>
      <c r="Z1167" s="52"/>
      <c r="AA1167" s="52"/>
      <c r="AB1167" s="52"/>
      <c r="AC1167" s="52"/>
      <c r="AD1167" s="53"/>
      <c r="AE1167" s="53"/>
      <c r="AF1167" s="53"/>
    </row>
    <row r="1168">
      <c r="G1168" s="55"/>
      <c r="N1168" s="6"/>
      <c r="O1168" s="53"/>
      <c r="P1168" s="53"/>
      <c r="Q1168" s="53"/>
      <c r="R1168" s="51"/>
      <c r="S1168" s="51"/>
      <c r="T1168" s="53"/>
      <c r="U1168" s="53"/>
      <c r="V1168" s="53"/>
      <c r="W1168" s="53"/>
      <c r="X1168" s="53"/>
      <c r="Y1168" s="53"/>
      <c r="Z1168" s="52"/>
      <c r="AA1168" s="52"/>
      <c r="AB1168" s="52"/>
      <c r="AC1168" s="52"/>
      <c r="AD1168" s="53"/>
      <c r="AE1168" s="53"/>
      <c r="AF1168" s="53"/>
    </row>
    <row r="1169">
      <c r="G1169" s="55"/>
      <c r="N1169" s="6"/>
      <c r="O1169" s="53"/>
      <c r="P1169" s="53"/>
      <c r="Q1169" s="53"/>
      <c r="R1169" s="51"/>
      <c r="S1169" s="51"/>
      <c r="T1169" s="53"/>
      <c r="U1169" s="53"/>
      <c r="V1169" s="53"/>
      <c r="W1169" s="53"/>
      <c r="X1169" s="53"/>
      <c r="Y1169" s="53"/>
      <c r="Z1169" s="52"/>
      <c r="AA1169" s="52"/>
      <c r="AB1169" s="52"/>
      <c r="AC1169" s="52"/>
      <c r="AD1169" s="53"/>
      <c r="AE1169" s="53"/>
      <c r="AF1169" s="53"/>
    </row>
    <row r="1170">
      <c r="G1170" s="55"/>
      <c r="N1170" s="6"/>
      <c r="O1170" s="53"/>
      <c r="P1170" s="53"/>
      <c r="Q1170" s="53"/>
      <c r="R1170" s="51"/>
      <c r="S1170" s="51"/>
      <c r="T1170" s="53"/>
      <c r="U1170" s="53"/>
      <c r="V1170" s="53"/>
      <c r="W1170" s="53"/>
      <c r="X1170" s="53"/>
      <c r="Y1170" s="53"/>
      <c r="Z1170" s="52"/>
      <c r="AA1170" s="52"/>
      <c r="AB1170" s="52"/>
      <c r="AC1170" s="52"/>
      <c r="AD1170" s="53"/>
      <c r="AE1170" s="53"/>
      <c r="AF1170" s="53"/>
    </row>
    <row r="1171">
      <c r="G1171" s="55"/>
      <c r="N1171" s="6"/>
      <c r="O1171" s="53"/>
      <c r="P1171" s="53"/>
      <c r="Q1171" s="53"/>
      <c r="R1171" s="51"/>
      <c r="S1171" s="51"/>
      <c r="T1171" s="53"/>
      <c r="U1171" s="53"/>
      <c r="V1171" s="53"/>
      <c r="W1171" s="53"/>
      <c r="X1171" s="53"/>
      <c r="Y1171" s="53"/>
      <c r="Z1171" s="52"/>
      <c r="AA1171" s="52"/>
      <c r="AB1171" s="52"/>
      <c r="AC1171" s="52"/>
      <c r="AD1171" s="53"/>
      <c r="AE1171" s="53"/>
      <c r="AF1171" s="53"/>
    </row>
    <row r="1172">
      <c r="G1172" s="55"/>
      <c r="N1172" s="6"/>
      <c r="O1172" s="53"/>
      <c r="P1172" s="53"/>
      <c r="Q1172" s="53"/>
      <c r="R1172" s="51"/>
      <c r="S1172" s="51"/>
      <c r="T1172" s="53"/>
      <c r="U1172" s="53"/>
      <c r="V1172" s="53"/>
      <c r="W1172" s="53"/>
      <c r="X1172" s="53"/>
      <c r="Y1172" s="53"/>
      <c r="Z1172" s="52"/>
      <c r="AA1172" s="52"/>
      <c r="AB1172" s="52"/>
      <c r="AC1172" s="52"/>
      <c r="AD1172" s="53"/>
      <c r="AE1172" s="53"/>
      <c r="AF1172" s="53"/>
    </row>
    <row r="1173">
      <c r="G1173" s="55"/>
      <c r="N1173" s="6"/>
      <c r="O1173" s="53"/>
      <c r="P1173" s="53"/>
      <c r="Q1173" s="53"/>
      <c r="R1173" s="51"/>
      <c r="S1173" s="51"/>
      <c r="T1173" s="53"/>
      <c r="U1173" s="53"/>
      <c r="V1173" s="53"/>
      <c r="W1173" s="53"/>
      <c r="X1173" s="53"/>
      <c r="Y1173" s="53"/>
      <c r="Z1173" s="52"/>
      <c r="AA1173" s="52"/>
      <c r="AB1173" s="52"/>
      <c r="AC1173" s="52"/>
      <c r="AD1173" s="53"/>
      <c r="AE1173" s="53"/>
      <c r="AF1173" s="53"/>
    </row>
    <row r="1174">
      <c r="G1174" s="55"/>
      <c r="N1174" s="6"/>
      <c r="O1174" s="53"/>
      <c r="P1174" s="53"/>
      <c r="Q1174" s="53"/>
      <c r="R1174" s="51"/>
      <c r="S1174" s="51"/>
      <c r="T1174" s="53"/>
      <c r="U1174" s="53"/>
      <c r="V1174" s="53"/>
      <c r="W1174" s="53"/>
      <c r="X1174" s="53"/>
      <c r="Y1174" s="53"/>
      <c r="Z1174" s="52"/>
      <c r="AA1174" s="52"/>
      <c r="AB1174" s="52"/>
      <c r="AC1174" s="52"/>
      <c r="AD1174" s="53"/>
      <c r="AE1174" s="53"/>
      <c r="AF1174" s="53"/>
    </row>
    <row r="1175">
      <c r="G1175" s="55"/>
      <c r="N1175" s="6"/>
      <c r="O1175" s="53"/>
      <c r="P1175" s="53"/>
      <c r="Q1175" s="53"/>
      <c r="R1175" s="51"/>
      <c r="S1175" s="51"/>
      <c r="T1175" s="53"/>
      <c r="U1175" s="53"/>
      <c r="V1175" s="53"/>
      <c r="W1175" s="53"/>
      <c r="X1175" s="53"/>
      <c r="Y1175" s="53"/>
      <c r="Z1175" s="52"/>
      <c r="AA1175" s="52"/>
      <c r="AB1175" s="52"/>
      <c r="AC1175" s="52"/>
      <c r="AD1175" s="53"/>
      <c r="AE1175" s="53"/>
      <c r="AF1175" s="53"/>
    </row>
    <row r="1176">
      <c r="G1176" s="55"/>
      <c r="N1176" s="6"/>
      <c r="O1176" s="53"/>
      <c r="P1176" s="53"/>
      <c r="Q1176" s="53"/>
      <c r="R1176" s="51"/>
      <c r="S1176" s="51"/>
      <c r="T1176" s="53"/>
      <c r="U1176" s="53"/>
      <c r="V1176" s="53"/>
      <c r="W1176" s="53"/>
      <c r="X1176" s="53"/>
      <c r="Y1176" s="53"/>
      <c r="Z1176" s="52"/>
      <c r="AA1176" s="52"/>
      <c r="AB1176" s="52"/>
      <c r="AC1176" s="52"/>
      <c r="AD1176" s="53"/>
      <c r="AE1176" s="53"/>
      <c r="AF1176" s="53"/>
    </row>
    <row r="1177">
      <c r="G1177" s="55"/>
      <c r="N1177" s="6"/>
      <c r="O1177" s="53"/>
      <c r="P1177" s="53"/>
      <c r="Q1177" s="53"/>
      <c r="R1177" s="51"/>
      <c r="S1177" s="51"/>
      <c r="T1177" s="53"/>
      <c r="U1177" s="53"/>
      <c r="V1177" s="53"/>
      <c r="W1177" s="53"/>
      <c r="X1177" s="53"/>
      <c r="Y1177" s="53"/>
      <c r="Z1177" s="52"/>
      <c r="AA1177" s="52"/>
      <c r="AB1177" s="52"/>
      <c r="AC1177" s="52"/>
      <c r="AD1177" s="53"/>
      <c r="AE1177" s="53"/>
      <c r="AF1177" s="53"/>
    </row>
    <row r="1178">
      <c r="G1178" s="55"/>
      <c r="N1178" s="6"/>
      <c r="O1178" s="53"/>
      <c r="P1178" s="53"/>
      <c r="Q1178" s="53"/>
      <c r="R1178" s="51"/>
      <c r="S1178" s="51"/>
      <c r="T1178" s="53"/>
      <c r="U1178" s="53"/>
      <c r="V1178" s="53"/>
      <c r="W1178" s="53"/>
      <c r="X1178" s="53"/>
      <c r="Y1178" s="53"/>
      <c r="Z1178" s="52"/>
      <c r="AA1178" s="52"/>
      <c r="AB1178" s="52"/>
      <c r="AC1178" s="52"/>
      <c r="AD1178" s="53"/>
      <c r="AE1178" s="53"/>
      <c r="AF1178" s="53"/>
    </row>
    <row r="1179">
      <c r="G1179" s="55"/>
      <c r="N1179" s="6"/>
      <c r="O1179" s="53"/>
      <c r="P1179" s="53"/>
      <c r="Q1179" s="53"/>
      <c r="R1179" s="51"/>
      <c r="S1179" s="51"/>
      <c r="T1179" s="53"/>
      <c r="U1179" s="53"/>
      <c r="V1179" s="53"/>
      <c r="W1179" s="53"/>
      <c r="X1179" s="53"/>
      <c r="Y1179" s="53"/>
      <c r="Z1179" s="52"/>
      <c r="AA1179" s="52"/>
      <c r="AB1179" s="52"/>
      <c r="AC1179" s="52"/>
      <c r="AD1179" s="53"/>
      <c r="AE1179" s="53"/>
      <c r="AF1179" s="53"/>
    </row>
    <row r="1180">
      <c r="G1180" s="55"/>
      <c r="N1180" s="6"/>
      <c r="O1180" s="53"/>
      <c r="P1180" s="53"/>
      <c r="Q1180" s="53"/>
      <c r="R1180" s="51"/>
      <c r="S1180" s="51"/>
      <c r="T1180" s="53"/>
      <c r="U1180" s="53"/>
      <c r="V1180" s="53"/>
      <c r="W1180" s="53"/>
      <c r="X1180" s="53"/>
      <c r="Y1180" s="53"/>
      <c r="Z1180" s="52"/>
      <c r="AA1180" s="52"/>
      <c r="AB1180" s="52"/>
      <c r="AC1180" s="52"/>
      <c r="AD1180" s="53"/>
      <c r="AE1180" s="53"/>
      <c r="AF1180" s="53"/>
    </row>
    <row r="1181">
      <c r="G1181" s="55"/>
      <c r="N1181" s="6"/>
      <c r="O1181" s="53"/>
      <c r="P1181" s="53"/>
      <c r="Q1181" s="53"/>
      <c r="R1181" s="51"/>
      <c r="S1181" s="51"/>
      <c r="T1181" s="53"/>
      <c r="U1181" s="53"/>
      <c r="V1181" s="53"/>
      <c r="W1181" s="53"/>
      <c r="X1181" s="53"/>
      <c r="Y1181" s="53"/>
      <c r="Z1181" s="52"/>
      <c r="AA1181" s="52"/>
      <c r="AB1181" s="52"/>
      <c r="AC1181" s="52"/>
      <c r="AD1181" s="53"/>
      <c r="AE1181" s="53"/>
      <c r="AF1181" s="53"/>
    </row>
    <row r="1182">
      <c r="G1182" s="55"/>
      <c r="N1182" s="6"/>
      <c r="O1182" s="53"/>
      <c r="P1182" s="53"/>
      <c r="Q1182" s="53"/>
      <c r="R1182" s="51"/>
      <c r="S1182" s="51"/>
      <c r="T1182" s="53"/>
      <c r="U1182" s="53"/>
      <c r="V1182" s="53"/>
      <c r="W1182" s="53"/>
      <c r="X1182" s="53"/>
      <c r="Y1182" s="53"/>
      <c r="Z1182" s="52"/>
      <c r="AA1182" s="52"/>
      <c r="AB1182" s="52"/>
      <c r="AC1182" s="52"/>
      <c r="AD1182" s="53"/>
      <c r="AE1182" s="53"/>
      <c r="AF1182" s="53"/>
    </row>
    <row r="1183">
      <c r="G1183" s="55"/>
      <c r="N1183" s="6"/>
      <c r="O1183" s="53"/>
      <c r="P1183" s="53"/>
      <c r="Q1183" s="53"/>
      <c r="R1183" s="51"/>
      <c r="S1183" s="51"/>
      <c r="T1183" s="53"/>
      <c r="U1183" s="53"/>
      <c r="V1183" s="53"/>
      <c r="W1183" s="53"/>
      <c r="X1183" s="53"/>
      <c r="Y1183" s="53"/>
      <c r="Z1183" s="52"/>
      <c r="AA1183" s="52"/>
      <c r="AB1183" s="52"/>
      <c r="AC1183" s="52"/>
      <c r="AD1183" s="53"/>
      <c r="AE1183" s="53"/>
      <c r="AF1183" s="53"/>
    </row>
    <row r="1184">
      <c r="G1184" s="55"/>
      <c r="N1184" s="6"/>
      <c r="O1184" s="53"/>
      <c r="P1184" s="53"/>
      <c r="Q1184" s="53"/>
      <c r="R1184" s="51"/>
      <c r="S1184" s="51"/>
      <c r="T1184" s="53"/>
      <c r="U1184" s="53"/>
      <c r="V1184" s="53"/>
      <c r="W1184" s="53"/>
      <c r="X1184" s="53"/>
      <c r="Y1184" s="53"/>
      <c r="Z1184" s="52"/>
      <c r="AA1184" s="52"/>
      <c r="AB1184" s="52"/>
      <c r="AC1184" s="52"/>
      <c r="AD1184" s="53"/>
      <c r="AE1184" s="53"/>
      <c r="AF1184" s="53"/>
    </row>
    <row r="1185">
      <c r="G1185" s="55"/>
      <c r="N1185" s="6"/>
      <c r="O1185" s="53"/>
      <c r="P1185" s="53"/>
      <c r="Q1185" s="53"/>
      <c r="R1185" s="51"/>
      <c r="S1185" s="51"/>
      <c r="T1185" s="53"/>
      <c r="U1185" s="53"/>
      <c r="V1185" s="53"/>
      <c r="W1185" s="53"/>
      <c r="X1185" s="53"/>
      <c r="Y1185" s="53"/>
      <c r="Z1185" s="52"/>
      <c r="AA1185" s="52"/>
      <c r="AB1185" s="52"/>
      <c r="AC1185" s="52"/>
      <c r="AD1185" s="53"/>
      <c r="AE1185" s="53"/>
      <c r="AF1185" s="53"/>
    </row>
    <row r="1186">
      <c r="G1186" s="55"/>
      <c r="N1186" s="6"/>
      <c r="O1186" s="53"/>
      <c r="P1186" s="53"/>
      <c r="Q1186" s="53"/>
      <c r="R1186" s="51"/>
      <c r="S1186" s="51"/>
      <c r="T1186" s="53"/>
      <c r="U1186" s="53"/>
      <c r="V1186" s="53"/>
      <c r="W1186" s="53"/>
      <c r="X1186" s="53"/>
      <c r="Y1186" s="53"/>
      <c r="Z1186" s="52"/>
      <c r="AA1186" s="52"/>
      <c r="AB1186" s="52"/>
      <c r="AC1186" s="52"/>
      <c r="AD1186" s="53"/>
      <c r="AE1186" s="53"/>
      <c r="AF1186" s="53"/>
    </row>
    <row r="1187">
      <c r="G1187" s="55"/>
      <c r="N1187" s="6"/>
      <c r="O1187" s="53"/>
      <c r="P1187" s="53"/>
      <c r="Q1187" s="53"/>
      <c r="R1187" s="51"/>
      <c r="S1187" s="51"/>
      <c r="T1187" s="53"/>
      <c r="U1187" s="53"/>
      <c r="V1187" s="53"/>
      <c r="W1187" s="53"/>
      <c r="X1187" s="53"/>
      <c r="Y1187" s="53"/>
      <c r="Z1187" s="52"/>
      <c r="AA1187" s="52"/>
      <c r="AB1187" s="52"/>
      <c r="AC1187" s="52"/>
      <c r="AD1187" s="53"/>
      <c r="AE1187" s="53"/>
      <c r="AF1187" s="53"/>
    </row>
    <row r="1188">
      <c r="G1188" s="55"/>
      <c r="N1188" s="6"/>
      <c r="O1188" s="53"/>
      <c r="P1188" s="53"/>
      <c r="Q1188" s="53"/>
      <c r="R1188" s="51"/>
      <c r="S1188" s="51"/>
      <c r="T1188" s="53"/>
      <c r="U1188" s="53"/>
      <c r="V1188" s="53"/>
      <c r="W1188" s="53"/>
      <c r="X1188" s="53"/>
      <c r="Y1188" s="53"/>
      <c r="Z1188" s="52"/>
      <c r="AA1188" s="52"/>
      <c r="AB1188" s="52"/>
      <c r="AC1188" s="52"/>
      <c r="AD1188" s="53"/>
      <c r="AE1188" s="53"/>
      <c r="AF1188" s="53"/>
    </row>
    <row r="1189">
      <c r="G1189" s="55"/>
      <c r="N1189" s="6"/>
      <c r="O1189" s="53"/>
      <c r="P1189" s="53"/>
      <c r="Q1189" s="53"/>
      <c r="R1189" s="51"/>
      <c r="S1189" s="51"/>
      <c r="T1189" s="53"/>
      <c r="U1189" s="53"/>
      <c r="V1189" s="53"/>
      <c r="W1189" s="53"/>
      <c r="X1189" s="53"/>
      <c r="Y1189" s="53"/>
      <c r="Z1189" s="52"/>
      <c r="AA1189" s="52"/>
      <c r="AB1189" s="52"/>
      <c r="AC1189" s="52"/>
      <c r="AD1189" s="53"/>
      <c r="AE1189" s="53"/>
      <c r="AF1189" s="53"/>
    </row>
    <row r="1190">
      <c r="G1190" s="55"/>
      <c r="N1190" s="6"/>
      <c r="O1190" s="53"/>
      <c r="P1190" s="53"/>
      <c r="Q1190" s="53"/>
      <c r="R1190" s="51"/>
      <c r="S1190" s="51"/>
      <c r="T1190" s="53"/>
      <c r="U1190" s="53"/>
      <c r="V1190" s="53"/>
      <c r="W1190" s="53"/>
      <c r="X1190" s="53"/>
      <c r="Y1190" s="53"/>
      <c r="Z1190" s="52"/>
      <c r="AA1190" s="52"/>
      <c r="AB1190" s="52"/>
      <c r="AC1190" s="52"/>
      <c r="AD1190" s="53"/>
      <c r="AE1190" s="53"/>
      <c r="AF1190" s="53"/>
    </row>
    <row r="1191">
      <c r="G1191" s="55"/>
      <c r="N1191" s="6"/>
      <c r="O1191" s="53"/>
      <c r="P1191" s="53"/>
      <c r="Q1191" s="53"/>
      <c r="R1191" s="51"/>
      <c r="S1191" s="51"/>
      <c r="T1191" s="53"/>
      <c r="U1191" s="53"/>
      <c r="V1191" s="53"/>
      <c r="W1191" s="53"/>
      <c r="X1191" s="53"/>
      <c r="Y1191" s="53"/>
      <c r="Z1191" s="52"/>
      <c r="AA1191" s="52"/>
      <c r="AB1191" s="52"/>
      <c r="AC1191" s="52"/>
      <c r="AD1191" s="53"/>
      <c r="AE1191" s="53"/>
      <c r="AF1191" s="53"/>
    </row>
    <row r="1192">
      <c r="G1192" s="55"/>
      <c r="N1192" s="6"/>
      <c r="O1192" s="53"/>
      <c r="P1192" s="53"/>
      <c r="Q1192" s="53"/>
      <c r="R1192" s="51"/>
      <c r="S1192" s="51"/>
      <c r="T1192" s="53"/>
      <c r="U1192" s="53"/>
      <c r="V1192" s="53"/>
      <c r="W1192" s="53"/>
      <c r="X1192" s="53"/>
      <c r="Y1192" s="53"/>
      <c r="Z1192" s="52"/>
      <c r="AA1192" s="52"/>
      <c r="AB1192" s="52"/>
      <c r="AC1192" s="52"/>
      <c r="AD1192" s="53"/>
      <c r="AE1192" s="53"/>
      <c r="AF1192" s="53"/>
    </row>
    <row r="1193">
      <c r="G1193" s="55"/>
      <c r="N1193" s="6"/>
      <c r="O1193" s="53"/>
      <c r="P1193" s="53"/>
      <c r="Q1193" s="53"/>
      <c r="R1193" s="51"/>
      <c r="S1193" s="51"/>
      <c r="T1193" s="53"/>
      <c r="U1193" s="53"/>
      <c r="V1193" s="53"/>
      <c r="W1193" s="53"/>
      <c r="X1193" s="53"/>
      <c r="Y1193" s="53"/>
      <c r="Z1193" s="52"/>
      <c r="AA1193" s="52"/>
      <c r="AB1193" s="52"/>
      <c r="AC1193" s="52"/>
      <c r="AD1193" s="53"/>
      <c r="AE1193" s="53"/>
      <c r="AF1193" s="53"/>
    </row>
    <row r="1194">
      <c r="G1194" s="55"/>
      <c r="N1194" s="6"/>
      <c r="O1194" s="53"/>
      <c r="P1194" s="53"/>
      <c r="Q1194" s="53"/>
      <c r="R1194" s="51"/>
      <c r="S1194" s="51"/>
      <c r="T1194" s="53"/>
      <c r="U1194" s="53"/>
      <c r="V1194" s="53"/>
      <c r="W1194" s="53"/>
      <c r="X1194" s="53"/>
      <c r="Y1194" s="53"/>
      <c r="Z1194" s="52"/>
      <c r="AA1194" s="52"/>
      <c r="AB1194" s="52"/>
      <c r="AC1194" s="52"/>
      <c r="AD1194" s="53"/>
      <c r="AE1194" s="53"/>
      <c r="AF1194" s="53"/>
    </row>
    <row r="1195">
      <c r="G1195" s="55"/>
      <c r="N1195" s="6"/>
      <c r="O1195" s="53"/>
      <c r="P1195" s="53"/>
      <c r="Q1195" s="53"/>
      <c r="R1195" s="51"/>
      <c r="S1195" s="51"/>
      <c r="T1195" s="53"/>
      <c r="U1195" s="53"/>
      <c r="V1195" s="53"/>
      <c r="W1195" s="53"/>
      <c r="X1195" s="53"/>
      <c r="Y1195" s="53"/>
      <c r="Z1195" s="52"/>
      <c r="AA1195" s="52"/>
      <c r="AB1195" s="52"/>
      <c r="AC1195" s="52"/>
      <c r="AD1195" s="53"/>
      <c r="AE1195" s="53"/>
      <c r="AF1195" s="53"/>
    </row>
    <row r="1196">
      <c r="G1196" s="55"/>
      <c r="N1196" s="6"/>
      <c r="O1196" s="53"/>
      <c r="P1196" s="53"/>
      <c r="Q1196" s="53"/>
      <c r="R1196" s="51"/>
      <c r="S1196" s="51"/>
      <c r="T1196" s="53"/>
      <c r="U1196" s="53"/>
      <c r="V1196" s="53"/>
      <c r="W1196" s="53"/>
      <c r="X1196" s="53"/>
      <c r="Y1196" s="53"/>
      <c r="Z1196" s="52"/>
      <c r="AA1196" s="52"/>
      <c r="AB1196" s="52"/>
      <c r="AC1196" s="52"/>
      <c r="AD1196" s="53"/>
      <c r="AE1196" s="53"/>
      <c r="AF1196" s="53"/>
    </row>
    <row r="1197">
      <c r="G1197" s="55"/>
      <c r="N1197" s="6"/>
      <c r="O1197" s="53"/>
      <c r="P1197" s="53"/>
      <c r="Q1197" s="53"/>
      <c r="R1197" s="51"/>
      <c r="S1197" s="51"/>
      <c r="T1197" s="53"/>
      <c r="U1197" s="53"/>
      <c r="V1197" s="53"/>
      <c r="W1197" s="53"/>
      <c r="X1197" s="53"/>
      <c r="Y1197" s="53"/>
      <c r="Z1197" s="52"/>
      <c r="AA1197" s="52"/>
      <c r="AB1197" s="52"/>
      <c r="AC1197" s="52"/>
      <c r="AD1197" s="53"/>
      <c r="AE1197" s="53"/>
      <c r="AF1197" s="53"/>
    </row>
    <row r="1198">
      <c r="G1198" s="55"/>
      <c r="N1198" s="6"/>
      <c r="O1198" s="53"/>
      <c r="P1198" s="53"/>
      <c r="Q1198" s="53"/>
      <c r="R1198" s="51"/>
      <c r="S1198" s="51"/>
      <c r="T1198" s="53"/>
      <c r="U1198" s="53"/>
      <c r="V1198" s="53"/>
      <c r="W1198" s="53"/>
      <c r="X1198" s="53"/>
      <c r="Y1198" s="53"/>
      <c r="Z1198" s="52"/>
      <c r="AA1198" s="52"/>
      <c r="AB1198" s="52"/>
      <c r="AC1198" s="52"/>
      <c r="AD1198" s="53"/>
      <c r="AE1198" s="53"/>
      <c r="AF1198" s="53"/>
    </row>
    <row r="1199">
      <c r="G1199" s="55"/>
      <c r="N1199" s="6"/>
      <c r="O1199" s="53"/>
      <c r="P1199" s="53"/>
      <c r="Q1199" s="53"/>
      <c r="R1199" s="51"/>
      <c r="S1199" s="51"/>
      <c r="T1199" s="53"/>
      <c r="U1199" s="53"/>
      <c r="V1199" s="53"/>
      <c r="W1199" s="53"/>
      <c r="X1199" s="53"/>
      <c r="Y1199" s="53"/>
      <c r="Z1199" s="52"/>
      <c r="AA1199" s="52"/>
      <c r="AB1199" s="52"/>
      <c r="AC1199" s="52"/>
      <c r="AD1199" s="53"/>
      <c r="AE1199" s="53"/>
      <c r="AF1199" s="53"/>
    </row>
    <row r="1200">
      <c r="G1200" s="55"/>
      <c r="N1200" s="6"/>
      <c r="O1200" s="53"/>
      <c r="P1200" s="53"/>
      <c r="Q1200" s="53"/>
      <c r="R1200" s="51"/>
      <c r="S1200" s="51"/>
      <c r="T1200" s="53"/>
      <c r="U1200" s="53"/>
      <c r="V1200" s="53"/>
      <c r="W1200" s="53"/>
      <c r="X1200" s="53"/>
      <c r="Y1200" s="53"/>
      <c r="Z1200" s="52"/>
      <c r="AA1200" s="52"/>
      <c r="AB1200" s="52"/>
      <c r="AC1200" s="52"/>
      <c r="AD1200" s="53"/>
      <c r="AE1200" s="53"/>
      <c r="AF1200" s="53"/>
    </row>
    <row r="1201">
      <c r="G1201" s="55"/>
      <c r="N1201" s="6"/>
      <c r="O1201" s="53"/>
      <c r="P1201" s="53"/>
      <c r="Q1201" s="53"/>
      <c r="R1201" s="51"/>
      <c r="S1201" s="51"/>
      <c r="T1201" s="53"/>
      <c r="U1201" s="53"/>
      <c r="V1201" s="53"/>
      <c r="W1201" s="53"/>
      <c r="X1201" s="53"/>
      <c r="Y1201" s="53"/>
      <c r="Z1201" s="52"/>
      <c r="AA1201" s="52"/>
      <c r="AB1201" s="52"/>
      <c r="AC1201" s="52"/>
      <c r="AD1201" s="53"/>
      <c r="AE1201" s="53"/>
      <c r="AF1201" s="53"/>
    </row>
    <row r="1202">
      <c r="G1202" s="55"/>
      <c r="N1202" s="6"/>
      <c r="O1202" s="53"/>
      <c r="P1202" s="53"/>
      <c r="Q1202" s="53"/>
      <c r="R1202" s="51"/>
      <c r="S1202" s="51"/>
      <c r="T1202" s="53"/>
      <c r="U1202" s="53"/>
      <c r="V1202" s="53"/>
      <c r="W1202" s="53"/>
      <c r="X1202" s="53"/>
      <c r="Y1202" s="53"/>
      <c r="Z1202" s="52"/>
      <c r="AA1202" s="52"/>
      <c r="AB1202" s="52"/>
      <c r="AC1202" s="52"/>
      <c r="AD1202" s="53"/>
      <c r="AE1202" s="53"/>
      <c r="AF1202" s="53"/>
    </row>
    <row r="1203">
      <c r="G1203" s="55"/>
      <c r="N1203" s="6"/>
      <c r="O1203" s="53"/>
      <c r="P1203" s="53"/>
      <c r="Q1203" s="53"/>
      <c r="R1203" s="51"/>
      <c r="S1203" s="51"/>
      <c r="T1203" s="53"/>
      <c r="U1203" s="53"/>
      <c r="V1203" s="53"/>
      <c r="W1203" s="53"/>
      <c r="X1203" s="53"/>
      <c r="Y1203" s="53"/>
      <c r="Z1203" s="52"/>
      <c r="AA1203" s="52"/>
      <c r="AB1203" s="52"/>
      <c r="AC1203" s="52"/>
      <c r="AD1203" s="53"/>
      <c r="AE1203" s="53"/>
      <c r="AF1203" s="53"/>
    </row>
    <row r="1204">
      <c r="G1204" s="55"/>
      <c r="N1204" s="6"/>
      <c r="O1204" s="53"/>
      <c r="P1204" s="53"/>
      <c r="Q1204" s="53"/>
      <c r="R1204" s="51"/>
      <c r="S1204" s="51"/>
      <c r="T1204" s="53"/>
      <c r="U1204" s="53"/>
      <c r="V1204" s="53"/>
      <c r="W1204" s="53"/>
      <c r="X1204" s="53"/>
      <c r="Y1204" s="53"/>
      <c r="Z1204" s="52"/>
      <c r="AA1204" s="52"/>
      <c r="AB1204" s="52"/>
      <c r="AC1204" s="52"/>
      <c r="AD1204" s="53"/>
      <c r="AE1204" s="53"/>
      <c r="AF1204" s="53"/>
    </row>
    <row r="1205">
      <c r="G1205" s="55"/>
      <c r="N1205" s="6"/>
      <c r="O1205" s="53"/>
      <c r="P1205" s="53"/>
      <c r="Q1205" s="53"/>
      <c r="R1205" s="51"/>
      <c r="S1205" s="51"/>
      <c r="T1205" s="53"/>
      <c r="U1205" s="53"/>
      <c r="V1205" s="53"/>
      <c r="W1205" s="53"/>
      <c r="X1205" s="53"/>
      <c r="Y1205" s="53"/>
      <c r="Z1205" s="52"/>
      <c r="AA1205" s="52"/>
      <c r="AB1205" s="52"/>
      <c r="AC1205" s="52"/>
      <c r="AD1205" s="53"/>
      <c r="AE1205" s="53"/>
      <c r="AF1205" s="53"/>
    </row>
    <row r="1206">
      <c r="G1206" s="55"/>
      <c r="N1206" s="6"/>
      <c r="O1206" s="53"/>
      <c r="P1206" s="53"/>
      <c r="Q1206" s="53"/>
      <c r="R1206" s="51"/>
      <c r="S1206" s="51"/>
      <c r="T1206" s="53"/>
      <c r="U1206" s="53"/>
      <c r="V1206" s="53"/>
      <c r="W1206" s="53"/>
      <c r="X1206" s="53"/>
      <c r="Y1206" s="53"/>
      <c r="Z1206" s="52"/>
      <c r="AA1206" s="52"/>
      <c r="AB1206" s="52"/>
      <c r="AC1206" s="52"/>
      <c r="AD1206" s="53"/>
      <c r="AE1206" s="53"/>
      <c r="AF1206" s="53"/>
    </row>
    <row r="1207">
      <c r="G1207" s="55"/>
      <c r="N1207" s="6"/>
      <c r="O1207" s="53"/>
      <c r="P1207" s="53"/>
      <c r="Q1207" s="53"/>
      <c r="R1207" s="51"/>
      <c r="S1207" s="51"/>
      <c r="T1207" s="53"/>
      <c r="U1207" s="53"/>
      <c r="V1207" s="53"/>
      <c r="W1207" s="53"/>
      <c r="X1207" s="53"/>
      <c r="Y1207" s="53"/>
      <c r="Z1207" s="52"/>
      <c r="AA1207" s="52"/>
      <c r="AB1207" s="52"/>
      <c r="AC1207" s="52"/>
      <c r="AD1207" s="53"/>
      <c r="AE1207" s="53"/>
      <c r="AF1207" s="53"/>
    </row>
    <row r="1208">
      <c r="G1208" s="55"/>
      <c r="N1208" s="6"/>
      <c r="O1208" s="53"/>
      <c r="P1208" s="53"/>
      <c r="Q1208" s="53"/>
      <c r="R1208" s="51"/>
      <c r="S1208" s="51"/>
      <c r="T1208" s="53"/>
      <c r="U1208" s="53"/>
      <c r="V1208" s="53"/>
      <c r="W1208" s="53"/>
      <c r="X1208" s="53"/>
      <c r="Y1208" s="53"/>
      <c r="Z1208" s="52"/>
      <c r="AA1208" s="52"/>
      <c r="AB1208" s="52"/>
      <c r="AC1208" s="52"/>
      <c r="AD1208" s="53"/>
      <c r="AE1208" s="53"/>
      <c r="AF1208" s="53"/>
    </row>
    <row r="1209">
      <c r="G1209" s="55"/>
      <c r="N1209" s="6"/>
      <c r="O1209" s="53"/>
      <c r="P1209" s="53"/>
      <c r="Q1209" s="53"/>
      <c r="R1209" s="51"/>
      <c r="S1209" s="51"/>
      <c r="T1209" s="53"/>
      <c r="U1209" s="53"/>
      <c r="V1209" s="53"/>
      <c r="W1209" s="53"/>
      <c r="X1209" s="53"/>
      <c r="Y1209" s="53"/>
      <c r="Z1209" s="52"/>
      <c r="AA1209" s="52"/>
      <c r="AB1209" s="52"/>
      <c r="AC1209" s="52"/>
      <c r="AD1209" s="53"/>
      <c r="AE1209" s="53"/>
      <c r="AF1209" s="53"/>
    </row>
    <row r="1210">
      <c r="G1210" s="55"/>
      <c r="N1210" s="6"/>
      <c r="O1210" s="53"/>
      <c r="P1210" s="53"/>
      <c r="Q1210" s="53"/>
      <c r="R1210" s="51"/>
      <c r="S1210" s="51"/>
      <c r="T1210" s="53"/>
      <c r="U1210" s="53"/>
      <c r="V1210" s="53"/>
      <c r="W1210" s="53"/>
      <c r="X1210" s="53"/>
      <c r="Y1210" s="53"/>
      <c r="Z1210" s="52"/>
      <c r="AA1210" s="52"/>
      <c r="AB1210" s="52"/>
      <c r="AC1210" s="52"/>
      <c r="AD1210" s="53"/>
      <c r="AE1210" s="53"/>
      <c r="AF1210" s="53"/>
    </row>
    <row r="1211">
      <c r="G1211" s="55"/>
      <c r="N1211" s="6"/>
      <c r="O1211" s="53"/>
      <c r="P1211" s="53"/>
      <c r="Q1211" s="53"/>
      <c r="R1211" s="51"/>
      <c r="S1211" s="51"/>
      <c r="T1211" s="53"/>
      <c r="U1211" s="53"/>
      <c r="V1211" s="53"/>
      <c r="W1211" s="53"/>
      <c r="X1211" s="53"/>
      <c r="Y1211" s="53"/>
      <c r="Z1211" s="52"/>
      <c r="AA1211" s="52"/>
      <c r="AB1211" s="52"/>
      <c r="AC1211" s="52"/>
      <c r="AD1211" s="53"/>
      <c r="AE1211" s="53"/>
      <c r="AF1211" s="53"/>
    </row>
    <row r="1212">
      <c r="G1212" s="55"/>
      <c r="N1212" s="6"/>
      <c r="O1212" s="53"/>
      <c r="P1212" s="53"/>
      <c r="Q1212" s="53"/>
      <c r="R1212" s="51"/>
      <c r="S1212" s="51"/>
      <c r="T1212" s="53"/>
      <c r="U1212" s="53"/>
      <c r="V1212" s="53"/>
      <c r="W1212" s="53"/>
      <c r="X1212" s="53"/>
      <c r="Y1212" s="53"/>
      <c r="Z1212" s="52"/>
      <c r="AA1212" s="52"/>
      <c r="AB1212" s="52"/>
      <c r="AC1212" s="52"/>
      <c r="AD1212" s="53"/>
      <c r="AE1212" s="53"/>
      <c r="AF1212" s="53"/>
    </row>
    <row r="1213">
      <c r="G1213" s="55"/>
      <c r="N1213" s="6"/>
      <c r="O1213" s="53"/>
      <c r="P1213" s="53"/>
      <c r="Q1213" s="53"/>
      <c r="R1213" s="51"/>
      <c r="S1213" s="51"/>
      <c r="T1213" s="53"/>
      <c r="U1213" s="53"/>
      <c r="V1213" s="53"/>
      <c r="W1213" s="53"/>
      <c r="X1213" s="53"/>
      <c r="Y1213" s="53"/>
      <c r="Z1213" s="52"/>
      <c r="AA1213" s="52"/>
      <c r="AB1213" s="52"/>
      <c r="AC1213" s="52"/>
      <c r="AD1213" s="53"/>
      <c r="AE1213" s="53"/>
      <c r="AF1213" s="53"/>
    </row>
    <row r="1214">
      <c r="G1214" s="55"/>
      <c r="N1214" s="6"/>
      <c r="O1214" s="53"/>
      <c r="P1214" s="53"/>
      <c r="Q1214" s="53"/>
      <c r="R1214" s="51"/>
      <c r="S1214" s="51"/>
      <c r="T1214" s="53"/>
      <c r="U1214" s="53"/>
      <c r="V1214" s="53"/>
      <c r="W1214" s="53"/>
      <c r="X1214" s="53"/>
      <c r="Y1214" s="53"/>
      <c r="Z1214" s="52"/>
      <c r="AA1214" s="52"/>
      <c r="AB1214" s="52"/>
      <c r="AC1214" s="52"/>
      <c r="AD1214" s="53"/>
      <c r="AE1214" s="53"/>
      <c r="AF1214" s="53"/>
    </row>
    <row r="1215">
      <c r="G1215" s="55"/>
      <c r="N1215" s="6"/>
      <c r="O1215" s="53"/>
      <c r="P1215" s="53"/>
      <c r="Q1215" s="53"/>
      <c r="R1215" s="51"/>
      <c r="S1215" s="51"/>
      <c r="T1215" s="53"/>
      <c r="U1215" s="53"/>
      <c r="V1215" s="53"/>
      <c r="W1215" s="53"/>
      <c r="X1215" s="53"/>
      <c r="Y1215" s="53"/>
      <c r="Z1215" s="52"/>
      <c r="AA1215" s="52"/>
      <c r="AB1215" s="52"/>
      <c r="AC1215" s="52"/>
      <c r="AD1215" s="53"/>
      <c r="AE1215" s="53"/>
      <c r="AF1215" s="53"/>
    </row>
    <row r="1216">
      <c r="G1216" s="55"/>
      <c r="N1216" s="6"/>
      <c r="O1216" s="53"/>
      <c r="P1216" s="53"/>
      <c r="Q1216" s="53"/>
      <c r="R1216" s="51"/>
      <c r="S1216" s="51"/>
      <c r="T1216" s="53"/>
      <c r="U1216" s="53"/>
      <c r="V1216" s="53"/>
      <c r="W1216" s="53"/>
      <c r="X1216" s="53"/>
      <c r="Y1216" s="53"/>
      <c r="Z1216" s="52"/>
      <c r="AA1216" s="52"/>
      <c r="AB1216" s="52"/>
      <c r="AC1216" s="52"/>
      <c r="AD1216" s="53"/>
      <c r="AE1216" s="53"/>
      <c r="AF1216" s="53"/>
    </row>
    <row r="1217">
      <c r="G1217" s="55"/>
      <c r="N1217" s="6"/>
      <c r="O1217" s="53"/>
      <c r="P1217" s="53"/>
      <c r="Q1217" s="53"/>
      <c r="R1217" s="51"/>
      <c r="S1217" s="51"/>
      <c r="T1217" s="53"/>
      <c r="U1217" s="53"/>
      <c r="V1217" s="53"/>
      <c r="W1217" s="53"/>
      <c r="X1217" s="53"/>
      <c r="Y1217" s="53"/>
      <c r="Z1217" s="52"/>
      <c r="AA1217" s="52"/>
      <c r="AB1217" s="52"/>
      <c r="AC1217" s="52"/>
      <c r="AD1217" s="53"/>
      <c r="AE1217" s="53"/>
      <c r="AF1217" s="53"/>
    </row>
    <row r="1218">
      <c r="G1218" s="55"/>
      <c r="N1218" s="6"/>
      <c r="O1218" s="53"/>
      <c r="P1218" s="53"/>
      <c r="Q1218" s="53"/>
      <c r="R1218" s="51"/>
      <c r="S1218" s="51"/>
      <c r="T1218" s="53"/>
      <c r="U1218" s="53"/>
      <c r="V1218" s="53"/>
      <c r="W1218" s="53"/>
      <c r="X1218" s="53"/>
      <c r="Y1218" s="53"/>
      <c r="Z1218" s="52"/>
      <c r="AA1218" s="52"/>
      <c r="AB1218" s="52"/>
      <c r="AC1218" s="52"/>
      <c r="AD1218" s="53"/>
      <c r="AE1218" s="53"/>
      <c r="AF1218" s="53"/>
    </row>
    <row r="1219">
      <c r="G1219" s="55"/>
      <c r="N1219" s="6"/>
      <c r="O1219" s="53"/>
      <c r="P1219" s="53"/>
      <c r="Q1219" s="53"/>
      <c r="R1219" s="51"/>
      <c r="S1219" s="51"/>
      <c r="T1219" s="53"/>
      <c r="U1219" s="53"/>
      <c r="V1219" s="53"/>
      <c r="W1219" s="53"/>
      <c r="X1219" s="53"/>
      <c r="Y1219" s="53"/>
      <c r="Z1219" s="52"/>
      <c r="AA1219" s="52"/>
      <c r="AB1219" s="52"/>
      <c r="AC1219" s="52"/>
      <c r="AD1219" s="53"/>
      <c r="AE1219" s="53"/>
      <c r="AF1219" s="53"/>
    </row>
    <row r="1220">
      <c r="G1220" s="55"/>
      <c r="N1220" s="6"/>
      <c r="O1220" s="53"/>
      <c r="P1220" s="53"/>
      <c r="Q1220" s="53"/>
      <c r="R1220" s="51"/>
      <c r="S1220" s="51"/>
      <c r="T1220" s="53"/>
      <c r="U1220" s="53"/>
      <c r="V1220" s="53"/>
      <c r="W1220" s="53"/>
      <c r="X1220" s="53"/>
      <c r="Y1220" s="53"/>
      <c r="Z1220" s="52"/>
      <c r="AA1220" s="52"/>
      <c r="AB1220" s="52"/>
      <c r="AC1220" s="52"/>
      <c r="AD1220" s="53"/>
      <c r="AE1220" s="53"/>
      <c r="AF1220" s="53"/>
    </row>
    <row r="1221">
      <c r="G1221" s="55"/>
      <c r="N1221" s="6"/>
      <c r="O1221" s="53"/>
      <c r="P1221" s="53"/>
      <c r="Q1221" s="53"/>
      <c r="R1221" s="51"/>
      <c r="S1221" s="51"/>
      <c r="T1221" s="53"/>
      <c r="U1221" s="53"/>
      <c r="V1221" s="53"/>
      <c r="W1221" s="53"/>
      <c r="X1221" s="53"/>
      <c r="Y1221" s="53"/>
      <c r="Z1221" s="52"/>
      <c r="AA1221" s="52"/>
      <c r="AB1221" s="52"/>
      <c r="AC1221" s="52"/>
      <c r="AD1221" s="53"/>
      <c r="AE1221" s="53"/>
      <c r="AF1221" s="53"/>
    </row>
    <row r="1222">
      <c r="G1222" s="55"/>
      <c r="N1222" s="6"/>
      <c r="O1222" s="53"/>
      <c r="P1222" s="53"/>
      <c r="Q1222" s="53"/>
      <c r="R1222" s="51"/>
      <c r="S1222" s="51"/>
      <c r="T1222" s="53"/>
      <c r="U1222" s="53"/>
      <c r="V1222" s="53"/>
      <c r="W1222" s="53"/>
      <c r="X1222" s="53"/>
      <c r="Y1222" s="53"/>
      <c r="Z1222" s="52"/>
      <c r="AA1222" s="52"/>
      <c r="AB1222" s="52"/>
      <c r="AC1222" s="52"/>
      <c r="AD1222" s="53"/>
      <c r="AE1222" s="53"/>
      <c r="AF1222" s="53"/>
    </row>
    <row r="1223">
      <c r="G1223" s="55"/>
      <c r="N1223" s="6"/>
      <c r="O1223" s="53"/>
      <c r="P1223" s="53"/>
      <c r="Q1223" s="53"/>
      <c r="R1223" s="51"/>
      <c r="S1223" s="51"/>
      <c r="T1223" s="53"/>
      <c r="U1223" s="53"/>
      <c r="V1223" s="53"/>
      <c r="W1223" s="53"/>
      <c r="X1223" s="53"/>
      <c r="Y1223" s="53"/>
      <c r="Z1223" s="52"/>
      <c r="AA1223" s="52"/>
      <c r="AB1223" s="52"/>
      <c r="AC1223" s="52"/>
      <c r="AD1223" s="53"/>
      <c r="AE1223" s="53"/>
      <c r="AF1223" s="53"/>
    </row>
    <row r="1224">
      <c r="G1224" s="55"/>
      <c r="N1224" s="6"/>
      <c r="O1224" s="53"/>
      <c r="P1224" s="53"/>
      <c r="Q1224" s="53"/>
      <c r="R1224" s="51"/>
      <c r="S1224" s="51"/>
      <c r="T1224" s="53"/>
      <c r="U1224" s="53"/>
      <c r="V1224" s="53"/>
      <c r="W1224" s="53"/>
      <c r="X1224" s="53"/>
      <c r="Y1224" s="53"/>
      <c r="Z1224" s="52"/>
      <c r="AA1224" s="52"/>
      <c r="AB1224" s="52"/>
      <c r="AC1224" s="52"/>
      <c r="AD1224" s="53"/>
      <c r="AE1224" s="53"/>
      <c r="AF1224" s="53"/>
    </row>
    <row r="1225">
      <c r="G1225" s="55"/>
      <c r="N1225" s="6"/>
      <c r="O1225" s="53"/>
      <c r="P1225" s="53"/>
      <c r="Q1225" s="53"/>
      <c r="R1225" s="51"/>
      <c r="S1225" s="51"/>
      <c r="T1225" s="53"/>
      <c r="U1225" s="53"/>
      <c r="V1225" s="53"/>
      <c r="W1225" s="53"/>
      <c r="X1225" s="53"/>
      <c r="Y1225" s="53"/>
      <c r="Z1225" s="52"/>
      <c r="AA1225" s="52"/>
      <c r="AB1225" s="52"/>
      <c r="AC1225" s="52"/>
      <c r="AD1225" s="53"/>
      <c r="AE1225" s="53"/>
      <c r="AF1225" s="53"/>
    </row>
    <row r="1226">
      <c r="G1226" s="55"/>
      <c r="N1226" s="6"/>
      <c r="O1226" s="53"/>
      <c r="P1226" s="53"/>
      <c r="Q1226" s="53"/>
      <c r="R1226" s="51"/>
      <c r="S1226" s="51"/>
      <c r="T1226" s="53"/>
      <c r="U1226" s="53"/>
      <c r="V1226" s="53"/>
      <c r="W1226" s="53"/>
      <c r="X1226" s="53"/>
      <c r="Y1226" s="53"/>
      <c r="Z1226" s="52"/>
      <c r="AA1226" s="52"/>
      <c r="AB1226" s="52"/>
      <c r="AC1226" s="52"/>
      <c r="AD1226" s="53"/>
      <c r="AE1226" s="53"/>
      <c r="AF1226" s="53"/>
    </row>
    <row r="1227">
      <c r="G1227" s="55"/>
      <c r="N1227" s="6"/>
      <c r="O1227" s="53"/>
      <c r="P1227" s="53"/>
      <c r="Q1227" s="53"/>
      <c r="R1227" s="51"/>
      <c r="S1227" s="51"/>
      <c r="T1227" s="53"/>
      <c r="U1227" s="53"/>
      <c r="V1227" s="53"/>
      <c r="W1227" s="53"/>
      <c r="X1227" s="53"/>
      <c r="Y1227" s="53"/>
      <c r="Z1227" s="52"/>
      <c r="AA1227" s="52"/>
      <c r="AB1227" s="52"/>
      <c r="AC1227" s="52"/>
      <c r="AD1227" s="53"/>
      <c r="AE1227" s="53"/>
      <c r="AF1227" s="53"/>
    </row>
    <row r="1228">
      <c r="G1228" s="55"/>
      <c r="N1228" s="6"/>
      <c r="O1228" s="53"/>
      <c r="P1228" s="53"/>
      <c r="Q1228" s="53"/>
      <c r="R1228" s="51"/>
      <c r="S1228" s="51"/>
      <c r="T1228" s="53"/>
      <c r="U1228" s="53"/>
      <c r="V1228" s="53"/>
      <c r="W1228" s="53"/>
      <c r="X1228" s="53"/>
      <c r="Y1228" s="53"/>
      <c r="Z1228" s="52"/>
      <c r="AA1228" s="52"/>
      <c r="AB1228" s="52"/>
      <c r="AC1228" s="52"/>
      <c r="AD1228" s="53"/>
      <c r="AE1228" s="53"/>
      <c r="AF1228" s="53"/>
    </row>
    <row r="1229">
      <c r="G1229" s="55"/>
      <c r="N1229" s="6"/>
      <c r="O1229" s="53"/>
      <c r="P1229" s="53"/>
      <c r="Q1229" s="53"/>
      <c r="R1229" s="51"/>
      <c r="S1229" s="51"/>
      <c r="T1229" s="53"/>
      <c r="U1229" s="53"/>
      <c r="V1229" s="53"/>
      <c r="W1229" s="53"/>
      <c r="X1229" s="53"/>
      <c r="Y1229" s="53"/>
      <c r="Z1229" s="52"/>
      <c r="AA1229" s="52"/>
      <c r="AB1229" s="52"/>
      <c r="AC1229" s="52"/>
      <c r="AD1229" s="53"/>
      <c r="AE1229" s="53"/>
      <c r="AF1229" s="53"/>
    </row>
    <row r="1230">
      <c r="G1230" s="55"/>
      <c r="N1230" s="6"/>
      <c r="O1230" s="53"/>
      <c r="P1230" s="53"/>
      <c r="Q1230" s="53"/>
      <c r="R1230" s="51"/>
      <c r="S1230" s="51"/>
      <c r="T1230" s="53"/>
      <c r="U1230" s="53"/>
      <c r="V1230" s="53"/>
      <c r="W1230" s="53"/>
      <c r="X1230" s="53"/>
      <c r="Y1230" s="53"/>
      <c r="Z1230" s="52"/>
      <c r="AA1230" s="52"/>
      <c r="AB1230" s="52"/>
      <c r="AC1230" s="52"/>
      <c r="AD1230" s="53"/>
      <c r="AE1230" s="53"/>
      <c r="AF1230" s="53"/>
    </row>
    <row r="1231">
      <c r="G1231" s="55"/>
      <c r="N1231" s="6"/>
      <c r="O1231" s="53"/>
      <c r="P1231" s="53"/>
      <c r="Q1231" s="53"/>
      <c r="R1231" s="51"/>
      <c r="S1231" s="51"/>
      <c r="T1231" s="53"/>
      <c r="U1231" s="53"/>
      <c r="V1231" s="53"/>
      <c r="W1231" s="53"/>
      <c r="X1231" s="53"/>
      <c r="Y1231" s="53"/>
      <c r="Z1231" s="52"/>
      <c r="AA1231" s="52"/>
      <c r="AB1231" s="52"/>
      <c r="AC1231" s="52"/>
      <c r="AD1231" s="53"/>
      <c r="AE1231" s="53"/>
      <c r="AF1231" s="53"/>
    </row>
    <row r="1232">
      <c r="G1232" s="55"/>
      <c r="N1232" s="6"/>
      <c r="O1232" s="53"/>
      <c r="P1232" s="53"/>
      <c r="Q1232" s="53"/>
      <c r="R1232" s="51"/>
      <c r="S1232" s="51"/>
      <c r="T1232" s="53"/>
      <c r="U1232" s="53"/>
      <c r="V1232" s="53"/>
      <c r="W1232" s="53"/>
      <c r="X1232" s="53"/>
      <c r="Y1232" s="53"/>
      <c r="Z1232" s="52"/>
      <c r="AA1232" s="52"/>
      <c r="AB1232" s="52"/>
      <c r="AC1232" s="52"/>
      <c r="AD1232" s="53"/>
      <c r="AE1232" s="53"/>
      <c r="AF1232" s="53"/>
    </row>
    <row r="1233">
      <c r="G1233" s="55"/>
      <c r="N1233" s="6"/>
      <c r="O1233" s="53"/>
      <c r="P1233" s="53"/>
      <c r="Q1233" s="53"/>
      <c r="R1233" s="51"/>
      <c r="S1233" s="51"/>
      <c r="T1233" s="53"/>
      <c r="U1233" s="53"/>
      <c r="V1233" s="53"/>
      <c r="W1233" s="53"/>
      <c r="X1233" s="53"/>
      <c r="Y1233" s="53"/>
      <c r="Z1233" s="52"/>
      <c r="AA1233" s="52"/>
      <c r="AB1233" s="52"/>
      <c r="AC1233" s="52"/>
      <c r="AD1233" s="53"/>
      <c r="AE1233" s="53"/>
      <c r="AF1233" s="53"/>
    </row>
    <row r="1234">
      <c r="G1234" s="55"/>
      <c r="N1234" s="6"/>
      <c r="O1234" s="53"/>
      <c r="P1234" s="53"/>
      <c r="Q1234" s="53"/>
      <c r="R1234" s="51"/>
      <c r="S1234" s="51"/>
      <c r="T1234" s="53"/>
      <c r="U1234" s="53"/>
      <c r="V1234" s="53"/>
      <c r="W1234" s="53"/>
      <c r="X1234" s="53"/>
      <c r="Y1234" s="53"/>
      <c r="Z1234" s="52"/>
      <c r="AA1234" s="52"/>
      <c r="AB1234" s="52"/>
      <c r="AC1234" s="52"/>
      <c r="AD1234" s="53"/>
      <c r="AE1234" s="53"/>
      <c r="AF1234" s="53"/>
    </row>
    <row r="1235">
      <c r="G1235" s="55"/>
      <c r="N1235" s="6"/>
      <c r="O1235" s="53"/>
      <c r="P1235" s="53"/>
      <c r="Q1235" s="53"/>
      <c r="R1235" s="51"/>
      <c r="S1235" s="51"/>
      <c r="T1235" s="53"/>
      <c r="U1235" s="53"/>
      <c r="V1235" s="53"/>
      <c r="W1235" s="53"/>
      <c r="X1235" s="53"/>
      <c r="Y1235" s="53"/>
      <c r="Z1235" s="52"/>
      <c r="AA1235" s="52"/>
      <c r="AB1235" s="52"/>
      <c r="AC1235" s="52"/>
      <c r="AD1235" s="53"/>
      <c r="AE1235" s="53"/>
      <c r="AF1235" s="53"/>
    </row>
    <row r="1236">
      <c r="G1236" s="55"/>
      <c r="N1236" s="6"/>
      <c r="O1236" s="53"/>
      <c r="P1236" s="53"/>
      <c r="Q1236" s="53"/>
      <c r="R1236" s="51"/>
      <c r="S1236" s="51"/>
      <c r="T1236" s="53"/>
      <c r="U1236" s="53"/>
      <c r="V1236" s="53"/>
      <c r="W1236" s="53"/>
      <c r="X1236" s="53"/>
      <c r="Y1236" s="53"/>
      <c r="Z1236" s="52"/>
      <c r="AA1236" s="52"/>
      <c r="AB1236" s="52"/>
      <c r="AC1236" s="52"/>
      <c r="AD1236" s="53"/>
      <c r="AE1236" s="53"/>
      <c r="AF1236" s="53"/>
    </row>
    <row r="1237">
      <c r="G1237" s="55"/>
      <c r="N1237" s="6"/>
      <c r="O1237" s="53"/>
      <c r="P1237" s="53"/>
      <c r="Q1237" s="53"/>
      <c r="R1237" s="51"/>
      <c r="S1237" s="51"/>
      <c r="T1237" s="53"/>
      <c r="U1237" s="53"/>
      <c r="V1237" s="53"/>
      <c r="W1237" s="53"/>
      <c r="X1237" s="53"/>
      <c r="Y1237" s="53"/>
      <c r="Z1237" s="52"/>
      <c r="AA1237" s="52"/>
      <c r="AB1237" s="52"/>
      <c r="AC1237" s="52"/>
      <c r="AD1237" s="53"/>
      <c r="AE1237" s="53"/>
      <c r="AF1237" s="53"/>
    </row>
    <row r="1238">
      <c r="G1238" s="55"/>
      <c r="N1238" s="6"/>
      <c r="O1238" s="53"/>
      <c r="P1238" s="53"/>
      <c r="Q1238" s="53"/>
      <c r="R1238" s="51"/>
      <c r="S1238" s="51"/>
      <c r="T1238" s="53"/>
      <c r="U1238" s="53"/>
      <c r="V1238" s="53"/>
      <c r="W1238" s="53"/>
      <c r="X1238" s="53"/>
      <c r="Y1238" s="53"/>
      <c r="Z1238" s="52"/>
      <c r="AA1238" s="52"/>
      <c r="AB1238" s="52"/>
      <c r="AC1238" s="52"/>
      <c r="AD1238" s="53"/>
      <c r="AE1238" s="53"/>
      <c r="AF1238" s="53"/>
    </row>
    <row r="1239">
      <c r="G1239" s="55"/>
      <c r="N1239" s="6"/>
      <c r="O1239" s="53"/>
      <c r="P1239" s="53"/>
      <c r="Q1239" s="53"/>
      <c r="R1239" s="51"/>
      <c r="S1239" s="51"/>
      <c r="T1239" s="53"/>
      <c r="U1239" s="53"/>
      <c r="V1239" s="53"/>
      <c r="W1239" s="53"/>
      <c r="X1239" s="53"/>
      <c r="Y1239" s="53"/>
      <c r="Z1239" s="52"/>
      <c r="AA1239" s="52"/>
      <c r="AB1239" s="52"/>
      <c r="AC1239" s="52"/>
      <c r="AD1239" s="53"/>
      <c r="AE1239" s="53"/>
      <c r="AF1239" s="53"/>
    </row>
    <row r="1240">
      <c r="G1240" s="55"/>
      <c r="N1240" s="6"/>
      <c r="O1240" s="53"/>
      <c r="P1240" s="53"/>
      <c r="Q1240" s="53"/>
      <c r="R1240" s="51"/>
      <c r="S1240" s="51"/>
      <c r="T1240" s="53"/>
      <c r="U1240" s="53"/>
      <c r="V1240" s="53"/>
      <c r="W1240" s="53"/>
      <c r="X1240" s="53"/>
      <c r="Y1240" s="53"/>
      <c r="Z1240" s="52"/>
      <c r="AA1240" s="52"/>
      <c r="AB1240" s="52"/>
      <c r="AC1240" s="52"/>
      <c r="AD1240" s="53"/>
      <c r="AE1240" s="53"/>
      <c r="AF1240" s="53"/>
    </row>
    <row r="1241">
      <c r="G1241" s="55"/>
      <c r="N1241" s="6"/>
      <c r="O1241" s="53"/>
      <c r="P1241" s="53"/>
      <c r="Q1241" s="53"/>
      <c r="R1241" s="51"/>
      <c r="S1241" s="51"/>
      <c r="T1241" s="53"/>
      <c r="U1241" s="53"/>
      <c r="V1241" s="53"/>
      <c r="W1241" s="53"/>
      <c r="X1241" s="53"/>
      <c r="Y1241" s="53"/>
      <c r="Z1241" s="52"/>
      <c r="AA1241" s="52"/>
      <c r="AB1241" s="52"/>
      <c r="AC1241" s="52"/>
      <c r="AD1241" s="53"/>
      <c r="AE1241" s="53"/>
      <c r="AF1241" s="53"/>
    </row>
    <row r="1242">
      <c r="G1242" s="55"/>
      <c r="N1242" s="6"/>
      <c r="O1242" s="53"/>
      <c r="P1242" s="53"/>
      <c r="Q1242" s="53"/>
      <c r="R1242" s="51"/>
      <c r="S1242" s="51"/>
      <c r="T1242" s="53"/>
      <c r="U1242" s="53"/>
      <c r="V1242" s="53"/>
      <c r="W1242" s="53"/>
      <c r="X1242" s="53"/>
      <c r="Y1242" s="53"/>
      <c r="Z1242" s="52"/>
      <c r="AA1242" s="52"/>
      <c r="AB1242" s="52"/>
      <c r="AC1242" s="52"/>
      <c r="AD1242" s="53"/>
      <c r="AE1242" s="53"/>
      <c r="AF1242" s="53"/>
    </row>
    <row r="1243">
      <c r="G1243" s="55"/>
      <c r="N1243" s="6"/>
      <c r="O1243" s="53"/>
      <c r="P1243" s="53"/>
      <c r="Q1243" s="53"/>
      <c r="R1243" s="51"/>
      <c r="S1243" s="51"/>
      <c r="T1243" s="53"/>
      <c r="U1243" s="53"/>
      <c r="V1243" s="53"/>
      <c r="W1243" s="53"/>
      <c r="X1243" s="53"/>
      <c r="Y1243" s="53"/>
      <c r="Z1243" s="52"/>
      <c r="AA1243" s="52"/>
      <c r="AB1243" s="52"/>
      <c r="AC1243" s="52"/>
      <c r="AD1243" s="53"/>
      <c r="AE1243" s="53"/>
      <c r="AF1243" s="53"/>
    </row>
    <row r="1244">
      <c r="G1244" s="55"/>
      <c r="N1244" s="6"/>
      <c r="O1244" s="53"/>
      <c r="P1244" s="53"/>
      <c r="Q1244" s="53"/>
      <c r="R1244" s="51"/>
      <c r="S1244" s="51"/>
      <c r="T1244" s="53"/>
      <c r="U1244" s="53"/>
      <c r="V1244" s="53"/>
      <c r="W1244" s="53"/>
      <c r="X1244" s="53"/>
      <c r="Y1244" s="53"/>
      <c r="Z1244" s="52"/>
      <c r="AA1244" s="52"/>
      <c r="AB1244" s="52"/>
      <c r="AC1244" s="52"/>
      <c r="AD1244" s="53"/>
      <c r="AE1244" s="53"/>
      <c r="AF1244" s="53"/>
    </row>
    <row r="1245">
      <c r="G1245" s="55"/>
      <c r="N1245" s="6"/>
      <c r="O1245" s="53"/>
      <c r="P1245" s="53"/>
      <c r="Q1245" s="53"/>
      <c r="R1245" s="51"/>
      <c r="S1245" s="51"/>
      <c r="T1245" s="53"/>
      <c r="U1245" s="53"/>
      <c r="V1245" s="53"/>
      <c r="W1245" s="53"/>
      <c r="X1245" s="53"/>
      <c r="Y1245" s="53"/>
      <c r="Z1245" s="52"/>
      <c r="AA1245" s="52"/>
      <c r="AB1245" s="52"/>
      <c r="AC1245" s="52"/>
      <c r="AD1245" s="53"/>
      <c r="AE1245" s="53"/>
      <c r="AF1245" s="53"/>
    </row>
    <row r="1246">
      <c r="G1246" s="55"/>
      <c r="N1246" s="6"/>
      <c r="O1246" s="53"/>
      <c r="P1246" s="53"/>
      <c r="Q1246" s="53"/>
      <c r="R1246" s="51"/>
      <c r="S1246" s="51"/>
      <c r="T1246" s="53"/>
      <c r="U1246" s="53"/>
      <c r="V1246" s="53"/>
      <c r="W1246" s="53"/>
      <c r="X1246" s="53"/>
      <c r="Y1246" s="53"/>
      <c r="Z1246" s="52"/>
      <c r="AA1246" s="52"/>
      <c r="AB1246" s="52"/>
      <c r="AC1246" s="52"/>
      <c r="AD1246" s="53"/>
      <c r="AE1246" s="53"/>
      <c r="AF1246" s="53"/>
    </row>
    <row r="1247">
      <c r="G1247" s="55"/>
      <c r="N1247" s="6"/>
      <c r="O1247" s="53"/>
      <c r="P1247" s="53"/>
      <c r="Q1247" s="53"/>
      <c r="R1247" s="51"/>
      <c r="S1247" s="51"/>
      <c r="T1247" s="53"/>
      <c r="U1247" s="53"/>
      <c r="V1247" s="53"/>
      <c r="W1247" s="53"/>
      <c r="X1247" s="53"/>
      <c r="Y1247" s="53"/>
      <c r="Z1247" s="52"/>
      <c r="AA1247" s="52"/>
      <c r="AB1247" s="52"/>
      <c r="AC1247" s="52"/>
      <c r="AD1247" s="53"/>
      <c r="AE1247" s="53"/>
      <c r="AF1247" s="53"/>
    </row>
    <row r="1248">
      <c r="G1248" s="55"/>
      <c r="N1248" s="6"/>
      <c r="O1248" s="53"/>
      <c r="P1248" s="53"/>
      <c r="Q1248" s="53"/>
      <c r="R1248" s="51"/>
      <c r="S1248" s="51"/>
      <c r="T1248" s="53"/>
      <c r="U1248" s="53"/>
      <c r="V1248" s="53"/>
      <c r="W1248" s="53"/>
      <c r="X1248" s="53"/>
      <c r="Y1248" s="53"/>
      <c r="Z1248" s="52"/>
      <c r="AA1248" s="52"/>
      <c r="AB1248" s="52"/>
      <c r="AC1248" s="52"/>
      <c r="AD1248" s="53"/>
      <c r="AE1248" s="53"/>
      <c r="AF1248" s="53"/>
    </row>
    <row r="1249">
      <c r="G1249" s="55"/>
      <c r="N1249" s="6"/>
      <c r="O1249" s="53"/>
      <c r="P1249" s="53"/>
      <c r="Q1249" s="53"/>
      <c r="R1249" s="51"/>
      <c r="S1249" s="51"/>
      <c r="T1249" s="53"/>
      <c r="U1249" s="53"/>
      <c r="V1249" s="53"/>
      <c r="W1249" s="53"/>
      <c r="X1249" s="53"/>
      <c r="Y1249" s="53"/>
      <c r="Z1249" s="52"/>
      <c r="AA1249" s="52"/>
      <c r="AB1249" s="52"/>
      <c r="AC1249" s="52"/>
      <c r="AD1249" s="53"/>
      <c r="AE1249" s="53"/>
      <c r="AF1249" s="53"/>
    </row>
    <row r="1250">
      <c r="G1250" s="55"/>
      <c r="N1250" s="6"/>
      <c r="O1250" s="53"/>
      <c r="P1250" s="53"/>
      <c r="Q1250" s="53"/>
      <c r="R1250" s="51"/>
      <c r="S1250" s="51"/>
      <c r="T1250" s="53"/>
      <c r="U1250" s="53"/>
      <c r="V1250" s="53"/>
      <c r="W1250" s="53"/>
      <c r="X1250" s="53"/>
      <c r="Y1250" s="53"/>
      <c r="Z1250" s="52"/>
      <c r="AA1250" s="52"/>
      <c r="AB1250" s="52"/>
      <c r="AC1250" s="52"/>
      <c r="AD1250" s="53"/>
      <c r="AE1250" s="53"/>
      <c r="AF1250" s="53"/>
    </row>
    <row r="1251">
      <c r="G1251" s="55"/>
      <c r="N1251" s="6"/>
      <c r="O1251" s="53"/>
      <c r="P1251" s="53"/>
      <c r="Q1251" s="53"/>
      <c r="R1251" s="51"/>
      <c r="S1251" s="51"/>
      <c r="T1251" s="53"/>
      <c r="U1251" s="53"/>
      <c r="V1251" s="53"/>
      <c r="W1251" s="53"/>
      <c r="X1251" s="53"/>
      <c r="Y1251" s="53"/>
      <c r="Z1251" s="52"/>
      <c r="AA1251" s="52"/>
      <c r="AB1251" s="52"/>
      <c r="AC1251" s="52"/>
      <c r="AD1251" s="53"/>
      <c r="AE1251" s="53"/>
      <c r="AF1251" s="53"/>
    </row>
    <row r="1252">
      <c r="G1252" s="55"/>
      <c r="N1252" s="6"/>
      <c r="O1252" s="53"/>
      <c r="P1252" s="53"/>
      <c r="Q1252" s="53"/>
      <c r="R1252" s="51"/>
      <c r="S1252" s="51"/>
      <c r="T1252" s="53"/>
      <c r="U1252" s="53"/>
      <c r="V1252" s="53"/>
      <c r="W1252" s="53"/>
      <c r="X1252" s="53"/>
      <c r="Y1252" s="53"/>
      <c r="Z1252" s="52"/>
      <c r="AA1252" s="52"/>
      <c r="AB1252" s="52"/>
      <c r="AC1252" s="52"/>
      <c r="AD1252" s="53"/>
      <c r="AE1252" s="53"/>
      <c r="AF1252" s="53"/>
    </row>
    <row r="1253">
      <c r="G1253" s="55"/>
      <c r="N1253" s="6"/>
      <c r="O1253" s="53"/>
      <c r="P1253" s="53"/>
      <c r="Q1253" s="53"/>
      <c r="R1253" s="51"/>
      <c r="S1253" s="51"/>
      <c r="T1253" s="53"/>
      <c r="U1253" s="53"/>
      <c r="V1253" s="53"/>
      <c r="W1253" s="53"/>
      <c r="X1253" s="53"/>
      <c r="Y1253" s="53"/>
      <c r="Z1253" s="52"/>
      <c r="AA1253" s="52"/>
      <c r="AB1253" s="52"/>
      <c r="AC1253" s="52"/>
      <c r="AD1253" s="53"/>
      <c r="AE1253" s="53"/>
      <c r="AF1253" s="53"/>
    </row>
    <row r="1254">
      <c r="G1254" s="55"/>
      <c r="N1254" s="6"/>
      <c r="O1254" s="53"/>
      <c r="P1254" s="53"/>
      <c r="Q1254" s="53"/>
      <c r="R1254" s="51"/>
      <c r="S1254" s="51"/>
      <c r="T1254" s="53"/>
      <c r="U1254" s="53"/>
      <c r="V1254" s="53"/>
      <c r="W1254" s="53"/>
      <c r="X1254" s="53"/>
      <c r="Y1254" s="53"/>
      <c r="Z1254" s="52"/>
      <c r="AA1254" s="52"/>
      <c r="AB1254" s="52"/>
      <c r="AC1254" s="52"/>
      <c r="AD1254" s="53"/>
      <c r="AE1254" s="53"/>
      <c r="AF1254" s="53"/>
    </row>
    <row r="1255">
      <c r="G1255" s="55"/>
      <c r="N1255" s="6"/>
      <c r="O1255" s="53"/>
      <c r="P1255" s="53"/>
      <c r="Q1255" s="53"/>
      <c r="R1255" s="51"/>
      <c r="S1255" s="51"/>
      <c r="T1255" s="53"/>
      <c r="U1255" s="53"/>
      <c r="V1255" s="53"/>
      <c r="W1255" s="53"/>
      <c r="X1255" s="53"/>
      <c r="Y1255" s="53"/>
      <c r="Z1255" s="52"/>
      <c r="AA1255" s="52"/>
      <c r="AB1255" s="52"/>
      <c r="AC1255" s="52"/>
      <c r="AD1255" s="53"/>
      <c r="AE1255" s="53"/>
      <c r="AF1255" s="53"/>
    </row>
    <row r="1256">
      <c r="G1256" s="55"/>
      <c r="N1256" s="6"/>
      <c r="O1256" s="53"/>
      <c r="P1256" s="53"/>
      <c r="Q1256" s="53"/>
      <c r="R1256" s="51"/>
      <c r="S1256" s="51"/>
      <c r="T1256" s="53"/>
      <c r="U1256" s="53"/>
      <c r="V1256" s="53"/>
      <c r="W1256" s="53"/>
      <c r="X1256" s="53"/>
      <c r="Y1256" s="53"/>
      <c r="Z1256" s="52"/>
      <c r="AA1256" s="52"/>
      <c r="AB1256" s="52"/>
      <c r="AC1256" s="52"/>
      <c r="AD1256" s="53"/>
      <c r="AE1256" s="53"/>
      <c r="AF1256" s="53"/>
    </row>
    <row r="1257">
      <c r="G1257" s="55"/>
      <c r="N1257" s="6"/>
      <c r="O1257" s="53"/>
      <c r="P1257" s="53"/>
      <c r="Q1257" s="53"/>
      <c r="R1257" s="51"/>
      <c r="S1257" s="51"/>
      <c r="T1257" s="53"/>
      <c r="U1257" s="53"/>
      <c r="V1257" s="53"/>
      <c r="W1257" s="53"/>
      <c r="X1257" s="53"/>
      <c r="Y1257" s="53"/>
      <c r="Z1257" s="52"/>
      <c r="AA1257" s="52"/>
      <c r="AB1257" s="52"/>
      <c r="AC1257" s="52"/>
      <c r="AD1257" s="53"/>
      <c r="AE1257" s="53"/>
      <c r="AF1257" s="53"/>
    </row>
    <row r="1258">
      <c r="G1258" s="55"/>
      <c r="N1258" s="6"/>
      <c r="O1258" s="53"/>
      <c r="P1258" s="53"/>
      <c r="Q1258" s="53"/>
      <c r="R1258" s="51"/>
      <c r="S1258" s="51"/>
      <c r="T1258" s="53"/>
      <c r="U1258" s="53"/>
      <c r="V1258" s="53"/>
      <c r="W1258" s="53"/>
      <c r="X1258" s="53"/>
      <c r="Y1258" s="53"/>
      <c r="Z1258" s="52"/>
      <c r="AA1258" s="52"/>
      <c r="AB1258" s="52"/>
      <c r="AC1258" s="52"/>
      <c r="AD1258" s="53"/>
      <c r="AE1258" s="53"/>
      <c r="AF1258" s="53"/>
    </row>
    <row r="1259">
      <c r="G1259" s="55"/>
      <c r="N1259" s="6"/>
      <c r="O1259" s="53"/>
      <c r="P1259" s="53"/>
      <c r="Q1259" s="53"/>
      <c r="R1259" s="51"/>
      <c r="S1259" s="51"/>
      <c r="T1259" s="53"/>
      <c r="U1259" s="53"/>
      <c r="V1259" s="53"/>
      <c r="W1259" s="53"/>
      <c r="X1259" s="53"/>
      <c r="Y1259" s="53"/>
      <c r="Z1259" s="52"/>
      <c r="AA1259" s="52"/>
      <c r="AB1259" s="52"/>
      <c r="AC1259" s="52"/>
      <c r="AD1259" s="53"/>
      <c r="AE1259" s="53"/>
      <c r="AF1259" s="53"/>
    </row>
    <row r="1260">
      <c r="G1260" s="55"/>
      <c r="N1260" s="6"/>
      <c r="O1260" s="53"/>
      <c r="P1260" s="53"/>
      <c r="Q1260" s="53"/>
      <c r="R1260" s="51"/>
      <c r="S1260" s="51"/>
      <c r="T1260" s="53"/>
      <c r="U1260" s="53"/>
      <c r="V1260" s="53"/>
      <c r="W1260" s="53"/>
      <c r="X1260" s="53"/>
      <c r="Y1260" s="53"/>
      <c r="Z1260" s="52"/>
      <c r="AA1260" s="52"/>
      <c r="AB1260" s="52"/>
      <c r="AC1260" s="52"/>
      <c r="AD1260" s="53"/>
      <c r="AE1260" s="53"/>
      <c r="AF1260" s="53"/>
    </row>
    <row r="1261">
      <c r="G1261" s="55"/>
      <c r="N1261" s="6"/>
      <c r="O1261" s="53"/>
      <c r="P1261" s="53"/>
      <c r="Q1261" s="53"/>
      <c r="R1261" s="51"/>
      <c r="S1261" s="51"/>
      <c r="T1261" s="53"/>
      <c r="U1261" s="53"/>
      <c r="V1261" s="53"/>
      <c r="W1261" s="53"/>
      <c r="X1261" s="53"/>
      <c r="Y1261" s="53"/>
      <c r="Z1261" s="52"/>
      <c r="AA1261" s="52"/>
      <c r="AB1261" s="52"/>
      <c r="AC1261" s="52"/>
      <c r="AD1261" s="53"/>
      <c r="AE1261" s="53"/>
      <c r="AF1261" s="53"/>
    </row>
    <row r="1262">
      <c r="G1262" s="55"/>
      <c r="N1262" s="6"/>
      <c r="O1262" s="53"/>
      <c r="P1262" s="53"/>
      <c r="Q1262" s="53"/>
      <c r="R1262" s="51"/>
      <c r="S1262" s="51"/>
      <c r="T1262" s="53"/>
      <c r="U1262" s="53"/>
      <c r="V1262" s="53"/>
      <c r="W1262" s="53"/>
      <c r="X1262" s="53"/>
      <c r="Y1262" s="53"/>
      <c r="Z1262" s="52"/>
      <c r="AA1262" s="52"/>
      <c r="AB1262" s="52"/>
      <c r="AC1262" s="52"/>
      <c r="AD1262" s="53"/>
      <c r="AE1262" s="53"/>
      <c r="AF1262" s="53"/>
    </row>
    <row r="1263">
      <c r="G1263" s="55"/>
      <c r="N1263" s="6"/>
      <c r="O1263" s="53"/>
      <c r="P1263" s="53"/>
      <c r="Q1263" s="53"/>
      <c r="R1263" s="51"/>
      <c r="S1263" s="51"/>
      <c r="T1263" s="53"/>
      <c r="U1263" s="53"/>
      <c r="V1263" s="53"/>
      <c r="W1263" s="53"/>
      <c r="X1263" s="53"/>
      <c r="Y1263" s="53"/>
      <c r="Z1263" s="52"/>
      <c r="AA1263" s="52"/>
      <c r="AB1263" s="52"/>
      <c r="AC1263" s="52"/>
      <c r="AD1263" s="53"/>
      <c r="AE1263" s="53"/>
      <c r="AF1263" s="53"/>
    </row>
    <row r="1264">
      <c r="G1264" s="55"/>
      <c r="N1264" s="6"/>
      <c r="O1264" s="53"/>
      <c r="P1264" s="53"/>
      <c r="Q1264" s="53"/>
      <c r="R1264" s="51"/>
      <c r="S1264" s="51"/>
      <c r="T1264" s="53"/>
      <c r="U1264" s="53"/>
      <c r="V1264" s="53"/>
      <c r="W1264" s="53"/>
      <c r="X1264" s="53"/>
      <c r="Y1264" s="53"/>
      <c r="Z1264" s="52"/>
      <c r="AA1264" s="52"/>
      <c r="AB1264" s="52"/>
      <c r="AC1264" s="52"/>
      <c r="AD1264" s="53"/>
      <c r="AE1264" s="53"/>
      <c r="AF1264" s="53"/>
    </row>
    <row r="1265">
      <c r="G1265" s="55"/>
      <c r="N1265" s="6"/>
      <c r="O1265" s="53"/>
      <c r="P1265" s="53"/>
      <c r="Q1265" s="53"/>
      <c r="R1265" s="51"/>
      <c r="S1265" s="51"/>
      <c r="T1265" s="53"/>
      <c r="U1265" s="53"/>
      <c r="V1265" s="53"/>
      <c r="W1265" s="53"/>
      <c r="X1265" s="53"/>
      <c r="Y1265" s="53"/>
      <c r="Z1265" s="52"/>
      <c r="AA1265" s="52"/>
      <c r="AB1265" s="52"/>
      <c r="AC1265" s="52"/>
      <c r="AD1265" s="53"/>
      <c r="AE1265" s="53"/>
      <c r="AF1265" s="53"/>
    </row>
    <row r="1266">
      <c r="G1266" s="55"/>
      <c r="N1266" s="6"/>
      <c r="O1266" s="53"/>
      <c r="P1266" s="53"/>
      <c r="Q1266" s="53"/>
      <c r="R1266" s="51"/>
      <c r="S1266" s="51"/>
      <c r="T1266" s="53"/>
      <c r="U1266" s="53"/>
      <c r="V1266" s="53"/>
      <c r="W1266" s="53"/>
      <c r="X1266" s="53"/>
      <c r="Y1266" s="53"/>
      <c r="Z1266" s="52"/>
      <c r="AA1266" s="52"/>
      <c r="AB1266" s="52"/>
      <c r="AC1266" s="52"/>
      <c r="AD1266" s="53"/>
      <c r="AE1266" s="53"/>
      <c r="AF1266" s="53"/>
    </row>
    <row r="1267">
      <c r="G1267" s="55"/>
      <c r="N1267" s="6"/>
      <c r="O1267" s="53"/>
      <c r="P1267" s="53"/>
      <c r="Q1267" s="53"/>
      <c r="R1267" s="51"/>
      <c r="S1267" s="51"/>
      <c r="T1267" s="53"/>
      <c r="U1267" s="53"/>
      <c r="V1267" s="53"/>
      <c r="W1267" s="53"/>
      <c r="X1267" s="53"/>
      <c r="Y1267" s="53"/>
      <c r="Z1267" s="52"/>
      <c r="AA1267" s="52"/>
      <c r="AB1267" s="52"/>
      <c r="AC1267" s="52"/>
      <c r="AD1267" s="53"/>
      <c r="AE1267" s="53"/>
      <c r="AF1267" s="53"/>
    </row>
    <row r="1268">
      <c r="G1268" s="55"/>
      <c r="N1268" s="6"/>
      <c r="O1268" s="53"/>
      <c r="P1268" s="53"/>
      <c r="Q1268" s="53"/>
      <c r="R1268" s="51"/>
      <c r="S1268" s="51"/>
      <c r="T1268" s="53"/>
      <c r="U1268" s="53"/>
      <c r="V1268" s="53"/>
      <c r="W1268" s="53"/>
      <c r="X1268" s="53"/>
      <c r="Y1268" s="53"/>
      <c r="Z1268" s="52"/>
      <c r="AA1268" s="52"/>
      <c r="AB1268" s="52"/>
      <c r="AC1268" s="52"/>
      <c r="AD1268" s="53"/>
      <c r="AE1268" s="53"/>
      <c r="AF1268" s="53"/>
    </row>
    <row r="1269">
      <c r="G1269" s="55"/>
      <c r="N1269" s="6"/>
      <c r="O1269" s="53"/>
      <c r="P1269" s="53"/>
      <c r="Q1269" s="53"/>
      <c r="R1269" s="51"/>
      <c r="S1269" s="51"/>
      <c r="T1269" s="53"/>
      <c r="U1269" s="53"/>
      <c r="V1269" s="53"/>
      <c r="W1269" s="53"/>
      <c r="X1269" s="53"/>
      <c r="Y1269" s="53"/>
      <c r="Z1269" s="52"/>
      <c r="AA1269" s="52"/>
      <c r="AB1269" s="52"/>
      <c r="AC1269" s="52"/>
      <c r="AD1269" s="53"/>
      <c r="AE1269" s="53"/>
      <c r="AF1269" s="53"/>
    </row>
    <row r="1270">
      <c r="G1270" s="55"/>
      <c r="N1270" s="6"/>
      <c r="O1270" s="53"/>
      <c r="P1270" s="53"/>
      <c r="Q1270" s="53"/>
      <c r="R1270" s="51"/>
      <c r="S1270" s="51"/>
      <c r="T1270" s="53"/>
      <c r="U1270" s="53"/>
      <c r="V1270" s="53"/>
      <c r="W1270" s="53"/>
      <c r="X1270" s="53"/>
      <c r="Y1270" s="53"/>
      <c r="Z1270" s="52"/>
      <c r="AA1270" s="52"/>
      <c r="AB1270" s="52"/>
      <c r="AC1270" s="52"/>
      <c r="AD1270" s="53"/>
      <c r="AE1270" s="53"/>
      <c r="AF1270" s="53"/>
    </row>
    <row r="1271">
      <c r="G1271" s="55"/>
      <c r="N1271" s="6"/>
      <c r="O1271" s="53"/>
      <c r="P1271" s="53"/>
      <c r="Q1271" s="53"/>
      <c r="R1271" s="51"/>
      <c r="S1271" s="51"/>
      <c r="T1271" s="53"/>
      <c r="U1271" s="53"/>
      <c r="V1271" s="53"/>
      <c r="W1271" s="53"/>
      <c r="X1271" s="53"/>
      <c r="Y1271" s="53"/>
      <c r="Z1271" s="52"/>
      <c r="AA1271" s="52"/>
      <c r="AB1271" s="52"/>
      <c r="AC1271" s="52"/>
      <c r="AD1271" s="53"/>
      <c r="AE1271" s="53"/>
      <c r="AF1271" s="53"/>
    </row>
    <row r="1272">
      <c r="G1272" s="55"/>
      <c r="N1272" s="6"/>
      <c r="O1272" s="53"/>
      <c r="P1272" s="53"/>
      <c r="Q1272" s="53"/>
      <c r="R1272" s="51"/>
      <c r="S1272" s="51"/>
      <c r="T1272" s="53"/>
      <c r="U1272" s="53"/>
      <c r="V1272" s="53"/>
      <c r="W1272" s="53"/>
      <c r="X1272" s="53"/>
      <c r="Y1272" s="53"/>
      <c r="Z1272" s="52"/>
      <c r="AA1272" s="52"/>
      <c r="AB1272" s="52"/>
      <c r="AC1272" s="52"/>
      <c r="AD1272" s="53"/>
      <c r="AE1272" s="53"/>
      <c r="AF1272" s="53"/>
    </row>
    <row r="1273">
      <c r="G1273" s="55"/>
      <c r="N1273" s="6"/>
      <c r="O1273" s="53"/>
      <c r="P1273" s="53"/>
      <c r="Q1273" s="53"/>
      <c r="R1273" s="51"/>
      <c r="S1273" s="51"/>
      <c r="T1273" s="53"/>
      <c r="U1273" s="53"/>
      <c r="V1273" s="53"/>
      <c r="W1273" s="53"/>
      <c r="X1273" s="53"/>
      <c r="Y1273" s="53"/>
      <c r="Z1273" s="52"/>
      <c r="AA1273" s="52"/>
      <c r="AB1273" s="52"/>
      <c r="AC1273" s="52"/>
      <c r="AD1273" s="53"/>
      <c r="AE1273" s="53"/>
      <c r="AF1273" s="53"/>
    </row>
    <row r="1274">
      <c r="G1274" s="55"/>
      <c r="N1274" s="6"/>
      <c r="O1274" s="53"/>
      <c r="P1274" s="53"/>
      <c r="Q1274" s="53"/>
      <c r="R1274" s="51"/>
      <c r="S1274" s="51"/>
      <c r="T1274" s="53"/>
      <c r="U1274" s="53"/>
      <c r="V1274" s="53"/>
      <c r="W1274" s="53"/>
      <c r="X1274" s="53"/>
      <c r="Y1274" s="53"/>
      <c r="Z1274" s="52"/>
      <c r="AA1274" s="52"/>
      <c r="AB1274" s="52"/>
      <c r="AC1274" s="52"/>
      <c r="AD1274" s="53"/>
      <c r="AE1274" s="53"/>
      <c r="AF1274" s="53"/>
    </row>
    <row r="1275">
      <c r="G1275" s="55"/>
      <c r="N1275" s="6"/>
      <c r="O1275" s="53"/>
      <c r="P1275" s="53"/>
      <c r="Q1275" s="53"/>
      <c r="R1275" s="51"/>
      <c r="S1275" s="51"/>
      <c r="T1275" s="53"/>
      <c r="U1275" s="53"/>
      <c r="V1275" s="53"/>
      <c r="W1275" s="53"/>
      <c r="X1275" s="53"/>
      <c r="Y1275" s="53"/>
      <c r="Z1275" s="52"/>
      <c r="AA1275" s="52"/>
      <c r="AB1275" s="52"/>
      <c r="AC1275" s="52"/>
      <c r="AD1275" s="53"/>
      <c r="AE1275" s="53"/>
      <c r="AF1275" s="53"/>
    </row>
    <row r="1276">
      <c r="G1276" s="55"/>
      <c r="N1276" s="6"/>
      <c r="O1276" s="53"/>
      <c r="P1276" s="53"/>
      <c r="Q1276" s="53"/>
      <c r="R1276" s="51"/>
      <c r="S1276" s="51"/>
      <c r="T1276" s="53"/>
      <c r="U1276" s="53"/>
      <c r="V1276" s="53"/>
      <c r="W1276" s="53"/>
      <c r="X1276" s="53"/>
      <c r="Y1276" s="53"/>
      <c r="Z1276" s="52"/>
      <c r="AA1276" s="52"/>
      <c r="AB1276" s="52"/>
      <c r="AC1276" s="52"/>
      <c r="AD1276" s="53"/>
      <c r="AE1276" s="53"/>
      <c r="AF1276" s="53"/>
    </row>
    <row r="1277">
      <c r="G1277" s="55"/>
      <c r="N1277" s="6"/>
      <c r="O1277" s="53"/>
      <c r="P1277" s="53"/>
      <c r="Q1277" s="53"/>
      <c r="R1277" s="51"/>
      <c r="S1277" s="51"/>
      <c r="T1277" s="53"/>
      <c r="U1277" s="53"/>
      <c r="V1277" s="53"/>
      <c r="W1277" s="53"/>
      <c r="X1277" s="53"/>
      <c r="Y1277" s="53"/>
      <c r="Z1277" s="52"/>
      <c r="AA1277" s="52"/>
      <c r="AB1277" s="52"/>
      <c r="AC1277" s="52"/>
      <c r="AD1277" s="53"/>
      <c r="AE1277" s="53"/>
      <c r="AF1277" s="53"/>
    </row>
    <row r="1278">
      <c r="G1278" s="55"/>
      <c r="N1278" s="6"/>
      <c r="O1278" s="53"/>
      <c r="P1278" s="53"/>
      <c r="Q1278" s="53"/>
      <c r="R1278" s="51"/>
      <c r="S1278" s="51"/>
      <c r="T1278" s="53"/>
      <c r="U1278" s="53"/>
      <c r="V1278" s="53"/>
      <c r="W1278" s="53"/>
      <c r="X1278" s="53"/>
      <c r="Y1278" s="53"/>
      <c r="Z1278" s="52"/>
      <c r="AA1278" s="52"/>
      <c r="AB1278" s="52"/>
      <c r="AC1278" s="52"/>
      <c r="AD1278" s="53"/>
      <c r="AE1278" s="53"/>
      <c r="AF1278" s="53"/>
    </row>
    <row r="1279">
      <c r="G1279" s="55"/>
      <c r="N1279" s="6"/>
      <c r="O1279" s="53"/>
      <c r="P1279" s="53"/>
      <c r="Q1279" s="53"/>
      <c r="R1279" s="51"/>
      <c r="S1279" s="51"/>
      <c r="T1279" s="53"/>
      <c r="U1279" s="53"/>
      <c r="V1279" s="53"/>
      <c r="W1279" s="53"/>
      <c r="X1279" s="53"/>
      <c r="Y1279" s="53"/>
      <c r="Z1279" s="52"/>
      <c r="AA1279" s="52"/>
      <c r="AB1279" s="52"/>
      <c r="AC1279" s="52"/>
      <c r="AD1279" s="53"/>
      <c r="AE1279" s="53"/>
      <c r="AF1279" s="53"/>
    </row>
    <row r="1280">
      <c r="G1280" s="55"/>
      <c r="N1280" s="6"/>
      <c r="O1280" s="53"/>
      <c r="P1280" s="53"/>
      <c r="Q1280" s="53"/>
      <c r="R1280" s="51"/>
      <c r="S1280" s="51"/>
      <c r="T1280" s="53"/>
      <c r="U1280" s="53"/>
      <c r="V1280" s="53"/>
      <c r="W1280" s="53"/>
      <c r="X1280" s="53"/>
      <c r="Y1280" s="53"/>
      <c r="Z1280" s="52"/>
      <c r="AA1280" s="52"/>
      <c r="AB1280" s="52"/>
      <c r="AC1280" s="52"/>
      <c r="AD1280" s="53"/>
      <c r="AE1280" s="53"/>
      <c r="AF1280" s="53"/>
    </row>
    <row r="1281">
      <c r="G1281" s="55"/>
      <c r="N1281" s="6"/>
      <c r="O1281" s="53"/>
      <c r="P1281" s="53"/>
      <c r="Q1281" s="53"/>
      <c r="R1281" s="51"/>
      <c r="S1281" s="51"/>
      <c r="T1281" s="53"/>
      <c r="U1281" s="53"/>
      <c r="V1281" s="53"/>
      <c r="W1281" s="53"/>
      <c r="X1281" s="53"/>
      <c r="Y1281" s="53"/>
      <c r="Z1281" s="52"/>
      <c r="AA1281" s="52"/>
      <c r="AB1281" s="52"/>
      <c r="AC1281" s="52"/>
      <c r="AD1281" s="53"/>
      <c r="AE1281" s="53"/>
      <c r="AF1281" s="53"/>
    </row>
    <row r="1282">
      <c r="G1282" s="55"/>
      <c r="N1282" s="6"/>
      <c r="O1282" s="53"/>
      <c r="P1282" s="53"/>
      <c r="Q1282" s="53"/>
      <c r="R1282" s="51"/>
      <c r="S1282" s="51"/>
      <c r="T1282" s="53"/>
      <c r="U1282" s="53"/>
      <c r="V1282" s="53"/>
      <c r="W1282" s="53"/>
      <c r="X1282" s="53"/>
      <c r="Y1282" s="53"/>
      <c r="Z1282" s="52"/>
      <c r="AA1282" s="52"/>
      <c r="AB1282" s="52"/>
      <c r="AC1282" s="52"/>
      <c r="AD1282" s="53"/>
      <c r="AE1282" s="53"/>
      <c r="AF1282" s="53"/>
    </row>
    <row r="1283">
      <c r="G1283" s="55"/>
      <c r="N1283" s="6"/>
      <c r="O1283" s="53"/>
      <c r="P1283" s="53"/>
      <c r="Q1283" s="53"/>
      <c r="R1283" s="51"/>
      <c r="S1283" s="51"/>
      <c r="T1283" s="53"/>
      <c r="U1283" s="53"/>
      <c r="V1283" s="53"/>
      <c r="W1283" s="53"/>
      <c r="X1283" s="53"/>
      <c r="Y1283" s="53"/>
      <c r="Z1283" s="52"/>
      <c r="AA1283" s="52"/>
      <c r="AB1283" s="52"/>
      <c r="AC1283" s="52"/>
      <c r="AD1283" s="53"/>
      <c r="AE1283" s="53"/>
      <c r="AF1283" s="53"/>
    </row>
    <row r="1284">
      <c r="G1284" s="55"/>
      <c r="N1284" s="6"/>
      <c r="O1284" s="53"/>
      <c r="P1284" s="53"/>
      <c r="Q1284" s="53"/>
      <c r="R1284" s="51"/>
      <c r="S1284" s="51"/>
      <c r="T1284" s="53"/>
      <c r="U1284" s="53"/>
      <c r="V1284" s="53"/>
      <c r="W1284" s="53"/>
      <c r="X1284" s="53"/>
      <c r="Y1284" s="53"/>
      <c r="Z1284" s="52"/>
      <c r="AA1284" s="52"/>
      <c r="AB1284" s="52"/>
      <c r="AC1284" s="52"/>
      <c r="AD1284" s="53"/>
      <c r="AE1284" s="53"/>
      <c r="AF1284" s="53"/>
    </row>
    <row r="1285">
      <c r="G1285" s="55"/>
      <c r="N1285" s="6"/>
      <c r="O1285" s="53"/>
      <c r="P1285" s="53"/>
      <c r="Q1285" s="53"/>
      <c r="R1285" s="51"/>
      <c r="S1285" s="51"/>
      <c r="T1285" s="53"/>
      <c r="U1285" s="53"/>
      <c r="V1285" s="53"/>
      <c r="W1285" s="53"/>
      <c r="X1285" s="53"/>
      <c r="Y1285" s="53"/>
      <c r="Z1285" s="52"/>
      <c r="AA1285" s="52"/>
      <c r="AB1285" s="52"/>
      <c r="AC1285" s="52"/>
      <c r="AD1285" s="53"/>
      <c r="AE1285" s="53"/>
      <c r="AF1285" s="53"/>
    </row>
    <row r="1286">
      <c r="G1286" s="55"/>
      <c r="N1286" s="6"/>
      <c r="O1286" s="53"/>
      <c r="P1286" s="53"/>
      <c r="Q1286" s="53"/>
      <c r="R1286" s="51"/>
      <c r="S1286" s="51"/>
      <c r="T1286" s="53"/>
      <c r="U1286" s="53"/>
      <c r="V1286" s="53"/>
      <c r="W1286" s="53"/>
      <c r="X1286" s="53"/>
      <c r="Y1286" s="53"/>
      <c r="Z1286" s="52"/>
      <c r="AA1286" s="52"/>
      <c r="AB1286" s="52"/>
      <c r="AC1286" s="52"/>
      <c r="AD1286" s="53"/>
      <c r="AE1286" s="53"/>
      <c r="AF1286" s="53"/>
    </row>
    <row r="1287">
      <c r="G1287" s="55"/>
      <c r="N1287" s="6"/>
      <c r="O1287" s="53"/>
      <c r="P1287" s="53"/>
      <c r="Q1287" s="53"/>
      <c r="R1287" s="51"/>
      <c r="S1287" s="51"/>
      <c r="T1287" s="53"/>
      <c r="U1287" s="53"/>
      <c r="V1287" s="53"/>
      <c r="W1287" s="53"/>
      <c r="X1287" s="53"/>
      <c r="Y1287" s="53"/>
      <c r="Z1287" s="52"/>
      <c r="AA1287" s="52"/>
      <c r="AB1287" s="52"/>
      <c r="AC1287" s="52"/>
      <c r="AD1287" s="53"/>
      <c r="AE1287" s="53"/>
      <c r="AF1287" s="53"/>
    </row>
    <row r="1288">
      <c r="G1288" s="55"/>
      <c r="N1288" s="6"/>
      <c r="O1288" s="53"/>
      <c r="P1288" s="53"/>
      <c r="Q1288" s="53"/>
      <c r="R1288" s="51"/>
      <c r="S1288" s="51"/>
      <c r="T1288" s="53"/>
      <c r="U1288" s="53"/>
      <c r="V1288" s="53"/>
      <c r="W1288" s="53"/>
      <c r="X1288" s="53"/>
      <c r="Y1288" s="53"/>
      <c r="Z1288" s="52"/>
      <c r="AA1288" s="52"/>
      <c r="AB1288" s="52"/>
      <c r="AC1288" s="52"/>
      <c r="AD1288" s="53"/>
      <c r="AE1288" s="53"/>
      <c r="AF1288" s="53"/>
    </row>
    <row r="1289">
      <c r="G1289" s="55"/>
      <c r="N1289" s="6"/>
      <c r="O1289" s="53"/>
      <c r="P1289" s="53"/>
      <c r="Q1289" s="53"/>
      <c r="R1289" s="51"/>
      <c r="S1289" s="51"/>
      <c r="T1289" s="53"/>
      <c r="U1289" s="53"/>
      <c r="V1289" s="53"/>
      <c r="W1289" s="53"/>
      <c r="X1289" s="53"/>
      <c r="Y1289" s="53"/>
      <c r="Z1289" s="52"/>
      <c r="AA1289" s="52"/>
      <c r="AB1289" s="52"/>
      <c r="AC1289" s="52"/>
      <c r="AD1289" s="53"/>
      <c r="AE1289" s="53"/>
      <c r="AF1289" s="53"/>
    </row>
    <row r="1290">
      <c r="G1290" s="55"/>
      <c r="N1290" s="6"/>
      <c r="O1290" s="53"/>
      <c r="P1290" s="53"/>
      <c r="Q1290" s="53"/>
      <c r="R1290" s="51"/>
      <c r="S1290" s="51"/>
      <c r="T1290" s="53"/>
      <c r="U1290" s="53"/>
      <c r="V1290" s="53"/>
      <c r="W1290" s="53"/>
      <c r="X1290" s="53"/>
      <c r="Y1290" s="53"/>
      <c r="Z1290" s="52"/>
      <c r="AA1290" s="52"/>
      <c r="AB1290" s="52"/>
      <c r="AC1290" s="52"/>
      <c r="AD1290" s="53"/>
      <c r="AE1290" s="53"/>
      <c r="AF1290" s="53"/>
    </row>
    <row r="1291">
      <c r="G1291" s="55"/>
      <c r="N1291" s="6"/>
      <c r="O1291" s="53"/>
      <c r="P1291" s="53"/>
      <c r="Q1291" s="53"/>
      <c r="R1291" s="51"/>
      <c r="S1291" s="51"/>
      <c r="T1291" s="53"/>
      <c r="U1291" s="53"/>
      <c r="V1291" s="53"/>
      <c r="W1291" s="53"/>
      <c r="X1291" s="53"/>
      <c r="Y1291" s="53"/>
      <c r="Z1291" s="52"/>
      <c r="AA1291" s="52"/>
      <c r="AB1291" s="52"/>
      <c r="AC1291" s="52"/>
      <c r="AD1291" s="53"/>
      <c r="AE1291" s="53"/>
      <c r="AF1291" s="53"/>
    </row>
    <row r="1292">
      <c r="G1292" s="55"/>
      <c r="N1292" s="6"/>
      <c r="O1292" s="53"/>
      <c r="P1292" s="53"/>
      <c r="Q1292" s="53"/>
      <c r="R1292" s="51"/>
      <c r="S1292" s="51"/>
      <c r="T1292" s="53"/>
      <c r="U1292" s="53"/>
      <c r="V1292" s="53"/>
      <c r="W1292" s="53"/>
      <c r="X1292" s="53"/>
      <c r="Y1292" s="53"/>
      <c r="Z1292" s="52"/>
      <c r="AA1292" s="52"/>
      <c r="AB1292" s="52"/>
      <c r="AC1292" s="52"/>
      <c r="AD1292" s="53"/>
      <c r="AE1292" s="53"/>
      <c r="AF1292" s="53"/>
    </row>
    <row r="1293">
      <c r="G1293" s="55"/>
      <c r="N1293" s="6"/>
      <c r="O1293" s="53"/>
      <c r="P1293" s="53"/>
      <c r="Q1293" s="53"/>
      <c r="R1293" s="51"/>
      <c r="S1293" s="51"/>
      <c r="T1293" s="53"/>
      <c r="U1293" s="53"/>
      <c r="V1293" s="53"/>
      <c r="W1293" s="53"/>
      <c r="X1293" s="53"/>
      <c r="Y1293" s="53"/>
      <c r="Z1293" s="52"/>
      <c r="AA1293" s="52"/>
      <c r="AB1293" s="52"/>
      <c r="AC1293" s="52"/>
      <c r="AD1293" s="53"/>
      <c r="AE1293" s="53"/>
      <c r="AF1293" s="53"/>
    </row>
    <row r="1294">
      <c r="G1294" s="55"/>
      <c r="N1294" s="6"/>
      <c r="O1294" s="53"/>
      <c r="P1294" s="53"/>
      <c r="Q1294" s="53"/>
      <c r="R1294" s="51"/>
      <c r="S1294" s="51"/>
      <c r="T1294" s="53"/>
      <c r="U1294" s="53"/>
      <c r="V1294" s="53"/>
      <c r="W1294" s="53"/>
      <c r="X1294" s="53"/>
      <c r="Y1294" s="53"/>
      <c r="Z1294" s="52"/>
      <c r="AA1294" s="52"/>
      <c r="AB1294" s="52"/>
      <c r="AC1294" s="52"/>
      <c r="AD1294" s="53"/>
      <c r="AE1294" s="53"/>
      <c r="AF1294" s="53"/>
    </row>
    <row r="1295">
      <c r="G1295" s="55"/>
      <c r="N1295" s="6"/>
      <c r="O1295" s="53"/>
      <c r="P1295" s="53"/>
      <c r="Q1295" s="53"/>
      <c r="R1295" s="51"/>
      <c r="S1295" s="51"/>
      <c r="T1295" s="53"/>
      <c r="U1295" s="53"/>
      <c r="V1295" s="53"/>
      <c r="W1295" s="53"/>
      <c r="X1295" s="53"/>
      <c r="Y1295" s="53"/>
      <c r="Z1295" s="52"/>
      <c r="AA1295" s="52"/>
      <c r="AB1295" s="52"/>
      <c r="AC1295" s="52"/>
      <c r="AD1295" s="53"/>
      <c r="AE1295" s="53"/>
      <c r="AF1295" s="53"/>
    </row>
    <row r="1296">
      <c r="G1296" s="55"/>
      <c r="N1296" s="6"/>
      <c r="O1296" s="53"/>
      <c r="P1296" s="53"/>
      <c r="Q1296" s="53"/>
      <c r="R1296" s="51"/>
      <c r="S1296" s="51"/>
      <c r="T1296" s="53"/>
      <c r="U1296" s="53"/>
      <c r="V1296" s="53"/>
      <c r="W1296" s="53"/>
      <c r="X1296" s="53"/>
      <c r="Y1296" s="53"/>
      <c r="Z1296" s="52"/>
      <c r="AA1296" s="52"/>
      <c r="AB1296" s="52"/>
      <c r="AC1296" s="52"/>
      <c r="AD1296" s="53"/>
      <c r="AE1296" s="53"/>
      <c r="AF1296" s="53"/>
    </row>
    <row r="1297">
      <c r="G1297" s="55"/>
      <c r="N1297" s="6"/>
      <c r="O1297" s="53"/>
      <c r="P1297" s="53"/>
      <c r="Q1297" s="53"/>
      <c r="R1297" s="51"/>
      <c r="S1297" s="51"/>
      <c r="T1297" s="53"/>
      <c r="U1297" s="53"/>
      <c r="V1297" s="53"/>
      <c r="W1297" s="53"/>
      <c r="X1297" s="53"/>
      <c r="Y1297" s="53"/>
      <c r="Z1297" s="52"/>
      <c r="AA1297" s="52"/>
      <c r="AB1297" s="52"/>
      <c r="AC1297" s="52"/>
      <c r="AD1297" s="53"/>
      <c r="AE1297" s="53"/>
      <c r="AF1297" s="53"/>
    </row>
    <row r="1298">
      <c r="G1298" s="55"/>
      <c r="N1298" s="6"/>
      <c r="O1298" s="53"/>
      <c r="P1298" s="53"/>
      <c r="Q1298" s="53"/>
      <c r="R1298" s="51"/>
      <c r="S1298" s="51"/>
      <c r="T1298" s="53"/>
      <c r="U1298" s="53"/>
      <c r="V1298" s="53"/>
      <c r="W1298" s="53"/>
      <c r="X1298" s="53"/>
      <c r="Y1298" s="53"/>
      <c r="Z1298" s="52"/>
      <c r="AA1298" s="52"/>
      <c r="AB1298" s="52"/>
      <c r="AC1298" s="52"/>
      <c r="AD1298" s="53"/>
      <c r="AE1298" s="53"/>
      <c r="AF1298" s="53"/>
    </row>
    <row r="1299">
      <c r="G1299" s="55"/>
      <c r="N1299" s="6"/>
      <c r="O1299" s="53"/>
      <c r="P1299" s="53"/>
      <c r="Q1299" s="53"/>
      <c r="R1299" s="51"/>
      <c r="S1299" s="51"/>
      <c r="T1299" s="53"/>
      <c r="U1299" s="53"/>
      <c r="V1299" s="53"/>
      <c r="W1299" s="53"/>
      <c r="X1299" s="53"/>
      <c r="Y1299" s="53"/>
      <c r="Z1299" s="52"/>
      <c r="AA1299" s="52"/>
      <c r="AB1299" s="52"/>
      <c r="AC1299" s="52"/>
      <c r="AD1299" s="53"/>
      <c r="AE1299" s="53"/>
      <c r="AF1299" s="53"/>
    </row>
    <row r="1300">
      <c r="G1300" s="55"/>
      <c r="N1300" s="6"/>
      <c r="O1300" s="53"/>
      <c r="P1300" s="53"/>
      <c r="Q1300" s="53"/>
      <c r="R1300" s="51"/>
      <c r="S1300" s="51"/>
      <c r="T1300" s="53"/>
      <c r="U1300" s="53"/>
      <c r="V1300" s="53"/>
      <c r="W1300" s="53"/>
      <c r="X1300" s="53"/>
      <c r="Y1300" s="53"/>
      <c r="Z1300" s="52"/>
      <c r="AA1300" s="52"/>
      <c r="AB1300" s="52"/>
      <c r="AC1300" s="52"/>
      <c r="AD1300" s="53"/>
      <c r="AE1300" s="53"/>
      <c r="AF1300" s="53"/>
    </row>
    <row r="1301">
      <c r="G1301" s="55"/>
      <c r="N1301" s="6"/>
      <c r="O1301" s="53"/>
      <c r="P1301" s="53"/>
      <c r="Q1301" s="53"/>
      <c r="R1301" s="51"/>
      <c r="S1301" s="51"/>
      <c r="T1301" s="53"/>
      <c r="U1301" s="53"/>
      <c r="V1301" s="53"/>
      <c r="W1301" s="53"/>
      <c r="X1301" s="53"/>
      <c r="Y1301" s="53"/>
      <c r="Z1301" s="52"/>
      <c r="AA1301" s="52"/>
      <c r="AB1301" s="52"/>
      <c r="AC1301" s="52"/>
      <c r="AD1301" s="53"/>
      <c r="AE1301" s="53"/>
      <c r="AF1301" s="53"/>
    </row>
    <row r="1302">
      <c r="G1302" s="55"/>
      <c r="N1302" s="6"/>
      <c r="O1302" s="53"/>
      <c r="P1302" s="53"/>
      <c r="Q1302" s="53"/>
      <c r="R1302" s="51"/>
      <c r="S1302" s="51"/>
      <c r="T1302" s="53"/>
      <c r="U1302" s="53"/>
      <c r="V1302" s="53"/>
      <c r="W1302" s="53"/>
      <c r="X1302" s="53"/>
      <c r="Y1302" s="53"/>
      <c r="Z1302" s="52"/>
      <c r="AA1302" s="52"/>
      <c r="AB1302" s="52"/>
      <c r="AC1302" s="52"/>
      <c r="AD1302" s="53"/>
      <c r="AE1302" s="53"/>
      <c r="AF1302" s="53"/>
    </row>
    <row r="1303">
      <c r="G1303" s="55"/>
      <c r="N1303" s="6"/>
      <c r="O1303" s="53"/>
      <c r="P1303" s="53"/>
      <c r="Q1303" s="53"/>
      <c r="R1303" s="51"/>
      <c r="S1303" s="51"/>
      <c r="T1303" s="53"/>
      <c r="U1303" s="53"/>
      <c r="V1303" s="53"/>
      <c r="W1303" s="53"/>
      <c r="X1303" s="53"/>
      <c r="Y1303" s="53"/>
      <c r="Z1303" s="52"/>
      <c r="AA1303" s="52"/>
      <c r="AB1303" s="52"/>
      <c r="AC1303" s="52"/>
      <c r="AD1303" s="53"/>
      <c r="AE1303" s="53"/>
      <c r="AF1303" s="53"/>
    </row>
    <row r="1304">
      <c r="G1304" s="55"/>
      <c r="N1304" s="6"/>
      <c r="O1304" s="53"/>
      <c r="P1304" s="53"/>
      <c r="Q1304" s="53"/>
      <c r="R1304" s="51"/>
      <c r="S1304" s="51"/>
      <c r="T1304" s="53"/>
      <c r="U1304" s="53"/>
      <c r="V1304" s="53"/>
      <c r="W1304" s="53"/>
      <c r="X1304" s="53"/>
      <c r="Y1304" s="53"/>
      <c r="Z1304" s="52"/>
      <c r="AA1304" s="52"/>
      <c r="AB1304" s="52"/>
      <c r="AC1304" s="52"/>
      <c r="AD1304" s="53"/>
      <c r="AE1304" s="53"/>
      <c r="AF1304" s="53"/>
    </row>
    <row r="1305">
      <c r="G1305" s="55"/>
      <c r="N1305" s="6"/>
      <c r="O1305" s="53"/>
      <c r="P1305" s="53"/>
      <c r="Q1305" s="53"/>
      <c r="R1305" s="51"/>
      <c r="S1305" s="51"/>
      <c r="T1305" s="53"/>
      <c r="U1305" s="53"/>
      <c r="V1305" s="53"/>
      <c r="W1305" s="53"/>
      <c r="X1305" s="53"/>
      <c r="Y1305" s="53"/>
      <c r="Z1305" s="52"/>
      <c r="AA1305" s="52"/>
      <c r="AB1305" s="52"/>
      <c r="AC1305" s="52"/>
      <c r="AD1305" s="53"/>
      <c r="AE1305" s="53"/>
      <c r="AF1305" s="53"/>
    </row>
    <row r="1306">
      <c r="G1306" s="55"/>
      <c r="N1306" s="6"/>
      <c r="O1306" s="53"/>
      <c r="P1306" s="53"/>
      <c r="Q1306" s="53"/>
      <c r="R1306" s="51"/>
      <c r="S1306" s="51"/>
      <c r="T1306" s="53"/>
      <c r="U1306" s="53"/>
      <c r="V1306" s="53"/>
      <c r="W1306" s="53"/>
      <c r="X1306" s="53"/>
      <c r="Y1306" s="53"/>
      <c r="Z1306" s="52"/>
      <c r="AA1306" s="52"/>
      <c r="AB1306" s="52"/>
      <c r="AC1306" s="52"/>
      <c r="AD1306" s="53"/>
      <c r="AE1306" s="53"/>
      <c r="AF1306" s="53"/>
    </row>
    <row r="1307">
      <c r="G1307" s="55"/>
      <c r="N1307" s="6"/>
      <c r="O1307" s="53"/>
      <c r="P1307" s="53"/>
      <c r="Q1307" s="53"/>
      <c r="R1307" s="51"/>
      <c r="S1307" s="51"/>
      <c r="T1307" s="53"/>
      <c r="U1307" s="53"/>
      <c r="V1307" s="53"/>
      <c r="W1307" s="53"/>
      <c r="X1307" s="53"/>
      <c r="Y1307" s="53"/>
      <c r="Z1307" s="52"/>
      <c r="AA1307" s="52"/>
      <c r="AB1307" s="52"/>
      <c r="AC1307" s="52"/>
      <c r="AD1307" s="53"/>
      <c r="AE1307" s="53"/>
      <c r="AF1307" s="53"/>
    </row>
    <row r="1308">
      <c r="G1308" s="55"/>
      <c r="N1308" s="6"/>
      <c r="O1308" s="53"/>
      <c r="P1308" s="53"/>
      <c r="Q1308" s="53"/>
      <c r="R1308" s="51"/>
      <c r="S1308" s="51"/>
      <c r="T1308" s="53"/>
      <c r="U1308" s="53"/>
      <c r="V1308" s="53"/>
      <c r="W1308" s="53"/>
      <c r="X1308" s="53"/>
      <c r="Y1308" s="53"/>
      <c r="Z1308" s="52"/>
      <c r="AA1308" s="52"/>
      <c r="AB1308" s="52"/>
      <c r="AC1308" s="52"/>
      <c r="AD1308" s="53"/>
      <c r="AE1308" s="53"/>
      <c r="AF1308" s="53"/>
    </row>
    <row r="1309">
      <c r="G1309" s="55"/>
      <c r="N1309" s="6"/>
      <c r="O1309" s="53"/>
      <c r="P1309" s="53"/>
      <c r="Q1309" s="53"/>
      <c r="R1309" s="51"/>
      <c r="S1309" s="51"/>
      <c r="T1309" s="53"/>
      <c r="U1309" s="53"/>
      <c r="V1309" s="53"/>
      <c r="W1309" s="53"/>
      <c r="X1309" s="53"/>
      <c r="Y1309" s="53"/>
      <c r="Z1309" s="52"/>
      <c r="AA1309" s="52"/>
      <c r="AB1309" s="52"/>
      <c r="AC1309" s="52"/>
      <c r="AD1309" s="53"/>
      <c r="AE1309" s="53"/>
      <c r="AF1309" s="53"/>
    </row>
    <row r="1310">
      <c r="G1310" s="55"/>
      <c r="N1310" s="6"/>
      <c r="O1310" s="53"/>
      <c r="P1310" s="53"/>
      <c r="Q1310" s="53"/>
      <c r="R1310" s="51"/>
      <c r="S1310" s="51"/>
      <c r="T1310" s="53"/>
      <c r="U1310" s="53"/>
      <c r="V1310" s="53"/>
      <c r="W1310" s="53"/>
      <c r="X1310" s="53"/>
      <c r="Y1310" s="53"/>
      <c r="Z1310" s="52"/>
      <c r="AA1310" s="52"/>
      <c r="AB1310" s="52"/>
      <c r="AC1310" s="52"/>
      <c r="AD1310" s="53"/>
      <c r="AE1310" s="53"/>
      <c r="AF1310" s="53"/>
    </row>
    <row r="1311">
      <c r="G1311" s="55"/>
      <c r="N1311" s="6"/>
      <c r="O1311" s="53"/>
      <c r="P1311" s="53"/>
      <c r="Q1311" s="53"/>
      <c r="R1311" s="51"/>
      <c r="S1311" s="51"/>
      <c r="T1311" s="53"/>
      <c r="U1311" s="53"/>
      <c r="V1311" s="53"/>
      <c r="W1311" s="53"/>
      <c r="X1311" s="53"/>
      <c r="Y1311" s="53"/>
      <c r="Z1311" s="52"/>
      <c r="AA1311" s="52"/>
      <c r="AB1311" s="52"/>
      <c r="AC1311" s="52"/>
      <c r="AD1311" s="53"/>
      <c r="AE1311" s="53"/>
      <c r="AF1311" s="53"/>
    </row>
    <row r="1312">
      <c r="G1312" s="55"/>
      <c r="N1312" s="6"/>
      <c r="O1312" s="53"/>
      <c r="P1312" s="53"/>
      <c r="Q1312" s="53"/>
      <c r="R1312" s="51"/>
      <c r="S1312" s="51"/>
      <c r="T1312" s="53"/>
      <c r="U1312" s="53"/>
      <c r="V1312" s="53"/>
      <c r="W1312" s="53"/>
      <c r="X1312" s="53"/>
      <c r="Y1312" s="53"/>
      <c r="Z1312" s="52"/>
      <c r="AA1312" s="52"/>
      <c r="AB1312" s="52"/>
      <c r="AC1312" s="52"/>
      <c r="AD1312" s="53"/>
      <c r="AE1312" s="53"/>
      <c r="AF1312" s="53"/>
    </row>
    <row r="1313">
      <c r="G1313" s="55"/>
      <c r="N1313" s="6"/>
      <c r="O1313" s="53"/>
      <c r="P1313" s="53"/>
      <c r="Q1313" s="53"/>
      <c r="R1313" s="51"/>
      <c r="S1313" s="51"/>
      <c r="T1313" s="53"/>
      <c r="U1313" s="53"/>
      <c r="V1313" s="53"/>
      <c r="W1313" s="53"/>
      <c r="X1313" s="53"/>
      <c r="Y1313" s="53"/>
      <c r="Z1313" s="52"/>
      <c r="AA1313" s="52"/>
      <c r="AB1313" s="52"/>
      <c r="AC1313" s="52"/>
      <c r="AD1313" s="53"/>
      <c r="AE1313" s="53"/>
      <c r="AF1313" s="53"/>
    </row>
    <row r="1314">
      <c r="G1314" s="55"/>
      <c r="N1314" s="6"/>
      <c r="O1314" s="53"/>
      <c r="P1314" s="53"/>
      <c r="Q1314" s="53"/>
      <c r="R1314" s="51"/>
      <c r="S1314" s="51"/>
      <c r="T1314" s="53"/>
      <c r="U1314" s="53"/>
      <c r="V1314" s="53"/>
      <c r="W1314" s="53"/>
      <c r="X1314" s="53"/>
      <c r="Y1314" s="53"/>
      <c r="Z1314" s="52"/>
      <c r="AA1314" s="52"/>
      <c r="AB1314" s="52"/>
      <c r="AC1314" s="52"/>
      <c r="AD1314" s="53"/>
      <c r="AE1314" s="53"/>
      <c r="AF1314" s="53"/>
    </row>
    <row r="1315">
      <c r="G1315" s="55"/>
      <c r="N1315" s="6"/>
      <c r="O1315" s="53"/>
      <c r="P1315" s="53"/>
      <c r="Q1315" s="53"/>
      <c r="R1315" s="51"/>
      <c r="S1315" s="51"/>
      <c r="T1315" s="53"/>
      <c r="U1315" s="53"/>
      <c r="V1315" s="53"/>
      <c r="W1315" s="53"/>
      <c r="X1315" s="53"/>
      <c r="Y1315" s="53"/>
      <c r="Z1315" s="52"/>
      <c r="AA1315" s="52"/>
      <c r="AB1315" s="52"/>
      <c r="AC1315" s="52"/>
      <c r="AD1315" s="53"/>
      <c r="AE1315" s="53"/>
      <c r="AF1315" s="53"/>
    </row>
    <row r="1316">
      <c r="G1316" s="55"/>
      <c r="N1316" s="6"/>
      <c r="O1316" s="53"/>
      <c r="P1316" s="53"/>
      <c r="Q1316" s="53"/>
      <c r="R1316" s="51"/>
      <c r="S1316" s="51"/>
      <c r="T1316" s="53"/>
      <c r="U1316" s="53"/>
      <c r="V1316" s="53"/>
      <c r="W1316" s="53"/>
      <c r="X1316" s="53"/>
      <c r="Y1316" s="53"/>
      <c r="Z1316" s="52"/>
      <c r="AA1316" s="52"/>
      <c r="AB1316" s="52"/>
      <c r="AC1316" s="52"/>
      <c r="AD1316" s="53"/>
      <c r="AE1316" s="53"/>
      <c r="AF1316" s="53"/>
    </row>
    <row r="1317">
      <c r="G1317" s="55"/>
      <c r="N1317" s="6"/>
      <c r="O1317" s="53"/>
      <c r="P1317" s="53"/>
      <c r="Q1317" s="53"/>
      <c r="R1317" s="51"/>
      <c r="S1317" s="51"/>
      <c r="T1317" s="53"/>
      <c r="U1317" s="53"/>
      <c r="V1317" s="53"/>
      <c r="W1317" s="53"/>
      <c r="X1317" s="53"/>
      <c r="Y1317" s="53"/>
      <c r="Z1317" s="52"/>
      <c r="AA1317" s="52"/>
      <c r="AB1317" s="52"/>
      <c r="AC1317" s="52"/>
      <c r="AD1317" s="53"/>
      <c r="AE1317" s="53"/>
      <c r="AF1317" s="53"/>
    </row>
    <row r="1318">
      <c r="G1318" s="55"/>
      <c r="N1318" s="6"/>
      <c r="O1318" s="53"/>
      <c r="P1318" s="53"/>
      <c r="Q1318" s="53"/>
      <c r="R1318" s="51"/>
      <c r="S1318" s="51"/>
      <c r="T1318" s="53"/>
      <c r="U1318" s="53"/>
      <c r="V1318" s="53"/>
      <c r="W1318" s="53"/>
      <c r="X1318" s="53"/>
      <c r="Y1318" s="53"/>
      <c r="Z1318" s="52"/>
      <c r="AA1318" s="52"/>
      <c r="AB1318" s="52"/>
      <c r="AC1318" s="52"/>
      <c r="AD1318" s="53"/>
      <c r="AE1318" s="53"/>
      <c r="AF1318" s="53"/>
    </row>
    <row r="1319">
      <c r="G1319" s="55"/>
      <c r="N1319" s="6"/>
      <c r="O1319" s="53"/>
      <c r="P1319" s="53"/>
      <c r="Q1319" s="53"/>
      <c r="R1319" s="51"/>
      <c r="S1319" s="51"/>
      <c r="T1319" s="53"/>
      <c r="U1319" s="53"/>
      <c r="V1319" s="53"/>
      <c r="W1319" s="53"/>
      <c r="X1319" s="53"/>
      <c r="Y1319" s="53"/>
      <c r="Z1319" s="52"/>
      <c r="AA1319" s="52"/>
      <c r="AB1319" s="52"/>
      <c r="AC1319" s="52"/>
      <c r="AD1319" s="53"/>
      <c r="AE1319" s="53"/>
      <c r="AF1319" s="53"/>
    </row>
    <row r="1320">
      <c r="G1320" s="55"/>
      <c r="N1320" s="6"/>
      <c r="O1320" s="53"/>
      <c r="P1320" s="53"/>
      <c r="Q1320" s="53"/>
      <c r="R1320" s="51"/>
      <c r="S1320" s="51"/>
      <c r="T1320" s="53"/>
      <c r="U1320" s="53"/>
      <c r="V1320" s="53"/>
      <c r="W1320" s="53"/>
      <c r="X1320" s="53"/>
      <c r="Y1320" s="53"/>
      <c r="Z1320" s="52"/>
      <c r="AA1320" s="52"/>
      <c r="AB1320" s="52"/>
      <c r="AC1320" s="52"/>
      <c r="AD1320" s="53"/>
      <c r="AE1320" s="53"/>
      <c r="AF1320" s="53"/>
    </row>
    <row r="1321">
      <c r="G1321" s="55"/>
      <c r="N1321" s="6"/>
      <c r="O1321" s="53"/>
      <c r="P1321" s="53"/>
      <c r="Q1321" s="53"/>
      <c r="R1321" s="51"/>
      <c r="S1321" s="51"/>
      <c r="T1321" s="53"/>
      <c r="U1321" s="53"/>
      <c r="V1321" s="53"/>
      <c r="W1321" s="53"/>
      <c r="X1321" s="53"/>
      <c r="Y1321" s="53"/>
      <c r="Z1321" s="52"/>
      <c r="AA1321" s="52"/>
      <c r="AB1321" s="52"/>
      <c r="AC1321" s="52"/>
      <c r="AD1321" s="53"/>
      <c r="AE1321" s="53"/>
      <c r="AF1321" s="53"/>
    </row>
    <row r="1322">
      <c r="G1322" s="55"/>
      <c r="N1322" s="6"/>
      <c r="O1322" s="53"/>
      <c r="P1322" s="53"/>
      <c r="Q1322" s="53"/>
      <c r="R1322" s="51"/>
      <c r="S1322" s="51"/>
      <c r="T1322" s="53"/>
      <c r="U1322" s="53"/>
      <c r="V1322" s="53"/>
      <c r="W1322" s="53"/>
      <c r="X1322" s="53"/>
      <c r="Y1322" s="53"/>
      <c r="Z1322" s="52"/>
      <c r="AA1322" s="52"/>
      <c r="AB1322" s="52"/>
      <c r="AC1322" s="52"/>
      <c r="AD1322" s="53"/>
      <c r="AE1322" s="53"/>
      <c r="AF1322" s="53"/>
    </row>
    <row r="1323">
      <c r="G1323" s="55"/>
      <c r="N1323" s="6"/>
      <c r="O1323" s="53"/>
      <c r="P1323" s="53"/>
      <c r="Q1323" s="53"/>
      <c r="R1323" s="51"/>
      <c r="S1323" s="51"/>
      <c r="T1323" s="53"/>
      <c r="U1323" s="53"/>
      <c r="V1323" s="53"/>
      <c r="W1323" s="53"/>
      <c r="X1323" s="53"/>
      <c r="Y1323" s="53"/>
      <c r="Z1323" s="52"/>
      <c r="AA1323" s="52"/>
      <c r="AB1323" s="52"/>
      <c r="AC1323" s="52"/>
      <c r="AD1323" s="53"/>
      <c r="AE1323" s="53"/>
      <c r="AF1323" s="53"/>
    </row>
    <row r="1324">
      <c r="G1324" s="55"/>
      <c r="N1324" s="6"/>
      <c r="O1324" s="53"/>
      <c r="P1324" s="53"/>
      <c r="Q1324" s="53"/>
      <c r="R1324" s="51"/>
      <c r="S1324" s="51"/>
      <c r="T1324" s="53"/>
      <c r="U1324" s="53"/>
      <c r="V1324" s="53"/>
      <c r="W1324" s="53"/>
      <c r="X1324" s="53"/>
      <c r="Y1324" s="53"/>
      <c r="Z1324" s="52"/>
      <c r="AA1324" s="52"/>
      <c r="AB1324" s="52"/>
      <c r="AC1324" s="52"/>
      <c r="AD1324" s="53"/>
      <c r="AE1324" s="53"/>
      <c r="AF1324" s="53"/>
    </row>
    <row r="1325">
      <c r="G1325" s="55"/>
      <c r="N1325" s="6"/>
      <c r="O1325" s="53"/>
      <c r="P1325" s="53"/>
      <c r="Q1325" s="53"/>
      <c r="R1325" s="51"/>
      <c r="S1325" s="51"/>
      <c r="T1325" s="53"/>
      <c r="U1325" s="53"/>
      <c r="V1325" s="53"/>
      <c r="W1325" s="53"/>
      <c r="X1325" s="53"/>
      <c r="Y1325" s="53"/>
      <c r="Z1325" s="52"/>
      <c r="AA1325" s="52"/>
      <c r="AB1325" s="52"/>
      <c r="AC1325" s="52"/>
      <c r="AD1325" s="53"/>
      <c r="AE1325" s="53"/>
      <c r="AF1325" s="53"/>
    </row>
    <row r="1326">
      <c r="G1326" s="55"/>
      <c r="N1326" s="6"/>
      <c r="O1326" s="53"/>
      <c r="P1326" s="53"/>
      <c r="Q1326" s="53"/>
      <c r="R1326" s="51"/>
      <c r="S1326" s="51"/>
      <c r="T1326" s="53"/>
      <c r="U1326" s="53"/>
      <c r="V1326" s="53"/>
      <c r="W1326" s="53"/>
      <c r="X1326" s="53"/>
      <c r="Y1326" s="53"/>
      <c r="Z1326" s="52"/>
      <c r="AA1326" s="52"/>
      <c r="AB1326" s="52"/>
      <c r="AC1326" s="52"/>
      <c r="AD1326" s="53"/>
      <c r="AE1326" s="53"/>
      <c r="AF1326" s="53"/>
    </row>
    <row r="1327">
      <c r="G1327" s="55"/>
      <c r="N1327" s="6"/>
      <c r="O1327" s="53"/>
      <c r="P1327" s="53"/>
      <c r="Q1327" s="53"/>
      <c r="R1327" s="51"/>
      <c r="S1327" s="51"/>
      <c r="T1327" s="53"/>
      <c r="U1327" s="53"/>
      <c r="V1327" s="53"/>
      <c r="W1327" s="53"/>
      <c r="X1327" s="53"/>
      <c r="Y1327" s="53"/>
      <c r="Z1327" s="52"/>
      <c r="AA1327" s="52"/>
      <c r="AB1327" s="52"/>
      <c r="AC1327" s="52"/>
      <c r="AD1327" s="53"/>
      <c r="AE1327" s="53"/>
      <c r="AF1327" s="53"/>
    </row>
    <row r="1328">
      <c r="G1328" s="55"/>
      <c r="N1328" s="6"/>
      <c r="O1328" s="53"/>
      <c r="P1328" s="53"/>
      <c r="Q1328" s="53"/>
      <c r="R1328" s="51"/>
      <c r="S1328" s="51"/>
      <c r="T1328" s="53"/>
      <c r="U1328" s="53"/>
      <c r="V1328" s="53"/>
      <c r="W1328" s="53"/>
      <c r="X1328" s="53"/>
      <c r="Y1328" s="53"/>
      <c r="Z1328" s="52"/>
      <c r="AA1328" s="52"/>
      <c r="AB1328" s="52"/>
      <c r="AC1328" s="52"/>
      <c r="AD1328" s="53"/>
      <c r="AE1328" s="53"/>
      <c r="AF1328" s="53"/>
    </row>
    <row r="1329">
      <c r="G1329" s="55"/>
      <c r="N1329" s="6"/>
      <c r="O1329" s="53"/>
      <c r="P1329" s="53"/>
      <c r="Q1329" s="53"/>
      <c r="R1329" s="51"/>
      <c r="S1329" s="51"/>
      <c r="T1329" s="53"/>
      <c r="U1329" s="53"/>
      <c r="V1329" s="53"/>
      <c r="W1329" s="53"/>
      <c r="X1329" s="53"/>
      <c r="Y1329" s="53"/>
      <c r="Z1329" s="52"/>
      <c r="AA1329" s="52"/>
      <c r="AB1329" s="52"/>
      <c r="AC1329" s="52"/>
      <c r="AD1329" s="53"/>
      <c r="AE1329" s="53"/>
      <c r="AF1329" s="53"/>
    </row>
    <row r="1330">
      <c r="G1330" s="55"/>
      <c r="N1330" s="6"/>
      <c r="O1330" s="53"/>
      <c r="P1330" s="53"/>
      <c r="Q1330" s="53"/>
      <c r="R1330" s="51"/>
      <c r="S1330" s="51"/>
      <c r="T1330" s="53"/>
      <c r="U1330" s="53"/>
      <c r="V1330" s="53"/>
      <c r="W1330" s="53"/>
      <c r="X1330" s="53"/>
      <c r="Y1330" s="53"/>
      <c r="Z1330" s="52"/>
      <c r="AA1330" s="52"/>
      <c r="AB1330" s="52"/>
      <c r="AC1330" s="52"/>
      <c r="AD1330" s="53"/>
      <c r="AE1330" s="53"/>
      <c r="AF1330" s="53"/>
    </row>
    <row r="1331">
      <c r="G1331" s="55"/>
      <c r="N1331" s="6"/>
      <c r="O1331" s="53"/>
      <c r="P1331" s="53"/>
      <c r="Q1331" s="53"/>
      <c r="R1331" s="51"/>
      <c r="S1331" s="51"/>
      <c r="T1331" s="53"/>
      <c r="U1331" s="53"/>
      <c r="V1331" s="53"/>
      <c r="W1331" s="53"/>
      <c r="X1331" s="53"/>
      <c r="Y1331" s="53"/>
      <c r="Z1331" s="52"/>
      <c r="AA1331" s="52"/>
      <c r="AB1331" s="52"/>
      <c r="AC1331" s="52"/>
      <c r="AD1331" s="53"/>
      <c r="AE1331" s="53"/>
      <c r="AF1331" s="53"/>
    </row>
    <row r="1332">
      <c r="G1332" s="55"/>
      <c r="N1332" s="6"/>
      <c r="O1332" s="53"/>
      <c r="P1332" s="53"/>
      <c r="Q1332" s="53"/>
      <c r="R1332" s="51"/>
      <c r="S1332" s="51"/>
      <c r="T1332" s="53"/>
      <c r="U1332" s="53"/>
      <c r="V1332" s="53"/>
      <c r="W1332" s="53"/>
      <c r="X1332" s="53"/>
      <c r="Y1332" s="53"/>
      <c r="Z1332" s="52"/>
      <c r="AA1332" s="52"/>
      <c r="AB1332" s="52"/>
      <c r="AC1332" s="52"/>
      <c r="AD1332" s="53"/>
      <c r="AE1332" s="53"/>
      <c r="AF1332" s="53"/>
    </row>
    <row r="1333">
      <c r="G1333" s="55"/>
      <c r="N1333" s="6"/>
      <c r="O1333" s="53"/>
      <c r="P1333" s="53"/>
      <c r="Q1333" s="53"/>
      <c r="R1333" s="51"/>
      <c r="S1333" s="51"/>
      <c r="T1333" s="53"/>
      <c r="U1333" s="53"/>
      <c r="V1333" s="53"/>
      <c r="W1333" s="53"/>
      <c r="X1333" s="53"/>
      <c r="Y1333" s="53"/>
      <c r="Z1333" s="52"/>
      <c r="AA1333" s="52"/>
      <c r="AB1333" s="52"/>
      <c r="AC1333" s="52"/>
      <c r="AD1333" s="53"/>
      <c r="AE1333" s="53"/>
      <c r="AF1333" s="53"/>
    </row>
    <row r="1334">
      <c r="G1334" s="55"/>
      <c r="N1334" s="6"/>
      <c r="O1334" s="53"/>
      <c r="P1334" s="53"/>
      <c r="Q1334" s="53"/>
      <c r="R1334" s="51"/>
      <c r="S1334" s="51"/>
      <c r="T1334" s="53"/>
      <c r="U1334" s="53"/>
      <c r="V1334" s="53"/>
      <c r="W1334" s="53"/>
      <c r="X1334" s="53"/>
      <c r="Y1334" s="53"/>
      <c r="Z1334" s="52"/>
      <c r="AA1334" s="52"/>
      <c r="AB1334" s="52"/>
      <c r="AC1334" s="52"/>
      <c r="AD1334" s="53"/>
      <c r="AE1334" s="53"/>
      <c r="AF1334" s="53"/>
    </row>
    <row r="1335">
      <c r="G1335" s="55"/>
      <c r="N1335" s="6"/>
      <c r="O1335" s="53"/>
      <c r="P1335" s="53"/>
      <c r="Q1335" s="53"/>
      <c r="R1335" s="51"/>
      <c r="S1335" s="51"/>
      <c r="T1335" s="53"/>
      <c r="U1335" s="53"/>
      <c r="V1335" s="53"/>
      <c r="W1335" s="53"/>
      <c r="X1335" s="53"/>
      <c r="Y1335" s="53"/>
      <c r="Z1335" s="52"/>
      <c r="AA1335" s="52"/>
      <c r="AB1335" s="52"/>
      <c r="AC1335" s="52"/>
      <c r="AD1335" s="53"/>
      <c r="AE1335" s="53"/>
      <c r="AF1335" s="53"/>
    </row>
    <row r="1336">
      <c r="G1336" s="55"/>
      <c r="N1336" s="6"/>
      <c r="O1336" s="53"/>
      <c r="P1336" s="53"/>
      <c r="Q1336" s="53"/>
      <c r="R1336" s="51"/>
      <c r="S1336" s="51"/>
      <c r="T1336" s="53"/>
      <c r="U1336" s="53"/>
      <c r="V1336" s="53"/>
      <c r="W1336" s="53"/>
      <c r="X1336" s="53"/>
      <c r="Y1336" s="53"/>
      <c r="Z1336" s="52"/>
      <c r="AA1336" s="52"/>
      <c r="AB1336" s="52"/>
      <c r="AC1336" s="52"/>
      <c r="AD1336" s="53"/>
      <c r="AE1336" s="53"/>
      <c r="AF1336" s="53"/>
    </row>
    <row r="1337">
      <c r="G1337" s="55"/>
      <c r="N1337" s="6"/>
      <c r="O1337" s="53"/>
      <c r="P1337" s="53"/>
      <c r="Q1337" s="53"/>
      <c r="R1337" s="51"/>
      <c r="S1337" s="51"/>
      <c r="T1337" s="53"/>
      <c r="U1337" s="53"/>
      <c r="V1337" s="53"/>
      <c r="W1337" s="53"/>
      <c r="X1337" s="53"/>
      <c r="Y1337" s="53"/>
      <c r="Z1337" s="52"/>
      <c r="AA1337" s="52"/>
      <c r="AB1337" s="52"/>
      <c r="AC1337" s="52"/>
      <c r="AD1337" s="53"/>
      <c r="AE1337" s="53"/>
      <c r="AF1337" s="53"/>
    </row>
    <row r="1338">
      <c r="G1338" s="55"/>
      <c r="N1338" s="6"/>
      <c r="O1338" s="53"/>
      <c r="P1338" s="53"/>
      <c r="Q1338" s="53"/>
      <c r="R1338" s="51"/>
      <c r="S1338" s="51"/>
      <c r="T1338" s="53"/>
      <c r="U1338" s="53"/>
      <c r="V1338" s="53"/>
      <c r="W1338" s="53"/>
      <c r="X1338" s="53"/>
      <c r="Y1338" s="53"/>
      <c r="Z1338" s="52"/>
      <c r="AA1338" s="52"/>
      <c r="AB1338" s="52"/>
      <c r="AC1338" s="52"/>
      <c r="AD1338" s="53"/>
      <c r="AE1338" s="53"/>
      <c r="AF1338" s="53"/>
    </row>
    <row r="1339">
      <c r="G1339" s="55"/>
      <c r="N1339" s="6"/>
      <c r="O1339" s="53"/>
      <c r="P1339" s="53"/>
      <c r="Q1339" s="53"/>
      <c r="R1339" s="51"/>
      <c r="S1339" s="51"/>
      <c r="T1339" s="53"/>
      <c r="U1339" s="53"/>
      <c r="V1339" s="53"/>
      <c r="W1339" s="53"/>
      <c r="X1339" s="53"/>
      <c r="Y1339" s="53"/>
      <c r="Z1339" s="52"/>
      <c r="AA1339" s="52"/>
      <c r="AB1339" s="52"/>
      <c r="AC1339" s="52"/>
      <c r="AD1339" s="53"/>
      <c r="AE1339" s="53"/>
      <c r="AF1339" s="53"/>
    </row>
    <row r="1340">
      <c r="G1340" s="55"/>
      <c r="N1340" s="6"/>
      <c r="O1340" s="53"/>
      <c r="P1340" s="53"/>
      <c r="Q1340" s="53"/>
      <c r="R1340" s="51"/>
      <c r="S1340" s="51"/>
      <c r="T1340" s="53"/>
      <c r="U1340" s="53"/>
      <c r="V1340" s="53"/>
      <c r="W1340" s="53"/>
      <c r="X1340" s="53"/>
      <c r="Y1340" s="53"/>
      <c r="Z1340" s="52"/>
      <c r="AA1340" s="52"/>
      <c r="AB1340" s="52"/>
      <c r="AC1340" s="52"/>
      <c r="AD1340" s="53"/>
      <c r="AE1340" s="53"/>
      <c r="AF1340" s="53"/>
    </row>
    <row r="1341">
      <c r="G1341" s="55"/>
      <c r="N1341" s="6"/>
      <c r="O1341" s="53"/>
      <c r="P1341" s="53"/>
      <c r="Q1341" s="53"/>
      <c r="R1341" s="51"/>
      <c r="S1341" s="51"/>
      <c r="T1341" s="53"/>
      <c r="U1341" s="53"/>
      <c r="V1341" s="53"/>
      <c r="W1341" s="53"/>
      <c r="X1341" s="53"/>
      <c r="Y1341" s="53"/>
      <c r="Z1341" s="52"/>
      <c r="AA1341" s="52"/>
      <c r="AB1341" s="52"/>
      <c r="AC1341" s="52"/>
      <c r="AD1341" s="53"/>
      <c r="AE1341" s="53"/>
      <c r="AF1341" s="53"/>
    </row>
    <row r="1342">
      <c r="G1342" s="55"/>
      <c r="N1342" s="6"/>
      <c r="O1342" s="53"/>
      <c r="P1342" s="53"/>
      <c r="Q1342" s="53"/>
      <c r="R1342" s="51"/>
      <c r="S1342" s="51"/>
      <c r="T1342" s="53"/>
      <c r="U1342" s="53"/>
      <c r="V1342" s="53"/>
      <c r="W1342" s="53"/>
      <c r="X1342" s="53"/>
      <c r="Y1342" s="53"/>
      <c r="Z1342" s="52"/>
      <c r="AA1342" s="52"/>
      <c r="AB1342" s="52"/>
      <c r="AC1342" s="52"/>
      <c r="AD1342" s="53"/>
      <c r="AE1342" s="53"/>
      <c r="AF1342" s="53"/>
    </row>
    <row r="1343">
      <c r="G1343" s="55"/>
      <c r="N1343" s="6"/>
      <c r="O1343" s="53"/>
      <c r="P1343" s="53"/>
      <c r="Q1343" s="53"/>
      <c r="R1343" s="51"/>
      <c r="S1343" s="51"/>
      <c r="T1343" s="53"/>
      <c r="U1343" s="53"/>
      <c r="V1343" s="53"/>
      <c r="W1343" s="53"/>
      <c r="X1343" s="53"/>
      <c r="Y1343" s="53"/>
      <c r="Z1343" s="52"/>
      <c r="AA1343" s="52"/>
      <c r="AB1343" s="52"/>
      <c r="AC1343" s="52"/>
      <c r="AD1343" s="53"/>
      <c r="AE1343" s="53"/>
      <c r="AF1343" s="53"/>
    </row>
    <row r="1344">
      <c r="G1344" s="55"/>
      <c r="N1344" s="6"/>
      <c r="O1344" s="53"/>
      <c r="P1344" s="53"/>
      <c r="Q1344" s="53"/>
      <c r="R1344" s="51"/>
      <c r="S1344" s="51"/>
      <c r="T1344" s="53"/>
      <c r="U1344" s="53"/>
      <c r="V1344" s="53"/>
      <c r="W1344" s="53"/>
      <c r="X1344" s="53"/>
      <c r="Y1344" s="53"/>
      <c r="Z1344" s="52"/>
      <c r="AA1344" s="52"/>
      <c r="AB1344" s="52"/>
      <c r="AC1344" s="52"/>
      <c r="AD1344" s="53"/>
      <c r="AE1344" s="53"/>
      <c r="AF1344" s="53"/>
    </row>
    <row r="1345">
      <c r="G1345" s="55"/>
      <c r="N1345" s="6"/>
      <c r="O1345" s="53"/>
      <c r="P1345" s="53"/>
      <c r="Q1345" s="53"/>
      <c r="R1345" s="51"/>
      <c r="S1345" s="51"/>
      <c r="T1345" s="53"/>
      <c r="U1345" s="53"/>
      <c r="V1345" s="53"/>
      <c r="W1345" s="53"/>
      <c r="X1345" s="53"/>
      <c r="Y1345" s="53"/>
      <c r="Z1345" s="52"/>
      <c r="AA1345" s="52"/>
      <c r="AB1345" s="52"/>
      <c r="AC1345" s="52"/>
      <c r="AD1345" s="53"/>
      <c r="AE1345" s="53"/>
      <c r="AF1345" s="53"/>
    </row>
    <row r="1346">
      <c r="G1346" s="55"/>
      <c r="N1346" s="6"/>
      <c r="O1346" s="53"/>
      <c r="P1346" s="53"/>
      <c r="Q1346" s="53"/>
      <c r="R1346" s="51"/>
      <c r="S1346" s="51"/>
      <c r="T1346" s="53"/>
      <c r="U1346" s="53"/>
      <c r="V1346" s="53"/>
      <c r="W1346" s="53"/>
      <c r="X1346" s="53"/>
      <c r="Y1346" s="53"/>
      <c r="Z1346" s="52"/>
      <c r="AA1346" s="52"/>
      <c r="AB1346" s="52"/>
      <c r="AC1346" s="52"/>
      <c r="AD1346" s="53"/>
      <c r="AE1346" s="53"/>
      <c r="AF1346" s="53"/>
    </row>
    <row r="1347">
      <c r="G1347" s="55"/>
      <c r="N1347" s="6"/>
      <c r="O1347" s="53"/>
      <c r="P1347" s="53"/>
      <c r="Q1347" s="53"/>
      <c r="R1347" s="51"/>
      <c r="S1347" s="51"/>
      <c r="T1347" s="53"/>
      <c r="U1347" s="53"/>
      <c r="V1347" s="53"/>
      <c r="W1347" s="53"/>
      <c r="X1347" s="53"/>
      <c r="Y1347" s="53"/>
      <c r="Z1347" s="52"/>
      <c r="AA1347" s="52"/>
      <c r="AB1347" s="52"/>
      <c r="AC1347" s="52"/>
      <c r="AD1347" s="53"/>
      <c r="AE1347" s="53"/>
      <c r="AF1347" s="53"/>
    </row>
    <row r="1348">
      <c r="G1348" s="55"/>
      <c r="N1348" s="6"/>
      <c r="O1348" s="53"/>
      <c r="P1348" s="53"/>
      <c r="Q1348" s="53"/>
      <c r="R1348" s="51"/>
      <c r="S1348" s="51"/>
      <c r="T1348" s="53"/>
      <c r="U1348" s="53"/>
      <c r="V1348" s="53"/>
      <c r="W1348" s="53"/>
      <c r="X1348" s="53"/>
      <c r="Y1348" s="53"/>
      <c r="Z1348" s="52"/>
      <c r="AA1348" s="52"/>
      <c r="AB1348" s="52"/>
      <c r="AC1348" s="52"/>
      <c r="AD1348" s="53"/>
      <c r="AE1348" s="53"/>
      <c r="AF1348" s="53"/>
    </row>
    <row r="1349">
      <c r="G1349" s="55"/>
      <c r="N1349" s="6"/>
      <c r="O1349" s="53"/>
      <c r="P1349" s="53"/>
      <c r="Q1349" s="53"/>
      <c r="R1349" s="51"/>
      <c r="S1349" s="51"/>
      <c r="T1349" s="53"/>
      <c r="U1349" s="53"/>
      <c r="V1349" s="53"/>
      <c r="W1349" s="53"/>
      <c r="X1349" s="53"/>
      <c r="Y1349" s="53"/>
      <c r="Z1349" s="52"/>
      <c r="AA1349" s="52"/>
      <c r="AB1349" s="52"/>
      <c r="AC1349" s="52"/>
      <c r="AD1349" s="53"/>
      <c r="AE1349" s="53"/>
      <c r="AF1349" s="53"/>
    </row>
    <row r="1350">
      <c r="G1350" s="55"/>
      <c r="N1350" s="6"/>
      <c r="O1350" s="53"/>
      <c r="P1350" s="53"/>
      <c r="Q1350" s="53"/>
      <c r="R1350" s="51"/>
      <c r="S1350" s="51"/>
      <c r="T1350" s="53"/>
      <c r="U1350" s="53"/>
      <c r="V1350" s="53"/>
      <c r="W1350" s="53"/>
      <c r="X1350" s="53"/>
      <c r="Y1350" s="53"/>
      <c r="Z1350" s="52"/>
      <c r="AA1350" s="52"/>
      <c r="AB1350" s="52"/>
      <c r="AC1350" s="52"/>
      <c r="AD1350" s="53"/>
      <c r="AE1350" s="53"/>
      <c r="AF1350" s="53"/>
    </row>
    <row r="1351">
      <c r="G1351" s="55"/>
      <c r="N1351" s="6"/>
      <c r="O1351" s="53"/>
      <c r="P1351" s="53"/>
      <c r="Q1351" s="53"/>
      <c r="R1351" s="51"/>
      <c r="S1351" s="51"/>
      <c r="T1351" s="53"/>
      <c r="U1351" s="53"/>
      <c r="V1351" s="53"/>
      <c r="W1351" s="53"/>
      <c r="X1351" s="53"/>
      <c r="Y1351" s="53"/>
      <c r="Z1351" s="52"/>
      <c r="AA1351" s="52"/>
      <c r="AB1351" s="52"/>
      <c r="AC1351" s="52"/>
      <c r="AD1351" s="53"/>
      <c r="AE1351" s="53"/>
      <c r="AF1351" s="53"/>
    </row>
    <row r="1352">
      <c r="G1352" s="55"/>
      <c r="N1352" s="6"/>
      <c r="O1352" s="53"/>
      <c r="P1352" s="53"/>
      <c r="Q1352" s="53"/>
      <c r="R1352" s="51"/>
      <c r="S1352" s="51"/>
      <c r="T1352" s="53"/>
      <c r="U1352" s="53"/>
      <c r="V1352" s="53"/>
      <c r="W1352" s="53"/>
      <c r="X1352" s="53"/>
      <c r="Y1352" s="53"/>
      <c r="Z1352" s="52"/>
      <c r="AA1352" s="52"/>
      <c r="AB1352" s="52"/>
      <c r="AC1352" s="52"/>
      <c r="AD1352" s="53"/>
      <c r="AE1352" s="53"/>
      <c r="AF1352" s="53"/>
    </row>
    <row r="1353">
      <c r="G1353" s="55"/>
      <c r="N1353" s="6"/>
      <c r="O1353" s="53"/>
      <c r="P1353" s="53"/>
      <c r="Q1353" s="53"/>
      <c r="R1353" s="51"/>
      <c r="S1353" s="51"/>
      <c r="T1353" s="53"/>
      <c r="U1353" s="53"/>
      <c r="V1353" s="53"/>
      <c r="W1353" s="53"/>
      <c r="X1353" s="53"/>
      <c r="Y1353" s="53"/>
      <c r="Z1353" s="52"/>
      <c r="AA1353" s="52"/>
      <c r="AB1353" s="52"/>
      <c r="AC1353" s="52"/>
      <c r="AD1353" s="53"/>
      <c r="AE1353" s="53"/>
      <c r="AF1353" s="53"/>
    </row>
    <row r="1354">
      <c r="G1354" s="55"/>
      <c r="N1354" s="6"/>
      <c r="O1354" s="53"/>
      <c r="P1354" s="53"/>
      <c r="Q1354" s="53"/>
      <c r="R1354" s="51"/>
      <c r="S1354" s="51"/>
      <c r="T1354" s="53"/>
      <c r="U1354" s="53"/>
      <c r="V1354" s="53"/>
      <c r="W1354" s="53"/>
      <c r="X1354" s="53"/>
      <c r="Y1354" s="53"/>
      <c r="Z1354" s="52"/>
      <c r="AA1354" s="52"/>
      <c r="AB1354" s="52"/>
      <c r="AC1354" s="52"/>
      <c r="AD1354" s="53"/>
      <c r="AE1354" s="53"/>
      <c r="AF1354" s="53"/>
    </row>
    <row r="1355">
      <c r="G1355" s="55"/>
      <c r="N1355" s="6"/>
      <c r="O1355" s="53"/>
      <c r="P1355" s="53"/>
      <c r="Q1355" s="53"/>
      <c r="R1355" s="51"/>
      <c r="S1355" s="51"/>
      <c r="T1355" s="53"/>
      <c r="U1355" s="53"/>
      <c r="V1355" s="53"/>
      <c r="W1355" s="53"/>
      <c r="X1355" s="53"/>
      <c r="Y1355" s="53"/>
      <c r="Z1355" s="52"/>
      <c r="AA1355" s="52"/>
      <c r="AB1355" s="52"/>
      <c r="AC1355" s="52"/>
      <c r="AD1355" s="53"/>
      <c r="AE1355" s="53"/>
      <c r="AF1355" s="53"/>
    </row>
    <row r="1356">
      <c r="G1356" s="55"/>
      <c r="N1356" s="6"/>
      <c r="O1356" s="53"/>
      <c r="P1356" s="53"/>
      <c r="Q1356" s="53"/>
      <c r="R1356" s="51"/>
      <c r="S1356" s="51"/>
      <c r="T1356" s="53"/>
      <c r="U1356" s="53"/>
      <c r="V1356" s="53"/>
      <c r="W1356" s="53"/>
      <c r="X1356" s="53"/>
      <c r="Y1356" s="53"/>
      <c r="Z1356" s="52"/>
      <c r="AA1356" s="52"/>
      <c r="AB1356" s="52"/>
      <c r="AC1356" s="52"/>
      <c r="AD1356" s="53"/>
      <c r="AE1356" s="53"/>
      <c r="AF1356" s="53"/>
    </row>
    <row r="1357">
      <c r="G1357" s="55"/>
      <c r="N1357" s="6"/>
      <c r="O1357" s="53"/>
      <c r="P1357" s="53"/>
      <c r="Q1357" s="53"/>
      <c r="R1357" s="51"/>
      <c r="S1357" s="51"/>
      <c r="T1357" s="53"/>
      <c r="U1357" s="53"/>
      <c r="V1357" s="53"/>
      <c r="W1357" s="53"/>
      <c r="X1357" s="53"/>
      <c r="Y1357" s="53"/>
      <c r="Z1357" s="52"/>
      <c r="AA1357" s="52"/>
      <c r="AB1357" s="52"/>
      <c r="AC1357" s="52"/>
      <c r="AD1357" s="53"/>
      <c r="AE1357" s="53"/>
      <c r="AF1357" s="53"/>
    </row>
    <row r="1358">
      <c r="G1358" s="55"/>
      <c r="N1358" s="6"/>
      <c r="O1358" s="53"/>
      <c r="P1358" s="53"/>
      <c r="Q1358" s="53"/>
      <c r="R1358" s="51"/>
      <c r="S1358" s="51"/>
      <c r="T1358" s="53"/>
      <c r="U1358" s="53"/>
      <c r="V1358" s="53"/>
      <c r="W1358" s="53"/>
      <c r="X1358" s="53"/>
      <c r="Y1358" s="53"/>
      <c r="Z1358" s="52"/>
      <c r="AA1358" s="52"/>
      <c r="AB1358" s="52"/>
      <c r="AC1358" s="52"/>
      <c r="AD1358" s="53"/>
      <c r="AE1358" s="53"/>
      <c r="AF1358" s="53"/>
    </row>
    <row r="1359">
      <c r="G1359" s="55"/>
      <c r="N1359" s="6"/>
      <c r="O1359" s="53"/>
      <c r="P1359" s="53"/>
      <c r="Q1359" s="53"/>
      <c r="R1359" s="51"/>
      <c r="S1359" s="51"/>
      <c r="T1359" s="53"/>
      <c r="U1359" s="53"/>
      <c r="V1359" s="53"/>
      <c r="W1359" s="53"/>
      <c r="X1359" s="53"/>
      <c r="Y1359" s="53"/>
      <c r="Z1359" s="52"/>
      <c r="AA1359" s="52"/>
      <c r="AB1359" s="52"/>
      <c r="AC1359" s="52"/>
      <c r="AD1359" s="53"/>
      <c r="AE1359" s="53"/>
      <c r="AF1359" s="53"/>
    </row>
    <row r="1360">
      <c r="G1360" s="55"/>
      <c r="N1360" s="6"/>
      <c r="O1360" s="53"/>
      <c r="P1360" s="53"/>
      <c r="Q1360" s="53"/>
      <c r="R1360" s="51"/>
      <c r="S1360" s="51"/>
      <c r="T1360" s="53"/>
      <c r="U1360" s="53"/>
      <c r="V1360" s="53"/>
      <c r="W1360" s="53"/>
      <c r="X1360" s="53"/>
      <c r="Y1360" s="53"/>
      <c r="Z1360" s="52"/>
      <c r="AA1360" s="52"/>
      <c r="AB1360" s="52"/>
      <c r="AC1360" s="52"/>
      <c r="AD1360" s="53"/>
      <c r="AE1360" s="53"/>
      <c r="AF1360" s="53"/>
    </row>
    <row r="1361">
      <c r="G1361" s="55"/>
      <c r="N1361" s="6"/>
      <c r="O1361" s="53"/>
      <c r="P1361" s="53"/>
      <c r="Q1361" s="53"/>
      <c r="R1361" s="51"/>
      <c r="S1361" s="51"/>
      <c r="T1361" s="53"/>
      <c r="U1361" s="53"/>
      <c r="V1361" s="53"/>
      <c r="W1361" s="53"/>
      <c r="X1361" s="53"/>
      <c r="Y1361" s="53"/>
      <c r="Z1361" s="52"/>
      <c r="AA1361" s="52"/>
      <c r="AB1361" s="52"/>
      <c r="AC1361" s="52"/>
      <c r="AD1361" s="53"/>
      <c r="AE1361" s="53"/>
      <c r="AF1361" s="53"/>
    </row>
    <row r="1362">
      <c r="G1362" s="55"/>
      <c r="N1362" s="6"/>
      <c r="O1362" s="53"/>
      <c r="P1362" s="53"/>
      <c r="Q1362" s="53"/>
      <c r="R1362" s="51"/>
      <c r="S1362" s="51"/>
      <c r="T1362" s="53"/>
      <c r="U1362" s="53"/>
      <c r="V1362" s="53"/>
      <c r="W1362" s="53"/>
      <c r="X1362" s="53"/>
      <c r="Y1362" s="53"/>
      <c r="Z1362" s="52"/>
      <c r="AA1362" s="52"/>
      <c r="AB1362" s="52"/>
      <c r="AC1362" s="52"/>
      <c r="AD1362" s="53"/>
      <c r="AE1362" s="53"/>
      <c r="AF1362" s="53"/>
    </row>
    <row r="1363">
      <c r="G1363" s="55"/>
      <c r="N1363" s="6"/>
      <c r="O1363" s="53"/>
      <c r="P1363" s="53"/>
      <c r="Q1363" s="53"/>
      <c r="R1363" s="51"/>
      <c r="S1363" s="51"/>
      <c r="T1363" s="53"/>
      <c r="U1363" s="53"/>
      <c r="V1363" s="53"/>
      <c r="W1363" s="53"/>
      <c r="X1363" s="53"/>
      <c r="Y1363" s="53"/>
      <c r="Z1363" s="52"/>
      <c r="AA1363" s="52"/>
      <c r="AB1363" s="52"/>
      <c r="AC1363" s="52"/>
      <c r="AD1363" s="53"/>
      <c r="AE1363" s="53"/>
      <c r="AF1363" s="53"/>
    </row>
    <row r="1364">
      <c r="G1364" s="55"/>
      <c r="N1364" s="6"/>
      <c r="O1364" s="53"/>
      <c r="P1364" s="53"/>
      <c r="Q1364" s="53"/>
      <c r="R1364" s="51"/>
      <c r="S1364" s="51"/>
      <c r="T1364" s="53"/>
      <c r="U1364" s="53"/>
      <c r="V1364" s="53"/>
      <c r="W1364" s="53"/>
      <c r="X1364" s="53"/>
      <c r="Y1364" s="53"/>
      <c r="Z1364" s="52"/>
      <c r="AA1364" s="52"/>
      <c r="AB1364" s="52"/>
      <c r="AC1364" s="52"/>
      <c r="AD1364" s="53"/>
      <c r="AE1364" s="53"/>
      <c r="AF1364" s="53"/>
    </row>
    <row r="1365">
      <c r="G1365" s="55"/>
      <c r="N1365" s="6"/>
      <c r="O1365" s="53"/>
      <c r="P1365" s="53"/>
      <c r="Q1365" s="53"/>
      <c r="R1365" s="51"/>
      <c r="S1365" s="51"/>
      <c r="T1365" s="53"/>
      <c r="U1365" s="53"/>
      <c r="V1365" s="53"/>
      <c r="W1365" s="53"/>
      <c r="X1365" s="53"/>
      <c r="Y1365" s="53"/>
      <c r="Z1365" s="52"/>
      <c r="AA1365" s="52"/>
      <c r="AB1365" s="52"/>
      <c r="AC1365" s="52"/>
      <c r="AD1365" s="53"/>
      <c r="AE1365" s="53"/>
      <c r="AF1365" s="53"/>
    </row>
    <row r="1366">
      <c r="G1366" s="55"/>
      <c r="N1366" s="6"/>
      <c r="O1366" s="53"/>
      <c r="P1366" s="53"/>
      <c r="Q1366" s="53"/>
      <c r="R1366" s="51"/>
      <c r="S1366" s="51"/>
      <c r="T1366" s="53"/>
      <c r="U1366" s="53"/>
      <c r="V1366" s="53"/>
      <c r="W1366" s="53"/>
      <c r="X1366" s="53"/>
      <c r="Y1366" s="53"/>
      <c r="Z1366" s="52"/>
      <c r="AA1366" s="52"/>
      <c r="AB1366" s="52"/>
      <c r="AC1366" s="52"/>
      <c r="AD1366" s="53"/>
      <c r="AE1366" s="53"/>
      <c r="AF1366" s="53"/>
    </row>
    <row r="1367">
      <c r="G1367" s="55"/>
      <c r="N1367" s="6"/>
      <c r="O1367" s="53"/>
      <c r="P1367" s="53"/>
      <c r="Q1367" s="53"/>
      <c r="R1367" s="51"/>
      <c r="S1367" s="51"/>
      <c r="T1367" s="53"/>
      <c r="U1367" s="53"/>
      <c r="V1367" s="53"/>
      <c r="W1367" s="53"/>
      <c r="X1367" s="53"/>
      <c r="Y1367" s="53"/>
      <c r="Z1367" s="52"/>
      <c r="AA1367" s="52"/>
      <c r="AB1367" s="52"/>
      <c r="AC1367" s="52"/>
      <c r="AD1367" s="53"/>
      <c r="AE1367" s="53"/>
      <c r="AF1367" s="53"/>
    </row>
    <row r="1368">
      <c r="G1368" s="55"/>
      <c r="N1368" s="6"/>
      <c r="O1368" s="53"/>
      <c r="P1368" s="53"/>
      <c r="Q1368" s="53"/>
      <c r="R1368" s="51"/>
      <c r="S1368" s="51"/>
      <c r="T1368" s="53"/>
      <c r="U1368" s="53"/>
      <c r="V1368" s="53"/>
      <c r="W1368" s="53"/>
      <c r="X1368" s="53"/>
      <c r="Y1368" s="53"/>
      <c r="Z1368" s="52"/>
      <c r="AA1368" s="52"/>
      <c r="AB1368" s="52"/>
      <c r="AC1368" s="52"/>
      <c r="AD1368" s="53"/>
      <c r="AE1368" s="53"/>
      <c r="AF1368" s="53"/>
    </row>
    <row r="1369">
      <c r="G1369" s="55"/>
      <c r="N1369" s="6"/>
      <c r="O1369" s="53"/>
      <c r="P1369" s="53"/>
      <c r="Q1369" s="53"/>
      <c r="R1369" s="51"/>
      <c r="S1369" s="51"/>
      <c r="T1369" s="53"/>
      <c r="U1369" s="53"/>
      <c r="V1369" s="53"/>
      <c r="W1369" s="53"/>
      <c r="X1369" s="53"/>
      <c r="Y1369" s="53"/>
      <c r="Z1369" s="52"/>
      <c r="AA1369" s="52"/>
      <c r="AB1369" s="52"/>
      <c r="AC1369" s="52"/>
      <c r="AD1369" s="53"/>
      <c r="AE1369" s="53"/>
      <c r="AF1369" s="53"/>
    </row>
    <row r="1370">
      <c r="G1370" s="55"/>
      <c r="N1370" s="6"/>
      <c r="O1370" s="53"/>
      <c r="P1370" s="53"/>
      <c r="Q1370" s="53"/>
      <c r="R1370" s="51"/>
      <c r="S1370" s="51"/>
      <c r="T1370" s="53"/>
      <c r="U1370" s="53"/>
      <c r="V1370" s="53"/>
      <c r="W1370" s="53"/>
      <c r="X1370" s="53"/>
      <c r="Y1370" s="53"/>
      <c r="Z1370" s="52"/>
      <c r="AA1370" s="52"/>
      <c r="AB1370" s="52"/>
      <c r="AC1370" s="52"/>
      <c r="AD1370" s="53"/>
      <c r="AE1370" s="53"/>
      <c r="AF1370" s="53"/>
    </row>
    <row r="1371">
      <c r="G1371" s="55"/>
      <c r="N1371" s="6"/>
      <c r="O1371" s="53"/>
      <c r="P1371" s="53"/>
      <c r="Q1371" s="53"/>
      <c r="R1371" s="51"/>
      <c r="S1371" s="51"/>
      <c r="T1371" s="53"/>
      <c r="U1371" s="53"/>
      <c r="V1371" s="53"/>
      <c r="W1371" s="53"/>
      <c r="X1371" s="53"/>
      <c r="Y1371" s="53"/>
      <c r="Z1371" s="52"/>
      <c r="AA1371" s="52"/>
      <c r="AB1371" s="52"/>
      <c r="AC1371" s="52"/>
      <c r="AD1371" s="53"/>
      <c r="AE1371" s="53"/>
      <c r="AF1371" s="53"/>
    </row>
    <row r="1372">
      <c r="G1372" s="55"/>
      <c r="N1372" s="6"/>
      <c r="O1372" s="53"/>
      <c r="P1372" s="53"/>
      <c r="Q1372" s="53"/>
      <c r="R1372" s="51"/>
      <c r="S1372" s="51"/>
      <c r="T1372" s="53"/>
      <c r="U1372" s="53"/>
      <c r="V1372" s="53"/>
      <c r="W1372" s="53"/>
      <c r="X1372" s="53"/>
      <c r="Y1372" s="53"/>
      <c r="Z1372" s="52"/>
      <c r="AA1372" s="52"/>
      <c r="AB1372" s="52"/>
      <c r="AC1372" s="52"/>
      <c r="AD1372" s="53"/>
      <c r="AE1372" s="53"/>
      <c r="AF1372" s="53"/>
    </row>
    <row r="1373">
      <c r="G1373" s="55"/>
      <c r="N1373" s="6"/>
      <c r="O1373" s="53"/>
      <c r="P1373" s="53"/>
      <c r="Q1373" s="53"/>
      <c r="R1373" s="51"/>
      <c r="S1373" s="51"/>
      <c r="T1373" s="53"/>
      <c r="U1373" s="53"/>
      <c r="V1373" s="53"/>
      <c r="W1373" s="53"/>
      <c r="X1373" s="53"/>
      <c r="Y1373" s="53"/>
      <c r="Z1373" s="52"/>
      <c r="AA1373" s="52"/>
      <c r="AB1373" s="52"/>
      <c r="AC1373" s="52"/>
      <c r="AD1373" s="53"/>
      <c r="AE1373" s="53"/>
      <c r="AF1373" s="53"/>
    </row>
    <row r="1374">
      <c r="G1374" s="55"/>
      <c r="N1374" s="6"/>
      <c r="O1374" s="53"/>
      <c r="P1374" s="53"/>
      <c r="Q1374" s="53"/>
      <c r="R1374" s="51"/>
      <c r="S1374" s="51"/>
      <c r="T1374" s="53"/>
      <c r="U1374" s="53"/>
      <c r="V1374" s="53"/>
      <c r="W1374" s="53"/>
      <c r="X1374" s="53"/>
      <c r="Y1374" s="53"/>
      <c r="Z1374" s="52"/>
      <c r="AA1374" s="52"/>
      <c r="AB1374" s="52"/>
      <c r="AC1374" s="52"/>
      <c r="AD1374" s="53"/>
      <c r="AE1374" s="53"/>
      <c r="AF1374" s="53"/>
    </row>
    <row r="1375">
      <c r="G1375" s="55"/>
      <c r="N1375" s="6"/>
      <c r="O1375" s="53"/>
      <c r="P1375" s="53"/>
      <c r="Q1375" s="53"/>
      <c r="R1375" s="51"/>
      <c r="S1375" s="51"/>
      <c r="T1375" s="53"/>
      <c r="U1375" s="53"/>
      <c r="V1375" s="53"/>
      <c r="W1375" s="53"/>
      <c r="X1375" s="53"/>
      <c r="Y1375" s="53"/>
      <c r="Z1375" s="52"/>
      <c r="AA1375" s="52"/>
      <c r="AB1375" s="52"/>
      <c r="AC1375" s="52"/>
      <c r="AD1375" s="53"/>
      <c r="AE1375" s="53"/>
      <c r="AF1375" s="53"/>
    </row>
    <row r="1376">
      <c r="G1376" s="55"/>
      <c r="N1376" s="6"/>
      <c r="O1376" s="53"/>
      <c r="P1376" s="53"/>
      <c r="Q1376" s="53"/>
      <c r="R1376" s="51"/>
      <c r="S1376" s="51"/>
      <c r="T1376" s="53"/>
      <c r="U1376" s="53"/>
      <c r="V1376" s="53"/>
      <c r="W1376" s="53"/>
      <c r="X1376" s="53"/>
      <c r="Y1376" s="53"/>
      <c r="Z1376" s="52"/>
      <c r="AA1376" s="52"/>
      <c r="AB1376" s="52"/>
      <c r="AC1376" s="52"/>
      <c r="AD1376" s="53"/>
      <c r="AE1376" s="53"/>
      <c r="AF1376" s="53"/>
    </row>
    <row r="1377">
      <c r="G1377" s="55"/>
      <c r="N1377" s="6"/>
      <c r="O1377" s="53"/>
      <c r="P1377" s="53"/>
      <c r="Q1377" s="53"/>
      <c r="R1377" s="51"/>
      <c r="S1377" s="51"/>
      <c r="T1377" s="53"/>
      <c r="U1377" s="53"/>
      <c r="V1377" s="53"/>
      <c r="W1377" s="53"/>
      <c r="X1377" s="53"/>
      <c r="Y1377" s="53"/>
      <c r="Z1377" s="52"/>
      <c r="AA1377" s="52"/>
      <c r="AB1377" s="52"/>
      <c r="AC1377" s="52"/>
      <c r="AD1377" s="53"/>
      <c r="AE1377" s="53"/>
      <c r="AF1377" s="53"/>
    </row>
    <row r="1378">
      <c r="G1378" s="55"/>
      <c r="N1378" s="6"/>
      <c r="O1378" s="53"/>
      <c r="P1378" s="53"/>
      <c r="Q1378" s="53"/>
      <c r="R1378" s="51"/>
      <c r="S1378" s="51"/>
      <c r="T1378" s="53"/>
      <c r="U1378" s="53"/>
      <c r="V1378" s="53"/>
      <c r="W1378" s="53"/>
      <c r="X1378" s="53"/>
      <c r="Y1378" s="53"/>
      <c r="Z1378" s="52"/>
      <c r="AA1378" s="52"/>
      <c r="AB1378" s="52"/>
      <c r="AC1378" s="52"/>
      <c r="AD1378" s="53"/>
      <c r="AE1378" s="53"/>
      <c r="AF1378" s="53"/>
    </row>
    <row r="1379">
      <c r="G1379" s="55"/>
      <c r="N1379" s="6"/>
      <c r="O1379" s="53"/>
      <c r="P1379" s="53"/>
      <c r="Q1379" s="53"/>
      <c r="R1379" s="51"/>
      <c r="S1379" s="51"/>
      <c r="T1379" s="53"/>
      <c r="U1379" s="53"/>
      <c r="V1379" s="53"/>
      <c r="W1379" s="53"/>
      <c r="X1379" s="53"/>
      <c r="Y1379" s="53"/>
      <c r="Z1379" s="52"/>
      <c r="AA1379" s="52"/>
      <c r="AB1379" s="52"/>
      <c r="AC1379" s="52"/>
      <c r="AD1379" s="53"/>
      <c r="AE1379" s="53"/>
      <c r="AF1379" s="53"/>
    </row>
    <row r="1380">
      <c r="G1380" s="55"/>
      <c r="N1380" s="6"/>
      <c r="O1380" s="53"/>
      <c r="P1380" s="53"/>
      <c r="Q1380" s="53"/>
      <c r="R1380" s="51"/>
      <c r="S1380" s="51"/>
      <c r="T1380" s="53"/>
      <c r="U1380" s="53"/>
      <c r="V1380" s="53"/>
      <c r="W1380" s="53"/>
      <c r="X1380" s="53"/>
      <c r="Y1380" s="53"/>
      <c r="Z1380" s="52"/>
      <c r="AA1380" s="52"/>
      <c r="AB1380" s="52"/>
      <c r="AC1380" s="52"/>
      <c r="AD1380" s="53"/>
      <c r="AE1380" s="53"/>
      <c r="AF1380" s="53"/>
    </row>
    <row r="1381">
      <c r="G1381" s="55"/>
      <c r="N1381" s="6"/>
      <c r="O1381" s="53"/>
      <c r="P1381" s="53"/>
      <c r="Q1381" s="53"/>
      <c r="R1381" s="51"/>
      <c r="S1381" s="51"/>
      <c r="T1381" s="53"/>
      <c r="U1381" s="53"/>
      <c r="V1381" s="53"/>
      <c r="W1381" s="53"/>
      <c r="X1381" s="53"/>
      <c r="Y1381" s="53"/>
      <c r="Z1381" s="52"/>
      <c r="AA1381" s="52"/>
      <c r="AB1381" s="52"/>
      <c r="AC1381" s="52"/>
      <c r="AD1381" s="53"/>
      <c r="AE1381" s="53"/>
      <c r="AF1381" s="53"/>
    </row>
    <row r="1382">
      <c r="G1382" s="55"/>
      <c r="N1382" s="6"/>
      <c r="O1382" s="53"/>
      <c r="P1382" s="53"/>
      <c r="Q1382" s="53"/>
      <c r="R1382" s="51"/>
      <c r="S1382" s="51"/>
      <c r="T1382" s="53"/>
      <c r="U1382" s="53"/>
      <c r="V1382" s="53"/>
      <c r="W1382" s="53"/>
      <c r="X1382" s="53"/>
      <c r="Y1382" s="53"/>
      <c r="Z1382" s="52"/>
      <c r="AA1382" s="52"/>
      <c r="AB1382" s="52"/>
      <c r="AC1382" s="52"/>
      <c r="AD1382" s="53"/>
      <c r="AE1382" s="53"/>
      <c r="AF1382" s="53"/>
    </row>
    <row r="1383">
      <c r="G1383" s="55"/>
      <c r="N1383" s="6"/>
      <c r="O1383" s="53"/>
      <c r="P1383" s="53"/>
      <c r="Q1383" s="53"/>
      <c r="R1383" s="51"/>
      <c r="S1383" s="51"/>
      <c r="T1383" s="53"/>
      <c r="U1383" s="53"/>
      <c r="V1383" s="53"/>
      <c r="W1383" s="53"/>
      <c r="X1383" s="53"/>
      <c r="Y1383" s="53"/>
      <c r="Z1383" s="52"/>
      <c r="AA1383" s="52"/>
      <c r="AB1383" s="52"/>
      <c r="AC1383" s="52"/>
      <c r="AD1383" s="53"/>
      <c r="AE1383" s="53"/>
      <c r="AF1383" s="53"/>
    </row>
    <row r="1384">
      <c r="G1384" s="55"/>
      <c r="N1384" s="6"/>
      <c r="O1384" s="53"/>
      <c r="P1384" s="53"/>
      <c r="Q1384" s="53"/>
      <c r="R1384" s="51"/>
      <c r="S1384" s="51"/>
      <c r="T1384" s="53"/>
      <c r="U1384" s="53"/>
      <c r="V1384" s="53"/>
      <c r="W1384" s="53"/>
      <c r="X1384" s="53"/>
      <c r="Y1384" s="53"/>
      <c r="Z1384" s="52"/>
      <c r="AA1384" s="52"/>
      <c r="AB1384" s="52"/>
      <c r="AC1384" s="52"/>
      <c r="AD1384" s="53"/>
      <c r="AE1384" s="53"/>
      <c r="AF1384" s="53"/>
    </row>
    <row r="1385">
      <c r="G1385" s="55"/>
      <c r="N1385" s="6"/>
      <c r="O1385" s="53"/>
      <c r="P1385" s="53"/>
      <c r="Q1385" s="53"/>
      <c r="R1385" s="51"/>
      <c r="S1385" s="51"/>
      <c r="T1385" s="53"/>
      <c r="U1385" s="53"/>
      <c r="V1385" s="53"/>
      <c r="W1385" s="53"/>
      <c r="X1385" s="53"/>
      <c r="Y1385" s="53"/>
      <c r="Z1385" s="52"/>
      <c r="AA1385" s="52"/>
      <c r="AB1385" s="52"/>
      <c r="AC1385" s="52"/>
      <c r="AD1385" s="53"/>
      <c r="AE1385" s="53"/>
      <c r="AF1385" s="53"/>
    </row>
    <row r="1386">
      <c r="G1386" s="55"/>
      <c r="N1386" s="6"/>
      <c r="O1386" s="53"/>
      <c r="P1386" s="53"/>
      <c r="Q1386" s="53"/>
      <c r="R1386" s="51"/>
      <c r="S1386" s="51"/>
      <c r="T1386" s="53"/>
      <c r="U1386" s="53"/>
      <c r="V1386" s="53"/>
      <c r="W1386" s="53"/>
      <c r="X1386" s="53"/>
      <c r="Y1386" s="53"/>
      <c r="Z1386" s="52"/>
      <c r="AA1386" s="52"/>
      <c r="AB1386" s="52"/>
      <c r="AC1386" s="52"/>
      <c r="AD1386" s="53"/>
      <c r="AE1386" s="53"/>
      <c r="AF1386" s="53"/>
    </row>
    <row r="1387">
      <c r="G1387" s="55"/>
      <c r="N1387" s="6"/>
      <c r="O1387" s="53"/>
      <c r="P1387" s="53"/>
      <c r="Q1387" s="53"/>
      <c r="R1387" s="51"/>
      <c r="S1387" s="51"/>
      <c r="T1387" s="53"/>
      <c r="U1387" s="53"/>
      <c r="V1387" s="53"/>
      <c r="W1387" s="53"/>
      <c r="X1387" s="53"/>
      <c r="Y1387" s="53"/>
      <c r="Z1387" s="52"/>
      <c r="AA1387" s="52"/>
      <c r="AB1387" s="52"/>
      <c r="AC1387" s="52"/>
      <c r="AD1387" s="53"/>
      <c r="AE1387" s="53"/>
      <c r="AF1387" s="53"/>
    </row>
    <row r="1388">
      <c r="G1388" s="55"/>
      <c r="N1388" s="6"/>
      <c r="O1388" s="53"/>
      <c r="P1388" s="53"/>
      <c r="Q1388" s="53"/>
      <c r="R1388" s="51"/>
      <c r="S1388" s="51"/>
      <c r="T1388" s="53"/>
      <c r="U1388" s="53"/>
      <c r="V1388" s="53"/>
      <c r="W1388" s="53"/>
      <c r="X1388" s="53"/>
      <c r="Y1388" s="53"/>
      <c r="Z1388" s="52"/>
      <c r="AA1388" s="52"/>
      <c r="AB1388" s="52"/>
      <c r="AC1388" s="52"/>
      <c r="AD1388" s="53"/>
      <c r="AE1388" s="53"/>
      <c r="AF1388" s="53"/>
    </row>
    <row r="1389">
      <c r="G1389" s="55"/>
      <c r="N1389" s="6"/>
      <c r="O1389" s="53"/>
      <c r="P1389" s="53"/>
      <c r="Q1389" s="53"/>
      <c r="R1389" s="51"/>
      <c r="S1389" s="51"/>
      <c r="T1389" s="53"/>
      <c r="U1389" s="53"/>
      <c r="V1389" s="53"/>
      <c r="W1389" s="53"/>
      <c r="X1389" s="53"/>
      <c r="Y1389" s="53"/>
      <c r="Z1389" s="52"/>
      <c r="AA1389" s="52"/>
      <c r="AB1389" s="52"/>
      <c r="AC1389" s="52"/>
      <c r="AD1389" s="53"/>
      <c r="AE1389" s="53"/>
      <c r="AF1389" s="53"/>
    </row>
    <row r="1390">
      <c r="G1390" s="55"/>
      <c r="N1390" s="6"/>
      <c r="O1390" s="53"/>
      <c r="P1390" s="53"/>
      <c r="Q1390" s="53"/>
      <c r="R1390" s="51"/>
      <c r="S1390" s="51"/>
      <c r="T1390" s="53"/>
      <c r="U1390" s="53"/>
      <c r="V1390" s="53"/>
      <c r="W1390" s="53"/>
      <c r="X1390" s="53"/>
      <c r="Y1390" s="53"/>
      <c r="Z1390" s="52"/>
      <c r="AA1390" s="52"/>
      <c r="AB1390" s="52"/>
      <c r="AC1390" s="52"/>
      <c r="AD1390" s="53"/>
      <c r="AE1390" s="53"/>
      <c r="AF1390" s="53"/>
    </row>
    <row r="1391">
      <c r="G1391" s="55"/>
      <c r="N1391" s="6"/>
      <c r="O1391" s="53"/>
      <c r="P1391" s="53"/>
      <c r="Q1391" s="53"/>
      <c r="R1391" s="51"/>
      <c r="S1391" s="51"/>
      <c r="T1391" s="53"/>
      <c r="U1391" s="53"/>
      <c r="V1391" s="53"/>
      <c r="W1391" s="53"/>
      <c r="X1391" s="53"/>
      <c r="Y1391" s="53"/>
      <c r="Z1391" s="52"/>
      <c r="AA1391" s="52"/>
      <c r="AB1391" s="52"/>
      <c r="AC1391" s="52"/>
      <c r="AD1391" s="53"/>
      <c r="AE1391" s="53"/>
      <c r="AF1391" s="53"/>
    </row>
    <row r="1392">
      <c r="G1392" s="55"/>
      <c r="N1392" s="6"/>
      <c r="O1392" s="53"/>
      <c r="P1392" s="53"/>
      <c r="Q1392" s="53"/>
      <c r="R1392" s="51"/>
      <c r="S1392" s="51"/>
      <c r="T1392" s="53"/>
      <c r="U1392" s="53"/>
      <c r="V1392" s="53"/>
      <c r="W1392" s="53"/>
      <c r="X1392" s="53"/>
      <c r="Y1392" s="53"/>
      <c r="Z1392" s="52"/>
      <c r="AA1392" s="52"/>
      <c r="AB1392" s="52"/>
      <c r="AC1392" s="52"/>
      <c r="AD1392" s="53"/>
      <c r="AE1392" s="53"/>
      <c r="AF1392" s="53"/>
    </row>
    <row r="1393">
      <c r="G1393" s="55"/>
      <c r="N1393" s="6"/>
      <c r="O1393" s="53"/>
      <c r="P1393" s="53"/>
      <c r="Q1393" s="53"/>
      <c r="R1393" s="51"/>
      <c r="S1393" s="51"/>
      <c r="T1393" s="53"/>
      <c r="U1393" s="53"/>
      <c r="V1393" s="53"/>
      <c r="W1393" s="53"/>
      <c r="X1393" s="53"/>
      <c r="Y1393" s="53"/>
      <c r="Z1393" s="52"/>
      <c r="AA1393" s="52"/>
      <c r="AB1393" s="52"/>
      <c r="AC1393" s="52"/>
      <c r="AD1393" s="53"/>
      <c r="AE1393" s="53"/>
      <c r="AF1393" s="53"/>
    </row>
    <row r="1394">
      <c r="G1394" s="55"/>
      <c r="N1394" s="6"/>
      <c r="O1394" s="53"/>
      <c r="P1394" s="53"/>
      <c r="Q1394" s="53"/>
      <c r="R1394" s="51"/>
      <c r="S1394" s="51"/>
      <c r="T1394" s="53"/>
      <c r="U1394" s="53"/>
      <c r="V1394" s="53"/>
      <c r="W1394" s="53"/>
      <c r="X1394" s="53"/>
      <c r="Y1394" s="53"/>
      <c r="Z1394" s="52"/>
      <c r="AA1394" s="52"/>
      <c r="AB1394" s="52"/>
      <c r="AC1394" s="52"/>
      <c r="AD1394" s="53"/>
      <c r="AE1394" s="53"/>
      <c r="AF1394" s="53"/>
    </row>
    <row r="1395">
      <c r="G1395" s="55"/>
      <c r="N1395" s="6"/>
      <c r="O1395" s="53"/>
      <c r="P1395" s="53"/>
      <c r="Q1395" s="53"/>
      <c r="R1395" s="51"/>
      <c r="S1395" s="51"/>
      <c r="T1395" s="53"/>
      <c r="U1395" s="53"/>
      <c r="V1395" s="53"/>
      <c r="W1395" s="53"/>
      <c r="X1395" s="53"/>
      <c r="Y1395" s="53"/>
      <c r="Z1395" s="52"/>
      <c r="AA1395" s="52"/>
      <c r="AB1395" s="52"/>
      <c r="AC1395" s="52"/>
      <c r="AD1395" s="53"/>
      <c r="AE1395" s="53"/>
      <c r="AF1395" s="53"/>
    </row>
    <row r="1396">
      <c r="G1396" s="55"/>
      <c r="N1396" s="6"/>
      <c r="O1396" s="53"/>
      <c r="P1396" s="53"/>
      <c r="Q1396" s="53"/>
      <c r="R1396" s="51"/>
      <c r="S1396" s="51"/>
      <c r="T1396" s="53"/>
      <c r="U1396" s="53"/>
      <c r="V1396" s="53"/>
      <c r="W1396" s="53"/>
      <c r="X1396" s="53"/>
      <c r="Y1396" s="53"/>
      <c r="Z1396" s="52"/>
      <c r="AA1396" s="52"/>
      <c r="AB1396" s="52"/>
      <c r="AC1396" s="52"/>
      <c r="AD1396" s="53"/>
      <c r="AE1396" s="53"/>
      <c r="AF1396" s="53"/>
    </row>
    <row r="1397">
      <c r="G1397" s="55"/>
      <c r="N1397" s="6"/>
      <c r="O1397" s="53"/>
      <c r="P1397" s="53"/>
      <c r="Q1397" s="53"/>
      <c r="R1397" s="51"/>
      <c r="S1397" s="51"/>
      <c r="T1397" s="53"/>
      <c r="U1397" s="53"/>
      <c r="V1397" s="53"/>
      <c r="W1397" s="53"/>
      <c r="X1397" s="53"/>
      <c r="Y1397" s="53"/>
      <c r="Z1397" s="52"/>
      <c r="AA1397" s="52"/>
      <c r="AB1397" s="52"/>
      <c r="AC1397" s="52"/>
      <c r="AD1397" s="53"/>
      <c r="AE1397" s="53"/>
      <c r="AF1397" s="53"/>
    </row>
    <row r="1398">
      <c r="G1398" s="55"/>
      <c r="N1398" s="6"/>
      <c r="O1398" s="53"/>
      <c r="P1398" s="53"/>
      <c r="Q1398" s="53"/>
      <c r="R1398" s="51"/>
      <c r="S1398" s="51"/>
      <c r="T1398" s="53"/>
      <c r="U1398" s="53"/>
      <c r="V1398" s="53"/>
      <c r="W1398" s="53"/>
      <c r="X1398" s="53"/>
      <c r="Y1398" s="53"/>
      <c r="Z1398" s="52"/>
      <c r="AA1398" s="52"/>
      <c r="AB1398" s="52"/>
      <c r="AC1398" s="52"/>
      <c r="AD1398" s="53"/>
      <c r="AE1398" s="53"/>
      <c r="AF1398" s="53"/>
    </row>
    <row r="1399">
      <c r="G1399" s="55"/>
      <c r="N1399" s="6"/>
      <c r="O1399" s="53"/>
      <c r="P1399" s="53"/>
      <c r="Q1399" s="53"/>
      <c r="R1399" s="51"/>
      <c r="S1399" s="51"/>
      <c r="T1399" s="53"/>
      <c r="U1399" s="53"/>
      <c r="V1399" s="53"/>
      <c r="W1399" s="53"/>
      <c r="X1399" s="53"/>
      <c r="Y1399" s="53"/>
      <c r="Z1399" s="52"/>
      <c r="AA1399" s="52"/>
      <c r="AB1399" s="52"/>
      <c r="AC1399" s="52"/>
      <c r="AD1399" s="53"/>
      <c r="AE1399" s="53"/>
      <c r="AF1399" s="53"/>
    </row>
    <row r="1400">
      <c r="G1400" s="55"/>
      <c r="N1400" s="6"/>
      <c r="O1400" s="53"/>
      <c r="P1400" s="53"/>
      <c r="Q1400" s="53"/>
      <c r="R1400" s="51"/>
      <c r="S1400" s="51"/>
      <c r="T1400" s="53"/>
      <c r="U1400" s="53"/>
      <c r="V1400" s="53"/>
      <c r="W1400" s="53"/>
      <c r="X1400" s="53"/>
      <c r="Y1400" s="53"/>
      <c r="Z1400" s="52"/>
      <c r="AA1400" s="52"/>
      <c r="AB1400" s="52"/>
      <c r="AC1400" s="52"/>
      <c r="AD1400" s="53"/>
      <c r="AE1400" s="53"/>
      <c r="AF1400" s="53"/>
    </row>
    <row r="1401">
      <c r="G1401" s="55"/>
      <c r="N1401" s="6"/>
      <c r="O1401" s="53"/>
      <c r="P1401" s="53"/>
      <c r="Q1401" s="53"/>
      <c r="R1401" s="51"/>
      <c r="S1401" s="51"/>
      <c r="T1401" s="53"/>
      <c r="U1401" s="53"/>
      <c r="V1401" s="53"/>
      <c r="W1401" s="53"/>
      <c r="X1401" s="53"/>
      <c r="Y1401" s="53"/>
      <c r="Z1401" s="52"/>
      <c r="AA1401" s="52"/>
      <c r="AB1401" s="52"/>
      <c r="AC1401" s="52"/>
      <c r="AD1401" s="53"/>
      <c r="AE1401" s="53"/>
      <c r="AF1401" s="53"/>
    </row>
    <row r="1402">
      <c r="G1402" s="55"/>
      <c r="N1402" s="6"/>
      <c r="O1402" s="53"/>
      <c r="P1402" s="53"/>
      <c r="Q1402" s="53"/>
      <c r="R1402" s="51"/>
      <c r="S1402" s="51"/>
      <c r="T1402" s="53"/>
      <c r="U1402" s="53"/>
      <c r="V1402" s="53"/>
      <c r="W1402" s="53"/>
      <c r="X1402" s="53"/>
      <c r="Y1402" s="53"/>
      <c r="Z1402" s="52"/>
      <c r="AA1402" s="52"/>
      <c r="AB1402" s="52"/>
      <c r="AC1402" s="52"/>
      <c r="AD1402" s="53"/>
      <c r="AE1402" s="53"/>
      <c r="AF1402" s="53"/>
    </row>
    <row r="1403">
      <c r="G1403" s="55"/>
      <c r="N1403" s="6"/>
      <c r="O1403" s="53"/>
      <c r="P1403" s="53"/>
      <c r="Q1403" s="53"/>
      <c r="R1403" s="51"/>
      <c r="S1403" s="51"/>
      <c r="T1403" s="53"/>
      <c r="U1403" s="53"/>
      <c r="V1403" s="53"/>
      <c r="W1403" s="53"/>
      <c r="X1403" s="53"/>
      <c r="Y1403" s="53"/>
      <c r="Z1403" s="52"/>
      <c r="AA1403" s="52"/>
      <c r="AB1403" s="52"/>
      <c r="AC1403" s="52"/>
      <c r="AD1403" s="53"/>
      <c r="AE1403" s="53"/>
      <c r="AF1403" s="53"/>
    </row>
    <row r="1404">
      <c r="G1404" s="55"/>
      <c r="N1404" s="6"/>
      <c r="O1404" s="53"/>
      <c r="P1404" s="53"/>
      <c r="Q1404" s="53"/>
      <c r="R1404" s="51"/>
      <c r="S1404" s="51"/>
      <c r="T1404" s="53"/>
      <c r="U1404" s="53"/>
      <c r="V1404" s="53"/>
      <c r="W1404" s="53"/>
      <c r="X1404" s="53"/>
      <c r="Y1404" s="53"/>
      <c r="Z1404" s="52"/>
      <c r="AA1404" s="52"/>
      <c r="AB1404" s="52"/>
      <c r="AC1404" s="52"/>
      <c r="AD1404" s="53"/>
      <c r="AE1404" s="53"/>
      <c r="AF1404" s="53"/>
    </row>
    <row r="1405">
      <c r="G1405" s="55"/>
      <c r="N1405" s="6"/>
      <c r="O1405" s="53"/>
      <c r="P1405" s="53"/>
      <c r="Q1405" s="53"/>
      <c r="R1405" s="51"/>
      <c r="S1405" s="51"/>
      <c r="T1405" s="53"/>
      <c r="U1405" s="53"/>
      <c r="V1405" s="53"/>
      <c r="W1405" s="53"/>
      <c r="X1405" s="53"/>
      <c r="Y1405" s="53"/>
      <c r="Z1405" s="52"/>
      <c r="AA1405" s="52"/>
      <c r="AB1405" s="52"/>
      <c r="AC1405" s="52"/>
      <c r="AD1405" s="53"/>
      <c r="AE1405" s="53"/>
      <c r="AF1405" s="53"/>
    </row>
    <row r="1406">
      <c r="G1406" s="55"/>
      <c r="N1406" s="6"/>
      <c r="O1406" s="53"/>
      <c r="P1406" s="53"/>
      <c r="Q1406" s="53"/>
      <c r="R1406" s="51"/>
      <c r="S1406" s="51"/>
      <c r="T1406" s="53"/>
      <c r="U1406" s="53"/>
      <c r="V1406" s="53"/>
      <c r="W1406" s="53"/>
      <c r="X1406" s="53"/>
      <c r="Y1406" s="53"/>
      <c r="Z1406" s="52"/>
      <c r="AA1406" s="52"/>
      <c r="AB1406" s="52"/>
      <c r="AC1406" s="52"/>
      <c r="AD1406" s="53"/>
      <c r="AE1406" s="53"/>
      <c r="AF1406" s="53"/>
    </row>
    <row r="1407">
      <c r="G1407" s="55"/>
      <c r="N1407" s="6"/>
      <c r="O1407" s="53"/>
      <c r="P1407" s="53"/>
      <c r="Q1407" s="53"/>
      <c r="R1407" s="51"/>
      <c r="S1407" s="51"/>
      <c r="T1407" s="53"/>
      <c r="U1407" s="53"/>
      <c r="V1407" s="53"/>
      <c r="W1407" s="53"/>
      <c r="X1407" s="53"/>
      <c r="Y1407" s="53"/>
      <c r="Z1407" s="52"/>
      <c r="AA1407" s="52"/>
      <c r="AB1407" s="52"/>
      <c r="AC1407" s="52"/>
      <c r="AD1407" s="53"/>
      <c r="AE1407" s="53"/>
      <c r="AF1407" s="53"/>
    </row>
    <row r="1408">
      <c r="G1408" s="55"/>
      <c r="N1408" s="6"/>
      <c r="O1408" s="53"/>
      <c r="P1408" s="53"/>
      <c r="Q1408" s="53"/>
      <c r="R1408" s="51"/>
      <c r="S1408" s="51"/>
      <c r="T1408" s="53"/>
      <c r="U1408" s="53"/>
      <c r="V1408" s="53"/>
      <c r="W1408" s="53"/>
      <c r="X1408" s="53"/>
      <c r="Y1408" s="53"/>
      <c r="Z1408" s="52"/>
      <c r="AA1408" s="52"/>
      <c r="AB1408" s="52"/>
      <c r="AC1408" s="52"/>
      <c r="AD1408" s="53"/>
      <c r="AE1408" s="53"/>
      <c r="AF1408" s="53"/>
    </row>
    <row r="1409">
      <c r="G1409" s="55"/>
      <c r="N1409" s="6"/>
      <c r="O1409" s="53"/>
      <c r="P1409" s="53"/>
      <c r="Q1409" s="53"/>
      <c r="R1409" s="51"/>
      <c r="S1409" s="51"/>
      <c r="T1409" s="53"/>
      <c r="U1409" s="53"/>
      <c r="V1409" s="53"/>
      <c r="W1409" s="53"/>
      <c r="X1409" s="53"/>
      <c r="Y1409" s="53"/>
      <c r="Z1409" s="52"/>
      <c r="AA1409" s="52"/>
      <c r="AB1409" s="52"/>
      <c r="AC1409" s="52"/>
      <c r="AD1409" s="53"/>
      <c r="AE1409" s="53"/>
      <c r="AF1409" s="53"/>
    </row>
    <row r="1410">
      <c r="G1410" s="55"/>
      <c r="N1410" s="6"/>
      <c r="O1410" s="53"/>
      <c r="P1410" s="53"/>
      <c r="Q1410" s="53"/>
      <c r="R1410" s="51"/>
      <c r="S1410" s="51"/>
      <c r="T1410" s="53"/>
      <c r="U1410" s="53"/>
      <c r="V1410" s="53"/>
      <c r="W1410" s="53"/>
      <c r="X1410" s="53"/>
      <c r="Y1410" s="53"/>
      <c r="Z1410" s="52"/>
      <c r="AA1410" s="52"/>
      <c r="AB1410" s="52"/>
      <c r="AC1410" s="52"/>
      <c r="AD1410" s="53"/>
      <c r="AE1410" s="53"/>
      <c r="AF1410" s="53"/>
    </row>
    <row r="1411">
      <c r="G1411" s="55"/>
      <c r="N1411" s="6"/>
      <c r="O1411" s="53"/>
      <c r="P1411" s="53"/>
      <c r="Q1411" s="53"/>
      <c r="R1411" s="51"/>
      <c r="S1411" s="51"/>
      <c r="T1411" s="53"/>
      <c r="U1411" s="53"/>
      <c r="V1411" s="53"/>
      <c r="W1411" s="53"/>
      <c r="X1411" s="53"/>
      <c r="Y1411" s="53"/>
      <c r="Z1411" s="52"/>
      <c r="AA1411" s="52"/>
      <c r="AB1411" s="52"/>
      <c r="AC1411" s="52"/>
      <c r="AD1411" s="53"/>
      <c r="AE1411" s="53"/>
      <c r="AF1411" s="53"/>
    </row>
    <row r="1412">
      <c r="G1412" s="55"/>
      <c r="N1412" s="6"/>
      <c r="O1412" s="53"/>
      <c r="P1412" s="53"/>
      <c r="Q1412" s="53"/>
      <c r="R1412" s="51"/>
      <c r="S1412" s="51"/>
      <c r="T1412" s="53"/>
      <c r="U1412" s="53"/>
      <c r="V1412" s="53"/>
      <c r="W1412" s="53"/>
      <c r="X1412" s="53"/>
      <c r="Y1412" s="53"/>
      <c r="Z1412" s="52"/>
      <c r="AA1412" s="52"/>
      <c r="AB1412" s="52"/>
      <c r="AC1412" s="52"/>
      <c r="AD1412" s="53"/>
      <c r="AE1412" s="53"/>
      <c r="AF1412" s="53"/>
    </row>
    <row r="1413">
      <c r="G1413" s="55"/>
      <c r="N1413" s="6"/>
      <c r="O1413" s="53"/>
      <c r="P1413" s="53"/>
      <c r="Q1413" s="53"/>
      <c r="R1413" s="51"/>
      <c r="S1413" s="51"/>
      <c r="T1413" s="53"/>
      <c r="U1413" s="53"/>
      <c r="V1413" s="53"/>
      <c r="W1413" s="53"/>
      <c r="X1413" s="53"/>
      <c r="Y1413" s="53"/>
      <c r="Z1413" s="52"/>
      <c r="AA1413" s="52"/>
      <c r="AB1413" s="52"/>
      <c r="AC1413" s="52"/>
      <c r="AD1413" s="53"/>
      <c r="AE1413" s="53"/>
      <c r="AF1413" s="53"/>
    </row>
    <row r="1414">
      <c r="G1414" s="55"/>
      <c r="N1414" s="6"/>
      <c r="O1414" s="53"/>
      <c r="P1414" s="53"/>
      <c r="Q1414" s="53"/>
      <c r="R1414" s="51"/>
      <c r="S1414" s="51"/>
      <c r="T1414" s="53"/>
      <c r="U1414" s="53"/>
      <c r="V1414" s="53"/>
      <c r="W1414" s="53"/>
      <c r="X1414" s="53"/>
      <c r="Y1414" s="53"/>
      <c r="Z1414" s="52"/>
      <c r="AA1414" s="52"/>
      <c r="AB1414" s="52"/>
      <c r="AC1414" s="52"/>
      <c r="AD1414" s="53"/>
      <c r="AE1414" s="53"/>
      <c r="AF1414" s="53"/>
    </row>
    <row r="1415">
      <c r="G1415" s="55"/>
      <c r="N1415" s="6"/>
      <c r="O1415" s="53"/>
      <c r="P1415" s="53"/>
      <c r="Q1415" s="53"/>
      <c r="R1415" s="51"/>
      <c r="S1415" s="51"/>
      <c r="T1415" s="53"/>
      <c r="U1415" s="53"/>
      <c r="V1415" s="53"/>
      <c r="W1415" s="53"/>
      <c r="X1415" s="53"/>
      <c r="Y1415" s="53"/>
      <c r="Z1415" s="52"/>
      <c r="AA1415" s="52"/>
      <c r="AB1415" s="52"/>
      <c r="AC1415" s="52"/>
      <c r="AD1415" s="53"/>
      <c r="AE1415" s="53"/>
      <c r="AF1415" s="53"/>
    </row>
    <row r="1416">
      <c r="G1416" s="55"/>
      <c r="N1416" s="6"/>
      <c r="O1416" s="53"/>
      <c r="P1416" s="53"/>
      <c r="Q1416" s="53"/>
      <c r="R1416" s="51"/>
      <c r="S1416" s="51"/>
      <c r="T1416" s="53"/>
      <c r="U1416" s="53"/>
      <c r="V1416" s="53"/>
      <c r="W1416" s="53"/>
      <c r="X1416" s="53"/>
      <c r="Y1416" s="53"/>
      <c r="Z1416" s="52"/>
      <c r="AA1416" s="52"/>
      <c r="AB1416" s="52"/>
      <c r="AC1416" s="52"/>
      <c r="AD1416" s="53"/>
      <c r="AE1416" s="53"/>
      <c r="AF1416" s="53"/>
    </row>
    <row r="1417">
      <c r="G1417" s="55"/>
      <c r="N1417" s="6"/>
      <c r="O1417" s="53"/>
      <c r="P1417" s="53"/>
      <c r="Q1417" s="53"/>
      <c r="R1417" s="51"/>
      <c r="S1417" s="51"/>
      <c r="T1417" s="53"/>
      <c r="U1417" s="53"/>
      <c r="V1417" s="53"/>
      <c r="W1417" s="53"/>
      <c r="X1417" s="53"/>
      <c r="Y1417" s="53"/>
      <c r="Z1417" s="52"/>
      <c r="AA1417" s="52"/>
      <c r="AB1417" s="52"/>
      <c r="AC1417" s="52"/>
      <c r="AD1417" s="53"/>
      <c r="AE1417" s="53"/>
      <c r="AF1417" s="53"/>
    </row>
    <row r="1418">
      <c r="G1418" s="55"/>
      <c r="N1418" s="6"/>
      <c r="O1418" s="53"/>
      <c r="P1418" s="53"/>
      <c r="Q1418" s="53"/>
      <c r="R1418" s="51"/>
      <c r="S1418" s="51"/>
      <c r="T1418" s="53"/>
      <c r="U1418" s="53"/>
      <c r="V1418" s="53"/>
      <c r="W1418" s="53"/>
      <c r="X1418" s="53"/>
      <c r="Y1418" s="53"/>
      <c r="Z1418" s="52"/>
      <c r="AA1418" s="52"/>
      <c r="AB1418" s="52"/>
      <c r="AC1418" s="52"/>
      <c r="AD1418" s="53"/>
      <c r="AE1418" s="53"/>
      <c r="AF1418" s="53"/>
    </row>
    <row r="1419">
      <c r="G1419" s="55"/>
      <c r="N1419" s="6"/>
      <c r="O1419" s="53"/>
      <c r="P1419" s="53"/>
      <c r="Q1419" s="53"/>
      <c r="R1419" s="51"/>
      <c r="S1419" s="51"/>
      <c r="T1419" s="53"/>
      <c r="U1419" s="53"/>
      <c r="V1419" s="53"/>
      <c r="W1419" s="53"/>
      <c r="X1419" s="53"/>
      <c r="Y1419" s="53"/>
      <c r="Z1419" s="52"/>
      <c r="AA1419" s="52"/>
      <c r="AB1419" s="52"/>
      <c r="AC1419" s="52"/>
      <c r="AD1419" s="53"/>
      <c r="AE1419" s="53"/>
      <c r="AF1419" s="53"/>
    </row>
    <row r="1420">
      <c r="G1420" s="55"/>
      <c r="N1420" s="6"/>
      <c r="O1420" s="53"/>
      <c r="P1420" s="53"/>
      <c r="Q1420" s="53"/>
      <c r="R1420" s="51"/>
      <c r="S1420" s="51"/>
      <c r="T1420" s="53"/>
      <c r="U1420" s="53"/>
      <c r="V1420" s="53"/>
      <c r="W1420" s="53"/>
      <c r="X1420" s="53"/>
      <c r="Y1420" s="53"/>
      <c r="Z1420" s="52"/>
      <c r="AA1420" s="52"/>
      <c r="AB1420" s="52"/>
      <c r="AC1420" s="52"/>
      <c r="AD1420" s="53"/>
      <c r="AE1420" s="53"/>
      <c r="AF1420" s="53"/>
    </row>
    <row r="1421">
      <c r="G1421" s="55"/>
      <c r="N1421" s="6"/>
      <c r="O1421" s="53"/>
      <c r="P1421" s="53"/>
      <c r="Q1421" s="53"/>
      <c r="R1421" s="51"/>
      <c r="S1421" s="51"/>
      <c r="T1421" s="53"/>
      <c r="U1421" s="53"/>
      <c r="V1421" s="53"/>
      <c r="W1421" s="53"/>
      <c r="X1421" s="53"/>
      <c r="Y1421" s="53"/>
      <c r="Z1421" s="52"/>
      <c r="AA1421" s="52"/>
      <c r="AB1421" s="52"/>
      <c r="AC1421" s="52"/>
      <c r="AD1421" s="53"/>
      <c r="AE1421" s="53"/>
      <c r="AF1421" s="53"/>
    </row>
    <row r="1422">
      <c r="G1422" s="55"/>
      <c r="N1422" s="6"/>
      <c r="O1422" s="53"/>
      <c r="P1422" s="53"/>
      <c r="Q1422" s="53"/>
      <c r="R1422" s="51"/>
      <c r="S1422" s="51"/>
      <c r="T1422" s="53"/>
      <c r="U1422" s="53"/>
      <c r="V1422" s="53"/>
      <c r="W1422" s="53"/>
      <c r="X1422" s="53"/>
      <c r="Y1422" s="53"/>
      <c r="Z1422" s="52"/>
      <c r="AA1422" s="52"/>
      <c r="AB1422" s="52"/>
      <c r="AC1422" s="52"/>
      <c r="AD1422" s="53"/>
      <c r="AE1422" s="53"/>
      <c r="AF1422" s="53"/>
    </row>
    <row r="1423">
      <c r="G1423" s="55"/>
      <c r="N1423" s="6"/>
      <c r="O1423" s="53"/>
      <c r="P1423" s="53"/>
      <c r="Q1423" s="53"/>
      <c r="R1423" s="51"/>
      <c r="S1423" s="51"/>
      <c r="T1423" s="53"/>
      <c r="U1423" s="53"/>
      <c r="V1423" s="53"/>
      <c r="W1423" s="53"/>
      <c r="X1423" s="53"/>
      <c r="Y1423" s="53"/>
      <c r="Z1423" s="52"/>
      <c r="AA1423" s="52"/>
      <c r="AB1423" s="52"/>
      <c r="AC1423" s="52"/>
      <c r="AD1423" s="53"/>
      <c r="AE1423" s="53"/>
      <c r="AF1423" s="53"/>
    </row>
    <row r="1424">
      <c r="G1424" s="55"/>
      <c r="N1424" s="6"/>
      <c r="O1424" s="53"/>
      <c r="P1424" s="53"/>
      <c r="Q1424" s="53"/>
      <c r="R1424" s="51"/>
      <c r="S1424" s="51"/>
      <c r="T1424" s="53"/>
      <c r="U1424" s="53"/>
      <c r="V1424" s="53"/>
      <c r="W1424" s="53"/>
      <c r="X1424" s="53"/>
      <c r="Y1424" s="53"/>
      <c r="Z1424" s="52"/>
      <c r="AA1424" s="52"/>
      <c r="AB1424" s="52"/>
      <c r="AC1424" s="52"/>
      <c r="AD1424" s="53"/>
      <c r="AE1424" s="53"/>
      <c r="AF1424" s="53"/>
    </row>
    <row r="1425">
      <c r="G1425" s="55"/>
      <c r="N1425" s="6"/>
      <c r="O1425" s="53"/>
      <c r="P1425" s="53"/>
      <c r="Q1425" s="53"/>
      <c r="R1425" s="51"/>
      <c r="S1425" s="51"/>
      <c r="T1425" s="53"/>
      <c r="U1425" s="53"/>
      <c r="V1425" s="53"/>
      <c r="W1425" s="53"/>
      <c r="X1425" s="53"/>
      <c r="Y1425" s="53"/>
      <c r="Z1425" s="52"/>
      <c r="AA1425" s="52"/>
      <c r="AB1425" s="52"/>
      <c r="AC1425" s="52"/>
      <c r="AD1425" s="53"/>
      <c r="AE1425" s="53"/>
      <c r="AF1425" s="53"/>
    </row>
    <row r="1426">
      <c r="G1426" s="55"/>
      <c r="N1426" s="6"/>
      <c r="O1426" s="53"/>
      <c r="P1426" s="53"/>
      <c r="Q1426" s="53"/>
      <c r="R1426" s="51"/>
      <c r="S1426" s="51"/>
      <c r="T1426" s="53"/>
      <c r="U1426" s="53"/>
      <c r="V1426" s="53"/>
      <c r="W1426" s="53"/>
      <c r="X1426" s="53"/>
      <c r="Y1426" s="53"/>
      <c r="Z1426" s="52"/>
      <c r="AA1426" s="52"/>
      <c r="AB1426" s="52"/>
      <c r="AC1426" s="52"/>
      <c r="AD1426" s="53"/>
      <c r="AE1426" s="53"/>
      <c r="AF1426" s="53"/>
    </row>
    <row r="1427">
      <c r="G1427" s="55"/>
      <c r="N1427" s="6"/>
      <c r="O1427" s="53"/>
      <c r="P1427" s="53"/>
      <c r="Q1427" s="53"/>
      <c r="R1427" s="51"/>
      <c r="S1427" s="51"/>
      <c r="T1427" s="53"/>
      <c r="U1427" s="53"/>
      <c r="V1427" s="53"/>
      <c r="W1427" s="53"/>
      <c r="X1427" s="53"/>
      <c r="Y1427" s="53"/>
      <c r="Z1427" s="52"/>
      <c r="AA1427" s="52"/>
      <c r="AB1427" s="52"/>
      <c r="AC1427" s="52"/>
      <c r="AD1427" s="53"/>
      <c r="AE1427" s="53"/>
      <c r="AF1427" s="53"/>
    </row>
    <row r="1428">
      <c r="G1428" s="55"/>
      <c r="N1428" s="6"/>
      <c r="O1428" s="53"/>
      <c r="P1428" s="53"/>
      <c r="Q1428" s="53"/>
      <c r="R1428" s="51"/>
      <c r="S1428" s="51"/>
      <c r="T1428" s="53"/>
      <c r="U1428" s="53"/>
      <c r="V1428" s="53"/>
      <c r="W1428" s="53"/>
      <c r="X1428" s="53"/>
      <c r="Y1428" s="53"/>
      <c r="Z1428" s="52"/>
      <c r="AA1428" s="52"/>
      <c r="AB1428" s="52"/>
      <c r="AC1428" s="52"/>
      <c r="AD1428" s="53"/>
      <c r="AE1428" s="53"/>
      <c r="AF1428" s="53"/>
    </row>
    <row r="1429">
      <c r="G1429" s="55"/>
      <c r="N1429" s="6"/>
      <c r="O1429" s="53"/>
      <c r="P1429" s="53"/>
      <c r="Q1429" s="53"/>
      <c r="R1429" s="51"/>
      <c r="S1429" s="51"/>
      <c r="T1429" s="53"/>
      <c r="U1429" s="53"/>
      <c r="V1429" s="53"/>
      <c r="W1429" s="53"/>
      <c r="X1429" s="53"/>
      <c r="Y1429" s="53"/>
      <c r="Z1429" s="52"/>
      <c r="AA1429" s="52"/>
      <c r="AB1429" s="52"/>
      <c r="AC1429" s="52"/>
      <c r="AD1429" s="53"/>
      <c r="AE1429" s="53"/>
      <c r="AF1429" s="53"/>
    </row>
    <row r="1430">
      <c r="G1430" s="55"/>
      <c r="N1430" s="6"/>
      <c r="O1430" s="53"/>
      <c r="P1430" s="53"/>
      <c r="Q1430" s="53"/>
      <c r="R1430" s="51"/>
      <c r="S1430" s="51"/>
      <c r="T1430" s="53"/>
      <c r="U1430" s="53"/>
      <c r="V1430" s="53"/>
      <c r="W1430" s="53"/>
      <c r="X1430" s="53"/>
      <c r="Y1430" s="53"/>
      <c r="Z1430" s="52"/>
      <c r="AA1430" s="52"/>
      <c r="AB1430" s="52"/>
      <c r="AC1430" s="52"/>
      <c r="AD1430" s="53"/>
      <c r="AE1430" s="53"/>
      <c r="AF1430" s="53"/>
    </row>
    <row r="1431">
      <c r="G1431" s="55"/>
      <c r="N1431" s="6"/>
      <c r="O1431" s="53"/>
      <c r="P1431" s="53"/>
      <c r="Q1431" s="53"/>
      <c r="R1431" s="51"/>
      <c r="S1431" s="51"/>
      <c r="T1431" s="53"/>
      <c r="U1431" s="53"/>
      <c r="V1431" s="53"/>
      <c r="W1431" s="53"/>
      <c r="X1431" s="53"/>
      <c r="Y1431" s="53"/>
      <c r="Z1431" s="52"/>
      <c r="AA1431" s="52"/>
      <c r="AB1431" s="52"/>
      <c r="AC1431" s="52"/>
      <c r="AD1431" s="53"/>
      <c r="AE1431" s="53"/>
      <c r="AF1431" s="53"/>
    </row>
    <row r="1432">
      <c r="G1432" s="55"/>
      <c r="N1432" s="6"/>
      <c r="O1432" s="53"/>
      <c r="P1432" s="53"/>
      <c r="Q1432" s="53"/>
      <c r="R1432" s="51"/>
      <c r="S1432" s="51"/>
      <c r="T1432" s="53"/>
      <c r="U1432" s="53"/>
      <c r="V1432" s="53"/>
      <c r="W1432" s="53"/>
      <c r="X1432" s="53"/>
      <c r="Y1432" s="53"/>
      <c r="Z1432" s="52"/>
      <c r="AA1432" s="52"/>
      <c r="AB1432" s="52"/>
      <c r="AC1432" s="52"/>
      <c r="AD1432" s="53"/>
      <c r="AE1432" s="53"/>
      <c r="AF1432" s="53"/>
    </row>
    <row r="1433">
      <c r="G1433" s="55"/>
      <c r="N1433" s="6"/>
      <c r="O1433" s="53"/>
      <c r="P1433" s="53"/>
      <c r="Q1433" s="53"/>
      <c r="R1433" s="51"/>
      <c r="S1433" s="51"/>
      <c r="T1433" s="53"/>
      <c r="U1433" s="53"/>
      <c r="V1433" s="53"/>
      <c r="W1433" s="53"/>
      <c r="X1433" s="53"/>
      <c r="Y1433" s="53"/>
      <c r="Z1433" s="52"/>
      <c r="AA1433" s="52"/>
      <c r="AB1433" s="52"/>
      <c r="AC1433" s="52"/>
      <c r="AD1433" s="53"/>
      <c r="AE1433" s="53"/>
      <c r="AF1433" s="53"/>
    </row>
    <row r="1434">
      <c r="G1434" s="55"/>
      <c r="N1434" s="6"/>
      <c r="O1434" s="53"/>
      <c r="P1434" s="53"/>
      <c r="Q1434" s="53"/>
      <c r="R1434" s="51"/>
      <c r="S1434" s="51"/>
      <c r="T1434" s="53"/>
      <c r="U1434" s="53"/>
      <c r="V1434" s="53"/>
      <c r="W1434" s="53"/>
      <c r="X1434" s="53"/>
      <c r="Y1434" s="53"/>
      <c r="Z1434" s="52"/>
      <c r="AA1434" s="52"/>
      <c r="AB1434" s="52"/>
      <c r="AC1434" s="52"/>
      <c r="AD1434" s="53"/>
      <c r="AE1434" s="53"/>
      <c r="AF1434" s="53"/>
    </row>
    <row r="1435">
      <c r="G1435" s="55"/>
      <c r="N1435" s="6"/>
      <c r="O1435" s="53"/>
      <c r="P1435" s="53"/>
      <c r="Q1435" s="53"/>
      <c r="R1435" s="51"/>
      <c r="S1435" s="51"/>
      <c r="T1435" s="53"/>
      <c r="U1435" s="53"/>
      <c r="V1435" s="53"/>
      <c r="W1435" s="53"/>
      <c r="X1435" s="53"/>
      <c r="Y1435" s="53"/>
      <c r="Z1435" s="52"/>
      <c r="AA1435" s="52"/>
      <c r="AB1435" s="52"/>
      <c r="AC1435" s="52"/>
      <c r="AD1435" s="53"/>
      <c r="AE1435" s="53"/>
      <c r="AF1435" s="53"/>
    </row>
    <row r="1436">
      <c r="G1436" s="55"/>
      <c r="N1436" s="6"/>
      <c r="O1436" s="53"/>
      <c r="P1436" s="53"/>
      <c r="Q1436" s="53"/>
      <c r="R1436" s="51"/>
      <c r="S1436" s="51"/>
      <c r="T1436" s="53"/>
      <c r="U1436" s="53"/>
      <c r="V1436" s="53"/>
      <c r="W1436" s="53"/>
      <c r="X1436" s="53"/>
      <c r="Y1436" s="53"/>
      <c r="Z1436" s="52"/>
      <c r="AA1436" s="52"/>
      <c r="AB1436" s="52"/>
      <c r="AC1436" s="52"/>
      <c r="AD1436" s="53"/>
      <c r="AE1436" s="53"/>
      <c r="AF1436" s="53"/>
    </row>
    <row r="1437">
      <c r="G1437" s="55"/>
      <c r="N1437" s="6"/>
      <c r="O1437" s="53"/>
      <c r="P1437" s="53"/>
      <c r="Q1437" s="53"/>
      <c r="R1437" s="51"/>
      <c r="S1437" s="51"/>
      <c r="T1437" s="53"/>
      <c r="U1437" s="53"/>
      <c r="V1437" s="53"/>
      <c r="W1437" s="53"/>
      <c r="X1437" s="53"/>
      <c r="Y1437" s="53"/>
      <c r="Z1437" s="52"/>
      <c r="AA1437" s="52"/>
      <c r="AB1437" s="52"/>
      <c r="AC1437" s="52"/>
      <c r="AD1437" s="53"/>
      <c r="AE1437" s="53"/>
      <c r="AF1437" s="53"/>
    </row>
    <row r="1438">
      <c r="G1438" s="55"/>
      <c r="N1438" s="6"/>
      <c r="O1438" s="53"/>
      <c r="P1438" s="53"/>
      <c r="Q1438" s="53"/>
      <c r="R1438" s="51"/>
      <c r="S1438" s="51"/>
      <c r="T1438" s="53"/>
      <c r="U1438" s="53"/>
      <c r="V1438" s="53"/>
      <c r="W1438" s="53"/>
      <c r="X1438" s="53"/>
      <c r="Y1438" s="53"/>
      <c r="Z1438" s="52"/>
      <c r="AA1438" s="52"/>
      <c r="AB1438" s="52"/>
      <c r="AC1438" s="52"/>
      <c r="AD1438" s="53"/>
      <c r="AE1438" s="53"/>
      <c r="AF1438" s="53"/>
    </row>
    <row r="1439">
      <c r="G1439" s="55"/>
      <c r="N1439" s="6"/>
      <c r="O1439" s="53"/>
      <c r="P1439" s="53"/>
      <c r="Q1439" s="53"/>
      <c r="R1439" s="51"/>
      <c r="S1439" s="51"/>
      <c r="T1439" s="53"/>
      <c r="U1439" s="53"/>
      <c r="V1439" s="53"/>
      <c r="W1439" s="53"/>
      <c r="X1439" s="53"/>
      <c r="Y1439" s="53"/>
      <c r="Z1439" s="52"/>
      <c r="AA1439" s="52"/>
      <c r="AB1439" s="52"/>
      <c r="AC1439" s="52"/>
      <c r="AD1439" s="53"/>
      <c r="AE1439" s="53"/>
      <c r="AF1439" s="53"/>
    </row>
    <row r="1440">
      <c r="G1440" s="55"/>
      <c r="N1440" s="6"/>
      <c r="O1440" s="53"/>
      <c r="P1440" s="53"/>
      <c r="Q1440" s="53"/>
      <c r="R1440" s="51"/>
      <c r="S1440" s="51"/>
      <c r="T1440" s="53"/>
      <c r="U1440" s="53"/>
      <c r="V1440" s="53"/>
      <c r="W1440" s="53"/>
      <c r="X1440" s="53"/>
      <c r="Y1440" s="53"/>
      <c r="Z1440" s="52"/>
      <c r="AA1440" s="52"/>
      <c r="AB1440" s="52"/>
      <c r="AC1440" s="52"/>
      <c r="AD1440" s="53"/>
      <c r="AE1440" s="53"/>
      <c r="AF1440" s="53"/>
    </row>
    <row r="1441">
      <c r="G1441" s="55"/>
      <c r="N1441" s="6"/>
      <c r="O1441" s="53"/>
      <c r="P1441" s="53"/>
      <c r="Q1441" s="53"/>
      <c r="R1441" s="51"/>
      <c r="S1441" s="51"/>
      <c r="T1441" s="53"/>
      <c r="U1441" s="53"/>
      <c r="V1441" s="53"/>
      <c r="W1441" s="53"/>
      <c r="X1441" s="53"/>
      <c r="Y1441" s="53"/>
      <c r="Z1441" s="52"/>
      <c r="AA1441" s="52"/>
      <c r="AB1441" s="52"/>
      <c r="AC1441" s="52"/>
      <c r="AD1441" s="53"/>
      <c r="AE1441" s="53"/>
      <c r="AF1441" s="53"/>
    </row>
    <row r="1442">
      <c r="G1442" s="55"/>
      <c r="N1442" s="6"/>
      <c r="O1442" s="53"/>
      <c r="P1442" s="53"/>
      <c r="Q1442" s="53"/>
      <c r="R1442" s="51"/>
      <c r="S1442" s="51"/>
      <c r="T1442" s="53"/>
      <c r="U1442" s="53"/>
      <c r="V1442" s="53"/>
      <c r="W1442" s="53"/>
      <c r="X1442" s="53"/>
      <c r="Y1442" s="53"/>
      <c r="Z1442" s="52"/>
      <c r="AA1442" s="52"/>
      <c r="AB1442" s="52"/>
      <c r="AC1442" s="52"/>
      <c r="AD1442" s="53"/>
      <c r="AE1442" s="53"/>
      <c r="AF1442" s="53"/>
    </row>
    <row r="1443">
      <c r="G1443" s="55"/>
      <c r="N1443" s="6"/>
      <c r="O1443" s="53"/>
      <c r="P1443" s="53"/>
      <c r="Q1443" s="53"/>
      <c r="R1443" s="51"/>
      <c r="S1443" s="51"/>
      <c r="T1443" s="53"/>
      <c r="U1443" s="53"/>
      <c r="V1443" s="53"/>
      <c r="W1443" s="53"/>
      <c r="X1443" s="53"/>
      <c r="Y1443" s="53"/>
      <c r="Z1443" s="52"/>
      <c r="AA1443" s="52"/>
      <c r="AB1443" s="52"/>
      <c r="AC1443" s="52"/>
      <c r="AD1443" s="53"/>
      <c r="AE1443" s="53"/>
      <c r="AF1443" s="53"/>
    </row>
    <row r="1444">
      <c r="G1444" s="55"/>
      <c r="N1444" s="6"/>
      <c r="O1444" s="53"/>
      <c r="P1444" s="53"/>
      <c r="Q1444" s="53"/>
      <c r="R1444" s="51"/>
      <c r="S1444" s="51"/>
      <c r="T1444" s="53"/>
      <c r="U1444" s="53"/>
      <c r="V1444" s="53"/>
      <c r="W1444" s="53"/>
      <c r="X1444" s="53"/>
      <c r="Y1444" s="53"/>
      <c r="Z1444" s="52"/>
      <c r="AA1444" s="52"/>
      <c r="AB1444" s="52"/>
      <c r="AC1444" s="52"/>
      <c r="AD1444" s="53"/>
      <c r="AE1444" s="53"/>
      <c r="AF1444" s="53"/>
    </row>
    <row r="1445">
      <c r="G1445" s="55"/>
      <c r="N1445" s="6"/>
      <c r="O1445" s="53"/>
      <c r="P1445" s="53"/>
      <c r="Q1445" s="53"/>
      <c r="R1445" s="51"/>
      <c r="S1445" s="51"/>
      <c r="T1445" s="53"/>
      <c r="U1445" s="53"/>
      <c r="V1445" s="53"/>
      <c r="W1445" s="53"/>
      <c r="X1445" s="53"/>
      <c r="Y1445" s="53"/>
      <c r="Z1445" s="52"/>
      <c r="AA1445" s="52"/>
      <c r="AB1445" s="52"/>
      <c r="AC1445" s="52"/>
      <c r="AD1445" s="53"/>
      <c r="AE1445" s="53"/>
      <c r="AF1445" s="53"/>
    </row>
    <row r="1446">
      <c r="G1446" s="55"/>
      <c r="N1446" s="6"/>
      <c r="O1446" s="53"/>
      <c r="P1446" s="53"/>
      <c r="Q1446" s="53"/>
      <c r="R1446" s="51"/>
      <c r="S1446" s="51"/>
      <c r="T1446" s="53"/>
      <c r="U1446" s="53"/>
      <c r="V1446" s="53"/>
      <c r="W1446" s="53"/>
      <c r="X1446" s="53"/>
      <c r="Y1446" s="53"/>
      <c r="Z1446" s="52"/>
      <c r="AA1446" s="52"/>
      <c r="AB1446" s="52"/>
      <c r="AC1446" s="52"/>
      <c r="AD1446" s="53"/>
      <c r="AE1446" s="53"/>
      <c r="AF1446" s="53"/>
    </row>
    <row r="1447">
      <c r="G1447" s="55"/>
      <c r="N1447" s="6"/>
      <c r="O1447" s="53"/>
      <c r="P1447" s="53"/>
      <c r="Q1447" s="53"/>
      <c r="R1447" s="51"/>
      <c r="S1447" s="51"/>
      <c r="T1447" s="53"/>
      <c r="U1447" s="53"/>
      <c r="V1447" s="53"/>
      <c r="W1447" s="53"/>
      <c r="X1447" s="53"/>
      <c r="Y1447" s="53"/>
      <c r="Z1447" s="52"/>
      <c r="AA1447" s="52"/>
      <c r="AB1447" s="52"/>
      <c r="AC1447" s="52"/>
      <c r="AD1447" s="53"/>
      <c r="AE1447" s="53"/>
      <c r="AF1447" s="53"/>
    </row>
    <row r="1448">
      <c r="G1448" s="55"/>
      <c r="N1448" s="6"/>
      <c r="O1448" s="53"/>
      <c r="P1448" s="53"/>
      <c r="Q1448" s="53"/>
      <c r="R1448" s="51"/>
      <c r="S1448" s="51"/>
      <c r="T1448" s="53"/>
      <c r="U1448" s="53"/>
      <c r="V1448" s="53"/>
      <c r="W1448" s="53"/>
      <c r="X1448" s="53"/>
      <c r="Y1448" s="53"/>
      <c r="Z1448" s="52"/>
      <c r="AA1448" s="52"/>
      <c r="AB1448" s="52"/>
      <c r="AC1448" s="52"/>
      <c r="AD1448" s="53"/>
      <c r="AE1448" s="53"/>
      <c r="AF1448" s="53"/>
    </row>
    <row r="1449">
      <c r="G1449" s="55"/>
      <c r="N1449" s="6"/>
      <c r="O1449" s="53"/>
      <c r="P1449" s="53"/>
      <c r="Q1449" s="53"/>
      <c r="R1449" s="51"/>
      <c r="S1449" s="51"/>
      <c r="T1449" s="53"/>
      <c r="U1449" s="53"/>
      <c r="V1449" s="53"/>
      <c r="W1449" s="53"/>
      <c r="X1449" s="53"/>
      <c r="Y1449" s="53"/>
      <c r="Z1449" s="52"/>
      <c r="AA1449" s="52"/>
      <c r="AB1449" s="52"/>
      <c r="AC1449" s="52"/>
      <c r="AD1449" s="53"/>
      <c r="AE1449" s="53"/>
      <c r="AF1449" s="53"/>
    </row>
    <row r="1450">
      <c r="G1450" s="55"/>
      <c r="N1450" s="6"/>
      <c r="O1450" s="53"/>
      <c r="P1450" s="53"/>
      <c r="Q1450" s="53"/>
      <c r="R1450" s="51"/>
      <c r="S1450" s="51"/>
      <c r="T1450" s="53"/>
      <c r="U1450" s="53"/>
      <c r="V1450" s="53"/>
      <c r="W1450" s="53"/>
      <c r="X1450" s="53"/>
      <c r="Y1450" s="53"/>
      <c r="Z1450" s="52"/>
      <c r="AA1450" s="52"/>
      <c r="AB1450" s="52"/>
      <c r="AC1450" s="52"/>
      <c r="AD1450" s="53"/>
      <c r="AE1450" s="53"/>
      <c r="AF1450" s="53"/>
    </row>
    <row r="1451">
      <c r="G1451" s="55"/>
      <c r="N1451" s="6"/>
      <c r="O1451" s="53"/>
      <c r="P1451" s="53"/>
      <c r="Q1451" s="53"/>
      <c r="R1451" s="51"/>
      <c r="S1451" s="51"/>
      <c r="T1451" s="53"/>
      <c r="U1451" s="53"/>
      <c r="V1451" s="53"/>
      <c r="W1451" s="53"/>
      <c r="X1451" s="53"/>
      <c r="Y1451" s="53"/>
      <c r="Z1451" s="52"/>
      <c r="AA1451" s="52"/>
      <c r="AB1451" s="52"/>
      <c r="AC1451" s="52"/>
      <c r="AD1451" s="53"/>
      <c r="AE1451" s="53"/>
      <c r="AF1451" s="53"/>
    </row>
    <row r="1452">
      <c r="G1452" s="55"/>
      <c r="N1452" s="6"/>
      <c r="O1452" s="53"/>
      <c r="P1452" s="53"/>
      <c r="Q1452" s="53"/>
      <c r="R1452" s="51"/>
      <c r="S1452" s="51"/>
      <c r="T1452" s="53"/>
      <c r="U1452" s="53"/>
      <c r="V1452" s="53"/>
      <c r="W1452" s="53"/>
      <c r="X1452" s="53"/>
      <c r="Y1452" s="53"/>
      <c r="Z1452" s="52"/>
      <c r="AA1452" s="52"/>
      <c r="AB1452" s="52"/>
      <c r="AC1452" s="52"/>
      <c r="AD1452" s="53"/>
      <c r="AE1452" s="53"/>
      <c r="AF1452" s="53"/>
    </row>
    <row r="1453">
      <c r="G1453" s="55"/>
      <c r="N1453" s="6"/>
      <c r="O1453" s="53"/>
      <c r="P1453" s="53"/>
      <c r="Q1453" s="53"/>
      <c r="R1453" s="51"/>
      <c r="S1453" s="51"/>
      <c r="T1453" s="53"/>
      <c r="U1453" s="53"/>
      <c r="V1453" s="53"/>
      <c r="W1453" s="53"/>
      <c r="X1453" s="53"/>
      <c r="Y1453" s="53"/>
      <c r="Z1453" s="52"/>
      <c r="AA1453" s="52"/>
      <c r="AB1453" s="52"/>
      <c r="AC1453" s="52"/>
      <c r="AD1453" s="53"/>
      <c r="AE1453" s="53"/>
      <c r="AF1453" s="53"/>
    </row>
    <row r="1454">
      <c r="G1454" s="55"/>
      <c r="N1454" s="6"/>
      <c r="O1454" s="53"/>
      <c r="P1454" s="53"/>
      <c r="Q1454" s="53"/>
      <c r="R1454" s="51"/>
      <c r="S1454" s="51"/>
      <c r="T1454" s="53"/>
      <c r="U1454" s="53"/>
      <c r="V1454" s="53"/>
      <c r="W1454" s="53"/>
      <c r="X1454" s="53"/>
      <c r="Y1454" s="53"/>
      <c r="Z1454" s="52"/>
      <c r="AA1454" s="52"/>
      <c r="AB1454" s="52"/>
      <c r="AC1454" s="52"/>
      <c r="AD1454" s="53"/>
      <c r="AE1454" s="53"/>
      <c r="AF1454" s="53"/>
    </row>
    <row r="1455">
      <c r="G1455" s="55"/>
      <c r="N1455" s="6"/>
      <c r="O1455" s="53"/>
      <c r="P1455" s="53"/>
      <c r="Q1455" s="53"/>
      <c r="R1455" s="51"/>
      <c r="S1455" s="51"/>
      <c r="T1455" s="53"/>
      <c r="U1455" s="53"/>
      <c r="V1455" s="53"/>
      <c r="W1455" s="53"/>
      <c r="X1455" s="53"/>
      <c r="Y1455" s="53"/>
      <c r="Z1455" s="52"/>
      <c r="AA1455" s="52"/>
      <c r="AB1455" s="52"/>
      <c r="AC1455" s="52"/>
      <c r="AD1455" s="53"/>
      <c r="AE1455" s="53"/>
      <c r="AF1455" s="53"/>
    </row>
    <row r="1456">
      <c r="G1456" s="55"/>
      <c r="N1456" s="6"/>
      <c r="O1456" s="53"/>
      <c r="P1456" s="53"/>
      <c r="Q1456" s="53"/>
      <c r="R1456" s="51"/>
      <c r="S1456" s="51"/>
      <c r="T1456" s="53"/>
      <c r="U1456" s="53"/>
      <c r="V1456" s="53"/>
      <c r="W1456" s="53"/>
      <c r="X1456" s="53"/>
      <c r="Y1456" s="53"/>
      <c r="Z1456" s="52"/>
      <c r="AA1456" s="52"/>
      <c r="AB1456" s="52"/>
      <c r="AC1456" s="52"/>
      <c r="AD1456" s="53"/>
      <c r="AE1456" s="53"/>
      <c r="AF1456" s="53"/>
    </row>
    <row r="1457">
      <c r="G1457" s="55"/>
      <c r="N1457" s="6"/>
      <c r="O1457" s="53"/>
      <c r="P1457" s="53"/>
      <c r="Q1457" s="53"/>
      <c r="R1457" s="51"/>
      <c r="S1457" s="51"/>
      <c r="T1457" s="53"/>
      <c r="U1457" s="53"/>
      <c r="V1457" s="53"/>
      <c r="W1457" s="53"/>
      <c r="X1457" s="53"/>
      <c r="Y1457" s="53"/>
      <c r="Z1457" s="52"/>
      <c r="AA1457" s="52"/>
      <c r="AB1457" s="52"/>
      <c r="AC1457" s="52"/>
      <c r="AD1457" s="53"/>
      <c r="AE1457" s="53"/>
      <c r="AF1457" s="53"/>
    </row>
    <row r="1458">
      <c r="G1458" s="55"/>
      <c r="N1458" s="6"/>
      <c r="O1458" s="53"/>
      <c r="P1458" s="53"/>
      <c r="Q1458" s="53"/>
      <c r="R1458" s="51"/>
      <c r="S1458" s="51"/>
      <c r="T1458" s="53"/>
      <c r="U1458" s="53"/>
      <c r="V1458" s="53"/>
      <c r="W1458" s="53"/>
      <c r="X1458" s="53"/>
      <c r="Y1458" s="53"/>
      <c r="Z1458" s="52"/>
      <c r="AA1458" s="52"/>
      <c r="AB1458" s="52"/>
      <c r="AC1458" s="52"/>
      <c r="AD1458" s="53"/>
      <c r="AE1458" s="53"/>
      <c r="AF1458" s="53"/>
    </row>
    <row r="1459">
      <c r="G1459" s="55"/>
      <c r="N1459" s="6"/>
      <c r="O1459" s="53"/>
      <c r="P1459" s="53"/>
      <c r="Q1459" s="53"/>
      <c r="R1459" s="51"/>
      <c r="S1459" s="51"/>
      <c r="T1459" s="53"/>
      <c r="U1459" s="53"/>
      <c r="V1459" s="53"/>
      <c r="W1459" s="53"/>
      <c r="X1459" s="53"/>
      <c r="Y1459" s="53"/>
      <c r="Z1459" s="52"/>
      <c r="AA1459" s="52"/>
      <c r="AB1459" s="52"/>
      <c r="AC1459" s="52"/>
      <c r="AD1459" s="53"/>
      <c r="AE1459" s="53"/>
      <c r="AF1459" s="53"/>
    </row>
    <row r="1460">
      <c r="G1460" s="55"/>
      <c r="N1460" s="6"/>
      <c r="O1460" s="53"/>
      <c r="P1460" s="53"/>
      <c r="Q1460" s="53"/>
      <c r="R1460" s="51"/>
      <c r="S1460" s="51"/>
      <c r="T1460" s="53"/>
      <c r="U1460" s="53"/>
      <c r="V1460" s="53"/>
      <c r="W1460" s="53"/>
      <c r="X1460" s="53"/>
      <c r="Y1460" s="53"/>
      <c r="Z1460" s="52"/>
      <c r="AA1460" s="52"/>
      <c r="AB1460" s="52"/>
      <c r="AC1460" s="52"/>
      <c r="AD1460" s="53"/>
      <c r="AE1460" s="53"/>
      <c r="AF1460" s="53"/>
    </row>
    <row r="1461">
      <c r="G1461" s="55"/>
      <c r="N1461" s="6"/>
      <c r="O1461" s="53"/>
      <c r="P1461" s="53"/>
      <c r="Q1461" s="53"/>
      <c r="R1461" s="51"/>
      <c r="S1461" s="51"/>
      <c r="T1461" s="53"/>
      <c r="U1461" s="53"/>
      <c r="V1461" s="53"/>
      <c r="W1461" s="53"/>
      <c r="X1461" s="53"/>
      <c r="Y1461" s="53"/>
      <c r="Z1461" s="52"/>
      <c r="AA1461" s="52"/>
      <c r="AB1461" s="52"/>
      <c r="AC1461" s="52"/>
      <c r="AD1461" s="53"/>
      <c r="AE1461" s="53"/>
      <c r="AF1461" s="53"/>
    </row>
    <row r="1462">
      <c r="G1462" s="55"/>
      <c r="N1462" s="6"/>
      <c r="O1462" s="53"/>
      <c r="P1462" s="53"/>
      <c r="Q1462" s="53"/>
      <c r="R1462" s="51"/>
      <c r="S1462" s="51"/>
      <c r="T1462" s="53"/>
      <c r="U1462" s="53"/>
      <c r="V1462" s="53"/>
      <c r="W1462" s="53"/>
      <c r="X1462" s="53"/>
      <c r="Y1462" s="53"/>
      <c r="Z1462" s="52"/>
      <c r="AA1462" s="52"/>
      <c r="AB1462" s="52"/>
      <c r="AC1462" s="52"/>
      <c r="AD1462" s="53"/>
      <c r="AE1462" s="53"/>
      <c r="AF1462" s="53"/>
    </row>
    <row r="1463">
      <c r="G1463" s="55"/>
      <c r="N1463" s="6"/>
      <c r="O1463" s="53"/>
      <c r="P1463" s="53"/>
      <c r="Q1463" s="53"/>
      <c r="R1463" s="51"/>
      <c r="S1463" s="51"/>
      <c r="T1463" s="53"/>
      <c r="U1463" s="53"/>
      <c r="V1463" s="53"/>
      <c r="W1463" s="53"/>
      <c r="X1463" s="53"/>
      <c r="Y1463" s="53"/>
      <c r="Z1463" s="52"/>
      <c r="AA1463" s="52"/>
      <c r="AB1463" s="52"/>
      <c r="AC1463" s="52"/>
      <c r="AD1463" s="53"/>
      <c r="AE1463" s="53"/>
      <c r="AF1463" s="53"/>
    </row>
    <row r="1464">
      <c r="G1464" s="55"/>
      <c r="N1464" s="6"/>
      <c r="O1464" s="53"/>
      <c r="P1464" s="53"/>
      <c r="Q1464" s="53"/>
      <c r="R1464" s="51"/>
      <c r="S1464" s="51"/>
      <c r="T1464" s="53"/>
      <c r="U1464" s="53"/>
      <c r="V1464" s="53"/>
      <c r="W1464" s="53"/>
      <c r="X1464" s="53"/>
      <c r="Y1464" s="53"/>
      <c r="Z1464" s="52"/>
      <c r="AA1464" s="52"/>
      <c r="AB1464" s="52"/>
      <c r="AC1464" s="52"/>
      <c r="AD1464" s="53"/>
      <c r="AE1464" s="53"/>
      <c r="AF1464" s="53"/>
    </row>
    <row r="1465">
      <c r="G1465" s="55"/>
      <c r="N1465" s="6"/>
      <c r="O1465" s="53"/>
      <c r="P1465" s="53"/>
      <c r="Q1465" s="53"/>
      <c r="R1465" s="51"/>
      <c r="S1465" s="51"/>
      <c r="T1465" s="53"/>
      <c r="U1465" s="53"/>
      <c r="V1465" s="53"/>
      <c r="W1465" s="53"/>
      <c r="X1465" s="53"/>
      <c r="Y1465" s="53"/>
      <c r="Z1465" s="52"/>
      <c r="AA1465" s="52"/>
      <c r="AB1465" s="52"/>
      <c r="AC1465" s="52"/>
      <c r="AD1465" s="53"/>
      <c r="AE1465" s="53"/>
      <c r="AF1465" s="53"/>
    </row>
    <row r="1466">
      <c r="G1466" s="55"/>
      <c r="N1466" s="6"/>
      <c r="O1466" s="53"/>
      <c r="P1466" s="53"/>
      <c r="Q1466" s="53"/>
      <c r="R1466" s="51"/>
      <c r="S1466" s="51"/>
      <c r="T1466" s="53"/>
      <c r="U1466" s="53"/>
      <c r="V1466" s="53"/>
      <c r="W1466" s="53"/>
      <c r="X1466" s="53"/>
      <c r="Y1466" s="53"/>
      <c r="Z1466" s="52"/>
      <c r="AA1466" s="52"/>
      <c r="AB1466" s="52"/>
      <c r="AC1466" s="52"/>
      <c r="AD1466" s="53"/>
      <c r="AE1466" s="53"/>
      <c r="AF1466" s="53"/>
    </row>
    <row r="1467">
      <c r="G1467" s="55"/>
      <c r="N1467" s="6"/>
      <c r="O1467" s="53"/>
      <c r="P1467" s="53"/>
      <c r="Q1467" s="53"/>
      <c r="R1467" s="51"/>
      <c r="S1467" s="51"/>
      <c r="T1467" s="53"/>
      <c r="U1467" s="53"/>
      <c r="V1467" s="53"/>
      <c r="W1467" s="53"/>
      <c r="X1467" s="53"/>
      <c r="Y1467" s="53"/>
      <c r="Z1467" s="52"/>
      <c r="AA1467" s="52"/>
      <c r="AB1467" s="52"/>
      <c r="AC1467" s="52"/>
      <c r="AD1467" s="53"/>
      <c r="AE1467" s="53"/>
      <c r="AF1467" s="53"/>
    </row>
    <row r="1468">
      <c r="G1468" s="55"/>
      <c r="N1468" s="6"/>
      <c r="O1468" s="53"/>
      <c r="P1468" s="53"/>
      <c r="Q1468" s="53"/>
      <c r="R1468" s="51"/>
      <c r="S1468" s="51"/>
      <c r="T1468" s="53"/>
      <c r="U1468" s="53"/>
      <c r="V1468" s="53"/>
      <c r="W1468" s="53"/>
      <c r="X1468" s="53"/>
      <c r="Y1468" s="53"/>
      <c r="Z1468" s="52"/>
      <c r="AA1468" s="52"/>
      <c r="AB1468" s="52"/>
      <c r="AC1468" s="52"/>
      <c r="AD1468" s="53"/>
      <c r="AE1468" s="53"/>
      <c r="AF1468" s="53"/>
    </row>
    <row r="1469">
      <c r="G1469" s="55"/>
      <c r="N1469" s="6"/>
      <c r="O1469" s="53"/>
      <c r="P1469" s="53"/>
      <c r="Q1469" s="53"/>
      <c r="R1469" s="51"/>
      <c r="S1469" s="51"/>
      <c r="T1469" s="53"/>
      <c r="U1469" s="53"/>
      <c r="V1469" s="53"/>
      <c r="W1469" s="53"/>
      <c r="X1469" s="53"/>
      <c r="Y1469" s="53"/>
      <c r="Z1469" s="52"/>
      <c r="AA1469" s="52"/>
      <c r="AB1469" s="52"/>
      <c r="AC1469" s="52"/>
      <c r="AD1469" s="53"/>
      <c r="AE1469" s="53"/>
      <c r="AF1469" s="53"/>
    </row>
    <row r="1470">
      <c r="G1470" s="55"/>
      <c r="N1470" s="6"/>
      <c r="O1470" s="53"/>
      <c r="P1470" s="53"/>
      <c r="Q1470" s="53"/>
      <c r="R1470" s="51"/>
      <c r="S1470" s="51"/>
      <c r="T1470" s="53"/>
      <c r="U1470" s="53"/>
      <c r="V1470" s="53"/>
      <c r="W1470" s="53"/>
      <c r="X1470" s="53"/>
      <c r="Y1470" s="53"/>
      <c r="Z1470" s="52"/>
      <c r="AA1470" s="52"/>
      <c r="AB1470" s="52"/>
      <c r="AC1470" s="52"/>
      <c r="AD1470" s="53"/>
      <c r="AE1470" s="53"/>
      <c r="AF1470" s="53"/>
    </row>
    <row r="1471">
      <c r="G1471" s="55"/>
      <c r="N1471" s="6"/>
      <c r="O1471" s="53"/>
      <c r="P1471" s="53"/>
      <c r="Q1471" s="53"/>
      <c r="R1471" s="51"/>
      <c r="S1471" s="51"/>
      <c r="T1471" s="53"/>
      <c r="U1471" s="53"/>
      <c r="V1471" s="53"/>
      <c r="W1471" s="53"/>
      <c r="X1471" s="53"/>
      <c r="Y1471" s="53"/>
      <c r="Z1471" s="52"/>
      <c r="AA1471" s="52"/>
      <c r="AB1471" s="52"/>
      <c r="AC1471" s="52"/>
      <c r="AD1471" s="53"/>
      <c r="AE1471" s="53"/>
      <c r="AF1471" s="53"/>
    </row>
    <row r="1472">
      <c r="G1472" s="55"/>
      <c r="N1472" s="6"/>
      <c r="O1472" s="53"/>
      <c r="P1472" s="53"/>
      <c r="Q1472" s="53"/>
      <c r="R1472" s="51"/>
      <c r="S1472" s="51"/>
      <c r="T1472" s="53"/>
      <c r="U1472" s="53"/>
      <c r="V1472" s="53"/>
      <c r="W1472" s="53"/>
      <c r="X1472" s="53"/>
      <c r="Y1472" s="53"/>
      <c r="Z1472" s="52"/>
      <c r="AA1472" s="52"/>
      <c r="AB1472" s="52"/>
      <c r="AC1472" s="52"/>
      <c r="AD1472" s="53"/>
      <c r="AE1472" s="53"/>
      <c r="AF1472" s="53"/>
    </row>
    <row r="1473">
      <c r="G1473" s="55"/>
      <c r="N1473" s="6"/>
      <c r="O1473" s="53"/>
      <c r="P1473" s="53"/>
      <c r="Q1473" s="53"/>
      <c r="R1473" s="51"/>
      <c r="S1473" s="51"/>
      <c r="T1473" s="53"/>
      <c r="U1473" s="53"/>
      <c r="V1473" s="53"/>
      <c r="W1473" s="53"/>
      <c r="X1473" s="53"/>
      <c r="Y1473" s="53"/>
      <c r="Z1473" s="52"/>
      <c r="AA1473" s="52"/>
      <c r="AB1473" s="52"/>
      <c r="AC1473" s="52"/>
      <c r="AD1473" s="53"/>
      <c r="AE1473" s="53"/>
      <c r="AF1473" s="53"/>
    </row>
    <row r="1474">
      <c r="G1474" s="55"/>
      <c r="N1474" s="6"/>
      <c r="O1474" s="53"/>
      <c r="P1474" s="53"/>
      <c r="Q1474" s="53"/>
      <c r="R1474" s="51"/>
      <c r="S1474" s="51"/>
      <c r="T1474" s="53"/>
      <c r="U1474" s="53"/>
      <c r="V1474" s="53"/>
      <c r="W1474" s="53"/>
      <c r="X1474" s="53"/>
      <c r="Y1474" s="53"/>
      <c r="Z1474" s="52"/>
      <c r="AA1474" s="52"/>
      <c r="AB1474" s="52"/>
      <c r="AC1474" s="52"/>
      <c r="AD1474" s="53"/>
      <c r="AE1474" s="53"/>
      <c r="AF1474" s="53"/>
    </row>
    <row r="1475">
      <c r="G1475" s="55"/>
      <c r="N1475" s="6"/>
      <c r="O1475" s="53"/>
      <c r="P1475" s="53"/>
      <c r="Q1475" s="53"/>
      <c r="R1475" s="51"/>
      <c r="S1475" s="51"/>
      <c r="T1475" s="53"/>
      <c r="U1475" s="53"/>
      <c r="V1475" s="53"/>
      <c r="W1475" s="53"/>
      <c r="X1475" s="53"/>
      <c r="Y1475" s="53"/>
      <c r="Z1475" s="52"/>
      <c r="AA1475" s="52"/>
      <c r="AB1475" s="52"/>
      <c r="AC1475" s="52"/>
      <c r="AD1475" s="53"/>
      <c r="AE1475" s="53"/>
      <c r="AF1475" s="53"/>
    </row>
    <row r="1476">
      <c r="G1476" s="55"/>
      <c r="N1476" s="6"/>
      <c r="O1476" s="53"/>
      <c r="P1476" s="53"/>
      <c r="Q1476" s="53"/>
      <c r="R1476" s="51"/>
      <c r="S1476" s="51"/>
      <c r="T1476" s="53"/>
      <c r="U1476" s="53"/>
      <c r="V1476" s="53"/>
      <c r="W1476" s="53"/>
      <c r="X1476" s="53"/>
      <c r="Y1476" s="53"/>
      <c r="Z1476" s="52"/>
      <c r="AA1476" s="52"/>
      <c r="AB1476" s="52"/>
      <c r="AC1476" s="52"/>
      <c r="AD1476" s="53"/>
      <c r="AE1476" s="53"/>
      <c r="AF1476" s="53"/>
    </row>
    <row r="1477">
      <c r="G1477" s="55"/>
      <c r="N1477" s="6"/>
      <c r="O1477" s="53"/>
      <c r="P1477" s="53"/>
      <c r="Q1477" s="53"/>
      <c r="R1477" s="51"/>
      <c r="S1477" s="51"/>
      <c r="T1477" s="53"/>
      <c r="U1477" s="53"/>
      <c r="V1477" s="53"/>
      <c r="W1477" s="53"/>
      <c r="X1477" s="53"/>
      <c r="Y1477" s="53"/>
      <c r="Z1477" s="52"/>
      <c r="AA1477" s="52"/>
      <c r="AB1477" s="52"/>
      <c r="AC1477" s="52"/>
      <c r="AD1477" s="53"/>
      <c r="AE1477" s="53"/>
      <c r="AF1477" s="53"/>
    </row>
    <row r="1478">
      <c r="G1478" s="55"/>
      <c r="N1478" s="6"/>
      <c r="O1478" s="53"/>
      <c r="P1478" s="53"/>
      <c r="Q1478" s="53"/>
      <c r="R1478" s="51"/>
      <c r="S1478" s="51"/>
      <c r="T1478" s="53"/>
      <c r="U1478" s="53"/>
      <c r="V1478" s="53"/>
      <c r="W1478" s="53"/>
      <c r="X1478" s="53"/>
      <c r="Y1478" s="53"/>
      <c r="Z1478" s="52"/>
      <c r="AA1478" s="52"/>
      <c r="AB1478" s="52"/>
      <c r="AC1478" s="52"/>
      <c r="AD1478" s="53"/>
      <c r="AE1478" s="53"/>
      <c r="AF1478" s="53"/>
    </row>
    <row r="1479">
      <c r="G1479" s="55"/>
      <c r="N1479" s="6"/>
      <c r="O1479" s="53"/>
      <c r="P1479" s="53"/>
      <c r="Q1479" s="53"/>
      <c r="R1479" s="51"/>
      <c r="S1479" s="51"/>
      <c r="T1479" s="53"/>
      <c r="U1479" s="53"/>
      <c r="V1479" s="53"/>
      <c r="W1479" s="53"/>
      <c r="X1479" s="53"/>
      <c r="Y1479" s="53"/>
      <c r="Z1479" s="52"/>
      <c r="AA1479" s="52"/>
      <c r="AB1479" s="52"/>
      <c r="AC1479" s="52"/>
      <c r="AD1479" s="53"/>
      <c r="AE1479" s="53"/>
      <c r="AF1479" s="53"/>
    </row>
    <row r="1480">
      <c r="G1480" s="55"/>
      <c r="N1480" s="6"/>
      <c r="O1480" s="53"/>
      <c r="P1480" s="53"/>
      <c r="Q1480" s="53"/>
      <c r="R1480" s="51"/>
      <c r="S1480" s="51"/>
      <c r="T1480" s="53"/>
      <c r="U1480" s="53"/>
      <c r="V1480" s="53"/>
      <c r="W1480" s="53"/>
      <c r="X1480" s="53"/>
      <c r="Y1480" s="53"/>
      <c r="Z1480" s="52"/>
      <c r="AA1480" s="52"/>
      <c r="AB1480" s="52"/>
      <c r="AC1480" s="52"/>
      <c r="AD1480" s="53"/>
      <c r="AE1480" s="53"/>
      <c r="AF1480" s="53"/>
    </row>
    <row r="1481">
      <c r="G1481" s="55"/>
      <c r="N1481" s="6"/>
      <c r="O1481" s="53"/>
      <c r="P1481" s="53"/>
      <c r="Q1481" s="53"/>
      <c r="R1481" s="51"/>
      <c r="S1481" s="51"/>
      <c r="T1481" s="53"/>
      <c r="U1481" s="53"/>
      <c r="V1481" s="53"/>
      <c r="W1481" s="53"/>
      <c r="X1481" s="53"/>
      <c r="Y1481" s="53"/>
      <c r="Z1481" s="52"/>
      <c r="AA1481" s="52"/>
      <c r="AB1481" s="52"/>
      <c r="AC1481" s="52"/>
      <c r="AD1481" s="53"/>
      <c r="AE1481" s="53"/>
      <c r="AF1481" s="53"/>
    </row>
    <row r="1482">
      <c r="G1482" s="55"/>
      <c r="N1482" s="6"/>
      <c r="O1482" s="53"/>
      <c r="P1482" s="53"/>
      <c r="Q1482" s="53"/>
      <c r="R1482" s="51"/>
      <c r="S1482" s="51"/>
      <c r="T1482" s="53"/>
      <c r="U1482" s="53"/>
      <c r="V1482" s="53"/>
      <c r="W1482" s="53"/>
      <c r="X1482" s="53"/>
      <c r="Y1482" s="53"/>
      <c r="Z1482" s="52"/>
      <c r="AA1482" s="52"/>
      <c r="AB1482" s="52"/>
      <c r="AC1482" s="52"/>
      <c r="AD1482" s="53"/>
      <c r="AE1482" s="53"/>
      <c r="AF1482" s="53"/>
    </row>
    <row r="1483">
      <c r="G1483" s="55"/>
      <c r="N1483" s="6"/>
      <c r="O1483" s="53"/>
      <c r="P1483" s="53"/>
      <c r="Q1483" s="53"/>
      <c r="R1483" s="51"/>
      <c r="S1483" s="51"/>
      <c r="T1483" s="53"/>
      <c r="U1483" s="53"/>
      <c r="V1483" s="53"/>
      <c r="W1483" s="53"/>
      <c r="X1483" s="53"/>
      <c r="Y1483" s="53"/>
      <c r="Z1483" s="52"/>
      <c r="AA1483" s="52"/>
      <c r="AB1483" s="52"/>
      <c r="AC1483" s="52"/>
      <c r="AD1483" s="53"/>
      <c r="AE1483" s="53"/>
      <c r="AF1483" s="53"/>
    </row>
    <row r="1484">
      <c r="G1484" s="55"/>
      <c r="N1484" s="6"/>
      <c r="O1484" s="53"/>
      <c r="P1484" s="53"/>
      <c r="Q1484" s="53"/>
      <c r="R1484" s="51"/>
      <c r="S1484" s="51"/>
      <c r="T1484" s="53"/>
      <c r="U1484" s="53"/>
      <c r="V1484" s="53"/>
      <c r="W1484" s="53"/>
      <c r="X1484" s="53"/>
      <c r="Y1484" s="53"/>
      <c r="Z1484" s="52"/>
      <c r="AA1484" s="52"/>
      <c r="AB1484" s="52"/>
      <c r="AC1484" s="52"/>
      <c r="AD1484" s="53"/>
      <c r="AE1484" s="53"/>
      <c r="AF1484" s="53"/>
    </row>
    <row r="1485">
      <c r="G1485" s="55"/>
      <c r="N1485" s="6"/>
      <c r="O1485" s="53"/>
      <c r="P1485" s="53"/>
      <c r="Q1485" s="53"/>
      <c r="R1485" s="51"/>
      <c r="S1485" s="51"/>
      <c r="T1485" s="53"/>
      <c r="U1485" s="53"/>
      <c r="V1485" s="53"/>
      <c r="W1485" s="53"/>
      <c r="X1485" s="53"/>
      <c r="Y1485" s="53"/>
      <c r="Z1485" s="52"/>
      <c r="AA1485" s="52"/>
      <c r="AB1485" s="52"/>
      <c r="AC1485" s="52"/>
      <c r="AD1485" s="53"/>
      <c r="AE1485" s="53"/>
      <c r="AF1485" s="53"/>
    </row>
    <row r="1486">
      <c r="G1486" s="55"/>
      <c r="N1486" s="6"/>
      <c r="O1486" s="53"/>
      <c r="P1486" s="53"/>
      <c r="Q1486" s="53"/>
      <c r="R1486" s="51"/>
      <c r="S1486" s="51"/>
      <c r="T1486" s="53"/>
      <c r="U1486" s="53"/>
      <c r="V1486" s="53"/>
      <c r="W1486" s="53"/>
      <c r="X1486" s="53"/>
      <c r="Y1486" s="53"/>
      <c r="Z1486" s="52"/>
      <c r="AA1486" s="52"/>
      <c r="AB1486" s="52"/>
      <c r="AC1486" s="52"/>
      <c r="AD1486" s="53"/>
      <c r="AE1486" s="53"/>
      <c r="AF1486" s="53"/>
    </row>
    <row r="1487">
      <c r="G1487" s="55"/>
      <c r="N1487" s="6"/>
      <c r="O1487" s="53"/>
      <c r="P1487" s="53"/>
      <c r="Q1487" s="53"/>
      <c r="R1487" s="51"/>
      <c r="S1487" s="51"/>
      <c r="T1487" s="53"/>
      <c r="U1487" s="53"/>
      <c r="V1487" s="53"/>
      <c r="W1487" s="53"/>
      <c r="X1487" s="53"/>
      <c r="Y1487" s="53"/>
      <c r="Z1487" s="52"/>
      <c r="AA1487" s="52"/>
      <c r="AB1487" s="52"/>
      <c r="AC1487" s="52"/>
      <c r="AD1487" s="53"/>
      <c r="AE1487" s="53"/>
      <c r="AF1487" s="53"/>
    </row>
    <row r="1488">
      <c r="G1488" s="55"/>
      <c r="N1488" s="6"/>
      <c r="O1488" s="53"/>
      <c r="P1488" s="53"/>
      <c r="Q1488" s="53"/>
      <c r="R1488" s="51"/>
      <c r="S1488" s="51"/>
      <c r="T1488" s="53"/>
      <c r="U1488" s="53"/>
      <c r="V1488" s="53"/>
      <c r="W1488" s="53"/>
      <c r="X1488" s="53"/>
      <c r="Y1488" s="53"/>
      <c r="Z1488" s="52"/>
      <c r="AA1488" s="52"/>
      <c r="AB1488" s="52"/>
      <c r="AC1488" s="52"/>
      <c r="AD1488" s="53"/>
      <c r="AE1488" s="53"/>
      <c r="AF1488" s="53"/>
    </row>
    <row r="1489">
      <c r="G1489" s="55"/>
      <c r="N1489" s="6"/>
      <c r="O1489" s="53"/>
      <c r="P1489" s="53"/>
      <c r="Q1489" s="53"/>
      <c r="R1489" s="51"/>
      <c r="S1489" s="51"/>
      <c r="T1489" s="53"/>
      <c r="U1489" s="53"/>
      <c r="V1489" s="53"/>
      <c r="W1489" s="53"/>
      <c r="X1489" s="53"/>
      <c r="Y1489" s="53"/>
      <c r="Z1489" s="52"/>
      <c r="AA1489" s="52"/>
      <c r="AB1489" s="52"/>
      <c r="AC1489" s="52"/>
      <c r="AD1489" s="53"/>
      <c r="AE1489" s="53"/>
      <c r="AF1489" s="53"/>
    </row>
    <row r="1490">
      <c r="G1490" s="55"/>
      <c r="N1490" s="6"/>
      <c r="O1490" s="53"/>
      <c r="P1490" s="53"/>
      <c r="Q1490" s="53"/>
      <c r="R1490" s="51"/>
      <c r="S1490" s="51"/>
      <c r="T1490" s="53"/>
      <c r="U1490" s="53"/>
      <c r="V1490" s="53"/>
      <c r="W1490" s="53"/>
      <c r="X1490" s="53"/>
      <c r="Y1490" s="53"/>
      <c r="Z1490" s="52"/>
      <c r="AA1490" s="52"/>
      <c r="AB1490" s="52"/>
      <c r="AC1490" s="52"/>
      <c r="AD1490" s="53"/>
      <c r="AE1490" s="53"/>
      <c r="AF1490" s="53"/>
    </row>
    <row r="1491">
      <c r="G1491" s="55"/>
      <c r="N1491" s="6"/>
      <c r="O1491" s="53"/>
      <c r="P1491" s="53"/>
      <c r="Q1491" s="53"/>
      <c r="R1491" s="51"/>
      <c r="S1491" s="51"/>
      <c r="T1491" s="53"/>
      <c r="U1491" s="53"/>
      <c r="V1491" s="53"/>
      <c r="W1491" s="53"/>
      <c r="X1491" s="53"/>
      <c r="Y1491" s="53"/>
      <c r="Z1491" s="52"/>
      <c r="AA1491" s="52"/>
      <c r="AB1491" s="52"/>
      <c r="AC1491" s="52"/>
      <c r="AD1491" s="53"/>
      <c r="AE1491" s="53"/>
      <c r="AF1491" s="53"/>
    </row>
    <row r="1492">
      <c r="G1492" s="55"/>
      <c r="N1492" s="6"/>
      <c r="O1492" s="53"/>
      <c r="P1492" s="53"/>
      <c r="Q1492" s="53"/>
      <c r="R1492" s="51"/>
      <c r="S1492" s="51"/>
      <c r="T1492" s="53"/>
      <c r="U1492" s="53"/>
      <c r="V1492" s="53"/>
      <c r="W1492" s="53"/>
      <c r="X1492" s="53"/>
      <c r="Y1492" s="53"/>
      <c r="Z1492" s="52"/>
      <c r="AA1492" s="52"/>
      <c r="AB1492" s="52"/>
      <c r="AC1492" s="52"/>
      <c r="AD1492" s="53"/>
      <c r="AE1492" s="53"/>
      <c r="AF1492" s="53"/>
    </row>
    <row r="1493">
      <c r="G1493" s="55"/>
      <c r="N1493" s="6"/>
      <c r="O1493" s="53"/>
      <c r="P1493" s="53"/>
      <c r="Q1493" s="53"/>
      <c r="R1493" s="51"/>
      <c r="S1493" s="51"/>
      <c r="T1493" s="53"/>
      <c r="U1493" s="53"/>
      <c r="V1493" s="53"/>
      <c r="W1493" s="53"/>
      <c r="X1493" s="53"/>
      <c r="Y1493" s="53"/>
      <c r="Z1493" s="52"/>
      <c r="AA1493" s="52"/>
      <c r="AB1493" s="52"/>
      <c r="AC1493" s="52"/>
      <c r="AD1493" s="53"/>
      <c r="AE1493" s="53"/>
      <c r="AF1493" s="53"/>
    </row>
    <row r="1494">
      <c r="G1494" s="55"/>
      <c r="N1494" s="6"/>
      <c r="O1494" s="53"/>
      <c r="P1494" s="53"/>
      <c r="Q1494" s="53"/>
      <c r="R1494" s="51"/>
      <c r="S1494" s="51"/>
      <c r="T1494" s="53"/>
      <c r="U1494" s="53"/>
      <c r="V1494" s="53"/>
      <c r="W1494" s="53"/>
      <c r="X1494" s="53"/>
      <c r="Y1494" s="53"/>
      <c r="Z1494" s="52"/>
      <c r="AA1494" s="52"/>
      <c r="AB1494" s="52"/>
      <c r="AC1494" s="52"/>
      <c r="AD1494" s="53"/>
      <c r="AE1494" s="53"/>
      <c r="AF1494" s="53"/>
    </row>
    <row r="1495">
      <c r="G1495" s="55"/>
      <c r="N1495" s="6"/>
      <c r="O1495" s="53"/>
      <c r="P1495" s="53"/>
      <c r="Q1495" s="53"/>
      <c r="R1495" s="51"/>
      <c r="S1495" s="51"/>
      <c r="T1495" s="53"/>
      <c r="U1495" s="53"/>
      <c r="V1495" s="53"/>
      <c r="W1495" s="53"/>
      <c r="X1495" s="53"/>
      <c r="Y1495" s="53"/>
      <c r="Z1495" s="52"/>
      <c r="AA1495" s="52"/>
      <c r="AB1495" s="52"/>
      <c r="AC1495" s="52"/>
      <c r="AD1495" s="53"/>
      <c r="AE1495" s="53"/>
      <c r="AF1495" s="53"/>
    </row>
    <row r="1496">
      <c r="G1496" s="55"/>
      <c r="N1496" s="6"/>
      <c r="O1496" s="53"/>
      <c r="P1496" s="53"/>
      <c r="Q1496" s="53"/>
      <c r="R1496" s="51"/>
      <c r="S1496" s="51"/>
      <c r="T1496" s="53"/>
      <c r="U1496" s="53"/>
      <c r="V1496" s="53"/>
      <c r="W1496" s="53"/>
      <c r="X1496" s="53"/>
      <c r="Y1496" s="53"/>
      <c r="Z1496" s="52"/>
      <c r="AA1496" s="52"/>
      <c r="AB1496" s="52"/>
      <c r="AC1496" s="52"/>
      <c r="AD1496" s="53"/>
      <c r="AE1496" s="53"/>
      <c r="AF1496" s="53"/>
    </row>
    <row r="1497">
      <c r="G1497" s="55"/>
      <c r="N1497" s="6"/>
      <c r="O1497" s="53"/>
      <c r="P1497" s="53"/>
      <c r="Q1497" s="53"/>
      <c r="R1497" s="51"/>
      <c r="S1497" s="51"/>
      <c r="T1497" s="53"/>
      <c r="U1497" s="53"/>
      <c r="V1497" s="53"/>
      <c r="W1497" s="53"/>
      <c r="X1497" s="53"/>
      <c r="Y1497" s="53"/>
      <c r="Z1497" s="52"/>
      <c r="AA1497" s="52"/>
      <c r="AB1497" s="52"/>
      <c r="AC1497" s="52"/>
      <c r="AD1497" s="53"/>
      <c r="AE1497" s="53"/>
      <c r="AF1497" s="53"/>
    </row>
    <row r="1498">
      <c r="G1498" s="55"/>
      <c r="N1498" s="6"/>
      <c r="O1498" s="53"/>
      <c r="P1498" s="53"/>
      <c r="Q1498" s="53"/>
      <c r="R1498" s="51"/>
      <c r="S1498" s="51"/>
      <c r="T1498" s="53"/>
      <c r="U1498" s="53"/>
      <c r="V1498" s="53"/>
      <c r="W1498" s="53"/>
      <c r="X1498" s="53"/>
      <c r="Y1498" s="53"/>
      <c r="Z1498" s="52"/>
      <c r="AA1498" s="52"/>
      <c r="AB1498" s="52"/>
      <c r="AC1498" s="52"/>
      <c r="AD1498" s="53"/>
      <c r="AE1498" s="53"/>
      <c r="AF1498" s="53"/>
    </row>
    <row r="1499">
      <c r="G1499" s="55"/>
      <c r="N1499" s="6"/>
      <c r="O1499" s="53"/>
      <c r="P1499" s="53"/>
      <c r="Q1499" s="53"/>
      <c r="R1499" s="51"/>
      <c r="S1499" s="51"/>
      <c r="T1499" s="53"/>
      <c r="U1499" s="53"/>
      <c r="V1499" s="53"/>
      <c r="W1499" s="53"/>
      <c r="X1499" s="53"/>
      <c r="Y1499" s="53"/>
      <c r="Z1499" s="52"/>
      <c r="AA1499" s="52"/>
      <c r="AB1499" s="52"/>
      <c r="AC1499" s="52"/>
      <c r="AD1499" s="53"/>
      <c r="AE1499" s="53"/>
      <c r="AF1499" s="53"/>
    </row>
    <row r="1500">
      <c r="G1500" s="55"/>
      <c r="N1500" s="6"/>
      <c r="O1500" s="53"/>
      <c r="P1500" s="53"/>
      <c r="Q1500" s="53"/>
      <c r="R1500" s="51"/>
      <c r="S1500" s="51"/>
      <c r="T1500" s="53"/>
      <c r="U1500" s="53"/>
      <c r="V1500" s="53"/>
      <c r="W1500" s="53"/>
      <c r="X1500" s="53"/>
      <c r="Y1500" s="53"/>
      <c r="Z1500" s="52"/>
      <c r="AA1500" s="52"/>
      <c r="AB1500" s="52"/>
      <c r="AC1500" s="52"/>
      <c r="AD1500" s="53"/>
      <c r="AE1500" s="53"/>
      <c r="AF1500" s="53"/>
    </row>
    <row r="1501">
      <c r="G1501" s="55"/>
      <c r="N1501" s="6"/>
      <c r="O1501" s="53"/>
      <c r="P1501" s="53"/>
      <c r="Q1501" s="53"/>
      <c r="R1501" s="51"/>
      <c r="S1501" s="51"/>
      <c r="T1501" s="53"/>
      <c r="U1501" s="53"/>
      <c r="V1501" s="53"/>
      <c r="W1501" s="53"/>
      <c r="X1501" s="53"/>
      <c r="Y1501" s="53"/>
      <c r="Z1501" s="52"/>
      <c r="AA1501" s="52"/>
      <c r="AB1501" s="52"/>
      <c r="AC1501" s="52"/>
      <c r="AD1501" s="53"/>
      <c r="AE1501" s="53"/>
      <c r="AF1501" s="53"/>
    </row>
    <row r="1502">
      <c r="G1502" s="55"/>
      <c r="N1502" s="6"/>
      <c r="O1502" s="53"/>
      <c r="P1502" s="53"/>
      <c r="Q1502" s="53"/>
      <c r="R1502" s="51"/>
      <c r="S1502" s="51"/>
      <c r="T1502" s="53"/>
      <c r="U1502" s="53"/>
      <c r="V1502" s="53"/>
      <c r="W1502" s="53"/>
      <c r="X1502" s="53"/>
      <c r="Y1502" s="53"/>
      <c r="Z1502" s="52"/>
      <c r="AA1502" s="52"/>
      <c r="AB1502" s="52"/>
      <c r="AC1502" s="52"/>
      <c r="AD1502" s="53"/>
      <c r="AE1502" s="53"/>
      <c r="AF1502" s="53"/>
    </row>
    <row r="1503">
      <c r="G1503" s="55"/>
      <c r="N1503" s="6"/>
      <c r="O1503" s="53"/>
      <c r="P1503" s="53"/>
      <c r="Q1503" s="53"/>
      <c r="R1503" s="51"/>
      <c r="S1503" s="51"/>
      <c r="T1503" s="53"/>
      <c r="U1503" s="53"/>
      <c r="V1503" s="53"/>
      <c r="W1503" s="53"/>
      <c r="X1503" s="53"/>
      <c r="Y1503" s="53"/>
      <c r="Z1503" s="52"/>
      <c r="AA1503" s="52"/>
      <c r="AB1503" s="52"/>
      <c r="AC1503" s="52"/>
      <c r="AD1503" s="53"/>
      <c r="AE1503" s="53"/>
      <c r="AF1503" s="53"/>
    </row>
    <row r="1504">
      <c r="G1504" s="55"/>
      <c r="N1504" s="6"/>
      <c r="O1504" s="53"/>
      <c r="P1504" s="53"/>
      <c r="Q1504" s="53"/>
      <c r="R1504" s="51"/>
      <c r="S1504" s="51"/>
      <c r="T1504" s="53"/>
      <c r="U1504" s="53"/>
      <c r="V1504" s="53"/>
      <c r="W1504" s="53"/>
      <c r="X1504" s="53"/>
      <c r="Y1504" s="53"/>
      <c r="Z1504" s="52"/>
      <c r="AA1504" s="52"/>
      <c r="AB1504" s="52"/>
      <c r="AC1504" s="52"/>
      <c r="AD1504" s="53"/>
      <c r="AE1504" s="53"/>
      <c r="AF1504" s="53"/>
    </row>
    <row r="1505">
      <c r="G1505" s="55"/>
      <c r="N1505" s="6"/>
      <c r="O1505" s="53"/>
      <c r="P1505" s="53"/>
      <c r="Q1505" s="53"/>
      <c r="R1505" s="51"/>
      <c r="S1505" s="51"/>
      <c r="T1505" s="53"/>
      <c r="U1505" s="53"/>
      <c r="V1505" s="53"/>
      <c r="W1505" s="53"/>
      <c r="X1505" s="53"/>
      <c r="Y1505" s="53"/>
      <c r="Z1505" s="52"/>
      <c r="AA1505" s="52"/>
      <c r="AB1505" s="52"/>
      <c r="AC1505" s="52"/>
      <c r="AD1505" s="53"/>
      <c r="AE1505" s="53"/>
      <c r="AF1505" s="53"/>
    </row>
    <row r="1506">
      <c r="G1506" s="55"/>
      <c r="N1506" s="6"/>
      <c r="O1506" s="53"/>
      <c r="P1506" s="53"/>
      <c r="Q1506" s="53"/>
      <c r="R1506" s="51"/>
      <c r="S1506" s="51"/>
      <c r="T1506" s="53"/>
      <c r="U1506" s="53"/>
      <c r="V1506" s="53"/>
      <c r="W1506" s="53"/>
      <c r="X1506" s="53"/>
      <c r="Y1506" s="53"/>
      <c r="Z1506" s="52"/>
      <c r="AA1506" s="52"/>
      <c r="AB1506" s="52"/>
      <c r="AC1506" s="52"/>
      <c r="AD1506" s="53"/>
      <c r="AE1506" s="53"/>
      <c r="AF1506" s="53"/>
    </row>
    <row r="1507">
      <c r="G1507" s="55"/>
      <c r="N1507" s="6"/>
      <c r="O1507" s="53"/>
      <c r="P1507" s="53"/>
      <c r="Q1507" s="53"/>
      <c r="R1507" s="51"/>
      <c r="S1507" s="51"/>
      <c r="T1507" s="53"/>
      <c r="U1507" s="53"/>
      <c r="V1507" s="53"/>
      <c r="W1507" s="53"/>
      <c r="X1507" s="53"/>
      <c r="Y1507" s="53"/>
      <c r="Z1507" s="52"/>
      <c r="AA1507" s="52"/>
      <c r="AB1507" s="52"/>
      <c r="AC1507" s="52"/>
      <c r="AD1507" s="53"/>
      <c r="AE1507" s="53"/>
      <c r="AF1507" s="53"/>
    </row>
    <row r="1508">
      <c r="G1508" s="55"/>
      <c r="N1508" s="6"/>
      <c r="O1508" s="53"/>
      <c r="P1508" s="53"/>
      <c r="Q1508" s="53"/>
      <c r="R1508" s="51"/>
      <c r="S1508" s="51"/>
      <c r="T1508" s="53"/>
      <c r="U1508" s="53"/>
      <c r="V1508" s="53"/>
      <c r="W1508" s="53"/>
      <c r="X1508" s="53"/>
      <c r="Y1508" s="53"/>
      <c r="Z1508" s="52"/>
      <c r="AA1508" s="52"/>
      <c r="AB1508" s="52"/>
      <c r="AC1508" s="52"/>
      <c r="AD1508" s="53"/>
      <c r="AE1508" s="53"/>
      <c r="AF1508" s="53"/>
    </row>
    <row r="1509">
      <c r="G1509" s="55"/>
      <c r="N1509" s="6"/>
      <c r="O1509" s="53"/>
      <c r="P1509" s="53"/>
      <c r="Q1509" s="53"/>
      <c r="R1509" s="51"/>
      <c r="S1509" s="51"/>
      <c r="T1509" s="53"/>
      <c r="U1509" s="53"/>
      <c r="V1509" s="53"/>
      <c r="W1509" s="53"/>
      <c r="X1509" s="53"/>
      <c r="Y1509" s="53"/>
      <c r="Z1509" s="52"/>
      <c r="AA1509" s="52"/>
      <c r="AB1509" s="52"/>
      <c r="AC1509" s="52"/>
      <c r="AD1509" s="53"/>
      <c r="AE1509" s="53"/>
      <c r="AF1509" s="53"/>
    </row>
    <row r="1510">
      <c r="G1510" s="55"/>
      <c r="N1510" s="6"/>
      <c r="O1510" s="53"/>
      <c r="P1510" s="53"/>
      <c r="Q1510" s="53"/>
      <c r="R1510" s="51"/>
      <c r="S1510" s="51"/>
      <c r="T1510" s="53"/>
      <c r="U1510" s="53"/>
      <c r="V1510" s="53"/>
      <c r="W1510" s="53"/>
      <c r="X1510" s="53"/>
      <c r="Y1510" s="53"/>
      <c r="Z1510" s="52"/>
      <c r="AA1510" s="52"/>
      <c r="AB1510" s="52"/>
      <c r="AC1510" s="52"/>
      <c r="AD1510" s="53"/>
      <c r="AE1510" s="53"/>
      <c r="AF1510" s="53"/>
    </row>
    <row r="1511">
      <c r="G1511" s="55"/>
      <c r="N1511" s="6"/>
      <c r="O1511" s="53"/>
      <c r="P1511" s="53"/>
      <c r="Q1511" s="53"/>
      <c r="R1511" s="51"/>
      <c r="S1511" s="51"/>
      <c r="T1511" s="53"/>
      <c r="U1511" s="53"/>
      <c r="V1511" s="53"/>
      <c r="W1511" s="53"/>
      <c r="X1511" s="53"/>
      <c r="Y1511" s="53"/>
      <c r="Z1511" s="52"/>
      <c r="AA1511" s="52"/>
      <c r="AB1511" s="52"/>
      <c r="AC1511" s="52"/>
      <c r="AD1511" s="53"/>
      <c r="AE1511" s="53"/>
      <c r="AF1511" s="53"/>
    </row>
    <row r="1512">
      <c r="G1512" s="55"/>
      <c r="N1512" s="6"/>
      <c r="O1512" s="53"/>
      <c r="P1512" s="53"/>
      <c r="Q1512" s="53"/>
      <c r="R1512" s="51"/>
      <c r="S1512" s="51"/>
      <c r="T1512" s="53"/>
      <c r="U1512" s="53"/>
      <c r="V1512" s="53"/>
      <c r="W1512" s="53"/>
      <c r="X1512" s="53"/>
      <c r="Y1512" s="53"/>
      <c r="Z1512" s="52"/>
      <c r="AA1512" s="52"/>
      <c r="AB1512" s="52"/>
      <c r="AC1512" s="52"/>
      <c r="AD1512" s="53"/>
      <c r="AE1512" s="53"/>
      <c r="AF1512" s="53"/>
    </row>
    <row r="1513">
      <c r="G1513" s="55"/>
      <c r="N1513" s="6"/>
      <c r="O1513" s="53"/>
      <c r="P1513" s="53"/>
      <c r="Q1513" s="53"/>
      <c r="R1513" s="51"/>
      <c r="S1513" s="51"/>
      <c r="T1513" s="53"/>
      <c r="U1513" s="53"/>
      <c r="V1513" s="53"/>
      <c r="W1513" s="53"/>
      <c r="X1513" s="53"/>
      <c r="Y1513" s="53"/>
      <c r="Z1513" s="52"/>
      <c r="AA1513" s="52"/>
      <c r="AB1513" s="52"/>
      <c r="AC1513" s="52"/>
      <c r="AD1513" s="53"/>
      <c r="AE1513" s="53"/>
      <c r="AF1513" s="53"/>
    </row>
    <row r="1514">
      <c r="G1514" s="55"/>
      <c r="N1514" s="6"/>
      <c r="O1514" s="53"/>
      <c r="P1514" s="53"/>
      <c r="Q1514" s="53"/>
      <c r="R1514" s="51"/>
      <c r="S1514" s="51"/>
      <c r="T1514" s="53"/>
      <c r="U1514" s="53"/>
      <c r="V1514" s="53"/>
      <c r="W1514" s="53"/>
      <c r="X1514" s="53"/>
      <c r="Y1514" s="53"/>
      <c r="Z1514" s="52"/>
      <c r="AA1514" s="52"/>
      <c r="AB1514" s="52"/>
      <c r="AC1514" s="52"/>
      <c r="AD1514" s="53"/>
      <c r="AE1514" s="53"/>
      <c r="AF1514" s="53"/>
    </row>
    <row r="1515">
      <c r="G1515" s="55"/>
      <c r="N1515" s="6"/>
      <c r="O1515" s="53"/>
      <c r="P1515" s="53"/>
      <c r="Q1515" s="53"/>
      <c r="R1515" s="51"/>
      <c r="S1515" s="51"/>
      <c r="T1515" s="53"/>
      <c r="U1515" s="53"/>
      <c r="V1515" s="53"/>
      <c r="W1515" s="53"/>
      <c r="X1515" s="53"/>
      <c r="Y1515" s="53"/>
      <c r="Z1515" s="52"/>
      <c r="AA1515" s="52"/>
      <c r="AB1515" s="52"/>
      <c r="AC1515" s="52"/>
      <c r="AD1515" s="53"/>
      <c r="AE1515" s="53"/>
      <c r="AF1515" s="53"/>
    </row>
    <row r="1516">
      <c r="G1516" s="55"/>
      <c r="N1516" s="6"/>
      <c r="O1516" s="53"/>
      <c r="P1516" s="53"/>
      <c r="Q1516" s="53"/>
      <c r="R1516" s="51"/>
      <c r="S1516" s="51"/>
      <c r="T1516" s="53"/>
      <c r="U1516" s="53"/>
      <c r="V1516" s="53"/>
      <c r="W1516" s="53"/>
      <c r="X1516" s="53"/>
      <c r="Y1516" s="53"/>
      <c r="Z1516" s="52"/>
      <c r="AA1516" s="52"/>
      <c r="AB1516" s="52"/>
      <c r="AC1516" s="52"/>
      <c r="AD1516" s="53"/>
      <c r="AE1516" s="53"/>
      <c r="AF1516" s="53"/>
    </row>
    <row r="1517">
      <c r="G1517" s="55"/>
      <c r="N1517" s="6"/>
      <c r="O1517" s="53"/>
      <c r="P1517" s="53"/>
      <c r="Q1517" s="53"/>
      <c r="R1517" s="51"/>
      <c r="S1517" s="51"/>
      <c r="T1517" s="53"/>
      <c r="U1517" s="53"/>
      <c r="V1517" s="53"/>
      <c r="W1517" s="53"/>
      <c r="X1517" s="53"/>
      <c r="Y1517" s="53"/>
      <c r="Z1517" s="52"/>
      <c r="AA1517" s="52"/>
      <c r="AB1517" s="52"/>
      <c r="AC1517" s="52"/>
      <c r="AD1517" s="53"/>
      <c r="AE1517" s="53"/>
      <c r="AF1517" s="53"/>
    </row>
    <row r="1518">
      <c r="G1518" s="55"/>
      <c r="N1518" s="6"/>
      <c r="O1518" s="53"/>
      <c r="P1518" s="53"/>
      <c r="Q1518" s="53"/>
      <c r="R1518" s="51"/>
      <c r="S1518" s="51"/>
      <c r="T1518" s="53"/>
      <c r="U1518" s="53"/>
      <c r="V1518" s="53"/>
      <c r="W1518" s="53"/>
      <c r="X1518" s="53"/>
      <c r="Y1518" s="53"/>
      <c r="Z1518" s="52"/>
      <c r="AA1518" s="52"/>
      <c r="AB1518" s="52"/>
      <c r="AC1518" s="52"/>
      <c r="AD1518" s="53"/>
      <c r="AE1518" s="53"/>
      <c r="AF1518" s="53"/>
    </row>
    <row r="1519">
      <c r="G1519" s="55"/>
      <c r="N1519" s="6"/>
      <c r="O1519" s="53"/>
      <c r="P1519" s="53"/>
      <c r="Q1519" s="53"/>
      <c r="R1519" s="51"/>
      <c r="S1519" s="51"/>
      <c r="T1519" s="53"/>
      <c r="U1519" s="53"/>
      <c r="V1519" s="53"/>
      <c r="W1519" s="53"/>
      <c r="X1519" s="53"/>
      <c r="Y1519" s="53"/>
      <c r="Z1519" s="52"/>
      <c r="AA1519" s="52"/>
      <c r="AB1519" s="52"/>
      <c r="AC1519" s="52"/>
      <c r="AD1519" s="53"/>
      <c r="AE1519" s="53"/>
      <c r="AF1519" s="53"/>
    </row>
    <row r="1520">
      <c r="G1520" s="55"/>
      <c r="N1520" s="6"/>
      <c r="O1520" s="53"/>
      <c r="P1520" s="53"/>
      <c r="Q1520" s="53"/>
      <c r="R1520" s="51"/>
      <c r="S1520" s="51"/>
      <c r="T1520" s="53"/>
      <c r="U1520" s="53"/>
      <c r="V1520" s="53"/>
      <c r="W1520" s="53"/>
      <c r="X1520" s="53"/>
      <c r="Y1520" s="53"/>
      <c r="Z1520" s="52"/>
      <c r="AA1520" s="52"/>
      <c r="AB1520" s="52"/>
      <c r="AC1520" s="52"/>
      <c r="AD1520" s="53"/>
      <c r="AE1520" s="53"/>
      <c r="AF1520" s="53"/>
    </row>
    <row r="1521">
      <c r="G1521" s="55"/>
      <c r="N1521" s="6"/>
      <c r="O1521" s="53"/>
      <c r="P1521" s="53"/>
      <c r="Q1521" s="53"/>
      <c r="R1521" s="51"/>
      <c r="S1521" s="51"/>
      <c r="T1521" s="53"/>
      <c r="U1521" s="53"/>
      <c r="V1521" s="53"/>
      <c r="W1521" s="53"/>
      <c r="X1521" s="53"/>
      <c r="Y1521" s="53"/>
      <c r="Z1521" s="52"/>
      <c r="AA1521" s="52"/>
      <c r="AB1521" s="52"/>
      <c r="AC1521" s="52"/>
      <c r="AD1521" s="53"/>
      <c r="AE1521" s="53"/>
      <c r="AF1521" s="53"/>
    </row>
    <row r="1522">
      <c r="G1522" s="55"/>
      <c r="N1522" s="6"/>
      <c r="O1522" s="53"/>
      <c r="P1522" s="53"/>
      <c r="Q1522" s="53"/>
      <c r="R1522" s="51"/>
      <c r="S1522" s="51"/>
      <c r="T1522" s="53"/>
      <c r="U1522" s="53"/>
      <c r="V1522" s="53"/>
      <c r="W1522" s="53"/>
      <c r="X1522" s="53"/>
      <c r="Y1522" s="53"/>
      <c r="Z1522" s="52"/>
      <c r="AA1522" s="52"/>
      <c r="AB1522" s="52"/>
      <c r="AC1522" s="52"/>
      <c r="AD1522" s="53"/>
      <c r="AE1522" s="53"/>
      <c r="AF1522" s="53"/>
    </row>
    <row r="1523">
      <c r="G1523" s="55"/>
      <c r="N1523" s="6"/>
      <c r="O1523" s="53"/>
      <c r="P1523" s="53"/>
      <c r="Q1523" s="53"/>
      <c r="R1523" s="51"/>
      <c r="S1523" s="51"/>
      <c r="T1523" s="53"/>
      <c r="U1523" s="53"/>
      <c r="V1523" s="53"/>
      <c r="W1523" s="53"/>
      <c r="X1523" s="53"/>
      <c r="Y1523" s="53"/>
      <c r="Z1523" s="52"/>
      <c r="AA1523" s="52"/>
      <c r="AB1523" s="52"/>
      <c r="AC1523" s="52"/>
      <c r="AD1523" s="53"/>
      <c r="AE1523" s="53"/>
      <c r="AF1523" s="53"/>
    </row>
    <row r="1524">
      <c r="G1524" s="55"/>
      <c r="N1524" s="6"/>
      <c r="O1524" s="53"/>
      <c r="P1524" s="53"/>
      <c r="Q1524" s="53"/>
      <c r="R1524" s="51"/>
      <c r="S1524" s="51"/>
      <c r="T1524" s="53"/>
      <c r="U1524" s="53"/>
      <c r="V1524" s="53"/>
      <c r="W1524" s="53"/>
      <c r="X1524" s="53"/>
      <c r="Y1524" s="53"/>
      <c r="Z1524" s="52"/>
      <c r="AA1524" s="52"/>
      <c r="AB1524" s="52"/>
      <c r="AC1524" s="52"/>
      <c r="AD1524" s="53"/>
      <c r="AE1524" s="53"/>
      <c r="AF1524" s="53"/>
    </row>
    <row r="1525">
      <c r="G1525" s="55"/>
      <c r="N1525" s="6"/>
      <c r="O1525" s="53"/>
      <c r="P1525" s="53"/>
      <c r="Q1525" s="53"/>
      <c r="R1525" s="51"/>
      <c r="S1525" s="51"/>
      <c r="T1525" s="53"/>
      <c r="U1525" s="53"/>
      <c r="V1525" s="53"/>
      <c r="W1525" s="53"/>
      <c r="X1525" s="53"/>
      <c r="Y1525" s="53"/>
      <c r="Z1525" s="52"/>
      <c r="AA1525" s="52"/>
      <c r="AB1525" s="52"/>
      <c r="AC1525" s="52"/>
      <c r="AD1525" s="53"/>
      <c r="AE1525" s="53"/>
      <c r="AF1525" s="53"/>
    </row>
    <row r="1526">
      <c r="G1526" s="55"/>
      <c r="N1526" s="6"/>
      <c r="O1526" s="53"/>
      <c r="P1526" s="53"/>
      <c r="Q1526" s="53"/>
      <c r="R1526" s="51"/>
      <c r="S1526" s="51"/>
      <c r="T1526" s="53"/>
      <c r="U1526" s="53"/>
      <c r="V1526" s="53"/>
      <c r="W1526" s="53"/>
      <c r="X1526" s="53"/>
      <c r="Y1526" s="53"/>
      <c r="Z1526" s="52"/>
      <c r="AA1526" s="52"/>
      <c r="AB1526" s="52"/>
      <c r="AC1526" s="52"/>
      <c r="AD1526" s="53"/>
      <c r="AE1526" s="53"/>
      <c r="AF1526" s="53"/>
    </row>
  </sheetData>
  <autoFilter ref="$A$1:$AL$188">
    <sortState ref="A1:AL188">
      <sortCondition descending="1" ref="I1:I188"/>
      <sortCondition descending="1" ref="K1:K188"/>
    </sortState>
  </autoFilter>
  <conditionalFormatting sqref="L1:M1526 R1:S1526">
    <cfRule type="colorScale" priority="1">
      <colorScale>
        <cfvo type="formula" val="0"/>
        <cfvo type="formula" val="1"/>
        <cfvo type="formula" val="2"/>
        <color rgb="FFE67C73"/>
        <color rgb="FFFFFFFF"/>
        <color rgb="FF57BB8A"/>
      </colorScale>
    </cfRule>
  </conditionalFormatting>
  <conditionalFormatting sqref="AI1:AI1526">
    <cfRule type="colorScale" priority="2">
      <colorScale>
        <cfvo type="min"/>
        <cfvo type="formula" val="3000"/>
        <cfvo type="formula" val="6000"/>
        <color rgb="FFE67C73"/>
        <color rgb="FFFFFFFF"/>
        <color rgb="FF57BB8A"/>
      </colorScale>
    </cfRule>
  </conditionalFormatting>
  <conditionalFormatting sqref="I1:I188 K1:K188">
    <cfRule type="colorScale" priority="3">
      <colorScale>
        <cfvo type="min"/>
        <cfvo type="formula" val="10"/>
        <cfvo type="max"/>
        <color rgb="FFE67C73"/>
        <color rgb="FFFFFFFF"/>
        <color rgb="FF57BB8A"/>
      </colorScale>
    </cfRule>
  </conditionalFormatting>
  <conditionalFormatting sqref="E1:E1526">
    <cfRule type="colorScale" priority="4">
      <colorScale>
        <cfvo type="min"/>
        <cfvo type="percentile" val="50"/>
        <cfvo type="max"/>
        <color rgb="FFE67C73"/>
        <color rgb="FFFFFFFF"/>
        <color rgb="FF57BB8A"/>
      </colorScale>
    </cfRule>
  </conditionalFormatting>
  <conditionalFormatting sqref="F1:F1526">
    <cfRule type="colorScale" priority="5">
      <colorScale>
        <cfvo type="min"/>
        <cfvo type="percentile" val="50"/>
        <cfvo type="max"/>
        <color rgb="FFE67C73"/>
        <color rgb="FFFFFFFF"/>
        <color rgb="FF57BB8A"/>
      </colorScale>
    </cfRule>
  </conditionalFormatting>
  <conditionalFormatting sqref="G1:G1526">
    <cfRule type="colorScale" priority="6">
      <colorScale>
        <cfvo type="formula" val="45500"/>
        <cfvo type="formula" val="45986"/>
        <cfvo type="max"/>
        <color rgb="FFE67C73"/>
        <color rgb="FFFFFFFF"/>
        <color rgb="FF57BB8A"/>
      </colorScale>
    </cfRule>
  </conditionalFormatting>
  <conditionalFormatting sqref="X1:Y1526 AD1:AE1">
    <cfRule type="colorScale" priority="7">
      <colorScale>
        <cfvo type="formula" val="-0.1"/>
        <cfvo type="formula" val="0"/>
        <cfvo type="formula" val="0.1"/>
        <color rgb="FFE67C73"/>
        <color rgb="FFFFFFFF"/>
        <color rgb="FF57BB8A"/>
      </colorScale>
    </cfRule>
  </conditionalFormatting>
  <conditionalFormatting sqref="O1:O1526 Q1:Q1526">
    <cfRule type="colorScale" priority="8">
      <colorScale>
        <cfvo type="min"/>
        <cfvo type="percentile" val="80"/>
        <cfvo type="max"/>
        <color rgb="FFE67C73"/>
        <color rgb="FFFFFFFF"/>
        <color rgb="FF57BB8A"/>
      </colorScale>
    </cfRule>
  </conditionalFormatting>
  <conditionalFormatting sqref="AD1:AE1526">
    <cfRule type="colorScale" priority="9">
      <colorScale>
        <cfvo type="min"/>
        <cfvo type="percentile" val="50"/>
        <cfvo type="max"/>
        <color rgb="FF57BB8A"/>
        <color rgb="FFFFFFFF"/>
        <color rgb="FFE67C73"/>
      </colorScale>
    </cfRule>
  </conditionalFormatting>
  <conditionalFormatting sqref="A2">
    <cfRule type="colorScale" priority="10">
      <colorScale>
        <cfvo type="min"/>
        <cfvo type="max"/>
        <color rgb="FFFFFFFF"/>
        <color rgb="FF57BB8A"/>
      </colorScale>
    </cfRule>
  </conditionalFormatting>
  <conditionalFormatting sqref="A2">
    <cfRule type="colorScale" priority="11">
      <colorScale>
        <cfvo type="min"/>
        <cfvo type="max"/>
        <color rgb="FFFFFFFF"/>
        <color rgb="FF57BB8A"/>
      </colorScale>
    </cfRule>
  </conditionalFormatting>
  <conditionalFormatting sqref="A2:A1000">
    <cfRule type="expression" dxfId="0" priority="12">
      <formula>L2&lt;M2</formula>
    </cfRule>
  </conditionalFormatting>
  <conditionalFormatting sqref="A2:A1000">
    <cfRule type="expression" dxfId="0" priority="13">
      <formula>L2&lt;M2</formula>
    </cfRule>
  </conditionalFormatting>
  <conditionalFormatting sqref="A2:A1000">
    <cfRule type="expression" dxfId="0" priority="14">
      <formula>L2&lt;M2</formula>
    </cfRule>
  </conditionalFormatting>
  <hyperlinks>
    <hyperlink r:id="rId1" ref="A2"/>
    <hyperlink r:id="rId2" ref="A3"/>
    <hyperlink r:id="rId3" ref="A4"/>
    <hyperlink r:id="rId4" ref="A5"/>
    <hyperlink r:id="rId5" ref="A6"/>
    <hyperlink r:id="rId6" ref="A7"/>
    <hyperlink r:id="rId7" ref="A8"/>
    <hyperlink r:id="rId8" ref="A9"/>
    <hyperlink r:id="rId9" ref="A10"/>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0.13"/>
    <col customWidth="1" min="2" max="2" width="4.13"/>
    <col customWidth="1" min="3" max="4" width="9.25"/>
    <col customWidth="1" min="5" max="5" width="3.13"/>
    <col customWidth="1" min="6" max="6" width="4.25"/>
    <col customWidth="1" min="7" max="7" width="14.75"/>
    <col customWidth="1" min="8" max="10" width="4.38"/>
    <col customWidth="1" min="11" max="11" width="6.5"/>
    <col customWidth="1" min="12" max="13" width="4.63"/>
    <col customWidth="1" min="14" max="16" width="4.38"/>
    <col customWidth="1" min="17" max="17" width="5.38"/>
    <col customWidth="1" min="18" max="19" width="5.0"/>
    <col customWidth="1" min="20" max="31" width="4.38"/>
    <col customWidth="1" min="32" max="32" width="7.88"/>
    <col customWidth="1" min="33" max="34" width="2.88"/>
    <col customWidth="1" min="35" max="35" width="5.13"/>
    <col customWidth="1" min="36" max="38" width="3.0"/>
  </cols>
  <sheetData>
    <row r="1">
      <c r="A1" s="1" t="s">
        <v>61</v>
      </c>
      <c r="B1" s="1" t="s">
        <v>29</v>
      </c>
      <c r="C1" s="1" t="s">
        <v>63</v>
      </c>
      <c r="D1" s="1" t="s">
        <v>243</v>
      </c>
      <c r="E1" s="1" t="s">
        <v>244</v>
      </c>
      <c r="F1" s="1" t="s">
        <v>245</v>
      </c>
      <c r="G1" s="32" t="s">
        <v>246</v>
      </c>
      <c r="H1" s="36" t="s">
        <v>65</v>
      </c>
      <c r="I1" s="36" t="s">
        <v>247</v>
      </c>
      <c r="J1" s="36" t="s">
        <v>248</v>
      </c>
      <c r="K1" s="36" t="s">
        <v>249</v>
      </c>
      <c r="L1" s="37" t="s">
        <v>250</v>
      </c>
      <c r="M1" s="37" t="s">
        <v>251</v>
      </c>
      <c r="N1" s="38" t="s">
        <v>64</v>
      </c>
      <c r="O1" s="39" t="s">
        <v>252</v>
      </c>
      <c r="P1" s="39" t="s">
        <v>253</v>
      </c>
      <c r="Q1" s="39" t="s">
        <v>254</v>
      </c>
      <c r="R1" s="40" t="s">
        <v>255</v>
      </c>
      <c r="S1" s="40" t="s">
        <v>256</v>
      </c>
      <c r="T1" s="41" t="s">
        <v>257</v>
      </c>
      <c r="U1" s="42" t="s">
        <v>258</v>
      </c>
      <c r="V1" s="42" t="s">
        <v>259</v>
      </c>
      <c r="W1" s="42" t="s">
        <v>260</v>
      </c>
      <c r="X1" s="43" t="s">
        <v>261</v>
      </c>
      <c r="Y1" s="43" t="s">
        <v>262</v>
      </c>
      <c r="Z1" s="44" t="s">
        <v>263</v>
      </c>
      <c r="AA1" s="44" t="s">
        <v>264</v>
      </c>
      <c r="AB1" s="44" t="s">
        <v>265</v>
      </c>
      <c r="AC1" s="44" t="s">
        <v>266</v>
      </c>
      <c r="AD1" s="45" t="s">
        <v>267</v>
      </c>
      <c r="AE1" s="45" t="s">
        <v>268</v>
      </c>
      <c r="AF1" s="46" t="s">
        <v>269</v>
      </c>
      <c r="AG1" s="47" t="s">
        <v>270</v>
      </c>
      <c r="AH1" s="47" t="s">
        <v>271</v>
      </c>
      <c r="AI1" s="47" t="s">
        <v>272</v>
      </c>
      <c r="AJ1" s="47" t="s">
        <v>273</v>
      </c>
      <c r="AK1" s="47" t="s">
        <v>274</v>
      </c>
      <c r="AL1" s="1" t="s">
        <v>275</v>
      </c>
    </row>
    <row r="2">
      <c r="A2" s="56" t="s">
        <v>285</v>
      </c>
      <c r="B2" s="1" t="str">
        <f>IFERROR(__xludf.DUMMYFUNCTION("IFERROR(
  VLOOKUP(
    A2,
    IMPORTRANGE(
      ""1ZygntHC1J6IxzKbTidmOyf5nUyW4GCLurHCjexrLm_o"",
      ""HTMLキャッシュ!A:F""
    ),
    2,
    FALSE
  ),
  0
)
"),"SP")</f>
        <v>SP</v>
      </c>
      <c r="C2" s="1" t="str">
        <f>IFERROR(__xludf.DUMMYFUNCTION("IFERROR(
  VLOOKUP(
    A2,
    IMPORTRANGE(
      ""1ZygntHC1J6IxzKbTidmOyf5nUyW4GCLurHCjexrLm_o"",
      ""HTMLキャッシュ!A:F""
    ),
    5,
    FALSE
  ),
  0
)
"),"都立入試の英作文対策｜5分で書く型×添削（自校作成校対応）")</f>
        <v>都立入試の英作文対策｜5分で書く型×添削（自校作成校対応）</v>
      </c>
      <c r="D2" s="1" t="str">
        <f>IFERROR(__xludf.DUMMYFUNCTION("IFERROR(
  VLOOKUP(
    A2,
    IMPORTRANGE(
      ""1ZygntHC1J6IxzKbTidmOyf5nUyW4GCLurHCjexrLm_o        "",
      ""HTMLキャッシュ!A:F""
    ),
    6,
    FALSE
  ),
  0
)
"),"都立入試の自由英作文を「5分で書き切る」ための対策。40〜50語の書き方を解説し、演習→講評→書き直し（添削）で得点源に。自校作成校の傾向整理や、答案開示を踏まえた採点基準に沿う添削、オンライン受講、料金も掲載。")</f>
        <v>都立入試の自由英作文を「5分で書き切る」ための対策。40〜50語の書き方を解説し、演習→講評→書き直し（添削）で得点源に。自校作成校の傾向整理や、答案開示を踏まえた採点基準に沿う添削、オンライン受講、料金も掲載。</v>
      </c>
      <c r="E2" s="49">
        <f t="shared" ref="E2:F2" si="1">LEN(C2)</f>
        <v>29</v>
      </c>
      <c r="F2" s="49">
        <f t="shared" si="1"/>
        <v>106</v>
      </c>
      <c r="G2" s="32">
        <f>IFERROR(__xludf.DUMMYFUNCTION("IFERROR(
  VLOOKUP(
    A2,
    IMPORTRANGE(
      ""1ZygntHC1J6IxzKbTidmOyf5nUyW4GCLurHCjexrLm_o        "",
      ""HTMLキャッシュ!A:F""
    ),
    3,
    FALSE
  ),
  0
)
"),46081.79429398148)</f>
        <v>46081.79429</v>
      </c>
      <c r="H2" s="49">
        <f>IFERROR(__xludf.DUMMYFUNCTION("IFERROR(
  VLOOKUP(
    A2,
    IMPORTRANGE(
      ""1ZHMy3vVUd_0MrSduXTe1etBb1HNpAlGwQr006ljwMiM"",
      ""GSC最新!A:F""
    ),
    2,
    FALSE
  ),
  0
)
"),123.0)</f>
        <v>123</v>
      </c>
      <c r="I2" s="49">
        <f>IFERROR(__xludf.DUMMYFUNCTION("IFERROR(
  VLOOKUP(
    A2,
    IMPORTRANGE(
      ""1ZHMy3vVUd_0MrSduXTe1etBb1HNpAlGwQr006ljwMiM"",
      ""GSC最新!A:F""
    ),
    3,
    FALSE
  ),
  0
)
"),366.0)</f>
        <v>366</v>
      </c>
      <c r="J2" s="49">
        <f>IFERROR(__xludf.DUMMYFUNCTION("IFERROR(
  VLOOKUP(
    A2,
    IMPORTRANGE(
      ""1ZHMy3vVUd_0MrSduXTe1etBb1HNpAlGwQr006ljwMiM"",
      ""GSC最新!A:F""
    ),
    4,
    FALSE
  ),
  0
)
"),43.0)</f>
        <v>43</v>
      </c>
      <c r="K2" s="49">
        <f>IFERROR(__xludf.DUMMYFUNCTION("IFERROR(
  VLOOKUP(
    A2,
    IMPORTRANGE(
      ""1ZHMy3vVUd_0MrSduXTe1etBb1HNpAlGwQr006ljwMiM"",
      ""GSC最新!A:F""
    ),
    5,
    FALSE
  ),
  0
)
"),122.0)</f>
        <v>122</v>
      </c>
      <c r="L2" s="50">
        <f t="shared" ref="L2:M2" si="2">IFERROR(H2/J2,"-")</f>
        <v>2.860465116</v>
      </c>
      <c r="M2" s="50">
        <f t="shared" si="2"/>
        <v>3</v>
      </c>
      <c r="N2" s="6">
        <f>IFERROR(__xludf.DUMMYFUNCTION("IFERROR(
  VLOOKUP(
    A2,
    IMPORTRANGE(
      ""1ZHMy3vVUd_0MrSduXTe1etBb1HNpAlGwQr006ljwMiM"",
      ""GSC最新!A:R""
    ),
    7,
    FALSE
  ),
  0
)
"),2813.0)</f>
        <v>2813</v>
      </c>
      <c r="O2" s="6">
        <f>IFERROR(__xludf.DUMMYFUNCTION("IFERROR(
  VLOOKUP(
    A2,
    IMPORTRANGE(
      ""1ZHMy3vVUd_0MrSduXTe1etBb1HNpAlGwQr006ljwMiM"",
      ""GSC最新!A:R""
    ),
    10,
    FALSE
  ),
  0
)
"),7979.0)</f>
        <v>7979</v>
      </c>
      <c r="P2" s="6">
        <f>IFERROR(__xludf.DUMMYFUNCTION("IFERROR(
  VLOOKUP(
    A2,
    IMPORTRANGE(
      ""1ZHMy3vVUd_0MrSduXTe1etBb1HNpAlGwQr006ljwMiM"",
      ""GSC最新!A:R""
    ),
    13,
    FALSE
  ),
  0
)
"),1486.0)</f>
        <v>1486</v>
      </c>
      <c r="Q2" s="6">
        <f>IFERROR(__xludf.DUMMYFUNCTION("IFERROR(
  VLOOKUP(
    A2,
    IMPORTRANGE(
      ""1ZHMy3vVUd_0MrSduXTe1etBb1HNpAlGwQr006ljwMiM"",
      ""GSC最新!A:R""
    ),
    16,
    FALSE
  ),
  0
)
"),3896.0)</f>
        <v>3896</v>
      </c>
      <c r="R2" s="51">
        <f t="shared" ref="R2:S2" si="3">IFERROR(N2/P2,"-")</f>
        <v>1.893001346</v>
      </c>
      <c r="S2" s="51">
        <f t="shared" si="3"/>
        <v>2.047997947</v>
      </c>
      <c r="T2" s="9">
        <f>IFERROR(__xludf.DUMMYFUNCTION("IFERROR(
  VLOOKUP(
    A2,
    IMPORTRANGE(
      ""1ZHMy3vVUd_0MrSduXTe1etBb1HNpAlGwQr006ljwMiM"",
      ""GSC最新!A:R""
    ),
    8,
    FALSE
  ),
  0
)
"),0.04372555990046214)</f>
        <v>0.0437255599</v>
      </c>
      <c r="U2" s="9">
        <f>IFERROR(__xludf.DUMMYFUNCTION("IFERROR(
  VLOOKUP(
    A2,
    IMPORTRANGE(
      ""1ZHMy3vVUd_0MrSduXTe1etBb1HNpAlGwQr006ljwMiM"",
      ""GSC最新!A:R""
    ),
    11,
    FALSE
  ),
  0
)
"),0.045870409825792706)</f>
        <v>0.04587040983</v>
      </c>
      <c r="V2" s="9">
        <f>IFERROR(__xludf.DUMMYFUNCTION("IFERROR(
  VLOOKUP(
    A2,
    IMPORTRANGE(
      ""1ZHMy3vVUd_0MrSduXTe1etBb1HNpAlGwQr006ljwMiM"",
      ""GSC最新!A:R""
    ),
    14,
    FALSE
  ),
  0
)
"),0.028936742934051143)</f>
        <v>0.02893674293</v>
      </c>
      <c r="W2" s="9">
        <f>IFERROR(__xludf.DUMMYFUNCTION("IFERROR(
  VLOOKUP(
    A2,
    IMPORTRANGE(
      ""1ZHMy3vVUd_0MrSduXTe1etBb1HNpAlGwQr006ljwMiM"",
      ""GSC最新!A:R""
    ),
    17,
    FALSE
  ),
  0
)
"),0.03131416837782341)</f>
        <v>0.03131416838</v>
      </c>
      <c r="X2" s="9">
        <f t="shared" ref="X2:Y2" si="4">IFERROR(T2-V2,"-")</f>
        <v>0.01478881697</v>
      </c>
      <c r="Y2" s="9">
        <f t="shared" si="4"/>
        <v>0.01455624145</v>
      </c>
      <c r="Z2" s="52">
        <f>IFERROR(__xludf.DUMMYFUNCTION("IFERROR(
  VLOOKUP(
    A2,
    IMPORTRANGE(
      ""1ZHMy3vVUd_0MrSduXTe1etBb1HNpAlGwQr006ljwMiM"",
      ""GSC最新!A:R""
    ),
    9,
    FALSE
  ),
  0
)
"),7.646996089584074)</f>
        <v>7.64699609</v>
      </c>
      <c r="AA2" s="52">
        <f>IFERROR(__xludf.DUMMYFUNCTION("IFERROR(
  VLOOKUP(
    A2,
    IMPORTRANGE(
      ""1ZHMy3vVUd_0MrSduXTe1etBb1HNpAlGwQr006ljwMiM"",
      ""GSC最新!A:R""
    ),
    12,
    FALSE
  ),
  0
)
"),7.6493294899110165)</f>
        <v>7.64932949</v>
      </c>
      <c r="AB2" s="52">
        <f>IFERROR(__xludf.DUMMYFUNCTION("IFERROR(
  VLOOKUP(
    A2,
    IMPORTRANGE(
      ""1ZHMy3vVUd_0MrSduXTe1etBb1HNpAlGwQr006ljwMiM"",
      ""GSC最新!A:R""
    ),
    15,
    FALSE
  ),
  0
)
"),9.700538358008075)</f>
        <v>9.700538358</v>
      </c>
      <c r="AC2" s="52">
        <f>IFERROR(__xludf.DUMMYFUNCTION("IFERROR(
  VLOOKUP(
    A2,
    IMPORTRANGE(
      ""1ZHMy3vVUd_0MrSduXTe1etBb1HNpAlGwQr006ljwMiM"",
      ""GSC最新!A:R""
    ),
    18,
    FALSE
  ),
  0
)
"),10.621149897330595)</f>
        <v>10.6211499</v>
      </c>
      <c r="AD2" s="52">
        <f t="shared" ref="AD2:AE2" si="5">Z2-AB2</f>
        <v>-2.053542268</v>
      </c>
      <c r="AE2" s="52">
        <f t="shared" si="5"/>
        <v>-2.971820407</v>
      </c>
      <c r="AF2" s="53">
        <f>IFERROR(__xludf.DUMMYFUNCTION("IFERROR(
  VLOOKUP(
    A2,
    IMPORTRANGE(
      ""1ZHMy3vVUd_0MrSduXTe1etBb1HNpAlGwQr006ljwMiM"",
      ""GSC最新!A:F""
    ),
    6,
    FALSE
  ),
  0
)
"),46081.0)</f>
        <v>46081</v>
      </c>
      <c r="AG2" s="54">
        <f>IFERROR(__xludf.DUMMYFUNCTION("IFERROR(
  VLOOKUP(
    A2,
    IMPORTRANGE(
      ""1SCYQd7_cobOYqT0r_F0IqD4tE4rYn5y8Eup4PJTH8es"",
      ""Snapshot!A:M""
    ),
    5,
    FALSE
  ),
  ""-""
)
"),7.0)</f>
        <v>7</v>
      </c>
      <c r="AH2" s="54">
        <f>IFERROR(__xludf.DUMMYFUNCTION("IFERROR(
  VLOOKUP(
    A2,
    IMPORTRANGE(
      ""1SCYQd7_cobOYqT0r_F0IqD4tE4rYn5y8Eup4PJTH8es"",
      ""Snapshot!A:M""
    ),
    6,
    FALSE
  ),
  0
)
"),10.0)</f>
        <v>10</v>
      </c>
      <c r="AI2" s="54">
        <f>IFERROR(__xludf.DUMMYFUNCTION("IFERROR(
  VLOOKUP(
    A2,
    IMPORTRANGE(
      ""1SCYQd7_cobOYqT0r_F0IqD4tE4rYn5y8Eup4PJTH8es"",
      ""Snapshot!A:M""
    ),
    7,
    FALSE
  ),
  0
)
"),4358.0)</f>
        <v>4358</v>
      </c>
      <c r="AJ2" s="54">
        <f>IFERROR(__xludf.DUMMYFUNCTION("IFERROR(
  VLOOKUP(
    A2,
    IMPORTRANGE(
      ""1SCYQd7_cobOYqT0r_F0IqD4tE4rYn5y8Eup4PJTH8es"",
      ""Snapshot!A:M""
    ),
    8,
    FALSE
  ),
  0
)
"),1.0)</f>
        <v>1</v>
      </c>
      <c r="AK2" s="54">
        <f>IFERROR(__xludf.DUMMYFUNCTION("IFERROR(
  VLOOKUP(
    A2,
    IMPORTRANGE(
      ""1SCYQd7_cobOYqT0r_F0IqD4tE4rYn5y8Eup4PJTH8es"",
      ""Snapshot!A:M""
    ),
    9,
    FALSE
  ),
  0
)
"),2.0)</f>
        <v>2</v>
      </c>
      <c r="AL2" s="54">
        <f>IFERROR(__xludf.DUMMYFUNCTION("IFERROR(
  VLOOKUP(
    A2,
    IMPORTRANGE(
      ""1SCYQd7_cobOYqT0r_F0IqD4tE4rYn5y8Eup4PJTH8es"",
      ""Snapshot!A:M""
    ),
    13,
    FALSE
  ),
  0
)
"),1.0)</f>
        <v>1</v>
      </c>
    </row>
    <row r="3">
      <c r="A3" s="57" t="s">
        <v>286</v>
      </c>
      <c r="B3" s="1" t="str">
        <f>IFERROR(__xludf.DUMMYFUNCTION("IFERROR(
  VLOOKUP(
    A3,
    IMPORTRANGE(
      ""1ZygntHC1J6IxzKbTidmOyf5nUyW4GCLurHCjexrLm_o"",
      ""HTMLキャッシュ!A:F""
    ),
    2,
    FALSE
  ),
  0
)
"),"SP")</f>
        <v>SP</v>
      </c>
      <c r="C3" s="1" t="str">
        <f>IFERROR(__xludf.DUMMYFUNCTION("IFERROR(
  VLOOKUP(
    A3,
    IMPORTRANGE(
      ""1ZygntHC1J6IxzKbTidmOyf5nUyW4GCLurHCjexrLm_o"",
      ""HTMLキャッシュ!A:F""
    ),
    5,
    FALSE
  ),
  0
)
"),"大学受験の現代文「記述添削」オンライン講座｜3日以内返却 check and collect - 読解ラボ東京")</f>
        <v>大学受験の現代文「記述添削」オンライン講座｜3日以内返却 check and collect - 読解ラボ東京</v>
      </c>
      <c r="D3" s="1" t="str">
        <f>IFERROR(__xludf.DUMMYFUNCTION("IFERROR(
  VLOOKUP(
    A3,
    IMPORTRANGE(
      ""1ZygntHC1J6IxzKbTidmOyf5nUyW4GCLurHCjexrLm_o        "",
      ""HTMLキャッシュ!A:F""
    ),
    6,
    FALSE
  ),
  0
)
"),"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f>
        <v>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v>
      </c>
      <c r="E3" s="49">
        <f t="shared" ref="E3:F3" si="6">LEN(C3)</f>
        <v>55</v>
      </c>
      <c r="F3" s="49">
        <f t="shared" si="6"/>
        <v>114</v>
      </c>
      <c r="G3" s="32">
        <f>IFERROR(__xludf.DUMMYFUNCTION("IFERROR(
  VLOOKUP(
    A3,
    IMPORTRANGE(
      ""1ZygntHC1J6IxzKbTidmOyf5nUyW4GCLurHCjexrLm_o        "",
      ""HTMLキャッシュ!A:F""
    ),
    3,
    FALSE
  ),
  0
)
"),46052.75865740741)</f>
        <v>46052.75866</v>
      </c>
      <c r="H3" s="49">
        <f>IFERROR(__xludf.DUMMYFUNCTION("IFERROR(
  VLOOKUP(
    A3,
    IMPORTRANGE(
      ""1ZHMy3vVUd_0MrSduXTe1etBb1HNpAlGwQr006ljwMiM"",
      ""GSC最新!A:F""
    ),
    2,
    FALSE
  ),
  0
)
"),22.0)</f>
        <v>22</v>
      </c>
      <c r="I3" s="49">
        <f>IFERROR(__xludf.DUMMYFUNCTION("IFERROR(
  VLOOKUP(
    A3,
    IMPORTRANGE(
      ""1ZHMy3vVUd_0MrSduXTe1etBb1HNpAlGwQr006ljwMiM"",
      ""GSC最新!A:F""
    ),
    3,
    FALSE
  ),
  0
)
"),60.0)</f>
        <v>60</v>
      </c>
      <c r="J3" s="49">
        <f>IFERROR(__xludf.DUMMYFUNCTION("IFERROR(
  VLOOKUP(
    A3,
    IMPORTRANGE(
      ""1ZHMy3vVUd_0MrSduXTe1etBb1HNpAlGwQr006ljwMiM"",
      ""GSC最新!A:F""
    ),
    4,
    FALSE
  ),
  0
)
"),11.0)</f>
        <v>11</v>
      </c>
      <c r="K3" s="49">
        <f>IFERROR(__xludf.DUMMYFUNCTION("IFERROR(
  VLOOKUP(
    A3,
    IMPORTRANGE(
      ""1ZHMy3vVUd_0MrSduXTe1etBb1HNpAlGwQr006ljwMiM"",
      ""GSC最新!A:F""
    ),
    5,
    FALSE
  ),
  0
)
"),33.0)</f>
        <v>33</v>
      </c>
      <c r="L3" s="50">
        <f t="shared" ref="L3:M3" si="7">IFERROR(H3/J3,"-")</f>
        <v>2</v>
      </c>
      <c r="M3" s="50">
        <f t="shared" si="7"/>
        <v>1.818181818</v>
      </c>
      <c r="N3" s="6">
        <f>IFERROR(__xludf.DUMMYFUNCTION("IFERROR(
  VLOOKUP(
    A3,
    IMPORTRANGE(
      ""1ZHMy3vVUd_0MrSduXTe1etBb1HNpAlGwQr006ljwMiM"",
      ""GSC最新!A:R""
    ),
    7,
    FALSE
  ),
  0
)
"),346.0)</f>
        <v>346</v>
      </c>
      <c r="O3" s="6">
        <f>IFERROR(__xludf.DUMMYFUNCTION("IFERROR(
  VLOOKUP(
    A3,
    IMPORTRANGE(
      ""1ZHMy3vVUd_0MrSduXTe1etBb1HNpAlGwQr006ljwMiM"",
      ""GSC最新!A:R""
    ),
    10,
    FALSE
  ),
  0
)
"),1094.0)</f>
        <v>1094</v>
      </c>
      <c r="P3" s="6">
        <f>IFERROR(__xludf.DUMMYFUNCTION("IFERROR(
  VLOOKUP(
    A3,
    IMPORTRANGE(
      ""1ZHMy3vVUd_0MrSduXTe1etBb1HNpAlGwQr006ljwMiM"",
      ""GSC最新!A:R""
    ),
    13,
    FALSE
  ),
  0
)
"),307.0)</f>
        <v>307</v>
      </c>
      <c r="Q3" s="6">
        <f>IFERROR(__xludf.DUMMYFUNCTION("IFERROR(
  VLOOKUP(
    A3,
    IMPORTRANGE(
      ""1ZHMy3vVUd_0MrSduXTe1etBb1HNpAlGwQr006ljwMiM"",
      ""GSC最新!A:R""
    ),
    16,
    FALSE
  ),
  0
)
"),1058.0)</f>
        <v>1058</v>
      </c>
      <c r="R3" s="51">
        <f t="shared" ref="R3:S3" si="8">IFERROR(N3/P3,"-")</f>
        <v>1.127035831</v>
      </c>
      <c r="S3" s="51">
        <f t="shared" si="8"/>
        <v>1.034026465</v>
      </c>
      <c r="T3" s="9">
        <f>IFERROR(__xludf.DUMMYFUNCTION("IFERROR(
  VLOOKUP(
    A3,
    IMPORTRANGE(
      ""1ZHMy3vVUd_0MrSduXTe1etBb1HNpAlGwQr006ljwMiM"",
      ""GSC最新!A:R""
    ),
    8,
    FALSE
  ),
  0
)
"),0.06358381502890173)</f>
        <v>0.06358381503</v>
      </c>
      <c r="U3" s="9">
        <f>IFERROR(__xludf.DUMMYFUNCTION("IFERROR(
  VLOOKUP(
    A3,
    IMPORTRANGE(
      ""1ZHMy3vVUd_0MrSduXTe1etBb1HNpAlGwQr006ljwMiM"",
      ""GSC最新!A:R""
    ),
    11,
    FALSE
  ),
  0
)
"),0.054844606946983544)</f>
        <v>0.05484460695</v>
      </c>
      <c r="V3" s="9">
        <f>IFERROR(__xludf.DUMMYFUNCTION("IFERROR(
  VLOOKUP(
    A3,
    IMPORTRANGE(
      ""1ZHMy3vVUd_0MrSduXTe1etBb1HNpAlGwQr006ljwMiM"",
      ""GSC最新!A:R""
    ),
    14,
    FALSE
  ),
  0
)
"),0.035830618892508145)</f>
        <v>0.03583061889</v>
      </c>
      <c r="W3" s="9">
        <f>IFERROR(__xludf.DUMMYFUNCTION("IFERROR(
  VLOOKUP(
    A3,
    IMPORTRANGE(
      ""1ZHMy3vVUd_0MrSduXTe1etBb1HNpAlGwQr006ljwMiM"",
      ""GSC最新!A:R""
    ),
    17,
    FALSE
  ),
  0
)
"),0.031190926275992438)</f>
        <v>0.03119092628</v>
      </c>
      <c r="X3" s="9">
        <f t="shared" ref="X3:Y3" si="9">IFERROR(T3-V3,"-")</f>
        <v>0.02775319614</v>
      </c>
      <c r="Y3" s="9">
        <f t="shared" si="9"/>
        <v>0.02365368067</v>
      </c>
      <c r="Z3" s="52">
        <f>IFERROR(__xludf.DUMMYFUNCTION("IFERROR(
  VLOOKUP(
    A3,
    IMPORTRANGE(
      ""1ZHMy3vVUd_0MrSduXTe1etBb1HNpAlGwQr006ljwMiM"",
      ""GSC最新!A:R""
    ),
    9,
    FALSE
  ),
  0
)
"),5.526011560693641)</f>
        <v>5.526011561</v>
      </c>
      <c r="AA3" s="52">
        <f>IFERROR(__xludf.DUMMYFUNCTION("IFERROR(
  VLOOKUP(
    A3,
    IMPORTRANGE(
      ""1ZHMy3vVUd_0MrSduXTe1etBb1HNpAlGwQr006ljwMiM"",
      ""GSC最新!A:R""
    ),
    12,
    FALSE
  ),
  0
)
"),6.46617915904936)</f>
        <v>6.466179159</v>
      </c>
      <c r="AB3" s="52">
        <f>IFERROR(__xludf.DUMMYFUNCTION("IFERROR(
  VLOOKUP(
    A3,
    IMPORTRANGE(
      ""1ZHMy3vVUd_0MrSduXTe1etBb1HNpAlGwQr006ljwMiM"",
      ""GSC最新!A:R""
    ),
    15,
    FALSE
  ),
  0
)
"),8.697068403908794)</f>
        <v>8.697068404</v>
      </c>
      <c r="AC3" s="52">
        <f>IFERROR(__xludf.DUMMYFUNCTION("IFERROR(
  VLOOKUP(
    A3,
    IMPORTRANGE(
      ""1ZHMy3vVUd_0MrSduXTe1etBb1HNpAlGwQr006ljwMiM"",
      ""GSC最新!A:R""
    ),
    18,
    FALSE
  ),
  0
)
"),24.716446124763706)</f>
        <v>24.71644612</v>
      </c>
      <c r="AD3" s="52">
        <f t="shared" ref="AD3:AE3" si="10">Z3-AB3</f>
        <v>-3.171056843</v>
      </c>
      <c r="AE3" s="52">
        <f t="shared" si="10"/>
        <v>-18.25026697</v>
      </c>
      <c r="AF3" s="53">
        <f>IFERROR(__xludf.DUMMYFUNCTION("IFERROR(
  VLOOKUP(
    A3,
    IMPORTRANGE(
      ""1ZHMy3vVUd_0MrSduXTe1etBb1HNpAlGwQr006ljwMiM"",
      ""GSC最新!A:F""
    ),
    6,
    FALSE
  ),
  0
)
"),46081.0)</f>
        <v>46081</v>
      </c>
      <c r="AG3" s="54">
        <f>IFERROR(__xludf.DUMMYFUNCTION("IFERROR(
  VLOOKUP(
    A3,
    IMPORTRANGE(
      ""1SCYQd7_cobOYqT0r_F0IqD4tE4rYn5y8Eup4PJTH8es"",
      ""Snapshot!A:M""
    ),
    5,
    FALSE
  ),
  ""-""
)
"),10.0)</f>
        <v>10</v>
      </c>
      <c r="AH3" s="54">
        <f>IFERROR(__xludf.DUMMYFUNCTION("IFERROR(
  VLOOKUP(
    A3,
    IMPORTRANGE(
      ""1SCYQd7_cobOYqT0r_F0IqD4tE4rYn5y8Eup4PJTH8es"",
      ""Snapshot!A:M""
    ),
    6,
    FALSE
  ),
  0
)
"),0.0)</f>
        <v>0</v>
      </c>
      <c r="AI3" s="54">
        <f>IFERROR(__xludf.DUMMYFUNCTION("IFERROR(
  VLOOKUP(
    A3,
    IMPORTRANGE(
      ""1SCYQd7_cobOYqT0r_F0IqD4tE4rYn5y8Eup4PJTH8es"",
      ""Snapshot!A:M""
    ),
    7,
    FALSE
  ),
  0
)
"),3481.0)</f>
        <v>3481</v>
      </c>
      <c r="AJ3" s="54">
        <f>IFERROR(__xludf.DUMMYFUNCTION("IFERROR(
  VLOOKUP(
    A3,
    IMPORTRANGE(
      ""1SCYQd7_cobOYqT0r_F0IqD4tE4rYn5y8Eup4PJTH8es"",
      ""Snapshot!A:M""
    ),
    8,
    FALSE
  ),
  0
)
"),2.0)</f>
        <v>2</v>
      </c>
      <c r="AK3" s="54">
        <f>IFERROR(__xludf.DUMMYFUNCTION("IFERROR(
  VLOOKUP(
    A3,
    IMPORTRANGE(
      ""1SCYQd7_cobOYqT0r_F0IqD4tE4rYn5y8Eup4PJTH8es"",
      ""Snapshot!A:M""
    ),
    9,
    FALSE
  ),
  0
)
"),2.0)</f>
        <v>2</v>
      </c>
      <c r="AL3" s="54">
        <f>IFERROR(__xludf.DUMMYFUNCTION("IFERROR(
  VLOOKUP(
    A3,
    IMPORTRANGE(
      ""1SCYQd7_cobOYqT0r_F0IqD4tE4rYn5y8Eup4PJTH8es"",
      ""Snapshot!A:M""
    ),
    13,
    FALSE
  ),
  0
)
"),2.0)</f>
        <v>2</v>
      </c>
    </row>
    <row r="4">
      <c r="A4" s="56" t="s">
        <v>287</v>
      </c>
      <c r="B4" s="1" t="str">
        <f>IFERROR(__xludf.DUMMYFUNCTION("IFERROR(
  VLOOKUP(
    A4,
    IMPORTRANGE(
      ""1ZygntHC1J6IxzKbTidmOyf5nUyW4GCLurHCjexrLm_o"",
      ""HTMLキャッシュ!A:F""
    ),
    2,
    FALSE
  ),
  0
)
"),"SP")</f>
        <v>SP</v>
      </c>
      <c r="C4" s="1" t="str">
        <f>IFERROR(__xludf.DUMMYFUNCTION("IFERROR(
  VLOOKUP(
    A4,
    IMPORTRANGE(
      ""1ZygntHC1J6IxzKbTidmOyf5nUyW4GCLurHCjexrLm_o"",
      ""HTMLキャッシュ!A:F""
    ),
    5,
    FALSE
  ),
  0
)
"),"中学受験算数 家庭教師オンライン｜1対1個別｜小4〜小6")</f>
        <v>中学受験算数 家庭教師オンライン｜1対1個別｜小4〜小6</v>
      </c>
      <c r="D4" s="1" t="str">
        <f>IFERROR(__xludf.DUMMYFUNCTION("IFERROR(
  VLOOKUP(
    A4,
    IMPORTRANGE(
      ""1ZygntHC1J6IxzKbTidmOyf5nUyW4GCLurHCjexrLm_o        "",
      ""HTMLキャッシュ!A:F""
    ),
    6,
    FALSE
  ),
  0
)
"),"中学受験算数専門のオンライン家庭教師。手元と表情を見ながら1対1で弱点を把握。併用/算数単科に対応。小4〜小6、全国。トライアルあり。")</f>
        <v>中学受験算数専門のオンライン家庭教師。手元と表情を見ながら1対1で弱点を把握。併用/算数単科に対応。小4〜小6、全国。トライアルあり。</v>
      </c>
      <c r="E4" s="49">
        <f t="shared" ref="E4:F4" si="11">LEN(C4)</f>
        <v>28</v>
      </c>
      <c r="F4" s="49">
        <f t="shared" si="11"/>
        <v>67</v>
      </c>
      <c r="G4" s="32">
        <f>IFERROR(__xludf.DUMMYFUNCTION("IFERROR(
  VLOOKUP(
    A4,
    IMPORTRANGE(
      ""1ZygntHC1J6IxzKbTidmOyf5nUyW4GCLurHCjexrLm_o        "",
      ""HTMLキャッシュ!A:F""
    ),
    3,
    FALSE
  ),
  0
)
"),46078.87752314815)</f>
        <v>46078.87752</v>
      </c>
      <c r="H4" s="49">
        <f>IFERROR(__xludf.DUMMYFUNCTION("IFERROR(
  VLOOKUP(
    A4,
    IMPORTRANGE(
      ""1ZHMy3vVUd_0MrSduXTe1etBb1HNpAlGwQr006ljwMiM"",
      ""GSC最新!A:F""
    ),
    2,
    FALSE
  ),
  0
)
"),17.0)</f>
        <v>17</v>
      </c>
      <c r="I4" s="49">
        <f>IFERROR(__xludf.DUMMYFUNCTION("IFERROR(
  VLOOKUP(
    A4,
    IMPORTRANGE(
      ""1ZHMy3vVUd_0MrSduXTe1etBb1HNpAlGwQr006ljwMiM"",
      ""GSC最新!A:F""
    ),
    3,
    FALSE
  ),
  0
)
"),29.0)</f>
        <v>29</v>
      </c>
      <c r="J4" s="49">
        <f>IFERROR(__xludf.DUMMYFUNCTION("IFERROR(
  VLOOKUP(
    A4,
    IMPORTRANGE(
      ""1ZHMy3vVUd_0MrSduXTe1etBb1HNpAlGwQr006ljwMiM"",
      ""GSC最新!A:F""
    ),
    4,
    FALSE
  ),
  0
)
"),22.0)</f>
        <v>22</v>
      </c>
      <c r="K4" s="49">
        <f>IFERROR(__xludf.DUMMYFUNCTION("IFERROR(
  VLOOKUP(
    A4,
    IMPORTRANGE(
      ""1ZHMy3vVUd_0MrSduXTe1etBb1HNpAlGwQr006ljwMiM"",
      ""GSC最新!A:F""
    ),
    5,
    FALSE
  ),
  0
)
"),64.0)</f>
        <v>64</v>
      </c>
      <c r="L4" s="50">
        <f t="shared" ref="L4:M4" si="12">IFERROR(H4/J4,"-")</f>
        <v>0.7727272727</v>
      </c>
      <c r="M4" s="50">
        <f t="shared" si="12"/>
        <v>0.453125</v>
      </c>
      <c r="N4" s="6">
        <f>IFERROR(__xludf.DUMMYFUNCTION("IFERROR(
  VLOOKUP(
    A4,
    IMPORTRANGE(
      ""1ZHMy3vVUd_0MrSduXTe1etBb1HNpAlGwQr006ljwMiM"",
      ""GSC最新!A:R""
    ),
    7,
    FALSE
  ),
  0
)
"),657.0)</f>
        <v>657</v>
      </c>
      <c r="O4" s="6">
        <f>IFERROR(__xludf.DUMMYFUNCTION("IFERROR(
  VLOOKUP(
    A4,
    IMPORTRANGE(
      ""1ZHMy3vVUd_0MrSduXTe1etBb1HNpAlGwQr006ljwMiM"",
      ""GSC最新!A:R""
    ),
    10,
    FALSE
  ),
  0
)
"),1085.0)</f>
        <v>1085</v>
      </c>
      <c r="P4" s="6">
        <f>IFERROR(__xludf.DUMMYFUNCTION("IFERROR(
  VLOOKUP(
    A4,
    IMPORTRANGE(
      ""1ZHMy3vVUd_0MrSduXTe1etBb1HNpAlGwQr006ljwMiM"",
      ""GSC最新!A:R""
    ),
    13,
    FALSE
  ),
  0
)
"),3594.0)</f>
        <v>3594</v>
      </c>
      <c r="Q4" s="6">
        <f>IFERROR(__xludf.DUMMYFUNCTION("IFERROR(
  VLOOKUP(
    A4,
    IMPORTRANGE(
      ""1ZHMy3vVUd_0MrSduXTe1etBb1HNpAlGwQr006ljwMiM"",
      ""GSC最新!A:R""
    ),
    16,
    FALSE
  ),
  0
)
"),11080.0)</f>
        <v>11080</v>
      </c>
      <c r="R4" s="51">
        <f t="shared" ref="R4:S4" si="13">IFERROR(N4/P4,"-")</f>
        <v>0.1828046745</v>
      </c>
      <c r="S4" s="51">
        <f t="shared" si="13"/>
        <v>0.09792418773</v>
      </c>
      <c r="T4" s="9">
        <f>IFERROR(__xludf.DUMMYFUNCTION("IFERROR(
  VLOOKUP(
    A4,
    IMPORTRANGE(
      ""1ZHMy3vVUd_0MrSduXTe1etBb1HNpAlGwQr006ljwMiM"",
      ""GSC最新!A:R""
    ),
    8,
    FALSE
  ),
  0
)
"),0.0258751902587519)</f>
        <v>0.02587519026</v>
      </c>
      <c r="U4" s="9">
        <f>IFERROR(__xludf.DUMMYFUNCTION("IFERROR(
  VLOOKUP(
    A4,
    IMPORTRANGE(
      ""1ZHMy3vVUd_0MrSduXTe1etBb1HNpAlGwQr006ljwMiM"",
      ""GSC最新!A:R""
    ),
    11,
    FALSE
  ),
  0
)
"),0.026728110599078342)</f>
        <v>0.0267281106</v>
      </c>
      <c r="V4" s="9">
        <f>IFERROR(__xludf.DUMMYFUNCTION("IFERROR(
  VLOOKUP(
    A4,
    IMPORTRANGE(
      ""1ZHMy3vVUd_0MrSduXTe1etBb1HNpAlGwQr006ljwMiM"",
      ""GSC最新!A:R""
    ),
    14,
    FALSE
  ),
  0
)
"),0.006121313299944352)</f>
        <v>0.0061213133</v>
      </c>
      <c r="W4" s="9">
        <f>IFERROR(__xludf.DUMMYFUNCTION("IFERROR(
  VLOOKUP(
    A4,
    IMPORTRANGE(
      ""1ZHMy3vVUd_0MrSduXTe1etBb1HNpAlGwQr006ljwMiM"",
      ""GSC最新!A:R""
    ),
    17,
    FALSE
  ),
  0
)
"),0.005776173285198556)</f>
        <v>0.005776173285</v>
      </c>
      <c r="X4" s="9">
        <f t="shared" ref="X4:Y4" si="14">IFERROR(T4-V4,"-")</f>
        <v>0.01975387696</v>
      </c>
      <c r="Y4" s="9">
        <f t="shared" si="14"/>
        <v>0.02095193731</v>
      </c>
      <c r="Z4" s="52">
        <f>IFERROR(__xludf.DUMMYFUNCTION("IFERROR(
  VLOOKUP(
    A4,
    IMPORTRANGE(
      ""1ZHMy3vVUd_0MrSduXTe1etBb1HNpAlGwQr006ljwMiM"",
      ""GSC最新!A:R""
    ),
    9,
    FALSE
  ),
  0
)
"),12.71689497716895)</f>
        <v>12.71689498</v>
      </c>
      <c r="AA4" s="52">
        <f>IFERROR(__xludf.DUMMYFUNCTION("IFERROR(
  VLOOKUP(
    A4,
    IMPORTRANGE(
      ""1ZHMy3vVUd_0MrSduXTe1etBb1HNpAlGwQr006ljwMiM"",
      ""GSC最新!A:R""
    ),
    12,
    FALSE
  ),
  0
)
"),13.557603686635945)</f>
        <v>13.55760369</v>
      </c>
      <c r="AB4" s="52">
        <f>IFERROR(__xludf.DUMMYFUNCTION("IFERROR(
  VLOOKUP(
    A4,
    IMPORTRANGE(
      ""1ZHMy3vVUd_0MrSduXTe1etBb1HNpAlGwQr006ljwMiM"",
      ""GSC最新!A:R""
    ),
    15,
    FALSE
  ),
  0
)
"),14.76265998887034)</f>
        <v>14.76265999</v>
      </c>
      <c r="AC4" s="52">
        <f>IFERROR(__xludf.DUMMYFUNCTION("IFERROR(
  VLOOKUP(
    A4,
    IMPORTRANGE(
      ""1ZHMy3vVUd_0MrSduXTe1etBb1HNpAlGwQr006ljwMiM"",
      ""GSC最新!A:R""
    ),
    18,
    FALSE
  ),
  0
)
"),13.834747292418772)</f>
        <v>13.83474729</v>
      </c>
      <c r="AD4" s="52">
        <f t="shared" ref="AD4:AE4" si="15">Z4-AB4</f>
        <v>-2.045765012</v>
      </c>
      <c r="AE4" s="52">
        <f t="shared" si="15"/>
        <v>-0.2771436058</v>
      </c>
      <c r="AF4" s="53">
        <f>IFERROR(__xludf.DUMMYFUNCTION("IFERROR(
  VLOOKUP(
    A4,
    IMPORTRANGE(
      ""1ZHMy3vVUd_0MrSduXTe1etBb1HNpAlGwQr006ljwMiM"",
      ""GSC最新!A:F""
    ),
    6,
    FALSE
  ),
  0
)
"),46081.0)</f>
        <v>46081</v>
      </c>
      <c r="AG4" s="54">
        <f>IFERROR(__xludf.DUMMYFUNCTION("IFERROR(
  VLOOKUP(
    A4,
    IMPORTRANGE(
      ""1SCYQd7_cobOYqT0r_F0IqD4tE4rYn5y8Eup4PJTH8es"",
      ""Snapshot!A:M""
    ),
    5,
    FALSE
  ),
  ""-""
)
"),16.0)</f>
        <v>16</v>
      </c>
      <c r="AH4" s="54">
        <f>IFERROR(__xludf.DUMMYFUNCTION("IFERROR(
  VLOOKUP(
    A4,
    IMPORTRANGE(
      ""1SCYQd7_cobOYqT0r_F0IqD4tE4rYn5y8Eup4PJTH8es"",
      ""Snapshot!A:M""
    ),
    6,
    FALSE
  ),
  0
)
"),17.0)</f>
        <v>17</v>
      </c>
      <c r="AI4" s="54">
        <f>IFERROR(__xludf.DUMMYFUNCTION("IFERROR(
  VLOOKUP(
    A4,
    IMPORTRANGE(
      ""1SCYQd7_cobOYqT0r_F0IqD4tE4rYn5y8Eup4PJTH8es"",
      ""Snapshot!A:M""
    ),
    7,
    FALSE
  ),
  0
)
"),7233.0)</f>
        <v>7233</v>
      </c>
      <c r="AJ4" s="54">
        <f>IFERROR(__xludf.DUMMYFUNCTION("IFERROR(
  VLOOKUP(
    A4,
    IMPORTRANGE(
      ""1SCYQd7_cobOYqT0r_F0IqD4tE4rYn5y8Eup4PJTH8es"",
      ""Snapshot!A:M""
    ),
    8,
    FALSE
  ),
  0
)
"),15.0)</f>
        <v>15</v>
      </c>
      <c r="AK4" s="54">
        <f>IFERROR(__xludf.DUMMYFUNCTION("IFERROR(
  VLOOKUP(
    A4,
    IMPORTRANGE(
      ""1SCYQd7_cobOYqT0r_F0IqD4tE4rYn5y8Eup4PJTH8es"",
      ""Snapshot!A:M""
    ),
    9,
    FALSE
  ),
  0
)
"),1.0)</f>
        <v>1</v>
      </c>
      <c r="AL4" s="54">
        <f>IFERROR(__xludf.DUMMYFUNCTION("IFERROR(
  VLOOKUP(
    A4,
    IMPORTRANGE(
      ""1SCYQd7_cobOYqT0r_F0IqD4tE4rYn5y8Eup4PJTH8es"",
      ""Snapshot!A:M""
    ),
    13,
    FALSE
  ),
  0
)
"),1.0)</f>
        <v>1</v>
      </c>
    </row>
    <row r="5">
      <c r="A5" s="57" t="s">
        <v>288</v>
      </c>
      <c r="B5" s="1" t="str">
        <f>IFERROR(__xludf.DUMMYFUNCTION("IFERROR(
  VLOOKUP(
    A5,
    IMPORTRANGE(
      ""1ZygntHC1J6IxzKbTidmOyf5nUyW4GCLurHCjexrLm_o"",
      ""HTMLキャッシュ!A:F""
    ),
    2,
    FALSE
  ),
  0
)
"),"SP")</f>
        <v>SP</v>
      </c>
      <c r="C5" s="1" t="str">
        <f>IFERROR(__xludf.DUMMYFUNCTION("IFERROR(
  VLOOKUP(
    A5,
    IMPORTRANGE(
      ""1ZygntHC1J6IxzKbTidmOyf5nUyW4GCLurHCjexrLm_o"",
      ""HTMLキャッシュ!A:F""
    ),
    5,
    FALSE
  ),
  0
)
"),"国語専門塾のオンライン個別｜記述添削・過去問｜中学受験")</f>
        <v>国語専門塾のオンライン個別｜記述添削・過去問｜中学受験</v>
      </c>
      <c r="D5" s="1" t="str">
        <f>IFERROR(__xludf.DUMMYFUNCTION("IFERROR(
  VLOOKUP(
    A5,
    IMPORTRANGE(
      ""1ZygntHC1J6IxzKbTidmOyf5nUyW4GCLurHCjexrLm_o        "",
      ""HTMLキャッシュ!A:F""
    ),
    6,
    FALSE
  ),
  0
)
"),"中学受験の国語専門塾。完全1対1オンライン。電子黒板＋手元カメラで根拠と条件を見える化し、記述添削・選択・過去問に対応。料金も掲載。トライアルあり。")</f>
        <v>中学受験の国語専門塾。完全1対1オンライン。電子黒板＋手元カメラで根拠と条件を見える化し、記述添削・選択・過去問に対応。料金も掲載。トライアルあり。</v>
      </c>
      <c r="E5" s="49">
        <f t="shared" ref="E5:F5" si="16">LEN(C5)</f>
        <v>27</v>
      </c>
      <c r="F5" s="49">
        <f t="shared" si="16"/>
        <v>74</v>
      </c>
      <c r="G5" s="32">
        <f>IFERROR(__xludf.DUMMYFUNCTION("IFERROR(
  VLOOKUP(
    A5,
    IMPORTRANGE(
      ""1ZygntHC1J6IxzKbTidmOyf5nUyW4GCLurHCjexrLm_o        "",
      ""HTMLキャッシュ!A:F""
    ),
    3,
    FALSE
  ),
  0
)
"),46081.724016203705)</f>
        <v>46081.72402</v>
      </c>
      <c r="H5" s="49">
        <f>IFERROR(__xludf.DUMMYFUNCTION("IFERROR(
  VLOOKUP(
    A5,
    IMPORTRANGE(
      ""1ZHMy3vVUd_0MrSduXTe1etBb1HNpAlGwQr006ljwMiM"",
      ""GSC最新!A:F""
    ),
    2,
    FALSE
  ),
  0
)
"),13.0)</f>
        <v>13</v>
      </c>
      <c r="I5" s="49">
        <f>IFERROR(__xludf.DUMMYFUNCTION("IFERROR(
  VLOOKUP(
    A5,
    IMPORTRANGE(
      ""1ZHMy3vVUd_0MrSduXTe1etBb1HNpAlGwQr006ljwMiM"",
      ""GSC最新!A:F""
    ),
    3,
    FALSE
  ),
  0
)
"),20.0)</f>
        <v>20</v>
      </c>
      <c r="J5" s="49">
        <f>IFERROR(__xludf.DUMMYFUNCTION("IFERROR(
  VLOOKUP(
    A5,
    IMPORTRANGE(
      ""1ZHMy3vVUd_0MrSduXTe1etBb1HNpAlGwQr006ljwMiM"",
      ""GSC最新!A:F""
    ),
    4,
    FALSE
  ),
  0
)
"),8.0)</f>
        <v>8</v>
      </c>
      <c r="K5" s="49">
        <f>IFERROR(__xludf.DUMMYFUNCTION("IFERROR(
  VLOOKUP(
    A5,
    IMPORTRANGE(
      ""1ZHMy3vVUd_0MrSduXTe1etBb1HNpAlGwQr006ljwMiM"",
      ""GSC最新!A:F""
    ),
    5,
    FALSE
  ),
  0
)
"),18.0)</f>
        <v>18</v>
      </c>
      <c r="L5" s="50">
        <f t="shared" ref="L5:M5" si="17">IFERROR(H5/J5,"-")</f>
        <v>1.625</v>
      </c>
      <c r="M5" s="50">
        <f t="shared" si="17"/>
        <v>1.111111111</v>
      </c>
      <c r="N5" s="6">
        <f>IFERROR(__xludf.DUMMYFUNCTION("IFERROR(
  VLOOKUP(
    A5,
    IMPORTRANGE(
      ""1ZHMy3vVUd_0MrSduXTe1etBb1HNpAlGwQr006ljwMiM"",
      ""GSC最新!A:R""
    ),
    7,
    FALSE
  ),
  0
)
"),304.0)</f>
        <v>304</v>
      </c>
      <c r="O5" s="6">
        <f>IFERROR(__xludf.DUMMYFUNCTION("IFERROR(
  VLOOKUP(
    A5,
    IMPORTRANGE(
      ""1ZHMy3vVUd_0MrSduXTe1etBb1HNpAlGwQr006ljwMiM"",
      ""GSC最新!A:R""
    ),
    10,
    FALSE
  ),
  0
)
"),641.0)</f>
        <v>641</v>
      </c>
      <c r="P5" s="6">
        <f>IFERROR(__xludf.DUMMYFUNCTION("IFERROR(
  VLOOKUP(
    A5,
    IMPORTRANGE(
      ""1ZHMy3vVUd_0MrSduXTe1etBb1HNpAlGwQr006ljwMiM"",
      ""GSC最新!A:R""
    ),
    13,
    FALSE
  ),
  0
)
"),260.0)</f>
        <v>260</v>
      </c>
      <c r="Q5" s="6">
        <f>IFERROR(__xludf.DUMMYFUNCTION("IFERROR(
  VLOOKUP(
    A5,
    IMPORTRANGE(
      ""1ZHMy3vVUd_0MrSduXTe1etBb1HNpAlGwQr006ljwMiM"",
      ""GSC最新!A:R""
    ),
    16,
    FALSE
  ),
  0
)
"),685.0)</f>
        <v>685</v>
      </c>
      <c r="R5" s="51">
        <f t="shared" ref="R5:S5" si="18">IFERROR(N5/P5,"-")</f>
        <v>1.169230769</v>
      </c>
      <c r="S5" s="51">
        <f t="shared" si="18"/>
        <v>0.9357664234</v>
      </c>
      <c r="T5" s="9">
        <f>IFERROR(__xludf.DUMMYFUNCTION("IFERROR(
  VLOOKUP(
    A5,
    IMPORTRANGE(
      ""1ZHMy3vVUd_0MrSduXTe1etBb1HNpAlGwQr006ljwMiM"",
      ""GSC最新!A:R""
    ),
    8,
    FALSE
  ),
  0
)
"),0.04276315789473684)</f>
        <v>0.04276315789</v>
      </c>
      <c r="U5" s="9">
        <f>IFERROR(__xludf.DUMMYFUNCTION("IFERROR(
  VLOOKUP(
    A5,
    IMPORTRANGE(
      ""1ZHMy3vVUd_0MrSduXTe1etBb1HNpAlGwQr006ljwMiM"",
      ""GSC最新!A:R""
    ),
    11,
    FALSE
  ),
  0
)
"),0.031201248049921998)</f>
        <v>0.03120124805</v>
      </c>
      <c r="V5" s="9">
        <f>IFERROR(__xludf.DUMMYFUNCTION("IFERROR(
  VLOOKUP(
    A5,
    IMPORTRANGE(
      ""1ZHMy3vVUd_0MrSduXTe1etBb1HNpAlGwQr006ljwMiM"",
      ""GSC最新!A:R""
    ),
    14,
    FALSE
  ),
  0
)
"),0.03076923076923077)</f>
        <v>0.03076923077</v>
      </c>
      <c r="W5" s="9">
        <f>IFERROR(__xludf.DUMMYFUNCTION("IFERROR(
  VLOOKUP(
    A5,
    IMPORTRANGE(
      ""1ZHMy3vVUd_0MrSduXTe1etBb1HNpAlGwQr006ljwMiM"",
      ""GSC最新!A:R""
    ),
    17,
    FALSE
  ),
  0
)
"),0.026277372262773723)</f>
        <v>0.02627737226</v>
      </c>
      <c r="X5" s="9">
        <f t="shared" ref="X5:Y5" si="19">IFERROR(T5-V5,"-")</f>
        <v>0.01199392713</v>
      </c>
      <c r="Y5" s="9">
        <f t="shared" si="19"/>
        <v>0.004923875787</v>
      </c>
      <c r="Z5" s="52">
        <f>IFERROR(__xludf.DUMMYFUNCTION("IFERROR(
  VLOOKUP(
    A5,
    IMPORTRANGE(
      ""1ZHMy3vVUd_0MrSduXTe1etBb1HNpAlGwQr006ljwMiM"",
      ""GSC最新!A:R""
    ),
    9,
    FALSE
  ),
  0
)
"),19.60855263157895)</f>
        <v>19.60855263</v>
      </c>
      <c r="AA5" s="52">
        <f>IFERROR(__xludf.DUMMYFUNCTION("IFERROR(
  VLOOKUP(
    A5,
    IMPORTRANGE(
      ""1ZHMy3vVUd_0MrSduXTe1etBb1HNpAlGwQr006ljwMiM"",
      ""GSC最新!A:R""
    ),
    12,
    FALSE
  ),
  0
)
"),17.45709828393136)</f>
        <v>17.45709828</v>
      </c>
      <c r="AB5" s="52">
        <f>IFERROR(__xludf.DUMMYFUNCTION("IFERROR(
  VLOOKUP(
    A5,
    IMPORTRANGE(
      ""1ZHMy3vVUd_0MrSduXTe1etBb1HNpAlGwQr006ljwMiM"",
      ""GSC最新!A:R""
    ),
    15,
    FALSE
  ),
  0
)
"),35.69230769230769)</f>
        <v>35.69230769</v>
      </c>
      <c r="AC5" s="52">
        <f>IFERROR(__xludf.DUMMYFUNCTION("IFERROR(
  VLOOKUP(
    A5,
    IMPORTRANGE(
      ""1ZHMy3vVUd_0MrSduXTe1etBb1HNpAlGwQr006ljwMiM"",
      ""GSC最新!A:R""
    ),
    18,
    FALSE
  ),
  0
)
"),34.12554744525548)</f>
        <v>34.12554745</v>
      </c>
      <c r="AD5" s="52">
        <f t="shared" ref="AD5:AE5" si="20">Z5-AB5</f>
        <v>-16.08375506</v>
      </c>
      <c r="AE5" s="52">
        <f t="shared" si="20"/>
        <v>-16.66844916</v>
      </c>
      <c r="AF5" s="53">
        <f>IFERROR(__xludf.DUMMYFUNCTION("IFERROR(
  VLOOKUP(
    A5,
    IMPORTRANGE(
      ""1ZHMy3vVUd_0MrSduXTe1etBb1HNpAlGwQr006ljwMiM"",
      ""GSC最新!A:F""
    ),
    6,
    FALSE
  ),
  0
)
"),46081.0)</f>
        <v>46081</v>
      </c>
      <c r="AG5" s="54">
        <f>IFERROR(__xludf.DUMMYFUNCTION("IFERROR(
  VLOOKUP(
    A5,
    IMPORTRANGE(
      ""1SCYQd7_cobOYqT0r_F0IqD4tE4rYn5y8Eup4PJTH8es"",
      ""Snapshot!A:M""
    ),
    5,
    FALSE
  ),
  ""-""
)
"),8.0)</f>
        <v>8</v>
      </c>
      <c r="AH5" s="54">
        <f>IFERROR(__xludf.DUMMYFUNCTION("IFERROR(
  VLOOKUP(
    A5,
    IMPORTRANGE(
      ""1SCYQd7_cobOYqT0r_F0IqD4tE4rYn5y8Eup4PJTH8es"",
      ""Snapshot!A:M""
    ),
    6,
    FALSE
  ),
  0
)
"),9.0)</f>
        <v>9</v>
      </c>
      <c r="AI5" s="54">
        <f>IFERROR(__xludf.DUMMYFUNCTION("IFERROR(
  VLOOKUP(
    A5,
    IMPORTRANGE(
      ""1SCYQd7_cobOYqT0r_F0IqD4tE4rYn5y8Eup4PJTH8es"",
      ""Snapshot!A:M""
    ),
    7,
    FALSE
  ),
  0
)
"),5632.0)</f>
        <v>5632</v>
      </c>
      <c r="AJ5" s="54">
        <f>IFERROR(__xludf.DUMMYFUNCTION("IFERROR(
  VLOOKUP(
    A5,
    IMPORTRANGE(
      ""1SCYQd7_cobOYqT0r_F0IqD4tE4rYn5y8Eup4PJTH8es"",
      ""Snapshot!A:M""
    ),
    8,
    FALSE
  ),
  0
)
"),12.0)</f>
        <v>12</v>
      </c>
      <c r="AK5" s="54">
        <f>IFERROR(__xludf.DUMMYFUNCTION("IFERROR(
  VLOOKUP(
    A5,
    IMPORTRANGE(
      ""1SCYQd7_cobOYqT0r_F0IqD4tE4rYn5y8Eup4PJTH8es"",
      ""Snapshot!A:M""
    ),
    9,
    FALSE
  ),
  0
)
"),1.0)</f>
        <v>1</v>
      </c>
      <c r="AL5" s="54">
        <f>IFERROR(__xludf.DUMMYFUNCTION("IFERROR(
  VLOOKUP(
    A5,
    IMPORTRANGE(
      ""1SCYQd7_cobOYqT0r_F0IqD4tE4rYn5y8Eup4PJTH8es"",
      ""Snapshot!A:M""
    ),
    13,
    FALSE
  ),
  0
)
"),2.0)</f>
        <v>2</v>
      </c>
    </row>
    <row r="6">
      <c r="A6" s="56" t="s">
        <v>289</v>
      </c>
      <c r="B6" s="1" t="str">
        <f>IFERROR(__xludf.DUMMYFUNCTION("IFERROR(
  VLOOKUP(
    A6,
    IMPORTRANGE(
      ""1ZygntHC1J6IxzKbTidmOyf5nUyW4GCLurHCjexrLm_o"",
      ""HTMLキャッシュ!A:F""
    ),
    2,
    FALSE
  ),
  0
)
"),"SP")</f>
        <v>SP</v>
      </c>
      <c r="C6" s="1" t="str">
        <f>IFERROR(__xludf.DUMMYFUNCTION("IFERROR(
  VLOOKUP(
    A6,
    IMPORTRANGE(
      ""1ZygntHC1J6IxzKbTidmOyf5nUyW4GCLurHCjexrLm_o"",
      ""HTMLキャッシュ!A:F""
    ),
    5,
    FALSE
  ),
  0
)
"),"中高一貫校オンライン塾｜定期テスト対応｜完全1対1")</f>
        <v>中高一貫校オンライン塾｜定期テスト対応｜完全1対1</v>
      </c>
      <c r="D6" s="1" t="str">
        <f>IFERROR(__xludf.DUMMYFUNCTION("IFERROR(
  VLOOKUP(
    A6,
    IMPORTRANGE(
      ""1ZygntHC1J6IxzKbTidmOyf5nUyW4GCLurHCjexrLm_o        "",
      ""HTMLキャッシュ!A:F""
    ),
    6,
    FALSE
  ),
  0
)
"),"中高一貫校生向けオンライン個別。完全1対1×リアルタイムで、手元確認と電子黒板により途中式まで見てその場で直す。定期テスト・先取りに対応。")</f>
        <v>中高一貫校生向けオンライン個別。完全1対1×リアルタイムで、手元確認と電子黒板により途中式まで見てその場で直す。定期テスト・先取りに対応。</v>
      </c>
      <c r="E6" s="49">
        <f t="shared" ref="E6:F6" si="21">LEN(C6)</f>
        <v>25</v>
      </c>
      <c r="F6" s="49">
        <f t="shared" si="21"/>
        <v>69</v>
      </c>
      <c r="G6" s="32">
        <f>IFERROR(__xludf.DUMMYFUNCTION("IFERROR(
  VLOOKUP(
    A6,
    IMPORTRANGE(
      ""1ZygntHC1J6IxzKbTidmOyf5nUyW4GCLurHCjexrLm_o        "",
      ""HTMLキャッシュ!A:F""
    ),
    3,
    FALSE
  ),
  0
)
"),46081.742164351854)</f>
        <v>46081.74216</v>
      </c>
      <c r="H6" s="49">
        <f>IFERROR(__xludf.DUMMYFUNCTION("IFERROR(
  VLOOKUP(
    A6,
    IMPORTRANGE(
      ""1ZHMy3vVUd_0MrSduXTe1etBb1HNpAlGwQr006ljwMiM"",
      ""GSC最新!A:F""
    ),
    2,
    FALSE
  ),
  0
)
"),13.0)</f>
        <v>13</v>
      </c>
      <c r="I6" s="49">
        <f>IFERROR(__xludf.DUMMYFUNCTION("IFERROR(
  VLOOKUP(
    A6,
    IMPORTRANGE(
      ""1ZHMy3vVUd_0MrSduXTe1etBb1HNpAlGwQr006ljwMiM"",
      ""GSC最新!A:F""
    ),
    3,
    FALSE
  ),
  0
)
"),27.0)</f>
        <v>27</v>
      </c>
      <c r="J6" s="49">
        <f>IFERROR(__xludf.DUMMYFUNCTION("IFERROR(
  VLOOKUP(
    A6,
    IMPORTRANGE(
      ""1ZHMy3vVUd_0MrSduXTe1etBb1HNpAlGwQr006ljwMiM"",
      ""GSC最新!A:F""
    ),
    4,
    FALSE
  ),
  0
)
"),2.0)</f>
        <v>2</v>
      </c>
      <c r="K6" s="49">
        <f>IFERROR(__xludf.DUMMYFUNCTION("IFERROR(
  VLOOKUP(
    A6,
    IMPORTRANGE(
      ""1ZHMy3vVUd_0MrSduXTe1etBb1HNpAlGwQr006ljwMiM"",
      ""GSC最新!A:F""
    ),
    5,
    FALSE
  ),
  0
)
"),10.0)</f>
        <v>10</v>
      </c>
      <c r="L6" s="50">
        <f t="shared" ref="L6:M6" si="22">IFERROR(H6/J6,"-")</f>
        <v>6.5</v>
      </c>
      <c r="M6" s="50">
        <f t="shared" si="22"/>
        <v>2.7</v>
      </c>
      <c r="N6" s="6">
        <f>IFERROR(__xludf.DUMMYFUNCTION("IFERROR(
  VLOOKUP(
    A6,
    IMPORTRANGE(
      ""1ZHMy3vVUd_0MrSduXTe1etBb1HNpAlGwQr006ljwMiM"",
      ""GSC最新!A:R""
    ),
    7,
    FALSE
  ),
  0
)
"),350.0)</f>
        <v>350</v>
      </c>
      <c r="O6" s="6">
        <f>IFERROR(__xludf.DUMMYFUNCTION("IFERROR(
  VLOOKUP(
    A6,
    IMPORTRANGE(
      ""1ZHMy3vVUd_0MrSduXTe1etBb1HNpAlGwQr006ljwMiM"",
      ""GSC最新!A:R""
    ),
    10,
    FALSE
  ),
  0
)
"),602.0)</f>
        <v>602</v>
      </c>
      <c r="P6" s="6">
        <f>IFERROR(__xludf.DUMMYFUNCTION("IFERROR(
  VLOOKUP(
    A6,
    IMPORTRANGE(
      ""1ZHMy3vVUd_0MrSduXTe1etBb1HNpAlGwQr006ljwMiM"",
      ""GSC最新!A:R""
    ),
    13,
    FALSE
  ),
  0
)
"),97.0)</f>
        <v>97</v>
      </c>
      <c r="Q6" s="6">
        <f>IFERROR(__xludf.DUMMYFUNCTION("IFERROR(
  VLOOKUP(
    A6,
    IMPORTRANGE(
      ""1ZHMy3vVUd_0MrSduXTe1etBb1HNpAlGwQr006ljwMiM"",
      ""GSC最新!A:R""
    ),
    16,
    FALSE
  ),
  0
)
"),431.0)</f>
        <v>431</v>
      </c>
      <c r="R6" s="51">
        <f t="shared" ref="R6:S6" si="23">IFERROR(N6/P6,"-")</f>
        <v>3.608247423</v>
      </c>
      <c r="S6" s="51">
        <f t="shared" si="23"/>
        <v>1.39675174</v>
      </c>
      <c r="T6" s="9">
        <f>IFERROR(__xludf.DUMMYFUNCTION("IFERROR(
  VLOOKUP(
    A6,
    IMPORTRANGE(
      ""1ZHMy3vVUd_0MrSduXTe1etBb1HNpAlGwQr006ljwMiM"",
      ""GSC最新!A:R""
    ),
    8,
    FALSE
  ),
  0
)
"),0.037142857142857144)</f>
        <v>0.03714285714</v>
      </c>
      <c r="U6" s="9">
        <f>IFERROR(__xludf.DUMMYFUNCTION("IFERROR(
  VLOOKUP(
    A6,
    IMPORTRANGE(
      ""1ZHMy3vVUd_0MrSduXTe1etBb1HNpAlGwQr006ljwMiM"",
      ""GSC最新!A:R""
    ),
    11,
    FALSE
  ),
  0
)
"),0.044850498338870434)</f>
        <v>0.04485049834</v>
      </c>
      <c r="V6" s="9">
        <f>IFERROR(__xludf.DUMMYFUNCTION("IFERROR(
  VLOOKUP(
    A6,
    IMPORTRANGE(
      ""1ZHMy3vVUd_0MrSduXTe1etBb1HNpAlGwQr006ljwMiM"",
      ""GSC最新!A:R""
    ),
    14,
    FALSE
  ),
  0
)
"),0.020618556701030927)</f>
        <v>0.0206185567</v>
      </c>
      <c r="W6" s="9">
        <f>IFERROR(__xludf.DUMMYFUNCTION("IFERROR(
  VLOOKUP(
    A6,
    IMPORTRANGE(
      ""1ZHMy3vVUd_0MrSduXTe1etBb1HNpAlGwQr006ljwMiM"",
      ""GSC最新!A:R""
    ),
    17,
    FALSE
  ),
  0
)
"),0.02320185614849188)</f>
        <v>0.02320185615</v>
      </c>
      <c r="X6" s="9">
        <f t="shared" ref="X6:Y6" si="24">IFERROR(T6-V6,"-")</f>
        <v>0.01652430044</v>
      </c>
      <c r="Y6" s="9">
        <f t="shared" si="24"/>
        <v>0.02164864219</v>
      </c>
      <c r="Z6" s="52">
        <f>IFERROR(__xludf.DUMMYFUNCTION("IFERROR(
  VLOOKUP(
    A6,
    IMPORTRANGE(
      ""1ZHMy3vVUd_0MrSduXTe1etBb1HNpAlGwQr006ljwMiM"",
      ""GSC最新!A:R""
    ),
    9,
    FALSE
  ),
  0
)
"),6.1)</f>
        <v>6.1</v>
      </c>
      <c r="AA6" s="52">
        <f>IFERROR(__xludf.DUMMYFUNCTION("IFERROR(
  VLOOKUP(
    A6,
    IMPORTRANGE(
      ""1ZHMy3vVUd_0MrSduXTe1etBb1HNpAlGwQr006ljwMiM"",
      ""GSC最新!A:R""
    ),
    12,
    FALSE
  ),
  0
)
"),6.93687707641196)</f>
        <v>6.936877076</v>
      </c>
      <c r="AB6" s="52">
        <f>IFERROR(__xludf.DUMMYFUNCTION("IFERROR(
  VLOOKUP(
    A6,
    IMPORTRANGE(
      ""1ZHMy3vVUd_0MrSduXTe1etBb1HNpAlGwQr006ljwMiM"",
      ""GSC最新!A:R""
    ),
    15,
    FALSE
  ),
  0
)
"),34.402061855670105)</f>
        <v>34.40206186</v>
      </c>
      <c r="AC6" s="52">
        <f>IFERROR(__xludf.DUMMYFUNCTION("IFERROR(
  VLOOKUP(
    A6,
    IMPORTRANGE(
      ""1ZHMy3vVUd_0MrSduXTe1etBb1HNpAlGwQr006ljwMiM"",
      ""GSC最新!A:R""
    ),
    18,
    FALSE
  ),
  0
)
"),27.320185614849187)</f>
        <v>27.32018561</v>
      </c>
      <c r="AD6" s="52">
        <f t="shared" ref="AD6:AE6" si="25">Z6-AB6</f>
        <v>-28.30206186</v>
      </c>
      <c r="AE6" s="52">
        <f t="shared" si="25"/>
        <v>-20.38330854</v>
      </c>
      <c r="AF6" s="53">
        <f>IFERROR(__xludf.DUMMYFUNCTION("IFERROR(
  VLOOKUP(
    A6,
    IMPORTRANGE(
      ""1ZHMy3vVUd_0MrSduXTe1etBb1HNpAlGwQr006ljwMiM"",
      ""GSC最新!A:F""
    ),
    6,
    FALSE
  ),
  0
)
"),46081.0)</f>
        <v>46081</v>
      </c>
      <c r="AG6" s="54">
        <f>IFERROR(__xludf.DUMMYFUNCTION("IFERROR(
  VLOOKUP(
    A6,
    IMPORTRANGE(
      ""1SCYQd7_cobOYqT0r_F0IqD4tE4rYn5y8Eup4PJTH8es"",
      ""Snapshot!A:M""
    ),
    5,
    FALSE
  ),
  ""-""
)
"),7.0)</f>
        <v>7</v>
      </c>
      <c r="AH6" s="54">
        <f>IFERROR(__xludf.DUMMYFUNCTION("IFERROR(
  VLOOKUP(
    A6,
    IMPORTRANGE(
      ""1SCYQd7_cobOYqT0r_F0IqD4tE4rYn5y8Eup4PJTH8es"",
      ""Snapshot!A:M""
    ),
    6,
    FALSE
  ),
  0
)
"),0.0)</f>
        <v>0</v>
      </c>
      <c r="AI6" s="54">
        <f>IFERROR(__xludf.DUMMYFUNCTION("IFERROR(
  VLOOKUP(
    A6,
    IMPORTRANGE(
      ""1SCYQd7_cobOYqT0r_F0IqD4tE4rYn5y8Eup4PJTH8es"",
      ""Snapshot!A:M""
    ),
    7,
    FALSE
  ),
  0
)
"),2389.0)</f>
        <v>2389</v>
      </c>
      <c r="AJ6" s="54">
        <f>IFERROR(__xludf.DUMMYFUNCTION("IFERROR(
  VLOOKUP(
    A6,
    IMPORTRANGE(
      ""1SCYQd7_cobOYqT0r_F0IqD4tE4rYn5y8Eup4PJTH8es"",
      ""Snapshot!A:M""
    ),
    8,
    FALSE
  ),
  0
)
"),23.0)</f>
        <v>23</v>
      </c>
      <c r="AK6" s="54">
        <f>IFERROR(__xludf.DUMMYFUNCTION("IFERROR(
  VLOOKUP(
    A6,
    IMPORTRANGE(
      ""1SCYQd7_cobOYqT0r_F0IqD4tE4rYn5y8Eup4PJTH8es"",
      ""Snapshot!A:M""
    ),
    9,
    FALSE
  ),
  0
)
"),4.0)</f>
        <v>4</v>
      </c>
      <c r="AL6" s="54">
        <f>IFERROR(__xludf.DUMMYFUNCTION("IFERROR(
  VLOOKUP(
    A6,
    IMPORTRANGE(
      ""1SCYQd7_cobOYqT0r_F0IqD4tE4rYn5y8Eup4PJTH8es"",
      ""Snapshot!A:M""
    ),
    13,
    FALSE
  ),
  0
)
"),1.0)</f>
        <v>1</v>
      </c>
    </row>
    <row r="7">
      <c r="A7" s="57" t="s">
        <v>290</v>
      </c>
      <c r="B7" s="1" t="str">
        <f>IFERROR(__xludf.DUMMYFUNCTION("IFERROR(
  VLOOKUP(
    A7,
    IMPORTRANGE(
      ""1ZygntHC1J6IxzKbTidmOyf5nUyW4GCLurHCjexrLm_o"",
      ""HTMLキャッシュ!A:F""
    ),
    2,
    FALSE
  ),
  0
)
"),"SP")</f>
        <v>SP</v>
      </c>
      <c r="C7" s="1" t="str">
        <f>IFERROR(__xludf.DUMMYFUNCTION("IFERROR(
  VLOOKUP(
    A7,
    IMPORTRANGE(
      ""1ZygntHC1J6IxzKbTidmOyf5nUyW4GCLurHCjexrLm_o"",
      ""HTMLキャッシュ!A:F""
    ),
    5,
    FALSE
  ),
  0
)
"),"大学受験 国語専門オンライン 個別指導で読解力徹底強化")</f>
        <v>大学受験 国語専門オンライン 個別指導で読解力徹底強化</v>
      </c>
      <c r="D7" s="1" t="str">
        <f>IFERROR(__xludf.DUMMYFUNCTION("IFERROR(
  VLOOKUP(
    A7,
    IMPORTRANGE(
      ""1ZygntHC1J6IxzKbTidmOyf5nUyW4GCLurHCjexrLm_o        "",
      ""HTMLキャッシュ!A:F""
    ),
    6,
    FALSE
  ),
  0
)
"),"国語専門のオンライン個別。現代文・小論文を1対1添削し、根拠取りと答案をその場で修正。料金・流れ掲載。")</f>
        <v>国語専門のオンライン個別。現代文・小論文を1対1添削し、根拠取りと答案をその場で修正。料金・流れ掲載。</v>
      </c>
      <c r="E7" s="49">
        <f t="shared" ref="E7:F7" si="26">LEN(C7)</f>
        <v>27</v>
      </c>
      <c r="F7" s="49">
        <f t="shared" si="26"/>
        <v>51</v>
      </c>
      <c r="G7" s="32">
        <f>IFERROR(__xludf.DUMMYFUNCTION("IFERROR(
  VLOOKUP(
    A7,
    IMPORTRANGE(
      ""1ZygntHC1J6IxzKbTidmOyf5nUyW4GCLurHCjexrLm_o        "",
      ""HTMLキャッシュ!A:F""
    ),
    3,
    FALSE
  ),
  0
)
"),46081.72615740741)</f>
        <v>46081.72616</v>
      </c>
      <c r="H7" s="49">
        <f>IFERROR(__xludf.DUMMYFUNCTION("IFERROR(
  VLOOKUP(
    A7,
    IMPORTRANGE(
      ""1ZHMy3vVUd_0MrSduXTe1etBb1HNpAlGwQr006ljwMiM"",
      ""GSC最新!A:F""
    ),
    2,
    FALSE
  ),
  0
)
"),14.0)</f>
        <v>14</v>
      </c>
      <c r="I7" s="49">
        <f>IFERROR(__xludf.DUMMYFUNCTION("IFERROR(
  VLOOKUP(
    A7,
    IMPORTRANGE(
      ""1ZHMy3vVUd_0MrSduXTe1etBb1HNpAlGwQr006ljwMiM"",
      ""GSC最新!A:F""
    ),
    3,
    FALSE
  ),
  0
)
"),30.0)</f>
        <v>30</v>
      </c>
      <c r="J7" s="49">
        <f>IFERROR(__xludf.DUMMYFUNCTION("IFERROR(
  VLOOKUP(
    A7,
    IMPORTRANGE(
      ""1ZHMy3vVUd_0MrSduXTe1etBb1HNpAlGwQr006ljwMiM"",
      ""GSC最新!A:F""
    ),
    4,
    FALSE
  ),
  0
)
"),9.0)</f>
        <v>9</v>
      </c>
      <c r="K7" s="49">
        <f>IFERROR(__xludf.DUMMYFUNCTION("IFERROR(
  VLOOKUP(
    A7,
    IMPORTRANGE(
      ""1ZHMy3vVUd_0MrSduXTe1etBb1HNpAlGwQr006ljwMiM"",
      ""GSC最新!A:F""
    ),
    5,
    FALSE
  ),
  0
)
"),27.0)</f>
        <v>27</v>
      </c>
      <c r="L7" s="50">
        <f t="shared" ref="L7:M7" si="27">IFERROR(H7/J7,"-")</f>
        <v>1.555555556</v>
      </c>
      <c r="M7" s="50">
        <f t="shared" si="27"/>
        <v>1.111111111</v>
      </c>
      <c r="N7" s="6">
        <f>IFERROR(__xludf.DUMMYFUNCTION("IFERROR(
  VLOOKUP(
    A7,
    IMPORTRANGE(
      ""1ZHMy3vVUd_0MrSduXTe1etBb1HNpAlGwQr006ljwMiM"",
      ""GSC最新!A:R""
    ),
    7,
    FALSE
  ),
  0
)
"),241.0)</f>
        <v>241</v>
      </c>
      <c r="O7" s="6">
        <f>IFERROR(__xludf.DUMMYFUNCTION("IFERROR(
  VLOOKUP(
    A7,
    IMPORTRANGE(
      ""1ZHMy3vVUd_0MrSduXTe1etBb1HNpAlGwQr006ljwMiM"",
      ""GSC最新!A:R""
    ),
    10,
    FALSE
  ),
  0
)
"),584.0)</f>
        <v>584</v>
      </c>
      <c r="P7" s="6">
        <f>IFERROR(__xludf.DUMMYFUNCTION("IFERROR(
  VLOOKUP(
    A7,
    IMPORTRANGE(
      ""1ZHMy3vVUd_0MrSduXTe1etBb1HNpAlGwQr006ljwMiM"",
      ""GSC最新!A:R""
    ),
    13,
    FALSE
  ),
  0
)
"),274.0)</f>
        <v>274</v>
      </c>
      <c r="Q7" s="6">
        <f>IFERROR(__xludf.DUMMYFUNCTION("IFERROR(
  VLOOKUP(
    A7,
    IMPORTRANGE(
      ""1ZHMy3vVUd_0MrSduXTe1etBb1HNpAlGwQr006ljwMiM"",
      ""GSC最新!A:R""
    ),
    16,
    FALSE
  ),
  0
)
"),1562.0)</f>
        <v>1562</v>
      </c>
      <c r="R7" s="51">
        <f t="shared" ref="R7:S7" si="28">IFERROR(N7/P7,"-")</f>
        <v>0.8795620438</v>
      </c>
      <c r="S7" s="51">
        <f t="shared" si="28"/>
        <v>0.3738796415</v>
      </c>
      <c r="T7" s="9">
        <f>IFERROR(__xludf.DUMMYFUNCTION("IFERROR(
  VLOOKUP(
    A7,
    IMPORTRANGE(
      ""1ZHMy3vVUd_0MrSduXTe1etBb1HNpAlGwQr006ljwMiM"",
      ""GSC最新!A:R""
    ),
    8,
    FALSE
  ),
  0
)
"),0.058091286307053944)</f>
        <v>0.05809128631</v>
      </c>
      <c r="U7" s="9">
        <f>IFERROR(__xludf.DUMMYFUNCTION("IFERROR(
  VLOOKUP(
    A7,
    IMPORTRANGE(
      ""1ZHMy3vVUd_0MrSduXTe1etBb1HNpAlGwQr006ljwMiM"",
      ""GSC最新!A:R""
    ),
    11,
    FALSE
  ),
  0
)
"),0.05136986301369863)</f>
        <v>0.05136986301</v>
      </c>
      <c r="V7" s="9">
        <f>IFERROR(__xludf.DUMMYFUNCTION("IFERROR(
  VLOOKUP(
    A7,
    IMPORTRANGE(
      ""1ZHMy3vVUd_0MrSduXTe1etBb1HNpAlGwQr006ljwMiM"",
      ""GSC最新!A:R""
    ),
    14,
    FALSE
  ),
  0
)
"),0.032846715328467155)</f>
        <v>0.03284671533</v>
      </c>
      <c r="W7" s="9">
        <f>IFERROR(__xludf.DUMMYFUNCTION("IFERROR(
  VLOOKUP(
    A7,
    IMPORTRANGE(
      ""1ZHMy3vVUd_0MrSduXTe1etBb1HNpAlGwQr006ljwMiM"",
      ""GSC最新!A:R""
    ),
    17,
    FALSE
  ),
  0
)
"),0.017285531370038413)</f>
        <v>0.01728553137</v>
      </c>
      <c r="X7" s="9">
        <f t="shared" ref="X7:Y7" si="29">IFERROR(T7-V7,"-")</f>
        <v>0.02524457098</v>
      </c>
      <c r="Y7" s="9">
        <f t="shared" si="29"/>
        <v>0.03408433164</v>
      </c>
      <c r="Z7" s="52">
        <f>IFERROR(__xludf.DUMMYFUNCTION("IFERROR(
  VLOOKUP(
    A7,
    IMPORTRANGE(
      ""1ZHMy3vVUd_0MrSduXTe1etBb1HNpAlGwQr006ljwMiM"",
      ""GSC最新!A:R""
    ),
    9,
    FALSE
  ),
  0
)
"),11.004149377593361)</f>
        <v>11.00414938</v>
      </c>
      <c r="AA7" s="52">
        <f>IFERROR(__xludf.DUMMYFUNCTION("IFERROR(
  VLOOKUP(
    A7,
    IMPORTRANGE(
      ""1ZHMy3vVUd_0MrSduXTe1etBb1HNpAlGwQr006ljwMiM"",
      ""GSC最新!A:R""
    ),
    12,
    FALSE
  ),
  0
)
"),9.64041095890411)</f>
        <v>9.640410959</v>
      </c>
      <c r="AB7" s="52">
        <f>IFERROR(__xludf.DUMMYFUNCTION("IFERROR(
  VLOOKUP(
    A7,
    IMPORTRANGE(
      ""1ZHMy3vVUd_0MrSduXTe1etBb1HNpAlGwQr006ljwMiM"",
      ""GSC最新!A:R""
    ),
    15,
    FALSE
  ),
  0
)
"),23.631386861313867)</f>
        <v>23.63138686</v>
      </c>
      <c r="AC7" s="52">
        <f>IFERROR(__xludf.DUMMYFUNCTION("IFERROR(
  VLOOKUP(
    A7,
    IMPORTRANGE(
      ""1ZHMy3vVUd_0MrSduXTe1etBb1HNpAlGwQr006ljwMiM"",
      ""GSC最新!A:R""
    ),
    18,
    FALSE
  ),
  0
)
"),37.414212548015364)</f>
        <v>37.41421255</v>
      </c>
      <c r="AD7" s="52">
        <f t="shared" ref="AD7:AE7" si="30">Z7-AB7</f>
        <v>-12.62723748</v>
      </c>
      <c r="AE7" s="52">
        <f t="shared" si="30"/>
        <v>-27.77380159</v>
      </c>
      <c r="AF7" s="53">
        <f>IFERROR(__xludf.DUMMYFUNCTION("IFERROR(
  VLOOKUP(
    A7,
    IMPORTRANGE(
      ""1ZHMy3vVUd_0MrSduXTe1etBb1HNpAlGwQr006ljwMiM"",
      ""GSC最新!A:F""
    ),
    6,
    FALSE
  ),
  0
)
"),46081.0)</f>
        <v>46081</v>
      </c>
      <c r="AG7" s="54">
        <f>IFERROR(__xludf.DUMMYFUNCTION("IFERROR(
  VLOOKUP(
    A7,
    IMPORTRANGE(
      ""1SCYQd7_cobOYqT0r_F0IqD4tE4rYn5y8Eup4PJTH8es"",
      ""Snapshot!A:M""
    ),
    5,
    FALSE
  ),
  ""-""
)
"),10.0)</f>
        <v>10</v>
      </c>
      <c r="AH7" s="54">
        <f>IFERROR(__xludf.DUMMYFUNCTION("IFERROR(
  VLOOKUP(
    A7,
    IMPORTRANGE(
      ""1SCYQd7_cobOYqT0r_F0IqD4tE4rYn5y8Eup4PJTH8es"",
      ""Snapshot!A:M""
    ),
    6,
    FALSE
  ),
  0
)
"),4.0)</f>
        <v>4</v>
      </c>
      <c r="AI7" s="54">
        <f>IFERROR(__xludf.DUMMYFUNCTION("IFERROR(
  VLOOKUP(
    A7,
    IMPORTRANGE(
      ""1SCYQd7_cobOYqT0r_F0IqD4tE4rYn5y8Eup4PJTH8es"",
      ""Snapshot!A:M""
    ),
    7,
    FALSE
  ),
  0
)
"),4767.0)</f>
        <v>4767</v>
      </c>
      <c r="AJ7" s="54">
        <f>IFERROR(__xludf.DUMMYFUNCTION("IFERROR(
  VLOOKUP(
    A7,
    IMPORTRANGE(
      ""1SCYQd7_cobOYqT0r_F0IqD4tE4rYn5y8Eup4PJTH8es"",
      ""Snapshot!A:M""
    ),
    8,
    FALSE
  ),
  0
)
"),6.0)</f>
        <v>6</v>
      </c>
      <c r="AK7" s="54">
        <f>IFERROR(__xludf.DUMMYFUNCTION("IFERROR(
  VLOOKUP(
    A7,
    IMPORTRANGE(
      ""1SCYQd7_cobOYqT0r_F0IqD4tE4rYn5y8Eup4PJTH8es"",
      ""Snapshot!A:M""
    ),
    9,
    FALSE
  ),
  0
)
"),3.0)</f>
        <v>3</v>
      </c>
      <c r="AL7" s="54">
        <f>IFERROR(__xludf.DUMMYFUNCTION("IFERROR(
  VLOOKUP(
    A7,
    IMPORTRANGE(
      ""1SCYQd7_cobOYqT0r_F0IqD4tE4rYn5y8Eup4PJTH8es"",
      ""Snapshot!A:M""
    ),
    13,
    FALSE
  ),
  0
)
"),2.0)</f>
        <v>2</v>
      </c>
    </row>
    <row r="8">
      <c r="A8" s="56" t="s">
        <v>291</v>
      </c>
      <c r="B8" s="1" t="str">
        <f>IFERROR(__xludf.DUMMYFUNCTION("IFERROR(
  VLOOKUP(
    A8,
    IMPORTRANGE(
      ""1ZygntHC1J6IxzKbTidmOyf5nUyW4GCLurHCjexrLm_o"",
      ""HTMLキャッシュ!A:F""
    ),
    2,
    FALSE
  ),
  0
)
"),"SP")</f>
        <v>SP</v>
      </c>
      <c r="C8" s="1" t="str">
        <f>IFERROR(__xludf.DUMMYFUNCTION("IFERROR(
  VLOOKUP(
    A8,
    IMPORTRANGE(
      ""1ZygntHC1J6IxzKbTidmOyf5nUyW4GCLurHCjexrLm_o"",
      ""HTMLキャッシュ!A:F""
    ),
    5,
    FALSE
  ),
  0
)
"),"中学受験算数WEB授業｜SAPIX小5対応｜夏井算数塾")</f>
        <v>中学受験算数WEB授業｜SAPIX小5対応｜夏井算数塾</v>
      </c>
      <c r="D8" s="1" t="str">
        <f>IFERROR(__xludf.DUMMYFUNCTION("IFERROR(
  VLOOKUP(
    A8,
    IMPORTRANGE(
      ""1ZygntHC1J6IxzKbTidmOyf5nUyW4GCLurHCjexrLm_o        "",
      ""HTMLキャッシュ!A:F""
    ),
    6,
    FALSE
  ),
  0
)
"),"夏井算数塾の中学受験向けWEB算数講座一覧。SAPIX小5の日々・マンスリー対策を動画で補強し、自宅学習を支援。")</f>
        <v>夏井算数塾の中学受験向けWEB算数講座一覧。SAPIX小5の日々・マンスリー対策を動画で補強し、自宅学習を支援。</v>
      </c>
      <c r="E8" s="49">
        <f t="shared" ref="E8:F8" si="31">LEN(C8)</f>
        <v>27</v>
      </c>
      <c r="F8" s="49">
        <f t="shared" si="31"/>
        <v>56</v>
      </c>
      <c r="G8" s="32">
        <f>IFERROR(__xludf.DUMMYFUNCTION("IFERROR(
  VLOOKUP(
    A8,
    IMPORTRANGE(
      ""1ZygntHC1J6IxzKbTidmOyf5nUyW4GCLurHCjexrLm_o        "",
      ""HTMLキャッシュ!A:F""
    ),
    3,
    FALSE
  ),
  0
)
"),46084.65114583333)</f>
        <v>46084.65115</v>
      </c>
      <c r="H8" s="49">
        <f>IFERROR(__xludf.DUMMYFUNCTION("IFERROR(
  VLOOKUP(
    A8,
    IMPORTRANGE(
      ""1ZHMy3vVUd_0MrSduXTe1etBb1HNpAlGwQr006ljwMiM"",
      ""GSC最新!A:F""
    ),
    2,
    FALSE
  ),
  0
)
"),7.0)</f>
        <v>7</v>
      </c>
      <c r="I8" s="49">
        <f>IFERROR(__xludf.DUMMYFUNCTION("IFERROR(
  VLOOKUP(
    A8,
    IMPORTRANGE(
      ""1ZHMy3vVUd_0MrSduXTe1etBb1HNpAlGwQr006ljwMiM"",
      ""GSC最新!A:F""
    ),
    3,
    FALSE
  ),
  0
)
"),13.0)</f>
        <v>13</v>
      </c>
      <c r="J8" s="49">
        <f>IFERROR(__xludf.DUMMYFUNCTION("IFERROR(
  VLOOKUP(
    A8,
    IMPORTRANGE(
      ""1ZHMy3vVUd_0MrSduXTe1etBb1HNpAlGwQr006ljwMiM"",
      ""GSC最新!A:F""
    ),
    4,
    FALSE
  ),
  0
)
"),0.0)</f>
        <v>0</v>
      </c>
      <c r="K8" s="49">
        <f>IFERROR(__xludf.DUMMYFUNCTION("IFERROR(
  VLOOKUP(
    A8,
    IMPORTRANGE(
      ""1ZHMy3vVUd_0MrSduXTe1etBb1HNpAlGwQr006ljwMiM"",
      ""GSC最新!A:F""
    ),
    5,
    FALSE
  ),
  0
)
"),4.0)</f>
        <v>4</v>
      </c>
      <c r="L8" s="50" t="str">
        <f t="shared" ref="L8:M8" si="32">IFERROR(H8/J8,"-")</f>
        <v>-</v>
      </c>
      <c r="M8" s="50">
        <f t="shared" si="32"/>
        <v>3.25</v>
      </c>
      <c r="N8" s="6">
        <f>IFERROR(__xludf.DUMMYFUNCTION("IFERROR(
  VLOOKUP(
    A8,
    IMPORTRANGE(
      ""1ZHMy3vVUd_0MrSduXTe1etBb1HNpAlGwQr006ljwMiM"",
      ""GSC最新!A:R""
    ),
    7,
    FALSE
  ),
  0
)
"),223.0)</f>
        <v>223</v>
      </c>
      <c r="O8" s="6">
        <f>IFERROR(__xludf.DUMMYFUNCTION("IFERROR(
  VLOOKUP(
    A8,
    IMPORTRANGE(
      ""1ZHMy3vVUd_0MrSduXTe1etBb1HNpAlGwQr006ljwMiM"",
      ""GSC最新!A:R""
    ),
    10,
    FALSE
  ),
  0
)
"),508.0)</f>
        <v>508</v>
      </c>
      <c r="P8" s="6">
        <f>IFERROR(__xludf.DUMMYFUNCTION("IFERROR(
  VLOOKUP(
    A8,
    IMPORTRANGE(
      ""1ZHMy3vVUd_0MrSduXTe1etBb1HNpAlGwQr006ljwMiM"",
      ""GSC最新!A:R""
    ),
    13,
    FALSE
  ),
  0
)
"),141.0)</f>
        <v>141</v>
      </c>
      <c r="Q8" s="6">
        <f>IFERROR(__xludf.DUMMYFUNCTION("IFERROR(
  VLOOKUP(
    A8,
    IMPORTRANGE(
      ""1ZHMy3vVUd_0MrSduXTe1etBb1HNpAlGwQr006ljwMiM"",
      ""GSC最新!A:R""
    ),
    16,
    FALSE
  ),
  0
)
"),334.0)</f>
        <v>334</v>
      </c>
      <c r="R8" s="51">
        <f t="shared" ref="R8:S8" si="33">IFERROR(N8/P8,"-")</f>
        <v>1.581560284</v>
      </c>
      <c r="S8" s="51">
        <f t="shared" si="33"/>
        <v>1.520958084</v>
      </c>
      <c r="T8" s="9">
        <f>IFERROR(__xludf.DUMMYFUNCTION("IFERROR(
  VLOOKUP(
    A8,
    IMPORTRANGE(
      ""1ZHMy3vVUd_0MrSduXTe1etBb1HNpAlGwQr006ljwMiM"",
      ""GSC最新!A:R""
    ),
    8,
    FALSE
  ),
  0
)
"),0.03139013452914798)</f>
        <v>0.03139013453</v>
      </c>
      <c r="U8" s="9">
        <f>IFERROR(__xludf.DUMMYFUNCTION("IFERROR(
  VLOOKUP(
    A8,
    IMPORTRANGE(
      ""1ZHMy3vVUd_0MrSduXTe1etBb1HNpAlGwQr006ljwMiM"",
      ""GSC最新!A:R""
    ),
    11,
    FALSE
  ),
  0
)
"),0.025590551181102362)</f>
        <v>0.02559055118</v>
      </c>
      <c r="V8" s="9">
        <f>IFERROR(__xludf.DUMMYFUNCTION("IFERROR(
  VLOOKUP(
    A8,
    IMPORTRANGE(
      ""1ZHMy3vVUd_0MrSduXTe1etBb1HNpAlGwQr006ljwMiM"",
      ""GSC最新!A:R""
    ),
    14,
    FALSE
  ),
  0
)
"),0.0)</f>
        <v>0</v>
      </c>
      <c r="W8" s="9">
        <f>IFERROR(__xludf.DUMMYFUNCTION("IFERROR(
  VLOOKUP(
    A8,
    IMPORTRANGE(
      ""1ZHMy3vVUd_0MrSduXTe1etBb1HNpAlGwQr006ljwMiM"",
      ""GSC最新!A:R""
    ),
    17,
    FALSE
  ),
  0
)
"),0.011976047904191617)</f>
        <v>0.0119760479</v>
      </c>
      <c r="X8" s="9">
        <f t="shared" ref="X8:Y8" si="34">IFERROR(T8-V8,"-")</f>
        <v>0.03139013453</v>
      </c>
      <c r="Y8" s="9">
        <f t="shared" si="34"/>
        <v>0.01361450328</v>
      </c>
      <c r="Z8" s="52">
        <f>IFERROR(__xludf.DUMMYFUNCTION("IFERROR(
  VLOOKUP(
    A8,
    IMPORTRANGE(
      ""1ZHMy3vVUd_0MrSduXTe1etBb1HNpAlGwQr006ljwMiM"",
      ""GSC最新!A:R""
    ),
    9,
    FALSE
  ),
  0
)
"),8.547085201793722)</f>
        <v>8.547085202</v>
      </c>
      <c r="AA8" s="52">
        <f>IFERROR(__xludf.DUMMYFUNCTION("IFERROR(
  VLOOKUP(
    A8,
    IMPORTRANGE(
      ""1ZHMy3vVUd_0MrSduXTe1etBb1HNpAlGwQr006ljwMiM"",
      ""GSC最新!A:R""
    ),
    12,
    FALSE
  ),
  0
)
"),6.755905511811024)</f>
        <v>6.755905512</v>
      </c>
      <c r="AB8" s="52">
        <f>IFERROR(__xludf.DUMMYFUNCTION("IFERROR(
  VLOOKUP(
    A8,
    IMPORTRANGE(
      ""1ZHMy3vVUd_0MrSduXTe1etBb1HNpAlGwQr006ljwMiM"",
      ""GSC最新!A:R""
    ),
    15,
    FALSE
  ),
  0
)
"),9.205673758865249)</f>
        <v>9.205673759</v>
      </c>
      <c r="AC8" s="52">
        <f>IFERROR(__xludf.DUMMYFUNCTION("IFERROR(
  VLOOKUP(
    A8,
    IMPORTRANGE(
      ""1ZHMy3vVUd_0MrSduXTe1etBb1HNpAlGwQr006ljwMiM"",
      ""GSC最新!A:R""
    ),
    18,
    FALSE
  ),
  0
)
"),16.146706586826348)</f>
        <v>16.14670659</v>
      </c>
      <c r="AD8" s="52">
        <f t="shared" ref="AD8:AE8" si="35">Z8-AB8</f>
        <v>-0.6585885571</v>
      </c>
      <c r="AE8" s="52">
        <f t="shared" si="35"/>
        <v>-9.390801075</v>
      </c>
      <c r="AF8" s="53">
        <f>IFERROR(__xludf.DUMMYFUNCTION("IFERROR(
  VLOOKUP(
    A8,
    IMPORTRANGE(
      ""1ZHMy3vVUd_0MrSduXTe1etBb1HNpAlGwQr006ljwMiM"",
      ""GSC最新!A:F""
    ),
    6,
    FALSE
  ),
  0
)
"),46081.0)</f>
        <v>46081</v>
      </c>
      <c r="AG8" s="54">
        <f>IFERROR(__xludf.DUMMYFUNCTION("IFERROR(
  VLOOKUP(
    A8,
    IMPORTRANGE(
      ""1SCYQd7_cobOYqT0r_F0IqD4tE4rYn5y8Eup4PJTH8es"",
      ""Snapshot!A:M""
    ),
    5,
    FALSE
  ),
  ""-""
)
"),3.0)</f>
        <v>3</v>
      </c>
      <c r="AH8" s="54">
        <f>IFERROR(__xludf.DUMMYFUNCTION("IFERROR(
  VLOOKUP(
    A8,
    IMPORTRANGE(
      ""1SCYQd7_cobOYqT0r_F0IqD4tE4rYn5y8Eup4PJTH8es"",
      ""Snapshot!A:M""
    ),
    6,
    FALSE
  ),
  0
)
"),1.0)</f>
        <v>1</v>
      </c>
      <c r="AI8" s="54">
        <f>IFERROR(__xludf.DUMMYFUNCTION("IFERROR(
  VLOOKUP(
    A8,
    IMPORTRANGE(
      ""1SCYQd7_cobOYqT0r_F0IqD4tE4rYn5y8Eup4PJTH8es"",
      ""Snapshot!A:M""
    ),
    7,
    FALSE
  ),
  0
)
"),1141.0)</f>
        <v>1141</v>
      </c>
      <c r="AJ8" s="54">
        <f>IFERROR(__xludf.DUMMYFUNCTION("IFERROR(
  VLOOKUP(
    A8,
    IMPORTRANGE(
      ""1SCYQd7_cobOYqT0r_F0IqD4tE4rYn5y8Eup4PJTH8es"",
      ""Snapshot!A:M""
    ),
    8,
    FALSE
  ),
  0
)
"),3.0)</f>
        <v>3</v>
      </c>
      <c r="AK8" s="54">
        <f>IFERROR(__xludf.DUMMYFUNCTION("IFERROR(
  VLOOKUP(
    A8,
    IMPORTRANGE(
      ""1SCYQd7_cobOYqT0r_F0IqD4tE4rYn5y8Eup4PJTH8es"",
      ""Snapshot!A:M""
    ),
    9,
    FALSE
  ),
  0
)
"),1.0)</f>
        <v>1</v>
      </c>
      <c r="AL8" s="54">
        <f>IFERROR(__xludf.DUMMYFUNCTION("IFERROR(
  VLOOKUP(
    A8,
    IMPORTRANGE(
      ""1SCYQd7_cobOYqT0r_F0IqD4tE4rYn5y8Eup4PJTH8es"",
      ""Snapshot!A:M""
    ),
    13,
    FALSE
  ),
  0
)
"),1.0)</f>
        <v>1</v>
      </c>
    </row>
    <row r="9">
      <c r="A9" s="56" t="s">
        <v>292</v>
      </c>
      <c r="B9" s="1" t="str">
        <f>IFERROR(__xludf.DUMMYFUNCTION("IFERROR(
  VLOOKUP(
    A9,
    IMPORTRANGE(
      ""1ZygntHC1J6IxzKbTidmOyf5nUyW4GCLurHCjexrLm_o"",
      ""HTMLキャッシュ!A:F""
    ),
    2,
    FALSE
  ),
  0
)
"),"SP")</f>
        <v>SP</v>
      </c>
      <c r="C9" s="1" t="str">
        <f>IFERROR(__xludf.DUMMYFUNCTION("IFERROR(
  VLOOKUP(
    A9,
    IMPORTRANGE(
      ""1ZygntHC1J6IxzKbTidmOyf5nUyW4GCLurHCjexrLm_o"",
      ""HTMLキャッシュ!A:F""
    ),
    5,
    FALSE
  ),
  0
)
"),"中学受験社会単発個別指導講座｜記述地形図対策オンライン塾")</f>
        <v>中学受験社会単発個別指導講座｜記述地形図対策オンライン塾</v>
      </c>
      <c r="D9" s="1" t="str">
        <f>IFERROR(__xludf.DUMMYFUNCTION("IFERROR(
  VLOOKUP(
    A9,
    IMPORTRANGE(
      ""1ZygntHC1J6IxzKbTidmOyf5nUyW4GCLurHCjexrLm_o        "",
      ""HTMLキャッシュ!A:F""
    ),
    6,
    FALSE
  ),
  0
)
"),"選択は取れるのに記述で失点する子へ。志望校別の単発個別指導で因果説明と資料読解を強化。オンライン対応、答案添削相談可")</f>
        <v>選択は取れるのに記述で失点する子へ。志望校別の単発個別指導で因果説明と資料読解を強化。オンライン対応、答案添削相談可</v>
      </c>
      <c r="E9" s="49">
        <f t="shared" ref="E9:F9" si="36">LEN(C9)</f>
        <v>28</v>
      </c>
      <c r="F9" s="49">
        <f t="shared" si="36"/>
        <v>58</v>
      </c>
      <c r="G9" s="32">
        <f>IFERROR(__xludf.DUMMYFUNCTION("IFERROR(
  VLOOKUP(
    A9,
    IMPORTRANGE(
      ""1ZygntHC1J6IxzKbTidmOyf5nUyW4GCLurHCjexrLm_o        "",
      ""HTMLキャッシュ!A:F""
    ),
    3,
    FALSE
  ),
  0
)
"),46080.83326388889)</f>
        <v>46080.83326</v>
      </c>
      <c r="H9" s="49">
        <f>IFERROR(__xludf.DUMMYFUNCTION("IFERROR(
  VLOOKUP(
    A9,
    IMPORTRANGE(
      ""1ZHMy3vVUd_0MrSduXTe1etBb1HNpAlGwQr006ljwMiM"",
      ""GSC最新!A:F""
    ),
    2,
    FALSE
  ),
  0
)
"),5.0)</f>
        <v>5</v>
      </c>
      <c r="I9" s="49">
        <f>IFERROR(__xludf.DUMMYFUNCTION("IFERROR(
  VLOOKUP(
    A9,
    IMPORTRANGE(
      ""1ZHMy3vVUd_0MrSduXTe1etBb1HNpAlGwQr006ljwMiM"",
      ""GSC最新!A:F""
    ),
    3,
    FALSE
  ),
  0
)
"),6.0)</f>
        <v>6</v>
      </c>
      <c r="J9" s="49">
        <f>IFERROR(__xludf.DUMMYFUNCTION("IFERROR(
  VLOOKUP(
    A9,
    IMPORTRANGE(
      ""1ZHMy3vVUd_0MrSduXTe1etBb1HNpAlGwQr006ljwMiM"",
      ""GSC最新!A:F""
    ),
    4,
    FALSE
  ),
  0
)
"),0.0)</f>
        <v>0</v>
      </c>
      <c r="K9" s="49">
        <f>IFERROR(__xludf.DUMMYFUNCTION("IFERROR(
  VLOOKUP(
    A9,
    IMPORTRANGE(
      ""1ZHMy3vVUd_0MrSduXTe1etBb1HNpAlGwQr006ljwMiM"",
      ""GSC最新!A:F""
    ),
    5,
    FALSE
  ),
  0
)
"),0.0)</f>
        <v>0</v>
      </c>
      <c r="L9" s="50" t="str">
        <f t="shared" ref="L9:M9" si="37">IFERROR(H9/J9,"-")</f>
        <v>-</v>
      </c>
      <c r="M9" s="50" t="str">
        <f t="shared" si="37"/>
        <v>-</v>
      </c>
      <c r="N9" s="6">
        <f>IFERROR(__xludf.DUMMYFUNCTION("IFERROR(
  VLOOKUP(
    A9,
    IMPORTRANGE(
      ""1ZHMy3vVUd_0MrSduXTe1etBb1HNpAlGwQr006ljwMiM"",
      ""GSC最新!A:R""
    ),
    7,
    FALSE
  ),
  0
)
"),256.0)</f>
        <v>256</v>
      </c>
      <c r="O9" s="6">
        <f>IFERROR(__xludf.DUMMYFUNCTION("IFERROR(
  VLOOKUP(
    A9,
    IMPORTRANGE(
      ""1ZHMy3vVUd_0MrSduXTe1etBb1HNpAlGwQr006ljwMiM"",
      ""GSC最新!A:R""
    ),
    10,
    FALSE
  ),
  0
)
"),388.0)</f>
        <v>388</v>
      </c>
      <c r="P9" s="6">
        <f>IFERROR(__xludf.DUMMYFUNCTION("IFERROR(
  VLOOKUP(
    A9,
    IMPORTRANGE(
      ""1ZHMy3vVUd_0MrSduXTe1etBb1HNpAlGwQr006ljwMiM"",
      ""GSC最新!A:R""
    ),
    13,
    FALSE
  ),
  0
)
"),16.0)</f>
        <v>16</v>
      </c>
      <c r="Q9" s="6">
        <f>IFERROR(__xludf.DUMMYFUNCTION("IFERROR(
  VLOOKUP(
    A9,
    IMPORTRANGE(
      ""1ZHMy3vVUd_0MrSduXTe1etBb1HNpAlGwQr006ljwMiM"",
      ""GSC最新!A:R""
    ),
    16,
    FALSE
  ),
  0
)
"),47.0)</f>
        <v>47</v>
      </c>
      <c r="R9" s="51">
        <f t="shared" ref="R9:S9" si="38">IFERROR(N9/P9,"-")</f>
        <v>16</v>
      </c>
      <c r="S9" s="51">
        <f t="shared" si="38"/>
        <v>8.255319149</v>
      </c>
      <c r="T9" s="9">
        <f>IFERROR(__xludf.DUMMYFUNCTION("IFERROR(
  VLOOKUP(
    A9,
    IMPORTRANGE(
      ""1ZHMy3vVUd_0MrSduXTe1etBb1HNpAlGwQr006ljwMiM"",
      ""GSC最新!A:R""
    ),
    8,
    FALSE
  ),
  0
)
"),0.01953125)</f>
        <v>0.01953125</v>
      </c>
      <c r="U9" s="9">
        <f>IFERROR(__xludf.DUMMYFUNCTION("IFERROR(
  VLOOKUP(
    A9,
    IMPORTRANGE(
      ""1ZHMy3vVUd_0MrSduXTe1etBb1HNpAlGwQr006ljwMiM"",
      ""GSC最新!A:R""
    ),
    11,
    FALSE
  ),
  0
)
"),0.015463917525773196)</f>
        <v>0.01546391753</v>
      </c>
      <c r="V9" s="9">
        <f>IFERROR(__xludf.DUMMYFUNCTION("IFERROR(
  VLOOKUP(
    A9,
    IMPORTRANGE(
      ""1ZHMy3vVUd_0MrSduXTe1etBb1HNpAlGwQr006ljwMiM"",
      ""GSC最新!A:R""
    ),
    14,
    FALSE
  ),
  0
)
"),0.0)</f>
        <v>0</v>
      </c>
      <c r="W9" s="9">
        <f>IFERROR(__xludf.DUMMYFUNCTION("IFERROR(
  VLOOKUP(
    A9,
    IMPORTRANGE(
      ""1ZHMy3vVUd_0MrSduXTe1etBb1HNpAlGwQr006ljwMiM"",
      ""GSC最新!A:R""
    ),
    17,
    FALSE
  ),
  0
)
"),0.0)</f>
        <v>0</v>
      </c>
      <c r="X9" s="9">
        <f t="shared" ref="X9:Y9" si="39">IFERROR(T9-V9,"-")</f>
        <v>0.01953125</v>
      </c>
      <c r="Y9" s="9">
        <f t="shared" si="39"/>
        <v>0.01546391753</v>
      </c>
      <c r="Z9" s="52">
        <f>IFERROR(__xludf.DUMMYFUNCTION("IFERROR(
  VLOOKUP(
    A9,
    IMPORTRANGE(
      ""1ZHMy3vVUd_0MrSduXTe1etBb1HNpAlGwQr006ljwMiM"",
      ""GSC最新!A:R""
    ),
    9,
    FALSE
  ),
  0
)
"),7.97265625)</f>
        <v>7.97265625</v>
      </c>
      <c r="AA9" s="52">
        <f>IFERROR(__xludf.DUMMYFUNCTION("IFERROR(
  VLOOKUP(
    A9,
    IMPORTRANGE(
      ""1ZHMy3vVUd_0MrSduXTe1etBb1HNpAlGwQr006ljwMiM"",
      ""GSC最新!A:R""
    ),
    12,
    FALSE
  ),
  0
)
"),7.61340206185567)</f>
        <v>7.613402062</v>
      </c>
      <c r="AB9" s="52">
        <f>IFERROR(__xludf.DUMMYFUNCTION("IFERROR(
  VLOOKUP(
    A9,
    IMPORTRANGE(
      ""1ZHMy3vVUd_0MrSduXTe1etBb1HNpAlGwQr006ljwMiM"",
      ""GSC最新!A:R""
    ),
    15,
    FALSE
  ),
  0
)
"),6.25)</f>
        <v>6.25</v>
      </c>
      <c r="AC9" s="52">
        <f>IFERROR(__xludf.DUMMYFUNCTION("IFERROR(
  VLOOKUP(
    A9,
    IMPORTRANGE(
      ""1ZHMy3vVUd_0MrSduXTe1etBb1HNpAlGwQr006ljwMiM"",
      ""GSC最新!A:R""
    ),
    18,
    FALSE
  ),
  0
)
"),9.829787234042554)</f>
        <v>9.829787234</v>
      </c>
      <c r="AD9" s="52">
        <f t="shared" ref="AD9:AE9" si="40">Z9-AB9</f>
        <v>1.72265625</v>
      </c>
      <c r="AE9" s="52">
        <f t="shared" si="40"/>
        <v>-2.216385172</v>
      </c>
      <c r="AF9" s="53">
        <f>IFERROR(__xludf.DUMMYFUNCTION("IFERROR(
  VLOOKUP(
    A9,
    IMPORTRANGE(
      ""1ZHMy3vVUd_0MrSduXTe1etBb1HNpAlGwQr006ljwMiM"",
      ""GSC最新!A:F""
    ),
    6,
    FALSE
  ),
  0
)
"),46081.0)</f>
        <v>46081</v>
      </c>
      <c r="AG9" s="54">
        <f>IFERROR(__xludf.DUMMYFUNCTION("IFERROR(
  VLOOKUP(
    A9,
    IMPORTRANGE(
      ""1SCYQd7_cobOYqT0r_F0IqD4tE4rYn5y8Eup4PJTH8es"",
      ""Snapshot!A:M""
    ),
    5,
    FALSE
  ),
  ""-""
)
"),7.0)</f>
        <v>7</v>
      </c>
      <c r="AH9" s="54">
        <f>IFERROR(__xludf.DUMMYFUNCTION("IFERROR(
  VLOOKUP(
    A9,
    IMPORTRANGE(
      ""1SCYQd7_cobOYqT0r_F0IqD4tE4rYn5y8Eup4PJTH8es"",
      ""Snapshot!A:M""
    ),
    6,
    FALSE
  ),
  0
)
"),7.0)</f>
        <v>7</v>
      </c>
      <c r="AI9" s="54">
        <f>IFERROR(__xludf.DUMMYFUNCTION("IFERROR(
  VLOOKUP(
    A9,
    IMPORTRANGE(
      ""1SCYQd7_cobOYqT0r_F0IqD4tE4rYn5y8Eup4PJTH8es"",
      ""Snapshot!A:M""
    ),
    7,
    FALSE
  ),
  0
)
"),5289.0)</f>
        <v>5289</v>
      </c>
      <c r="AJ9" s="54">
        <f>IFERROR(__xludf.DUMMYFUNCTION("IFERROR(
  VLOOKUP(
    A9,
    IMPORTRANGE(
      ""1SCYQd7_cobOYqT0r_F0IqD4tE4rYn5y8Eup4PJTH8es"",
      ""Snapshot!A:M""
    ),
    8,
    FALSE
  ),
  0
)
"),1.0)</f>
        <v>1</v>
      </c>
      <c r="AK9" s="54">
        <f>IFERROR(__xludf.DUMMYFUNCTION("IFERROR(
  VLOOKUP(
    A9,
    IMPORTRANGE(
      ""1SCYQd7_cobOYqT0r_F0IqD4tE4rYn5y8Eup4PJTH8es"",
      ""Snapshot!A:M""
    ),
    9,
    FALSE
  ),
  0
)
"),9.0)</f>
        <v>9</v>
      </c>
      <c r="AL9" s="54">
        <f>IFERROR(__xludf.DUMMYFUNCTION("IFERROR(
  VLOOKUP(
    A9,
    IMPORTRANGE(
      ""1SCYQd7_cobOYqT0r_F0IqD4tE4rYn5y8Eup4PJTH8es"",
      ""Snapshot!A:M""
    ),
    13,
    FALSE
  ),
  0
)
"),1.0)</f>
        <v>1</v>
      </c>
    </row>
    <row r="10">
      <c r="A10" s="56" t="s">
        <v>293</v>
      </c>
      <c r="B10" s="1" t="str">
        <f>IFERROR(__xludf.DUMMYFUNCTION("IFERROR(
  VLOOKUP(
    A10,
    IMPORTRANGE(
      ""1ZygntHC1J6IxzKbTidmOyf5nUyW4GCLurHCjexrLm_o"",
      ""HTMLキャッシュ!A:F""
    ),
    2,
    FALSE
  ),
  0
)
"),"SP")</f>
        <v>SP</v>
      </c>
      <c r="C10" s="1" t="str">
        <f>IFERROR(__xludf.DUMMYFUNCTION("IFERROR(
  VLOOKUP(
    A10,
    IMPORTRANGE(
      ""1ZygntHC1J6IxzKbTidmOyf5nUyW4GCLurHCjexrLm_o"",
      ""HTMLキャッシュ!A:F""
    ),
    5,
    FALSE
  ),
  0
)
"),"中学受験社会の地理塾｜個別指導で地図・資料の読み取りまで強化")</f>
        <v>中学受験社会の地理塾｜個別指導で地図・資料の読み取りまで強化</v>
      </c>
      <c r="D10" s="1" t="str">
        <f>IFERROR(__xludf.DUMMYFUNCTION("IFERROR(
  VLOOKUP(
    A10,
    IMPORTRANGE(
      ""1ZygntHC1J6IxzKbTidmOyf5nUyW4GCLurHCjexrLm_o        "",
      ""HTMLキャッシュ!A:F""
    ),
    6,
    FALSE
  ),
  0
)
"),"地理が覚えても問題で出ない小4〜小6向け。地図と資料の読み取りから練習し、8回で要点を整理。教室/オンライン対応。相談受付中")</f>
        <v>地理が覚えても問題で出ない小4〜小6向け。地図と資料の読み取りから練習し、8回で要点を整理。教室/オンライン対応。相談受付中</v>
      </c>
      <c r="E10" s="49">
        <f t="shared" ref="E10:F10" si="41">LEN(C10)</f>
        <v>30</v>
      </c>
      <c r="F10" s="49">
        <f t="shared" si="41"/>
        <v>62</v>
      </c>
      <c r="G10" s="32">
        <f>IFERROR(__xludf.DUMMYFUNCTION("IFERROR(
  VLOOKUP(
    A10,
    IMPORTRANGE(
      ""1ZygntHC1J6IxzKbTidmOyf5nUyW4GCLurHCjexrLm_o        "",
      ""HTMLキャッシュ!A:F""
    ),
    3,
    FALSE
  ),
  0
)
"),46081.74900462963)</f>
        <v>46081.749</v>
      </c>
      <c r="H10" s="49">
        <f>IFERROR(__xludf.DUMMYFUNCTION("IFERROR(
  VLOOKUP(
    A10,
    IMPORTRANGE(
      ""1ZHMy3vVUd_0MrSduXTe1etBb1HNpAlGwQr006ljwMiM"",
      ""GSC最新!A:F""
    ),
    2,
    FALSE
  ),
  0
)
"),2.0)</f>
        <v>2</v>
      </c>
      <c r="I10" s="49">
        <f>IFERROR(__xludf.DUMMYFUNCTION("IFERROR(
  VLOOKUP(
    A10,
    IMPORTRANGE(
      ""1ZHMy3vVUd_0MrSduXTe1etBb1HNpAlGwQr006ljwMiM"",
      ""GSC最新!A:F""
    ),
    3,
    FALSE
  ),
  0
)
"),4.0)</f>
        <v>4</v>
      </c>
      <c r="J10" s="49">
        <f>IFERROR(__xludf.DUMMYFUNCTION("IFERROR(
  VLOOKUP(
    A10,
    IMPORTRANGE(
      ""1ZHMy3vVUd_0MrSduXTe1etBb1HNpAlGwQr006ljwMiM"",
      ""GSC最新!A:F""
    ),
    4,
    FALSE
  ),
  0
)
"),4.0)</f>
        <v>4</v>
      </c>
      <c r="K10" s="49">
        <f>IFERROR(__xludf.DUMMYFUNCTION("IFERROR(
  VLOOKUP(
    A10,
    IMPORTRANGE(
      ""1ZHMy3vVUd_0MrSduXTe1etBb1HNpAlGwQr006ljwMiM"",
      ""GSC最新!A:F""
    ),
    5,
    FALSE
  ),
  0
)
"),12.0)</f>
        <v>12</v>
      </c>
      <c r="L10" s="50">
        <f t="shared" ref="L10:M10" si="42">IFERROR(H10/J10,"-")</f>
        <v>0.5</v>
      </c>
      <c r="M10" s="50">
        <f t="shared" si="42"/>
        <v>0.3333333333</v>
      </c>
      <c r="N10" s="6">
        <f>IFERROR(__xludf.DUMMYFUNCTION("IFERROR(
  VLOOKUP(
    A10,
    IMPORTRANGE(
      ""1ZHMy3vVUd_0MrSduXTe1etBb1HNpAlGwQr006ljwMiM"",
      ""GSC最新!A:R""
    ),
    7,
    FALSE
  ),
  0
)
"),124.0)</f>
        <v>124</v>
      </c>
      <c r="O10" s="6">
        <f>IFERROR(__xludf.DUMMYFUNCTION("IFERROR(
  VLOOKUP(
    A10,
    IMPORTRANGE(
      ""1ZHMy3vVUd_0MrSduXTe1etBb1HNpAlGwQr006ljwMiM"",
      ""GSC最新!A:R""
    ),
    10,
    FALSE
  ),
  0
)
"),367.0)</f>
        <v>367</v>
      </c>
      <c r="P10" s="6">
        <f>IFERROR(__xludf.DUMMYFUNCTION("IFERROR(
  VLOOKUP(
    A10,
    IMPORTRANGE(
      ""1ZHMy3vVUd_0MrSduXTe1etBb1HNpAlGwQr006ljwMiM"",
      ""GSC最新!A:R""
    ),
    13,
    FALSE
  ),
  0
)
"),106.0)</f>
        <v>106</v>
      </c>
      <c r="Q10" s="6">
        <f>IFERROR(__xludf.DUMMYFUNCTION("IFERROR(
  VLOOKUP(
    A10,
    IMPORTRANGE(
      ""1ZHMy3vVUd_0MrSduXTe1etBb1HNpAlGwQr006ljwMiM"",
      ""GSC最新!A:R""
    ),
    16,
    FALSE
  ),
  0
)
"),293.0)</f>
        <v>293</v>
      </c>
      <c r="R10" s="51">
        <f t="shared" ref="R10:S10" si="43">IFERROR(N10/P10,"-")</f>
        <v>1.169811321</v>
      </c>
      <c r="S10" s="51">
        <f t="shared" si="43"/>
        <v>1.252559727</v>
      </c>
      <c r="T10" s="9">
        <f>IFERROR(__xludf.DUMMYFUNCTION("IFERROR(
  VLOOKUP(
    A10,
    IMPORTRANGE(
      ""1ZHMy3vVUd_0MrSduXTe1etBb1HNpAlGwQr006ljwMiM"",
      ""GSC最新!A:R""
    ),
    8,
    FALSE
  ),
  0
)
"),0.016129032258064516)</f>
        <v>0.01612903226</v>
      </c>
      <c r="U10" s="9">
        <f>IFERROR(__xludf.DUMMYFUNCTION("IFERROR(
  VLOOKUP(
    A10,
    IMPORTRANGE(
      ""1ZHMy3vVUd_0MrSduXTe1etBb1HNpAlGwQr006ljwMiM"",
      ""GSC最新!A:R""
    ),
    11,
    FALSE
  ),
  0
)
"),0.010899182561307902)</f>
        <v>0.01089918256</v>
      </c>
      <c r="V10" s="9">
        <f>IFERROR(__xludf.DUMMYFUNCTION("IFERROR(
  VLOOKUP(
    A10,
    IMPORTRANGE(
      ""1ZHMy3vVUd_0MrSduXTe1etBb1HNpAlGwQr006ljwMiM"",
      ""GSC最新!A:R""
    ),
    14,
    FALSE
  ),
  0
)
"),0.03773584905660377)</f>
        <v>0.03773584906</v>
      </c>
      <c r="W10" s="9">
        <f>IFERROR(__xludf.DUMMYFUNCTION("IFERROR(
  VLOOKUP(
    A10,
    IMPORTRANGE(
      ""1ZHMy3vVUd_0MrSduXTe1etBb1HNpAlGwQr006ljwMiM"",
      ""GSC最新!A:R""
    ),
    17,
    FALSE
  ),
  0
)
"),0.040955631399317405)</f>
        <v>0.0409556314</v>
      </c>
      <c r="X10" s="9">
        <f t="shared" ref="X10:Y10" si="44">IFERROR(T10-V10,"-")</f>
        <v>-0.0216068168</v>
      </c>
      <c r="Y10" s="9">
        <f t="shared" si="44"/>
        <v>-0.03005644884</v>
      </c>
      <c r="Z10" s="52">
        <f>IFERROR(__xludf.DUMMYFUNCTION("IFERROR(
  VLOOKUP(
    A10,
    IMPORTRANGE(
      ""1ZHMy3vVUd_0MrSduXTe1etBb1HNpAlGwQr006ljwMiM"",
      ""GSC最新!A:R""
    ),
    9,
    FALSE
  ),
  0
)
"),14.64516129032258)</f>
        <v>14.64516129</v>
      </c>
      <c r="AA10" s="52">
        <f>IFERROR(__xludf.DUMMYFUNCTION("IFERROR(
  VLOOKUP(
    A10,
    IMPORTRANGE(
      ""1ZHMy3vVUd_0MrSduXTe1etBb1HNpAlGwQr006ljwMiM"",
      ""GSC最新!A:R""
    ),
    12,
    FALSE
  ),
  0
)
"),16.869209809264305)</f>
        <v>16.86920981</v>
      </c>
      <c r="AB10" s="52">
        <f>IFERROR(__xludf.DUMMYFUNCTION("IFERROR(
  VLOOKUP(
    A10,
    IMPORTRANGE(
      ""1ZHMy3vVUd_0MrSduXTe1etBb1HNpAlGwQr006ljwMiM"",
      ""GSC最新!A:R""
    ),
    15,
    FALSE
  ),
  0
)
"),31.971698113207548)</f>
        <v>31.97169811</v>
      </c>
      <c r="AC10" s="52">
        <f>IFERROR(__xludf.DUMMYFUNCTION("IFERROR(
  VLOOKUP(
    A10,
    IMPORTRANGE(
      ""1ZHMy3vVUd_0MrSduXTe1etBb1HNpAlGwQr006ljwMiM"",
      ""GSC最新!A:R""
    ),
    18,
    FALSE
  ),
  0
)
"),32.33447098976109)</f>
        <v>32.33447099</v>
      </c>
      <c r="AD10" s="52">
        <f t="shared" ref="AD10:AE10" si="45">Z10-AB10</f>
        <v>-17.32653682</v>
      </c>
      <c r="AE10" s="52">
        <f t="shared" si="45"/>
        <v>-15.46526118</v>
      </c>
      <c r="AF10" s="53">
        <f>IFERROR(__xludf.DUMMYFUNCTION("IFERROR(
  VLOOKUP(
    A10,
    IMPORTRANGE(
      ""1ZHMy3vVUd_0MrSduXTe1etBb1HNpAlGwQr006ljwMiM"",
      ""GSC最新!A:F""
    ),
    6,
    FALSE
  ),
  0
)
"),46081.0)</f>
        <v>46081</v>
      </c>
      <c r="AG10" s="54">
        <f>IFERROR(__xludf.DUMMYFUNCTION("IFERROR(
  VLOOKUP(
    A10,
    IMPORTRANGE(
      ""1SCYQd7_cobOYqT0r_F0IqD4tE4rYn5y8Eup4PJTH8es"",
      ""Snapshot!A:M""
    ),
    5,
    FALSE
  ),
  ""-""
)
"),5.0)</f>
        <v>5</v>
      </c>
      <c r="AH10" s="54">
        <f>IFERROR(__xludf.DUMMYFUNCTION("IFERROR(
  VLOOKUP(
    A10,
    IMPORTRANGE(
      ""1SCYQd7_cobOYqT0r_F0IqD4tE4rYn5y8Eup4PJTH8es"",
      ""Snapshot!A:M""
    ),
    6,
    FALSE
  ),
  0
)
"),12.0)</f>
        <v>12</v>
      </c>
      <c r="AI10" s="54">
        <f>IFERROR(__xludf.DUMMYFUNCTION("IFERROR(
  VLOOKUP(
    A10,
    IMPORTRANGE(
      ""1SCYQd7_cobOYqT0r_F0IqD4tE4rYn5y8Eup4PJTH8es"",
      ""Snapshot!A:M""
    ),
    7,
    FALSE
  ),
  0
)
"),3659.0)</f>
        <v>3659</v>
      </c>
      <c r="AJ10" s="54">
        <f>IFERROR(__xludf.DUMMYFUNCTION("IFERROR(
  VLOOKUP(
    A10,
    IMPORTRANGE(
      ""1SCYQd7_cobOYqT0r_F0IqD4tE4rYn5y8Eup4PJTH8es"",
      ""Snapshot!A:M""
    ),
    8,
    FALSE
  ),
  0
)
"),5.0)</f>
        <v>5</v>
      </c>
      <c r="AK10" s="54">
        <f>IFERROR(__xludf.DUMMYFUNCTION("IFERROR(
  VLOOKUP(
    A10,
    IMPORTRANGE(
      ""1SCYQd7_cobOYqT0r_F0IqD4tE4rYn5y8Eup4PJTH8es"",
      ""Snapshot!A:M""
    ),
    9,
    FALSE
  ),
  0
)
"),7.0)</f>
        <v>7</v>
      </c>
      <c r="AL10" s="54">
        <f>IFERROR(__xludf.DUMMYFUNCTION("IFERROR(
  VLOOKUP(
    A10,
    IMPORTRANGE(
      ""1SCYQd7_cobOYqT0r_F0IqD4tE4rYn5y8Eup4PJTH8es"",
      ""Snapshot!A:M""
    ),
    13,
    FALSE
  ),
  0
)
"),1.0)</f>
        <v>1</v>
      </c>
    </row>
    <row r="11">
      <c r="A11" s="56" t="s">
        <v>294</v>
      </c>
      <c r="B11" s="1" t="str">
        <f>IFERROR(__xludf.DUMMYFUNCTION("IFERROR(
  VLOOKUP(
    A11,
    IMPORTRANGE(
      ""1ZygntHC1J6IxzKbTidmOyf5nUyW4GCLurHCjexrLm_o"",
      ""HTMLキャッシュ!A:F""
    ),
    2,
    FALSE
  ),
  0
)
"),"SP")</f>
        <v>SP</v>
      </c>
      <c r="C11" s="1" t="str">
        <f>IFERROR(__xludf.DUMMYFUNCTION("IFERROR(
  VLOOKUP(
    A11,
    IMPORTRANGE(
      ""1ZygntHC1J6IxzKbTidmOyf5nUyW4GCLurHCjexrLm_o"",
      ""HTMLキャッシュ!A:F""
    ),
    5,
    FALSE
  ),
  0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D11" s="1" t="str">
        <f>IFERROR(__xludf.DUMMYFUNCTION("IFERROR(
  VLOOKUP(
    A11,
    IMPORTRANGE(
      ""1ZygntHC1J6IxzKbTidmOyf5nUyW4GCLurHCjexrLm_o        "",
      ""HTMLキャッシュ!A:F""
    ),
    6,
    FALSE
  ),
  0
)
"),"現在開講中の講座は以下の通りです。 読解ラボ東京の指導方針・対応学年・オンライン/教室など、サービス全体の概要")</f>
        <v>現在開講中の講座は以下の通りです。 読解ラボ東京の指導方針・対応学年・オンライン/教室など、サービス全体の概要</v>
      </c>
      <c r="E11" s="49">
        <f t="shared" ref="E11:F11" si="46">LEN(C11)</f>
        <v>60</v>
      </c>
      <c r="F11" s="49">
        <f t="shared" si="46"/>
        <v>55</v>
      </c>
      <c r="G11" s="32">
        <f>IFERROR(__xludf.DUMMYFUNCTION("IFERROR(
  VLOOKUP(
    A11,
    IMPORTRANGE(
      ""1ZygntHC1J6IxzKbTidmOyf5nUyW4GCLurHCjexrLm_o        "",
      ""HTMLキャッシュ!A:F""
    ),
    3,
    FALSE
  ),
  0
)
"),46081.78864583333)</f>
        <v>46081.78865</v>
      </c>
      <c r="H11" s="49">
        <f>IFERROR(__xludf.DUMMYFUNCTION("IFERROR(
  VLOOKUP(
    A11,
    IMPORTRANGE(
      ""1ZHMy3vVUd_0MrSduXTe1etBb1HNpAlGwQr006ljwMiM"",
      ""GSC最新!A:F""
    ),
    2,
    FALSE
  ),
  0
)
"),11.0)</f>
        <v>11</v>
      </c>
      <c r="I11" s="49">
        <f>IFERROR(__xludf.DUMMYFUNCTION("IFERROR(
  VLOOKUP(
    A11,
    IMPORTRANGE(
      ""1ZHMy3vVUd_0MrSduXTe1etBb1HNpAlGwQr006ljwMiM"",
      ""GSC最新!A:F""
    ),
    3,
    FALSE
  ),
  0
)
"),21.0)</f>
        <v>21</v>
      </c>
      <c r="J11" s="49">
        <f>IFERROR(__xludf.DUMMYFUNCTION("IFERROR(
  VLOOKUP(
    A11,
    IMPORTRANGE(
      ""1ZHMy3vVUd_0MrSduXTe1etBb1HNpAlGwQr006ljwMiM"",
      ""GSC最新!A:F""
    ),
    4,
    FALSE
  ),
  0
)
"),3.0)</f>
        <v>3</v>
      </c>
      <c r="K11" s="49">
        <f>IFERROR(__xludf.DUMMYFUNCTION("IFERROR(
  VLOOKUP(
    A11,
    IMPORTRANGE(
      ""1ZHMy3vVUd_0MrSduXTe1etBb1HNpAlGwQr006ljwMiM"",
      ""GSC最新!A:F""
    ),
    5,
    FALSE
  ),
  0
)
"),3.0)</f>
        <v>3</v>
      </c>
      <c r="L11" s="50">
        <f t="shared" ref="L11:M11" si="47">IFERROR(H11/J11,"-")</f>
        <v>3.666666667</v>
      </c>
      <c r="M11" s="50">
        <f t="shared" si="47"/>
        <v>7</v>
      </c>
      <c r="N11" s="6">
        <f>IFERROR(__xludf.DUMMYFUNCTION("IFERROR(
  VLOOKUP(
    A11,
    IMPORTRANGE(
      ""1ZHMy3vVUd_0MrSduXTe1etBb1HNpAlGwQr006ljwMiM"",
      ""GSC最新!A:R""
    ),
    7,
    FALSE
  ),
  0
)
"),118.0)</f>
        <v>118</v>
      </c>
      <c r="O11" s="6">
        <f>IFERROR(__xludf.DUMMYFUNCTION("IFERROR(
  VLOOKUP(
    A11,
    IMPORTRANGE(
      ""1ZHMy3vVUd_0MrSduXTe1etBb1HNpAlGwQr006ljwMiM"",
      ""GSC最新!A:R""
    ),
    10,
    FALSE
  ),
  0
)
"),334.0)</f>
        <v>334</v>
      </c>
      <c r="P11" s="6">
        <f>IFERROR(__xludf.DUMMYFUNCTION("IFERROR(
  VLOOKUP(
    A11,
    IMPORTRANGE(
      ""1ZHMy3vVUd_0MrSduXTe1etBb1HNpAlGwQr006ljwMiM"",
      ""GSC最新!A:R""
    ),
    13,
    FALSE
  ),
  0
)
"),63.0)</f>
        <v>63</v>
      </c>
      <c r="Q11" s="6">
        <f>IFERROR(__xludf.DUMMYFUNCTION("IFERROR(
  VLOOKUP(
    A11,
    IMPORTRANGE(
      ""1ZHMy3vVUd_0MrSduXTe1etBb1HNpAlGwQr006ljwMiM"",
      ""GSC最新!A:R""
    ),
    16,
    FALSE
  ),
  0
)
"),195.0)</f>
        <v>195</v>
      </c>
      <c r="R11" s="51">
        <f t="shared" ref="R11:S11" si="48">IFERROR(N11/P11,"-")</f>
        <v>1.873015873</v>
      </c>
      <c r="S11" s="51">
        <f t="shared" si="48"/>
        <v>1.712820513</v>
      </c>
      <c r="T11" s="9">
        <f>IFERROR(__xludf.DUMMYFUNCTION("IFERROR(
  VLOOKUP(
    A11,
    IMPORTRANGE(
      ""1ZHMy3vVUd_0MrSduXTe1etBb1HNpAlGwQr006ljwMiM"",
      ""GSC最新!A:R""
    ),
    8,
    FALSE
  ),
  0
)
"),0.09322033898305085)</f>
        <v>0.09322033898</v>
      </c>
      <c r="U11" s="9">
        <f>IFERROR(__xludf.DUMMYFUNCTION("IFERROR(
  VLOOKUP(
    A11,
    IMPORTRANGE(
      ""1ZHMy3vVUd_0MrSduXTe1etBb1HNpAlGwQr006ljwMiM"",
      ""GSC最新!A:R""
    ),
    11,
    FALSE
  ),
  0
)
"),0.06287425149700598)</f>
        <v>0.0628742515</v>
      </c>
      <c r="V11" s="9">
        <f>IFERROR(__xludf.DUMMYFUNCTION("IFERROR(
  VLOOKUP(
    A11,
    IMPORTRANGE(
      ""1ZHMy3vVUd_0MrSduXTe1etBb1HNpAlGwQr006ljwMiM"",
      ""GSC最新!A:R""
    ),
    14,
    FALSE
  ),
  0
)
"),0.047619047619047616)</f>
        <v>0.04761904762</v>
      </c>
      <c r="W11" s="9">
        <f>IFERROR(__xludf.DUMMYFUNCTION("IFERROR(
  VLOOKUP(
    A11,
    IMPORTRANGE(
      ""1ZHMy3vVUd_0MrSduXTe1etBb1HNpAlGwQr006ljwMiM"",
      ""GSC最新!A:R""
    ),
    17,
    FALSE
  ),
  0
)
"),0.015384615384615385)</f>
        <v>0.01538461538</v>
      </c>
      <c r="X11" s="9">
        <f t="shared" ref="X11:Y11" si="49">IFERROR(T11-V11,"-")</f>
        <v>0.04560129136</v>
      </c>
      <c r="Y11" s="9">
        <f t="shared" si="49"/>
        <v>0.04748963611</v>
      </c>
      <c r="Z11" s="52">
        <f>IFERROR(__xludf.DUMMYFUNCTION("IFERROR(
  VLOOKUP(
    A11,
    IMPORTRANGE(
      ""1ZHMy3vVUd_0MrSduXTe1etBb1HNpAlGwQr006ljwMiM"",
      ""GSC最新!A:R""
    ),
    9,
    FALSE
  ),
  0
)
"),6.093220338983051)</f>
        <v>6.093220339</v>
      </c>
      <c r="AA11" s="52">
        <f>IFERROR(__xludf.DUMMYFUNCTION("IFERROR(
  VLOOKUP(
    A11,
    IMPORTRANGE(
      ""1ZHMy3vVUd_0MrSduXTe1etBb1HNpAlGwQr006ljwMiM"",
      ""GSC最新!A:R""
    ),
    12,
    FALSE
  ),
  0
)
"),3.356287425149701)</f>
        <v>3.356287425</v>
      </c>
      <c r="AB11" s="52">
        <f>IFERROR(__xludf.DUMMYFUNCTION("IFERROR(
  VLOOKUP(
    A11,
    IMPORTRANGE(
      ""1ZHMy3vVUd_0MrSduXTe1etBb1HNpAlGwQr006ljwMiM"",
      ""GSC最新!A:R""
    ),
    15,
    FALSE
  ),
  0
)
"),2.7301587301587302)</f>
        <v>2.73015873</v>
      </c>
      <c r="AC11" s="52">
        <f>IFERROR(__xludf.DUMMYFUNCTION("IFERROR(
  VLOOKUP(
    A11,
    IMPORTRANGE(
      ""1ZHMy3vVUd_0MrSduXTe1etBb1HNpAlGwQr006ljwMiM"",
      ""GSC最新!A:R""
    ),
    18,
    FALSE
  ),
  0
)
"),2.1794871794871797)</f>
        <v>2.179487179</v>
      </c>
      <c r="AD11" s="52">
        <f t="shared" ref="AD11:AE11" si="50">Z11-AB11</f>
        <v>3.363061609</v>
      </c>
      <c r="AE11" s="52">
        <f t="shared" si="50"/>
        <v>1.176800246</v>
      </c>
      <c r="AF11" s="53">
        <f>IFERROR(__xludf.DUMMYFUNCTION("IFERROR(
  VLOOKUP(
    A11,
    IMPORTRANGE(
      ""1ZHMy3vVUd_0MrSduXTe1etBb1HNpAlGwQr006ljwMiM"",
      ""GSC最新!A:F""
    ),
    6,
    FALSE
  ),
  0
)
"),46081.0)</f>
        <v>46081</v>
      </c>
      <c r="AG11" s="54">
        <f>IFERROR(__xludf.DUMMYFUNCTION("IFERROR(
  VLOOKUP(
    A11,
    IMPORTRANGE(
      ""1SCYQd7_cobOYqT0r_F0IqD4tE4rYn5y8Eup4PJTH8es"",
      ""Snapshot!A:M""
    ),
    5,
    FALSE
  ),
  ""-""
)
"),8.0)</f>
        <v>8</v>
      </c>
      <c r="AH11" s="54">
        <f>IFERROR(__xludf.DUMMYFUNCTION("IFERROR(
  VLOOKUP(
    A11,
    IMPORTRANGE(
      ""1SCYQd7_cobOYqT0r_F0IqD4tE4rYn5y8Eup4PJTH8es"",
      ""Snapshot!A:M""
    ),
    6,
    FALSE
  ),
  0
)
"),15.0)</f>
        <v>15</v>
      </c>
      <c r="AI11" s="54">
        <f>IFERROR(__xludf.DUMMYFUNCTION("IFERROR(
  VLOOKUP(
    A11,
    IMPORTRANGE(
      ""1SCYQd7_cobOYqT0r_F0IqD4tE4rYn5y8Eup4PJTH8es"",
      ""Snapshot!A:M""
    ),
    7,
    FALSE
  ),
  0
)
"),3219.0)</f>
        <v>3219</v>
      </c>
      <c r="AJ11" s="54">
        <f>IFERROR(__xludf.DUMMYFUNCTION("IFERROR(
  VLOOKUP(
    A11,
    IMPORTRANGE(
      ""1SCYQd7_cobOYqT0r_F0IqD4tE4rYn5y8Eup4PJTH8es"",
      ""Snapshot!A:M""
    ),
    8,
    FALSE
  ),
  0
)
"),19.0)</f>
        <v>19</v>
      </c>
      <c r="AK11" s="54">
        <f>IFERROR(__xludf.DUMMYFUNCTION("IFERROR(
  VLOOKUP(
    A11,
    IMPORTRANGE(
      ""1SCYQd7_cobOYqT0r_F0IqD4tE4rYn5y8Eup4PJTH8es"",
      ""Snapshot!A:M""
    ),
    9,
    FALSE
  ),
  0
)
"),1.0)</f>
        <v>1</v>
      </c>
      <c r="AL11" s="54">
        <f>IFERROR(__xludf.DUMMYFUNCTION("IFERROR(
  VLOOKUP(
    A11,
    IMPORTRANGE(
      ""1SCYQd7_cobOYqT0r_F0IqD4tE4rYn5y8Eup4PJTH8es"",
      ""Snapshot!A:M""
    ),
    13,
    FALSE
  ),
  0
)
"),2.0)</f>
        <v>2</v>
      </c>
    </row>
    <row r="12">
      <c r="A12" s="56" t="s">
        <v>295</v>
      </c>
      <c r="B12" s="1" t="str">
        <f>IFERROR(__xludf.DUMMYFUNCTION("IFERROR(
  VLOOKUP(
    A12,
    IMPORTRANGE(
      ""1ZygntHC1J6IxzKbTidmOyf5nUyW4GCLurHCjexrLm_o"",
      ""HTMLキャッシュ!A:F""
    ),
    2,
    FALSE
  ),
  0
)
"),"SP")</f>
        <v>SP</v>
      </c>
      <c r="C12" s="1" t="str">
        <f>IFERROR(__xludf.DUMMYFUNCTION("IFERROR(
  VLOOKUP(
    A12,
    IMPORTRANGE(
      ""1ZygntHC1J6IxzKbTidmOyf5nUyW4GCLurHCjexrLm_o"",
      ""HTMLキャッシュ!A:F""
    ),
    5,
    FALSE
  ),
  0
)
"),"古文・漢文の個別指導｜苦手単元だけ2回完結で補強（文法・句法）｜古典専門塾かきつばた")</f>
        <v>古文・漢文の個別指導｜苦手単元だけ2回完結で補強（文法・句法）｜古典専門塾かきつばた</v>
      </c>
      <c r="D12" s="1" t="str">
        <f>IFERROR(__xludf.DUMMYFUNCTION("IFERROR(
  VLOOKUP(
    A12,
    IMPORTRANGE(
      ""1ZygntHC1J6IxzKbTidmOyf5nUyW4GCLurHCjexrLm_o        "",
      ""HTMLキャッシュ!A:F""
    ),
    6,
    FALSE
  ),
  0
)
"),"古文・漢文の苦手を「必要な単元だけ」個別で補強するワンポイント講座。古文文法（用言・助動詞・敬語）／漢文句法（否定・反語・使役受身など）をテーマ別に分割し、各パート2回完結で短期対策できます。受講までの流れ・料金も掲載。")</f>
        <v>古文・漢文の苦手を「必要な単元だけ」個別で補強するワンポイント講座。古文文法（用言・助動詞・敬語）／漢文句法（否定・反語・使役受身など）をテーマ別に分割し、各パート2回完結で短期対策できます。受講までの流れ・料金も掲載。</v>
      </c>
      <c r="E12" s="49">
        <f t="shared" ref="E12:F12" si="51">LEN(C12)</f>
        <v>42</v>
      </c>
      <c r="F12" s="49">
        <f t="shared" si="51"/>
        <v>110</v>
      </c>
      <c r="G12" s="32">
        <f>IFERROR(__xludf.DUMMYFUNCTION("IFERROR(
  VLOOKUP(
    A12,
    IMPORTRANGE(
      ""1ZygntHC1J6IxzKbTidmOyf5nUyW4GCLurHCjexrLm_o        "",
      ""HTMLキャッシュ!A:F""
    ),
    3,
    FALSE
  ),
  0
)
"),46081.64204861111)</f>
        <v>46081.64205</v>
      </c>
      <c r="H12" s="49">
        <f>IFERROR(__xludf.DUMMYFUNCTION("IFERROR(
  VLOOKUP(
    A12,
    IMPORTRANGE(
      ""1ZHMy3vVUd_0MrSduXTe1etBb1HNpAlGwQr006ljwMiM"",
      ""GSC最新!A:F""
    ),
    2,
    FALSE
  ),
  0
)
"),4.0)</f>
        <v>4</v>
      </c>
      <c r="I12" s="49">
        <f>IFERROR(__xludf.DUMMYFUNCTION("IFERROR(
  VLOOKUP(
    A12,
    IMPORTRANGE(
      ""1ZHMy3vVUd_0MrSduXTe1etBb1HNpAlGwQr006ljwMiM"",
      ""GSC最新!A:F""
    ),
    3,
    FALSE
  ),
  0
)
"),9.0)</f>
        <v>9</v>
      </c>
      <c r="J12" s="49">
        <f>IFERROR(__xludf.DUMMYFUNCTION("IFERROR(
  VLOOKUP(
    A12,
    IMPORTRANGE(
      ""1ZHMy3vVUd_0MrSduXTe1etBb1HNpAlGwQr006ljwMiM"",
      ""GSC最新!A:F""
    ),
    4,
    FALSE
  ),
  0
)
"),2.0)</f>
        <v>2</v>
      </c>
      <c r="K12" s="49">
        <f>IFERROR(__xludf.DUMMYFUNCTION("IFERROR(
  VLOOKUP(
    A12,
    IMPORTRANGE(
      ""1ZHMy3vVUd_0MrSduXTe1etBb1HNpAlGwQr006ljwMiM"",
      ""GSC最新!A:F""
    ),
    5,
    FALSE
  ),
  0
)
"),2.0)</f>
        <v>2</v>
      </c>
      <c r="L12" s="50">
        <f t="shared" ref="L12:M12" si="52">IFERROR(H12/J12,"-")</f>
        <v>2</v>
      </c>
      <c r="M12" s="50">
        <f t="shared" si="52"/>
        <v>4.5</v>
      </c>
      <c r="N12" s="6">
        <f>IFERROR(__xludf.DUMMYFUNCTION("IFERROR(
  VLOOKUP(
    A12,
    IMPORTRANGE(
      ""1ZHMy3vVUd_0MrSduXTe1etBb1HNpAlGwQr006ljwMiM"",
      ""GSC最新!A:R""
    ),
    7,
    FALSE
  ),
  0
)
"),116.0)</f>
        <v>116</v>
      </c>
      <c r="O12" s="6">
        <f>IFERROR(__xludf.DUMMYFUNCTION("IFERROR(
  VLOOKUP(
    A12,
    IMPORTRANGE(
      ""1ZHMy3vVUd_0MrSduXTe1etBb1HNpAlGwQr006ljwMiM"",
      ""GSC最新!A:R""
    ),
    10,
    FALSE
  ),
  0
)
"),294.0)</f>
        <v>294</v>
      </c>
      <c r="P12" s="6">
        <f>IFERROR(__xludf.DUMMYFUNCTION("IFERROR(
  VLOOKUP(
    A12,
    IMPORTRANGE(
      ""1ZHMy3vVUd_0MrSduXTe1etBb1HNpAlGwQr006ljwMiM"",
      ""GSC最新!A:R""
    ),
    13,
    FALSE
  ),
  0
)
"),39.0)</f>
        <v>39</v>
      </c>
      <c r="Q12" s="6">
        <f>IFERROR(__xludf.DUMMYFUNCTION("IFERROR(
  VLOOKUP(
    A12,
    IMPORTRANGE(
      ""1ZHMy3vVUd_0MrSduXTe1etBb1HNpAlGwQr006ljwMiM"",
      ""GSC最新!A:R""
    ),
    16,
    FALSE
  ),
  0
)
"),160.0)</f>
        <v>160</v>
      </c>
      <c r="R12" s="51">
        <f t="shared" ref="R12:S12" si="53">IFERROR(N12/P12,"-")</f>
        <v>2.974358974</v>
      </c>
      <c r="S12" s="51">
        <f t="shared" si="53"/>
        <v>1.8375</v>
      </c>
      <c r="T12" s="9">
        <f>IFERROR(__xludf.DUMMYFUNCTION("IFERROR(
  VLOOKUP(
    A12,
    IMPORTRANGE(
      ""1ZHMy3vVUd_0MrSduXTe1etBb1HNpAlGwQr006ljwMiM"",
      ""GSC最新!A:R""
    ),
    8,
    FALSE
  ),
  0
)
"),0.034482758620689655)</f>
        <v>0.03448275862</v>
      </c>
      <c r="U12" s="9">
        <f>IFERROR(__xludf.DUMMYFUNCTION("IFERROR(
  VLOOKUP(
    A12,
    IMPORTRANGE(
      ""1ZHMy3vVUd_0MrSduXTe1etBb1HNpAlGwQr006ljwMiM"",
      ""GSC最新!A:R""
    ),
    11,
    FALSE
  ),
  0
)
"),0.030612244897959183)</f>
        <v>0.0306122449</v>
      </c>
      <c r="V12" s="9">
        <f>IFERROR(__xludf.DUMMYFUNCTION("IFERROR(
  VLOOKUP(
    A12,
    IMPORTRANGE(
      ""1ZHMy3vVUd_0MrSduXTe1etBb1HNpAlGwQr006ljwMiM"",
      ""GSC最新!A:R""
    ),
    14,
    FALSE
  ),
  0
)
"),0.05128205128205128)</f>
        <v>0.05128205128</v>
      </c>
      <c r="W12" s="9">
        <f>IFERROR(__xludf.DUMMYFUNCTION("IFERROR(
  VLOOKUP(
    A12,
    IMPORTRANGE(
      ""1ZHMy3vVUd_0MrSduXTe1etBb1HNpAlGwQr006ljwMiM"",
      ""GSC最新!A:R""
    ),
    17,
    FALSE
  ),
  0
)
"),0.0125)</f>
        <v>0.0125</v>
      </c>
      <c r="X12" s="9">
        <f t="shared" ref="X12:Y12" si="54">IFERROR(T12-V12,"-")</f>
        <v>-0.01679929266</v>
      </c>
      <c r="Y12" s="9">
        <f t="shared" si="54"/>
        <v>0.0181122449</v>
      </c>
      <c r="Z12" s="52">
        <f>IFERROR(__xludf.DUMMYFUNCTION("IFERROR(
  VLOOKUP(
    A12,
    IMPORTRANGE(
      ""1ZHMy3vVUd_0MrSduXTe1etBb1HNpAlGwQr006ljwMiM"",
      ""GSC最新!A:R""
    ),
    9,
    FALSE
  ),
  0
)
"),6.818965517241379)</f>
        <v>6.818965517</v>
      </c>
      <c r="AA12" s="52">
        <f>IFERROR(__xludf.DUMMYFUNCTION("IFERROR(
  VLOOKUP(
    A12,
    IMPORTRANGE(
      ""1ZHMy3vVUd_0MrSduXTe1etBb1HNpAlGwQr006ljwMiM"",
      ""GSC最新!A:R""
    ),
    12,
    FALSE
  ),
  0
)
"),6.428571428571429)</f>
        <v>6.428571429</v>
      </c>
      <c r="AB12" s="52">
        <f>IFERROR(__xludf.DUMMYFUNCTION("IFERROR(
  VLOOKUP(
    A12,
    IMPORTRANGE(
      ""1ZHMy3vVUd_0MrSduXTe1etBb1HNpAlGwQr006ljwMiM"",
      ""GSC最新!A:R""
    ),
    15,
    FALSE
  ),
  0
)
"),10.256410256410257)</f>
        <v>10.25641026</v>
      </c>
      <c r="AC12" s="52">
        <f>IFERROR(__xludf.DUMMYFUNCTION("IFERROR(
  VLOOKUP(
    A12,
    IMPORTRANGE(
      ""1ZHMy3vVUd_0MrSduXTe1etBb1HNpAlGwQr006ljwMiM"",
      ""GSC最新!A:R""
    ),
    18,
    FALSE
  ),
  0
)
"),10.58125)</f>
        <v>10.58125</v>
      </c>
      <c r="AD12" s="52">
        <f t="shared" ref="AD12:AE12" si="55">Z12-AB12</f>
        <v>-3.437444739</v>
      </c>
      <c r="AE12" s="52">
        <f t="shared" si="55"/>
        <v>-4.152678571</v>
      </c>
      <c r="AF12" s="53">
        <f>IFERROR(__xludf.DUMMYFUNCTION("IFERROR(
  VLOOKUP(
    A12,
    IMPORTRANGE(
      ""1ZHMy3vVUd_0MrSduXTe1etBb1HNpAlGwQr006ljwMiM"",
      ""GSC最新!A:F""
    ),
    6,
    FALSE
  ),
  0
)
"),46081.0)</f>
        <v>46081</v>
      </c>
      <c r="AG12" s="54">
        <f>IFERROR(__xludf.DUMMYFUNCTION("IFERROR(
  VLOOKUP(
    A12,
    IMPORTRANGE(
      ""1SCYQd7_cobOYqT0r_F0IqD4tE4rYn5y8Eup4PJTH8es"",
      ""Snapshot!A:M""
    ),
    5,
    FALSE
  ),
  ""-""
)
"),8.0)</f>
        <v>8</v>
      </c>
      <c r="AH12" s="54">
        <f>IFERROR(__xludf.DUMMYFUNCTION("IFERROR(
  VLOOKUP(
    A12,
    IMPORTRANGE(
      ""1SCYQd7_cobOYqT0r_F0IqD4tE4rYn5y8Eup4PJTH8es"",
      ""Snapshot!A:M""
    ),
    6,
    FALSE
  ),
  0
)
"),13.0)</f>
        <v>13</v>
      </c>
      <c r="AI12" s="54">
        <f>IFERROR(__xludf.DUMMYFUNCTION("IFERROR(
  VLOOKUP(
    A12,
    IMPORTRANGE(
      ""1SCYQd7_cobOYqT0r_F0IqD4tE4rYn5y8Eup4PJTH8es"",
      ""Snapshot!A:M""
    ),
    7,
    FALSE
  ),
  0
)
"),3216.0)</f>
        <v>3216</v>
      </c>
      <c r="AJ12" s="54">
        <f>IFERROR(__xludf.DUMMYFUNCTION("IFERROR(
  VLOOKUP(
    A12,
    IMPORTRANGE(
      ""1SCYQd7_cobOYqT0r_F0IqD4tE4rYn5y8Eup4PJTH8es"",
      ""Snapshot!A:M""
    ),
    8,
    FALSE
  ),
  0
)
"),1.0)</f>
        <v>1</v>
      </c>
      <c r="AK12" s="54">
        <f>IFERROR(__xludf.DUMMYFUNCTION("IFERROR(
  VLOOKUP(
    A12,
    IMPORTRANGE(
      ""1SCYQd7_cobOYqT0r_F0IqD4tE4rYn5y8Eup4PJTH8es"",
      ""Snapshot!A:M""
    ),
    9,
    FALSE
  ),
  0
)
"),2.0)</f>
        <v>2</v>
      </c>
      <c r="AL12" s="54">
        <f>IFERROR(__xludf.DUMMYFUNCTION("IFERROR(
  VLOOKUP(
    A12,
    IMPORTRANGE(
      ""1SCYQd7_cobOYqT0r_F0IqD4tE4rYn5y8Eup4PJTH8es"",
      ""Snapshot!A:M""
    ),
    13,
    FALSE
  ),
  0
)
"),1.0)</f>
        <v>1</v>
      </c>
    </row>
    <row r="13">
      <c r="A13" s="56" t="s">
        <v>296</v>
      </c>
      <c r="B13" s="1" t="str">
        <f>IFERROR(__xludf.DUMMYFUNCTION("IFERROR(
  VLOOKUP(
    A13,
    IMPORTRANGE(
      ""1ZygntHC1J6IxzKbTidmOyf5nUyW4GCLurHCjexrLm_o"",
      ""HTMLキャッシュ!A:F""
    ),
    2,
    FALSE
  ),
  0
)
"),"SP")</f>
        <v>SP</v>
      </c>
      <c r="C13" s="1" t="str">
        <f>IFERROR(__xludf.DUMMYFUNCTION("IFERROR(
  VLOOKUP(
    A13,
    IMPORTRANGE(
      ""1ZygntHC1J6IxzKbTidmOyf5nUyW4GCLurHCjexrLm_o"",
      ""HTMLキャッシュ!A:F""
    ),
    5,
    FALSE
  ),
  0
)
"),"中高一貫校英語を伸ばす個別指導講座｜基礎応用対応オンライン塾")</f>
        <v>中高一貫校英語を伸ばす個別指導講座｜基礎応用対応オンライン塾</v>
      </c>
      <c r="D13" s="1" t="str">
        <f>IFERROR(__xludf.DUMMYFUNCTION("IFERROR(
  VLOOKUP(
    A13,
    IMPORTRANGE(
      ""1ZygntHC1J6IxzKbTidmOyf5nUyW4GCLurHCjexrLm_o        "",
      ""HTMLキャッシュ!A:F""
    ),
    6,
    FALSE
  ),
  0
)
"),"英語が伸び悩む中高一貫生へ。語彙文法構造を土台に英問英答まで個別指導で定着。大学受験対応、オンライン体験受付中")</f>
        <v>英語が伸び悩む中高一貫生へ。語彙文法構造を土台に英問英答まで個別指導で定着。大学受験対応、オンライン体験受付中</v>
      </c>
      <c r="E13" s="49">
        <f t="shared" ref="E13:F13" si="56">LEN(C13)</f>
        <v>30</v>
      </c>
      <c r="F13" s="49">
        <f t="shared" si="56"/>
        <v>55</v>
      </c>
      <c r="G13" s="32">
        <f>IFERROR(__xludf.DUMMYFUNCTION("IFERROR(
  VLOOKUP(
    A13,
    IMPORTRANGE(
      ""1ZygntHC1J6IxzKbTidmOyf5nUyW4GCLurHCjexrLm_o        "",
      ""HTMLキャッシュ!A:F""
    ),
    3,
    FALSE
  ),
  0
)
"),46083.691655092596)</f>
        <v>46083.69166</v>
      </c>
      <c r="H13" s="49">
        <f>IFERROR(__xludf.DUMMYFUNCTION("IFERROR(
  VLOOKUP(
    A13,
    IMPORTRANGE(
      ""1ZHMy3vVUd_0MrSduXTe1etBb1HNpAlGwQr006ljwMiM"",
      ""GSC最新!A:F""
    ),
    2,
    FALSE
  ),
  0
)
"),1.0)</f>
        <v>1</v>
      </c>
      <c r="I13" s="49">
        <f>IFERROR(__xludf.DUMMYFUNCTION("IFERROR(
  VLOOKUP(
    A13,
    IMPORTRANGE(
      ""1ZHMy3vVUd_0MrSduXTe1etBb1HNpAlGwQr006ljwMiM"",
      ""GSC最新!A:F""
    ),
    3,
    FALSE
  ),
  0
)
"),1.0)</f>
        <v>1</v>
      </c>
      <c r="J13" s="49">
        <f>IFERROR(__xludf.DUMMYFUNCTION("IFERROR(
  VLOOKUP(
    A13,
    IMPORTRANGE(
      ""1ZHMy3vVUd_0MrSduXTe1etBb1HNpAlGwQr006ljwMiM"",
      ""GSC最新!A:F""
    ),
    4,
    FALSE
  ),
  0
)
"),0.0)</f>
        <v>0</v>
      </c>
      <c r="K13" s="49">
        <f>IFERROR(__xludf.DUMMYFUNCTION("IFERROR(
  VLOOKUP(
    A13,
    IMPORTRANGE(
      ""1ZHMy3vVUd_0MrSduXTe1etBb1HNpAlGwQr006ljwMiM"",
      ""GSC最新!A:F""
    ),
    5,
    FALSE
  ),
  0
)
"),1.0)</f>
        <v>1</v>
      </c>
      <c r="L13" s="50" t="str">
        <f t="shared" ref="L13:M13" si="57">IFERROR(H13/J13,"-")</f>
        <v>-</v>
      </c>
      <c r="M13" s="50">
        <f t="shared" si="57"/>
        <v>1</v>
      </c>
      <c r="N13" s="6">
        <f>IFERROR(__xludf.DUMMYFUNCTION("IFERROR(
  VLOOKUP(
    A13,
    IMPORTRANGE(
      ""1ZHMy3vVUd_0MrSduXTe1etBb1HNpAlGwQr006ljwMiM"",
      ""GSC最新!A:R""
    ),
    7,
    FALSE
  ),
  0
)
"),260.0)</f>
        <v>260</v>
      </c>
      <c r="O13" s="6">
        <f>IFERROR(__xludf.DUMMYFUNCTION("IFERROR(
  VLOOKUP(
    A13,
    IMPORTRANGE(
      ""1ZHMy3vVUd_0MrSduXTe1etBb1HNpAlGwQr006ljwMiM"",
      ""GSC最新!A:R""
    ),
    10,
    FALSE
  ),
  0
)
"),275.0)</f>
        <v>275</v>
      </c>
      <c r="P13" s="6">
        <f>IFERROR(__xludf.DUMMYFUNCTION("IFERROR(
  VLOOKUP(
    A13,
    IMPORTRANGE(
      ""1ZHMy3vVUd_0MrSduXTe1etBb1HNpAlGwQr006ljwMiM"",
      ""GSC最新!A:R""
    ),
    13,
    FALSE
  ),
  0
)
"),0.0)</f>
        <v>0</v>
      </c>
      <c r="Q13" s="6">
        <f>IFERROR(__xludf.DUMMYFUNCTION("IFERROR(
  VLOOKUP(
    A13,
    IMPORTRANGE(
      ""1ZHMy3vVUd_0MrSduXTe1etBb1HNpAlGwQr006ljwMiM"",
      ""GSC最新!A:R""
    ),
    16,
    FALSE
  ),
  0
)
"),71.0)</f>
        <v>71</v>
      </c>
      <c r="R13" s="51" t="str">
        <f t="shared" ref="R13:S13" si="58">IFERROR(N13/P13,"-")</f>
        <v>-</v>
      </c>
      <c r="S13" s="51">
        <f t="shared" si="58"/>
        <v>3.873239437</v>
      </c>
      <c r="T13" s="9">
        <f>IFERROR(__xludf.DUMMYFUNCTION("IFERROR(
  VLOOKUP(
    A13,
    IMPORTRANGE(
      ""1ZHMy3vVUd_0MrSduXTe1etBb1HNpAlGwQr006ljwMiM"",
      ""GSC最新!A:R""
    ),
    8,
    FALSE
  ),
  0
)
"),0.0038461538461538464)</f>
        <v>0.003846153846</v>
      </c>
      <c r="U13" s="9">
        <f>IFERROR(__xludf.DUMMYFUNCTION("IFERROR(
  VLOOKUP(
    A13,
    IMPORTRANGE(
      ""1ZHMy3vVUd_0MrSduXTe1etBb1HNpAlGwQr006ljwMiM"",
      ""GSC最新!A:R""
    ),
    11,
    FALSE
  ),
  0
)
"),0.0036363636363636364)</f>
        <v>0.003636363636</v>
      </c>
      <c r="V13" s="9">
        <f>IFERROR(__xludf.DUMMYFUNCTION("IFERROR(
  VLOOKUP(
    A13,
    IMPORTRANGE(
      ""1ZHMy3vVUd_0MrSduXTe1etBb1HNpAlGwQr006ljwMiM"",
      ""GSC最新!A:R""
    ),
    14,
    FALSE
  ),
  0
)
"),0.0)</f>
        <v>0</v>
      </c>
      <c r="W13" s="9">
        <f>IFERROR(__xludf.DUMMYFUNCTION("IFERROR(
  VLOOKUP(
    A13,
    IMPORTRANGE(
      ""1ZHMy3vVUd_0MrSduXTe1etBb1HNpAlGwQr006ljwMiM"",
      ""GSC最新!A:R""
    ),
    17,
    FALSE
  ),
  0
)
"),0.014084507042253521)</f>
        <v>0.01408450704</v>
      </c>
      <c r="X13" s="9">
        <f t="shared" ref="X13:Y13" si="59">IFERROR(T13-V13,"-")</f>
        <v>0.003846153846</v>
      </c>
      <c r="Y13" s="9">
        <f t="shared" si="59"/>
        <v>-0.01044814341</v>
      </c>
      <c r="Z13" s="52">
        <f>IFERROR(__xludf.DUMMYFUNCTION("IFERROR(
  VLOOKUP(
    A13,
    IMPORTRANGE(
      ""1ZHMy3vVUd_0MrSduXTe1etBb1HNpAlGwQr006ljwMiM"",
      ""GSC最新!A:R""
    ),
    9,
    FALSE
  ),
  0
)
"),3.7192307692307693)</f>
        <v>3.719230769</v>
      </c>
      <c r="AA13" s="52">
        <f>IFERROR(__xludf.DUMMYFUNCTION("IFERROR(
  VLOOKUP(
    A13,
    IMPORTRANGE(
      ""1ZHMy3vVUd_0MrSduXTe1etBb1HNpAlGwQr006ljwMiM"",
      ""GSC最新!A:R""
    ),
    12,
    FALSE
  ),
  0
)
"),3.7454545454545456)</f>
        <v>3.745454545</v>
      </c>
      <c r="AB13" s="52" t="str">
        <f>IFERROR(__xludf.DUMMYFUNCTION("IFERROR(
  VLOOKUP(
    A13,
    IMPORTRANGE(
      ""1ZHMy3vVUd_0MrSduXTe1etBb1HNpAlGwQr006ljwMiM"",
      ""GSC最新!A:R""
    ),
    15,
    FALSE
  ),
  0
)
"),"")</f>
        <v/>
      </c>
      <c r="AC13" s="52">
        <f>IFERROR(__xludf.DUMMYFUNCTION("IFERROR(
  VLOOKUP(
    A13,
    IMPORTRANGE(
      ""1ZHMy3vVUd_0MrSduXTe1etBb1HNpAlGwQr006ljwMiM"",
      ""GSC最新!A:R""
    ),
    18,
    FALSE
  ),
  0
)
"),51.816901408450704)</f>
        <v>51.81690141</v>
      </c>
      <c r="AD13" s="52">
        <f t="shared" ref="AD13:AE13" si="60">Z13-AB13</f>
        <v>3.719230769</v>
      </c>
      <c r="AE13" s="52">
        <f t="shared" si="60"/>
        <v>-48.07144686</v>
      </c>
      <c r="AF13" s="53">
        <f>IFERROR(__xludf.DUMMYFUNCTION("IFERROR(
  VLOOKUP(
    A13,
    IMPORTRANGE(
      ""1ZHMy3vVUd_0MrSduXTe1etBb1HNpAlGwQr006ljwMiM"",
      ""GSC最新!A:F""
    ),
    6,
    FALSE
  ),
  0
)
"),46081.0)</f>
        <v>46081</v>
      </c>
      <c r="AG13" s="54">
        <f>IFERROR(__xludf.DUMMYFUNCTION("IFERROR(
  VLOOKUP(
    A13,
    IMPORTRANGE(
      ""1SCYQd7_cobOYqT0r_F0IqD4tE4rYn5y8Eup4PJTH8es"",
      ""Snapshot!A:M""
    ),
    5,
    FALSE
  ),
  ""-""
)
"),7.0)</f>
        <v>7</v>
      </c>
      <c r="AH13" s="54">
        <f>IFERROR(__xludf.DUMMYFUNCTION("IFERROR(
  VLOOKUP(
    A13,
    IMPORTRANGE(
      ""1SCYQd7_cobOYqT0r_F0IqD4tE4rYn5y8Eup4PJTH8es"",
      ""Snapshot!A:M""
    ),
    6,
    FALSE
  ),
  0
)
"),4.0)</f>
        <v>4</v>
      </c>
      <c r="AI13" s="54">
        <f>IFERROR(__xludf.DUMMYFUNCTION("IFERROR(
  VLOOKUP(
    A13,
    IMPORTRANGE(
      ""1SCYQd7_cobOYqT0r_F0IqD4tE4rYn5y8Eup4PJTH8es"",
      ""Snapshot!A:M""
    ),
    7,
    FALSE
  ),
  0
)
"),3304.0)</f>
        <v>3304</v>
      </c>
      <c r="AJ13" s="54">
        <f>IFERROR(__xludf.DUMMYFUNCTION("IFERROR(
  VLOOKUP(
    A13,
    IMPORTRANGE(
      ""1SCYQd7_cobOYqT0r_F0IqD4tE4rYn5y8Eup4PJTH8es"",
      ""Snapshot!A:M""
    ),
    8,
    FALSE
  ),
  0
)
"),6.0)</f>
        <v>6</v>
      </c>
      <c r="AK13" s="54">
        <f>IFERROR(__xludf.DUMMYFUNCTION("IFERROR(
  VLOOKUP(
    A13,
    IMPORTRANGE(
      ""1SCYQd7_cobOYqT0r_F0IqD4tE4rYn5y8Eup4PJTH8es"",
      ""Snapshot!A:M""
    ),
    9,
    FALSE
  ),
  0
)
"),3.0)</f>
        <v>3</v>
      </c>
      <c r="AL13" s="54">
        <f>IFERROR(__xludf.DUMMYFUNCTION("IFERROR(
  VLOOKUP(
    A13,
    IMPORTRANGE(
      ""1SCYQd7_cobOYqT0r_F0IqD4tE4rYn5y8Eup4PJTH8es"",
      ""Snapshot!A:M""
    ),
    13,
    FALSE
  ),
  0
)
"),1.0)</f>
        <v>1</v>
      </c>
    </row>
    <row r="14">
      <c r="A14" s="57" t="s">
        <v>297</v>
      </c>
      <c r="B14" s="1" t="str">
        <f>IFERROR(__xludf.DUMMYFUNCTION("IFERROR(
  VLOOKUP(
    A14,
    IMPORTRANGE(
      ""1ZygntHC1J6IxzKbTidmOyf5nUyW4GCLurHCjexrLm_o"",
      ""HTMLキャッシュ!A:F""
    ),
    2,
    FALSE
  ),
  0
)
"),"SP")</f>
        <v>SP</v>
      </c>
      <c r="C14" s="1" t="str">
        <f>IFERROR(__xludf.DUMMYFUNCTION("IFERROR(
  VLOOKUP(
    A14,
    IMPORTRANGE(
      ""1ZygntHC1J6IxzKbTidmOyf5nUyW4GCLurHCjexrLm_o"",
      ""HTMLキャッシュ!A:F""
    ),
    5,
    FALSE
  ),
  0
)
"),"中学受験国語個別指導｜得点安定読解解法型最短オンライン塾")</f>
        <v>中学受験国語個別指導｜得点安定読解解法型最短オンライン塾</v>
      </c>
      <c r="D14" s="1" t="str">
        <f>IFERROR(__xludf.DUMMYFUNCTION("IFERROR(
  VLOOKUP(
    A14,
    IMPORTRANGE(
      ""1ZygntHC1J6IxzKbTidmOyf5nUyW4GCLurHCjexrLm_o        "",
      ""HTMLキャッシュ!A:F""
    ),
    6,
    FALSE
  ),
  0
)
"),"小4小5向け国語個別指導オンラインで読解型を定着・得点安定化。最短学習計画・進捗管理で入試得点を伸ばす合格力育成安心サポート付き")</f>
        <v>小4小5向け国語個別指導オンラインで読解型を定着・得点安定化。最短学習計画・進捗管理で入試得点を伸ばす合格力育成安心サポート付き</v>
      </c>
      <c r="E14" s="49">
        <f t="shared" ref="E14:F14" si="61">LEN(C14)</f>
        <v>28</v>
      </c>
      <c r="F14" s="49">
        <f t="shared" si="61"/>
        <v>64</v>
      </c>
      <c r="G14" s="32">
        <f>IFERROR(__xludf.DUMMYFUNCTION("IFERROR(
  VLOOKUP(
    A14,
    IMPORTRANGE(
      ""1ZygntHC1J6IxzKbTidmOyf5nUyW4GCLurHCjexrLm_o        "",
      ""HTMLキャッシュ!A:F""
    ),
    3,
    FALSE
  ),
  0
)
"),46078.86756944445)</f>
        <v>46078.86757</v>
      </c>
      <c r="H14" s="49">
        <f>IFERROR(__xludf.DUMMYFUNCTION("IFERROR(
  VLOOKUP(
    A14,
    IMPORTRANGE(
      ""1ZHMy3vVUd_0MrSduXTe1etBb1HNpAlGwQr006ljwMiM"",
      ""GSC最新!A:F""
    ),
    2,
    FALSE
  ),
  0
)
"),0.0)</f>
        <v>0</v>
      </c>
      <c r="I14" s="49">
        <f>IFERROR(__xludf.DUMMYFUNCTION("IFERROR(
  VLOOKUP(
    A14,
    IMPORTRANGE(
      ""1ZHMy3vVUd_0MrSduXTe1etBb1HNpAlGwQr006ljwMiM"",
      ""GSC最新!A:F""
    ),
    3,
    FALSE
  ),
  0
)
"),4.0)</f>
        <v>4</v>
      </c>
      <c r="J14" s="49">
        <f>IFERROR(__xludf.DUMMYFUNCTION("IFERROR(
  VLOOKUP(
    A14,
    IMPORTRANGE(
      ""1ZHMy3vVUd_0MrSduXTe1etBb1HNpAlGwQr006ljwMiM"",
      ""GSC最新!A:F""
    ),
    4,
    FALSE
  ),
  0
)
"),2.0)</f>
        <v>2</v>
      </c>
      <c r="K14" s="49">
        <f>IFERROR(__xludf.DUMMYFUNCTION("IFERROR(
  VLOOKUP(
    A14,
    IMPORTRANGE(
      ""1ZHMy3vVUd_0MrSduXTe1etBb1HNpAlGwQr006ljwMiM"",
      ""GSC最新!A:F""
    ),
    5,
    FALSE
  ),
  0
)
"),12.0)</f>
        <v>12</v>
      </c>
      <c r="L14" s="50">
        <f t="shared" ref="L14:M14" si="62">IFERROR(H14/J14,"-")</f>
        <v>0</v>
      </c>
      <c r="M14" s="50">
        <f t="shared" si="62"/>
        <v>0.3333333333</v>
      </c>
      <c r="N14" s="6">
        <f>IFERROR(__xludf.DUMMYFUNCTION("IFERROR(
  VLOOKUP(
    A14,
    IMPORTRANGE(
      ""1ZHMy3vVUd_0MrSduXTe1etBb1HNpAlGwQr006ljwMiM"",
      ""GSC最新!A:R""
    ),
    7,
    FALSE
  ),
  0
)
"),98.0)</f>
        <v>98</v>
      </c>
      <c r="O14" s="6">
        <f>IFERROR(__xludf.DUMMYFUNCTION("IFERROR(
  VLOOKUP(
    A14,
    IMPORTRANGE(
      ""1ZHMy3vVUd_0MrSduXTe1etBb1HNpAlGwQr006ljwMiM"",
      ""GSC最新!A:R""
    ),
    10,
    FALSE
  ),
  0
)
"),243.0)</f>
        <v>243</v>
      </c>
      <c r="P14" s="6">
        <f>IFERROR(__xludf.DUMMYFUNCTION("IFERROR(
  VLOOKUP(
    A14,
    IMPORTRANGE(
      ""1ZHMy3vVUd_0MrSduXTe1etBb1HNpAlGwQr006ljwMiM"",
      ""GSC最新!A:R""
    ),
    13,
    FALSE
  ),
  0
)
"),35.0)</f>
        <v>35</v>
      </c>
      <c r="Q14" s="6">
        <f>IFERROR(__xludf.DUMMYFUNCTION("IFERROR(
  VLOOKUP(
    A14,
    IMPORTRANGE(
      ""1ZHMy3vVUd_0MrSduXTe1etBb1HNpAlGwQr006ljwMiM"",
      ""GSC最新!A:R""
    ),
    16,
    FALSE
  ),
  0
)
"),451.0)</f>
        <v>451</v>
      </c>
      <c r="R14" s="51">
        <f t="shared" ref="R14:S14" si="63">IFERROR(N14/P14,"-")</f>
        <v>2.8</v>
      </c>
      <c r="S14" s="51">
        <f t="shared" si="63"/>
        <v>0.5388026608</v>
      </c>
      <c r="T14" s="9">
        <f>IFERROR(__xludf.DUMMYFUNCTION("IFERROR(
  VLOOKUP(
    A14,
    IMPORTRANGE(
      ""1ZHMy3vVUd_0MrSduXTe1etBb1HNpAlGwQr006ljwMiM"",
      ""GSC最新!A:R""
    ),
    8,
    FALSE
  ),
  0
)
"),0.0)</f>
        <v>0</v>
      </c>
      <c r="U14" s="9">
        <f>IFERROR(__xludf.DUMMYFUNCTION("IFERROR(
  VLOOKUP(
    A14,
    IMPORTRANGE(
      ""1ZHMy3vVUd_0MrSduXTe1etBb1HNpAlGwQr006ljwMiM"",
      ""GSC最新!A:R""
    ),
    11,
    FALSE
  ),
  0
)
"),0.01646090534979424)</f>
        <v>0.01646090535</v>
      </c>
      <c r="V14" s="9">
        <f>IFERROR(__xludf.DUMMYFUNCTION("IFERROR(
  VLOOKUP(
    A14,
    IMPORTRANGE(
      ""1ZHMy3vVUd_0MrSduXTe1etBb1HNpAlGwQr006ljwMiM"",
      ""GSC最新!A:R""
    ),
    14,
    FALSE
  ),
  0
)
"),0.05714285714285714)</f>
        <v>0.05714285714</v>
      </c>
      <c r="W14" s="9">
        <f>IFERROR(__xludf.DUMMYFUNCTION("IFERROR(
  VLOOKUP(
    A14,
    IMPORTRANGE(
      ""1ZHMy3vVUd_0MrSduXTe1etBb1HNpAlGwQr006ljwMiM"",
      ""GSC最新!A:R""
    ),
    17,
    FALSE
  ),
  0
)
"),0.026607538802660754)</f>
        <v>0.0266075388</v>
      </c>
      <c r="X14" s="9">
        <f t="shared" ref="X14:Y14" si="64">IFERROR(T14-V14,"-")</f>
        <v>-0.05714285714</v>
      </c>
      <c r="Y14" s="9">
        <f t="shared" si="64"/>
        <v>-0.01014663345</v>
      </c>
      <c r="Z14" s="52">
        <f>IFERROR(__xludf.DUMMYFUNCTION("IFERROR(
  VLOOKUP(
    A14,
    IMPORTRANGE(
      ""1ZHMy3vVUd_0MrSduXTe1etBb1HNpAlGwQr006ljwMiM"",
      ""GSC最新!A:R""
    ),
    9,
    FALSE
  ),
  0
)
"),16.714285714285715)</f>
        <v>16.71428571</v>
      </c>
      <c r="AA14" s="52">
        <f>IFERROR(__xludf.DUMMYFUNCTION("IFERROR(
  VLOOKUP(
    A14,
    IMPORTRANGE(
      ""1ZHMy3vVUd_0MrSduXTe1etBb1HNpAlGwQr006ljwMiM"",
      ""GSC最新!A:R""
    ),
    12,
    FALSE
  ),
  0
)
"),11.934156378600823)</f>
        <v>11.93415638</v>
      </c>
      <c r="AB14" s="52">
        <f>IFERROR(__xludf.DUMMYFUNCTION("IFERROR(
  VLOOKUP(
    A14,
    IMPORTRANGE(
      ""1ZHMy3vVUd_0MrSduXTe1etBb1HNpAlGwQr006ljwMiM"",
      ""GSC最新!A:R""
    ),
    15,
    FALSE
  ),
  0
)
"),26.914285714285715)</f>
        <v>26.91428571</v>
      </c>
      <c r="AC14" s="52">
        <f>IFERROR(__xludf.DUMMYFUNCTION("IFERROR(
  VLOOKUP(
    A14,
    IMPORTRANGE(
      ""1ZHMy3vVUd_0MrSduXTe1etBb1HNpAlGwQr006ljwMiM"",
      ""GSC最新!A:R""
    ),
    18,
    FALSE
  ),
  0
)
"),34.707317073170735)</f>
        <v>34.70731707</v>
      </c>
      <c r="AD14" s="52">
        <f t="shared" ref="AD14:AE14" si="65">Z14-AB14</f>
        <v>-10.2</v>
      </c>
      <c r="AE14" s="52">
        <f t="shared" si="65"/>
        <v>-22.77316069</v>
      </c>
      <c r="AF14" s="53">
        <f>IFERROR(__xludf.DUMMYFUNCTION("IFERROR(
  VLOOKUP(
    A14,
    IMPORTRANGE(
      ""1ZHMy3vVUd_0MrSduXTe1etBb1HNpAlGwQr006ljwMiM"",
      ""GSC最新!A:F""
    ),
    6,
    FALSE
  ),
  0
)
"),46081.0)</f>
        <v>46081</v>
      </c>
      <c r="AG14" s="54">
        <f>IFERROR(__xludf.DUMMYFUNCTION("IFERROR(
  VLOOKUP(
    A14,
    IMPORTRANGE(
      ""1SCYQd7_cobOYqT0r_F0IqD4tE4rYn5y8Eup4PJTH8es"",
      ""Snapshot!A:M""
    ),
    5,
    FALSE
  ),
  ""-""
)
"),18.0)</f>
        <v>18</v>
      </c>
      <c r="AH14" s="54">
        <f>IFERROR(__xludf.DUMMYFUNCTION("IFERROR(
  VLOOKUP(
    A14,
    IMPORTRANGE(
      ""1SCYQd7_cobOYqT0r_F0IqD4tE4rYn5y8Eup4PJTH8es"",
      ""Snapshot!A:M""
    ),
    6,
    FALSE
  ),
  0
)
"),31.0)</f>
        <v>31</v>
      </c>
      <c r="AI14" s="54">
        <f>IFERROR(__xludf.DUMMYFUNCTION("IFERROR(
  VLOOKUP(
    A14,
    IMPORTRANGE(
      ""1SCYQd7_cobOYqT0r_F0IqD4tE4rYn5y8Eup4PJTH8es"",
      ""Snapshot!A:M""
    ),
    7,
    FALSE
  ),
  0
)
"),7479.0)</f>
        <v>7479</v>
      </c>
      <c r="AJ14" s="54">
        <f>IFERROR(__xludf.DUMMYFUNCTION("IFERROR(
  VLOOKUP(
    A14,
    IMPORTRANGE(
      ""1SCYQd7_cobOYqT0r_F0IqD4tE4rYn5y8Eup4PJTH8es"",
      ""Snapshot!A:M""
    ),
    8,
    FALSE
  ),
  0
)
"),4.0)</f>
        <v>4</v>
      </c>
      <c r="AK14" s="54">
        <f>IFERROR(__xludf.DUMMYFUNCTION("IFERROR(
  VLOOKUP(
    A14,
    IMPORTRANGE(
      ""1SCYQd7_cobOYqT0r_F0IqD4tE4rYn5y8Eup4PJTH8es"",
      ""Snapshot!A:M""
    ),
    9,
    FALSE
  ),
  0
)
"),4.0)</f>
        <v>4</v>
      </c>
      <c r="AL14" s="54">
        <f>IFERROR(__xludf.DUMMYFUNCTION("IFERROR(
  VLOOKUP(
    A14,
    IMPORTRANGE(
      ""1SCYQd7_cobOYqT0r_F0IqD4tE4rYn5y8Eup4PJTH8es"",
      ""Snapshot!A:M""
    ),
    13,
    FALSE
  ),
  0
)
"),2.0)</f>
        <v>2</v>
      </c>
    </row>
    <row r="15">
      <c r="A15" s="56" t="s">
        <v>298</v>
      </c>
      <c r="B15" s="1" t="str">
        <f>IFERROR(__xludf.DUMMYFUNCTION("IFERROR(
  VLOOKUP(
    A15,
    IMPORTRANGE(
      ""1ZygntHC1J6IxzKbTidmOyf5nUyW4GCLurHCjexrLm_o"",
      ""HTMLキャッシュ!A:F""
    ),
    2,
    FALSE
  ),
  0
)
"),"SP")</f>
        <v>SP</v>
      </c>
      <c r="C15" s="1" t="str">
        <f>IFERROR(__xludf.DUMMYFUNCTION("IFERROR(
  VLOOKUP(
    A15,
    IMPORTRANGE(
      ""1ZygntHC1J6IxzKbTidmOyf5nUyW4GCLurHCjexrLm_o"",
      ""HTMLキャッシュ!A:F""
    ),
    5,
    FALSE
  ),
  0
)
"),"小5算数苦手克服個別指導講座｜1か月総復習オンライン塾")</f>
        <v>小5算数苦手克服個別指導講座｜1か月総復習オンライン塾</v>
      </c>
      <c r="D15" s="1" t="str">
        <f>IFERROR(__xludf.DUMMYFUNCTION("IFERROR(
  VLOOKUP(
    A15,
    IMPORTRANGE(
      ""1ZygntHC1J6IxzKbTidmOyf5nUyW4GCLurHCjexrLm_o        "",
      ""HTMLキャッシュ!A:F""
    ),
    6,
    FALSE
  ),
  0
)
"),"小5後半の苦手を1か月で総復習。図形・場合の数・速さ比を個別指導で徹底定着。全4回オンライン対応、今すぐ相談受付中")</f>
        <v>小5後半の苦手を1か月で総復習。図形・場合の数・速さ比を個別指導で徹底定着。全4回オンライン対応、今すぐ相談受付中</v>
      </c>
      <c r="E15" s="49">
        <f t="shared" ref="E15:F15" si="66">LEN(C15)</f>
        <v>27</v>
      </c>
      <c r="F15" s="49">
        <f t="shared" si="66"/>
        <v>57</v>
      </c>
      <c r="G15" s="32">
        <f>IFERROR(__xludf.DUMMYFUNCTION("IFERROR(
  VLOOKUP(
    A15,
    IMPORTRANGE(
      ""1ZygntHC1J6IxzKbTidmOyf5nUyW4GCLurHCjexrLm_o        "",
      ""HTMLキャッシュ!A:F""
    ),
    3,
    FALSE
  ),
  0
)
"),46076.79806712963)</f>
        <v>46076.79807</v>
      </c>
      <c r="H15" s="49">
        <f>IFERROR(__xludf.DUMMYFUNCTION("IFERROR(
  VLOOKUP(
    A15,
    IMPORTRANGE(
      ""1ZHMy3vVUd_0MrSduXTe1etBb1HNpAlGwQr006ljwMiM"",
      ""GSC最新!A:F""
    ),
    2,
    FALSE
  ),
  0
)
"),0.0)</f>
        <v>0</v>
      </c>
      <c r="I15" s="49">
        <f>IFERROR(__xludf.DUMMYFUNCTION("IFERROR(
  VLOOKUP(
    A15,
    IMPORTRANGE(
      ""1ZHMy3vVUd_0MrSduXTe1etBb1HNpAlGwQr006ljwMiM"",
      ""GSC最新!A:F""
    ),
    3,
    FALSE
  ),
  0
)
"),3.0)</f>
        <v>3</v>
      </c>
      <c r="J15" s="49">
        <f>IFERROR(__xludf.DUMMYFUNCTION("IFERROR(
  VLOOKUP(
    A15,
    IMPORTRANGE(
      ""1ZHMy3vVUd_0MrSduXTe1etBb1HNpAlGwQr006ljwMiM"",
      ""GSC最新!A:F""
    ),
    4,
    FALSE
  ),
  0
)
"),0.0)</f>
        <v>0</v>
      </c>
      <c r="K15" s="49">
        <f>IFERROR(__xludf.DUMMYFUNCTION("IFERROR(
  VLOOKUP(
    A15,
    IMPORTRANGE(
      ""1ZHMy3vVUd_0MrSduXTe1etBb1HNpAlGwQr006ljwMiM"",
      ""GSC最新!A:F""
    ),
    5,
    FALSE
  ),
  0
)
"),0.0)</f>
        <v>0</v>
      </c>
      <c r="L15" s="50" t="str">
        <f t="shared" ref="L15:M15" si="67">IFERROR(H15/J15,"-")</f>
        <v>-</v>
      </c>
      <c r="M15" s="50" t="str">
        <f t="shared" si="67"/>
        <v>-</v>
      </c>
      <c r="N15" s="6">
        <f>IFERROR(__xludf.DUMMYFUNCTION("IFERROR(
  VLOOKUP(
    A15,
    IMPORTRANGE(
      ""1ZHMy3vVUd_0MrSduXTe1etBb1HNpAlGwQr006ljwMiM"",
      ""GSC最新!A:R""
    ),
    7,
    FALSE
  ),
  0
)
"),29.0)</f>
        <v>29</v>
      </c>
      <c r="O15" s="6">
        <f>IFERROR(__xludf.DUMMYFUNCTION("IFERROR(
  VLOOKUP(
    A15,
    IMPORTRANGE(
      ""1ZHMy3vVUd_0MrSduXTe1etBb1HNpAlGwQr006ljwMiM"",
      ""GSC最新!A:R""
    ),
    10,
    FALSE
  ),
  0
)
"),242.0)</f>
        <v>242</v>
      </c>
      <c r="P15" s="6">
        <f>IFERROR(__xludf.DUMMYFUNCTION("IFERROR(
  VLOOKUP(
    A15,
    IMPORTRANGE(
      ""1ZHMy3vVUd_0MrSduXTe1etBb1HNpAlGwQr006ljwMiM"",
      ""GSC最新!A:R""
    ),
    13,
    FALSE
  ),
  0
)
"),8.0)</f>
        <v>8</v>
      </c>
      <c r="Q15" s="6">
        <f>IFERROR(__xludf.DUMMYFUNCTION("IFERROR(
  VLOOKUP(
    A15,
    IMPORTRANGE(
      ""1ZHMy3vVUd_0MrSduXTe1etBb1HNpAlGwQr006ljwMiM"",
      ""GSC最新!A:R""
    ),
    16,
    FALSE
  ),
  0
)
"),25.0)</f>
        <v>25</v>
      </c>
      <c r="R15" s="51">
        <f t="shared" ref="R15:S15" si="68">IFERROR(N15/P15,"-")</f>
        <v>3.625</v>
      </c>
      <c r="S15" s="51">
        <f t="shared" si="68"/>
        <v>9.68</v>
      </c>
      <c r="T15" s="9">
        <f>IFERROR(__xludf.DUMMYFUNCTION("IFERROR(
  VLOOKUP(
    A15,
    IMPORTRANGE(
      ""1ZHMy3vVUd_0MrSduXTe1etBb1HNpAlGwQr006ljwMiM"",
      ""GSC最新!A:R""
    ),
    8,
    FALSE
  ),
  0
)
"),0.0)</f>
        <v>0</v>
      </c>
      <c r="U15" s="9">
        <f>IFERROR(__xludf.DUMMYFUNCTION("IFERROR(
  VLOOKUP(
    A15,
    IMPORTRANGE(
      ""1ZHMy3vVUd_0MrSduXTe1etBb1HNpAlGwQr006ljwMiM"",
      ""GSC最新!A:R""
    ),
    11,
    FALSE
  ),
  0
)
"),0.012396694214876033)</f>
        <v>0.01239669421</v>
      </c>
      <c r="V15" s="9">
        <f>IFERROR(__xludf.DUMMYFUNCTION("IFERROR(
  VLOOKUP(
    A15,
    IMPORTRANGE(
      ""1ZHMy3vVUd_0MrSduXTe1etBb1HNpAlGwQr006ljwMiM"",
      ""GSC最新!A:R""
    ),
    14,
    FALSE
  ),
  0
)
"),0.0)</f>
        <v>0</v>
      </c>
      <c r="W15" s="9">
        <f>IFERROR(__xludf.DUMMYFUNCTION("IFERROR(
  VLOOKUP(
    A15,
    IMPORTRANGE(
      ""1ZHMy3vVUd_0MrSduXTe1etBb1HNpAlGwQr006ljwMiM"",
      ""GSC最新!A:R""
    ),
    17,
    FALSE
  ),
  0
)
"),0.0)</f>
        <v>0</v>
      </c>
      <c r="X15" s="9">
        <f t="shared" ref="X15:Y15" si="69">IFERROR(T15-V15,"-")</f>
        <v>0</v>
      </c>
      <c r="Y15" s="9">
        <f t="shared" si="69"/>
        <v>0.01239669421</v>
      </c>
      <c r="Z15" s="52">
        <f>IFERROR(__xludf.DUMMYFUNCTION("IFERROR(
  VLOOKUP(
    A15,
    IMPORTRANGE(
      ""1ZHMy3vVUd_0MrSduXTe1etBb1HNpAlGwQr006ljwMiM"",
      ""GSC最新!A:R""
    ),
    9,
    FALSE
  ),
  0
)
"),8.0)</f>
        <v>8</v>
      </c>
      <c r="AA15" s="52">
        <f>IFERROR(__xludf.DUMMYFUNCTION("IFERROR(
  VLOOKUP(
    A15,
    IMPORTRANGE(
      ""1ZHMy3vVUd_0MrSduXTe1etBb1HNpAlGwQr006ljwMiM"",
      ""GSC最新!A:R""
    ),
    12,
    FALSE
  ),
  0
)
"),8.330578512396695)</f>
        <v>8.330578512</v>
      </c>
      <c r="AB15" s="52">
        <f>IFERROR(__xludf.DUMMYFUNCTION("IFERROR(
  VLOOKUP(
    A15,
    IMPORTRANGE(
      ""1ZHMy3vVUd_0MrSduXTe1etBb1HNpAlGwQr006ljwMiM"",
      ""GSC最新!A:R""
    ),
    15,
    FALSE
  ),
  0
)
"),6.625)</f>
        <v>6.625</v>
      </c>
      <c r="AC15" s="52">
        <f>IFERROR(__xludf.DUMMYFUNCTION("IFERROR(
  VLOOKUP(
    A15,
    IMPORTRANGE(
      ""1ZHMy3vVUd_0MrSduXTe1etBb1HNpAlGwQr006ljwMiM"",
      ""GSC最新!A:R""
    ),
    18,
    FALSE
  ),
  0
)
"),18.52)</f>
        <v>18.52</v>
      </c>
      <c r="AD15" s="52">
        <f t="shared" ref="AD15:AE15" si="70">Z15-AB15</f>
        <v>1.375</v>
      </c>
      <c r="AE15" s="52">
        <f t="shared" si="70"/>
        <v>-10.18942149</v>
      </c>
      <c r="AF15" s="53">
        <f>IFERROR(__xludf.DUMMYFUNCTION("IFERROR(
  VLOOKUP(
    A15,
    IMPORTRANGE(
      ""1ZHMy3vVUd_0MrSduXTe1etBb1HNpAlGwQr006ljwMiM"",
      ""GSC最新!A:F""
    ),
    6,
    FALSE
  ),
  0
)
"),46081.0)</f>
        <v>46081</v>
      </c>
      <c r="AG15" s="54">
        <f>IFERROR(__xludf.DUMMYFUNCTION("IFERROR(
  VLOOKUP(
    A15,
    IMPORTRANGE(
      ""1SCYQd7_cobOYqT0r_F0IqD4tE4rYn5y8Eup4PJTH8es"",
      ""Snapshot!A:M""
    ),
    5,
    FALSE
  ),
  ""-""
)
"),3.0)</f>
        <v>3</v>
      </c>
      <c r="AH15" s="54">
        <f>IFERROR(__xludf.DUMMYFUNCTION("IFERROR(
  VLOOKUP(
    A15,
    IMPORTRANGE(
      ""1SCYQd7_cobOYqT0r_F0IqD4tE4rYn5y8Eup4PJTH8es"",
      ""Snapshot!A:M""
    ),
    6,
    FALSE
  ),
  0
)
"),13.0)</f>
        <v>13</v>
      </c>
      <c r="AI15" s="54">
        <f>IFERROR(__xludf.DUMMYFUNCTION("IFERROR(
  VLOOKUP(
    A15,
    IMPORTRANGE(
      ""1SCYQd7_cobOYqT0r_F0IqD4tE4rYn5y8Eup4PJTH8es"",
      ""Snapshot!A:M""
    ),
    7,
    FALSE
  ),
  0
)
"),1812.0)</f>
        <v>1812</v>
      </c>
      <c r="AJ15" s="54">
        <f>IFERROR(__xludf.DUMMYFUNCTION("IFERROR(
  VLOOKUP(
    A15,
    IMPORTRANGE(
      ""1SCYQd7_cobOYqT0r_F0IqD4tE4rYn5y8Eup4PJTH8es"",
      ""Snapshot!A:M""
    ),
    8,
    FALSE
  ),
  0
)
"),1.0)</f>
        <v>1</v>
      </c>
      <c r="AK15" s="54">
        <f>IFERROR(__xludf.DUMMYFUNCTION("IFERROR(
  VLOOKUP(
    A15,
    IMPORTRANGE(
      ""1SCYQd7_cobOYqT0r_F0IqD4tE4rYn5y8Eup4PJTH8es"",
      ""Snapshot!A:M""
    ),
    9,
    FALSE
  ),
  0
)
"),1.0)</f>
        <v>1</v>
      </c>
      <c r="AL15" s="54">
        <f>IFERROR(__xludf.DUMMYFUNCTION("IFERROR(
  VLOOKUP(
    A15,
    IMPORTRANGE(
      ""1SCYQd7_cobOYqT0r_F0IqD4tE4rYn5y8Eup4PJTH8es"",
      ""Snapshot!A:M""
    ),
    13,
    FALSE
  ),
  0
)
"),1.0)</f>
        <v>1</v>
      </c>
    </row>
    <row r="16">
      <c r="A16" s="56" t="s">
        <v>299</v>
      </c>
      <c r="B16" s="1" t="str">
        <f>IFERROR(__xludf.DUMMYFUNCTION("IFERROR(
  VLOOKUP(
    A16,
    IMPORTRANGE(
      ""1ZygntHC1J6IxzKbTidmOyf5nUyW4GCLurHCjexrLm_o"",
      ""HTMLキャッシュ!A:F""
    ),
    2,
    FALSE
  ),
  0
)
"),"SP")</f>
        <v>SP</v>
      </c>
      <c r="C16" s="1" t="str">
        <f>IFERROR(__xludf.DUMMYFUNCTION("IFERROR(
  VLOOKUP(
    A16,
    IMPORTRANGE(
      ""1ZygntHC1J6IxzKbTidmOyf5nUyW4GCLurHCjexrLm_o"",
      ""HTMLキャッシュ!A:F""
    ),
    5,
    FALSE
  ),
  0
)
"),"理科のテスト勉強の仕方｜物理化学生物地学を分野別に1対1個別｜")</f>
        <v>理科のテスト勉強の仕方｜物理化学生物地学を分野別に1対1個別｜</v>
      </c>
      <c r="D16" s="1" t="str">
        <f>IFERROR(__xludf.DUMMYFUNCTION("IFERROR(
  VLOOKUP(
    A16,
    IMPORTRANGE(
      ""1ZygntHC1J6IxzKbTidmOyf5nUyW4GCLurHCjexrLm_o        "",
      ""HTMLキャッシュ!A:F""
    ),
    6,
    FALSE
  ),
  0
)
"),"理科のテスト勉強の仕方を、分野別に1対1で確認。物理化学生物地学を単元ごとに整理し、過去問までオンライン対応。")</f>
        <v>理科のテスト勉強の仕方を、分野別に1対1で確認。物理化学生物地学を単元ごとに整理し、過去問までオンライン対応。</v>
      </c>
      <c r="E16" s="49">
        <f t="shared" ref="E16:F16" si="71">LEN(C16)</f>
        <v>31</v>
      </c>
      <c r="F16" s="49">
        <f t="shared" si="71"/>
        <v>55</v>
      </c>
      <c r="G16" s="32">
        <f>IFERROR(__xludf.DUMMYFUNCTION("IFERROR(
  VLOOKUP(
    A16,
    IMPORTRANGE(
      ""1ZygntHC1J6IxzKbTidmOyf5nUyW4GCLurHCjexrLm_o        "",
      ""HTMLキャッシュ!A:F""
    ),
    3,
    FALSE
  ),
  0
)
"),46079.251284722224)</f>
        <v>46079.25128</v>
      </c>
      <c r="H16" s="49">
        <f>IFERROR(__xludf.DUMMYFUNCTION("IFERROR(
  VLOOKUP(
    A16,
    IMPORTRANGE(
      ""1ZHMy3vVUd_0MrSduXTe1etBb1HNpAlGwQr006ljwMiM"",
      ""GSC最新!A:F""
    ),
    2,
    FALSE
  ),
  0
)
"),3.0)</f>
        <v>3</v>
      </c>
      <c r="I16" s="49">
        <f>IFERROR(__xludf.DUMMYFUNCTION("IFERROR(
  VLOOKUP(
    A16,
    IMPORTRANGE(
      ""1ZHMy3vVUd_0MrSduXTe1etBb1HNpAlGwQr006ljwMiM"",
      ""GSC最新!A:F""
    ),
    3,
    FALSE
  ),
  0
)
"),3.0)</f>
        <v>3</v>
      </c>
      <c r="J16" s="49">
        <f>IFERROR(__xludf.DUMMYFUNCTION("IFERROR(
  VLOOKUP(
    A16,
    IMPORTRANGE(
      ""1ZHMy3vVUd_0MrSduXTe1etBb1HNpAlGwQr006ljwMiM"",
      ""GSC最新!A:F""
    ),
    4,
    FALSE
  ),
  0
)
"),0.0)</f>
        <v>0</v>
      </c>
      <c r="K16" s="49">
        <f>IFERROR(__xludf.DUMMYFUNCTION("IFERROR(
  VLOOKUP(
    A16,
    IMPORTRANGE(
      ""1ZHMy3vVUd_0MrSduXTe1etBb1HNpAlGwQr006ljwMiM"",
      ""GSC最新!A:F""
    ),
    5,
    FALSE
  ),
  0
)
"),0.0)</f>
        <v>0</v>
      </c>
      <c r="L16" s="50" t="str">
        <f t="shared" ref="L16:M16" si="72">IFERROR(H16/J16,"-")</f>
        <v>-</v>
      </c>
      <c r="M16" s="50" t="str">
        <f t="shared" si="72"/>
        <v>-</v>
      </c>
      <c r="N16" s="6">
        <f>IFERROR(__xludf.DUMMYFUNCTION("IFERROR(
  VLOOKUP(
    A16,
    IMPORTRANGE(
      ""1ZHMy3vVUd_0MrSduXTe1etBb1HNpAlGwQr006ljwMiM"",
      ""GSC最新!A:R""
    ),
    7,
    FALSE
  ),
  0
)
"),171.0)</f>
        <v>171</v>
      </c>
      <c r="O16" s="6">
        <f>IFERROR(__xludf.DUMMYFUNCTION("IFERROR(
  VLOOKUP(
    A16,
    IMPORTRANGE(
      ""1ZHMy3vVUd_0MrSduXTe1etBb1HNpAlGwQr006ljwMiM"",
      ""GSC最新!A:R""
    ),
    10,
    FALSE
  ),
  0
)
"),242.0)</f>
        <v>242</v>
      </c>
      <c r="P16" s="6">
        <f>IFERROR(__xludf.DUMMYFUNCTION("IFERROR(
  VLOOKUP(
    A16,
    IMPORTRANGE(
      ""1ZHMy3vVUd_0MrSduXTe1etBb1HNpAlGwQr006ljwMiM"",
      ""GSC最新!A:R""
    ),
    13,
    FALSE
  ),
  0
)
"),1.0)</f>
        <v>1</v>
      </c>
      <c r="Q16" s="6">
        <f>IFERROR(__xludf.DUMMYFUNCTION("IFERROR(
  VLOOKUP(
    A16,
    IMPORTRANGE(
      ""1ZHMy3vVUd_0MrSduXTe1etBb1HNpAlGwQr006ljwMiM"",
      ""GSC最新!A:R""
    ),
    16,
    FALSE
  ),
  0
)
"),14.0)</f>
        <v>14</v>
      </c>
      <c r="R16" s="51">
        <f t="shared" ref="R16:S16" si="73">IFERROR(N16/P16,"-")</f>
        <v>171</v>
      </c>
      <c r="S16" s="51">
        <f t="shared" si="73"/>
        <v>17.28571429</v>
      </c>
      <c r="T16" s="9">
        <f>IFERROR(__xludf.DUMMYFUNCTION("IFERROR(
  VLOOKUP(
    A16,
    IMPORTRANGE(
      ""1ZHMy3vVUd_0MrSduXTe1etBb1HNpAlGwQr006ljwMiM"",
      ""GSC最新!A:R""
    ),
    8,
    FALSE
  ),
  0
)
"),0.017543859649122806)</f>
        <v>0.01754385965</v>
      </c>
      <c r="U16" s="9">
        <f>IFERROR(__xludf.DUMMYFUNCTION("IFERROR(
  VLOOKUP(
    A16,
    IMPORTRANGE(
      ""1ZHMy3vVUd_0MrSduXTe1etBb1HNpAlGwQr006ljwMiM"",
      ""GSC最新!A:R""
    ),
    11,
    FALSE
  ),
  0
)
"),0.012396694214876033)</f>
        <v>0.01239669421</v>
      </c>
      <c r="V16" s="9">
        <f>IFERROR(__xludf.DUMMYFUNCTION("IFERROR(
  VLOOKUP(
    A16,
    IMPORTRANGE(
      ""1ZHMy3vVUd_0MrSduXTe1etBb1HNpAlGwQr006ljwMiM"",
      ""GSC最新!A:R""
    ),
    14,
    FALSE
  ),
  0
)
"),0.0)</f>
        <v>0</v>
      </c>
      <c r="W16" s="9">
        <f>IFERROR(__xludf.DUMMYFUNCTION("IFERROR(
  VLOOKUP(
    A16,
    IMPORTRANGE(
      ""1ZHMy3vVUd_0MrSduXTe1etBb1HNpAlGwQr006ljwMiM"",
      ""GSC最新!A:R""
    ),
    17,
    FALSE
  ),
  0
)
"),0.0)</f>
        <v>0</v>
      </c>
      <c r="X16" s="9">
        <f t="shared" ref="X16:Y16" si="74">IFERROR(T16-V16,"-")</f>
        <v>0.01754385965</v>
      </c>
      <c r="Y16" s="9">
        <f t="shared" si="74"/>
        <v>0.01239669421</v>
      </c>
      <c r="Z16" s="52">
        <f>IFERROR(__xludf.DUMMYFUNCTION("IFERROR(
  VLOOKUP(
    A16,
    IMPORTRANGE(
      ""1ZHMy3vVUd_0MrSduXTe1etBb1HNpAlGwQr006ljwMiM"",
      ""GSC最新!A:R""
    ),
    9,
    FALSE
  ),
  0
)
"),6.5321637426900585)</f>
        <v>6.532163743</v>
      </c>
      <c r="AA16" s="52">
        <f>IFERROR(__xludf.DUMMYFUNCTION("IFERROR(
  VLOOKUP(
    A16,
    IMPORTRANGE(
      ""1ZHMy3vVUd_0MrSduXTe1etBb1HNpAlGwQr006ljwMiM"",
      ""GSC最新!A:R""
    ),
    12,
    FALSE
  ),
  0
)
"),8.533057851239668)</f>
        <v>8.533057851</v>
      </c>
      <c r="AB16" s="52">
        <f>IFERROR(__xludf.DUMMYFUNCTION("IFERROR(
  VLOOKUP(
    A16,
    IMPORTRANGE(
      ""1ZHMy3vVUd_0MrSduXTe1etBb1HNpAlGwQr006ljwMiM"",
      ""GSC最新!A:R""
    ),
    15,
    FALSE
  ),
  0
)
"),4.0)</f>
        <v>4</v>
      </c>
      <c r="AC16" s="52">
        <f>IFERROR(__xludf.DUMMYFUNCTION("IFERROR(
  VLOOKUP(
    A16,
    IMPORTRANGE(
      ""1ZHMy3vVUd_0MrSduXTe1etBb1HNpAlGwQr006ljwMiM"",
      ""GSC最新!A:R""
    ),
    18,
    FALSE
  ),
  0
)
"),7.5)</f>
        <v>7.5</v>
      </c>
      <c r="AD16" s="52">
        <f t="shared" ref="AD16:AE16" si="75">Z16-AB16</f>
        <v>2.532163743</v>
      </c>
      <c r="AE16" s="52">
        <f t="shared" si="75"/>
        <v>1.033057851</v>
      </c>
      <c r="AF16" s="53">
        <f>IFERROR(__xludf.DUMMYFUNCTION("IFERROR(
  VLOOKUP(
    A16,
    IMPORTRANGE(
      ""1ZHMy3vVUd_0MrSduXTe1etBb1HNpAlGwQr006ljwMiM"",
      ""GSC最新!A:F""
    ),
    6,
    FALSE
  ),
  0
)
"),46081.0)</f>
        <v>46081</v>
      </c>
      <c r="AG16" s="54">
        <f>IFERROR(__xludf.DUMMYFUNCTION("IFERROR(
  VLOOKUP(
    A16,
    IMPORTRANGE(
      ""1SCYQd7_cobOYqT0r_F0IqD4tE4rYn5y8Eup4PJTH8es"",
      ""Snapshot!A:M""
    ),
    5,
    FALSE
  ),
  ""-""
)
"),10.0)</f>
        <v>10</v>
      </c>
      <c r="AH16" s="54">
        <f>IFERROR(__xludf.DUMMYFUNCTION("IFERROR(
  VLOOKUP(
    A16,
    IMPORTRANGE(
      ""1SCYQd7_cobOYqT0r_F0IqD4tE4rYn5y8Eup4PJTH8es"",
      ""Snapshot!A:M""
    ),
    6,
    FALSE
  ),
  0
)
"),0.0)</f>
        <v>0</v>
      </c>
      <c r="AI16" s="54">
        <f>IFERROR(__xludf.DUMMYFUNCTION("IFERROR(
  VLOOKUP(
    A16,
    IMPORTRANGE(
      ""1SCYQd7_cobOYqT0r_F0IqD4tE4rYn5y8Eup4PJTH8es"",
      ""Snapshot!A:M""
    ),
    7,
    FALSE
  ),
  0
)
"),4633.0)</f>
        <v>4633</v>
      </c>
      <c r="AJ16" s="54">
        <f>IFERROR(__xludf.DUMMYFUNCTION("IFERROR(
  VLOOKUP(
    A16,
    IMPORTRANGE(
      ""1SCYQd7_cobOYqT0r_F0IqD4tE4rYn5y8Eup4PJTH8es"",
      ""Snapshot!A:M""
    ),
    8,
    FALSE
  ),
  0
)
"),6.0)</f>
        <v>6</v>
      </c>
      <c r="AK16" s="54">
        <f>IFERROR(__xludf.DUMMYFUNCTION("IFERROR(
  VLOOKUP(
    A16,
    IMPORTRANGE(
      ""1SCYQd7_cobOYqT0r_F0IqD4tE4rYn5y8Eup4PJTH8es"",
      ""Snapshot!A:M""
    ),
    9,
    FALSE
  ),
  0
)
"),1.0)</f>
        <v>1</v>
      </c>
      <c r="AL16" s="54">
        <f>IFERROR(__xludf.DUMMYFUNCTION("IFERROR(
  VLOOKUP(
    A16,
    IMPORTRANGE(
      ""1SCYQd7_cobOYqT0r_F0IqD4tE4rYn5y8Eup4PJTH8es"",
      ""Snapshot!A:M""
    ),
    13,
    FALSE
  ),
  0
)
"),1.0)</f>
        <v>1</v>
      </c>
    </row>
    <row r="17">
      <c r="A17" s="56" t="s">
        <v>300</v>
      </c>
      <c r="B17" s="1" t="str">
        <f>IFERROR(__xludf.DUMMYFUNCTION("IFERROR(
  VLOOKUP(
    A17,
    IMPORTRANGE(
      ""1ZygntHC1J6IxzKbTidmOyf5nUyW4GCLurHCjexrLm_o"",
      ""HTMLキャッシュ!A:F""
    ),
    2,
    FALSE
  ),
  0
)
"),"SP")</f>
        <v>SP</v>
      </c>
      <c r="C17" s="1" t="str">
        <f>IFERROR(__xludf.DUMMYFUNCTION("IFERROR(
  VLOOKUP(
    A17,
    IMPORTRANGE(
      ""1ZygntHC1J6IxzKbTidmOyf5nUyW4GCLurHCjexrLm_o"",
      ""HTMLキャッシュ!A:F""
    ),
    5,
    FALSE
  ),
  0
)
"),"中学受験社会の個別指導講座一覧｜本科＋単発で得点力強化塾")</f>
        <v>中学受験社会の個別指導講座一覧｜本科＋単発で得点力強化塾</v>
      </c>
      <c r="D17" s="1" t="str">
        <f>IFERROR(__xludf.DUMMYFUNCTION("IFERROR(
  VLOOKUP(
    A17,
    IMPORTRANGE(
      ""1ZygntHC1J6IxzKbTidmOyf5nUyW4GCLurHCjexrLm_o        "",
      ""HTMLキャッシュ!A:F""
    ),
    6,
    FALSE
  ),
  0
)
"),"地理歴史公民を完全1対1で対策。記述や資料読解まで弱点別に補強できる本科＋単発講座。オンライン相談受付中・今すぐ申込可・体験対応")</f>
        <v>地理歴史公民を完全1対1で対策。記述や資料読解まで弱点別に補強できる本科＋単発講座。オンライン相談受付中・今すぐ申込可・体験対応</v>
      </c>
      <c r="E17" s="49">
        <f t="shared" ref="E17:F17" si="76">LEN(C17)</f>
        <v>28</v>
      </c>
      <c r="F17" s="49">
        <f t="shared" si="76"/>
        <v>64</v>
      </c>
      <c r="G17" s="32">
        <f>IFERROR(__xludf.DUMMYFUNCTION("IFERROR(
  VLOOKUP(
    A17,
    IMPORTRANGE(
      ""1ZygntHC1J6IxzKbTidmOyf5nUyW4GCLurHCjexrLm_o        "",
      ""HTMLキャッシュ!A:F""
    ),
    3,
    FALSE
  ),
  0
)
"),46083.698067129626)</f>
        <v>46083.69807</v>
      </c>
      <c r="H17" s="49">
        <f>IFERROR(__xludf.DUMMYFUNCTION("IFERROR(
  VLOOKUP(
    A17,
    IMPORTRANGE(
      ""1ZHMy3vVUd_0MrSduXTe1etBb1HNpAlGwQr006ljwMiM"",
      ""GSC最新!A:F""
    ),
    2,
    FALSE
  ),
  0
)
"),2.0)</f>
        <v>2</v>
      </c>
      <c r="I17" s="49">
        <f>IFERROR(__xludf.DUMMYFUNCTION("IFERROR(
  VLOOKUP(
    A17,
    IMPORTRANGE(
      ""1ZHMy3vVUd_0MrSduXTe1etBb1HNpAlGwQr006ljwMiM"",
      ""GSC最新!A:F""
    ),
    3,
    FALSE
  ),
  0
)
"),3.0)</f>
        <v>3</v>
      </c>
      <c r="J17" s="49">
        <f>IFERROR(__xludf.DUMMYFUNCTION("IFERROR(
  VLOOKUP(
    A17,
    IMPORTRANGE(
      ""1ZHMy3vVUd_0MrSduXTe1etBb1HNpAlGwQr006ljwMiM"",
      ""GSC最新!A:F""
    ),
    4,
    FALSE
  ),
  0
)
"),0.0)</f>
        <v>0</v>
      </c>
      <c r="K17" s="49">
        <f>IFERROR(__xludf.DUMMYFUNCTION("IFERROR(
  VLOOKUP(
    A17,
    IMPORTRANGE(
      ""1ZHMy3vVUd_0MrSduXTe1etBb1HNpAlGwQr006ljwMiM"",
      ""GSC最新!A:F""
    ),
    5,
    FALSE
  ),
  0
)
"),0.0)</f>
        <v>0</v>
      </c>
      <c r="L17" s="50" t="str">
        <f t="shared" ref="L17:M17" si="77">IFERROR(H17/J17,"-")</f>
        <v>-</v>
      </c>
      <c r="M17" s="50" t="str">
        <f t="shared" si="77"/>
        <v>-</v>
      </c>
      <c r="N17" s="6">
        <f>IFERROR(__xludf.DUMMYFUNCTION("IFERROR(
  VLOOKUP(
    A17,
    IMPORTRANGE(
      ""1ZHMy3vVUd_0MrSduXTe1etBb1HNpAlGwQr006ljwMiM"",
      ""GSC最新!A:R""
    ),
    7,
    FALSE
  ),
  0
)
"),123.0)</f>
        <v>123</v>
      </c>
      <c r="O17" s="6">
        <f>IFERROR(__xludf.DUMMYFUNCTION("IFERROR(
  VLOOKUP(
    A17,
    IMPORTRANGE(
      ""1ZHMy3vVUd_0MrSduXTe1etBb1HNpAlGwQr006ljwMiM"",
      ""GSC最新!A:R""
    ),
    10,
    FALSE
  ),
  0
)
"),239.0)</f>
        <v>239</v>
      </c>
      <c r="P17" s="6">
        <f>IFERROR(__xludf.DUMMYFUNCTION("IFERROR(
  VLOOKUP(
    A17,
    IMPORTRANGE(
      ""1ZHMy3vVUd_0MrSduXTe1etBb1HNpAlGwQr006ljwMiM"",
      ""GSC最新!A:R""
    ),
    13,
    FALSE
  ),
  0
)
"),7.0)</f>
        <v>7</v>
      </c>
      <c r="Q17" s="6">
        <f>IFERROR(__xludf.DUMMYFUNCTION("IFERROR(
  VLOOKUP(
    A17,
    IMPORTRANGE(
      ""1ZHMy3vVUd_0MrSduXTe1etBb1HNpAlGwQr006ljwMiM"",
      ""GSC最新!A:R""
    ),
    16,
    FALSE
  ),
  0
)
"),10.0)</f>
        <v>10</v>
      </c>
      <c r="R17" s="51">
        <f t="shared" ref="R17:S17" si="78">IFERROR(N17/P17,"-")</f>
        <v>17.57142857</v>
      </c>
      <c r="S17" s="51">
        <f t="shared" si="78"/>
        <v>23.9</v>
      </c>
      <c r="T17" s="9">
        <f>IFERROR(__xludf.DUMMYFUNCTION("IFERROR(
  VLOOKUP(
    A17,
    IMPORTRANGE(
      ""1ZHMy3vVUd_0MrSduXTe1etBb1HNpAlGwQr006ljwMiM"",
      ""GSC最新!A:R""
    ),
    8,
    FALSE
  ),
  0
)
"),0.016260162601626018)</f>
        <v>0.0162601626</v>
      </c>
      <c r="U17" s="9">
        <f>IFERROR(__xludf.DUMMYFUNCTION("IFERROR(
  VLOOKUP(
    A17,
    IMPORTRANGE(
      ""1ZHMy3vVUd_0MrSduXTe1etBb1HNpAlGwQr006ljwMiM"",
      ""GSC最新!A:R""
    ),
    11,
    FALSE
  ),
  0
)
"),0.012552301255230125)</f>
        <v>0.01255230126</v>
      </c>
      <c r="V17" s="9">
        <f>IFERROR(__xludf.DUMMYFUNCTION("IFERROR(
  VLOOKUP(
    A17,
    IMPORTRANGE(
      ""1ZHMy3vVUd_0MrSduXTe1etBb1HNpAlGwQr006ljwMiM"",
      ""GSC最新!A:R""
    ),
    14,
    FALSE
  ),
  0
)
"),0.0)</f>
        <v>0</v>
      </c>
      <c r="W17" s="9">
        <f>IFERROR(__xludf.DUMMYFUNCTION("IFERROR(
  VLOOKUP(
    A17,
    IMPORTRANGE(
      ""1ZHMy3vVUd_0MrSduXTe1etBb1HNpAlGwQr006ljwMiM"",
      ""GSC最新!A:R""
    ),
    17,
    FALSE
  ),
  0
)
"),0.0)</f>
        <v>0</v>
      </c>
      <c r="X17" s="9">
        <f t="shared" ref="X17:Y17" si="79">IFERROR(T17-V17,"-")</f>
        <v>0.0162601626</v>
      </c>
      <c r="Y17" s="9">
        <f t="shared" si="79"/>
        <v>0.01255230126</v>
      </c>
      <c r="Z17" s="52">
        <f>IFERROR(__xludf.DUMMYFUNCTION("IFERROR(
  VLOOKUP(
    A17,
    IMPORTRANGE(
      ""1ZHMy3vVUd_0MrSduXTe1etBb1HNpAlGwQr006ljwMiM"",
      ""GSC最新!A:R""
    ),
    9,
    FALSE
  ),
  0
)
"),14.34959349593496)</f>
        <v>14.3495935</v>
      </c>
      <c r="AA17" s="52">
        <f>IFERROR(__xludf.DUMMYFUNCTION("IFERROR(
  VLOOKUP(
    A17,
    IMPORTRANGE(
      ""1ZHMy3vVUd_0MrSduXTe1etBb1HNpAlGwQr006ljwMiM"",
      ""GSC最新!A:R""
    ),
    12,
    FALSE
  ),
  0
)
"),16.351464435146443)</f>
        <v>16.35146444</v>
      </c>
      <c r="AB17" s="52">
        <f>IFERROR(__xludf.DUMMYFUNCTION("IFERROR(
  VLOOKUP(
    A17,
    IMPORTRANGE(
      ""1ZHMy3vVUd_0MrSduXTe1etBb1HNpAlGwQr006ljwMiM"",
      ""GSC最新!A:R""
    ),
    15,
    FALSE
  ),
  0
)
"),3.0)</f>
        <v>3</v>
      </c>
      <c r="AC17" s="52">
        <f>IFERROR(__xludf.DUMMYFUNCTION("IFERROR(
  VLOOKUP(
    A17,
    IMPORTRANGE(
      ""1ZHMy3vVUd_0MrSduXTe1etBb1HNpAlGwQr006ljwMiM"",
      ""GSC最新!A:R""
    ),
    18,
    FALSE
  ),
  0
)
"),2.6)</f>
        <v>2.6</v>
      </c>
      <c r="AD17" s="52">
        <f t="shared" ref="AD17:AE17" si="80">Z17-AB17</f>
        <v>11.3495935</v>
      </c>
      <c r="AE17" s="52">
        <f t="shared" si="80"/>
        <v>13.75146444</v>
      </c>
      <c r="AF17" s="53">
        <f>IFERROR(__xludf.DUMMYFUNCTION("IFERROR(
  VLOOKUP(
    A17,
    IMPORTRANGE(
      ""1ZHMy3vVUd_0MrSduXTe1etBb1HNpAlGwQr006ljwMiM"",
      ""GSC最新!A:F""
    ),
    6,
    FALSE
  ),
  0
)
"),46081.0)</f>
        <v>46081</v>
      </c>
      <c r="AG17" s="54">
        <f>IFERROR(__xludf.DUMMYFUNCTION("IFERROR(
  VLOOKUP(
    A17,
    IMPORTRANGE(
      ""1SCYQd7_cobOYqT0r_F0IqD4tE4rYn5y8Eup4PJTH8es"",
      ""Snapshot!A:M""
    ),
    5,
    FALSE
  ),
  ""-""
)
"),6.0)</f>
        <v>6</v>
      </c>
      <c r="AH17" s="54">
        <f>IFERROR(__xludf.DUMMYFUNCTION("IFERROR(
  VLOOKUP(
    A17,
    IMPORTRANGE(
      ""1SCYQd7_cobOYqT0r_F0IqD4tE4rYn5y8Eup4PJTH8es"",
      ""Snapshot!A:M""
    ),
    6,
    FALSE
  ),
  0
)
"),5.0)</f>
        <v>5</v>
      </c>
      <c r="AI17" s="54">
        <f>IFERROR(__xludf.DUMMYFUNCTION("IFERROR(
  VLOOKUP(
    A17,
    IMPORTRANGE(
      ""1SCYQd7_cobOYqT0r_F0IqD4tE4rYn5y8Eup4PJTH8es"",
      ""Snapshot!A:M""
    ),
    7,
    FALSE
  ),
  0
)
"),2134.0)</f>
        <v>2134</v>
      </c>
      <c r="AJ17" s="54">
        <f>IFERROR(__xludf.DUMMYFUNCTION("IFERROR(
  VLOOKUP(
    A17,
    IMPORTRANGE(
      ""1SCYQd7_cobOYqT0r_F0IqD4tE4rYn5y8Eup4PJTH8es"",
      ""Snapshot!A:M""
    ),
    8,
    FALSE
  ),
  0
)
"),4.0)</f>
        <v>4</v>
      </c>
      <c r="AK17" s="54">
        <f>IFERROR(__xludf.DUMMYFUNCTION("IFERROR(
  VLOOKUP(
    A17,
    IMPORTRANGE(
      ""1SCYQd7_cobOYqT0r_F0IqD4tE4rYn5y8Eup4PJTH8es"",
      ""Snapshot!A:M""
    ),
    9,
    FALSE
  ),
  0
)
"),1.0)</f>
        <v>1</v>
      </c>
      <c r="AL17" s="54">
        <f>IFERROR(__xludf.DUMMYFUNCTION("IFERROR(
  VLOOKUP(
    A17,
    IMPORTRANGE(
      ""1SCYQd7_cobOYqT0r_F0IqD4tE4rYn5y8Eup4PJTH8es"",
      ""Snapshot!A:M""
    ),
    13,
    FALSE
  ),
  0
)
"),1.0)</f>
        <v>1</v>
      </c>
    </row>
    <row r="18">
      <c r="A18" s="56" t="s">
        <v>301</v>
      </c>
      <c r="B18" s="1" t="str">
        <f>IFERROR(__xludf.DUMMYFUNCTION("IFERROR(
  VLOOKUP(
    A18,
    IMPORTRANGE(
      ""1ZygntHC1J6IxzKbTidmOyf5nUyW4GCLurHCjexrLm_o"",
      ""HTMLキャッシュ!A:F""
    ),
    2,
    FALSE
  ),
  0
)
"),"SP")</f>
        <v>SP</v>
      </c>
      <c r="C18" s="1" t="str">
        <f>IFERROR(__xludf.DUMMYFUNCTION("IFERROR(
  VLOOKUP(
    A18,
    IMPORTRANGE(
      ""1ZygntHC1J6IxzKbTidmOyf5nUyW4GCLurHCjexrLm_o"",
      ""HTMLキャッシュ!A:F""
    ),
    5,
    FALSE
  ),
  0
)
"),"大学受験の英作文講座｜和文英訳・自由英作文を添削で得点源化｜個別指導（オンライン可）")</f>
        <v>大学受験の英作文講座｜和文英訳・自由英作文を添削で得点源化｜個別指導（オンライン可）</v>
      </c>
      <c r="D18" s="1" t="str">
        <f>IFERROR(__xludf.DUMMYFUNCTION("IFERROR(
  VLOOKUP(
    A18,
    IMPORTRANGE(
      ""1ZygntHC1J6IxzKbTidmOyf5nUyW4GCLurHCjexrLm_o        "",
      ""HTMLキャッシュ!A:F""
    ),
    6,
    FALSE
  ),
  0
)
"),"大学受験の英作文（和文英訳・自由英作文）を個別添削で強化。並べ替え→語句補充→自由英作文の順で土台を作り、典型表現と中学レベルの単語で「文法的に正しく減点されにくい答案」を仕上げます。オンライン可。")</f>
        <v>大学受験の英作文（和文英訳・自由英作文）を個別添削で強化。並べ替え→語句補充→自由英作文の順で土台を作り、典型表現と中学レベルの単語で「文法的に正しく減点されにくい答案」を仕上げます。オンライン可。</v>
      </c>
      <c r="E18" s="49">
        <f t="shared" ref="E18:F18" si="81">LEN(C18)</f>
        <v>42</v>
      </c>
      <c r="F18" s="49">
        <f t="shared" si="81"/>
        <v>99</v>
      </c>
      <c r="G18" s="32">
        <f>IFERROR(__xludf.DUMMYFUNCTION("IFERROR(
  VLOOKUP(
    A18,
    IMPORTRANGE(
      ""1ZygntHC1J6IxzKbTidmOyf5nUyW4GCLurHCjexrLm_o        "",
      ""HTMLキャッシュ!A:F""
    ),
    3,
    FALSE
  ),
  0
)
"),46081.77302083333)</f>
        <v>46081.77302</v>
      </c>
      <c r="H18" s="49">
        <f>IFERROR(__xludf.DUMMYFUNCTION("IFERROR(
  VLOOKUP(
    A18,
    IMPORTRANGE(
      ""1ZHMy3vVUd_0MrSduXTe1etBb1HNpAlGwQr006ljwMiM"",
      ""GSC最新!A:F""
    ),
    2,
    FALSE
  ),
  0
)
"),1.0)</f>
        <v>1</v>
      </c>
      <c r="I18" s="49">
        <f>IFERROR(__xludf.DUMMYFUNCTION("IFERROR(
  VLOOKUP(
    A18,
    IMPORTRANGE(
      ""1ZHMy3vVUd_0MrSduXTe1etBb1HNpAlGwQr006ljwMiM"",
      ""GSC最新!A:F""
    ),
    3,
    FALSE
  ),
  0
)
"),4.0)</f>
        <v>4</v>
      </c>
      <c r="J18" s="49">
        <f>IFERROR(__xludf.DUMMYFUNCTION("IFERROR(
  VLOOKUP(
    A18,
    IMPORTRANGE(
      ""1ZHMy3vVUd_0MrSduXTe1etBb1HNpAlGwQr006ljwMiM"",
      ""GSC最新!A:F""
    ),
    4,
    FALSE
  ),
  0
)
"),1.0)</f>
        <v>1</v>
      </c>
      <c r="K18" s="49">
        <f>IFERROR(__xludf.DUMMYFUNCTION("IFERROR(
  VLOOKUP(
    A18,
    IMPORTRANGE(
      ""1ZHMy3vVUd_0MrSduXTe1etBb1HNpAlGwQr006ljwMiM"",
      ""GSC最新!A:F""
    ),
    5,
    FALSE
  ),
  0
)
"),5.0)</f>
        <v>5</v>
      </c>
      <c r="L18" s="50">
        <f t="shared" ref="L18:M18" si="82">IFERROR(H18/J18,"-")</f>
        <v>1</v>
      </c>
      <c r="M18" s="50">
        <f t="shared" si="82"/>
        <v>0.8</v>
      </c>
      <c r="N18" s="6">
        <f>IFERROR(__xludf.DUMMYFUNCTION("IFERROR(
  VLOOKUP(
    A18,
    IMPORTRANGE(
      ""1ZHMy3vVUd_0MrSduXTe1etBb1HNpAlGwQr006ljwMiM"",
      ""GSC最新!A:R""
    ),
    7,
    FALSE
  ),
  0
)
"),96.0)</f>
        <v>96</v>
      </c>
      <c r="O18" s="6">
        <f>IFERROR(__xludf.DUMMYFUNCTION("IFERROR(
  VLOOKUP(
    A18,
    IMPORTRANGE(
      ""1ZHMy3vVUd_0MrSduXTe1etBb1HNpAlGwQr006ljwMiM"",
      ""GSC最新!A:R""
    ),
    10,
    FALSE
  ),
  0
)
"),231.0)</f>
        <v>231</v>
      </c>
      <c r="P18" s="6">
        <f>IFERROR(__xludf.DUMMYFUNCTION("IFERROR(
  VLOOKUP(
    A18,
    IMPORTRANGE(
      ""1ZHMy3vVUd_0MrSduXTe1etBb1HNpAlGwQr006ljwMiM"",
      ""GSC最新!A:R""
    ),
    13,
    FALSE
  ),
  0
)
"),124.0)</f>
        <v>124</v>
      </c>
      <c r="Q18" s="6">
        <f>IFERROR(__xludf.DUMMYFUNCTION("IFERROR(
  VLOOKUP(
    A18,
    IMPORTRANGE(
      ""1ZHMy3vVUd_0MrSduXTe1etBb1HNpAlGwQr006ljwMiM"",
      ""GSC最新!A:R""
    ),
    16,
    FALSE
  ),
  0
)
"),478.0)</f>
        <v>478</v>
      </c>
      <c r="R18" s="51">
        <f t="shared" ref="R18:S18" si="83">IFERROR(N18/P18,"-")</f>
        <v>0.7741935484</v>
      </c>
      <c r="S18" s="51">
        <f t="shared" si="83"/>
        <v>0.4832635983</v>
      </c>
      <c r="T18" s="9">
        <f>IFERROR(__xludf.DUMMYFUNCTION("IFERROR(
  VLOOKUP(
    A18,
    IMPORTRANGE(
      ""1ZHMy3vVUd_0MrSduXTe1etBb1HNpAlGwQr006ljwMiM"",
      ""GSC最新!A:R""
    ),
    8,
    FALSE
  ),
  0
)
"),0.010416666666666666)</f>
        <v>0.01041666667</v>
      </c>
      <c r="U18" s="9">
        <f>IFERROR(__xludf.DUMMYFUNCTION("IFERROR(
  VLOOKUP(
    A18,
    IMPORTRANGE(
      ""1ZHMy3vVUd_0MrSduXTe1etBb1HNpAlGwQr006ljwMiM"",
      ""GSC最新!A:R""
    ),
    11,
    FALSE
  ),
  0
)
"),0.017316017316017316)</f>
        <v>0.01731601732</v>
      </c>
      <c r="V18" s="9">
        <f>IFERROR(__xludf.DUMMYFUNCTION("IFERROR(
  VLOOKUP(
    A18,
    IMPORTRANGE(
      ""1ZHMy3vVUd_0MrSduXTe1etBb1HNpAlGwQr006ljwMiM"",
      ""GSC最新!A:R""
    ),
    14,
    FALSE
  ),
  0
)
"),0.008064516129032258)</f>
        <v>0.008064516129</v>
      </c>
      <c r="W18" s="9">
        <f>IFERROR(__xludf.DUMMYFUNCTION("IFERROR(
  VLOOKUP(
    A18,
    IMPORTRANGE(
      ""1ZHMy3vVUd_0MrSduXTe1etBb1HNpAlGwQr006ljwMiM"",
      ""GSC最新!A:R""
    ),
    17,
    FALSE
  ),
  0
)
"),0.010460251046025104)</f>
        <v>0.01046025105</v>
      </c>
      <c r="X18" s="9">
        <f t="shared" ref="X18:Y18" si="84">IFERROR(T18-V18,"-")</f>
        <v>0.002352150538</v>
      </c>
      <c r="Y18" s="9">
        <f t="shared" si="84"/>
        <v>0.00685576627</v>
      </c>
      <c r="Z18" s="52">
        <f>IFERROR(__xludf.DUMMYFUNCTION("IFERROR(
  VLOOKUP(
    A18,
    IMPORTRANGE(
      ""1ZHMy3vVUd_0MrSduXTe1etBb1HNpAlGwQr006ljwMiM"",
      ""GSC最新!A:R""
    ),
    9,
    FALSE
  ),
  0
)
"),28.677083333333332)</f>
        <v>28.67708333</v>
      </c>
      <c r="AA18" s="52">
        <f>IFERROR(__xludf.DUMMYFUNCTION("IFERROR(
  VLOOKUP(
    A18,
    IMPORTRANGE(
      ""1ZHMy3vVUd_0MrSduXTe1etBb1HNpAlGwQr006ljwMiM"",
      ""GSC最新!A:R""
    ),
    12,
    FALSE
  ),
  0
)
"),31.58874458874459)</f>
        <v>31.58874459</v>
      </c>
      <c r="AB18" s="52">
        <f>IFERROR(__xludf.DUMMYFUNCTION("IFERROR(
  VLOOKUP(
    A18,
    IMPORTRANGE(
      ""1ZHMy3vVUd_0MrSduXTe1etBb1HNpAlGwQr006ljwMiM"",
      ""GSC最新!A:R""
    ),
    15,
    FALSE
  ),
  0
)
"),34.185483870967744)</f>
        <v>34.18548387</v>
      </c>
      <c r="AC18" s="52">
        <f>IFERROR(__xludf.DUMMYFUNCTION("IFERROR(
  VLOOKUP(
    A18,
    IMPORTRANGE(
      ""1ZHMy3vVUd_0MrSduXTe1etBb1HNpAlGwQr006ljwMiM"",
      ""GSC最新!A:R""
    ),
    18,
    FALSE
  ),
  0
)
"),48.03347280334728)</f>
        <v>48.0334728</v>
      </c>
      <c r="AD18" s="52">
        <f t="shared" ref="AD18:AE18" si="85">Z18-AB18</f>
        <v>-5.508400538</v>
      </c>
      <c r="AE18" s="52">
        <f t="shared" si="85"/>
        <v>-16.44472821</v>
      </c>
      <c r="AF18" s="53">
        <f>IFERROR(__xludf.DUMMYFUNCTION("IFERROR(
  VLOOKUP(
    A18,
    IMPORTRANGE(
      ""1ZHMy3vVUd_0MrSduXTe1etBb1HNpAlGwQr006ljwMiM"",
      ""GSC最新!A:F""
    ),
    6,
    FALSE
  ),
  0
)
"),46081.0)</f>
        <v>46081</v>
      </c>
      <c r="AG18" s="54">
        <f>IFERROR(__xludf.DUMMYFUNCTION("IFERROR(
  VLOOKUP(
    A18,
    IMPORTRANGE(
      ""1SCYQd7_cobOYqT0r_F0IqD4tE4rYn5y8Eup4PJTH8es"",
      ""Snapshot!A:M""
    ),
    5,
    FALSE
  ),
  ""-""
)
"),6.0)</f>
        <v>6</v>
      </c>
      <c r="AH18" s="54">
        <f>IFERROR(__xludf.DUMMYFUNCTION("IFERROR(
  VLOOKUP(
    A18,
    IMPORTRANGE(
      ""1SCYQd7_cobOYqT0r_F0IqD4tE4rYn5y8Eup4PJTH8es"",
      ""Snapshot!A:M""
    ),
    6,
    FALSE
  ),
  0
)
"),9.0)</f>
        <v>9</v>
      </c>
      <c r="AI18" s="54">
        <f>IFERROR(__xludf.DUMMYFUNCTION("IFERROR(
  VLOOKUP(
    A18,
    IMPORTRANGE(
      ""1SCYQd7_cobOYqT0r_F0IqD4tE4rYn5y8Eup4PJTH8es"",
      ""Snapshot!A:M""
    ),
    7,
    FALSE
  ),
  0
)
"),3817.0)</f>
        <v>3817</v>
      </c>
      <c r="AJ18" s="54">
        <f>IFERROR(__xludf.DUMMYFUNCTION("IFERROR(
  VLOOKUP(
    A18,
    IMPORTRANGE(
      ""1SCYQd7_cobOYqT0r_F0IqD4tE4rYn5y8Eup4PJTH8es"",
      ""Snapshot!A:M""
    ),
    8,
    FALSE
  ),
  0
)
"),1.0)</f>
        <v>1</v>
      </c>
      <c r="AK18" s="54">
        <f>IFERROR(__xludf.DUMMYFUNCTION("IFERROR(
  VLOOKUP(
    A18,
    IMPORTRANGE(
      ""1SCYQd7_cobOYqT0r_F0IqD4tE4rYn5y8Eup4PJTH8es"",
      ""Snapshot!A:M""
    ),
    9,
    FALSE
  ),
  0
)
"),1.0)</f>
        <v>1</v>
      </c>
      <c r="AL18" s="54">
        <f>IFERROR(__xludf.DUMMYFUNCTION("IFERROR(
  VLOOKUP(
    A18,
    IMPORTRANGE(
      ""1SCYQd7_cobOYqT0r_F0IqD4tE4rYn5y8Eup4PJTH8es"",
      ""Snapshot!A:M""
    ),
    13,
    FALSE
  ),
  0
)
"),1.0)</f>
        <v>1</v>
      </c>
    </row>
    <row r="19">
      <c r="A19" s="56" t="s">
        <v>302</v>
      </c>
      <c r="B19" s="1" t="str">
        <f>IFERROR(__xludf.DUMMYFUNCTION("IFERROR(
  VLOOKUP(
    A19,
    IMPORTRANGE(
      ""1ZygntHC1J6IxzKbTidmOyf5nUyW4GCLurHCjexrLm_o"",
      ""HTMLキャッシュ!A:F""
    ),
    2,
    FALSE
  ),
  0
)
"),"SP")</f>
        <v>SP</v>
      </c>
      <c r="C19" s="1" t="str">
        <f>IFERROR(__xludf.DUMMYFUNCTION("IFERROR(
  VLOOKUP(
    A19,
    IMPORTRANGE(
      ""1ZygntHC1J6IxzKbTidmOyf5nUyW4GCLurHCjexrLm_o"",
      ""HTMLキャッシュ!A:F""
    ),
    5,
    FALSE
  ),
  0
)
"),"都立高校入試のリスニング対策｜英問英答まで個別指導で強化")</f>
        <v>都立高校入試のリスニング対策｜英問英答まで個別指導で強化</v>
      </c>
      <c r="D19" s="1" t="str">
        <f>IFERROR(__xludf.DUMMYFUNCTION("IFERROR(
  VLOOKUP(
    A19,
    IMPORTRANGE(
      ""1ZygntHC1J6IxzKbTidmOyf5nUyW4GCLurHCjexrLm_o        "",
      ""HTMLキャッシュ!A:F""
    ),
    6,
    FALSE
  ),
  0
)
"),"都立高校入試のリスニング対策。音読×書き取り×英問英答を個別指導で反復し、一度で聴いて短く答える力を伸ばす。オンライン可。")</f>
        <v>都立高校入試のリスニング対策。音読×書き取り×英問英答を個別指導で反復し、一度で聴いて短く答える力を伸ばす。オンライン可。</v>
      </c>
      <c r="E19" s="49">
        <f t="shared" ref="E19:F19" si="86">LEN(C19)</f>
        <v>28</v>
      </c>
      <c r="F19" s="49">
        <f t="shared" si="86"/>
        <v>61</v>
      </c>
      <c r="G19" s="32">
        <f>IFERROR(__xludf.DUMMYFUNCTION("IFERROR(
  VLOOKUP(
    A19,
    IMPORTRANGE(
      ""1ZygntHC1J6IxzKbTidmOyf5nUyW4GCLurHCjexrLm_o        "",
      ""HTMLキャッシュ!A:F""
    ),
    3,
    FALSE
  ),
  0
)
"),46078.87515046296)</f>
        <v>46078.87515</v>
      </c>
      <c r="H19" s="49">
        <f>IFERROR(__xludf.DUMMYFUNCTION("IFERROR(
  VLOOKUP(
    A19,
    IMPORTRANGE(
      ""1ZHMy3vVUd_0MrSduXTe1etBb1HNpAlGwQr006ljwMiM"",
      ""GSC最新!A:F""
    ),
    2,
    FALSE
  ),
  0
)
"),0.0)</f>
        <v>0</v>
      </c>
      <c r="I19" s="49">
        <f>IFERROR(__xludf.DUMMYFUNCTION("IFERROR(
  VLOOKUP(
    A19,
    IMPORTRANGE(
      ""1ZHMy3vVUd_0MrSduXTe1etBb1HNpAlGwQr006ljwMiM"",
      ""GSC最新!A:F""
    ),
    3,
    FALSE
  ),
  0
)
"),1.0)</f>
        <v>1</v>
      </c>
      <c r="J19" s="49">
        <f>IFERROR(__xludf.DUMMYFUNCTION("IFERROR(
  VLOOKUP(
    A19,
    IMPORTRANGE(
      ""1ZHMy3vVUd_0MrSduXTe1etBb1HNpAlGwQr006ljwMiM"",
      ""GSC最新!A:F""
    ),
    4,
    FALSE
  ),
  0
)
"),3.0)</f>
        <v>3</v>
      </c>
      <c r="K19" s="49">
        <f>IFERROR(__xludf.DUMMYFUNCTION("IFERROR(
  VLOOKUP(
    A19,
    IMPORTRANGE(
      ""1ZHMy3vVUd_0MrSduXTe1etBb1HNpAlGwQr006ljwMiM"",
      ""GSC最新!A:F""
    ),
    5,
    FALSE
  ),
  0
)
"),3.0)</f>
        <v>3</v>
      </c>
      <c r="L19" s="50">
        <f t="shared" ref="L19:M19" si="87">IFERROR(H19/J19,"-")</f>
        <v>0</v>
      </c>
      <c r="M19" s="50">
        <f t="shared" si="87"/>
        <v>0.3333333333</v>
      </c>
      <c r="N19" s="6">
        <f>IFERROR(__xludf.DUMMYFUNCTION("IFERROR(
  VLOOKUP(
    A19,
    IMPORTRANGE(
      ""1ZHMy3vVUd_0MrSduXTe1etBb1HNpAlGwQr006ljwMiM"",
      ""GSC最新!A:R""
    ),
    7,
    FALSE
  ),
  0
)
"),108.0)</f>
        <v>108</v>
      </c>
      <c r="O19" s="6">
        <f>IFERROR(__xludf.DUMMYFUNCTION("IFERROR(
  VLOOKUP(
    A19,
    IMPORTRANGE(
      ""1ZHMy3vVUd_0MrSduXTe1etBb1HNpAlGwQr006ljwMiM"",
      ""GSC最新!A:R""
    ),
    10,
    FALSE
  ),
  0
)
"),165.0)</f>
        <v>165</v>
      </c>
      <c r="P19" s="6">
        <f>IFERROR(__xludf.DUMMYFUNCTION("IFERROR(
  VLOOKUP(
    A19,
    IMPORTRANGE(
      ""1ZHMy3vVUd_0MrSduXTe1etBb1HNpAlGwQr006ljwMiM"",
      ""GSC最新!A:R""
    ),
    13,
    FALSE
  ),
  0
)
"),83.0)</f>
        <v>83</v>
      </c>
      <c r="Q19" s="6">
        <f>IFERROR(__xludf.DUMMYFUNCTION("IFERROR(
  VLOOKUP(
    A19,
    IMPORTRANGE(
      ""1ZHMy3vVUd_0MrSduXTe1etBb1HNpAlGwQr006ljwMiM"",
      ""GSC最新!A:R""
    ),
    16,
    FALSE
  ),
  0
)
"),277.0)</f>
        <v>277</v>
      </c>
      <c r="R19" s="51">
        <f t="shared" ref="R19:S19" si="88">IFERROR(N19/P19,"-")</f>
        <v>1.301204819</v>
      </c>
      <c r="S19" s="51">
        <f t="shared" si="88"/>
        <v>0.59566787</v>
      </c>
      <c r="T19" s="9">
        <f>IFERROR(__xludf.DUMMYFUNCTION("IFERROR(
  VLOOKUP(
    A19,
    IMPORTRANGE(
      ""1ZHMy3vVUd_0MrSduXTe1etBb1HNpAlGwQr006ljwMiM"",
      ""GSC最新!A:R""
    ),
    8,
    FALSE
  ),
  0
)
"),0.0)</f>
        <v>0</v>
      </c>
      <c r="U19" s="9">
        <f>IFERROR(__xludf.DUMMYFUNCTION("IFERROR(
  VLOOKUP(
    A19,
    IMPORTRANGE(
      ""1ZHMy3vVUd_0MrSduXTe1etBb1HNpAlGwQr006ljwMiM"",
      ""GSC最新!A:R""
    ),
    11,
    FALSE
  ),
  0
)
"),0.006060606060606061)</f>
        <v>0.006060606061</v>
      </c>
      <c r="V19" s="9">
        <f>IFERROR(__xludf.DUMMYFUNCTION("IFERROR(
  VLOOKUP(
    A19,
    IMPORTRANGE(
      ""1ZHMy3vVUd_0MrSduXTe1etBb1HNpAlGwQr006ljwMiM"",
      ""GSC最新!A:R""
    ),
    14,
    FALSE
  ),
  0
)
"),0.03614457831325301)</f>
        <v>0.03614457831</v>
      </c>
      <c r="W19" s="9">
        <f>IFERROR(__xludf.DUMMYFUNCTION("IFERROR(
  VLOOKUP(
    A19,
    IMPORTRANGE(
      ""1ZHMy3vVUd_0MrSduXTe1etBb1HNpAlGwQr006ljwMiM"",
      ""GSC最新!A:R""
    ),
    17,
    FALSE
  ),
  0
)
"),0.010830324909747292)</f>
        <v>0.01083032491</v>
      </c>
      <c r="X19" s="9">
        <f t="shared" ref="X19:Y19" si="89">IFERROR(T19-V19,"-")</f>
        <v>-0.03614457831</v>
      </c>
      <c r="Y19" s="9">
        <f t="shared" si="89"/>
        <v>-0.004769718849</v>
      </c>
      <c r="Z19" s="52">
        <f>IFERROR(__xludf.DUMMYFUNCTION("IFERROR(
  VLOOKUP(
    A19,
    IMPORTRANGE(
      ""1ZHMy3vVUd_0MrSduXTe1etBb1HNpAlGwQr006ljwMiM"",
      ""GSC最新!A:R""
    ),
    9,
    FALSE
  ),
  0
)
"),6.0092592592592595)</f>
        <v>6.009259259</v>
      </c>
      <c r="AA19" s="52">
        <f>IFERROR(__xludf.DUMMYFUNCTION("IFERROR(
  VLOOKUP(
    A19,
    IMPORTRANGE(
      ""1ZHMy3vVUd_0MrSduXTe1etBb1HNpAlGwQr006ljwMiM"",
      ""GSC最新!A:R""
    ),
    12,
    FALSE
  ),
  0
)
"),7.715151515151515)</f>
        <v>7.715151515</v>
      </c>
      <c r="AB19" s="52">
        <f>IFERROR(__xludf.DUMMYFUNCTION("IFERROR(
  VLOOKUP(
    A19,
    IMPORTRANGE(
      ""1ZHMy3vVUd_0MrSduXTe1etBb1HNpAlGwQr006ljwMiM"",
      ""GSC最新!A:R""
    ),
    15,
    FALSE
  ),
  0
)
"),43.397590361445786)</f>
        <v>43.39759036</v>
      </c>
      <c r="AC19" s="52">
        <f>IFERROR(__xludf.DUMMYFUNCTION("IFERROR(
  VLOOKUP(
    A19,
    IMPORTRANGE(
      ""1ZHMy3vVUd_0MrSduXTe1etBb1HNpAlGwQr006ljwMiM"",
      ""GSC最新!A:R""
    ),
    18,
    FALSE
  ),
  0
)
"),44.81588447653429)</f>
        <v>44.81588448</v>
      </c>
      <c r="AD19" s="52">
        <f t="shared" ref="AD19:AE19" si="90">Z19-AB19</f>
        <v>-37.3883311</v>
      </c>
      <c r="AE19" s="52">
        <f t="shared" si="90"/>
        <v>-37.10073296</v>
      </c>
      <c r="AF19" s="53">
        <f>IFERROR(__xludf.DUMMYFUNCTION("IFERROR(
  VLOOKUP(
    A19,
    IMPORTRANGE(
      ""1ZHMy3vVUd_0MrSduXTe1etBb1HNpAlGwQr006ljwMiM"",
      ""GSC最新!A:F""
    ),
    6,
    FALSE
  ),
  0
)
"),46081.0)</f>
        <v>46081</v>
      </c>
      <c r="AG19" s="54">
        <f>IFERROR(__xludf.DUMMYFUNCTION("IFERROR(
  VLOOKUP(
    A19,
    IMPORTRANGE(
      ""1SCYQd7_cobOYqT0r_F0IqD4tE4rYn5y8Eup4PJTH8es"",
      ""Snapshot!A:M""
    ),
    5,
    FALSE
  ),
  ""-""
)
"),5.0)</f>
        <v>5</v>
      </c>
      <c r="AH19" s="54">
        <f>IFERROR(__xludf.DUMMYFUNCTION("IFERROR(
  VLOOKUP(
    A19,
    IMPORTRANGE(
      ""1SCYQd7_cobOYqT0r_F0IqD4tE4rYn5y8Eup4PJTH8es"",
      ""Snapshot!A:M""
    ),
    6,
    FALSE
  ),
  0
)
"),7.0)</f>
        <v>7</v>
      </c>
      <c r="AI19" s="54">
        <f>IFERROR(__xludf.DUMMYFUNCTION("IFERROR(
  VLOOKUP(
    A19,
    IMPORTRANGE(
      ""1SCYQd7_cobOYqT0r_F0IqD4tE4rYn5y8Eup4PJTH8es"",
      ""Snapshot!A:M""
    ),
    7,
    FALSE
  ),
  0
)
"),3187.0)</f>
        <v>3187</v>
      </c>
      <c r="AJ19" s="54">
        <f>IFERROR(__xludf.DUMMYFUNCTION("IFERROR(
  VLOOKUP(
    A19,
    IMPORTRANGE(
      ""1SCYQd7_cobOYqT0r_F0IqD4tE4rYn5y8Eup4PJTH8es"",
      ""Snapshot!A:M""
    ),
    8,
    FALSE
  ),
  0
)
"),1.0)</f>
        <v>1</v>
      </c>
      <c r="AK19" s="54">
        <f>IFERROR(__xludf.DUMMYFUNCTION("IFERROR(
  VLOOKUP(
    A19,
    IMPORTRANGE(
      ""1SCYQd7_cobOYqT0r_F0IqD4tE4rYn5y8Eup4PJTH8es"",
      ""Snapshot!A:M""
    ),
    9,
    FALSE
  ),
  0
)
"),1.0)</f>
        <v>1</v>
      </c>
      <c r="AL19" s="54">
        <f>IFERROR(__xludf.DUMMYFUNCTION("IFERROR(
  VLOOKUP(
    A19,
    IMPORTRANGE(
      ""1SCYQd7_cobOYqT0r_F0IqD4tE4rYn5y8Eup4PJTH8es"",
      ""Snapshot!A:M""
    ),
    13,
    FALSE
  ),
  0
)
"),1.0)</f>
        <v>1</v>
      </c>
    </row>
    <row r="20">
      <c r="A20" s="56" t="s">
        <v>303</v>
      </c>
      <c r="B20" s="1" t="str">
        <f>IFERROR(__xludf.DUMMYFUNCTION("IFERROR(
  VLOOKUP(
    A20,
    IMPORTRANGE(
      ""1ZygntHC1J6IxzKbTidmOyf5nUyW4GCLurHCjexrLm_o"",
      ""HTMLキャッシュ!A:F""
    ),
    2,
    FALSE
  ),
  0
)
"),"SP")</f>
        <v>SP</v>
      </c>
      <c r="C20" s="1" t="str">
        <f>IFERROR(__xludf.DUMMYFUNCTION("IFERROR(
  VLOOKUP(
    A20,
    IMPORTRANGE(
      ""1ZygntHC1J6IxzKbTidmOyf5nUyW4GCLurHCjexrLm_o"",
      ""HTMLキャッシュ!A:F""
    ),
    5,
    FALSE
  ),
  0
)
"),"中高一貫古文定期テスト対策強化個別指導講座｜オンライン対応塾")</f>
        <v>中高一貫古文定期テスト対策強化個別指導講座｜オンライン対応塾</v>
      </c>
      <c r="D20" s="1" t="str">
        <f>IFERROR(__xludf.DUMMYFUNCTION("IFERROR(
  VLOOKUP(
    A20,
    IMPORTRANGE(
      ""1ZygntHC1J6IxzKbTidmOyf5nUyW4GCLurHCjexrLm_o        "",
      ""HTMLキャッシュ!A:F""
    ),
    6,
    FALSE
  ),
  0
)
"),"定期テストで古文漢文が伸びない中高一貫生向け。暗記に頼らず設問根拠から得点化する個別指導。今すぐオンライン相談受付中【無料】")</f>
        <v>定期テストで古文漢文が伸びない中高一貫生向け。暗記に頼らず設問根拠から得点化する個別指導。今すぐオンライン相談受付中【無料】</v>
      </c>
      <c r="E20" s="49">
        <f t="shared" ref="E20:F20" si="91">LEN(C20)</f>
        <v>30</v>
      </c>
      <c r="F20" s="49">
        <f t="shared" si="91"/>
        <v>62</v>
      </c>
      <c r="G20" s="32">
        <f>IFERROR(__xludf.DUMMYFUNCTION("IFERROR(
  VLOOKUP(
    A20,
    IMPORTRANGE(
      ""1ZygntHC1J6IxzKbTidmOyf5nUyW4GCLurHCjexrLm_o        "",
      ""HTMLキャッシュ!A:F""
    ),
    3,
    FALSE
  ),
  0
)
"),46081.746296296296)</f>
        <v>46081.7463</v>
      </c>
      <c r="H20" s="49">
        <f>IFERROR(__xludf.DUMMYFUNCTION("IFERROR(
  VLOOKUP(
    A20,
    IMPORTRANGE(
      ""1ZHMy3vVUd_0MrSduXTe1etBb1HNpAlGwQr006ljwMiM"",
      ""GSC最新!A:F""
    ),
    2,
    FALSE
  ),
  0
)
"),0.0)</f>
        <v>0</v>
      </c>
      <c r="I20" s="49">
        <f>IFERROR(__xludf.DUMMYFUNCTION("IFERROR(
  VLOOKUP(
    A20,
    IMPORTRANGE(
      ""1ZHMy3vVUd_0MrSduXTe1etBb1HNpAlGwQr006ljwMiM"",
      ""GSC最新!A:F""
    ),
    3,
    FALSE
  ),
  0
)
"),3.0)</f>
        <v>3</v>
      </c>
      <c r="J20" s="49">
        <f>IFERROR(__xludf.DUMMYFUNCTION("IFERROR(
  VLOOKUP(
    A20,
    IMPORTRANGE(
      ""1ZHMy3vVUd_0MrSduXTe1etBb1HNpAlGwQr006ljwMiM"",
      ""GSC最新!A:F""
    ),
    4,
    FALSE
  ),
  0
)
"),0.0)</f>
        <v>0</v>
      </c>
      <c r="K20" s="49">
        <f>IFERROR(__xludf.DUMMYFUNCTION("IFERROR(
  VLOOKUP(
    A20,
    IMPORTRANGE(
      ""1ZHMy3vVUd_0MrSduXTe1etBb1HNpAlGwQr006ljwMiM"",
      ""GSC最新!A:F""
    ),
    5,
    FALSE
  ),
  0
)
"),0.0)</f>
        <v>0</v>
      </c>
      <c r="L20" s="50" t="str">
        <f t="shared" ref="L20:M20" si="92">IFERROR(H20/J20,"-")</f>
        <v>-</v>
      </c>
      <c r="M20" s="50" t="str">
        <f t="shared" si="92"/>
        <v>-</v>
      </c>
      <c r="N20" s="6">
        <f>IFERROR(__xludf.DUMMYFUNCTION("IFERROR(
  VLOOKUP(
    A20,
    IMPORTRANGE(
      ""1ZHMy3vVUd_0MrSduXTe1etBb1HNpAlGwQr006ljwMiM"",
      ""GSC最新!A:R""
    ),
    7,
    FALSE
  ),
  0
)
"),26.0)</f>
        <v>26</v>
      </c>
      <c r="O20" s="6">
        <f>IFERROR(__xludf.DUMMYFUNCTION("IFERROR(
  VLOOKUP(
    A20,
    IMPORTRANGE(
      ""1ZHMy3vVUd_0MrSduXTe1etBb1HNpAlGwQr006ljwMiM"",
      ""GSC最新!A:R""
    ),
    10,
    FALSE
  ),
  0
)
"),161.0)</f>
        <v>161</v>
      </c>
      <c r="P20" s="6">
        <f>IFERROR(__xludf.DUMMYFUNCTION("IFERROR(
  VLOOKUP(
    A20,
    IMPORTRANGE(
      ""1ZHMy3vVUd_0MrSduXTe1etBb1HNpAlGwQr006ljwMiM"",
      ""GSC最新!A:R""
    ),
    13,
    FALSE
  ),
  0
)
"),54.0)</f>
        <v>54</v>
      </c>
      <c r="Q20" s="6">
        <f>IFERROR(__xludf.DUMMYFUNCTION("IFERROR(
  VLOOKUP(
    A20,
    IMPORTRANGE(
      ""1ZHMy3vVUd_0MrSduXTe1etBb1HNpAlGwQr006ljwMiM"",
      ""GSC最新!A:R""
    ),
    16,
    FALSE
  ),
  0
)
"),152.0)</f>
        <v>152</v>
      </c>
      <c r="R20" s="51">
        <f t="shared" ref="R20:S20" si="93">IFERROR(N20/P20,"-")</f>
        <v>0.4814814815</v>
      </c>
      <c r="S20" s="51">
        <f t="shared" si="93"/>
        <v>1.059210526</v>
      </c>
      <c r="T20" s="9">
        <f>IFERROR(__xludf.DUMMYFUNCTION("IFERROR(
  VLOOKUP(
    A20,
    IMPORTRANGE(
      ""1ZHMy3vVUd_0MrSduXTe1etBb1HNpAlGwQr006ljwMiM"",
      ""GSC最新!A:R""
    ),
    8,
    FALSE
  ),
  0
)
"),0.0)</f>
        <v>0</v>
      </c>
      <c r="U20" s="9">
        <f>IFERROR(__xludf.DUMMYFUNCTION("IFERROR(
  VLOOKUP(
    A20,
    IMPORTRANGE(
      ""1ZHMy3vVUd_0MrSduXTe1etBb1HNpAlGwQr006ljwMiM"",
      ""GSC最新!A:R""
    ),
    11,
    FALSE
  ),
  0
)
"),0.018633540372670808)</f>
        <v>0.01863354037</v>
      </c>
      <c r="V20" s="9">
        <f>IFERROR(__xludf.DUMMYFUNCTION("IFERROR(
  VLOOKUP(
    A20,
    IMPORTRANGE(
      ""1ZHMy3vVUd_0MrSduXTe1etBb1HNpAlGwQr006ljwMiM"",
      ""GSC最新!A:R""
    ),
    14,
    FALSE
  ),
  0
)
"),0.0)</f>
        <v>0</v>
      </c>
      <c r="W20" s="9">
        <f>IFERROR(__xludf.DUMMYFUNCTION("IFERROR(
  VLOOKUP(
    A20,
    IMPORTRANGE(
      ""1ZHMy3vVUd_0MrSduXTe1etBb1HNpAlGwQr006ljwMiM"",
      ""GSC最新!A:R""
    ),
    17,
    FALSE
  ),
  0
)
"),0.0)</f>
        <v>0</v>
      </c>
      <c r="X20" s="9">
        <f t="shared" ref="X20:Y20" si="94">IFERROR(T20-V20,"-")</f>
        <v>0</v>
      </c>
      <c r="Y20" s="9">
        <f t="shared" si="94"/>
        <v>0.01863354037</v>
      </c>
      <c r="Z20" s="52">
        <f>IFERROR(__xludf.DUMMYFUNCTION("IFERROR(
  VLOOKUP(
    A20,
    IMPORTRANGE(
      ""1ZHMy3vVUd_0MrSduXTe1etBb1HNpAlGwQr006ljwMiM"",
      ""GSC最新!A:R""
    ),
    9,
    FALSE
  ),
  0
)
"),5.346153846153846)</f>
        <v>5.346153846</v>
      </c>
      <c r="AA20" s="52">
        <f>IFERROR(__xludf.DUMMYFUNCTION("IFERROR(
  VLOOKUP(
    A20,
    IMPORTRANGE(
      ""1ZHMy3vVUd_0MrSduXTe1etBb1HNpAlGwQr006ljwMiM"",
      ""GSC最新!A:R""
    ),
    12,
    FALSE
  ),
  0
)
"),4.944099378881988)</f>
        <v>4.944099379</v>
      </c>
      <c r="AB20" s="52">
        <f>IFERROR(__xludf.DUMMYFUNCTION("IFERROR(
  VLOOKUP(
    A20,
    IMPORTRANGE(
      ""1ZHMy3vVUd_0MrSduXTe1etBb1HNpAlGwQr006ljwMiM"",
      ""GSC最新!A:R""
    ),
    15,
    FALSE
  ),
  0
)
"),24.296296296296298)</f>
        <v>24.2962963</v>
      </c>
      <c r="AC20" s="52">
        <f>IFERROR(__xludf.DUMMYFUNCTION("IFERROR(
  VLOOKUP(
    A20,
    IMPORTRANGE(
      ""1ZHMy3vVUd_0MrSduXTe1etBb1HNpAlGwQr006ljwMiM"",
      ""GSC最新!A:R""
    ),
    18,
    FALSE
  ),
  0
)
"),33.91447368421053)</f>
        <v>33.91447368</v>
      </c>
      <c r="AD20" s="52">
        <f t="shared" ref="AD20:AE20" si="95">Z20-AB20</f>
        <v>-18.95014245</v>
      </c>
      <c r="AE20" s="52">
        <f t="shared" si="95"/>
        <v>-28.97037431</v>
      </c>
      <c r="AF20" s="53">
        <f>IFERROR(__xludf.DUMMYFUNCTION("IFERROR(
  VLOOKUP(
    A20,
    IMPORTRANGE(
      ""1ZHMy3vVUd_0MrSduXTe1etBb1HNpAlGwQr006ljwMiM"",
      ""GSC最新!A:F""
    ),
    6,
    FALSE
  ),
  0
)
"),46081.0)</f>
        <v>46081</v>
      </c>
      <c r="AG20" s="54">
        <f>IFERROR(__xludf.DUMMYFUNCTION("IFERROR(
  VLOOKUP(
    A20,
    IMPORTRANGE(
      ""1SCYQd7_cobOYqT0r_F0IqD4tE4rYn5y8Eup4PJTH8es"",
      ""Snapshot!A:M""
    ),
    5,
    FALSE
  ),
  ""-""
)
"),3.0)</f>
        <v>3</v>
      </c>
      <c r="AH20" s="54">
        <f>IFERROR(__xludf.DUMMYFUNCTION("IFERROR(
  VLOOKUP(
    A20,
    IMPORTRANGE(
      ""1SCYQd7_cobOYqT0r_F0IqD4tE4rYn5y8Eup4PJTH8es"",
      ""Snapshot!A:M""
    ),
    6,
    FALSE
  ),
  0
)
"),0.0)</f>
        <v>0</v>
      </c>
      <c r="AI20" s="54">
        <f>IFERROR(__xludf.DUMMYFUNCTION("IFERROR(
  VLOOKUP(
    A20,
    IMPORTRANGE(
      ""1SCYQd7_cobOYqT0r_F0IqD4tE4rYn5y8Eup4PJTH8es"",
      ""Snapshot!A:M""
    ),
    7,
    FALSE
  ),
  0
)
"),999.0)</f>
        <v>999</v>
      </c>
      <c r="AJ20" s="54">
        <f>IFERROR(__xludf.DUMMYFUNCTION("IFERROR(
  VLOOKUP(
    A20,
    IMPORTRANGE(
      ""1SCYQd7_cobOYqT0r_F0IqD4tE4rYn5y8Eup4PJTH8es"",
      ""Snapshot!A:M""
    ),
    8,
    FALSE
  ),
  0
)
"),1.0)</f>
        <v>1</v>
      </c>
      <c r="AK20" s="54">
        <f>IFERROR(__xludf.DUMMYFUNCTION("IFERROR(
  VLOOKUP(
    A20,
    IMPORTRANGE(
      ""1SCYQd7_cobOYqT0r_F0IqD4tE4rYn5y8Eup4PJTH8es"",
      ""Snapshot!A:M""
    ),
    9,
    FALSE
  ),
  0
)
"),1.0)</f>
        <v>1</v>
      </c>
      <c r="AL20" s="54">
        <f>IFERROR(__xludf.DUMMYFUNCTION("IFERROR(
  VLOOKUP(
    A20,
    IMPORTRANGE(
      ""1SCYQd7_cobOYqT0r_F0IqD4tE4rYn5y8Eup4PJTH8es"",
      ""Snapshot!A:M""
    ),
    13,
    FALSE
  ),
  0
)
"),1.0)</f>
        <v>1</v>
      </c>
    </row>
    <row r="21">
      <c r="A21" s="56" t="s">
        <v>304</v>
      </c>
      <c r="B21" s="1" t="str">
        <f>IFERROR(__xludf.DUMMYFUNCTION("IFERROR(
  VLOOKUP(
    A21,
    IMPORTRANGE(
      ""1ZygntHC1J6IxzKbTidmOyf5nUyW4GCLurHCjexrLm_o"",
      ""HTMLキャッシュ!A:F""
    ),
    2,
    FALSE
  ),
  0
)
"),"SP")</f>
        <v>SP</v>
      </c>
      <c r="C21" s="1" t="str">
        <f>IFERROR(__xludf.DUMMYFUNCTION("IFERROR(
  VLOOKUP(
    A21,
    IMPORTRANGE(
      ""1ZygntHC1J6IxzKbTidmOyf5nUyW4GCLurHCjexrLm_o"",
      ""HTMLキャッシュ!A:F""
    ),
    5,
    FALSE
  ),
  0
)
"),"大学受験 古典対策講座｜現代文・古文・漢文対応の個別指導")</f>
        <v>大学受験 古典対策講座｜現代文・古文・漢文対応の個別指導</v>
      </c>
      <c r="D21" s="1" t="str">
        <f>IFERROR(__xludf.DUMMYFUNCTION("IFERROR(
  VLOOKUP(
    A21,
    IMPORTRANGE(
      ""1ZygntHC1J6IxzKbTidmOyf5nUyW4GCLurHCjexrLm_o        "",
      ""HTMLキャッシュ!A:F""
    ),
    6,
    FALSE
  ),
  0
)
"),"古典が伸びない受験生へ。志望校別に記述・選択・共通テストまで1対1で設計指導。教室・オンライン体験相談受付中")</f>
        <v>古典が伸びない受験生へ。志望校別に記述・選択・共通テストまで1対1で設計指導。教室・オンライン体験相談受付中</v>
      </c>
      <c r="E21" s="49">
        <f t="shared" ref="E21:F21" si="96">LEN(C21)</f>
        <v>28</v>
      </c>
      <c r="F21" s="49">
        <f t="shared" si="96"/>
        <v>54</v>
      </c>
      <c r="G21" s="32">
        <f>IFERROR(__xludf.DUMMYFUNCTION("IFERROR(
  VLOOKUP(
    A21,
    IMPORTRANGE(
      ""1ZygntHC1J6IxzKbTidmOyf5nUyW4GCLurHCjexrLm_o        "",
      ""HTMLキャッシュ!A:F""
    ),
    3,
    FALSE
  ),
  0
)
"),46081.77716435185)</f>
        <v>46081.77716</v>
      </c>
      <c r="H21" s="49">
        <f>IFERROR(__xludf.DUMMYFUNCTION("IFERROR(
  VLOOKUP(
    A21,
    IMPORTRANGE(
      ""1ZHMy3vVUd_0MrSduXTe1etBb1HNpAlGwQr006ljwMiM"",
      ""GSC最新!A:F""
    ),
    2,
    FALSE
  ),
  0
)
"),1.0)</f>
        <v>1</v>
      </c>
      <c r="I21" s="49">
        <f>IFERROR(__xludf.DUMMYFUNCTION("IFERROR(
  VLOOKUP(
    A21,
    IMPORTRANGE(
      ""1ZHMy3vVUd_0MrSduXTe1etBb1HNpAlGwQr006ljwMiM"",
      ""GSC最新!A:F""
    ),
    3,
    FALSE
  ),
  0
)
"),1.0)</f>
        <v>1</v>
      </c>
      <c r="J21" s="49">
        <f>IFERROR(__xludf.DUMMYFUNCTION("IFERROR(
  VLOOKUP(
    A21,
    IMPORTRANGE(
      ""1ZHMy3vVUd_0MrSduXTe1etBb1HNpAlGwQr006ljwMiM"",
      ""GSC最新!A:F""
    ),
    4,
    FALSE
  ),
  0
)
"),2.0)</f>
        <v>2</v>
      </c>
      <c r="K21" s="49">
        <f>IFERROR(__xludf.DUMMYFUNCTION("IFERROR(
  VLOOKUP(
    A21,
    IMPORTRANGE(
      ""1ZHMy3vVUd_0MrSduXTe1etBb1HNpAlGwQr006ljwMiM"",
      ""GSC最新!A:F""
    ),
    5,
    FALSE
  ),
  0
)
"),10.0)</f>
        <v>10</v>
      </c>
      <c r="L21" s="50">
        <f t="shared" ref="L21:M21" si="97">IFERROR(H21/J21,"-")</f>
        <v>0.5</v>
      </c>
      <c r="M21" s="50">
        <f t="shared" si="97"/>
        <v>0.1</v>
      </c>
      <c r="N21" s="6">
        <f>IFERROR(__xludf.DUMMYFUNCTION("IFERROR(
  VLOOKUP(
    A21,
    IMPORTRANGE(
      ""1ZHMy3vVUd_0MrSduXTe1etBb1HNpAlGwQr006ljwMiM"",
      ""GSC最新!A:R""
    ),
    7,
    FALSE
  ),
  0
)
"),102.0)</f>
        <v>102</v>
      </c>
      <c r="O21" s="6">
        <f>IFERROR(__xludf.DUMMYFUNCTION("IFERROR(
  VLOOKUP(
    A21,
    IMPORTRANGE(
      ""1ZHMy3vVUd_0MrSduXTe1etBb1HNpAlGwQr006ljwMiM"",
      ""GSC最新!A:R""
    ),
    10,
    FALSE
  ),
  0
)
"),155.0)</f>
        <v>155</v>
      </c>
      <c r="P21" s="6">
        <f>IFERROR(__xludf.DUMMYFUNCTION("IFERROR(
  VLOOKUP(
    A21,
    IMPORTRANGE(
      ""1ZHMy3vVUd_0MrSduXTe1etBb1HNpAlGwQr006ljwMiM"",
      ""GSC最新!A:R""
    ),
    13,
    FALSE
  ),
  0
)
"),114.0)</f>
        <v>114</v>
      </c>
      <c r="Q21" s="6">
        <f>IFERROR(__xludf.DUMMYFUNCTION("IFERROR(
  VLOOKUP(
    A21,
    IMPORTRANGE(
      ""1ZHMy3vVUd_0MrSduXTe1etBb1HNpAlGwQr006ljwMiM"",
      ""GSC最新!A:R""
    ),
    16,
    FALSE
  ),
  0
)
"),482.0)</f>
        <v>482</v>
      </c>
      <c r="R21" s="51">
        <f t="shared" ref="R21:S21" si="98">IFERROR(N21/P21,"-")</f>
        <v>0.8947368421</v>
      </c>
      <c r="S21" s="51">
        <f t="shared" si="98"/>
        <v>0.3215767635</v>
      </c>
      <c r="T21" s="9">
        <f>IFERROR(__xludf.DUMMYFUNCTION("IFERROR(
  VLOOKUP(
    A21,
    IMPORTRANGE(
      ""1ZHMy3vVUd_0MrSduXTe1etBb1HNpAlGwQr006ljwMiM"",
      ""GSC最新!A:R""
    ),
    8,
    FALSE
  ),
  0
)
"),0.00980392156862745)</f>
        <v>0.009803921569</v>
      </c>
      <c r="U21" s="9">
        <f>IFERROR(__xludf.DUMMYFUNCTION("IFERROR(
  VLOOKUP(
    A21,
    IMPORTRANGE(
      ""1ZHMy3vVUd_0MrSduXTe1etBb1HNpAlGwQr006ljwMiM"",
      ""GSC最新!A:R""
    ),
    11,
    FALSE
  ),
  0
)
"),0.0064516129032258064)</f>
        <v>0.006451612903</v>
      </c>
      <c r="V21" s="9">
        <f>IFERROR(__xludf.DUMMYFUNCTION("IFERROR(
  VLOOKUP(
    A21,
    IMPORTRANGE(
      ""1ZHMy3vVUd_0MrSduXTe1etBb1HNpAlGwQr006ljwMiM"",
      ""GSC最新!A:R""
    ),
    14,
    FALSE
  ),
  0
)
"),0.017543859649122806)</f>
        <v>0.01754385965</v>
      </c>
      <c r="W21" s="9">
        <f>IFERROR(__xludf.DUMMYFUNCTION("IFERROR(
  VLOOKUP(
    A21,
    IMPORTRANGE(
      ""1ZHMy3vVUd_0MrSduXTe1etBb1HNpAlGwQr006ljwMiM"",
      ""GSC最新!A:R""
    ),
    17,
    FALSE
  ),
  0
)
"),0.02074688796680498)</f>
        <v>0.02074688797</v>
      </c>
      <c r="X21" s="9">
        <f t="shared" ref="X21:Y21" si="99">IFERROR(T21-V21,"-")</f>
        <v>-0.00773993808</v>
      </c>
      <c r="Y21" s="9">
        <f t="shared" si="99"/>
        <v>-0.01429527506</v>
      </c>
      <c r="Z21" s="52">
        <f>IFERROR(__xludf.DUMMYFUNCTION("IFERROR(
  VLOOKUP(
    A21,
    IMPORTRANGE(
      ""1ZHMy3vVUd_0MrSduXTe1etBb1HNpAlGwQr006ljwMiM"",
      ""GSC最新!A:R""
    ),
    9,
    FALSE
  ),
  0
)
"),9.72549019607843)</f>
        <v>9.725490196</v>
      </c>
      <c r="AA21" s="52">
        <f>IFERROR(__xludf.DUMMYFUNCTION("IFERROR(
  VLOOKUP(
    A21,
    IMPORTRANGE(
      ""1ZHMy3vVUd_0MrSduXTe1etBb1HNpAlGwQr006ljwMiM"",
      ""GSC最新!A:R""
    ),
    12,
    FALSE
  ),
  0
)
"),10.638709677419355)</f>
        <v>10.63870968</v>
      </c>
      <c r="AB21" s="52">
        <f>IFERROR(__xludf.DUMMYFUNCTION("IFERROR(
  VLOOKUP(
    A21,
    IMPORTRANGE(
      ""1ZHMy3vVUd_0MrSduXTe1etBb1HNpAlGwQr006ljwMiM"",
      ""GSC最新!A:R""
    ),
    15,
    FALSE
  ),
  0
)
"),14.552631578947368)</f>
        <v>14.55263158</v>
      </c>
      <c r="AC21" s="52">
        <f>IFERROR(__xludf.DUMMYFUNCTION("IFERROR(
  VLOOKUP(
    A21,
    IMPORTRANGE(
      ""1ZHMy3vVUd_0MrSduXTe1etBb1HNpAlGwQr006ljwMiM"",
      ""GSC最新!A:R""
    ),
    18,
    FALSE
  ),
  0
)
"),22.051867219917014)</f>
        <v>22.05186722</v>
      </c>
      <c r="AD21" s="52">
        <f t="shared" ref="AD21:AE21" si="100">Z21-AB21</f>
        <v>-4.827141383</v>
      </c>
      <c r="AE21" s="52">
        <f t="shared" si="100"/>
        <v>-11.41315754</v>
      </c>
      <c r="AF21" s="53">
        <f>IFERROR(__xludf.DUMMYFUNCTION("IFERROR(
  VLOOKUP(
    A21,
    IMPORTRANGE(
      ""1ZHMy3vVUd_0MrSduXTe1etBb1HNpAlGwQr006ljwMiM"",
      ""GSC最新!A:F""
    ),
    6,
    FALSE
  ),
  0
)
"),46081.0)</f>
        <v>46081</v>
      </c>
      <c r="AG21" s="54">
        <f>IFERROR(__xludf.DUMMYFUNCTION("IFERROR(
  VLOOKUP(
    A21,
    IMPORTRANGE(
      ""1SCYQd7_cobOYqT0r_F0IqD4tE4rYn5y8Eup4PJTH8es"",
      ""Snapshot!A:M""
    ),
    5,
    FALSE
  ),
  ""-""
)
"),10.0)</f>
        <v>10</v>
      </c>
      <c r="AH21" s="54">
        <f>IFERROR(__xludf.DUMMYFUNCTION("IFERROR(
  VLOOKUP(
    A21,
    IMPORTRANGE(
      ""1SCYQd7_cobOYqT0r_F0IqD4tE4rYn5y8Eup4PJTH8es"",
      ""Snapshot!A:M""
    ),
    6,
    FALSE
  ),
  0
)
"),7.0)</f>
        <v>7</v>
      </c>
      <c r="AI21" s="54">
        <f>IFERROR(__xludf.DUMMYFUNCTION("IFERROR(
  VLOOKUP(
    A21,
    IMPORTRANGE(
      ""1SCYQd7_cobOYqT0r_F0IqD4tE4rYn5y8Eup4PJTH8es"",
      ""Snapshot!A:M""
    ),
    7,
    FALSE
  ),
  0
)
"),4355.0)</f>
        <v>4355</v>
      </c>
      <c r="AJ21" s="54">
        <f>IFERROR(__xludf.DUMMYFUNCTION("IFERROR(
  VLOOKUP(
    A21,
    IMPORTRANGE(
      ""1SCYQd7_cobOYqT0r_F0IqD4tE4rYn5y8Eup4PJTH8es"",
      ""Snapshot!A:M""
    ),
    8,
    FALSE
  ),
  0
)
"),0.0)</f>
        <v>0</v>
      </c>
      <c r="AK21" s="54">
        <f>IFERROR(__xludf.DUMMYFUNCTION("IFERROR(
  VLOOKUP(
    A21,
    IMPORTRANGE(
      ""1SCYQd7_cobOYqT0r_F0IqD4tE4rYn5y8Eup4PJTH8es"",
      ""Snapshot!A:M""
    ),
    9,
    FALSE
  ),
  0
)
"),1.0)</f>
        <v>1</v>
      </c>
      <c r="AL21" s="54">
        <f>IFERROR(__xludf.DUMMYFUNCTION("IFERROR(
  VLOOKUP(
    A21,
    IMPORTRANGE(
      ""1SCYQd7_cobOYqT0r_F0IqD4tE4rYn5y8Eup4PJTH8es"",
      ""Snapshot!A:M""
    ),
    13,
    FALSE
  ),
  0
)
"),1.0)</f>
        <v>1</v>
      </c>
    </row>
    <row r="22">
      <c r="A22" s="56" t="s">
        <v>305</v>
      </c>
      <c r="B22" s="1" t="str">
        <f>IFERROR(__xludf.DUMMYFUNCTION("IFERROR(
  VLOOKUP(
    A22,
    IMPORTRANGE(
      ""1ZygntHC1J6IxzKbTidmOyf5nUyW4GCLurHCjexrLm_o"",
      ""HTMLキャッシュ!A:F""
    ),
    2,
    FALSE
  ),
  0
)
"),"SP")</f>
        <v>SP</v>
      </c>
      <c r="C22" s="1" t="str">
        <f>IFERROR(__xludf.DUMMYFUNCTION("IFERROR(
  VLOOKUP(
    A22,
    IMPORTRANGE(
      ""1ZygntHC1J6IxzKbTidmOyf5nUyW4GCLurHCjexrLm_o"",
      ""HTMLキャッシュ!A:F""
    ),
    5,
    FALSE
  ),
  0
)
"),"英語リライトで英作文を減点されにくくする講座一覧")</f>
        <v>英語リライトで英作文を減点されにくくする講座一覧</v>
      </c>
      <c r="D22" s="1" t="str">
        <f>IFERROR(__xludf.DUMMYFUNCTION("IFERROR(
  VLOOKUP(
    A22,
    IMPORTRANGE(
      ""1ZygntHC1J6IxzKbTidmOyf5nUyW4GCLurHCjexrLm_o        "",
      ""HTMLキャッシュ!A:F""
    ),
    6,
    FALSE
  ),
  0
)
"),"英語リライト（添削＋書き直し）で英作文の減点を減らす。高校受験は都立自校作成の自由英作文、大学受験は段階別で対応。文法・語彙・読解・音読も選べる講座一覧。")</f>
        <v>英語リライト（添削＋書き直し）で英作文の減点を減らす。高校受験は都立自校作成の自由英作文、大学受験は段階別で対応。文法・語彙・読解・音読も選べる講座一覧。</v>
      </c>
      <c r="E22" s="49">
        <f t="shared" ref="E22:F22" si="101">LEN(C22)</f>
        <v>24</v>
      </c>
      <c r="F22" s="49">
        <f t="shared" si="101"/>
        <v>77</v>
      </c>
      <c r="G22" s="32">
        <f>IFERROR(__xludf.DUMMYFUNCTION("IFERROR(
  VLOOKUP(
    A22,
    IMPORTRANGE(
      ""1ZygntHC1J6IxzKbTidmOyf5nUyW4GCLurHCjexrLm_o        "",
      ""HTMLキャッシュ!A:F""
    ),
    3,
    FALSE
  ),
  0
)
"),46081.6144212963)</f>
        <v>46081.61442</v>
      </c>
      <c r="H22" s="49">
        <f>IFERROR(__xludf.DUMMYFUNCTION("IFERROR(
  VLOOKUP(
    A22,
    IMPORTRANGE(
      ""1ZHMy3vVUd_0MrSduXTe1etBb1HNpAlGwQr006ljwMiM"",
      ""GSC最新!A:F""
    ),
    2,
    FALSE
  ),
  0
)
"),0.0)</f>
        <v>0</v>
      </c>
      <c r="I22" s="49">
        <f>IFERROR(__xludf.DUMMYFUNCTION("IFERROR(
  VLOOKUP(
    A22,
    IMPORTRANGE(
      ""1ZHMy3vVUd_0MrSduXTe1etBb1HNpAlGwQr006ljwMiM"",
      ""GSC最新!A:F""
    ),
    3,
    FALSE
  ),
  0
)
"),0.0)</f>
        <v>0</v>
      </c>
      <c r="J22" s="49">
        <f>IFERROR(__xludf.DUMMYFUNCTION("IFERROR(
  VLOOKUP(
    A22,
    IMPORTRANGE(
      ""1ZHMy3vVUd_0MrSduXTe1etBb1HNpAlGwQr006ljwMiM"",
      ""GSC最新!A:F""
    ),
    4,
    FALSE
  ),
  0
)
"),1.0)</f>
        <v>1</v>
      </c>
      <c r="K22" s="49">
        <f>IFERROR(__xludf.DUMMYFUNCTION("IFERROR(
  VLOOKUP(
    A22,
    IMPORTRANGE(
      ""1ZHMy3vVUd_0MrSduXTe1etBb1HNpAlGwQr006ljwMiM"",
      ""GSC最新!A:F""
    ),
    5,
    FALSE
  ),
  0
)
"),1.0)</f>
        <v>1</v>
      </c>
      <c r="L22" s="50">
        <f t="shared" ref="L22:M22" si="102">IFERROR(H22/J22,"-")</f>
        <v>0</v>
      </c>
      <c r="M22" s="50">
        <f t="shared" si="102"/>
        <v>0</v>
      </c>
      <c r="N22" s="6">
        <f>IFERROR(__xludf.DUMMYFUNCTION("IFERROR(
  VLOOKUP(
    A22,
    IMPORTRANGE(
      ""1ZHMy3vVUd_0MrSduXTe1etBb1HNpAlGwQr006ljwMiM"",
      ""GSC最新!A:R""
    ),
    7,
    FALSE
  ),
  0
)
"),41.0)</f>
        <v>41</v>
      </c>
      <c r="O22" s="6">
        <f>IFERROR(__xludf.DUMMYFUNCTION("IFERROR(
  VLOOKUP(
    A22,
    IMPORTRANGE(
      ""1ZHMy3vVUd_0MrSduXTe1etBb1HNpAlGwQr006ljwMiM"",
      ""GSC最新!A:R""
    ),
    10,
    FALSE
  ),
  0
)
"),138.0)</f>
        <v>138</v>
      </c>
      <c r="P22" s="6">
        <f>IFERROR(__xludf.DUMMYFUNCTION("IFERROR(
  VLOOKUP(
    A22,
    IMPORTRANGE(
      ""1ZHMy3vVUd_0MrSduXTe1etBb1HNpAlGwQr006ljwMiM"",
      ""GSC最新!A:R""
    ),
    13,
    FALSE
  ),
  0
)
"),13.0)</f>
        <v>13</v>
      </c>
      <c r="Q22" s="6">
        <f>IFERROR(__xludf.DUMMYFUNCTION("IFERROR(
  VLOOKUP(
    A22,
    IMPORTRANGE(
      ""1ZHMy3vVUd_0MrSduXTe1etBb1HNpAlGwQr006ljwMiM"",
      ""GSC最新!A:R""
    ),
    16,
    FALSE
  ),
  0
)
"),30.0)</f>
        <v>30</v>
      </c>
      <c r="R22" s="51">
        <f t="shared" ref="R22:S22" si="103">IFERROR(N22/P22,"-")</f>
        <v>3.153846154</v>
      </c>
      <c r="S22" s="51">
        <f t="shared" si="103"/>
        <v>4.6</v>
      </c>
      <c r="T22" s="9">
        <f>IFERROR(__xludf.DUMMYFUNCTION("IFERROR(
  VLOOKUP(
    A22,
    IMPORTRANGE(
      ""1ZHMy3vVUd_0MrSduXTe1etBb1HNpAlGwQr006ljwMiM"",
      ""GSC最新!A:R""
    ),
    8,
    FALSE
  ),
  0
)
"),0.0)</f>
        <v>0</v>
      </c>
      <c r="U22" s="9">
        <f>IFERROR(__xludf.DUMMYFUNCTION("IFERROR(
  VLOOKUP(
    A22,
    IMPORTRANGE(
      ""1ZHMy3vVUd_0MrSduXTe1etBb1HNpAlGwQr006ljwMiM"",
      ""GSC最新!A:R""
    ),
    11,
    FALSE
  ),
  0
)
"),0.0)</f>
        <v>0</v>
      </c>
      <c r="V22" s="9">
        <f>IFERROR(__xludf.DUMMYFUNCTION("IFERROR(
  VLOOKUP(
    A22,
    IMPORTRANGE(
      ""1ZHMy3vVUd_0MrSduXTe1etBb1HNpAlGwQr006ljwMiM"",
      ""GSC最新!A:R""
    ),
    14,
    FALSE
  ),
  0
)
"),0.07692307692307693)</f>
        <v>0.07692307692</v>
      </c>
      <c r="W22" s="9">
        <f>IFERROR(__xludf.DUMMYFUNCTION("IFERROR(
  VLOOKUP(
    A22,
    IMPORTRANGE(
      ""1ZHMy3vVUd_0MrSduXTe1etBb1HNpAlGwQr006ljwMiM"",
      ""GSC最新!A:R""
    ),
    17,
    FALSE
  ),
  0
)
"),0.03333333333333333)</f>
        <v>0.03333333333</v>
      </c>
      <c r="X22" s="9">
        <f t="shared" ref="X22:Y22" si="104">IFERROR(T22-V22,"-")</f>
        <v>-0.07692307692</v>
      </c>
      <c r="Y22" s="9">
        <f t="shared" si="104"/>
        <v>-0.03333333333</v>
      </c>
      <c r="Z22" s="52">
        <f>IFERROR(__xludf.DUMMYFUNCTION("IFERROR(
  VLOOKUP(
    A22,
    IMPORTRANGE(
      ""1ZHMy3vVUd_0MrSduXTe1etBb1HNpAlGwQr006ljwMiM"",
      ""GSC最新!A:R""
    ),
    9,
    FALSE
  ),
  0
)
"),16.0)</f>
        <v>16</v>
      </c>
      <c r="AA22" s="52">
        <f>IFERROR(__xludf.DUMMYFUNCTION("IFERROR(
  VLOOKUP(
    A22,
    IMPORTRANGE(
      ""1ZHMy3vVUd_0MrSduXTe1etBb1HNpAlGwQr006ljwMiM"",
      ""GSC最新!A:R""
    ),
    12,
    FALSE
  ),
  0
)
"),11.318840579710145)</f>
        <v>11.31884058</v>
      </c>
      <c r="AB22" s="52">
        <f>IFERROR(__xludf.DUMMYFUNCTION("IFERROR(
  VLOOKUP(
    A22,
    IMPORTRANGE(
      ""1ZHMy3vVUd_0MrSduXTe1etBb1HNpAlGwQr006ljwMiM"",
      ""GSC最新!A:R""
    ),
    15,
    FALSE
  ),
  0
)
"),4.923076923076923)</f>
        <v>4.923076923</v>
      </c>
      <c r="AC22" s="52">
        <f>IFERROR(__xludf.DUMMYFUNCTION("IFERROR(
  VLOOKUP(
    A22,
    IMPORTRANGE(
      ""1ZHMy3vVUd_0MrSduXTe1etBb1HNpAlGwQr006ljwMiM"",
      ""GSC最新!A:R""
    ),
    18,
    FALSE
  ),
  0
)
"),5.8)</f>
        <v>5.8</v>
      </c>
      <c r="AD22" s="52">
        <f t="shared" ref="AD22:AE22" si="105">Z22-AB22</f>
        <v>11.07692308</v>
      </c>
      <c r="AE22" s="52">
        <f t="shared" si="105"/>
        <v>5.51884058</v>
      </c>
      <c r="AF22" s="53">
        <f>IFERROR(__xludf.DUMMYFUNCTION("IFERROR(
  VLOOKUP(
    A22,
    IMPORTRANGE(
      ""1ZHMy3vVUd_0MrSduXTe1etBb1HNpAlGwQr006ljwMiM"",
      ""GSC最新!A:F""
    ),
    6,
    FALSE
  ),
  0
)
"),46081.0)</f>
        <v>46081</v>
      </c>
      <c r="AG22" s="54">
        <f>IFERROR(__xludf.DUMMYFUNCTION("IFERROR(
  VLOOKUP(
    A22,
    IMPORTRANGE(
      ""1SCYQd7_cobOYqT0r_F0IqD4tE4rYn5y8Eup4PJTH8es"",
      ""Snapshot!A:M""
    ),
    5,
    FALSE
  ),
  ""-""
)
"),5.0)</f>
        <v>5</v>
      </c>
      <c r="AH22" s="54">
        <f>IFERROR(__xludf.DUMMYFUNCTION("IFERROR(
  VLOOKUP(
    A22,
    IMPORTRANGE(
      ""1SCYQd7_cobOYqT0r_F0IqD4tE4rYn5y8Eup4PJTH8es"",
      ""Snapshot!A:M""
    ),
    6,
    FALSE
  ),
  0
)
"),10.0)</f>
        <v>10</v>
      </c>
      <c r="AI22" s="54">
        <f>IFERROR(__xludf.DUMMYFUNCTION("IFERROR(
  VLOOKUP(
    A22,
    IMPORTRANGE(
      ""1SCYQd7_cobOYqT0r_F0IqD4tE4rYn5y8Eup4PJTH8es"",
      ""Snapshot!A:M""
    ),
    7,
    FALSE
  ),
  0
)
"),3568.0)</f>
        <v>3568</v>
      </c>
      <c r="AJ22" s="54">
        <f>IFERROR(__xludf.DUMMYFUNCTION("IFERROR(
  VLOOKUP(
    A22,
    IMPORTRANGE(
      ""1SCYQd7_cobOYqT0r_F0IqD4tE4rYn5y8Eup4PJTH8es"",
      ""Snapshot!A:M""
    ),
    8,
    FALSE
  ),
  0
)
"),7.0)</f>
        <v>7</v>
      </c>
      <c r="AK22" s="54">
        <f>IFERROR(__xludf.DUMMYFUNCTION("IFERROR(
  VLOOKUP(
    A22,
    IMPORTRANGE(
      ""1SCYQd7_cobOYqT0r_F0IqD4tE4rYn5y8Eup4PJTH8es"",
      ""Snapshot!A:M""
    ),
    9,
    FALSE
  ),
  0
)
"),1.0)</f>
        <v>1</v>
      </c>
      <c r="AL22" s="54">
        <f>IFERROR(__xludf.DUMMYFUNCTION("IFERROR(
  VLOOKUP(
    A22,
    IMPORTRANGE(
      ""1SCYQd7_cobOYqT0r_F0IqD4tE4rYn5y8Eup4PJTH8es"",
      ""Snapshot!A:M""
    ),
    13,
    FALSE
  ),
  0
)
"),1.0)</f>
        <v>1</v>
      </c>
    </row>
    <row r="23">
      <c r="A23" s="56" t="s">
        <v>306</v>
      </c>
      <c r="B23" s="1" t="str">
        <f>IFERROR(__xludf.DUMMYFUNCTION("IFERROR(
  VLOOKUP(
    A23,
    IMPORTRANGE(
      ""1ZygntHC1J6IxzKbTidmOyf5nUyW4GCLurHCjexrLm_o"",
      ""HTMLキャッシュ!A:F""
    ),
    2,
    FALSE
  ),
  0
)
"),"SP")</f>
        <v>SP</v>
      </c>
      <c r="C23" s="1" t="str">
        <f>IFERROR(__xludf.DUMMYFUNCTION("IFERROR(
  VLOOKUP(
    A23,
    IMPORTRANGE(
      ""1ZygntHC1J6IxzKbTidmOyf5nUyW4GCLurHCjexrLm_o"",
      ""HTMLキャッシュ!A:F""
    ),
    5,
    FALSE
  ),
  0
)
"),"中学受験小6国語記述添削個別指導講座｜採点基準対応オンライン")</f>
        <v>中学受験小6国語記述添削個別指導講座｜採点基準対応オンライン</v>
      </c>
      <c r="D23" s="1" t="str">
        <f>IFERROR(__xludf.DUMMYFUNCTION("IFERROR(
  VLOOKUP(
    A23,
    IMPORTRANGE(
      ""1ZygntHC1J6IxzKbTidmOyf5nUyW4GCLurHCjexrLm_o        "",
      ""HTMLキャッシュ!A:F""
    ),
    6,
    FALSE
  ),
  0
)
"),"記述で何を書けばいいか分からない小6向け。採点基準に沿った個別添削で失点を防止。動画復習対応、オンライン相談受付中")</f>
        <v>記述で何を書けばいいか分からない小6向け。採点基準に沿った個別添削で失点を防止。動画復習対応、オンライン相談受付中</v>
      </c>
      <c r="E23" s="49">
        <f t="shared" ref="E23:F23" si="106">LEN(C23)</f>
        <v>30</v>
      </c>
      <c r="F23" s="49">
        <f t="shared" si="106"/>
        <v>57</v>
      </c>
      <c r="G23" s="32">
        <f>IFERROR(__xludf.DUMMYFUNCTION("IFERROR(
  VLOOKUP(
    A23,
    IMPORTRANGE(
      ""1ZygntHC1J6IxzKbTidmOyf5nUyW4GCLurHCjexrLm_o        "",
      ""HTMLキャッシュ!A:F""
    ),
    3,
    FALSE
  ),
  0
)
"),46078.87899305556)</f>
        <v>46078.87899</v>
      </c>
      <c r="H23" s="49">
        <f>IFERROR(__xludf.DUMMYFUNCTION("IFERROR(
  VLOOKUP(
    A23,
    IMPORTRANGE(
      ""1ZHMy3vVUd_0MrSduXTe1etBb1HNpAlGwQr006ljwMiM"",
      ""GSC最新!A:F""
    ),
    2,
    FALSE
  ),
  0
)
"),1.0)</f>
        <v>1</v>
      </c>
      <c r="I23" s="49">
        <f>IFERROR(__xludf.DUMMYFUNCTION("IFERROR(
  VLOOKUP(
    A23,
    IMPORTRANGE(
      ""1ZHMy3vVUd_0MrSduXTe1etBb1HNpAlGwQr006ljwMiM"",
      ""GSC最新!A:F""
    ),
    3,
    FALSE
  ),
  0
)
"),2.0)</f>
        <v>2</v>
      </c>
      <c r="J23" s="49">
        <f>IFERROR(__xludf.DUMMYFUNCTION("IFERROR(
  VLOOKUP(
    A23,
    IMPORTRANGE(
      ""1ZHMy3vVUd_0MrSduXTe1etBb1HNpAlGwQr006ljwMiM"",
      ""GSC最新!A:F""
    ),
    4,
    FALSE
  ),
  0
)
"),0.0)</f>
        <v>0</v>
      </c>
      <c r="K23" s="49">
        <f>IFERROR(__xludf.DUMMYFUNCTION("IFERROR(
  VLOOKUP(
    A23,
    IMPORTRANGE(
      ""1ZHMy3vVUd_0MrSduXTe1etBb1HNpAlGwQr006ljwMiM"",
      ""GSC最新!A:F""
    ),
    5,
    FALSE
  ),
  0
)
"),7.0)</f>
        <v>7</v>
      </c>
      <c r="L23" s="50" t="str">
        <f t="shared" ref="L23:M23" si="107">IFERROR(H23/J23,"-")</f>
        <v>-</v>
      </c>
      <c r="M23" s="50">
        <f t="shared" si="107"/>
        <v>0.2857142857</v>
      </c>
      <c r="N23" s="6">
        <f>IFERROR(__xludf.DUMMYFUNCTION("IFERROR(
  VLOOKUP(
    A23,
    IMPORTRANGE(
      ""1ZHMy3vVUd_0MrSduXTe1etBb1HNpAlGwQr006ljwMiM"",
      ""GSC最新!A:R""
    ),
    7,
    FALSE
  ),
  0
)
"),88.0)</f>
        <v>88</v>
      </c>
      <c r="O23" s="6">
        <f>IFERROR(__xludf.DUMMYFUNCTION("IFERROR(
  VLOOKUP(
    A23,
    IMPORTRANGE(
      ""1ZHMy3vVUd_0MrSduXTe1etBb1HNpAlGwQr006ljwMiM"",
      ""GSC最新!A:R""
    ),
    10,
    FALSE
  ),
  0
)
"),135.0)</f>
        <v>135</v>
      </c>
      <c r="P23" s="6">
        <f>IFERROR(__xludf.DUMMYFUNCTION("IFERROR(
  VLOOKUP(
    A23,
    IMPORTRANGE(
      ""1ZHMy3vVUd_0MrSduXTe1etBb1HNpAlGwQr006ljwMiM"",
      ""GSC最新!A:R""
    ),
    13,
    FALSE
  ),
  0
)
"),6.0)</f>
        <v>6</v>
      </c>
      <c r="Q23" s="6">
        <f>IFERROR(__xludf.DUMMYFUNCTION("IFERROR(
  VLOOKUP(
    A23,
    IMPORTRANGE(
      ""1ZHMy3vVUd_0MrSduXTe1etBb1HNpAlGwQr006ljwMiM"",
      ""GSC最新!A:R""
    ),
    16,
    FALSE
  ),
  0
)
"),34.0)</f>
        <v>34</v>
      </c>
      <c r="R23" s="51">
        <f t="shared" ref="R23:S23" si="108">IFERROR(N23/P23,"-")</f>
        <v>14.66666667</v>
      </c>
      <c r="S23" s="51">
        <f t="shared" si="108"/>
        <v>3.970588235</v>
      </c>
      <c r="T23" s="9">
        <f>IFERROR(__xludf.DUMMYFUNCTION("IFERROR(
  VLOOKUP(
    A23,
    IMPORTRANGE(
      ""1ZHMy3vVUd_0MrSduXTe1etBb1HNpAlGwQr006ljwMiM"",
      ""GSC最新!A:R""
    ),
    8,
    FALSE
  ),
  0
)
"),0.011363636363636364)</f>
        <v>0.01136363636</v>
      </c>
      <c r="U23" s="9">
        <f>IFERROR(__xludf.DUMMYFUNCTION("IFERROR(
  VLOOKUP(
    A23,
    IMPORTRANGE(
      ""1ZHMy3vVUd_0MrSduXTe1etBb1HNpAlGwQr006ljwMiM"",
      ""GSC最新!A:R""
    ),
    11,
    FALSE
  ),
  0
)
"),0.014814814814814815)</f>
        <v>0.01481481481</v>
      </c>
      <c r="V23" s="9">
        <f>IFERROR(__xludf.DUMMYFUNCTION("IFERROR(
  VLOOKUP(
    A23,
    IMPORTRANGE(
      ""1ZHMy3vVUd_0MrSduXTe1etBb1HNpAlGwQr006ljwMiM"",
      ""GSC最新!A:R""
    ),
    14,
    FALSE
  ),
  0
)
"),0.0)</f>
        <v>0</v>
      </c>
      <c r="W23" s="9">
        <f>IFERROR(__xludf.DUMMYFUNCTION("IFERROR(
  VLOOKUP(
    A23,
    IMPORTRANGE(
      ""1ZHMy3vVUd_0MrSduXTe1etBb1HNpAlGwQr006ljwMiM"",
      ""GSC最新!A:R""
    ),
    17,
    FALSE
  ),
  0
)
"),0.20588235294117646)</f>
        <v>0.2058823529</v>
      </c>
      <c r="X23" s="9">
        <f t="shared" ref="X23:Y23" si="109">IFERROR(T23-V23,"-")</f>
        <v>0.01136363636</v>
      </c>
      <c r="Y23" s="9">
        <f t="shared" si="109"/>
        <v>-0.1910675381</v>
      </c>
      <c r="Z23" s="52">
        <f>IFERROR(__xludf.DUMMYFUNCTION("IFERROR(
  VLOOKUP(
    A23,
    IMPORTRANGE(
      ""1ZHMy3vVUd_0MrSduXTe1etBb1HNpAlGwQr006ljwMiM"",
      ""GSC最新!A:R""
    ),
    9,
    FALSE
  ),
  0
)
"),29.59090909090909)</f>
        <v>29.59090909</v>
      </c>
      <c r="AA23" s="52">
        <f>IFERROR(__xludf.DUMMYFUNCTION("IFERROR(
  VLOOKUP(
    A23,
    IMPORTRANGE(
      ""1ZHMy3vVUd_0MrSduXTe1etBb1HNpAlGwQr006ljwMiM"",
      ""GSC最新!A:R""
    ),
    12,
    FALSE
  ),
  0
)
"),28.503703703703703)</f>
        <v>28.5037037</v>
      </c>
      <c r="AB23" s="52">
        <f>IFERROR(__xludf.DUMMYFUNCTION("IFERROR(
  VLOOKUP(
    A23,
    IMPORTRANGE(
      ""1ZHMy3vVUd_0MrSduXTe1etBb1HNpAlGwQr006ljwMiM"",
      ""GSC最新!A:R""
    ),
    15,
    FALSE
  ),
  0
)
"),17.833333333333332)</f>
        <v>17.83333333</v>
      </c>
      <c r="AC23" s="52">
        <f>IFERROR(__xludf.DUMMYFUNCTION("IFERROR(
  VLOOKUP(
    A23,
    IMPORTRANGE(
      ""1ZHMy3vVUd_0MrSduXTe1etBb1HNpAlGwQr006ljwMiM"",
      ""GSC最新!A:R""
    ),
    18,
    FALSE
  ),
  0
)
"),9.088235294117647)</f>
        <v>9.088235294</v>
      </c>
      <c r="AD23" s="52">
        <f t="shared" ref="AD23:AE23" si="110">Z23-AB23</f>
        <v>11.75757576</v>
      </c>
      <c r="AE23" s="52">
        <f t="shared" si="110"/>
        <v>19.41546841</v>
      </c>
      <c r="AF23" s="53">
        <f>IFERROR(__xludf.DUMMYFUNCTION("IFERROR(
  VLOOKUP(
    A23,
    IMPORTRANGE(
      ""1ZHMy3vVUd_0MrSduXTe1etBb1HNpAlGwQr006ljwMiM"",
      ""GSC最新!A:F""
    ),
    6,
    FALSE
  ),
  0
)
"),46081.0)</f>
        <v>46081</v>
      </c>
      <c r="AG23" s="54">
        <f>IFERROR(__xludf.DUMMYFUNCTION("IFERROR(
  VLOOKUP(
    A23,
    IMPORTRANGE(
      ""1SCYQd7_cobOYqT0r_F0IqD4tE4rYn5y8Eup4PJTH8es"",
      ""Snapshot!A:M""
    ),
    5,
    FALSE
  ),
  ""-""
)
"),6.0)</f>
        <v>6</v>
      </c>
      <c r="AH23" s="54">
        <f>IFERROR(__xludf.DUMMYFUNCTION("IFERROR(
  VLOOKUP(
    A23,
    IMPORTRANGE(
      ""1SCYQd7_cobOYqT0r_F0IqD4tE4rYn5y8Eup4PJTH8es"",
      ""Snapshot!A:M""
    ),
    6,
    FALSE
  ),
  0
)
"),4.0)</f>
        <v>4</v>
      </c>
      <c r="AI23" s="54">
        <f>IFERROR(__xludf.DUMMYFUNCTION("IFERROR(
  VLOOKUP(
    A23,
    IMPORTRANGE(
      ""1SCYQd7_cobOYqT0r_F0IqD4tE4rYn5y8Eup4PJTH8es"",
      ""Snapshot!A:M""
    ),
    7,
    FALSE
  ),
  0
)
"),1996.0)</f>
        <v>1996</v>
      </c>
      <c r="AJ23" s="54">
        <f>IFERROR(__xludf.DUMMYFUNCTION("IFERROR(
  VLOOKUP(
    A23,
    IMPORTRANGE(
      ""1SCYQd7_cobOYqT0r_F0IqD4tE4rYn5y8Eup4PJTH8es"",
      ""Snapshot!A:M""
    ),
    8,
    FALSE
  ),
  0
)
"),4.0)</f>
        <v>4</v>
      </c>
      <c r="AK23" s="54">
        <f>IFERROR(__xludf.DUMMYFUNCTION("IFERROR(
  VLOOKUP(
    A23,
    IMPORTRANGE(
      ""1SCYQd7_cobOYqT0r_F0IqD4tE4rYn5y8Eup4PJTH8es"",
      ""Snapshot!A:M""
    ),
    9,
    FALSE
  ),
  0
)
"),1.0)</f>
        <v>1</v>
      </c>
      <c r="AL23" s="54">
        <f>IFERROR(__xludf.DUMMYFUNCTION("IFERROR(
  VLOOKUP(
    A23,
    IMPORTRANGE(
      ""1SCYQd7_cobOYqT0r_F0IqD4tE4rYn5y8Eup4PJTH8es"",
      ""Snapshot!A:M""
    ),
    13,
    FALSE
  ),
  0
)
"),2.0)</f>
        <v>2</v>
      </c>
    </row>
    <row r="24">
      <c r="A24" s="56" t="s">
        <v>307</v>
      </c>
      <c r="B24" s="1" t="str">
        <f>IFERROR(__xludf.DUMMYFUNCTION("IFERROR(
  VLOOKUP(
    A24,
    IMPORTRANGE(
      ""1ZygntHC1J6IxzKbTidmOyf5nUyW4GCLurHCjexrLm_o"",
      ""HTMLキャッシュ!A:F""
    ),
    2,
    FALSE
  ),
  0
)
"),"SP")</f>
        <v>SP</v>
      </c>
      <c r="C24" s="1" t="str">
        <f>IFERROR(__xludf.DUMMYFUNCTION("IFERROR(
  VLOOKUP(
    A24,
    IMPORTRANGE(
      ""1ZygntHC1J6IxzKbTidmOyf5nUyW4GCLurHCjexrLm_o"",
      ""HTMLキャッシュ!A:F""
    ),
    5,
    FALSE
  ),
  0
)
"),"中学受験 算数塾｜完全1対1個別指導｜教室・オンライン")</f>
        <v>中学受験 算数塾｜完全1対1個別指導｜教室・オンライン</v>
      </c>
      <c r="D24" s="1" t="str">
        <f>IFERROR(__xludf.DUMMYFUNCTION("IFERROR(
  VLOOKUP(
    A24,
    IMPORTRANGE(
      ""1ZygntHC1J6IxzKbTidmOyf5nUyW4GCLurHCjexrLm_o        "",
      ""HTMLキャッシュ!A:F""
    ),
    6,
    FALSE
  ),
  0
)
"),"中学受験算数の完全1対1個別指導。入試問題をデータベース管理し、今の弱点に必要な問題で学習。電子黒板で板書も復習しやすい。教室・オンライン対応。")</f>
        <v>中学受験算数の完全1対1個別指導。入試問題をデータベース管理し、今の弱点に必要な問題で学習。電子黒板で板書も復習しやすい。教室・オンライン対応。</v>
      </c>
      <c r="E24" s="49">
        <f t="shared" ref="E24:F24" si="111">LEN(C24)</f>
        <v>27</v>
      </c>
      <c r="F24" s="49">
        <f t="shared" si="111"/>
        <v>72</v>
      </c>
      <c r="G24" s="32">
        <f>IFERROR(__xludf.DUMMYFUNCTION("IFERROR(
  VLOOKUP(
    A24,
    IMPORTRANGE(
      ""1ZygntHC1J6IxzKbTidmOyf5nUyW4GCLurHCjexrLm_o        "",
      ""HTMLキャッシュ!A:F""
    ),
    3,
    FALSE
  ),
  0
)
"),46081.77943287037)</f>
        <v>46081.77943</v>
      </c>
      <c r="H24" s="49">
        <f>IFERROR(__xludf.DUMMYFUNCTION("IFERROR(
  VLOOKUP(
    A24,
    IMPORTRANGE(
      ""1ZHMy3vVUd_0MrSduXTe1etBb1HNpAlGwQr006ljwMiM"",
      ""GSC最新!A:F""
    ),
    2,
    FALSE
  ),
  0
)
"),3.0)</f>
        <v>3</v>
      </c>
      <c r="I24" s="49">
        <f>IFERROR(__xludf.DUMMYFUNCTION("IFERROR(
  VLOOKUP(
    A24,
    IMPORTRANGE(
      ""1ZHMy3vVUd_0MrSduXTe1etBb1HNpAlGwQr006ljwMiM"",
      ""GSC最新!A:F""
    ),
    3,
    FALSE
  ),
  0
)
"),3.0)</f>
        <v>3</v>
      </c>
      <c r="J24" s="49">
        <f>IFERROR(__xludf.DUMMYFUNCTION("IFERROR(
  VLOOKUP(
    A24,
    IMPORTRANGE(
      ""1ZHMy3vVUd_0MrSduXTe1etBb1HNpAlGwQr006ljwMiM"",
      ""GSC最新!A:F""
    ),
    4,
    FALSE
  ),
  0
)
"),0.0)</f>
        <v>0</v>
      </c>
      <c r="K24" s="49">
        <f>IFERROR(__xludf.DUMMYFUNCTION("IFERROR(
  VLOOKUP(
    A24,
    IMPORTRANGE(
      ""1ZHMy3vVUd_0MrSduXTe1etBb1HNpAlGwQr006ljwMiM"",
      ""GSC最新!A:F""
    ),
    5,
    FALSE
  ),
  0
)
"),2.0)</f>
        <v>2</v>
      </c>
      <c r="L24" s="50" t="str">
        <f t="shared" ref="L24:M24" si="112">IFERROR(H24/J24,"-")</f>
        <v>-</v>
      </c>
      <c r="M24" s="50">
        <f t="shared" si="112"/>
        <v>1.5</v>
      </c>
      <c r="N24" s="6">
        <f>IFERROR(__xludf.DUMMYFUNCTION("IFERROR(
  VLOOKUP(
    A24,
    IMPORTRANGE(
      ""1ZHMy3vVUd_0MrSduXTe1etBb1HNpAlGwQr006ljwMiM"",
      ""GSC最新!A:R""
    ),
    7,
    FALSE
  ),
  0
)
"),59.0)</f>
        <v>59</v>
      </c>
      <c r="O24" s="6">
        <f>IFERROR(__xludf.DUMMYFUNCTION("IFERROR(
  VLOOKUP(
    A24,
    IMPORTRANGE(
      ""1ZHMy3vVUd_0MrSduXTe1etBb1HNpAlGwQr006ljwMiM"",
      ""GSC最新!A:R""
    ),
    10,
    FALSE
  ),
  0
)
"),131.0)</f>
        <v>131</v>
      </c>
      <c r="P24" s="6">
        <f>IFERROR(__xludf.DUMMYFUNCTION("IFERROR(
  VLOOKUP(
    A24,
    IMPORTRANGE(
      ""1ZHMy3vVUd_0MrSduXTe1etBb1HNpAlGwQr006ljwMiM"",
      ""GSC最新!A:R""
    ),
    13,
    FALSE
  ),
  0
)
"),2014.0)</f>
        <v>2014</v>
      </c>
      <c r="Q24" s="6">
        <f>IFERROR(__xludf.DUMMYFUNCTION("IFERROR(
  VLOOKUP(
    A24,
    IMPORTRANGE(
      ""1ZHMy3vVUd_0MrSduXTe1etBb1HNpAlGwQr006ljwMiM"",
      ""GSC最新!A:R""
    ),
    16,
    FALSE
  ),
  0
)
"),4963.0)</f>
        <v>4963</v>
      </c>
      <c r="R24" s="51">
        <f t="shared" ref="R24:S24" si="113">IFERROR(N24/P24,"-")</f>
        <v>0.02929493545</v>
      </c>
      <c r="S24" s="51">
        <f t="shared" si="113"/>
        <v>0.02639532541</v>
      </c>
      <c r="T24" s="9">
        <f>IFERROR(__xludf.DUMMYFUNCTION("IFERROR(
  VLOOKUP(
    A24,
    IMPORTRANGE(
      ""1ZHMy3vVUd_0MrSduXTe1etBb1HNpAlGwQr006ljwMiM"",
      ""GSC最新!A:R""
    ),
    8,
    FALSE
  ),
  0
)
"),0.05084745762711865)</f>
        <v>0.05084745763</v>
      </c>
      <c r="U24" s="9">
        <f>IFERROR(__xludf.DUMMYFUNCTION("IFERROR(
  VLOOKUP(
    A24,
    IMPORTRANGE(
      ""1ZHMy3vVUd_0MrSduXTe1etBb1HNpAlGwQr006ljwMiM"",
      ""GSC最新!A:R""
    ),
    11,
    FALSE
  ),
  0
)
"),0.022900763358778626)</f>
        <v>0.02290076336</v>
      </c>
      <c r="V24" s="9">
        <f>IFERROR(__xludf.DUMMYFUNCTION("IFERROR(
  VLOOKUP(
    A24,
    IMPORTRANGE(
      ""1ZHMy3vVUd_0MrSduXTe1etBb1HNpAlGwQr006ljwMiM"",
      ""GSC最新!A:R""
    ),
    14,
    FALSE
  ),
  0
)
"),0.0)</f>
        <v>0</v>
      </c>
      <c r="W24" s="9">
        <f>IFERROR(__xludf.DUMMYFUNCTION("IFERROR(
  VLOOKUP(
    A24,
    IMPORTRANGE(
      ""1ZHMy3vVUd_0MrSduXTe1etBb1HNpAlGwQr006ljwMiM"",
      ""GSC最新!A:R""
    ),
    17,
    FALSE
  ),
  0
)
"),4.0298206729800525E-4)</f>
        <v>0.0004029820673</v>
      </c>
      <c r="X24" s="9">
        <f t="shared" ref="X24:Y24" si="114">IFERROR(T24-V24,"-")</f>
        <v>0.05084745763</v>
      </c>
      <c r="Y24" s="9">
        <f t="shared" si="114"/>
        <v>0.02249778129</v>
      </c>
      <c r="Z24" s="52">
        <f>IFERROR(__xludf.DUMMYFUNCTION("IFERROR(
  VLOOKUP(
    A24,
    IMPORTRANGE(
      ""1ZHMy3vVUd_0MrSduXTe1etBb1HNpAlGwQr006ljwMiM"",
      ""GSC最新!A:R""
    ),
    9,
    FALSE
  ),
  0
)
"),32.08474576271186)</f>
        <v>32.08474576</v>
      </c>
      <c r="AA24" s="52">
        <f>IFERROR(__xludf.DUMMYFUNCTION("IFERROR(
  VLOOKUP(
    A24,
    IMPORTRANGE(
      ""1ZHMy3vVUd_0MrSduXTe1etBb1HNpAlGwQr006ljwMiM"",
      ""GSC最新!A:R""
    ),
    12,
    FALSE
  ),
  0
)
"),21.30534351145038)</f>
        <v>21.30534351</v>
      </c>
      <c r="AB24" s="52">
        <f>IFERROR(__xludf.DUMMYFUNCTION("IFERROR(
  VLOOKUP(
    A24,
    IMPORTRANGE(
      ""1ZHMy3vVUd_0MrSduXTe1etBb1HNpAlGwQr006ljwMiM"",
      ""GSC最新!A:R""
    ),
    15,
    FALSE
  ),
  0
)
"),5.572989076464747)</f>
        <v>5.572989076</v>
      </c>
      <c r="AC24" s="52">
        <f>IFERROR(__xludf.DUMMYFUNCTION("IFERROR(
  VLOOKUP(
    A24,
    IMPORTRANGE(
      ""1ZHMy3vVUd_0MrSduXTe1etBb1HNpAlGwQr006ljwMiM"",
      ""GSC最新!A:R""
    ),
    18,
    FALSE
  ),
  0
)
"),6.2077372556921215)</f>
        <v>6.207737256</v>
      </c>
      <c r="AD24" s="52">
        <f t="shared" ref="AD24:AE24" si="115">Z24-AB24</f>
        <v>26.51175669</v>
      </c>
      <c r="AE24" s="52">
        <f t="shared" si="115"/>
        <v>15.09760626</v>
      </c>
      <c r="AF24" s="53">
        <f>IFERROR(__xludf.DUMMYFUNCTION("IFERROR(
  VLOOKUP(
    A24,
    IMPORTRANGE(
      ""1ZHMy3vVUd_0MrSduXTe1etBb1HNpAlGwQr006ljwMiM"",
      ""GSC最新!A:F""
    ),
    6,
    FALSE
  ),
  0
)
"),46081.0)</f>
        <v>46081</v>
      </c>
      <c r="AG24" s="54">
        <f>IFERROR(__xludf.DUMMYFUNCTION("IFERROR(
  VLOOKUP(
    A24,
    IMPORTRANGE(
      ""1SCYQd7_cobOYqT0r_F0IqD4tE4rYn5y8Eup4PJTH8es"",
      ""Snapshot!A:M""
    ),
    5,
    FALSE
  ),
  ""-""
)
"),7.0)</f>
        <v>7</v>
      </c>
      <c r="AH24" s="54">
        <f>IFERROR(__xludf.DUMMYFUNCTION("IFERROR(
  VLOOKUP(
    A24,
    IMPORTRANGE(
      ""1SCYQd7_cobOYqT0r_F0IqD4tE4rYn5y8Eup4PJTH8es"",
      ""Snapshot!A:M""
    ),
    6,
    FALSE
  ),
  0
)
"),5.0)</f>
        <v>5</v>
      </c>
      <c r="AI24" s="54">
        <f>IFERROR(__xludf.DUMMYFUNCTION("IFERROR(
  VLOOKUP(
    A24,
    IMPORTRANGE(
      ""1SCYQd7_cobOYqT0r_F0IqD4tE4rYn5y8Eup4PJTH8es"",
      ""Snapshot!A:M""
    ),
    7,
    FALSE
  ),
  0
)
"),3710.0)</f>
        <v>3710</v>
      </c>
      <c r="AJ24" s="54">
        <f>IFERROR(__xludf.DUMMYFUNCTION("IFERROR(
  VLOOKUP(
    A24,
    IMPORTRANGE(
      ""1SCYQd7_cobOYqT0r_F0IqD4tE4rYn5y8Eup4PJTH8es"",
      ""Snapshot!A:M""
    ),
    8,
    FALSE
  ),
  0
)
"),10.0)</f>
        <v>10</v>
      </c>
      <c r="AK24" s="54">
        <f>IFERROR(__xludf.DUMMYFUNCTION("IFERROR(
  VLOOKUP(
    A24,
    IMPORTRANGE(
      ""1SCYQd7_cobOYqT0r_F0IqD4tE4rYn5y8Eup4PJTH8es"",
      ""Snapshot!A:M""
    ),
    9,
    FALSE
  ),
  0
)
"),2.0)</f>
        <v>2</v>
      </c>
      <c r="AL24" s="54">
        <f>IFERROR(__xludf.DUMMYFUNCTION("IFERROR(
  VLOOKUP(
    A24,
    IMPORTRANGE(
      ""1SCYQd7_cobOYqT0r_F0IqD4tE4rYn5y8Eup4PJTH8es"",
      ""Snapshot!A:M""
    ),
    13,
    FALSE
  ),
  0
)
"),1.0)</f>
        <v>1</v>
      </c>
    </row>
    <row r="25">
      <c r="A25" s="57" t="s">
        <v>308</v>
      </c>
      <c r="B25" s="1" t="str">
        <f>IFERROR(__xludf.DUMMYFUNCTION("IFERROR(
  VLOOKUP(
    A25,
    IMPORTRANGE(
      ""1ZygntHC1J6IxzKbTidmOyf5nUyW4GCLurHCjexrLm_o"",
      ""HTMLキャッシュ!A:F""
    ),
    2,
    FALSE
  ),
  0
)
"),"SP")</f>
        <v>SP</v>
      </c>
      <c r="C25" s="1" t="str">
        <f>IFERROR(__xludf.DUMMYFUNCTION("IFERROR(
  VLOOKUP(
    A25,
    IMPORTRANGE(
      ""1ZygntHC1J6IxzKbTidmOyf5nUyW4GCLurHCjexrLm_o"",
      ""HTMLキャッシュ!A:F""
    ),
    5,
    FALSE
  ),
  0
)
"),"読解/漢字演習道場【中受】 - 受験国語専門 読解ラボ東京 | 中学受験・大学受験対応の個別指導国語専門塾（オンライン・教室対応）")</f>
        <v>読解/漢字演習道場【中受】 - 受験国語専門 読解ラボ東京 | 中学受験・大学受験対応の個別指導国語専門塾（オンライン・教室対応）</v>
      </c>
      <c r="D25" s="1" t="str">
        <f>IFERROR(__xludf.DUMMYFUNCTION("IFERROR(
  VLOOKUP(
    A25,
    IMPORTRANGE(
      ""1ZygntHC1J6IxzKbTidmOyf5nUyW4GCLurHCjexrLm_o        "",
      ""HTMLキャッシュ!A:F""
    ),
    6,
    FALSE
  ),
  0
)
"),"読解演習道場 「インプットとアウトプットのバランスは取れていますか？」 講座の全体像（他の開講講座・受講形式・")</f>
        <v>読解演習道場 「インプットとアウトプットのバランスは取れていますか？」 講座の全体像（他の開講講座・受講形式・</v>
      </c>
      <c r="E25" s="49">
        <f t="shared" ref="E25:F25" si="116">LEN(C25)</f>
        <v>65</v>
      </c>
      <c r="F25" s="49">
        <f t="shared" si="116"/>
        <v>55</v>
      </c>
      <c r="G25" s="32">
        <f>IFERROR(__xludf.DUMMYFUNCTION("IFERROR(
  VLOOKUP(
    A25,
    IMPORTRANGE(
      ""1ZygntHC1J6IxzKbTidmOyf5nUyW4GCLurHCjexrLm_o        "",
      ""HTMLキャッシュ!A:F""
    ),
    3,
    FALSE
  ),
  0
)
"),46081.78704861111)</f>
        <v>46081.78705</v>
      </c>
      <c r="H25" s="49">
        <f>IFERROR(__xludf.DUMMYFUNCTION("IFERROR(
  VLOOKUP(
    A25,
    IMPORTRANGE(
      ""1ZHMy3vVUd_0MrSduXTe1etBb1HNpAlGwQr006ljwMiM"",
      ""GSC最新!A:F""
    ),
    2,
    FALSE
  ),
  0
)
"),1.0)</f>
        <v>1</v>
      </c>
      <c r="I25" s="49">
        <f>IFERROR(__xludf.DUMMYFUNCTION("IFERROR(
  VLOOKUP(
    A25,
    IMPORTRANGE(
      ""1ZHMy3vVUd_0MrSduXTe1etBb1HNpAlGwQr006ljwMiM"",
      ""GSC最新!A:F""
    ),
    3,
    FALSE
  ),
  0
)
"),5.0)</f>
        <v>5</v>
      </c>
      <c r="J25" s="49">
        <f>IFERROR(__xludf.DUMMYFUNCTION("IFERROR(
  VLOOKUP(
    A25,
    IMPORTRANGE(
      ""1ZHMy3vVUd_0MrSduXTe1etBb1HNpAlGwQr006ljwMiM"",
      ""GSC最新!A:F""
    ),
    4,
    FALSE
  ),
  0
)
"),1.0)</f>
        <v>1</v>
      </c>
      <c r="K25" s="49">
        <f>IFERROR(__xludf.DUMMYFUNCTION("IFERROR(
  VLOOKUP(
    A25,
    IMPORTRANGE(
      ""1ZHMy3vVUd_0MrSduXTe1etBb1HNpAlGwQr006ljwMiM"",
      ""GSC最新!A:F""
    ),
    5,
    FALSE
  ),
  0
)
"),2.0)</f>
        <v>2</v>
      </c>
      <c r="L25" s="50">
        <f t="shared" ref="L25:M25" si="117">IFERROR(H25/J25,"-")</f>
        <v>1</v>
      </c>
      <c r="M25" s="50">
        <f t="shared" si="117"/>
        <v>2.5</v>
      </c>
      <c r="N25" s="6">
        <f>IFERROR(__xludf.DUMMYFUNCTION("IFERROR(
  VLOOKUP(
    A25,
    IMPORTRANGE(
      ""1ZHMy3vVUd_0MrSduXTe1etBb1HNpAlGwQr006ljwMiM"",
      ""GSC最新!A:R""
    ),
    7,
    FALSE
  ),
  0
)
"),62.0)</f>
        <v>62</v>
      </c>
      <c r="O25" s="6">
        <f>IFERROR(__xludf.DUMMYFUNCTION("IFERROR(
  VLOOKUP(
    A25,
    IMPORTRANGE(
      ""1ZHMy3vVUd_0MrSduXTe1etBb1HNpAlGwQr006ljwMiM"",
      ""GSC最新!A:R""
    ),
    10,
    FALSE
  ),
  0
)
"),126.0)</f>
        <v>126</v>
      </c>
      <c r="P25" s="6">
        <f>IFERROR(__xludf.DUMMYFUNCTION("IFERROR(
  VLOOKUP(
    A25,
    IMPORTRANGE(
      ""1ZHMy3vVUd_0MrSduXTe1etBb1HNpAlGwQr006ljwMiM"",
      ""GSC最新!A:R""
    ),
    13,
    FALSE
  ),
  0
)
"),16.0)</f>
        <v>16</v>
      </c>
      <c r="Q25" s="6">
        <f>IFERROR(__xludf.DUMMYFUNCTION("IFERROR(
  VLOOKUP(
    A25,
    IMPORTRANGE(
      ""1ZHMy3vVUd_0MrSduXTe1etBb1HNpAlGwQr006ljwMiM"",
      ""GSC最新!A:R""
    ),
    16,
    FALSE
  ),
  0
)
"),62.0)</f>
        <v>62</v>
      </c>
      <c r="R25" s="51">
        <f t="shared" ref="R25:S25" si="118">IFERROR(N25/P25,"-")</f>
        <v>3.875</v>
      </c>
      <c r="S25" s="51">
        <f t="shared" si="118"/>
        <v>2.032258065</v>
      </c>
      <c r="T25" s="9">
        <f>IFERROR(__xludf.DUMMYFUNCTION("IFERROR(
  VLOOKUP(
    A25,
    IMPORTRANGE(
      ""1ZHMy3vVUd_0MrSduXTe1etBb1HNpAlGwQr006ljwMiM"",
      ""GSC最新!A:R""
    ),
    8,
    FALSE
  ),
  0
)
"),0.016129032258064516)</f>
        <v>0.01612903226</v>
      </c>
      <c r="U25" s="9">
        <f>IFERROR(__xludf.DUMMYFUNCTION("IFERROR(
  VLOOKUP(
    A25,
    IMPORTRANGE(
      ""1ZHMy3vVUd_0MrSduXTe1etBb1HNpAlGwQr006ljwMiM"",
      ""GSC最新!A:R""
    ),
    11,
    FALSE
  ),
  0
)
"),0.03968253968253968)</f>
        <v>0.03968253968</v>
      </c>
      <c r="V25" s="9">
        <f>IFERROR(__xludf.DUMMYFUNCTION("IFERROR(
  VLOOKUP(
    A25,
    IMPORTRANGE(
      ""1ZHMy3vVUd_0MrSduXTe1etBb1HNpAlGwQr006ljwMiM"",
      ""GSC最新!A:R""
    ),
    14,
    FALSE
  ),
  0
)
"),0.0625)</f>
        <v>0.0625</v>
      </c>
      <c r="W25" s="9">
        <f>IFERROR(__xludf.DUMMYFUNCTION("IFERROR(
  VLOOKUP(
    A25,
    IMPORTRANGE(
      ""1ZHMy3vVUd_0MrSduXTe1etBb1HNpAlGwQr006ljwMiM"",
      ""GSC最新!A:R""
    ),
    17,
    FALSE
  ),
  0
)
"),0.03225806451612903)</f>
        <v>0.03225806452</v>
      </c>
      <c r="X25" s="9">
        <f t="shared" ref="X25:Y25" si="119">IFERROR(T25-V25,"-")</f>
        <v>-0.04637096774</v>
      </c>
      <c r="Y25" s="9">
        <f t="shared" si="119"/>
        <v>0.007424475166</v>
      </c>
      <c r="Z25" s="52">
        <f>IFERROR(__xludf.DUMMYFUNCTION("IFERROR(
  VLOOKUP(
    A25,
    IMPORTRANGE(
      ""1ZHMy3vVUd_0MrSduXTe1etBb1HNpAlGwQr006ljwMiM"",
      ""GSC最新!A:R""
    ),
    9,
    FALSE
  ),
  0
)
"),14.241935483870968)</f>
        <v>14.24193548</v>
      </c>
      <c r="AA25" s="52">
        <f>IFERROR(__xludf.DUMMYFUNCTION("IFERROR(
  VLOOKUP(
    A25,
    IMPORTRANGE(
      ""1ZHMy3vVUd_0MrSduXTe1etBb1HNpAlGwQr006ljwMiM"",
      ""GSC最新!A:R""
    ),
    12,
    FALSE
  ),
  0
)
"),11.658730158730158)</f>
        <v>11.65873016</v>
      </c>
      <c r="AB25" s="52">
        <f>IFERROR(__xludf.DUMMYFUNCTION("IFERROR(
  VLOOKUP(
    A25,
    IMPORTRANGE(
      ""1ZHMy3vVUd_0MrSduXTe1etBb1HNpAlGwQr006ljwMiM"",
      ""GSC最新!A:R""
    ),
    15,
    FALSE
  ),
  0
)
"),11.9375)</f>
        <v>11.9375</v>
      </c>
      <c r="AC25" s="52">
        <f>IFERROR(__xludf.DUMMYFUNCTION("IFERROR(
  VLOOKUP(
    A25,
    IMPORTRANGE(
      ""1ZHMy3vVUd_0MrSduXTe1etBb1HNpAlGwQr006ljwMiM"",
      ""GSC最新!A:R""
    ),
    18,
    FALSE
  ),
  0
)
"),14.290322580645162)</f>
        <v>14.29032258</v>
      </c>
      <c r="AD25" s="52">
        <f t="shared" ref="AD25:AE25" si="120">Z25-AB25</f>
        <v>2.304435484</v>
      </c>
      <c r="AE25" s="52">
        <f t="shared" si="120"/>
        <v>-2.631592422</v>
      </c>
      <c r="AF25" s="53">
        <f>IFERROR(__xludf.DUMMYFUNCTION("IFERROR(
  VLOOKUP(
    A25,
    IMPORTRANGE(
      ""1ZHMy3vVUd_0MrSduXTe1etBb1HNpAlGwQr006ljwMiM"",
      ""GSC最新!A:F""
    ),
    6,
    FALSE
  ),
  0
)
"),46081.0)</f>
        <v>46081</v>
      </c>
      <c r="AG25" s="54">
        <f>IFERROR(__xludf.DUMMYFUNCTION("IFERROR(
  VLOOKUP(
    A25,
    IMPORTRANGE(
      ""1SCYQd7_cobOYqT0r_F0IqD4tE4rYn5y8Eup4PJTH8es"",
      ""Snapshot!A:M""
    ),
    5,
    FALSE
  ),
  ""-""
)
"),9.0)</f>
        <v>9</v>
      </c>
      <c r="AH25" s="54">
        <f>IFERROR(__xludf.DUMMYFUNCTION("IFERROR(
  VLOOKUP(
    A25,
    IMPORTRANGE(
      ""1SCYQd7_cobOYqT0r_F0IqD4tE4rYn5y8Eup4PJTH8es"",
      ""Snapshot!A:M""
    ),
    6,
    FALSE
  ),
  0
)
"),0.0)</f>
        <v>0</v>
      </c>
      <c r="AI25" s="54">
        <f>IFERROR(__xludf.DUMMYFUNCTION("IFERROR(
  VLOOKUP(
    A25,
    IMPORTRANGE(
      ""1SCYQd7_cobOYqT0r_F0IqD4tE4rYn5y8Eup4PJTH8es"",
      ""Snapshot!A:M""
    ),
    7,
    FALSE
  ),
  0
)
"),2545.0)</f>
        <v>2545</v>
      </c>
      <c r="AJ25" s="54">
        <f>IFERROR(__xludf.DUMMYFUNCTION("IFERROR(
  VLOOKUP(
    A25,
    IMPORTRANGE(
      ""1SCYQd7_cobOYqT0r_F0IqD4tE4rYn5y8Eup4PJTH8es"",
      ""Snapshot!A:M""
    ),
    8,
    FALSE
  ),
  0
)
"),2.0)</f>
        <v>2</v>
      </c>
      <c r="AK25" s="54">
        <f>IFERROR(__xludf.DUMMYFUNCTION("IFERROR(
  VLOOKUP(
    A25,
    IMPORTRANGE(
      ""1SCYQd7_cobOYqT0r_F0IqD4tE4rYn5y8Eup4PJTH8es"",
      ""Snapshot!A:M""
    ),
    9,
    FALSE
  ),
  0
)
"),1.0)</f>
        <v>1</v>
      </c>
      <c r="AL25" s="54">
        <f>IFERROR(__xludf.DUMMYFUNCTION("IFERROR(
  VLOOKUP(
    A25,
    IMPORTRANGE(
      ""1SCYQd7_cobOYqT0r_F0IqD4tE4rYn5y8Eup4PJTH8es"",
      ""Snapshot!A:M""
    ),
    13,
    FALSE
  ),
  0
)
"),2.0)</f>
        <v>2</v>
      </c>
    </row>
    <row r="26">
      <c r="A26" s="57" t="s">
        <v>309</v>
      </c>
      <c r="B26" s="1" t="str">
        <f>IFERROR(__xludf.DUMMYFUNCTION("IFERROR(
  VLOOKUP(
    A26,
    IMPORTRANGE(
      ""1ZygntHC1J6IxzKbTidmOyf5nUyW4GCLurHCjexrLm_o"",
      ""HTMLキャッシュ!A:F""
    ),
    2,
    FALSE
  ),
  0
)
"),"SP")</f>
        <v>SP</v>
      </c>
      <c r="C26" s="1" t="str">
        <f>IFERROR(__xludf.DUMMYFUNCTION("IFERROR(
  VLOOKUP(
    A26,
    IMPORTRANGE(
      ""1ZygntHC1J6IxzKbTidmOyf5nUyW4GCLurHCjexrLm_o"",
      ""HTMLキャッシュ!A:F""
    ),
    5,
    FALSE
  ),
  0
)
"),"中高一貫校国語読解記述を伸ばす完全個別指導講座｜オンライン塾")</f>
        <v>中高一貫校国語読解記述を伸ばす完全個別指導講座｜オンライン塾</v>
      </c>
      <c r="D26" s="1" t="str">
        <f>IFERROR(__xludf.DUMMYFUNCTION("IFERROR(
  VLOOKUP(
    A26,
    IMPORTRANGE(
      ""1ZygntHC1J6IxzKbTidmOyf5nUyW4GCLurHCjexrLm_o        "",
      ""HTMLキャッシュ!A:F""
    ),
    6,
    FALSE
  ),
  0
)
"),"記述が安定しない中高一貫生へ。構造→根拠→設問の個別指導で読解力を定着。古典文法対応、オンライン体験受付中")</f>
        <v>記述が安定しない中高一貫生へ。構造→根拠→設問の個別指導で読解力を定着。古典文法対応、オンライン体験受付中</v>
      </c>
      <c r="E26" s="49">
        <f t="shared" ref="E26:F26" si="121">LEN(C26)</f>
        <v>30</v>
      </c>
      <c r="F26" s="49">
        <f t="shared" si="121"/>
        <v>53</v>
      </c>
      <c r="G26" s="32">
        <f>IFERROR(__xludf.DUMMYFUNCTION("IFERROR(
  VLOOKUP(
    A26,
    IMPORTRANGE(
      ""1ZygntHC1J6IxzKbTidmOyf5nUyW4GCLurHCjexrLm_o        "",
      ""HTMLキャッシュ!A:F""
    ),
    3,
    FALSE
  ),
  0
)
"),46078.872662037036)</f>
        <v>46078.87266</v>
      </c>
      <c r="H26" s="49">
        <f>IFERROR(__xludf.DUMMYFUNCTION("IFERROR(
  VLOOKUP(
    A26,
    IMPORTRANGE(
      ""1ZHMy3vVUd_0MrSduXTe1etBb1HNpAlGwQr006ljwMiM"",
      ""GSC最新!A:F""
    ),
    2,
    FALSE
  ),
  0
)
"),1.0)</f>
        <v>1</v>
      </c>
      <c r="I26" s="49">
        <f>IFERROR(__xludf.DUMMYFUNCTION("IFERROR(
  VLOOKUP(
    A26,
    IMPORTRANGE(
      ""1ZHMy3vVUd_0MrSduXTe1etBb1HNpAlGwQr006ljwMiM"",
      ""GSC最新!A:F""
    ),
    3,
    FALSE
  ),
  0
)
"),1.0)</f>
        <v>1</v>
      </c>
      <c r="J26" s="49">
        <f>IFERROR(__xludf.DUMMYFUNCTION("IFERROR(
  VLOOKUP(
    A26,
    IMPORTRANGE(
      ""1ZHMy3vVUd_0MrSduXTe1etBb1HNpAlGwQr006ljwMiM"",
      ""GSC最新!A:F""
    ),
    4,
    FALSE
  ),
  0
)
"),0.0)</f>
        <v>0</v>
      </c>
      <c r="K26" s="49">
        <f>IFERROR(__xludf.DUMMYFUNCTION("IFERROR(
  VLOOKUP(
    A26,
    IMPORTRANGE(
      ""1ZHMy3vVUd_0MrSduXTe1etBb1HNpAlGwQr006ljwMiM"",
      ""GSC最新!A:F""
    ),
    5,
    FALSE
  ),
  0
)
"),0.0)</f>
        <v>0</v>
      </c>
      <c r="L26" s="50" t="str">
        <f t="shared" ref="L26:M26" si="122">IFERROR(H26/J26,"-")</f>
        <v>-</v>
      </c>
      <c r="M26" s="50" t="str">
        <f t="shared" si="122"/>
        <v>-</v>
      </c>
      <c r="N26" s="6">
        <f>IFERROR(__xludf.DUMMYFUNCTION("IFERROR(
  VLOOKUP(
    A26,
    IMPORTRANGE(
      ""1ZHMy3vVUd_0MrSduXTe1etBb1HNpAlGwQr006ljwMiM"",
      ""GSC最新!A:R""
    ),
    7,
    FALSE
  ),
  0
)
"),85.0)</f>
        <v>85</v>
      </c>
      <c r="O26" s="6">
        <f>IFERROR(__xludf.DUMMYFUNCTION("IFERROR(
  VLOOKUP(
    A26,
    IMPORTRANGE(
      ""1ZHMy3vVUd_0MrSduXTe1etBb1HNpAlGwQr006ljwMiM"",
      ""GSC最新!A:R""
    ),
    10,
    FALSE
  ),
  0
)
"),119.0)</f>
        <v>119</v>
      </c>
      <c r="P26" s="6">
        <f>IFERROR(__xludf.DUMMYFUNCTION("IFERROR(
  VLOOKUP(
    A26,
    IMPORTRANGE(
      ""1ZHMy3vVUd_0MrSduXTe1etBb1HNpAlGwQr006ljwMiM"",
      ""GSC最新!A:R""
    ),
    13,
    FALSE
  ),
  0
)
"),2.0)</f>
        <v>2</v>
      </c>
      <c r="Q26" s="6">
        <f>IFERROR(__xludf.DUMMYFUNCTION("IFERROR(
  VLOOKUP(
    A26,
    IMPORTRANGE(
      ""1ZHMy3vVUd_0MrSduXTe1etBb1HNpAlGwQr006ljwMiM"",
      ""GSC最新!A:R""
    ),
    16,
    FALSE
  ),
  0
)
"),14.0)</f>
        <v>14</v>
      </c>
      <c r="R26" s="51">
        <f t="shared" ref="R26:S26" si="123">IFERROR(N26/P26,"-")</f>
        <v>42.5</v>
      </c>
      <c r="S26" s="51">
        <f t="shared" si="123"/>
        <v>8.5</v>
      </c>
      <c r="T26" s="9">
        <f>IFERROR(__xludf.DUMMYFUNCTION("IFERROR(
  VLOOKUP(
    A26,
    IMPORTRANGE(
      ""1ZHMy3vVUd_0MrSduXTe1etBb1HNpAlGwQr006ljwMiM"",
      ""GSC最新!A:R""
    ),
    8,
    FALSE
  ),
  0
)
"),0.011764705882352941)</f>
        <v>0.01176470588</v>
      </c>
      <c r="U26" s="9">
        <f>IFERROR(__xludf.DUMMYFUNCTION("IFERROR(
  VLOOKUP(
    A26,
    IMPORTRANGE(
      ""1ZHMy3vVUd_0MrSduXTe1etBb1HNpAlGwQr006ljwMiM"",
      ""GSC最新!A:R""
    ),
    11,
    FALSE
  ),
  0
)
"),0.008403361344537815)</f>
        <v>0.008403361345</v>
      </c>
      <c r="V26" s="9">
        <f>IFERROR(__xludf.DUMMYFUNCTION("IFERROR(
  VLOOKUP(
    A26,
    IMPORTRANGE(
      ""1ZHMy3vVUd_0MrSduXTe1etBb1HNpAlGwQr006ljwMiM"",
      ""GSC最新!A:R""
    ),
    14,
    FALSE
  ),
  0
)
"),0.0)</f>
        <v>0</v>
      </c>
      <c r="W26" s="9">
        <f>IFERROR(__xludf.DUMMYFUNCTION("IFERROR(
  VLOOKUP(
    A26,
    IMPORTRANGE(
      ""1ZHMy3vVUd_0MrSduXTe1etBb1HNpAlGwQr006ljwMiM"",
      ""GSC最新!A:R""
    ),
    17,
    FALSE
  ),
  0
)
"),0.0)</f>
        <v>0</v>
      </c>
      <c r="X26" s="9">
        <f t="shared" ref="X26:Y26" si="124">IFERROR(T26-V26,"-")</f>
        <v>0.01176470588</v>
      </c>
      <c r="Y26" s="9">
        <f t="shared" si="124"/>
        <v>0.008403361345</v>
      </c>
      <c r="Z26" s="52">
        <f>IFERROR(__xludf.DUMMYFUNCTION("IFERROR(
  VLOOKUP(
    A26,
    IMPORTRANGE(
      ""1ZHMy3vVUd_0MrSduXTe1etBb1HNpAlGwQr006ljwMiM"",
      ""GSC最新!A:R""
    ),
    9,
    FALSE
  ),
  0
)
"),6.094117647058823)</f>
        <v>6.094117647</v>
      </c>
      <c r="AA26" s="52">
        <f>IFERROR(__xludf.DUMMYFUNCTION("IFERROR(
  VLOOKUP(
    A26,
    IMPORTRANGE(
      ""1ZHMy3vVUd_0MrSduXTe1etBb1HNpAlGwQr006ljwMiM"",
      ""GSC最新!A:R""
    ),
    12,
    FALSE
  ),
  0
)
"),5.436974789915967)</f>
        <v>5.43697479</v>
      </c>
      <c r="AB26" s="52">
        <f>IFERROR(__xludf.DUMMYFUNCTION("IFERROR(
  VLOOKUP(
    A26,
    IMPORTRANGE(
      ""1ZHMy3vVUd_0MrSduXTe1etBb1HNpAlGwQr006ljwMiM"",
      ""GSC最新!A:R""
    ),
    15,
    FALSE
  ),
  0
)
"),54.5)</f>
        <v>54.5</v>
      </c>
      <c r="AC26" s="52">
        <f>IFERROR(__xludf.DUMMYFUNCTION("IFERROR(
  VLOOKUP(
    A26,
    IMPORTRANGE(
      ""1ZHMy3vVUd_0MrSduXTe1etBb1HNpAlGwQr006ljwMiM"",
      ""GSC最新!A:R""
    ),
    18,
    FALSE
  ),
  0
)
"),55.285714285714285)</f>
        <v>55.28571429</v>
      </c>
      <c r="AD26" s="52">
        <f t="shared" ref="AD26:AE26" si="125">Z26-AB26</f>
        <v>-48.40588235</v>
      </c>
      <c r="AE26" s="52">
        <f t="shared" si="125"/>
        <v>-49.8487395</v>
      </c>
      <c r="AF26" s="53">
        <f>IFERROR(__xludf.DUMMYFUNCTION("IFERROR(
  VLOOKUP(
    A26,
    IMPORTRANGE(
      ""1ZHMy3vVUd_0MrSduXTe1etBb1HNpAlGwQr006ljwMiM"",
      ""GSC最新!A:F""
    ),
    6,
    FALSE
  ),
  0
)
"),46081.0)</f>
        <v>46081</v>
      </c>
      <c r="AG26" s="54">
        <f>IFERROR(__xludf.DUMMYFUNCTION("IFERROR(
  VLOOKUP(
    A26,
    IMPORTRANGE(
      ""1SCYQd7_cobOYqT0r_F0IqD4tE4rYn5y8Eup4PJTH8es"",
      ""Snapshot!A:M""
    ),
    5,
    FALSE
  ),
  ""-""
)
"),11.0)</f>
        <v>11</v>
      </c>
      <c r="AH26" s="54">
        <f>IFERROR(__xludf.DUMMYFUNCTION("IFERROR(
  VLOOKUP(
    A26,
    IMPORTRANGE(
      ""1SCYQd7_cobOYqT0r_F0IqD4tE4rYn5y8Eup4PJTH8es"",
      ""Snapshot!A:M""
    ),
    6,
    FALSE
  ),
  0
)
"),21.0)</f>
        <v>21</v>
      </c>
      <c r="AI26" s="54">
        <f>IFERROR(__xludf.DUMMYFUNCTION("IFERROR(
  VLOOKUP(
    A26,
    IMPORTRANGE(
      ""1SCYQd7_cobOYqT0r_F0IqD4tE4rYn5y8Eup4PJTH8es"",
      ""Snapshot!A:M""
    ),
    7,
    FALSE
  ),
  0
)
"),5318.0)</f>
        <v>5318</v>
      </c>
      <c r="AJ26" s="54">
        <f>IFERROR(__xludf.DUMMYFUNCTION("IFERROR(
  VLOOKUP(
    A26,
    IMPORTRANGE(
      ""1SCYQd7_cobOYqT0r_F0IqD4tE4rYn5y8Eup4PJTH8es"",
      ""Snapshot!A:M""
    ),
    8,
    FALSE
  ),
  0
)
"),4.0)</f>
        <v>4</v>
      </c>
      <c r="AK26" s="54">
        <f>IFERROR(__xludf.DUMMYFUNCTION("IFERROR(
  VLOOKUP(
    A26,
    IMPORTRANGE(
      ""1SCYQd7_cobOYqT0r_F0IqD4tE4rYn5y8Eup4PJTH8es"",
      ""Snapshot!A:M""
    ),
    9,
    FALSE
  ),
  0
)
"),2.0)</f>
        <v>2</v>
      </c>
      <c r="AL26" s="54">
        <f>IFERROR(__xludf.DUMMYFUNCTION("IFERROR(
  VLOOKUP(
    A26,
    IMPORTRANGE(
      ""1SCYQd7_cobOYqT0r_F0IqD4tE4rYn5y8Eup4PJTH8es"",
      ""Snapshot!A:M""
    ),
    13,
    FALSE
  ),
  0
)
"),1.0)</f>
        <v>1</v>
      </c>
    </row>
    <row r="27">
      <c r="A27" s="56" t="s">
        <v>310</v>
      </c>
      <c r="B27" s="1" t="str">
        <f>IFERROR(__xludf.DUMMYFUNCTION("IFERROR(
  VLOOKUP(
    A27,
    IMPORTRANGE(
      ""1ZygntHC1J6IxzKbTidmOyf5nUyW4GCLurHCjexrLm_o"",
      ""HTMLキャッシュ!A:F""
    ),
    2,
    FALSE
  ),
  0
)
"),"SP")</f>
        <v>SP</v>
      </c>
      <c r="C27" s="1" t="str">
        <f>IFERROR(__xludf.DUMMYFUNCTION("IFERROR(
  VLOOKUP(
    A27,
    IMPORTRANGE(
      ""1ZygntHC1J6IxzKbTidmOyf5nUyW4GCLurHCjexrLm_o"",
      ""HTMLキャッシュ!A:F""
    ),
    5,
    FALSE
  ),
  0
)
"),"国公立大現代文記述強化の個別指導講座｜添削オンライン塾")</f>
        <v>国公立大現代文記述強化の個別指導講座｜添削オンライン塾</v>
      </c>
      <c r="D27" s="1" t="str">
        <f>IFERROR(__xludf.DUMMYFUNCTION("IFERROR(
  VLOOKUP(
    A27,
    IMPORTRANGE(
      ""1ZygntHC1J6IxzKbTidmOyf5nUyW4GCLurHCjexrLm_o        "",
      ""HTMLキャッシュ!A:F""
    ),
    6,
    FALSE
  ),
  0
)
"),"記述答案が伸びない受験生へ。1対1個別指導で現代文の解法と添削力を定着し難関国公立合格へ導く。オンライン体験受付中")</f>
        <v>記述答案が伸びない受験生へ。1対1個別指導で現代文の解法と添削力を定着し難関国公立合格へ導く。オンライン体験受付中</v>
      </c>
      <c r="E27" s="49">
        <f t="shared" ref="E27:F27" si="126">LEN(C27)</f>
        <v>27</v>
      </c>
      <c r="F27" s="49">
        <f t="shared" si="126"/>
        <v>57</v>
      </c>
      <c r="G27" s="32">
        <f>IFERROR(__xludf.DUMMYFUNCTION("IFERROR(
  VLOOKUP(
    A27,
    IMPORTRANGE(
      ""1ZygntHC1J6IxzKbTidmOyf5nUyW4GCLurHCjexrLm_o        "",
      ""HTMLキャッシュ!A:F""
    ),
    3,
    FALSE
  ),
  0
)
"),46081.80222222222)</f>
        <v>46081.80222</v>
      </c>
      <c r="H27" s="49">
        <f>IFERROR(__xludf.DUMMYFUNCTION("IFERROR(
  VLOOKUP(
    A27,
    IMPORTRANGE(
      ""1ZHMy3vVUd_0MrSduXTe1etBb1HNpAlGwQr006ljwMiM"",
      ""GSC最新!A:F""
    ),
    2,
    FALSE
  ),
  0
)
"),1.0)</f>
        <v>1</v>
      </c>
      <c r="I27" s="49">
        <f>IFERROR(__xludf.DUMMYFUNCTION("IFERROR(
  VLOOKUP(
    A27,
    IMPORTRANGE(
      ""1ZHMy3vVUd_0MrSduXTe1etBb1HNpAlGwQr006ljwMiM"",
      ""GSC最新!A:F""
    ),
    3,
    FALSE
  ),
  0
)
"),1.0)</f>
        <v>1</v>
      </c>
      <c r="J27" s="49">
        <f>IFERROR(__xludf.DUMMYFUNCTION("IFERROR(
  VLOOKUP(
    A27,
    IMPORTRANGE(
      ""1ZHMy3vVUd_0MrSduXTe1etBb1HNpAlGwQr006ljwMiM"",
      ""GSC最新!A:F""
    ),
    4,
    FALSE
  ),
  0
)
"),0.0)</f>
        <v>0</v>
      </c>
      <c r="K27" s="49">
        <f>IFERROR(__xludf.DUMMYFUNCTION("IFERROR(
  VLOOKUP(
    A27,
    IMPORTRANGE(
      ""1ZHMy3vVUd_0MrSduXTe1etBb1HNpAlGwQr006ljwMiM"",
      ""GSC最新!A:F""
    ),
    5,
    FALSE
  ),
  0
)
"),0.0)</f>
        <v>0</v>
      </c>
      <c r="L27" s="50" t="str">
        <f t="shared" ref="L27:M27" si="127">IFERROR(H27/J27,"-")</f>
        <v>-</v>
      </c>
      <c r="M27" s="50" t="str">
        <f t="shared" si="127"/>
        <v>-</v>
      </c>
      <c r="N27" s="6">
        <f>IFERROR(__xludf.DUMMYFUNCTION("IFERROR(
  VLOOKUP(
    A27,
    IMPORTRANGE(
      ""1ZHMy3vVUd_0MrSduXTe1etBb1HNpAlGwQr006ljwMiM"",
      ""GSC最新!A:R""
    ),
    7,
    FALSE
  ),
  0
)
"),83.0)</f>
        <v>83</v>
      </c>
      <c r="O27" s="6">
        <f>IFERROR(__xludf.DUMMYFUNCTION("IFERROR(
  VLOOKUP(
    A27,
    IMPORTRANGE(
      ""1ZHMy3vVUd_0MrSduXTe1etBb1HNpAlGwQr006ljwMiM"",
      ""GSC最新!A:R""
    ),
    10,
    FALSE
  ),
  0
)
"),116.0)</f>
        <v>116</v>
      </c>
      <c r="P27" s="6">
        <f>IFERROR(__xludf.DUMMYFUNCTION("IFERROR(
  VLOOKUP(
    A27,
    IMPORTRANGE(
      ""1ZHMy3vVUd_0MrSduXTe1etBb1HNpAlGwQr006ljwMiM"",
      ""GSC最新!A:R""
    ),
    13,
    FALSE
  ),
  0
)
"),5.0)</f>
        <v>5</v>
      </c>
      <c r="Q27" s="6">
        <f>IFERROR(__xludf.DUMMYFUNCTION("IFERROR(
  VLOOKUP(
    A27,
    IMPORTRANGE(
      ""1ZHMy3vVUd_0MrSduXTe1etBb1HNpAlGwQr006ljwMiM"",
      ""GSC最新!A:R""
    ),
    16,
    FALSE
  ),
  0
)
"),39.0)</f>
        <v>39</v>
      </c>
      <c r="R27" s="51">
        <f t="shared" ref="R27:S27" si="128">IFERROR(N27/P27,"-")</f>
        <v>16.6</v>
      </c>
      <c r="S27" s="51">
        <f t="shared" si="128"/>
        <v>2.974358974</v>
      </c>
      <c r="T27" s="9">
        <f>IFERROR(__xludf.DUMMYFUNCTION("IFERROR(
  VLOOKUP(
    A27,
    IMPORTRANGE(
      ""1ZHMy3vVUd_0MrSduXTe1etBb1HNpAlGwQr006ljwMiM"",
      ""GSC最新!A:R""
    ),
    8,
    FALSE
  ),
  0
)
"),0.012048192771084338)</f>
        <v>0.01204819277</v>
      </c>
      <c r="U27" s="9">
        <f>IFERROR(__xludf.DUMMYFUNCTION("IFERROR(
  VLOOKUP(
    A27,
    IMPORTRANGE(
      ""1ZHMy3vVUd_0MrSduXTe1etBb1HNpAlGwQr006ljwMiM"",
      ""GSC最新!A:R""
    ),
    11,
    FALSE
  ),
  0
)
"),0.008620689655172414)</f>
        <v>0.008620689655</v>
      </c>
      <c r="V27" s="9">
        <f>IFERROR(__xludf.DUMMYFUNCTION("IFERROR(
  VLOOKUP(
    A27,
    IMPORTRANGE(
      ""1ZHMy3vVUd_0MrSduXTe1etBb1HNpAlGwQr006ljwMiM"",
      ""GSC最新!A:R""
    ),
    14,
    FALSE
  ),
  0
)
"),0.0)</f>
        <v>0</v>
      </c>
      <c r="W27" s="9">
        <f>IFERROR(__xludf.DUMMYFUNCTION("IFERROR(
  VLOOKUP(
    A27,
    IMPORTRANGE(
      ""1ZHMy3vVUd_0MrSduXTe1etBb1HNpAlGwQr006ljwMiM"",
      ""GSC最新!A:R""
    ),
    17,
    FALSE
  ),
  0
)
"),0.0)</f>
        <v>0</v>
      </c>
      <c r="X27" s="9">
        <f t="shared" ref="X27:Y27" si="129">IFERROR(T27-V27,"-")</f>
        <v>0.01204819277</v>
      </c>
      <c r="Y27" s="9">
        <f t="shared" si="129"/>
        <v>0.008620689655</v>
      </c>
      <c r="Z27" s="52">
        <f>IFERROR(__xludf.DUMMYFUNCTION("IFERROR(
  VLOOKUP(
    A27,
    IMPORTRANGE(
      ""1ZHMy3vVUd_0MrSduXTe1etBb1HNpAlGwQr006ljwMiM"",
      ""GSC最新!A:R""
    ),
    9,
    FALSE
  ),
  0
)
"),9.265060240963855)</f>
        <v>9.265060241</v>
      </c>
      <c r="AA27" s="52">
        <f>IFERROR(__xludf.DUMMYFUNCTION("IFERROR(
  VLOOKUP(
    A27,
    IMPORTRANGE(
      ""1ZHMy3vVUd_0MrSduXTe1etBb1HNpAlGwQr006ljwMiM"",
      ""GSC最新!A:R""
    ),
    12,
    FALSE
  ),
  0
)
"),10.85344827586207)</f>
        <v>10.85344828</v>
      </c>
      <c r="AB27" s="52">
        <f>IFERROR(__xludf.DUMMYFUNCTION("IFERROR(
  VLOOKUP(
    A27,
    IMPORTRANGE(
      ""1ZHMy3vVUd_0MrSduXTe1etBb1HNpAlGwQr006ljwMiM"",
      ""GSC最新!A:R""
    ),
    15,
    FALSE
  ),
  0
)
"),7.4)</f>
        <v>7.4</v>
      </c>
      <c r="AC27" s="52">
        <f>IFERROR(__xludf.DUMMYFUNCTION("IFERROR(
  VLOOKUP(
    A27,
    IMPORTRANGE(
      ""1ZHMy3vVUd_0MrSduXTe1etBb1HNpAlGwQr006ljwMiM"",
      ""GSC最新!A:R""
    ),
    18,
    FALSE
  ),
  0
)
"),17.794871794871796)</f>
        <v>17.79487179</v>
      </c>
      <c r="AD27" s="52">
        <f t="shared" ref="AD27:AE27" si="130">Z27-AB27</f>
        <v>1.865060241</v>
      </c>
      <c r="AE27" s="52">
        <f t="shared" si="130"/>
        <v>-6.941423519</v>
      </c>
      <c r="AF27" s="53">
        <f>IFERROR(__xludf.DUMMYFUNCTION("IFERROR(
  VLOOKUP(
    A27,
    IMPORTRANGE(
      ""1ZHMy3vVUd_0MrSduXTe1etBb1HNpAlGwQr006ljwMiM"",
      ""GSC最新!A:F""
    ),
    6,
    FALSE
  ),
  0
)
"),46081.0)</f>
        <v>46081</v>
      </c>
      <c r="AG27" s="54">
        <f>IFERROR(__xludf.DUMMYFUNCTION("IFERROR(
  VLOOKUP(
    A27,
    IMPORTRANGE(
      ""1SCYQd7_cobOYqT0r_F0IqD4tE4rYn5y8Eup4PJTH8es"",
      ""Snapshot!A:M""
    ),
    5,
    FALSE
  ),
  ""-""
)
"),9.0)</f>
        <v>9</v>
      </c>
      <c r="AH27" s="54">
        <f>IFERROR(__xludf.DUMMYFUNCTION("IFERROR(
  VLOOKUP(
    A27,
    IMPORTRANGE(
      ""1SCYQd7_cobOYqT0r_F0IqD4tE4rYn5y8Eup4PJTH8es"",
      ""Snapshot!A:M""
    ),
    6,
    FALSE
  ),
  0
)
"),14.0)</f>
        <v>14</v>
      </c>
      <c r="AI27" s="54">
        <f>IFERROR(__xludf.DUMMYFUNCTION("IFERROR(
  VLOOKUP(
    A27,
    IMPORTRANGE(
      ""1SCYQd7_cobOYqT0r_F0IqD4tE4rYn5y8Eup4PJTH8es"",
      ""Snapshot!A:M""
    ),
    7,
    FALSE
  ),
  0
)
"),1664.0)</f>
        <v>1664</v>
      </c>
      <c r="AJ27" s="54">
        <f>IFERROR(__xludf.DUMMYFUNCTION("IFERROR(
  VLOOKUP(
    A27,
    IMPORTRANGE(
      ""1SCYQd7_cobOYqT0r_F0IqD4tE4rYn5y8Eup4PJTH8es"",
      ""Snapshot!A:M""
    ),
    8,
    FALSE
  ),
  0
)
"),1.0)</f>
        <v>1</v>
      </c>
      <c r="AK27" s="54">
        <f>IFERROR(__xludf.DUMMYFUNCTION("IFERROR(
  VLOOKUP(
    A27,
    IMPORTRANGE(
      ""1SCYQd7_cobOYqT0r_F0IqD4tE4rYn5y8Eup4PJTH8es"",
      ""Snapshot!A:M""
    ),
    9,
    FALSE
  ),
  0
)
"),1.0)</f>
        <v>1</v>
      </c>
      <c r="AL27" s="54">
        <f>IFERROR(__xludf.DUMMYFUNCTION("IFERROR(
  VLOOKUP(
    A27,
    IMPORTRANGE(
      ""1SCYQd7_cobOYqT0r_F0IqD4tE4rYn5y8Eup4PJTH8es"",
      ""Snapshot!A:M""
    ),
    13,
    FALSE
  ),
  0
)
"),2.0)</f>
        <v>2</v>
      </c>
    </row>
    <row r="28">
      <c r="A28" s="56" t="s">
        <v>311</v>
      </c>
      <c r="B28" s="1" t="str">
        <f>IFERROR(__xludf.DUMMYFUNCTION("IFERROR(
  VLOOKUP(
    A28,
    IMPORTRANGE(
      ""1ZygntHC1J6IxzKbTidmOyf5nUyW4GCLurHCjexrLm_o"",
      ""HTMLキャッシュ!A:F""
    ),
    2,
    FALSE
  ),
  0
)
"),"SP")</f>
        <v>SP</v>
      </c>
      <c r="C28" s="1" t="str">
        <f>IFERROR(__xludf.DUMMYFUNCTION("IFERROR(
  VLOOKUP(
    A28,
    IMPORTRANGE(
      ""1ZygntHC1J6IxzKbTidmOyf5nUyW4GCLurHCjexrLm_o"",
      ""HTMLキャッシュ!A:F""
    ),
    5,
    FALSE
  ),
  0
)
"),"中１数学の基礎定着個別指導講座｜学校対応オンライン塾")</f>
        <v>中１数学の基礎定着個別指導講座｜学校対応オンライン塾</v>
      </c>
      <c r="D28" s="1" t="str">
        <f>IFERROR(__xludf.DUMMYFUNCTION("IFERROR(
  VLOOKUP(
    A28,
    IMPORTRANGE(
      ""1ZygntHC1J6IxzKbTidmOyf5nUyW4GCLurHCjexrLm_o        "",
      ""HTMLキャッシュ!A:F""
    ),
    6,
    FALSE
  ),
  0
)
"),"中1の数学がわからない子へ。学校内容を1対1で整理し基礎から定着。定期試験対応・フォロー充実、オンライン体験受付中")</f>
        <v>中1の数学がわからない子へ。学校内容を1対1で整理し基礎から定着。定期試験対応・フォロー充実、オンライン体験受付中</v>
      </c>
      <c r="E28" s="49">
        <f t="shared" ref="E28:F28" si="131">LEN(C28)</f>
        <v>26</v>
      </c>
      <c r="F28" s="49">
        <f t="shared" si="131"/>
        <v>57</v>
      </c>
      <c r="G28" s="32">
        <f>IFERROR(__xludf.DUMMYFUNCTION("IFERROR(
  VLOOKUP(
    A28,
    IMPORTRANGE(
      ""1ZygntHC1J6IxzKbTidmOyf5nUyW4GCLurHCjexrLm_o        "",
      ""HTMLキャッシュ!A:F""
    ),
    3,
    FALSE
  ),
  0
)
"),46076.84155092593)</f>
        <v>46076.84155</v>
      </c>
      <c r="H28" s="49">
        <f>IFERROR(__xludf.DUMMYFUNCTION("IFERROR(
  VLOOKUP(
    A28,
    IMPORTRANGE(
      ""1ZHMy3vVUd_0MrSduXTe1etBb1HNpAlGwQr006ljwMiM"",
      ""GSC最新!A:F""
    ),
    2,
    FALSE
  ),
  0
)
"),0.0)</f>
        <v>0</v>
      </c>
      <c r="I28" s="49">
        <f>IFERROR(__xludf.DUMMYFUNCTION("IFERROR(
  VLOOKUP(
    A28,
    IMPORTRANGE(
      ""1ZHMy3vVUd_0MrSduXTe1etBb1HNpAlGwQr006ljwMiM"",
      ""GSC最新!A:F""
    ),
    3,
    FALSE
  ),
  0
)
"),0.0)</f>
        <v>0</v>
      </c>
      <c r="J28" s="49">
        <f>IFERROR(__xludf.DUMMYFUNCTION("IFERROR(
  VLOOKUP(
    A28,
    IMPORTRANGE(
      ""1ZHMy3vVUd_0MrSduXTe1etBb1HNpAlGwQr006ljwMiM"",
      ""GSC最新!A:F""
    ),
    4,
    FALSE
  ),
  0
)
"),0.0)</f>
        <v>0</v>
      </c>
      <c r="K28" s="49">
        <f>IFERROR(__xludf.DUMMYFUNCTION("IFERROR(
  VLOOKUP(
    A28,
    IMPORTRANGE(
      ""1ZHMy3vVUd_0MrSduXTe1etBb1HNpAlGwQr006ljwMiM"",
      ""GSC最新!A:F""
    ),
    5,
    FALSE
  ),
  0
)
"),1.0)</f>
        <v>1</v>
      </c>
      <c r="L28" s="50" t="str">
        <f t="shared" ref="L28:M28" si="132">IFERROR(H28/J28,"-")</f>
        <v>-</v>
      </c>
      <c r="M28" s="50">
        <f t="shared" si="132"/>
        <v>0</v>
      </c>
      <c r="N28" s="6">
        <f>IFERROR(__xludf.DUMMYFUNCTION("IFERROR(
  VLOOKUP(
    A28,
    IMPORTRANGE(
      ""1ZHMy3vVUd_0MrSduXTe1etBb1HNpAlGwQr006ljwMiM"",
      ""GSC最新!A:R""
    ),
    7,
    FALSE
  ),
  0
)
"),88.0)</f>
        <v>88</v>
      </c>
      <c r="O28" s="6">
        <f>IFERROR(__xludf.DUMMYFUNCTION("IFERROR(
  VLOOKUP(
    A28,
    IMPORTRANGE(
      ""1ZHMy3vVUd_0MrSduXTe1etBb1HNpAlGwQr006ljwMiM"",
      ""GSC最新!A:R""
    ),
    10,
    FALSE
  ),
  0
)
"),108.0)</f>
        <v>108</v>
      </c>
      <c r="P28" s="6">
        <f>IFERROR(__xludf.DUMMYFUNCTION("IFERROR(
  VLOOKUP(
    A28,
    IMPORTRANGE(
      ""1ZHMy3vVUd_0MrSduXTe1etBb1HNpAlGwQr006ljwMiM"",
      ""GSC最新!A:R""
    ),
    13,
    FALSE
  ),
  0
)
"),3.0)</f>
        <v>3</v>
      </c>
      <c r="Q28" s="6">
        <f>IFERROR(__xludf.DUMMYFUNCTION("IFERROR(
  VLOOKUP(
    A28,
    IMPORTRANGE(
      ""1ZHMy3vVUd_0MrSduXTe1etBb1HNpAlGwQr006ljwMiM"",
      ""GSC最新!A:R""
    ),
    16,
    FALSE
  ),
  0
)
"),9.0)</f>
        <v>9</v>
      </c>
      <c r="R28" s="51">
        <f t="shared" ref="R28:S28" si="133">IFERROR(N28/P28,"-")</f>
        <v>29.33333333</v>
      </c>
      <c r="S28" s="51">
        <f t="shared" si="133"/>
        <v>12</v>
      </c>
      <c r="T28" s="9">
        <f>IFERROR(__xludf.DUMMYFUNCTION("IFERROR(
  VLOOKUP(
    A28,
    IMPORTRANGE(
      ""1ZHMy3vVUd_0MrSduXTe1etBb1HNpAlGwQr006ljwMiM"",
      ""GSC最新!A:R""
    ),
    8,
    FALSE
  ),
  0
)
"),0.0)</f>
        <v>0</v>
      </c>
      <c r="U28" s="9">
        <f>IFERROR(__xludf.DUMMYFUNCTION("IFERROR(
  VLOOKUP(
    A28,
    IMPORTRANGE(
      ""1ZHMy3vVUd_0MrSduXTe1etBb1HNpAlGwQr006ljwMiM"",
      ""GSC最新!A:R""
    ),
    11,
    FALSE
  ),
  0
)
"),0.0)</f>
        <v>0</v>
      </c>
      <c r="V28" s="9">
        <f>IFERROR(__xludf.DUMMYFUNCTION("IFERROR(
  VLOOKUP(
    A28,
    IMPORTRANGE(
      ""1ZHMy3vVUd_0MrSduXTe1etBb1HNpAlGwQr006ljwMiM"",
      ""GSC最新!A:R""
    ),
    14,
    FALSE
  ),
  0
)
"),0.0)</f>
        <v>0</v>
      </c>
      <c r="W28" s="9">
        <f>IFERROR(__xludf.DUMMYFUNCTION("IFERROR(
  VLOOKUP(
    A28,
    IMPORTRANGE(
      ""1ZHMy3vVUd_0MrSduXTe1etBb1HNpAlGwQr006ljwMiM"",
      ""GSC最新!A:R""
    ),
    17,
    FALSE
  ),
  0
)
"),0.1111111111111111)</f>
        <v>0.1111111111</v>
      </c>
      <c r="X28" s="9">
        <f t="shared" ref="X28:Y28" si="134">IFERROR(T28-V28,"-")</f>
        <v>0</v>
      </c>
      <c r="Y28" s="9">
        <f t="shared" si="134"/>
        <v>-0.1111111111</v>
      </c>
      <c r="Z28" s="52">
        <f>IFERROR(__xludf.DUMMYFUNCTION("IFERROR(
  VLOOKUP(
    A28,
    IMPORTRANGE(
      ""1ZHMy3vVUd_0MrSduXTe1etBb1HNpAlGwQr006ljwMiM"",
      ""GSC最新!A:R""
    ),
    9,
    FALSE
  ),
  0
)
"),2.0568181818181817)</f>
        <v>2.056818182</v>
      </c>
      <c r="AA28" s="52">
        <f>IFERROR(__xludf.DUMMYFUNCTION("IFERROR(
  VLOOKUP(
    A28,
    IMPORTRANGE(
      ""1ZHMy3vVUd_0MrSduXTe1etBb1HNpAlGwQr006ljwMiM"",
      ""GSC最新!A:R""
    ),
    12,
    FALSE
  ),
  0
)
"),2.2962962962962963)</f>
        <v>2.296296296</v>
      </c>
      <c r="AB28" s="52">
        <f>IFERROR(__xludf.DUMMYFUNCTION("IFERROR(
  VLOOKUP(
    A28,
    IMPORTRANGE(
      ""1ZHMy3vVUd_0MrSduXTe1etBb1HNpAlGwQr006ljwMiM"",
      ""GSC最新!A:R""
    ),
    15,
    FALSE
  ),
  0
)
"),30.666666666666668)</f>
        <v>30.66666667</v>
      </c>
      <c r="AC28" s="52">
        <f>IFERROR(__xludf.DUMMYFUNCTION("IFERROR(
  VLOOKUP(
    A28,
    IMPORTRANGE(
      ""1ZHMy3vVUd_0MrSduXTe1etBb1HNpAlGwQr006ljwMiM"",
      ""GSC最新!A:R""
    ),
    18,
    FALSE
  ),
  0
)
"),25.22222222222222)</f>
        <v>25.22222222</v>
      </c>
      <c r="AD28" s="52">
        <f t="shared" ref="AD28:AE28" si="135">Z28-AB28</f>
        <v>-28.60984848</v>
      </c>
      <c r="AE28" s="52">
        <f t="shared" si="135"/>
        <v>-22.92592593</v>
      </c>
      <c r="AF28" s="53">
        <f>IFERROR(__xludf.DUMMYFUNCTION("IFERROR(
  VLOOKUP(
    A28,
    IMPORTRANGE(
      ""1ZHMy3vVUd_0MrSduXTe1etBb1HNpAlGwQr006ljwMiM"",
      ""GSC最新!A:F""
    ),
    6,
    FALSE
  ),
  0
)
"),46081.0)</f>
        <v>46081</v>
      </c>
      <c r="AG28" s="54">
        <f>IFERROR(__xludf.DUMMYFUNCTION("IFERROR(
  VLOOKUP(
    A28,
    IMPORTRANGE(
      ""1SCYQd7_cobOYqT0r_F0IqD4tE4rYn5y8Eup4PJTH8es"",
      ""Snapshot!A:M""
    ),
    5,
    FALSE
  ),
  ""-""
)
"),9.0)</f>
        <v>9</v>
      </c>
      <c r="AH28" s="54">
        <f>IFERROR(__xludf.DUMMYFUNCTION("IFERROR(
  VLOOKUP(
    A28,
    IMPORTRANGE(
      ""1SCYQd7_cobOYqT0r_F0IqD4tE4rYn5y8Eup4PJTH8es"",
      ""Snapshot!A:M""
    ),
    6,
    FALSE
  ),
  0
)
"),11.0)</f>
        <v>11</v>
      </c>
      <c r="AI28" s="54">
        <f>IFERROR(__xludf.DUMMYFUNCTION("IFERROR(
  VLOOKUP(
    A28,
    IMPORTRANGE(
      ""1SCYQd7_cobOYqT0r_F0IqD4tE4rYn5y8Eup4PJTH8es"",
      ""Snapshot!A:M""
    ),
    7,
    FALSE
  ),
  0
)
"),3869.0)</f>
        <v>3869</v>
      </c>
      <c r="AJ28" s="54">
        <f>IFERROR(__xludf.DUMMYFUNCTION("IFERROR(
  VLOOKUP(
    A28,
    IMPORTRANGE(
      ""1SCYQd7_cobOYqT0r_F0IqD4tE4rYn5y8Eup4PJTH8es"",
      ""Snapshot!A:M""
    ),
    8,
    FALSE
  ),
  0
)
"),6.0)</f>
        <v>6</v>
      </c>
      <c r="AK28" s="54">
        <f>IFERROR(__xludf.DUMMYFUNCTION("IFERROR(
  VLOOKUP(
    A28,
    IMPORTRANGE(
      ""1SCYQd7_cobOYqT0r_F0IqD4tE4rYn5y8Eup4PJTH8es"",
      ""Snapshot!A:M""
    ),
    9,
    FALSE
  ),
  0
)
"),5.0)</f>
        <v>5</v>
      </c>
      <c r="AL28" s="54">
        <f>IFERROR(__xludf.DUMMYFUNCTION("IFERROR(
  VLOOKUP(
    A28,
    IMPORTRANGE(
      ""1SCYQd7_cobOYqT0r_F0IqD4tE4rYn5y8Eup4PJTH8es"",
      ""Snapshot!A:M""
    ),
    13,
    FALSE
  ),
  0
)
"),2.0)</f>
        <v>2</v>
      </c>
    </row>
    <row r="29">
      <c r="A29" s="56" t="s">
        <v>312</v>
      </c>
      <c r="B29" s="1" t="str">
        <f>IFERROR(__xludf.DUMMYFUNCTION("IFERROR(
  VLOOKUP(
    A29,
    IMPORTRANGE(
      ""1ZygntHC1J6IxzKbTidmOyf5nUyW4GCLurHCjexrLm_o"",
      ""HTMLキャッシュ!A:F""
    ),
    2,
    FALSE
  ),
  0
)
"),"SP")</f>
        <v>SP</v>
      </c>
      <c r="C29" s="1" t="str">
        <f>IFERROR(__xludf.DUMMYFUNCTION("IFERROR(
  VLOOKUP(
    A29,
    IMPORTRANGE(
      ""1ZygntHC1J6IxzKbTidmOyf5nUyW4GCLurHCjexrLm_o"",
      ""HTMLキャッシュ!A:F""
    ),
    5,
    FALSE
  ),
  0
)
"),"中高生向け古文漢文完全個別指導講座｜定期試験大学受験対応塾")</f>
        <v>中高生向け古文漢文完全個別指導講座｜定期試験大学受験対応塾</v>
      </c>
      <c r="D29" s="1" t="str">
        <f>IFERROR(__xludf.DUMMYFUNCTION("IFERROR(
  VLOOKUP(
    A29,
    IMPORTRANGE(
      ""1ZygntHC1J6IxzKbTidmOyf5nUyW4GCLurHCjexrLm_o        "",
      ""HTMLキャッシュ!A:F""
    ),
    6,
    FALSE
  ),
  0
)
"),"古文漢文が伸びない中高生へ。完全1対1で基礎から記述まで強化し、定期試験・大学受験に直結。教室／オンライン相談受付中今すぐ")</f>
        <v>古文漢文が伸びない中高生へ。完全1対1で基礎から記述まで強化し、定期試験・大学受験に直結。教室／オンライン相談受付中今すぐ</v>
      </c>
      <c r="E29" s="49">
        <f t="shared" ref="E29:F29" si="136">LEN(C29)</f>
        <v>29</v>
      </c>
      <c r="F29" s="49">
        <f t="shared" si="136"/>
        <v>61</v>
      </c>
      <c r="G29" s="32">
        <f>IFERROR(__xludf.DUMMYFUNCTION("IFERROR(
  VLOOKUP(
    A29,
    IMPORTRANGE(
      ""1ZygntHC1J6IxzKbTidmOyf5nUyW4GCLurHCjexrLm_o        "",
      ""HTMLキャッシュ!A:F""
    ),
    3,
    FALSE
  ),
  0
)
"),46081.80065972222)</f>
        <v>46081.80066</v>
      </c>
      <c r="H29" s="49">
        <f>IFERROR(__xludf.DUMMYFUNCTION("IFERROR(
  VLOOKUP(
    A29,
    IMPORTRANGE(
      ""1ZHMy3vVUd_0MrSduXTe1etBb1HNpAlGwQr006ljwMiM"",
      ""GSC最新!A:F""
    ),
    2,
    FALSE
  ),
  0
)
"),3.0)</f>
        <v>3</v>
      </c>
      <c r="I29" s="49">
        <f>IFERROR(__xludf.DUMMYFUNCTION("IFERROR(
  VLOOKUP(
    A29,
    IMPORTRANGE(
      ""1ZHMy3vVUd_0MrSduXTe1etBb1HNpAlGwQr006ljwMiM"",
      ""GSC最新!A:F""
    ),
    3,
    FALSE
  ),
  0
)
"),4.0)</f>
        <v>4</v>
      </c>
      <c r="J29" s="49">
        <f>IFERROR(__xludf.DUMMYFUNCTION("IFERROR(
  VLOOKUP(
    A29,
    IMPORTRANGE(
      ""1ZHMy3vVUd_0MrSduXTe1etBb1HNpAlGwQr006ljwMiM"",
      ""GSC最新!A:F""
    ),
    4,
    FALSE
  ),
  0
)
"),0.0)</f>
        <v>0</v>
      </c>
      <c r="K29" s="49">
        <f>IFERROR(__xludf.DUMMYFUNCTION("IFERROR(
  VLOOKUP(
    A29,
    IMPORTRANGE(
      ""1ZHMy3vVUd_0MrSduXTe1etBb1HNpAlGwQr006ljwMiM"",
      ""GSC最新!A:F""
    ),
    5,
    FALSE
  ),
  0
)
"),0.0)</f>
        <v>0</v>
      </c>
      <c r="L29" s="50" t="str">
        <f t="shared" ref="L29:M29" si="137">IFERROR(H29/J29,"-")</f>
        <v>-</v>
      </c>
      <c r="M29" s="50" t="str">
        <f t="shared" si="137"/>
        <v>-</v>
      </c>
      <c r="N29" s="6">
        <f>IFERROR(__xludf.DUMMYFUNCTION("IFERROR(
  VLOOKUP(
    A29,
    IMPORTRANGE(
      ""1ZHMy3vVUd_0MrSduXTe1etBb1HNpAlGwQr006ljwMiM"",
      ""GSC最新!A:R""
    ),
    7,
    FALSE
  ),
  0
)
"),48.0)</f>
        <v>48</v>
      </c>
      <c r="O29" s="6">
        <f>IFERROR(__xludf.DUMMYFUNCTION("IFERROR(
  VLOOKUP(
    A29,
    IMPORTRANGE(
      ""1ZHMy3vVUd_0MrSduXTe1etBb1HNpAlGwQr006ljwMiM"",
      ""GSC最新!A:R""
    ),
    10,
    FALSE
  ),
  0
)
"),105.0)</f>
        <v>105</v>
      </c>
      <c r="P29" s="6">
        <f>IFERROR(__xludf.DUMMYFUNCTION("IFERROR(
  VLOOKUP(
    A29,
    IMPORTRANGE(
      ""1ZHMy3vVUd_0MrSduXTe1etBb1HNpAlGwQr006ljwMiM"",
      ""GSC最新!A:R""
    ),
    13,
    FALSE
  ),
  0
)
"),18.0)</f>
        <v>18</v>
      </c>
      <c r="Q29" s="6">
        <f>IFERROR(__xludf.DUMMYFUNCTION("IFERROR(
  VLOOKUP(
    A29,
    IMPORTRANGE(
      ""1ZHMy3vVUd_0MrSduXTe1etBb1HNpAlGwQr006ljwMiM"",
      ""GSC最新!A:R""
    ),
    16,
    FALSE
  ),
  0
)
"),27.0)</f>
        <v>27</v>
      </c>
      <c r="R29" s="51">
        <f t="shared" ref="R29:S29" si="138">IFERROR(N29/P29,"-")</f>
        <v>2.666666667</v>
      </c>
      <c r="S29" s="51">
        <f t="shared" si="138"/>
        <v>3.888888889</v>
      </c>
      <c r="T29" s="9">
        <f>IFERROR(__xludf.DUMMYFUNCTION("IFERROR(
  VLOOKUP(
    A29,
    IMPORTRANGE(
      ""1ZHMy3vVUd_0MrSduXTe1etBb1HNpAlGwQr006ljwMiM"",
      ""GSC最新!A:R""
    ),
    8,
    FALSE
  ),
  0
)
"),0.0625)</f>
        <v>0.0625</v>
      </c>
      <c r="U29" s="9">
        <f>IFERROR(__xludf.DUMMYFUNCTION("IFERROR(
  VLOOKUP(
    A29,
    IMPORTRANGE(
      ""1ZHMy3vVUd_0MrSduXTe1etBb1HNpAlGwQr006ljwMiM"",
      ""GSC最新!A:R""
    ),
    11,
    FALSE
  ),
  0
)
"),0.0380952380952381)</f>
        <v>0.0380952381</v>
      </c>
      <c r="V29" s="9">
        <f>IFERROR(__xludf.DUMMYFUNCTION("IFERROR(
  VLOOKUP(
    A29,
    IMPORTRANGE(
      ""1ZHMy3vVUd_0MrSduXTe1etBb1HNpAlGwQr006ljwMiM"",
      ""GSC最新!A:R""
    ),
    14,
    FALSE
  ),
  0
)
"),0.0)</f>
        <v>0</v>
      </c>
      <c r="W29" s="9">
        <f>IFERROR(__xludf.DUMMYFUNCTION("IFERROR(
  VLOOKUP(
    A29,
    IMPORTRANGE(
      ""1ZHMy3vVUd_0MrSduXTe1etBb1HNpAlGwQr006ljwMiM"",
      ""GSC最新!A:R""
    ),
    17,
    FALSE
  ),
  0
)
"),0.0)</f>
        <v>0</v>
      </c>
      <c r="X29" s="9">
        <f t="shared" ref="X29:Y29" si="139">IFERROR(T29-V29,"-")</f>
        <v>0.0625</v>
      </c>
      <c r="Y29" s="9">
        <f t="shared" si="139"/>
        <v>0.0380952381</v>
      </c>
      <c r="Z29" s="52">
        <f>IFERROR(__xludf.DUMMYFUNCTION("IFERROR(
  VLOOKUP(
    A29,
    IMPORTRANGE(
      ""1ZHMy3vVUd_0MrSduXTe1etBb1HNpAlGwQr006ljwMiM"",
      ""GSC最新!A:R""
    ),
    9,
    FALSE
  ),
  0
)
"),4.833333333333334)</f>
        <v>4.833333333</v>
      </c>
      <c r="AA29" s="52">
        <f>IFERROR(__xludf.DUMMYFUNCTION("IFERROR(
  VLOOKUP(
    A29,
    IMPORTRANGE(
      ""1ZHMy3vVUd_0MrSduXTe1etBb1HNpAlGwQr006ljwMiM"",
      ""GSC最新!A:R""
    ),
    12,
    FALSE
  ),
  0
)
"),4.933333333333334)</f>
        <v>4.933333333</v>
      </c>
      <c r="AB29" s="52">
        <f>IFERROR(__xludf.DUMMYFUNCTION("IFERROR(
  VLOOKUP(
    A29,
    IMPORTRANGE(
      ""1ZHMy3vVUd_0MrSduXTe1etBb1HNpAlGwQr006ljwMiM"",
      ""GSC最新!A:R""
    ),
    15,
    FALSE
  ),
  0
)
"),6.555555555555555)</f>
        <v>6.555555556</v>
      </c>
      <c r="AC29" s="52">
        <f>IFERROR(__xludf.DUMMYFUNCTION("IFERROR(
  VLOOKUP(
    A29,
    IMPORTRANGE(
      ""1ZHMy3vVUd_0MrSduXTe1etBb1HNpAlGwQr006ljwMiM"",
      ""GSC最新!A:R""
    ),
    18,
    FALSE
  ),
  0
)
"),5.0)</f>
        <v>5</v>
      </c>
      <c r="AD29" s="52">
        <f t="shared" ref="AD29:AE29" si="140">Z29-AB29</f>
        <v>-1.722222222</v>
      </c>
      <c r="AE29" s="52">
        <f t="shared" si="140"/>
        <v>-0.06666666667</v>
      </c>
      <c r="AF29" s="53">
        <f>IFERROR(__xludf.DUMMYFUNCTION("IFERROR(
  VLOOKUP(
    A29,
    IMPORTRANGE(
      ""1ZHMy3vVUd_0MrSduXTe1etBb1HNpAlGwQr006ljwMiM"",
      ""GSC最新!A:F""
    ),
    6,
    FALSE
  ),
  0
)
"),46081.0)</f>
        <v>46081</v>
      </c>
      <c r="AG29" s="54">
        <f>IFERROR(__xludf.DUMMYFUNCTION("IFERROR(
  VLOOKUP(
    A29,
    IMPORTRANGE(
      ""1SCYQd7_cobOYqT0r_F0IqD4tE4rYn5y8Eup4PJTH8es"",
      ""Snapshot!A:M""
    ),
    5,
    FALSE
  ),
  ""-""
)
"),4.0)</f>
        <v>4</v>
      </c>
      <c r="AH29" s="54">
        <f>IFERROR(__xludf.DUMMYFUNCTION("IFERROR(
  VLOOKUP(
    A29,
    IMPORTRANGE(
      ""1SCYQd7_cobOYqT0r_F0IqD4tE4rYn5y8Eup4PJTH8es"",
      ""Snapshot!A:M""
    ),
    6,
    FALSE
  ),
  0
)
"),8.0)</f>
        <v>8</v>
      </c>
      <c r="AI29" s="54">
        <f>IFERROR(__xludf.DUMMYFUNCTION("IFERROR(
  VLOOKUP(
    A29,
    IMPORTRANGE(
      ""1SCYQd7_cobOYqT0r_F0IqD4tE4rYn5y8Eup4PJTH8es"",
      ""Snapshot!A:M""
    ),
    7,
    FALSE
  ),
  0
)
"),1953.0)</f>
        <v>1953</v>
      </c>
      <c r="AJ29" s="54">
        <f>IFERROR(__xludf.DUMMYFUNCTION("IFERROR(
  VLOOKUP(
    A29,
    IMPORTRANGE(
      ""1SCYQd7_cobOYqT0r_F0IqD4tE4rYn5y8Eup4PJTH8es"",
      ""Snapshot!A:M""
    ),
    8,
    FALSE
  ),
  0
)
"),7.0)</f>
        <v>7</v>
      </c>
      <c r="AK29" s="54">
        <f>IFERROR(__xludf.DUMMYFUNCTION("IFERROR(
  VLOOKUP(
    A29,
    IMPORTRANGE(
      ""1SCYQd7_cobOYqT0r_F0IqD4tE4rYn5y8Eup4PJTH8es"",
      ""Snapshot!A:M""
    ),
    9,
    FALSE
  ),
  0
)
"),5.0)</f>
        <v>5</v>
      </c>
      <c r="AL29" s="54">
        <f>IFERROR(__xludf.DUMMYFUNCTION("IFERROR(
  VLOOKUP(
    A29,
    IMPORTRANGE(
      ""1SCYQd7_cobOYqT0r_F0IqD4tE4rYn5y8Eup4PJTH8es"",
      ""Snapshot!A:M""
    ),
    13,
    FALSE
  ),
  0
)
"),1.0)</f>
        <v>1</v>
      </c>
    </row>
    <row r="30">
      <c r="A30" s="56" t="s">
        <v>313</v>
      </c>
      <c r="B30" s="1" t="str">
        <f>IFERROR(__xludf.DUMMYFUNCTION("IFERROR(
  VLOOKUP(
    A30,
    IMPORTRANGE(
      ""1ZygntHC1J6IxzKbTidmOyf5nUyW4GCLurHCjexrLm_o"",
      ""HTMLキャッシュ!A:F""
    ),
    2,
    FALSE
  ),
  0
)
"),"SP")</f>
        <v>SP</v>
      </c>
      <c r="C30" s="1" t="str">
        <f>IFERROR(__xludf.DUMMYFUNCTION("IFERROR(
  VLOOKUP(
    A30,
    IMPORTRANGE(
      ""1ZygntHC1J6IxzKbTidmOyf5nUyW4GCLurHCjexrLm_o"",
      ""HTMLキャッシュ!A:F""
    ),
    5,
    FALSE
  ),
  0
)
"),"中学受験小5得点力強化完全個別指導講座｜オンライン塾対応")</f>
        <v>中学受験小5得点力強化完全個別指導講座｜オンライン塾対応</v>
      </c>
      <c r="D30" s="1" t="str">
        <f>IFERROR(__xludf.DUMMYFUNCTION("IFERROR(
  VLOOKUP(
    A30,
    IMPORTRANGE(
      ""1ZygntHC1J6IxzKbTidmOyf5nUyW4GCLurHCjexrLm_o        "",
      ""HTMLキャッシュ!A:F""
    ),
    6,
    FALSE
  ),
  0
)
"),"小5で伸び悩む算数・国語の得点力を完全個別で底上げ。毎週演習＋解説で定着し、オンライン体験相談受付中・今すぐ申込可無料")</f>
        <v>小5で伸び悩む算数・国語の得点力を完全個別で底上げ。毎週演習＋解説で定着し、オンライン体験相談受付中・今すぐ申込可無料</v>
      </c>
      <c r="E30" s="49">
        <f t="shared" ref="E30:F30" si="141">LEN(C30)</f>
        <v>28</v>
      </c>
      <c r="F30" s="49">
        <f t="shared" si="141"/>
        <v>59</v>
      </c>
      <c r="G30" s="32">
        <f>IFERROR(__xludf.DUMMYFUNCTION("IFERROR(
  VLOOKUP(
    A30,
    IMPORTRANGE(
      ""1ZygntHC1J6IxzKbTidmOyf5nUyW4GCLurHCjexrLm_o        "",
      ""HTMLキャッシュ!A:F""
    ),
    3,
    FALSE
  ),
  0
)
"),46081.79025462963)</f>
        <v>46081.79025</v>
      </c>
      <c r="H30" s="49">
        <f>IFERROR(__xludf.DUMMYFUNCTION("IFERROR(
  VLOOKUP(
    A30,
    IMPORTRANGE(
      ""1ZHMy3vVUd_0MrSduXTe1etBb1HNpAlGwQr006ljwMiM"",
      ""GSC最新!A:F""
    ),
    2,
    FALSE
  ),
  0
)
"),1.0)</f>
        <v>1</v>
      </c>
      <c r="I30" s="49">
        <f>IFERROR(__xludf.DUMMYFUNCTION("IFERROR(
  VLOOKUP(
    A30,
    IMPORTRANGE(
      ""1ZHMy3vVUd_0MrSduXTe1etBb1HNpAlGwQr006ljwMiM"",
      ""GSC最新!A:F""
    ),
    3,
    FALSE
  ),
  0
)
"),3.0)</f>
        <v>3</v>
      </c>
      <c r="J30" s="49">
        <f>IFERROR(__xludf.DUMMYFUNCTION("IFERROR(
  VLOOKUP(
    A30,
    IMPORTRANGE(
      ""1ZHMy3vVUd_0MrSduXTe1etBb1HNpAlGwQr006ljwMiM"",
      ""GSC最新!A:F""
    ),
    4,
    FALSE
  ),
  0
)
"),2.0)</f>
        <v>2</v>
      </c>
      <c r="K30" s="49">
        <f>IFERROR(__xludf.DUMMYFUNCTION("IFERROR(
  VLOOKUP(
    A30,
    IMPORTRANGE(
      ""1ZHMy3vVUd_0MrSduXTe1etBb1HNpAlGwQr006ljwMiM"",
      ""GSC最新!A:F""
    ),
    5,
    FALSE
  ),
  0
)
"),4.0)</f>
        <v>4</v>
      </c>
      <c r="L30" s="50">
        <f t="shared" ref="L30:M30" si="142">IFERROR(H30/J30,"-")</f>
        <v>0.5</v>
      </c>
      <c r="M30" s="50">
        <f t="shared" si="142"/>
        <v>0.75</v>
      </c>
      <c r="N30" s="6">
        <f>IFERROR(__xludf.DUMMYFUNCTION("IFERROR(
  VLOOKUP(
    A30,
    IMPORTRANGE(
      ""1ZHMy3vVUd_0MrSduXTe1etBb1HNpAlGwQr006ljwMiM"",
      ""GSC最新!A:R""
    ),
    7,
    FALSE
  ),
  0
)
"),30.0)</f>
        <v>30</v>
      </c>
      <c r="O30" s="6">
        <f>IFERROR(__xludf.DUMMYFUNCTION("IFERROR(
  VLOOKUP(
    A30,
    IMPORTRANGE(
      ""1ZHMy3vVUd_0MrSduXTe1etBb1HNpAlGwQr006ljwMiM"",
      ""GSC最新!A:R""
    ),
    10,
    FALSE
  ),
  0
)
"),78.0)</f>
        <v>78</v>
      </c>
      <c r="P30" s="6">
        <f>IFERROR(__xludf.DUMMYFUNCTION("IFERROR(
  VLOOKUP(
    A30,
    IMPORTRANGE(
      ""1ZHMy3vVUd_0MrSduXTe1etBb1HNpAlGwQr006ljwMiM"",
      ""GSC最新!A:R""
    ),
    13,
    FALSE
  ),
  0
)
"),30.0)</f>
        <v>30</v>
      </c>
      <c r="Q30" s="6">
        <f>IFERROR(__xludf.DUMMYFUNCTION("IFERROR(
  VLOOKUP(
    A30,
    IMPORTRANGE(
      ""1ZHMy3vVUd_0MrSduXTe1etBb1HNpAlGwQr006ljwMiM"",
      ""GSC最新!A:R""
    ),
    16,
    FALSE
  ),
  0
)
"),79.0)</f>
        <v>79</v>
      </c>
      <c r="R30" s="51">
        <f t="shared" ref="R30:S30" si="143">IFERROR(N30/P30,"-")</f>
        <v>1</v>
      </c>
      <c r="S30" s="51">
        <f t="shared" si="143"/>
        <v>0.9873417722</v>
      </c>
      <c r="T30" s="9">
        <f>IFERROR(__xludf.DUMMYFUNCTION("IFERROR(
  VLOOKUP(
    A30,
    IMPORTRANGE(
      ""1ZHMy3vVUd_0MrSduXTe1etBb1HNpAlGwQr006ljwMiM"",
      ""GSC最新!A:R""
    ),
    8,
    FALSE
  ),
  0
)
"),0.03333333333333333)</f>
        <v>0.03333333333</v>
      </c>
      <c r="U30" s="9">
        <f>IFERROR(__xludf.DUMMYFUNCTION("IFERROR(
  VLOOKUP(
    A30,
    IMPORTRANGE(
      ""1ZHMy3vVUd_0MrSduXTe1etBb1HNpAlGwQr006ljwMiM"",
      ""GSC最新!A:R""
    ),
    11,
    FALSE
  ),
  0
)
"),0.038461538461538464)</f>
        <v>0.03846153846</v>
      </c>
      <c r="V30" s="9">
        <f>IFERROR(__xludf.DUMMYFUNCTION("IFERROR(
  VLOOKUP(
    A30,
    IMPORTRANGE(
      ""1ZHMy3vVUd_0MrSduXTe1etBb1HNpAlGwQr006ljwMiM"",
      ""GSC最新!A:R""
    ),
    14,
    FALSE
  ),
  0
)
"),0.06666666666666667)</f>
        <v>0.06666666667</v>
      </c>
      <c r="W30" s="9">
        <f>IFERROR(__xludf.DUMMYFUNCTION("IFERROR(
  VLOOKUP(
    A30,
    IMPORTRANGE(
      ""1ZHMy3vVUd_0MrSduXTe1etBb1HNpAlGwQr006ljwMiM"",
      ""GSC最新!A:R""
    ),
    17,
    FALSE
  ),
  0
)
"),0.05063291139240506)</f>
        <v>0.05063291139</v>
      </c>
      <c r="X30" s="9">
        <f t="shared" ref="X30:Y30" si="144">IFERROR(T30-V30,"-")</f>
        <v>-0.03333333333</v>
      </c>
      <c r="Y30" s="9">
        <f t="shared" si="144"/>
        <v>-0.01217137293</v>
      </c>
      <c r="Z30" s="52">
        <f>IFERROR(__xludf.DUMMYFUNCTION("IFERROR(
  VLOOKUP(
    A30,
    IMPORTRANGE(
      ""1ZHMy3vVUd_0MrSduXTe1etBb1HNpAlGwQr006ljwMiM"",
      ""GSC最新!A:R""
    ),
    9,
    FALSE
  ),
  0
)
"),12.233333333333333)</f>
        <v>12.23333333</v>
      </c>
      <c r="AA30" s="52">
        <f>IFERROR(__xludf.DUMMYFUNCTION("IFERROR(
  VLOOKUP(
    A30,
    IMPORTRANGE(
      ""1ZHMy3vVUd_0MrSduXTe1etBb1HNpAlGwQr006ljwMiM"",
      ""GSC最新!A:R""
    ),
    12,
    FALSE
  ),
  0
)
"),8.448717948717949)</f>
        <v>8.448717949</v>
      </c>
      <c r="AB30" s="52">
        <f>IFERROR(__xludf.DUMMYFUNCTION("IFERROR(
  VLOOKUP(
    A30,
    IMPORTRANGE(
      ""1ZHMy3vVUd_0MrSduXTe1etBb1HNpAlGwQr006ljwMiM"",
      ""GSC最新!A:R""
    ),
    15,
    FALSE
  ),
  0
)
"),7.766666666666667)</f>
        <v>7.766666667</v>
      </c>
      <c r="AC30" s="52">
        <f>IFERROR(__xludf.DUMMYFUNCTION("IFERROR(
  VLOOKUP(
    A30,
    IMPORTRANGE(
      ""1ZHMy3vVUd_0MrSduXTe1etBb1HNpAlGwQr006ljwMiM"",
      ""GSC最新!A:R""
    ),
    18,
    FALSE
  ),
  0
)
"),7.493670886075949)</f>
        <v>7.493670886</v>
      </c>
      <c r="AD30" s="52">
        <f t="shared" ref="AD30:AE30" si="145">Z30-AB30</f>
        <v>4.466666667</v>
      </c>
      <c r="AE30" s="52">
        <f t="shared" si="145"/>
        <v>0.9550470626</v>
      </c>
      <c r="AF30" s="53">
        <f>IFERROR(__xludf.DUMMYFUNCTION("IFERROR(
  VLOOKUP(
    A30,
    IMPORTRANGE(
      ""1ZHMy3vVUd_0MrSduXTe1etBb1HNpAlGwQr006ljwMiM"",
      ""GSC最新!A:F""
    ),
    6,
    FALSE
  ),
  0
)
"),46081.0)</f>
        <v>46081</v>
      </c>
      <c r="AG30" s="54">
        <f>IFERROR(__xludf.DUMMYFUNCTION("IFERROR(
  VLOOKUP(
    A30,
    IMPORTRANGE(
      ""1SCYQd7_cobOYqT0r_F0IqD4tE4rYn5y8Eup4PJTH8es"",
      ""Snapshot!A:M""
    ),
    5,
    FALSE
  ),
  ""-""
)
"),3.0)</f>
        <v>3</v>
      </c>
      <c r="AH30" s="54">
        <f>IFERROR(__xludf.DUMMYFUNCTION("IFERROR(
  VLOOKUP(
    A30,
    IMPORTRANGE(
      ""1SCYQd7_cobOYqT0r_F0IqD4tE4rYn5y8Eup4PJTH8es"",
      ""Snapshot!A:M""
    ),
    6,
    FALSE
  ),
  0
)
"),14.0)</f>
        <v>14</v>
      </c>
      <c r="AI30" s="54">
        <f>IFERROR(__xludf.DUMMYFUNCTION("IFERROR(
  VLOOKUP(
    A30,
    IMPORTRANGE(
      ""1SCYQd7_cobOYqT0r_F0IqD4tE4rYn5y8Eup4PJTH8es"",
      ""Snapshot!A:M""
    ),
    7,
    FALSE
  ),
  0
)
"),2700.0)</f>
        <v>2700</v>
      </c>
      <c r="AJ30" s="54">
        <f>IFERROR(__xludf.DUMMYFUNCTION("IFERROR(
  VLOOKUP(
    A30,
    IMPORTRANGE(
      ""1SCYQd7_cobOYqT0r_F0IqD4tE4rYn5y8Eup4PJTH8es"",
      ""Snapshot!A:M""
    ),
    8,
    FALSE
  ),
  0
)
"),1.0)</f>
        <v>1</v>
      </c>
      <c r="AK30" s="54">
        <f>IFERROR(__xludf.DUMMYFUNCTION("IFERROR(
  VLOOKUP(
    A30,
    IMPORTRANGE(
      ""1SCYQd7_cobOYqT0r_F0IqD4tE4rYn5y8Eup4PJTH8es"",
      ""Snapshot!A:M""
    ),
    9,
    FALSE
  ),
  0
)
"),1.0)</f>
        <v>1</v>
      </c>
      <c r="AL30" s="54">
        <f>IFERROR(__xludf.DUMMYFUNCTION("IFERROR(
  VLOOKUP(
    A30,
    IMPORTRANGE(
      ""1SCYQd7_cobOYqT0r_F0IqD4tE4rYn5y8Eup4PJTH8es"",
      ""Snapshot!A:M""
    ),
    13,
    FALSE
  ),
  0
)
"),2.0)</f>
        <v>2</v>
      </c>
    </row>
    <row r="31">
      <c r="A31" s="56" t="s">
        <v>314</v>
      </c>
      <c r="B31" s="1" t="str">
        <f>IFERROR(__xludf.DUMMYFUNCTION("IFERROR(
  VLOOKUP(
    A31,
    IMPORTRANGE(
      ""1ZygntHC1J6IxzKbTidmOyf5nUyW4GCLurHCjexrLm_o"",
      ""HTMLキャッシュ!A:F""
    ),
    2,
    FALSE
  ),
  0
)
"),"SP")</f>
        <v>SP</v>
      </c>
      <c r="C31" s="1" t="str">
        <f>IFERROR(__xludf.DUMMYFUNCTION("IFERROR(
  VLOOKUP(
    A31,
    IMPORTRANGE(
      ""1ZygntHC1J6IxzKbTidmOyf5nUyW4GCLurHCjexrLm_o"",
      ""HTMLキャッシュ!A:F""
    ),
    5,
    FALSE
  ),
  0
)
"),"受験英語語彙強化の個別指導講座｜長文対応オンライン塾")</f>
        <v>受験英語語彙強化の個別指導講座｜長文対応オンライン塾</v>
      </c>
      <c r="D31" s="1" t="str">
        <f>IFERROR(__xludf.DUMMYFUNCTION("IFERROR(
  VLOOKUP(
    A31,
    IMPORTRANGE(
      ""1ZygntHC1J6IxzKbTidmOyf5nUyW4GCLurHCjexrLm_o        "",
      ""HTMLキャッシュ!A:F""
    ),
    6,
    FALSE
  ),
  0
)
"),"長文が読めない原因は語彙不足。頻出単語と熟語を個別指導で定着し、使える知識へ転換。オンライン体験受付中")</f>
        <v>長文が読めない原因は語彙不足。頻出単語と熟語を個別指導で定着し、使える知識へ転換。オンライン体験受付中</v>
      </c>
      <c r="E31" s="49">
        <f t="shared" ref="E31:F31" si="146">LEN(C31)</f>
        <v>26</v>
      </c>
      <c r="F31" s="49">
        <f t="shared" si="146"/>
        <v>51</v>
      </c>
      <c r="G31" s="32">
        <f>IFERROR(__xludf.DUMMYFUNCTION("IFERROR(
  VLOOKUP(
    A31,
    IMPORTRANGE(
      ""1ZygntHC1J6IxzKbTidmOyf5nUyW4GCLurHCjexrLm_o        "",
      ""HTMLキャッシュ!A:F""
    ),
    3,
    FALSE
  ),
  0
)
"),46081.77542824074)</f>
        <v>46081.77543</v>
      </c>
      <c r="H31" s="49">
        <f>IFERROR(__xludf.DUMMYFUNCTION("IFERROR(
  VLOOKUP(
    A31,
    IMPORTRANGE(
      ""1ZHMy3vVUd_0MrSduXTe1etBb1HNpAlGwQr006ljwMiM"",
      ""GSC最新!A:F""
    ),
    2,
    FALSE
  ),
  0
)
"),1.0)</f>
        <v>1</v>
      </c>
      <c r="I31" s="49">
        <f>IFERROR(__xludf.DUMMYFUNCTION("IFERROR(
  VLOOKUP(
    A31,
    IMPORTRANGE(
      ""1ZHMy3vVUd_0MrSduXTe1etBb1HNpAlGwQr006ljwMiM"",
      ""GSC最新!A:F""
    ),
    3,
    FALSE
  ),
  0
)
"),1.0)</f>
        <v>1</v>
      </c>
      <c r="J31" s="49">
        <f>IFERROR(__xludf.DUMMYFUNCTION("IFERROR(
  VLOOKUP(
    A31,
    IMPORTRANGE(
      ""1ZHMy3vVUd_0MrSduXTe1etBb1HNpAlGwQr006ljwMiM"",
      ""GSC最新!A:F""
    ),
    4,
    FALSE
  ),
  0
)
"),0.0)</f>
        <v>0</v>
      </c>
      <c r="K31" s="49">
        <f>IFERROR(__xludf.DUMMYFUNCTION("IFERROR(
  VLOOKUP(
    A31,
    IMPORTRANGE(
      ""1ZHMy3vVUd_0MrSduXTe1etBb1HNpAlGwQr006ljwMiM"",
      ""GSC最新!A:F""
    ),
    5,
    FALSE
  ),
  0
)
"),1.0)</f>
        <v>1</v>
      </c>
      <c r="L31" s="50" t="str">
        <f t="shared" ref="L31:M31" si="147">IFERROR(H31/J31,"-")</f>
        <v>-</v>
      </c>
      <c r="M31" s="50">
        <f t="shared" si="147"/>
        <v>1</v>
      </c>
      <c r="N31" s="6">
        <f>IFERROR(__xludf.DUMMYFUNCTION("IFERROR(
  VLOOKUP(
    A31,
    IMPORTRANGE(
      ""1ZHMy3vVUd_0MrSduXTe1etBb1HNpAlGwQr006ljwMiM"",
      ""GSC最新!A:R""
    ),
    7,
    FALSE
  ),
  0
)
"),47.0)</f>
        <v>47</v>
      </c>
      <c r="O31" s="6">
        <f>IFERROR(__xludf.DUMMYFUNCTION("IFERROR(
  VLOOKUP(
    A31,
    IMPORTRANGE(
      ""1ZHMy3vVUd_0MrSduXTe1etBb1HNpAlGwQr006ljwMiM"",
      ""GSC最新!A:R""
    ),
    10,
    FALSE
  ),
  0
)
"),77.0)</f>
        <v>77</v>
      </c>
      <c r="P31" s="6">
        <f>IFERROR(__xludf.DUMMYFUNCTION("IFERROR(
  VLOOKUP(
    A31,
    IMPORTRANGE(
      ""1ZHMy3vVUd_0MrSduXTe1etBb1HNpAlGwQr006ljwMiM"",
      ""GSC最新!A:R""
    ),
    13,
    FALSE
  ),
  0
)
"),9.0)</f>
        <v>9</v>
      </c>
      <c r="Q31" s="6">
        <f>IFERROR(__xludf.DUMMYFUNCTION("IFERROR(
  VLOOKUP(
    A31,
    IMPORTRANGE(
      ""1ZHMy3vVUd_0MrSduXTe1etBb1HNpAlGwQr006ljwMiM"",
      ""GSC最新!A:R""
    ),
    16,
    FALSE
  ),
  0
)
"),24.0)</f>
        <v>24</v>
      </c>
      <c r="R31" s="51">
        <f t="shared" ref="R31:S31" si="148">IFERROR(N31/P31,"-")</f>
        <v>5.222222222</v>
      </c>
      <c r="S31" s="51">
        <f t="shared" si="148"/>
        <v>3.208333333</v>
      </c>
      <c r="T31" s="9">
        <f>IFERROR(__xludf.DUMMYFUNCTION("IFERROR(
  VLOOKUP(
    A31,
    IMPORTRANGE(
      ""1ZHMy3vVUd_0MrSduXTe1etBb1HNpAlGwQr006ljwMiM"",
      ""GSC最新!A:R""
    ),
    8,
    FALSE
  ),
  0
)
"),0.02127659574468085)</f>
        <v>0.02127659574</v>
      </c>
      <c r="U31" s="9">
        <f>IFERROR(__xludf.DUMMYFUNCTION("IFERROR(
  VLOOKUP(
    A31,
    IMPORTRANGE(
      ""1ZHMy3vVUd_0MrSduXTe1etBb1HNpAlGwQr006ljwMiM"",
      ""GSC最新!A:R""
    ),
    11,
    FALSE
  ),
  0
)
"),0.012987012987012988)</f>
        <v>0.01298701299</v>
      </c>
      <c r="V31" s="9">
        <f>IFERROR(__xludf.DUMMYFUNCTION("IFERROR(
  VLOOKUP(
    A31,
    IMPORTRANGE(
      ""1ZHMy3vVUd_0MrSduXTe1etBb1HNpAlGwQr006ljwMiM"",
      ""GSC最新!A:R""
    ),
    14,
    FALSE
  ),
  0
)
"),0.0)</f>
        <v>0</v>
      </c>
      <c r="W31" s="9">
        <f>IFERROR(__xludf.DUMMYFUNCTION("IFERROR(
  VLOOKUP(
    A31,
    IMPORTRANGE(
      ""1ZHMy3vVUd_0MrSduXTe1etBb1HNpAlGwQr006ljwMiM"",
      ""GSC最新!A:R""
    ),
    17,
    FALSE
  ),
  0
)
"),0.041666666666666664)</f>
        <v>0.04166666667</v>
      </c>
      <c r="X31" s="9">
        <f t="shared" ref="X31:Y31" si="149">IFERROR(T31-V31,"-")</f>
        <v>0.02127659574</v>
      </c>
      <c r="Y31" s="9">
        <f t="shared" si="149"/>
        <v>-0.02867965368</v>
      </c>
      <c r="Z31" s="52">
        <f>IFERROR(__xludf.DUMMYFUNCTION("IFERROR(
  VLOOKUP(
    A31,
    IMPORTRANGE(
      ""1ZHMy3vVUd_0MrSduXTe1etBb1HNpAlGwQr006ljwMiM"",
      ""GSC最新!A:R""
    ),
    9,
    FALSE
  ),
  0
)
"),6.914893617021277)</f>
        <v>6.914893617</v>
      </c>
      <c r="AA31" s="52">
        <f>IFERROR(__xludf.DUMMYFUNCTION("IFERROR(
  VLOOKUP(
    A31,
    IMPORTRANGE(
      ""1ZHMy3vVUd_0MrSduXTe1etBb1HNpAlGwQr006ljwMiM"",
      ""GSC最新!A:R""
    ),
    12,
    FALSE
  ),
  0
)
"),6.207792207792208)</f>
        <v>6.207792208</v>
      </c>
      <c r="AB31" s="52">
        <f>IFERROR(__xludf.DUMMYFUNCTION("IFERROR(
  VLOOKUP(
    A31,
    IMPORTRANGE(
      ""1ZHMy3vVUd_0MrSduXTe1etBb1HNpAlGwQr006ljwMiM"",
      ""GSC最新!A:R""
    ),
    15,
    FALSE
  ),
  0
)
"),8.555555555555555)</f>
        <v>8.555555556</v>
      </c>
      <c r="AC31" s="52">
        <f>IFERROR(__xludf.DUMMYFUNCTION("IFERROR(
  VLOOKUP(
    A31,
    IMPORTRANGE(
      ""1ZHMy3vVUd_0MrSduXTe1etBb1HNpAlGwQr006ljwMiM"",
      ""GSC最新!A:R""
    ),
    18,
    FALSE
  ),
  0
)
"),12.083333333333334)</f>
        <v>12.08333333</v>
      </c>
      <c r="AD31" s="52">
        <f t="shared" ref="AD31:AE31" si="150">Z31-AB31</f>
        <v>-1.640661939</v>
      </c>
      <c r="AE31" s="52">
        <f t="shared" si="150"/>
        <v>-5.875541126</v>
      </c>
      <c r="AF31" s="53">
        <f>IFERROR(__xludf.DUMMYFUNCTION("IFERROR(
  VLOOKUP(
    A31,
    IMPORTRANGE(
      ""1ZHMy3vVUd_0MrSduXTe1etBb1HNpAlGwQr006ljwMiM"",
      ""GSC最新!A:F""
    ),
    6,
    FALSE
  ),
  0
)
"),46081.0)</f>
        <v>46081</v>
      </c>
      <c r="AG31" s="54">
        <f>IFERROR(__xludf.DUMMYFUNCTION("IFERROR(
  VLOOKUP(
    A31,
    IMPORTRANGE(
      ""1SCYQd7_cobOYqT0r_F0IqD4tE4rYn5y8Eup4PJTH8es"",
      ""Snapshot!A:M""
    ),
    5,
    FALSE
  ),
  ""-""
)
"),5.0)</f>
        <v>5</v>
      </c>
      <c r="AH31" s="54">
        <f>IFERROR(__xludf.DUMMYFUNCTION("IFERROR(
  VLOOKUP(
    A31,
    IMPORTRANGE(
      ""1SCYQd7_cobOYqT0r_F0IqD4tE4rYn5y8Eup4PJTH8es"",
      ""Snapshot!A:M""
    ),
    6,
    FALSE
  ),
  0
)
"),5.0)</f>
        <v>5</v>
      </c>
      <c r="AI31" s="54">
        <f>IFERROR(__xludf.DUMMYFUNCTION("IFERROR(
  VLOOKUP(
    A31,
    IMPORTRANGE(
      ""1SCYQd7_cobOYqT0r_F0IqD4tE4rYn5y8Eup4PJTH8es"",
      ""Snapshot!A:M""
    ),
    7,
    FALSE
  ),
  0
)
"),3109.0)</f>
        <v>3109</v>
      </c>
      <c r="AJ31" s="54">
        <f>IFERROR(__xludf.DUMMYFUNCTION("IFERROR(
  VLOOKUP(
    A31,
    IMPORTRANGE(
      ""1SCYQd7_cobOYqT0r_F0IqD4tE4rYn5y8Eup4PJTH8es"",
      ""Snapshot!A:M""
    ),
    8,
    FALSE
  ),
  0
)
"),2.0)</f>
        <v>2</v>
      </c>
      <c r="AK31" s="54">
        <f>IFERROR(__xludf.DUMMYFUNCTION("IFERROR(
  VLOOKUP(
    A31,
    IMPORTRANGE(
      ""1SCYQd7_cobOYqT0r_F0IqD4tE4rYn5y8Eup4PJTH8es"",
      ""Snapshot!A:M""
    ),
    9,
    FALSE
  ),
  0
)
"),1.0)</f>
        <v>1</v>
      </c>
      <c r="AL31" s="54">
        <f>IFERROR(__xludf.DUMMYFUNCTION("IFERROR(
  VLOOKUP(
    A31,
    IMPORTRANGE(
      ""1SCYQd7_cobOYqT0r_F0IqD4tE4rYn5y8Eup4PJTH8es"",
      ""Snapshot!A:M""
    ),
    13,
    FALSE
  ),
  0
)
"),1.0)</f>
        <v>1</v>
      </c>
    </row>
    <row r="32">
      <c r="A32" s="56" t="s">
        <v>315</v>
      </c>
      <c r="B32" s="1" t="str">
        <f>IFERROR(__xludf.DUMMYFUNCTION("IFERROR(
  VLOOKUP(
    A32,
    IMPORTRANGE(
      ""1ZygntHC1J6IxzKbTidmOyf5nUyW4GCLurHCjexrLm_o"",
      ""HTMLキャッシュ!A:F""
    ),
    2,
    FALSE
  ),
  0
)
"),"SP")</f>
        <v>SP</v>
      </c>
      <c r="C32" s="1" t="str">
        <f>IFERROR(__xludf.DUMMYFUNCTION("IFERROR(
  VLOOKUP(
    A32,
    IMPORTRANGE(
      ""1ZygntHC1J6IxzKbTidmOyf5nUyW4GCLurHCjexrLm_o"",
      ""HTMLキャッシュ!A:F""
    ),
    5,
    FALSE
  ),
  0
)
"),"中学受験小6算数直前仕上げ個別指導講座｜オンライン対応塾")</f>
        <v>中学受験小6算数直前仕上げ個別指導講座｜オンライン対応塾</v>
      </c>
      <c r="D32" s="1" t="str">
        <f>IFERROR(__xludf.DUMMYFUNCTION("IFERROR(
  VLOOKUP(
    A32,
    IMPORTRANGE(
      ""1ZygntHC1J6IxzKbTidmOyf5nUyW4GCLurHCjexrLm_o        "",
      ""HTMLキャッシュ!A:F""
    ),
    6,
    FALSE
  ),
  0
)
"),"入試直前に算数を4時間で総復習。確認テスト＋単元講義＋過去問演習を個別指導で定着。動画復習対応、オンライン受講受付中今すぐ相談可")</f>
        <v>入試直前に算数を4時間で総復習。確認テスト＋単元講義＋過去問演習を個別指導で定着。動画復習対応、オンライン受講受付中今すぐ相談可</v>
      </c>
      <c r="E32" s="49">
        <f t="shared" ref="E32:F32" si="151">LEN(C32)</f>
        <v>28</v>
      </c>
      <c r="F32" s="49">
        <f t="shared" si="151"/>
        <v>64</v>
      </c>
      <c r="G32" s="32">
        <f>IFERROR(__xludf.DUMMYFUNCTION("IFERROR(
  VLOOKUP(
    A32,
    IMPORTRANGE(
      ""1ZygntHC1J6IxzKbTidmOyf5nUyW4GCLurHCjexrLm_o        "",
      ""HTMLキャッシュ!A:F""
    ),
    3,
    FALSE
  ),
  0
)
"),46083.72116898148)</f>
        <v>46083.72117</v>
      </c>
      <c r="H32" s="49">
        <f>IFERROR(__xludf.DUMMYFUNCTION("IFERROR(
  VLOOKUP(
    A32,
    IMPORTRANGE(
      ""1ZHMy3vVUd_0MrSduXTe1etBb1HNpAlGwQr006ljwMiM"",
      ""GSC最新!A:F""
    ),
    2,
    FALSE
  ),
  0
)
"),0.0)</f>
        <v>0</v>
      </c>
      <c r="I32" s="49">
        <f>IFERROR(__xludf.DUMMYFUNCTION("IFERROR(
  VLOOKUP(
    A32,
    IMPORTRANGE(
      ""1ZHMy3vVUd_0MrSduXTe1etBb1HNpAlGwQr006ljwMiM"",
      ""GSC最新!A:F""
    ),
    3,
    FALSE
  ),
  0
)
"),3.0)</f>
        <v>3</v>
      </c>
      <c r="J32" s="49">
        <f>IFERROR(__xludf.DUMMYFUNCTION("IFERROR(
  VLOOKUP(
    A32,
    IMPORTRANGE(
      ""1ZHMy3vVUd_0MrSduXTe1etBb1HNpAlGwQr006ljwMiM"",
      ""GSC最新!A:F""
    ),
    4,
    FALSE
  ),
  0
)
"),0.0)</f>
        <v>0</v>
      </c>
      <c r="K32" s="49">
        <f>IFERROR(__xludf.DUMMYFUNCTION("IFERROR(
  VLOOKUP(
    A32,
    IMPORTRANGE(
      ""1ZHMy3vVUd_0MrSduXTe1etBb1HNpAlGwQr006ljwMiM"",
      ""GSC最新!A:F""
    ),
    5,
    FALSE
  ),
  0
)
"),2.0)</f>
        <v>2</v>
      </c>
      <c r="L32" s="50" t="str">
        <f t="shared" ref="L32:M32" si="152">IFERROR(H32/J32,"-")</f>
        <v>-</v>
      </c>
      <c r="M32" s="50">
        <f t="shared" si="152"/>
        <v>1.5</v>
      </c>
      <c r="N32" s="6">
        <f>IFERROR(__xludf.DUMMYFUNCTION("IFERROR(
  VLOOKUP(
    A32,
    IMPORTRANGE(
      ""1ZHMy3vVUd_0MrSduXTe1etBb1HNpAlGwQr006ljwMiM"",
      ""GSC最新!A:R""
    ),
    7,
    FALSE
  ),
  0
)
"),17.0)</f>
        <v>17</v>
      </c>
      <c r="O32" s="6">
        <f>IFERROR(__xludf.DUMMYFUNCTION("IFERROR(
  VLOOKUP(
    A32,
    IMPORTRANGE(
      ""1ZHMy3vVUd_0MrSduXTe1etBb1HNpAlGwQr006ljwMiM"",
      ""GSC最新!A:R""
    ),
    10,
    FALSE
  ),
  0
)
"),75.0)</f>
        <v>75</v>
      </c>
      <c r="P32" s="6">
        <f>IFERROR(__xludf.DUMMYFUNCTION("IFERROR(
  VLOOKUP(
    A32,
    IMPORTRANGE(
      ""1ZHMy3vVUd_0MrSduXTe1etBb1HNpAlGwQr006ljwMiM"",
      ""GSC最新!A:R""
    ),
    13,
    FALSE
  ),
  0
)
"),1.0)</f>
        <v>1</v>
      </c>
      <c r="Q32" s="6">
        <f>IFERROR(__xludf.DUMMYFUNCTION("IFERROR(
  VLOOKUP(
    A32,
    IMPORTRANGE(
      ""1ZHMy3vVUd_0MrSduXTe1etBb1HNpAlGwQr006ljwMiM"",
      ""GSC最新!A:R""
    ),
    16,
    FALSE
  ),
  0
)
"),20.0)</f>
        <v>20</v>
      </c>
      <c r="R32" s="51">
        <f t="shared" ref="R32:S32" si="153">IFERROR(N32/P32,"-")</f>
        <v>17</v>
      </c>
      <c r="S32" s="51">
        <f t="shared" si="153"/>
        <v>3.75</v>
      </c>
      <c r="T32" s="9">
        <f>IFERROR(__xludf.DUMMYFUNCTION("IFERROR(
  VLOOKUP(
    A32,
    IMPORTRANGE(
      ""1ZHMy3vVUd_0MrSduXTe1etBb1HNpAlGwQr006ljwMiM"",
      ""GSC最新!A:R""
    ),
    8,
    FALSE
  ),
  0
)
"),0.0)</f>
        <v>0</v>
      </c>
      <c r="U32" s="9">
        <f>IFERROR(__xludf.DUMMYFUNCTION("IFERROR(
  VLOOKUP(
    A32,
    IMPORTRANGE(
      ""1ZHMy3vVUd_0MrSduXTe1etBb1HNpAlGwQr006ljwMiM"",
      ""GSC最新!A:R""
    ),
    11,
    FALSE
  ),
  0
)
"),0.04)</f>
        <v>0.04</v>
      </c>
      <c r="V32" s="9">
        <f>IFERROR(__xludf.DUMMYFUNCTION("IFERROR(
  VLOOKUP(
    A32,
    IMPORTRANGE(
      ""1ZHMy3vVUd_0MrSduXTe1etBb1HNpAlGwQr006ljwMiM"",
      ""GSC最新!A:R""
    ),
    14,
    FALSE
  ),
  0
)
"),0.0)</f>
        <v>0</v>
      </c>
      <c r="W32" s="9">
        <f>IFERROR(__xludf.DUMMYFUNCTION("IFERROR(
  VLOOKUP(
    A32,
    IMPORTRANGE(
      ""1ZHMy3vVUd_0MrSduXTe1etBb1HNpAlGwQr006ljwMiM"",
      ""GSC最新!A:R""
    ),
    17,
    FALSE
  ),
  0
)
"),0.1)</f>
        <v>0.1</v>
      </c>
      <c r="X32" s="9">
        <f t="shared" ref="X32:Y32" si="154">IFERROR(T32-V32,"-")</f>
        <v>0</v>
      </c>
      <c r="Y32" s="9">
        <f t="shared" si="154"/>
        <v>-0.06</v>
      </c>
      <c r="Z32" s="52">
        <f>IFERROR(__xludf.DUMMYFUNCTION("IFERROR(
  VLOOKUP(
    A32,
    IMPORTRANGE(
      ""1ZHMy3vVUd_0MrSduXTe1etBb1HNpAlGwQr006ljwMiM"",
      ""GSC最新!A:R""
    ),
    9,
    FALSE
  ),
  0
)
"),10.352941176470589)</f>
        <v>10.35294118</v>
      </c>
      <c r="AA32" s="52">
        <f>IFERROR(__xludf.DUMMYFUNCTION("IFERROR(
  VLOOKUP(
    A32,
    IMPORTRANGE(
      ""1ZHMy3vVUd_0MrSduXTe1etBb1HNpAlGwQr006ljwMiM"",
      ""GSC最新!A:R""
    ),
    12,
    FALSE
  ),
  0
)
"),9.52)</f>
        <v>9.52</v>
      </c>
      <c r="AB32" s="52">
        <f>IFERROR(__xludf.DUMMYFUNCTION("IFERROR(
  VLOOKUP(
    A32,
    IMPORTRANGE(
      ""1ZHMy3vVUd_0MrSduXTe1etBb1HNpAlGwQr006ljwMiM"",
      ""GSC最新!A:R""
    ),
    15,
    FALSE
  ),
  0
)
"),5.0)</f>
        <v>5</v>
      </c>
      <c r="AC32" s="52">
        <f>IFERROR(__xludf.DUMMYFUNCTION("IFERROR(
  VLOOKUP(
    A32,
    IMPORTRANGE(
      ""1ZHMy3vVUd_0MrSduXTe1etBb1HNpAlGwQr006ljwMiM"",
      ""GSC最新!A:R""
    ),
    18,
    FALSE
  ),
  0
)
"),12.8)</f>
        <v>12.8</v>
      </c>
      <c r="AD32" s="52">
        <f t="shared" ref="AD32:AE32" si="155">Z32-AB32</f>
        <v>5.352941176</v>
      </c>
      <c r="AE32" s="52">
        <f t="shared" si="155"/>
        <v>-3.28</v>
      </c>
      <c r="AF32" s="53">
        <f>IFERROR(__xludf.DUMMYFUNCTION("IFERROR(
  VLOOKUP(
    A32,
    IMPORTRANGE(
      ""1ZHMy3vVUd_0MrSduXTe1etBb1HNpAlGwQr006ljwMiM"",
      ""GSC最新!A:F""
    ),
    6,
    FALSE
  ),
  0
)
"),46081.0)</f>
        <v>46081</v>
      </c>
      <c r="AG32" s="54">
        <f>IFERROR(__xludf.DUMMYFUNCTION("IFERROR(
  VLOOKUP(
    A32,
    IMPORTRANGE(
      ""1SCYQd7_cobOYqT0r_F0IqD4tE4rYn5y8Eup4PJTH8es"",
      ""Snapshot!A:M""
    ),
    5,
    FALSE
  ),
  ""-""
)
"),4.0)</f>
        <v>4</v>
      </c>
      <c r="AH32" s="54">
        <f>IFERROR(__xludf.DUMMYFUNCTION("IFERROR(
  VLOOKUP(
    A32,
    IMPORTRANGE(
      ""1SCYQd7_cobOYqT0r_F0IqD4tE4rYn5y8Eup4PJTH8es"",
      ""Snapshot!A:M""
    ),
    6,
    FALSE
  ),
  0
)
"),10.0)</f>
        <v>10</v>
      </c>
      <c r="AI32" s="54">
        <f>IFERROR(__xludf.DUMMYFUNCTION("IFERROR(
  VLOOKUP(
    A32,
    IMPORTRANGE(
      ""1SCYQd7_cobOYqT0r_F0IqD4tE4rYn5y8Eup4PJTH8es"",
      ""Snapshot!A:M""
    ),
    7,
    FALSE
  ),
  0
)
"),5110.0)</f>
        <v>5110</v>
      </c>
      <c r="AJ32" s="54">
        <f>IFERROR(__xludf.DUMMYFUNCTION("IFERROR(
  VLOOKUP(
    A32,
    IMPORTRANGE(
      ""1SCYQd7_cobOYqT0r_F0IqD4tE4rYn5y8Eup4PJTH8es"",
      ""Snapshot!A:M""
    ),
    8,
    FALSE
  ),
  0
)
"),2.0)</f>
        <v>2</v>
      </c>
      <c r="AK32" s="54">
        <f>IFERROR(__xludf.DUMMYFUNCTION("IFERROR(
  VLOOKUP(
    A32,
    IMPORTRANGE(
      ""1SCYQd7_cobOYqT0r_F0IqD4tE4rYn5y8Eup4PJTH8es"",
      ""Snapshot!A:M""
    ),
    9,
    FALSE
  ),
  0
)
"),1.0)</f>
        <v>1</v>
      </c>
      <c r="AL32" s="54">
        <f>IFERROR(__xludf.DUMMYFUNCTION("IFERROR(
  VLOOKUP(
    A32,
    IMPORTRANGE(
      ""1SCYQd7_cobOYqT0r_F0IqD4tE4rYn5y8Eup4PJTH8es"",
      ""Snapshot!A:M""
    ),
    13,
    FALSE
  ),
  0
)
"),1.0)</f>
        <v>1</v>
      </c>
    </row>
    <row r="33">
      <c r="A33" s="56" t="s">
        <v>316</v>
      </c>
      <c r="B33" s="1" t="str">
        <f>IFERROR(__xludf.DUMMYFUNCTION("IFERROR(
  VLOOKUP(
    A33,
    IMPORTRANGE(
      ""1ZygntHC1J6IxzKbTidmOyf5nUyW4GCLurHCjexrLm_o"",
      ""HTMLキャッシュ!A:F""
    ),
    2,
    FALSE
  ),
  0
)
"),"SP")</f>
        <v>SP</v>
      </c>
      <c r="C33" s="1" t="str">
        <f>IFERROR(__xludf.DUMMYFUNCTION("IFERROR(
  VLOOKUP(
    A33,
    IMPORTRANGE(
      ""1ZygntHC1J6IxzKbTidmOyf5nUyW4GCLurHCjexrLm_o"",
      ""HTMLキャッシュ!A:F""
    ),
    5,
    FALSE
  ),
  0
)
"),"大学受験私立大対策の国語個別指導講座｜得点力強化オンライン塾")</f>
        <v>大学受験私立大対策の国語個別指導講座｜得点力強化オンライン塾</v>
      </c>
      <c r="D33" s="1" t="str">
        <f>IFERROR(__xludf.DUMMYFUNCTION("IFERROR(
  VLOOKUP(
    A33,
    IMPORTRANGE(
      ""1ZygntHC1J6IxzKbTidmOyf5nUyW4GCLurHCjexrLm_o        "",
      ""HTMLキャッシュ!A:F""
    ),
    6,
    FALSE
  ),
  0
)
"),"私立大志望で国語が伸び悩む受験生へ。志望校別の個別指導で記述と読解を強化し合格点を安定。オンライン体験受付中")</f>
        <v>私立大志望で国語が伸び悩む受験生へ。志望校別の個別指導で記述と読解を強化し合格点を安定。オンライン体験受付中</v>
      </c>
      <c r="E33" s="49">
        <f t="shared" ref="E33:F33" si="156">LEN(C33)</f>
        <v>30</v>
      </c>
      <c r="F33" s="49">
        <f t="shared" si="156"/>
        <v>54</v>
      </c>
      <c r="G33" s="32">
        <f>IFERROR(__xludf.DUMMYFUNCTION("IFERROR(
  VLOOKUP(
    A33,
    IMPORTRANGE(
      ""1ZygntHC1J6IxzKbTidmOyf5nUyW4GCLurHCjexrLm_o        "",
      ""HTMLキャッシュ!A:F""
    ),
    3,
    FALSE
  ),
  0
)
"),46081.81190972222)</f>
        <v>46081.81191</v>
      </c>
      <c r="H33" s="49">
        <f>IFERROR(__xludf.DUMMYFUNCTION("IFERROR(
  VLOOKUP(
    A33,
    IMPORTRANGE(
      ""1ZHMy3vVUd_0MrSduXTe1etBb1HNpAlGwQr006ljwMiM"",
      ""GSC最新!A:F""
    ),
    2,
    FALSE
  ),
  0
)
"),1.0)</f>
        <v>1</v>
      </c>
      <c r="I33" s="49">
        <f>IFERROR(__xludf.DUMMYFUNCTION("IFERROR(
  VLOOKUP(
    A33,
    IMPORTRANGE(
      ""1ZHMy3vVUd_0MrSduXTe1etBb1HNpAlGwQr006ljwMiM"",
      ""GSC最新!A:F""
    ),
    3,
    FALSE
  ),
  0
)
"),1.0)</f>
        <v>1</v>
      </c>
      <c r="J33" s="49">
        <f>IFERROR(__xludf.DUMMYFUNCTION("IFERROR(
  VLOOKUP(
    A33,
    IMPORTRANGE(
      ""1ZHMy3vVUd_0MrSduXTe1etBb1HNpAlGwQr006ljwMiM"",
      ""GSC最新!A:F""
    ),
    4,
    FALSE
  ),
  0
)
"),1.0)</f>
        <v>1</v>
      </c>
      <c r="K33" s="49">
        <f>IFERROR(__xludf.DUMMYFUNCTION("IFERROR(
  VLOOKUP(
    A33,
    IMPORTRANGE(
      ""1ZHMy3vVUd_0MrSduXTe1etBb1HNpAlGwQr006ljwMiM"",
      ""GSC最新!A:F""
    ),
    5,
    FALSE
  ),
  0
)
"),1.0)</f>
        <v>1</v>
      </c>
      <c r="L33" s="50">
        <f t="shared" ref="L33:M33" si="157">IFERROR(H33/J33,"-")</f>
        <v>1</v>
      </c>
      <c r="M33" s="50">
        <f t="shared" si="157"/>
        <v>1</v>
      </c>
      <c r="N33" s="6">
        <f>IFERROR(__xludf.DUMMYFUNCTION("IFERROR(
  VLOOKUP(
    A33,
    IMPORTRANGE(
      ""1ZHMy3vVUd_0MrSduXTe1etBb1HNpAlGwQr006ljwMiM"",
      ""GSC最新!A:R""
    ),
    7,
    FALSE
  ),
  0
)
"),43.0)</f>
        <v>43</v>
      </c>
      <c r="O33" s="6">
        <f>IFERROR(__xludf.DUMMYFUNCTION("IFERROR(
  VLOOKUP(
    A33,
    IMPORTRANGE(
      ""1ZHMy3vVUd_0MrSduXTe1etBb1HNpAlGwQr006ljwMiM"",
      ""GSC最新!A:R""
    ),
    10,
    FALSE
  ),
  0
)
"),74.0)</f>
        <v>74</v>
      </c>
      <c r="P33" s="6">
        <f>IFERROR(__xludf.DUMMYFUNCTION("IFERROR(
  VLOOKUP(
    A33,
    IMPORTRANGE(
      ""1ZHMy3vVUd_0MrSduXTe1etBb1HNpAlGwQr006ljwMiM"",
      ""GSC最新!A:R""
    ),
    13,
    FALSE
  ),
  0
)
"),5.0)</f>
        <v>5</v>
      </c>
      <c r="Q33" s="6">
        <f>IFERROR(__xludf.DUMMYFUNCTION("IFERROR(
  VLOOKUP(
    A33,
    IMPORTRANGE(
      ""1ZHMy3vVUd_0MrSduXTe1etBb1HNpAlGwQr006ljwMiM"",
      ""GSC最新!A:R""
    ),
    16,
    FALSE
  ),
  0
)
"),15.0)</f>
        <v>15</v>
      </c>
      <c r="R33" s="51">
        <f t="shared" ref="R33:S33" si="158">IFERROR(N33/P33,"-")</f>
        <v>8.6</v>
      </c>
      <c r="S33" s="51">
        <f t="shared" si="158"/>
        <v>4.933333333</v>
      </c>
      <c r="T33" s="9">
        <f>IFERROR(__xludf.DUMMYFUNCTION("IFERROR(
  VLOOKUP(
    A33,
    IMPORTRANGE(
      ""1ZHMy3vVUd_0MrSduXTe1etBb1HNpAlGwQr006ljwMiM"",
      ""GSC最新!A:R""
    ),
    8,
    FALSE
  ),
  0
)
"),0.023255813953488372)</f>
        <v>0.02325581395</v>
      </c>
      <c r="U33" s="9">
        <f>IFERROR(__xludf.DUMMYFUNCTION("IFERROR(
  VLOOKUP(
    A33,
    IMPORTRANGE(
      ""1ZHMy3vVUd_0MrSduXTe1etBb1HNpAlGwQr006ljwMiM"",
      ""GSC最新!A:R""
    ),
    11,
    FALSE
  ),
  0
)
"),0.013513513513513514)</f>
        <v>0.01351351351</v>
      </c>
      <c r="V33" s="9">
        <f>IFERROR(__xludf.DUMMYFUNCTION("IFERROR(
  VLOOKUP(
    A33,
    IMPORTRANGE(
      ""1ZHMy3vVUd_0MrSduXTe1etBb1HNpAlGwQr006ljwMiM"",
      ""GSC最新!A:R""
    ),
    14,
    FALSE
  ),
  0
)
"),0.2)</f>
        <v>0.2</v>
      </c>
      <c r="W33" s="9">
        <f>IFERROR(__xludf.DUMMYFUNCTION("IFERROR(
  VLOOKUP(
    A33,
    IMPORTRANGE(
      ""1ZHMy3vVUd_0MrSduXTe1etBb1HNpAlGwQr006ljwMiM"",
      ""GSC最新!A:R""
    ),
    17,
    FALSE
  ),
  0
)
"),0.06666666666666667)</f>
        <v>0.06666666667</v>
      </c>
      <c r="X33" s="9">
        <f t="shared" ref="X33:Y33" si="159">IFERROR(T33-V33,"-")</f>
        <v>-0.176744186</v>
      </c>
      <c r="Y33" s="9">
        <f t="shared" si="159"/>
        <v>-0.05315315315</v>
      </c>
      <c r="Z33" s="52">
        <f>IFERROR(__xludf.DUMMYFUNCTION("IFERROR(
  VLOOKUP(
    A33,
    IMPORTRANGE(
      ""1ZHMy3vVUd_0MrSduXTe1etBb1HNpAlGwQr006ljwMiM"",
      ""GSC最新!A:R""
    ),
    9,
    FALSE
  ),
  0
)
"),17.441860465116278)</f>
        <v>17.44186047</v>
      </c>
      <c r="AA33" s="52">
        <f>IFERROR(__xludf.DUMMYFUNCTION("IFERROR(
  VLOOKUP(
    A33,
    IMPORTRANGE(
      ""1ZHMy3vVUd_0MrSduXTe1etBb1HNpAlGwQr006ljwMiM"",
      ""GSC最新!A:R""
    ),
    12,
    FALSE
  ),
  0
)
"),14.405405405405405)</f>
        <v>14.40540541</v>
      </c>
      <c r="AB33" s="52">
        <f>IFERROR(__xludf.DUMMYFUNCTION("IFERROR(
  VLOOKUP(
    A33,
    IMPORTRANGE(
      ""1ZHMy3vVUd_0MrSduXTe1etBb1HNpAlGwQr006ljwMiM"",
      ""GSC最新!A:R""
    ),
    15,
    FALSE
  ),
  0
)
"),9.2)</f>
        <v>9.2</v>
      </c>
      <c r="AC33" s="52">
        <f>IFERROR(__xludf.DUMMYFUNCTION("IFERROR(
  VLOOKUP(
    A33,
    IMPORTRANGE(
      ""1ZHMy3vVUd_0MrSduXTe1etBb1HNpAlGwQr006ljwMiM"",
      ""GSC最新!A:R""
    ),
    18,
    FALSE
  ),
  0
)
"),12.133333333333333)</f>
        <v>12.13333333</v>
      </c>
      <c r="AD33" s="52">
        <f t="shared" ref="AD33:AE33" si="160">Z33-AB33</f>
        <v>8.241860465</v>
      </c>
      <c r="AE33" s="52">
        <f t="shared" si="160"/>
        <v>2.272072072</v>
      </c>
      <c r="AF33" s="53">
        <f>IFERROR(__xludf.DUMMYFUNCTION("IFERROR(
  VLOOKUP(
    A33,
    IMPORTRANGE(
      ""1ZHMy3vVUd_0MrSduXTe1etBb1HNpAlGwQr006ljwMiM"",
      ""GSC最新!A:F""
    ),
    6,
    FALSE
  ),
  0
)
"),46081.0)</f>
        <v>46081</v>
      </c>
      <c r="AG33" s="54">
        <f>IFERROR(__xludf.DUMMYFUNCTION("IFERROR(
  VLOOKUP(
    A33,
    IMPORTRANGE(
      ""1SCYQd7_cobOYqT0r_F0IqD4tE4rYn5y8Eup4PJTH8es"",
      ""Snapshot!A:M""
    ),
    5,
    FALSE
  ),
  ""-""
)
"),9.0)</f>
        <v>9</v>
      </c>
      <c r="AH33" s="54">
        <f>IFERROR(__xludf.DUMMYFUNCTION("IFERROR(
  VLOOKUP(
    A33,
    IMPORTRANGE(
      ""1SCYQd7_cobOYqT0r_F0IqD4tE4rYn5y8Eup4PJTH8es"",
      ""Snapshot!A:M""
    ),
    6,
    FALSE
  ),
  0
)
"),10.0)</f>
        <v>10</v>
      </c>
      <c r="AI33" s="54">
        <f>IFERROR(__xludf.DUMMYFUNCTION("IFERROR(
  VLOOKUP(
    A33,
    IMPORTRANGE(
      ""1SCYQd7_cobOYqT0r_F0IqD4tE4rYn5y8Eup4PJTH8es"",
      ""Snapshot!A:M""
    ),
    7,
    FALSE
  ),
  0
)
"),1857.0)</f>
        <v>1857</v>
      </c>
      <c r="AJ33" s="54">
        <f>IFERROR(__xludf.DUMMYFUNCTION("IFERROR(
  VLOOKUP(
    A33,
    IMPORTRANGE(
      ""1SCYQd7_cobOYqT0r_F0IqD4tE4rYn5y8Eup4PJTH8es"",
      ""Snapshot!A:M""
    ),
    8,
    FALSE
  ),
  0
)
"),1.0)</f>
        <v>1</v>
      </c>
      <c r="AK33" s="54">
        <f>IFERROR(__xludf.DUMMYFUNCTION("IFERROR(
  VLOOKUP(
    A33,
    IMPORTRANGE(
      ""1SCYQd7_cobOYqT0r_F0IqD4tE4rYn5y8Eup4PJTH8es"",
      ""Snapshot!A:M""
    ),
    9,
    FALSE
  ),
  0
)
"),1.0)</f>
        <v>1</v>
      </c>
      <c r="AL33" s="54">
        <f>IFERROR(__xludf.DUMMYFUNCTION("IFERROR(
  VLOOKUP(
    A33,
    IMPORTRANGE(
      ""1SCYQd7_cobOYqT0r_F0IqD4tE4rYn5y8Eup4PJTH8es"",
      ""Snapshot!A:M""
    ),
    13,
    FALSE
  ),
  0
)
"),2.0)</f>
        <v>2</v>
      </c>
    </row>
    <row r="34">
      <c r="A34" s="57" t="s">
        <v>317</v>
      </c>
      <c r="B34" s="1" t="str">
        <f>IFERROR(__xludf.DUMMYFUNCTION("IFERROR(
  VLOOKUP(
    A34,
    IMPORTRANGE(
      ""1ZygntHC1J6IxzKbTidmOyf5nUyW4GCLurHCjexrLm_o"",
      ""HTMLキャッシュ!A:F""
    ),
    2,
    FALSE
  ),
  0
)
"),"SP")</f>
        <v>SP</v>
      </c>
      <c r="C34" s="1" t="str">
        <f>IFERROR(__xludf.DUMMYFUNCTION("IFERROR(
  VLOOKUP(
    A34,
    IMPORTRANGE(
      ""1ZygntHC1J6IxzKbTidmOyf5nUyW4GCLurHCjexrLm_o"",
      ""HTMLキャッシュ!A:F""
    ),
    5,
    FALSE
  ),
  0
)
"),"高校受験英語文法復習の個別指導講座｜基礎定着オンライン塾")</f>
        <v>高校受験英語文法復習の個別指導講座｜基礎定着オンライン塾</v>
      </c>
      <c r="D34" s="1" t="str">
        <f>IFERROR(__xludf.DUMMYFUNCTION("IFERROR(
  VLOOKUP(
    A34,
    IMPORTRANGE(
      ""1ZygntHC1J6IxzKbTidmOyf5nUyW4GCLurHCjexrLm_o        "",
      ""HTMLキャッシュ!A:F""
    ),
    6,
    FALSE
  ),
  0
)
"),"文法があいまいで失点しやすい受験生へ。重要事項を個別指導で整理し基礎から定着。定期試験・入試対応、オンライン体験受付中")</f>
        <v>文法があいまいで失点しやすい受験生へ。重要事項を個別指導で整理し基礎から定着。定期試験・入試対応、オンライン体験受付中</v>
      </c>
      <c r="E34" s="49">
        <f t="shared" ref="E34:F34" si="161">LEN(C34)</f>
        <v>28</v>
      </c>
      <c r="F34" s="49">
        <f t="shared" si="161"/>
        <v>59</v>
      </c>
      <c r="G34" s="32">
        <f>IFERROR(__xludf.DUMMYFUNCTION("IFERROR(
  VLOOKUP(
    A34,
    IMPORTRANGE(
      ""1ZygntHC1J6IxzKbTidmOyf5nUyW4GCLurHCjexrLm_o        "",
      ""HTMLキャッシュ!A:F""
    ),
    3,
    FALSE
  ),
  0
)
"),46081.71775462963)</f>
        <v>46081.71775</v>
      </c>
      <c r="H34" s="49">
        <f>IFERROR(__xludf.DUMMYFUNCTION("IFERROR(
  VLOOKUP(
    A34,
    IMPORTRANGE(
      ""1ZHMy3vVUd_0MrSduXTe1etBb1HNpAlGwQr006ljwMiM"",
      ""GSC最新!A:F""
    ),
    2,
    FALSE
  ),
  0
)
"),0.0)</f>
        <v>0</v>
      </c>
      <c r="I34" s="49">
        <f>IFERROR(__xludf.DUMMYFUNCTION("IFERROR(
  VLOOKUP(
    A34,
    IMPORTRANGE(
      ""1ZHMy3vVUd_0MrSduXTe1etBb1HNpAlGwQr006ljwMiM"",
      ""GSC最新!A:F""
    ),
    3,
    FALSE
  ),
  0
)
"),0.0)</f>
        <v>0</v>
      </c>
      <c r="J34" s="49">
        <f>IFERROR(__xludf.DUMMYFUNCTION("IFERROR(
  VLOOKUP(
    A34,
    IMPORTRANGE(
      ""1ZHMy3vVUd_0MrSduXTe1etBb1HNpAlGwQr006ljwMiM"",
      ""GSC最新!A:F""
    ),
    4,
    FALSE
  ),
  0
)
"),1.0)</f>
        <v>1</v>
      </c>
      <c r="K34" s="49">
        <f>IFERROR(__xludf.DUMMYFUNCTION("IFERROR(
  VLOOKUP(
    A34,
    IMPORTRANGE(
      ""1ZHMy3vVUd_0MrSduXTe1etBb1HNpAlGwQr006ljwMiM"",
      ""GSC最新!A:F""
    ),
    5,
    FALSE
  ),
  0
)
"),1.0)</f>
        <v>1</v>
      </c>
      <c r="L34" s="50">
        <f t="shared" ref="L34:M34" si="162">IFERROR(H34/J34,"-")</f>
        <v>0</v>
      </c>
      <c r="M34" s="50">
        <f t="shared" si="162"/>
        <v>0</v>
      </c>
      <c r="N34" s="6">
        <f>IFERROR(__xludf.DUMMYFUNCTION("IFERROR(
  VLOOKUP(
    A34,
    IMPORTRANGE(
      ""1ZHMy3vVUd_0MrSduXTe1etBb1HNpAlGwQr006ljwMiM"",
      ""GSC最新!A:R""
    ),
    7,
    FALSE
  ),
  0
)
"),44.0)</f>
        <v>44</v>
      </c>
      <c r="O34" s="6">
        <f>IFERROR(__xludf.DUMMYFUNCTION("IFERROR(
  VLOOKUP(
    A34,
    IMPORTRANGE(
      ""1ZHMy3vVUd_0MrSduXTe1etBb1HNpAlGwQr006ljwMiM"",
      ""GSC最新!A:R""
    ),
    10,
    FALSE
  ),
  0
)
"),73.0)</f>
        <v>73</v>
      </c>
      <c r="P34" s="6">
        <f>IFERROR(__xludf.DUMMYFUNCTION("IFERROR(
  VLOOKUP(
    A34,
    IMPORTRANGE(
      ""1ZHMy3vVUd_0MrSduXTe1etBb1HNpAlGwQr006ljwMiM"",
      ""GSC最新!A:R""
    ),
    13,
    FALSE
  ),
  0
)
"),31.0)</f>
        <v>31</v>
      </c>
      <c r="Q34" s="6">
        <f>IFERROR(__xludf.DUMMYFUNCTION("IFERROR(
  VLOOKUP(
    A34,
    IMPORTRANGE(
      ""1ZHMy3vVUd_0MrSduXTe1etBb1HNpAlGwQr006ljwMiM"",
      ""GSC最新!A:R""
    ),
    16,
    FALSE
  ),
  0
)
"),106.0)</f>
        <v>106</v>
      </c>
      <c r="R34" s="51">
        <f t="shared" ref="R34:S34" si="163">IFERROR(N34/P34,"-")</f>
        <v>1.419354839</v>
      </c>
      <c r="S34" s="51">
        <f t="shared" si="163"/>
        <v>0.6886792453</v>
      </c>
      <c r="T34" s="9">
        <f>IFERROR(__xludf.DUMMYFUNCTION("IFERROR(
  VLOOKUP(
    A34,
    IMPORTRANGE(
      ""1ZHMy3vVUd_0MrSduXTe1etBb1HNpAlGwQr006ljwMiM"",
      ""GSC最新!A:R""
    ),
    8,
    FALSE
  ),
  0
)
"),0.0)</f>
        <v>0</v>
      </c>
      <c r="U34" s="9">
        <f>IFERROR(__xludf.DUMMYFUNCTION("IFERROR(
  VLOOKUP(
    A34,
    IMPORTRANGE(
      ""1ZHMy3vVUd_0MrSduXTe1etBb1HNpAlGwQr006ljwMiM"",
      ""GSC最新!A:R""
    ),
    11,
    FALSE
  ),
  0
)
"),0.0)</f>
        <v>0</v>
      </c>
      <c r="V34" s="9">
        <f>IFERROR(__xludf.DUMMYFUNCTION("IFERROR(
  VLOOKUP(
    A34,
    IMPORTRANGE(
      ""1ZHMy3vVUd_0MrSduXTe1etBb1HNpAlGwQr006ljwMiM"",
      ""GSC最新!A:R""
    ),
    14,
    FALSE
  ),
  0
)
"),0.03225806451612903)</f>
        <v>0.03225806452</v>
      </c>
      <c r="W34" s="9">
        <f>IFERROR(__xludf.DUMMYFUNCTION("IFERROR(
  VLOOKUP(
    A34,
    IMPORTRANGE(
      ""1ZHMy3vVUd_0MrSduXTe1etBb1HNpAlGwQr006ljwMiM"",
      ""GSC最新!A:R""
    ),
    17,
    FALSE
  ),
  0
)
"),0.009433962264150943)</f>
        <v>0.009433962264</v>
      </c>
      <c r="X34" s="9">
        <f t="shared" ref="X34:Y34" si="164">IFERROR(T34-V34,"-")</f>
        <v>-0.03225806452</v>
      </c>
      <c r="Y34" s="9">
        <f t="shared" si="164"/>
        <v>-0.009433962264</v>
      </c>
      <c r="Z34" s="52">
        <f>IFERROR(__xludf.DUMMYFUNCTION("IFERROR(
  VLOOKUP(
    A34,
    IMPORTRANGE(
      ""1ZHMy3vVUd_0MrSduXTe1etBb1HNpAlGwQr006ljwMiM"",
      ""GSC最新!A:R""
    ),
    9,
    FALSE
  ),
  0
)
"),12.727272727272727)</f>
        <v>12.72727273</v>
      </c>
      <c r="AA34" s="52">
        <f>IFERROR(__xludf.DUMMYFUNCTION("IFERROR(
  VLOOKUP(
    A34,
    IMPORTRANGE(
      ""1ZHMy3vVUd_0MrSduXTe1etBb1HNpAlGwQr006ljwMiM"",
      ""GSC最新!A:R""
    ),
    12,
    FALSE
  ),
  0
)
"),11.438356164383562)</f>
        <v>11.43835616</v>
      </c>
      <c r="AB34" s="52">
        <f>IFERROR(__xludf.DUMMYFUNCTION("IFERROR(
  VLOOKUP(
    A34,
    IMPORTRANGE(
      ""1ZHMy3vVUd_0MrSduXTe1etBb1HNpAlGwQr006ljwMiM"",
      ""GSC最新!A:R""
    ),
    15,
    FALSE
  ),
  0
)
"),18.967741935483872)</f>
        <v>18.96774194</v>
      </c>
      <c r="AC34" s="52">
        <f>IFERROR(__xludf.DUMMYFUNCTION("IFERROR(
  VLOOKUP(
    A34,
    IMPORTRANGE(
      ""1ZHMy3vVUd_0MrSduXTe1etBb1HNpAlGwQr006ljwMiM"",
      ""GSC最新!A:R""
    ),
    18,
    FALSE
  ),
  0
)
"),26.358490566037737)</f>
        <v>26.35849057</v>
      </c>
      <c r="AD34" s="52">
        <f t="shared" ref="AD34:AE34" si="165">Z34-AB34</f>
        <v>-6.240469208</v>
      </c>
      <c r="AE34" s="52">
        <f t="shared" si="165"/>
        <v>-14.9201344</v>
      </c>
      <c r="AF34" s="53">
        <f>IFERROR(__xludf.DUMMYFUNCTION("IFERROR(
  VLOOKUP(
    A34,
    IMPORTRANGE(
      ""1ZHMy3vVUd_0MrSduXTe1etBb1HNpAlGwQr006ljwMiM"",
      ""GSC最新!A:F""
    ),
    6,
    FALSE
  ),
  0
)
"),46081.0)</f>
        <v>46081</v>
      </c>
      <c r="AG34" s="54">
        <f>IFERROR(__xludf.DUMMYFUNCTION("IFERROR(
  VLOOKUP(
    A34,
    IMPORTRANGE(
      ""1SCYQd7_cobOYqT0r_F0IqD4tE4rYn5y8Eup4PJTH8es"",
      ""Snapshot!A:M""
    ),
    5,
    FALSE
  ),
  ""-""
)
"),4.0)</f>
        <v>4</v>
      </c>
      <c r="AH34" s="54">
        <f>IFERROR(__xludf.DUMMYFUNCTION("IFERROR(
  VLOOKUP(
    A34,
    IMPORTRANGE(
      ""1SCYQd7_cobOYqT0r_F0IqD4tE4rYn5y8Eup4PJTH8es"",
      ""Snapshot!A:M""
    ),
    6,
    FALSE
  ),
  0
)
"),6.0)</f>
        <v>6</v>
      </c>
      <c r="AI34" s="54">
        <f>IFERROR(__xludf.DUMMYFUNCTION("IFERROR(
  VLOOKUP(
    A34,
    IMPORTRANGE(
      ""1SCYQd7_cobOYqT0r_F0IqD4tE4rYn5y8Eup4PJTH8es"",
      ""Snapshot!A:M""
    ),
    7,
    FALSE
  ),
  0
)
"),3565.0)</f>
        <v>3565</v>
      </c>
      <c r="AJ34" s="54">
        <f>IFERROR(__xludf.DUMMYFUNCTION("IFERROR(
  VLOOKUP(
    A34,
    IMPORTRANGE(
      ""1SCYQd7_cobOYqT0r_F0IqD4tE4rYn5y8Eup4PJTH8es"",
      ""Snapshot!A:M""
    ),
    8,
    FALSE
  ),
  0
)
"),1.0)</f>
        <v>1</v>
      </c>
      <c r="AK34" s="54">
        <f>IFERROR(__xludf.DUMMYFUNCTION("IFERROR(
  VLOOKUP(
    A34,
    IMPORTRANGE(
      ""1SCYQd7_cobOYqT0r_F0IqD4tE4rYn5y8Eup4PJTH8es"",
      ""Snapshot!A:M""
    ),
    9,
    FALSE
  ),
  0
)
"),1.0)</f>
        <v>1</v>
      </c>
      <c r="AL34" s="54">
        <f>IFERROR(__xludf.DUMMYFUNCTION("IFERROR(
  VLOOKUP(
    A34,
    IMPORTRANGE(
      ""1SCYQd7_cobOYqT0r_F0IqD4tE4rYn5y8Eup4PJTH8es"",
      ""Snapshot!A:M""
    ),
    13,
    FALSE
  ),
  0
)
"),1.0)</f>
        <v>1</v>
      </c>
    </row>
    <row r="35">
      <c r="A35" s="57" t="s">
        <v>318</v>
      </c>
      <c r="B35" s="1" t="str">
        <f>IFERROR(__xludf.DUMMYFUNCTION("IFERROR(
  VLOOKUP(
    A35,
    IMPORTRANGE(
      ""1ZygntHC1J6IxzKbTidmOyf5nUyW4GCLurHCjexrLm_o"",
      ""HTMLキャッシュ!A:F""
    ),
    2,
    FALSE
  ),
  0
)
"),"SP")</f>
        <v>SP</v>
      </c>
      <c r="C35" s="1" t="str">
        <f>IFERROR(__xludf.DUMMYFUNCTION("IFERROR(
  VLOOKUP(
    A35,
    IMPORTRANGE(
      ""1ZygntHC1J6IxzKbTidmOyf5nUyW4GCLurHCjexrLm_o"",
      ""HTMLキャッシュ!A:F""
    ),
    5,
    FALSE
  ),
  0
)
"),"大学受験国語の個別指導講座｜現代文小論文で得点化する塾")</f>
        <v>大学受験国語の個別指導講座｜現代文小論文で得点化する塾</v>
      </c>
      <c r="D35" s="1" t="str">
        <f>IFERROR(__xludf.DUMMYFUNCTION("IFERROR(
  VLOOKUP(
    A35,
    IMPORTRANGE(
      ""1ZygntHC1J6IxzKbTidmOyf5nUyW4GCLurHCjexrLm_o        "",
      ""HTMLキャッシュ!A:F""
    ),
    6,
    FALSE
  ),
  0
)
"),"現代文や小論文が伸びない受験生向け。志望校別の完全1対1個別指導で論理読解を定着し得点力を強化。オンライン体験受付中")</f>
        <v>現代文や小論文が伸びない受験生向け。志望校別の完全1対1個別指導で論理読解を定着し得点力を強化。オンライン体験受付中</v>
      </c>
      <c r="E35" s="49">
        <f t="shared" ref="E35:F35" si="166">LEN(C35)</f>
        <v>27</v>
      </c>
      <c r="F35" s="49">
        <f t="shared" si="166"/>
        <v>58</v>
      </c>
      <c r="G35" s="32">
        <f>IFERROR(__xludf.DUMMYFUNCTION("IFERROR(
  VLOOKUP(
    A35,
    IMPORTRANGE(
      ""1ZygntHC1J6IxzKbTidmOyf5nUyW4GCLurHCjexrLm_o        "",
      ""HTMLキャッシュ!A:F""
    ),
    3,
    FALSE
  ),
  0
)
"),46081.76253472222)</f>
        <v>46081.76253</v>
      </c>
      <c r="H35" s="49">
        <f>IFERROR(__xludf.DUMMYFUNCTION("IFERROR(
  VLOOKUP(
    A35,
    IMPORTRANGE(
      ""1ZHMy3vVUd_0MrSduXTe1etBb1HNpAlGwQr006ljwMiM"",
      ""GSC最新!A:F""
    ),
    2,
    FALSE
  ),
  0
)
"),3.0)</f>
        <v>3</v>
      </c>
      <c r="I35" s="49">
        <f>IFERROR(__xludf.DUMMYFUNCTION("IFERROR(
  VLOOKUP(
    A35,
    IMPORTRANGE(
      ""1ZHMy3vVUd_0MrSduXTe1etBb1HNpAlGwQr006ljwMiM"",
      ""GSC最新!A:F""
    ),
    3,
    FALSE
  ),
  0
)
"),4.0)</f>
        <v>4</v>
      </c>
      <c r="J35" s="49">
        <f>IFERROR(__xludf.DUMMYFUNCTION("IFERROR(
  VLOOKUP(
    A35,
    IMPORTRANGE(
      ""1ZHMy3vVUd_0MrSduXTe1etBb1HNpAlGwQr006ljwMiM"",
      ""GSC最新!A:F""
    ),
    4,
    FALSE
  ),
  0
)
"),1.0)</f>
        <v>1</v>
      </c>
      <c r="K35" s="49">
        <f>IFERROR(__xludf.DUMMYFUNCTION("IFERROR(
  VLOOKUP(
    A35,
    IMPORTRANGE(
      ""1ZHMy3vVUd_0MrSduXTe1etBb1HNpAlGwQr006ljwMiM"",
      ""GSC最新!A:F""
    ),
    5,
    FALSE
  ),
  0
)
"),1.0)</f>
        <v>1</v>
      </c>
      <c r="L35" s="50">
        <f t="shared" ref="L35:M35" si="167">IFERROR(H35/J35,"-")</f>
        <v>3</v>
      </c>
      <c r="M35" s="50">
        <f t="shared" si="167"/>
        <v>4</v>
      </c>
      <c r="N35" s="6">
        <f>IFERROR(__xludf.DUMMYFUNCTION("IFERROR(
  VLOOKUP(
    A35,
    IMPORTRANGE(
      ""1ZHMy3vVUd_0MrSduXTe1etBb1HNpAlGwQr006ljwMiM"",
      ""GSC最新!A:R""
    ),
    7,
    FALSE
  ),
  0
)
"),25.0)</f>
        <v>25</v>
      </c>
      <c r="O35" s="6">
        <f>IFERROR(__xludf.DUMMYFUNCTION("IFERROR(
  VLOOKUP(
    A35,
    IMPORTRANGE(
      ""1ZHMy3vVUd_0MrSduXTe1etBb1HNpAlGwQr006ljwMiM"",
      ""GSC最新!A:R""
    ),
    10,
    FALSE
  ),
  0
)
"),71.0)</f>
        <v>71</v>
      </c>
      <c r="P35" s="6">
        <f>IFERROR(__xludf.DUMMYFUNCTION("IFERROR(
  VLOOKUP(
    A35,
    IMPORTRANGE(
      ""1ZHMy3vVUd_0MrSduXTe1etBb1HNpAlGwQr006ljwMiM"",
      ""GSC最新!A:R""
    ),
    13,
    FALSE
  ),
  0
)
"),21.0)</f>
        <v>21</v>
      </c>
      <c r="Q35" s="6">
        <f>IFERROR(__xludf.DUMMYFUNCTION("IFERROR(
  VLOOKUP(
    A35,
    IMPORTRANGE(
      ""1ZHMy3vVUd_0MrSduXTe1etBb1HNpAlGwQr006ljwMiM"",
      ""GSC最新!A:R""
    ),
    16,
    FALSE
  ),
  0
)
"),56.0)</f>
        <v>56</v>
      </c>
      <c r="R35" s="51">
        <f t="shared" ref="R35:S35" si="168">IFERROR(N35/P35,"-")</f>
        <v>1.19047619</v>
      </c>
      <c r="S35" s="51">
        <f t="shared" si="168"/>
        <v>1.267857143</v>
      </c>
      <c r="T35" s="9">
        <f>IFERROR(__xludf.DUMMYFUNCTION("IFERROR(
  VLOOKUP(
    A35,
    IMPORTRANGE(
      ""1ZHMy3vVUd_0MrSduXTe1etBb1HNpAlGwQr006ljwMiM"",
      ""GSC最新!A:R""
    ),
    8,
    FALSE
  ),
  0
)
"),0.12)</f>
        <v>0.12</v>
      </c>
      <c r="U35" s="9">
        <f>IFERROR(__xludf.DUMMYFUNCTION("IFERROR(
  VLOOKUP(
    A35,
    IMPORTRANGE(
      ""1ZHMy3vVUd_0MrSduXTe1etBb1HNpAlGwQr006ljwMiM"",
      ""GSC最新!A:R""
    ),
    11,
    FALSE
  ),
  0
)
"),0.056338028169014086)</f>
        <v>0.05633802817</v>
      </c>
      <c r="V35" s="9">
        <f>IFERROR(__xludf.DUMMYFUNCTION("IFERROR(
  VLOOKUP(
    A35,
    IMPORTRANGE(
      ""1ZHMy3vVUd_0MrSduXTe1etBb1HNpAlGwQr006ljwMiM"",
      ""GSC最新!A:R""
    ),
    14,
    FALSE
  ),
  0
)
"),0.047619047619047616)</f>
        <v>0.04761904762</v>
      </c>
      <c r="W35" s="9">
        <f>IFERROR(__xludf.DUMMYFUNCTION("IFERROR(
  VLOOKUP(
    A35,
    IMPORTRANGE(
      ""1ZHMy3vVUd_0MrSduXTe1etBb1HNpAlGwQr006ljwMiM"",
      ""GSC最新!A:R""
    ),
    17,
    FALSE
  ),
  0
)
"),0.017857142857142856)</f>
        <v>0.01785714286</v>
      </c>
      <c r="X35" s="9">
        <f t="shared" ref="X35:Y35" si="169">IFERROR(T35-V35,"-")</f>
        <v>0.07238095238</v>
      </c>
      <c r="Y35" s="9">
        <f t="shared" si="169"/>
        <v>0.03848088531</v>
      </c>
      <c r="Z35" s="52">
        <f>IFERROR(__xludf.DUMMYFUNCTION("IFERROR(
  VLOOKUP(
    A35,
    IMPORTRANGE(
      ""1ZHMy3vVUd_0MrSduXTe1etBb1HNpAlGwQr006ljwMiM"",
      ""GSC最新!A:R""
    ),
    9,
    FALSE
  ),
  0
)
"),10.92)</f>
        <v>10.92</v>
      </c>
      <c r="AA35" s="52">
        <f>IFERROR(__xludf.DUMMYFUNCTION("IFERROR(
  VLOOKUP(
    A35,
    IMPORTRANGE(
      ""1ZHMy3vVUd_0MrSduXTe1etBb1HNpAlGwQr006ljwMiM"",
      ""GSC最新!A:R""
    ),
    12,
    FALSE
  ),
  0
)
"),13.056338028169014)</f>
        <v>13.05633803</v>
      </c>
      <c r="AB35" s="52">
        <f>IFERROR(__xludf.DUMMYFUNCTION("IFERROR(
  VLOOKUP(
    A35,
    IMPORTRANGE(
      ""1ZHMy3vVUd_0MrSduXTe1etBb1HNpAlGwQr006ljwMiM"",
      ""GSC最新!A:R""
    ),
    15,
    FALSE
  ),
  0
)
"),17.523809523809526)</f>
        <v>17.52380952</v>
      </c>
      <c r="AC35" s="52">
        <f>IFERROR(__xludf.DUMMYFUNCTION("IFERROR(
  VLOOKUP(
    A35,
    IMPORTRANGE(
      ""1ZHMy3vVUd_0MrSduXTe1etBb1HNpAlGwQr006ljwMiM"",
      ""GSC最新!A:R""
    ),
    18,
    FALSE
  ),
  0
)
"),31.107142857142858)</f>
        <v>31.10714286</v>
      </c>
      <c r="AD35" s="52">
        <f t="shared" ref="AD35:AE35" si="170">Z35-AB35</f>
        <v>-6.603809524</v>
      </c>
      <c r="AE35" s="52">
        <f t="shared" si="170"/>
        <v>-18.05080483</v>
      </c>
      <c r="AF35" s="53">
        <f>IFERROR(__xludf.DUMMYFUNCTION("IFERROR(
  VLOOKUP(
    A35,
    IMPORTRANGE(
      ""1ZHMy3vVUd_0MrSduXTe1etBb1HNpAlGwQr006ljwMiM"",
      ""GSC最新!A:F""
    ),
    6,
    FALSE
  ),
  0
)
"),46081.0)</f>
        <v>46081</v>
      </c>
      <c r="AG35" s="54">
        <f>IFERROR(__xludf.DUMMYFUNCTION("IFERROR(
  VLOOKUP(
    A35,
    IMPORTRANGE(
      ""1SCYQd7_cobOYqT0r_F0IqD4tE4rYn5y8Eup4PJTH8es"",
      ""Snapshot!A:M""
    ),
    5,
    FALSE
  ),
  ""-""
)
"),8.0)</f>
        <v>8</v>
      </c>
      <c r="AH35" s="54">
        <f>IFERROR(__xludf.DUMMYFUNCTION("IFERROR(
  VLOOKUP(
    A35,
    IMPORTRANGE(
      ""1SCYQd7_cobOYqT0r_F0IqD4tE4rYn5y8Eup4PJTH8es"",
      ""Snapshot!A:M""
    ),
    6,
    FALSE
  ),
  0
)
"),7.0)</f>
        <v>7</v>
      </c>
      <c r="AI35" s="54">
        <f>IFERROR(__xludf.DUMMYFUNCTION("IFERROR(
  VLOOKUP(
    A35,
    IMPORTRANGE(
      ""1SCYQd7_cobOYqT0r_F0IqD4tE4rYn5y8Eup4PJTH8es"",
      ""Snapshot!A:M""
    ),
    7,
    FALSE
  ),
  0
)
"),2703.0)</f>
        <v>2703</v>
      </c>
      <c r="AJ35" s="54">
        <f>IFERROR(__xludf.DUMMYFUNCTION("IFERROR(
  VLOOKUP(
    A35,
    IMPORTRANGE(
      ""1SCYQd7_cobOYqT0r_F0IqD4tE4rYn5y8Eup4PJTH8es"",
      ""Snapshot!A:M""
    ),
    8,
    FALSE
  ),
  0
)
"),3.0)</f>
        <v>3</v>
      </c>
      <c r="AK35" s="54">
        <f>IFERROR(__xludf.DUMMYFUNCTION("IFERROR(
  VLOOKUP(
    A35,
    IMPORTRANGE(
      ""1SCYQd7_cobOYqT0r_F0IqD4tE4rYn5y8Eup4PJTH8es"",
      ""Snapshot!A:M""
    ),
    9,
    FALSE
  ),
  0
)
"),0.0)</f>
        <v>0</v>
      </c>
      <c r="AL35" s="54">
        <f>IFERROR(__xludf.DUMMYFUNCTION("IFERROR(
  VLOOKUP(
    A35,
    IMPORTRANGE(
      ""1SCYQd7_cobOYqT0r_F0IqD4tE4rYn5y8Eup4PJTH8es"",
      ""Snapshot!A:M""
    ),
    13,
    FALSE
  ),
  0
)
"),3.0)</f>
        <v>3</v>
      </c>
    </row>
    <row r="36">
      <c r="A36" s="56" t="s">
        <v>319</v>
      </c>
      <c r="B36" s="1" t="str">
        <f>IFERROR(__xludf.DUMMYFUNCTION("IFERROR(
  VLOOKUP(
    A36,
    IMPORTRANGE(
      ""1ZygntHC1J6IxzKbTidmOyf5nUyW4GCLurHCjexrLm_o"",
      ""HTMLキャッシュ!A:F""
    ),
    2,
    FALSE
  ),
  0
)
"),"SP")</f>
        <v>SP</v>
      </c>
      <c r="C36" s="1" t="str">
        <f>IFERROR(__xludf.DUMMYFUNCTION("IFERROR(
  VLOOKUP(
    A36,
    IMPORTRANGE(
      ""1ZygntHC1J6IxzKbTidmOyf5nUyW4GCLurHCjexrLm_o"",
      ""HTMLキャッシュ!A:F""
    ),
    5,
    FALSE
  ),
  0
)
"),"英語個別指導講座一覧｜基礎〜定期・過去問対応オンライン塾")</f>
        <v>英語個別指導講座一覧｜基礎〜定期・過去問対応オンライン塾</v>
      </c>
      <c r="D36" s="1" t="str">
        <f>IFERROR(__xludf.DUMMYFUNCTION("IFERROR(
  VLOOKUP(
    A36,
    IMPORTRANGE(
      ""1ZygntHC1J6IxzKbTidmOyf5nUyW4GCLurHCjexrLm_o        "",
      ""HTMLキャッシュ!A:F""
    ),
    6,
    FALSE
  ),
  0
)
"),"苦手英語や定期・入試対策に個別指導で対応。基礎〜過去問まで1対1で定着。四谷教室・オンライン体験受付中今すぐ相談可")</f>
        <v>苦手英語や定期・入試対策に個別指導で対応。基礎〜過去問まで1対1で定着。四谷教室・オンライン体験受付中今すぐ相談可</v>
      </c>
      <c r="E36" s="49">
        <f t="shared" ref="E36:F36" si="171">LEN(C36)</f>
        <v>28</v>
      </c>
      <c r="F36" s="49">
        <f t="shared" si="171"/>
        <v>57</v>
      </c>
      <c r="G36" s="32">
        <f>IFERROR(__xludf.DUMMYFUNCTION("IFERROR(
  VLOOKUP(
    A36,
    IMPORTRANGE(
      ""1ZygntHC1J6IxzKbTidmOyf5nUyW4GCLurHCjexrLm_o        "",
      ""HTMLキャッシュ!A:F""
    ),
    3,
    FALSE
  ),
  0
)
"),46081.75827546296)</f>
        <v>46081.75828</v>
      </c>
      <c r="H36" s="49">
        <f>IFERROR(__xludf.DUMMYFUNCTION("IFERROR(
  VLOOKUP(
    A36,
    IMPORTRANGE(
      ""1ZHMy3vVUd_0MrSduXTe1etBb1HNpAlGwQr006ljwMiM"",
      ""GSC最新!A:F""
    ),
    2,
    FALSE
  ),
  0
)
"),0.0)</f>
        <v>0</v>
      </c>
      <c r="I36" s="49">
        <f>IFERROR(__xludf.DUMMYFUNCTION("IFERROR(
  VLOOKUP(
    A36,
    IMPORTRANGE(
      ""1ZHMy3vVUd_0MrSduXTe1etBb1HNpAlGwQr006ljwMiM"",
      ""GSC最新!A:F""
    ),
    3,
    FALSE
  ),
  0
)
"),0.0)</f>
        <v>0</v>
      </c>
      <c r="J36" s="49">
        <f>IFERROR(__xludf.DUMMYFUNCTION("IFERROR(
  VLOOKUP(
    A36,
    IMPORTRANGE(
      ""1ZHMy3vVUd_0MrSduXTe1etBb1HNpAlGwQr006ljwMiM"",
      ""GSC最新!A:F""
    ),
    4,
    FALSE
  ),
  0
)
"),0.0)</f>
        <v>0</v>
      </c>
      <c r="K36" s="49">
        <f>IFERROR(__xludf.DUMMYFUNCTION("IFERROR(
  VLOOKUP(
    A36,
    IMPORTRANGE(
      ""1ZHMy3vVUd_0MrSduXTe1etBb1HNpAlGwQr006ljwMiM"",
      ""GSC最新!A:F""
    ),
    5,
    FALSE
  ),
  0
)
"),0.0)</f>
        <v>0</v>
      </c>
      <c r="L36" s="50" t="str">
        <f t="shared" ref="L36:M36" si="172">IFERROR(H36/J36,"-")</f>
        <v>-</v>
      </c>
      <c r="M36" s="50" t="str">
        <f t="shared" si="172"/>
        <v>-</v>
      </c>
      <c r="N36" s="6">
        <f>IFERROR(__xludf.DUMMYFUNCTION("IFERROR(
  VLOOKUP(
    A36,
    IMPORTRANGE(
      ""1ZHMy3vVUd_0MrSduXTe1etBb1HNpAlGwQr006ljwMiM"",
      ""GSC最新!A:R""
    ),
    7,
    FALSE
  ),
  0
)
"),40.0)</f>
        <v>40</v>
      </c>
      <c r="O36" s="6">
        <f>IFERROR(__xludf.DUMMYFUNCTION("IFERROR(
  VLOOKUP(
    A36,
    IMPORTRANGE(
      ""1ZHMy3vVUd_0MrSduXTe1etBb1HNpAlGwQr006ljwMiM"",
      ""GSC最新!A:R""
    ),
    10,
    FALSE
  ),
  0
)
"),71.0)</f>
        <v>71</v>
      </c>
      <c r="P36" s="6">
        <f>IFERROR(__xludf.DUMMYFUNCTION("IFERROR(
  VLOOKUP(
    A36,
    IMPORTRANGE(
      ""1ZHMy3vVUd_0MrSduXTe1etBb1HNpAlGwQr006ljwMiM"",
      ""GSC最新!A:R""
    ),
    13,
    FALSE
  ),
  0
)
"),35.0)</f>
        <v>35</v>
      </c>
      <c r="Q36" s="6">
        <f>IFERROR(__xludf.DUMMYFUNCTION("IFERROR(
  VLOOKUP(
    A36,
    IMPORTRANGE(
      ""1ZHMy3vVUd_0MrSduXTe1etBb1HNpAlGwQr006ljwMiM"",
      ""GSC最新!A:R""
    ),
    16,
    FALSE
  ),
  0
)
"),110.0)</f>
        <v>110</v>
      </c>
      <c r="R36" s="51">
        <f t="shared" ref="R36:S36" si="173">IFERROR(N36/P36,"-")</f>
        <v>1.142857143</v>
      </c>
      <c r="S36" s="51">
        <f t="shared" si="173"/>
        <v>0.6454545455</v>
      </c>
      <c r="T36" s="9">
        <f>IFERROR(__xludf.DUMMYFUNCTION("IFERROR(
  VLOOKUP(
    A36,
    IMPORTRANGE(
      ""1ZHMy3vVUd_0MrSduXTe1etBb1HNpAlGwQr006ljwMiM"",
      ""GSC最新!A:R""
    ),
    8,
    FALSE
  ),
  0
)
"),0.0)</f>
        <v>0</v>
      </c>
      <c r="U36" s="9">
        <f>IFERROR(__xludf.DUMMYFUNCTION("IFERROR(
  VLOOKUP(
    A36,
    IMPORTRANGE(
      ""1ZHMy3vVUd_0MrSduXTe1etBb1HNpAlGwQr006ljwMiM"",
      ""GSC最新!A:R""
    ),
    11,
    FALSE
  ),
  0
)
"),0.0)</f>
        <v>0</v>
      </c>
      <c r="V36" s="9">
        <f>IFERROR(__xludf.DUMMYFUNCTION("IFERROR(
  VLOOKUP(
    A36,
    IMPORTRANGE(
      ""1ZHMy3vVUd_0MrSduXTe1etBb1HNpAlGwQr006ljwMiM"",
      ""GSC最新!A:R""
    ),
    14,
    FALSE
  ),
  0
)
"),0.0)</f>
        <v>0</v>
      </c>
      <c r="W36" s="9">
        <f>IFERROR(__xludf.DUMMYFUNCTION("IFERROR(
  VLOOKUP(
    A36,
    IMPORTRANGE(
      ""1ZHMy3vVUd_0MrSduXTe1etBb1HNpAlGwQr006ljwMiM"",
      ""GSC最新!A:R""
    ),
    17,
    FALSE
  ),
  0
)
"),0.0)</f>
        <v>0</v>
      </c>
      <c r="X36" s="9">
        <f t="shared" ref="X36:Y36" si="174">IFERROR(T36-V36,"-")</f>
        <v>0</v>
      </c>
      <c r="Y36" s="9">
        <f t="shared" si="174"/>
        <v>0</v>
      </c>
      <c r="Z36" s="52">
        <f>IFERROR(__xludf.DUMMYFUNCTION("IFERROR(
  VLOOKUP(
    A36,
    IMPORTRANGE(
      ""1ZHMy3vVUd_0MrSduXTe1etBb1HNpAlGwQr006ljwMiM"",
      ""GSC最新!A:R""
    ),
    9,
    FALSE
  ),
  0
)
"),9.175)</f>
        <v>9.175</v>
      </c>
      <c r="AA36" s="52">
        <f>IFERROR(__xludf.DUMMYFUNCTION("IFERROR(
  VLOOKUP(
    A36,
    IMPORTRANGE(
      ""1ZHMy3vVUd_0MrSduXTe1etBb1HNpAlGwQr006ljwMiM"",
      ""GSC最新!A:R""
    ),
    12,
    FALSE
  ),
  0
)
"),7.323943661971831)</f>
        <v>7.323943662</v>
      </c>
      <c r="AB36" s="52">
        <f>IFERROR(__xludf.DUMMYFUNCTION("IFERROR(
  VLOOKUP(
    A36,
    IMPORTRANGE(
      ""1ZHMy3vVUd_0MrSduXTe1etBb1HNpAlGwQr006ljwMiM"",
      ""GSC最新!A:R""
    ),
    15,
    FALSE
  ),
  0
)
"),17.057142857142857)</f>
        <v>17.05714286</v>
      </c>
      <c r="AC36" s="52">
        <f>IFERROR(__xludf.DUMMYFUNCTION("IFERROR(
  VLOOKUP(
    A36,
    IMPORTRANGE(
      ""1ZHMy3vVUd_0MrSduXTe1etBb1HNpAlGwQr006ljwMiM"",
      ""GSC最新!A:R""
    ),
    18,
    FALSE
  ),
  0
)
"),37.13636363636363)</f>
        <v>37.13636364</v>
      </c>
      <c r="AD36" s="52">
        <f t="shared" ref="AD36:AE36" si="175">Z36-AB36</f>
        <v>-7.882142857</v>
      </c>
      <c r="AE36" s="52">
        <f t="shared" si="175"/>
        <v>-29.81241997</v>
      </c>
      <c r="AF36" s="53">
        <f>IFERROR(__xludf.DUMMYFUNCTION("IFERROR(
  VLOOKUP(
    A36,
    IMPORTRANGE(
      ""1ZHMy3vVUd_0MrSduXTe1etBb1HNpAlGwQr006ljwMiM"",
      ""GSC最新!A:F""
    ),
    6,
    FALSE
  ),
  0
)
"),46081.0)</f>
        <v>46081</v>
      </c>
      <c r="AG36" s="54">
        <f>IFERROR(__xludf.DUMMYFUNCTION("IFERROR(
  VLOOKUP(
    A36,
    IMPORTRANGE(
      ""1SCYQd7_cobOYqT0r_F0IqD4tE4rYn5y8Eup4PJTH8es"",
      ""Snapshot!A:M""
    ),
    5,
    FALSE
  ),
  ""-""
)
"),5.0)</f>
        <v>5</v>
      </c>
      <c r="AH36" s="54">
        <f>IFERROR(__xludf.DUMMYFUNCTION("IFERROR(
  VLOOKUP(
    A36,
    IMPORTRANGE(
      ""1SCYQd7_cobOYqT0r_F0IqD4tE4rYn5y8Eup4PJTH8es"",
      ""Snapshot!A:M""
    ),
    6,
    FALSE
  ),
  0
)
"),5.0)</f>
        <v>5</v>
      </c>
      <c r="AI36" s="54">
        <f>IFERROR(__xludf.DUMMYFUNCTION("IFERROR(
  VLOOKUP(
    A36,
    IMPORTRANGE(
      ""1SCYQd7_cobOYqT0r_F0IqD4tE4rYn5y8Eup4PJTH8es"",
      ""Snapshot!A:M""
    ),
    7,
    FALSE
  ),
  0
)
"),3546.0)</f>
        <v>3546</v>
      </c>
      <c r="AJ36" s="54">
        <f>IFERROR(__xludf.DUMMYFUNCTION("IFERROR(
  VLOOKUP(
    A36,
    IMPORTRANGE(
      ""1SCYQd7_cobOYqT0r_F0IqD4tE4rYn5y8Eup4PJTH8es"",
      ""Snapshot!A:M""
    ),
    8,
    FALSE
  ),
  0
)
"),0.0)</f>
        <v>0</v>
      </c>
      <c r="AK36" s="54">
        <f>IFERROR(__xludf.DUMMYFUNCTION("IFERROR(
  VLOOKUP(
    A36,
    IMPORTRANGE(
      ""1SCYQd7_cobOYqT0r_F0IqD4tE4rYn5y8Eup4PJTH8es"",
      ""Snapshot!A:M""
    ),
    9,
    FALSE
  ),
  0
)
"),1.0)</f>
        <v>1</v>
      </c>
      <c r="AL36" s="54">
        <f>IFERROR(__xludf.DUMMYFUNCTION("IFERROR(
  VLOOKUP(
    A36,
    IMPORTRANGE(
      ""1SCYQd7_cobOYqT0r_F0IqD4tE4rYn5y8Eup4PJTH8es"",
      ""Snapshot!A:M""
    ),
    13,
    FALSE
  ),
  0
)
"),1.0)</f>
        <v>1</v>
      </c>
    </row>
    <row r="37">
      <c r="A37" s="56" t="s">
        <v>320</v>
      </c>
      <c r="B37" s="1" t="str">
        <f>IFERROR(__xludf.DUMMYFUNCTION("IFERROR(
  VLOOKUP(
    A37,
    IMPORTRANGE(
      ""1ZygntHC1J6IxzKbTidmOyf5nUyW4GCLurHCjexrLm_o"",
      ""HTMLキャッシュ!A:F""
    ),
    2,
    FALSE
  ),
  0
)
"),"SP")</f>
        <v>SP</v>
      </c>
      <c r="C37" s="1" t="str">
        <f>IFERROR(__xludf.DUMMYFUNCTION("IFERROR(
  VLOOKUP(
    A37,
    IMPORTRANGE(
      ""1ZygntHC1J6IxzKbTidmOyf5nUyW4GCLurHCjexrLm_o"",
      ""HTMLキャッシュ!A:F""
    ),
    5,
    FALSE
  ),
  0
)
"),"中高一貫校英語学校対策の個別指導講座｜定期試験対応オンライン")</f>
        <v>中高一貫校英語学校対策の個別指導講座｜定期試験対応オンライン</v>
      </c>
      <c r="D37" s="1" t="str">
        <f>IFERROR(__xludf.DUMMYFUNCTION("IFERROR(
  VLOOKUP(
    A37,
    IMPORTRANGE(
      ""1ZygntHC1J6IxzKbTidmOyf5nUyW4GCLurHCjexrLm_o        "",
      ""HTMLキャッシュ!A:F""
    ),
    6,
    FALSE
  ),
  0
)
"),"学校進度についていけない中高一貫生へ。小テスト・定期試験を逆算した個別指導で先取りと定着を両立。オンライン体験受付中")</f>
        <v>学校進度についていけない中高一貫生へ。小テスト・定期試験を逆算した個別指導で先取りと定着を両立。オンライン体験受付中</v>
      </c>
      <c r="E37" s="49">
        <f t="shared" ref="E37:F37" si="176">LEN(C37)</f>
        <v>30</v>
      </c>
      <c r="F37" s="49">
        <f t="shared" si="176"/>
        <v>58</v>
      </c>
      <c r="G37" s="32">
        <f>IFERROR(__xludf.DUMMYFUNCTION("IFERROR(
  VLOOKUP(
    A37,
    IMPORTRANGE(
      ""1ZygntHC1J6IxzKbTidmOyf5nUyW4GCLurHCjexrLm_o        "",
      ""HTMLキャッシュ!A:F""
    ),
    3,
    FALSE
  ),
  0
)
"),46076.839224537034)</f>
        <v>46076.83922</v>
      </c>
      <c r="H37" s="49">
        <f>IFERROR(__xludf.DUMMYFUNCTION("IFERROR(
  VLOOKUP(
    A37,
    IMPORTRANGE(
      ""1ZHMy3vVUd_0MrSduXTe1etBb1HNpAlGwQr006ljwMiM"",
      ""GSC最新!A:F""
    ),
    2,
    FALSE
  ),
  0
)
"),0.0)</f>
        <v>0</v>
      </c>
      <c r="I37" s="49">
        <f>IFERROR(__xludf.DUMMYFUNCTION("IFERROR(
  VLOOKUP(
    A37,
    IMPORTRANGE(
      ""1ZHMy3vVUd_0MrSduXTe1etBb1HNpAlGwQr006ljwMiM"",
      ""GSC最新!A:F""
    ),
    3,
    FALSE
  ),
  0
)
"),0.0)</f>
        <v>0</v>
      </c>
      <c r="J37" s="49">
        <f>IFERROR(__xludf.DUMMYFUNCTION("IFERROR(
  VLOOKUP(
    A37,
    IMPORTRANGE(
      ""1ZHMy3vVUd_0MrSduXTe1etBb1HNpAlGwQr006ljwMiM"",
      ""GSC最新!A:F""
    ),
    4,
    FALSE
  ),
  0
)
"),0.0)</f>
        <v>0</v>
      </c>
      <c r="K37" s="49">
        <f>IFERROR(__xludf.DUMMYFUNCTION("IFERROR(
  VLOOKUP(
    A37,
    IMPORTRANGE(
      ""1ZHMy3vVUd_0MrSduXTe1etBb1HNpAlGwQr006ljwMiM"",
      ""GSC最新!A:F""
    ),
    5,
    FALSE
  ),
  0
)
"),0.0)</f>
        <v>0</v>
      </c>
      <c r="L37" s="50" t="str">
        <f t="shared" ref="L37:M37" si="177">IFERROR(H37/J37,"-")</f>
        <v>-</v>
      </c>
      <c r="M37" s="50" t="str">
        <f t="shared" si="177"/>
        <v>-</v>
      </c>
      <c r="N37" s="6">
        <f>IFERROR(__xludf.DUMMYFUNCTION("IFERROR(
  VLOOKUP(
    A37,
    IMPORTRANGE(
      ""1ZHMy3vVUd_0MrSduXTe1etBb1HNpAlGwQr006ljwMiM"",
      ""GSC最新!A:R""
    ),
    7,
    FALSE
  ),
  0
)
"),25.0)</f>
        <v>25</v>
      </c>
      <c r="O37" s="6">
        <f>IFERROR(__xludf.DUMMYFUNCTION("IFERROR(
  VLOOKUP(
    A37,
    IMPORTRANGE(
      ""1ZHMy3vVUd_0MrSduXTe1etBb1HNpAlGwQr006ljwMiM"",
      ""GSC最新!A:R""
    ),
    10,
    FALSE
  ),
  0
)
"),63.0)</f>
        <v>63</v>
      </c>
      <c r="P37" s="6">
        <f>IFERROR(__xludf.DUMMYFUNCTION("IFERROR(
  VLOOKUP(
    A37,
    IMPORTRANGE(
      ""1ZHMy3vVUd_0MrSduXTe1etBb1HNpAlGwQr006ljwMiM"",
      ""GSC最新!A:R""
    ),
    13,
    FALSE
  ),
  0
)
"),0.0)</f>
        <v>0</v>
      </c>
      <c r="Q37" s="6">
        <f>IFERROR(__xludf.DUMMYFUNCTION("IFERROR(
  VLOOKUP(
    A37,
    IMPORTRANGE(
      ""1ZHMy3vVUd_0MrSduXTe1etBb1HNpAlGwQr006ljwMiM"",
      ""GSC最新!A:R""
    ),
    16,
    FALSE
  ),
  0
)
"),0.0)</f>
        <v>0</v>
      </c>
      <c r="R37" s="51" t="str">
        <f t="shared" ref="R37:S37" si="178">IFERROR(N37/P37,"-")</f>
        <v>-</v>
      </c>
      <c r="S37" s="51" t="str">
        <f t="shared" si="178"/>
        <v>-</v>
      </c>
      <c r="T37" s="9">
        <f>IFERROR(__xludf.DUMMYFUNCTION("IFERROR(
  VLOOKUP(
    A37,
    IMPORTRANGE(
      ""1ZHMy3vVUd_0MrSduXTe1etBb1HNpAlGwQr006ljwMiM"",
      ""GSC最新!A:R""
    ),
    8,
    FALSE
  ),
  0
)
"),0.0)</f>
        <v>0</v>
      </c>
      <c r="U37" s="9">
        <f>IFERROR(__xludf.DUMMYFUNCTION("IFERROR(
  VLOOKUP(
    A37,
    IMPORTRANGE(
      ""1ZHMy3vVUd_0MrSduXTe1etBb1HNpAlGwQr006ljwMiM"",
      ""GSC最新!A:R""
    ),
    11,
    FALSE
  ),
  0
)
"),0.0)</f>
        <v>0</v>
      </c>
      <c r="V37" s="9">
        <f>IFERROR(__xludf.DUMMYFUNCTION("IFERROR(
  VLOOKUP(
    A37,
    IMPORTRANGE(
      ""1ZHMy3vVUd_0MrSduXTe1etBb1HNpAlGwQr006ljwMiM"",
      ""GSC最新!A:R""
    ),
    14,
    FALSE
  ),
  0
)
"),0.0)</f>
        <v>0</v>
      </c>
      <c r="W37" s="9">
        <f>IFERROR(__xludf.DUMMYFUNCTION("IFERROR(
  VLOOKUP(
    A37,
    IMPORTRANGE(
      ""1ZHMy3vVUd_0MrSduXTe1etBb1HNpAlGwQr006ljwMiM"",
      ""GSC最新!A:R""
    ),
    17,
    FALSE
  ),
  0
)
"),0.0)</f>
        <v>0</v>
      </c>
      <c r="X37" s="9">
        <f t="shared" ref="X37:Y37" si="179">IFERROR(T37-V37,"-")</f>
        <v>0</v>
      </c>
      <c r="Y37" s="9">
        <f t="shared" si="179"/>
        <v>0</v>
      </c>
      <c r="Z37" s="52">
        <f>IFERROR(__xludf.DUMMYFUNCTION("IFERROR(
  VLOOKUP(
    A37,
    IMPORTRANGE(
      ""1ZHMy3vVUd_0MrSduXTe1etBb1HNpAlGwQr006ljwMiM"",
      ""GSC最新!A:R""
    ),
    9,
    FALSE
  ),
  0
)
"),4.720000000000001)</f>
        <v>4.72</v>
      </c>
      <c r="AA37" s="52">
        <f>IFERROR(__xludf.DUMMYFUNCTION("IFERROR(
  VLOOKUP(
    A37,
    IMPORTRANGE(
      ""1ZHMy3vVUd_0MrSduXTe1etBb1HNpAlGwQr006ljwMiM"",
      ""GSC最新!A:R""
    ),
    12,
    FALSE
  ),
  0
)
"),4.396825396825397)</f>
        <v>4.396825397</v>
      </c>
      <c r="AB37" s="52" t="str">
        <f>IFERROR(__xludf.DUMMYFUNCTION("IFERROR(
  VLOOKUP(
    A37,
    IMPORTRANGE(
      ""1ZHMy3vVUd_0MrSduXTe1etBb1HNpAlGwQr006ljwMiM"",
      ""GSC最新!A:R""
    ),
    15,
    FALSE
  ),
  0
)
"),"")</f>
        <v/>
      </c>
      <c r="AC37" s="52" t="str">
        <f>IFERROR(__xludf.DUMMYFUNCTION("IFERROR(
  VLOOKUP(
    A37,
    IMPORTRANGE(
      ""1ZHMy3vVUd_0MrSduXTe1etBb1HNpAlGwQr006ljwMiM"",
      ""GSC最新!A:R""
    ),
    18,
    FALSE
  ),
  0
)
"),"")</f>
        <v/>
      </c>
      <c r="AD37" s="52">
        <f t="shared" ref="AD37:AE37" si="180">Z37-AB37</f>
        <v>4.72</v>
      </c>
      <c r="AE37" s="52">
        <f t="shared" si="180"/>
        <v>4.396825397</v>
      </c>
      <c r="AF37" s="53">
        <f>IFERROR(__xludf.DUMMYFUNCTION("IFERROR(
  VLOOKUP(
    A37,
    IMPORTRANGE(
      ""1ZHMy3vVUd_0MrSduXTe1etBb1HNpAlGwQr006ljwMiM"",
      ""GSC最新!A:F""
    ),
    6,
    FALSE
  ),
  0
)
"),46081.0)</f>
        <v>46081</v>
      </c>
      <c r="AG37" s="54">
        <f>IFERROR(__xludf.DUMMYFUNCTION("IFERROR(
  VLOOKUP(
    A37,
    IMPORTRANGE(
      ""1SCYQd7_cobOYqT0r_F0IqD4tE4rYn5y8Eup4PJTH8es"",
      ""Snapshot!A:M""
    ),
    5,
    FALSE
  ),
  ""-""
)
"),9.0)</f>
        <v>9</v>
      </c>
      <c r="AH37" s="54">
        <f>IFERROR(__xludf.DUMMYFUNCTION("IFERROR(
  VLOOKUP(
    A37,
    IMPORTRANGE(
      ""1SCYQd7_cobOYqT0r_F0IqD4tE4rYn5y8Eup4PJTH8es"",
      ""Snapshot!A:M""
    ),
    6,
    FALSE
  ),
  0
)
"),15.0)</f>
        <v>15</v>
      </c>
      <c r="AI37" s="54">
        <f>IFERROR(__xludf.DUMMYFUNCTION("IFERROR(
  VLOOKUP(
    A37,
    IMPORTRANGE(
      ""1SCYQd7_cobOYqT0r_F0IqD4tE4rYn5y8Eup4PJTH8es"",
      ""Snapshot!A:M""
    ),
    7,
    FALSE
  ),
  0
)
"),3272.0)</f>
        <v>3272</v>
      </c>
      <c r="AJ37" s="54">
        <f>IFERROR(__xludf.DUMMYFUNCTION("IFERROR(
  VLOOKUP(
    A37,
    IMPORTRANGE(
      ""1SCYQd7_cobOYqT0r_F0IqD4tE4rYn5y8Eup4PJTH8es"",
      ""Snapshot!A:M""
    ),
    8,
    FALSE
  ),
  0
)
"),6.0)</f>
        <v>6</v>
      </c>
      <c r="AK37" s="54">
        <f>IFERROR(__xludf.DUMMYFUNCTION("IFERROR(
  VLOOKUP(
    A37,
    IMPORTRANGE(
      ""1SCYQd7_cobOYqT0r_F0IqD4tE4rYn5y8Eup4PJTH8es"",
      ""Snapshot!A:M""
    ),
    9,
    FALSE
  ),
  0
)
"),7.0)</f>
        <v>7</v>
      </c>
      <c r="AL37" s="54">
        <f>IFERROR(__xludf.DUMMYFUNCTION("IFERROR(
  VLOOKUP(
    A37,
    IMPORTRANGE(
      ""1SCYQd7_cobOYqT0r_F0IqD4tE4rYn5y8Eup4PJTH8es"",
      ""Snapshot!A:M""
    ),
    13,
    FALSE
  ),
  0
)
"),1.0)</f>
        <v>1</v>
      </c>
    </row>
    <row r="38">
      <c r="A38" s="56" t="s">
        <v>321</v>
      </c>
      <c r="B38" s="1" t="str">
        <f>IFERROR(__xludf.DUMMYFUNCTION("IFERROR(
  VLOOKUP(
    A38,
    IMPORTRANGE(
      ""1ZygntHC1J6IxzKbTidmOyf5nUyW4GCLurHCjexrLm_o"",
      ""HTMLキャッシュ!A:F""
    ),
    2,
    FALSE
  ),
  0
)
"),"SP")</f>
        <v>SP</v>
      </c>
      <c r="C38" s="1" t="str">
        <f>IFERROR(__xludf.DUMMYFUNCTION("IFERROR(
  VLOOKUP(
    A38,
    IMPORTRANGE(
      ""1ZygntHC1J6IxzKbTidmOyf5nUyW4GCLurHCjexrLm_o"",
      ""HTMLキャッシュ!A:F""
    ),
    5,
    FALSE
  ),
  0
)
"),"高1数学対策の個別指導講座｜基礎〜応用定期・受験対応塾")</f>
        <v>高1数学対策の個別指導講座｜基礎〜応用定期・受験対応塾</v>
      </c>
      <c r="D38" s="1" t="str">
        <f>IFERROR(__xludf.DUMMYFUNCTION("IFERROR(
  VLOOKUP(
    A38,
    IMPORTRANGE(
      ""1ZygntHC1J6IxzKbTidmOyf5nUyW4GCLurHCjexrLm_o        "",
      ""HTMLキャッシュ!A:F""
    ),
    6,
    FALSE
  ),
  0
)
"),"数Ⅰ基礎つまずきで点が伸びない高1生へ。個別指導で式変形〜図形対応力を定着し定期・受験に強くなる。オンライン体験受付中")</f>
        <v>数Ⅰ基礎つまずきで点が伸びない高1生へ。個別指導で式変形〜図形対応力を定着し定期・受験に強くなる。オンライン体験受付中</v>
      </c>
      <c r="E38" s="49">
        <f t="shared" ref="E38:F38" si="181">LEN(C38)</f>
        <v>27</v>
      </c>
      <c r="F38" s="49">
        <f t="shared" si="181"/>
        <v>59</v>
      </c>
      <c r="G38" s="32">
        <f>IFERROR(__xludf.DUMMYFUNCTION("IFERROR(
  VLOOKUP(
    A38,
    IMPORTRANGE(
      ""1ZygntHC1J6IxzKbTidmOyf5nUyW4GCLurHCjexrLm_o        "",
      ""HTMLキャッシュ!A:F""
    ),
    3,
    FALSE
  ),
  0
)
"),46081.69173611111)</f>
        <v>46081.69174</v>
      </c>
      <c r="H38" s="49">
        <f>IFERROR(__xludf.DUMMYFUNCTION("IFERROR(
  VLOOKUP(
    A38,
    IMPORTRANGE(
      ""1ZHMy3vVUd_0MrSduXTe1etBb1HNpAlGwQr006ljwMiM"",
      ""GSC最新!A:F""
    ),
    2,
    FALSE
  ),
  0
)
"),0.0)</f>
        <v>0</v>
      </c>
      <c r="I38" s="49">
        <f>IFERROR(__xludf.DUMMYFUNCTION("IFERROR(
  VLOOKUP(
    A38,
    IMPORTRANGE(
      ""1ZHMy3vVUd_0MrSduXTe1etBb1HNpAlGwQr006ljwMiM"",
      ""GSC最新!A:F""
    ),
    3,
    FALSE
  ),
  0
)
"),0.0)</f>
        <v>0</v>
      </c>
      <c r="J38" s="49">
        <f>IFERROR(__xludf.DUMMYFUNCTION("IFERROR(
  VLOOKUP(
    A38,
    IMPORTRANGE(
      ""1ZHMy3vVUd_0MrSduXTe1etBb1HNpAlGwQr006ljwMiM"",
      ""GSC最新!A:F""
    ),
    4,
    FALSE
  ),
  0
)
"),0.0)</f>
        <v>0</v>
      </c>
      <c r="K38" s="49">
        <f>IFERROR(__xludf.DUMMYFUNCTION("IFERROR(
  VLOOKUP(
    A38,
    IMPORTRANGE(
      ""1ZHMy3vVUd_0MrSduXTe1etBb1HNpAlGwQr006ljwMiM"",
      ""GSC最新!A:F""
    ),
    5,
    FALSE
  ),
  0
)
"),0.0)</f>
        <v>0</v>
      </c>
      <c r="L38" s="50" t="str">
        <f t="shared" ref="L38:M38" si="182">IFERROR(H38/J38,"-")</f>
        <v>-</v>
      </c>
      <c r="M38" s="50" t="str">
        <f t="shared" si="182"/>
        <v>-</v>
      </c>
      <c r="N38" s="6">
        <f>IFERROR(__xludf.DUMMYFUNCTION("IFERROR(
  VLOOKUP(
    A38,
    IMPORTRANGE(
      ""1ZHMy3vVUd_0MrSduXTe1etBb1HNpAlGwQr006ljwMiM"",
      ""GSC最新!A:R""
    ),
    7,
    FALSE
  ),
  0
)
"),54.0)</f>
        <v>54</v>
      </c>
      <c r="O38" s="6">
        <f>IFERROR(__xludf.DUMMYFUNCTION("IFERROR(
  VLOOKUP(
    A38,
    IMPORTRANGE(
      ""1ZHMy3vVUd_0MrSduXTe1etBb1HNpAlGwQr006ljwMiM"",
      ""GSC最新!A:R""
    ),
    10,
    FALSE
  ),
  0
)
"),63.0)</f>
        <v>63</v>
      </c>
      <c r="P38" s="6">
        <f>IFERROR(__xludf.DUMMYFUNCTION("IFERROR(
  VLOOKUP(
    A38,
    IMPORTRANGE(
      ""1ZHMy3vVUd_0MrSduXTe1etBb1HNpAlGwQr006ljwMiM"",
      ""GSC最新!A:R""
    ),
    13,
    FALSE
  ),
  0
)
"),0.0)</f>
        <v>0</v>
      </c>
      <c r="Q38" s="6">
        <f>IFERROR(__xludf.DUMMYFUNCTION("IFERROR(
  VLOOKUP(
    A38,
    IMPORTRANGE(
      ""1ZHMy3vVUd_0MrSduXTe1etBb1HNpAlGwQr006ljwMiM"",
      ""GSC最新!A:R""
    ),
    16,
    FALSE
  ),
  0
)
"),0.0)</f>
        <v>0</v>
      </c>
      <c r="R38" s="51" t="str">
        <f t="shared" ref="R38:S38" si="183">IFERROR(N38/P38,"-")</f>
        <v>-</v>
      </c>
      <c r="S38" s="51" t="str">
        <f t="shared" si="183"/>
        <v>-</v>
      </c>
      <c r="T38" s="9">
        <f>IFERROR(__xludf.DUMMYFUNCTION("IFERROR(
  VLOOKUP(
    A38,
    IMPORTRANGE(
      ""1ZHMy3vVUd_0MrSduXTe1etBb1HNpAlGwQr006ljwMiM"",
      ""GSC最新!A:R""
    ),
    8,
    FALSE
  ),
  0
)
"),0.0)</f>
        <v>0</v>
      </c>
      <c r="U38" s="9">
        <f>IFERROR(__xludf.DUMMYFUNCTION("IFERROR(
  VLOOKUP(
    A38,
    IMPORTRANGE(
      ""1ZHMy3vVUd_0MrSduXTe1etBb1HNpAlGwQr006ljwMiM"",
      ""GSC最新!A:R""
    ),
    11,
    FALSE
  ),
  0
)
"),0.0)</f>
        <v>0</v>
      </c>
      <c r="V38" s="9">
        <f>IFERROR(__xludf.DUMMYFUNCTION("IFERROR(
  VLOOKUP(
    A38,
    IMPORTRANGE(
      ""1ZHMy3vVUd_0MrSduXTe1etBb1HNpAlGwQr006ljwMiM"",
      ""GSC最新!A:R""
    ),
    14,
    FALSE
  ),
  0
)
"),0.0)</f>
        <v>0</v>
      </c>
      <c r="W38" s="9">
        <f>IFERROR(__xludf.DUMMYFUNCTION("IFERROR(
  VLOOKUP(
    A38,
    IMPORTRANGE(
      ""1ZHMy3vVUd_0MrSduXTe1etBb1HNpAlGwQr006ljwMiM"",
      ""GSC最新!A:R""
    ),
    17,
    FALSE
  ),
  0
)
"),0.0)</f>
        <v>0</v>
      </c>
      <c r="X38" s="9">
        <f t="shared" ref="X38:Y38" si="184">IFERROR(T38-V38,"-")</f>
        <v>0</v>
      </c>
      <c r="Y38" s="9">
        <f t="shared" si="184"/>
        <v>0</v>
      </c>
      <c r="Z38" s="52">
        <f>IFERROR(__xludf.DUMMYFUNCTION("IFERROR(
  VLOOKUP(
    A38,
    IMPORTRANGE(
      ""1ZHMy3vVUd_0MrSduXTe1etBb1HNpAlGwQr006ljwMiM"",
      ""GSC最新!A:R""
    ),
    9,
    FALSE
  ),
  0
)
"),3.4444444444444446)</f>
        <v>3.444444444</v>
      </c>
      <c r="AA38" s="52">
        <f>IFERROR(__xludf.DUMMYFUNCTION("IFERROR(
  VLOOKUP(
    A38,
    IMPORTRANGE(
      ""1ZHMy3vVUd_0MrSduXTe1etBb1HNpAlGwQr006ljwMiM"",
      ""GSC最新!A:R""
    ),
    12,
    FALSE
  ),
  0
)
"),3.6984126984126986)</f>
        <v>3.698412698</v>
      </c>
      <c r="AB38" s="52" t="str">
        <f>IFERROR(__xludf.DUMMYFUNCTION("IFERROR(
  VLOOKUP(
    A38,
    IMPORTRANGE(
      ""1ZHMy3vVUd_0MrSduXTe1etBb1HNpAlGwQr006ljwMiM"",
      ""GSC最新!A:R""
    ),
    15,
    FALSE
  ),
  0
)
"),"")</f>
        <v/>
      </c>
      <c r="AC38" s="52" t="str">
        <f>IFERROR(__xludf.DUMMYFUNCTION("IFERROR(
  VLOOKUP(
    A38,
    IMPORTRANGE(
      ""1ZHMy3vVUd_0MrSduXTe1etBb1HNpAlGwQr006ljwMiM"",
      ""GSC最新!A:R""
    ),
    18,
    FALSE
  ),
  0
)
"),"")</f>
        <v/>
      </c>
      <c r="AD38" s="52">
        <f t="shared" ref="AD38:AE38" si="185">Z38-AB38</f>
        <v>3.444444444</v>
      </c>
      <c r="AE38" s="52">
        <f t="shared" si="185"/>
        <v>3.698412698</v>
      </c>
      <c r="AF38" s="53">
        <f>IFERROR(__xludf.DUMMYFUNCTION("IFERROR(
  VLOOKUP(
    A38,
    IMPORTRANGE(
      ""1ZHMy3vVUd_0MrSduXTe1etBb1HNpAlGwQr006ljwMiM"",
      ""GSC最新!A:F""
    ),
    6,
    FALSE
  ),
  0
)
"),46081.0)</f>
        <v>46081</v>
      </c>
      <c r="AG38" s="54">
        <f>IFERROR(__xludf.DUMMYFUNCTION("IFERROR(
  VLOOKUP(
    A38,
    IMPORTRANGE(
      ""1SCYQd7_cobOYqT0r_F0IqD4tE4rYn5y8Eup4PJTH8es"",
      ""Snapshot!A:M""
    ),
    5,
    FALSE
  ),
  ""-""
)
"),10.0)</f>
        <v>10</v>
      </c>
      <c r="AH38" s="54">
        <f>IFERROR(__xludf.DUMMYFUNCTION("IFERROR(
  VLOOKUP(
    A38,
    IMPORTRANGE(
      ""1SCYQd7_cobOYqT0r_F0IqD4tE4rYn5y8Eup4PJTH8es"",
      ""Snapshot!A:M""
    ),
    6,
    FALSE
  ),
  0
)
"),11.0)</f>
        <v>11</v>
      </c>
      <c r="AI38" s="54">
        <f>IFERROR(__xludf.DUMMYFUNCTION("IFERROR(
  VLOOKUP(
    A38,
    IMPORTRANGE(
      ""1SCYQd7_cobOYqT0r_F0IqD4tE4rYn5y8Eup4PJTH8es"",
      ""Snapshot!A:M""
    ),
    7,
    FALSE
  ),
  0
)
"),4606.0)</f>
        <v>4606</v>
      </c>
      <c r="AJ38" s="54">
        <f>IFERROR(__xludf.DUMMYFUNCTION("IFERROR(
  VLOOKUP(
    A38,
    IMPORTRANGE(
      ""1SCYQd7_cobOYqT0r_F0IqD4tE4rYn5y8Eup4PJTH8es"",
      ""Snapshot!A:M""
    ),
    8,
    FALSE
  ),
  0
)
"),2.0)</f>
        <v>2</v>
      </c>
      <c r="AK38" s="54">
        <f>IFERROR(__xludf.DUMMYFUNCTION("IFERROR(
  VLOOKUP(
    A38,
    IMPORTRANGE(
      ""1SCYQd7_cobOYqT0r_F0IqD4tE4rYn5y8Eup4PJTH8es"",
      ""Snapshot!A:M""
    ),
    9,
    FALSE
  ),
  0
)
"),0.0)</f>
        <v>0</v>
      </c>
      <c r="AL38" s="54">
        <f>IFERROR(__xludf.DUMMYFUNCTION("IFERROR(
  VLOOKUP(
    A38,
    IMPORTRANGE(
      ""1SCYQd7_cobOYqT0r_F0IqD4tE4rYn5y8Eup4PJTH8es"",
      ""Snapshot!A:M""
    ),
    13,
    FALSE
  ),
  0
)
"),2.0)</f>
        <v>2</v>
      </c>
    </row>
    <row r="39">
      <c r="A39" s="56" t="s">
        <v>322</v>
      </c>
      <c r="B39" s="1" t="str">
        <f>IFERROR(__xludf.DUMMYFUNCTION("IFERROR(
  VLOOKUP(
    A39,
    IMPORTRANGE(
      ""1ZygntHC1J6IxzKbTidmOyf5nUyW4GCLurHCjexrLm_o"",
      ""HTMLキャッシュ!A:F""
    ),
    2,
    FALSE
  ),
  0
)
"),"SP")</f>
        <v>SP</v>
      </c>
      <c r="C39" s="1" t="str">
        <f>IFERROR(__xludf.DUMMYFUNCTION("IFERROR(
  VLOOKUP(
    A39,
    IMPORTRANGE(
      ""1ZygntHC1J6IxzKbTidmOyf5nUyW4GCLurHCjexrLm_o"",
      ""HTMLキャッシュ!A:F""
    ),
    5,
    FALSE
  ),
  0
)
"),"中高一貫向け英語文法語法ワンポイント個指導講座｜オンライン塾")</f>
        <v>中高一貫向け英語文法語法ワンポイント個指導講座｜オンライン塾</v>
      </c>
      <c r="D39" s="1" t="str">
        <f>IFERROR(__xludf.DUMMYFUNCTION("IFERROR(
  VLOOKUP(
    A39,
    IMPORTRANGE(
      ""1ZygntHC1J6IxzKbTidmOyf5nUyW4GCLurHCjexrLm_o        "",
      ""HTMLキャッシュ!A:F""
    ),
    6,
    FALSE
  ),
  0
)
"),"定期テスト前に英語文法語法を短期整理。中高一貫生向け個別指導で弱点を即修正。教室・オンライン体験受付中今すぐ相談可無料対応")</f>
        <v>定期テスト前に英語文法語法を短期整理。中高一貫生向け個別指導で弱点を即修正。教室・オンライン体験受付中今すぐ相談可無料対応</v>
      </c>
      <c r="E39" s="49">
        <f t="shared" ref="E39:F39" si="186">LEN(C39)</f>
        <v>30</v>
      </c>
      <c r="F39" s="49">
        <f t="shared" si="186"/>
        <v>61</v>
      </c>
      <c r="G39" s="32">
        <f>IFERROR(__xludf.DUMMYFUNCTION("IFERROR(
  VLOOKUP(
    A39,
    IMPORTRANGE(
      ""1ZygntHC1J6IxzKbTidmOyf5nUyW4GCLurHCjexrLm_o        "",
      ""HTMLキャッシュ!A:F""
    ),
    3,
    FALSE
  ),
  0
)
"),46081.74383101852)</f>
        <v>46081.74383</v>
      </c>
      <c r="H39" s="49">
        <f>IFERROR(__xludf.DUMMYFUNCTION("IFERROR(
  VLOOKUP(
    A39,
    IMPORTRANGE(
      ""1ZHMy3vVUd_0MrSduXTe1etBb1HNpAlGwQr006ljwMiM"",
      ""GSC最新!A:F""
    ),
    2,
    FALSE
  ),
  0
)
"),0.0)</f>
        <v>0</v>
      </c>
      <c r="I39" s="49">
        <f>IFERROR(__xludf.DUMMYFUNCTION("IFERROR(
  VLOOKUP(
    A39,
    IMPORTRANGE(
      ""1ZHMy3vVUd_0MrSduXTe1etBb1HNpAlGwQr006ljwMiM"",
      ""GSC最新!A:F""
    ),
    3,
    FALSE
  ),
  0
)
"),1.0)</f>
        <v>1</v>
      </c>
      <c r="J39" s="49">
        <f>IFERROR(__xludf.DUMMYFUNCTION("IFERROR(
  VLOOKUP(
    A39,
    IMPORTRANGE(
      ""1ZHMy3vVUd_0MrSduXTe1etBb1HNpAlGwQr006ljwMiM"",
      ""GSC最新!A:F""
    ),
    4,
    FALSE
  ),
  0
)
"),0.0)</f>
        <v>0</v>
      </c>
      <c r="K39" s="49">
        <f>IFERROR(__xludf.DUMMYFUNCTION("IFERROR(
  VLOOKUP(
    A39,
    IMPORTRANGE(
      ""1ZHMy3vVUd_0MrSduXTe1etBb1HNpAlGwQr006ljwMiM"",
      ""GSC最新!A:F""
    ),
    5,
    FALSE
  ),
  0
)
"),0.0)</f>
        <v>0</v>
      </c>
      <c r="L39" s="50" t="str">
        <f t="shared" ref="L39:M39" si="187">IFERROR(H39/J39,"-")</f>
        <v>-</v>
      </c>
      <c r="M39" s="50" t="str">
        <f t="shared" si="187"/>
        <v>-</v>
      </c>
      <c r="N39" s="6">
        <f>IFERROR(__xludf.DUMMYFUNCTION("IFERROR(
  VLOOKUP(
    A39,
    IMPORTRANGE(
      ""1ZHMy3vVUd_0MrSduXTe1etBb1HNpAlGwQr006ljwMiM"",
      ""GSC最新!A:R""
    ),
    7,
    FALSE
  ),
  0
)
"),32.0)</f>
        <v>32</v>
      </c>
      <c r="O39" s="6">
        <f>IFERROR(__xludf.DUMMYFUNCTION("IFERROR(
  VLOOKUP(
    A39,
    IMPORTRANGE(
      ""1ZHMy3vVUd_0MrSduXTe1etBb1HNpAlGwQr006ljwMiM"",
      ""GSC最新!A:R""
    ),
    10,
    FALSE
  ),
  0
)
"),61.0)</f>
        <v>61</v>
      </c>
      <c r="P39" s="6">
        <f>IFERROR(__xludf.DUMMYFUNCTION("IFERROR(
  VLOOKUP(
    A39,
    IMPORTRANGE(
      ""1ZHMy3vVUd_0MrSduXTe1etBb1HNpAlGwQr006ljwMiM"",
      ""GSC最新!A:R""
    ),
    13,
    FALSE
  ),
  0
)
"),3.0)</f>
        <v>3</v>
      </c>
      <c r="Q39" s="6">
        <f>IFERROR(__xludf.DUMMYFUNCTION("IFERROR(
  VLOOKUP(
    A39,
    IMPORTRANGE(
      ""1ZHMy3vVUd_0MrSduXTe1etBb1HNpAlGwQr006ljwMiM"",
      ""GSC最新!A:R""
    ),
    16,
    FALSE
  ),
  0
)
"),18.0)</f>
        <v>18</v>
      </c>
      <c r="R39" s="51">
        <f t="shared" ref="R39:S39" si="188">IFERROR(N39/P39,"-")</f>
        <v>10.66666667</v>
      </c>
      <c r="S39" s="51">
        <f t="shared" si="188"/>
        <v>3.388888889</v>
      </c>
      <c r="T39" s="9">
        <f>IFERROR(__xludf.DUMMYFUNCTION("IFERROR(
  VLOOKUP(
    A39,
    IMPORTRANGE(
      ""1ZHMy3vVUd_0MrSduXTe1etBb1HNpAlGwQr006ljwMiM"",
      ""GSC最新!A:R""
    ),
    8,
    FALSE
  ),
  0
)
"),0.0)</f>
        <v>0</v>
      </c>
      <c r="U39" s="9">
        <f>IFERROR(__xludf.DUMMYFUNCTION("IFERROR(
  VLOOKUP(
    A39,
    IMPORTRANGE(
      ""1ZHMy3vVUd_0MrSduXTe1etBb1HNpAlGwQr006ljwMiM"",
      ""GSC最新!A:R""
    ),
    11,
    FALSE
  ),
  0
)
"),0.01639344262295082)</f>
        <v>0.01639344262</v>
      </c>
      <c r="V39" s="9">
        <f>IFERROR(__xludf.DUMMYFUNCTION("IFERROR(
  VLOOKUP(
    A39,
    IMPORTRANGE(
      ""1ZHMy3vVUd_0MrSduXTe1etBb1HNpAlGwQr006ljwMiM"",
      ""GSC最新!A:R""
    ),
    14,
    FALSE
  ),
  0
)
"),0.0)</f>
        <v>0</v>
      </c>
      <c r="W39" s="9">
        <f>IFERROR(__xludf.DUMMYFUNCTION("IFERROR(
  VLOOKUP(
    A39,
    IMPORTRANGE(
      ""1ZHMy3vVUd_0MrSduXTe1etBb1HNpAlGwQr006ljwMiM"",
      ""GSC最新!A:R""
    ),
    17,
    FALSE
  ),
  0
)
"),0.0)</f>
        <v>0</v>
      </c>
      <c r="X39" s="9">
        <f t="shared" ref="X39:Y39" si="189">IFERROR(T39-V39,"-")</f>
        <v>0</v>
      </c>
      <c r="Y39" s="9">
        <f t="shared" si="189"/>
        <v>0.01639344262</v>
      </c>
      <c r="Z39" s="52">
        <f>IFERROR(__xludf.DUMMYFUNCTION("IFERROR(
  VLOOKUP(
    A39,
    IMPORTRANGE(
      ""1ZHMy3vVUd_0MrSduXTe1etBb1HNpAlGwQr006ljwMiM"",
      ""GSC最新!A:R""
    ),
    9,
    FALSE
  ),
  0
)
"),7.90625)</f>
        <v>7.90625</v>
      </c>
      <c r="AA39" s="52">
        <f>IFERROR(__xludf.DUMMYFUNCTION("IFERROR(
  VLOOKUP(
    A39,
    IMPORTRANGE(
      ""1ZHMy3vVUd_0MrSduXTe1etBb1HNpAlGwQr006ljwMiM"",
      ""GSC最新!A:R""
    ),
    12,
    FALSE
  ),
  0
)
"),6.426229508196721)</f>
        <v>6.426229508</v>
      </c>
      <c r="AB39" s="52">
        <f>IFERROR(__xludf.DUMMYFUNCTION("IFERROR(
  VLOOKUP(
    A39,
    IMPORTRANGE(
      ""1ZHMy3vVUd_0MrSduXTe1etBb1HNpAlGwQr006ljwMiM"",
      ""GSC最新!A:R""
    ),
    15,
    FALSE
  ),
  0
)
"),7.666666666666667)</f>
        <v>7.666666667</v>
      </c>
      <c r="AC39" s="52">
        <f>IFERROR(__xludf.DUMMYFUNCTION("IFERROR(
  VLOOKUP(
    A39,
    IMPORTRANGE(
      ""1ZHMy3vVUd_0MrSduXTe1etBb1HNpAlGwQr006ljwMiM"",
      ""GSC最新!A:R""
    ),
    18,
    FALSE
  ),
  0
)
"),30.055555555555557)</f>
        <v>30.05555556</v>
      </c>
      <c r="AD39" s="52">
        <f t="shared" ref="AD39:AE39" si="190">Z39-AB39</f>
        <v>0.2395833333</v>
      </c>
      <c r="AE39" s="52">
        <f t="shared" si="190"/>
        <v>-23.62932605</v>
      </c>
      <c r="AF39" s="53">
        <f>IFERROR(__xludf.DUMMYFUNCTION("IFERROR(
  VLOOKUP(
    A39,
    IMPORTRANGE(
      ""1ZHMy3vVUd_0MrSduXTe1etBb1HNpAlGwQr006ljwMiM"",
      ""GSC最新!A:F""
    ),
    6,
    FALSE
  ),
  0
)
"),46081.0)</f>
        <v>46081</v>
      </c>
      <c r="AG39" s="54">
        <f>IFERROR(__xludf.DUMMYFUNCTION("IFERROR(
  VLOOKUP(
    A39,
    IMPORTRANGE(
      ""1SCYQd7_cobOYqT0r_F0IqD4tE4rYn5y8Eup4PJTH8es"",
      ""Snapshot!A:M""
    ),
    5,
    FALSE
  ),
  ""-""
)
"),5.0)</f>
        <v>5</v>
      </c>
      <c r="AH39" s="54">
        <f>IFERROR(__xludf.DUMMYFUNCTION("IFERROR(
  VLOOKUP(
    A39,
    IMPORTRANGE(
      ""1SCYQd7_cobOYqT0r_F0IqD4tE4rYn5y8Eup4PJTH8es"",
      ""Snapshot!A:M""
    ),
    6,
    FALSE
  ),
  0
)
"),0.0)</f>
        <v>0</v>
      </c>
      <c r="AI39" s="54">
        <f>IFERROR(__xludf.DUMMYFUNCTION("IFERROR(
  VLOOKUP(
    A39,
    IMPORTRANGE(
      ""1SCYQd7_cobOYqT0r_F0IqD4tE4rYn5y8Eup4PJTH8es"",
      ""Snapshot!A:M""
    ),
    7,
    FALSE
  ),
  0
)
"),1415.0)</f>
        <v>1415</v>
      </c>
      <c r="AJ39" s="54">
        <f>IFERROR(__xludf.DUMMYFUNCTION("IFERROR(
  VLOOKUP(
    A39,
    IMPORTRANGE(
      ""1SCYQd7_cobOYqT0r_F0IqD4tE4rYn5y8Eup4PJTH8es"",
      ""Snapshot!A:M""
    ),
    8,
    FALSE
  ),
  0
)
"),0.0)</f>
        <v>0</v>
      </c>
      <c r="AK39" s="54">
        <f>IFERROR(__xludf.DUMMYFUNCTION("IFERROR(
  VLOOKUP(
    A39,
    IMPORTRANGE(
      ""1SCYQd7_cobOYqT0r_F0IqD4tE4rYn5y8Eup4PJTH8es"",
      ""Snapshot!A:M""
    ),
    9,
    FALSE
  ),
  0
)
"),1.0)</f>
        <v>1</v>
      </c>
      <c r="AL39" s="54">
        <f>IFERROR(__xludf.DUMMYFUNCTION("IFERROR(
  VLOOKUP(
    A39,
    IMPORTRANGE(
      ""1SCYQd7_cobOYqT0r_F0IqD4tE4rYn5y8Eup4PJTH8es"",
      ""Snapshot!A:M""
    ),
    13,
    FALSE
  ),
  0
)
"),1.0)</f>
        <v>1</v>
      </c>
    </row>
    <row r="40">
      <c r="A40" s="56" t="s">
        <v>323</v>
      </c>
      <c r="B40" s="1" t="str">
        <f>IFERROR(__xludf.DUMMYFUNCTION("IFERROR(
  VLOOKUP(
    A40,
    IMPORTRANGE(
      ""1ZygntHC1J6IxzKbTidmOyf5nUyW4GCLurHCjexrLm_o"",
      ""HTMLキャッシュ!A:F""
    ),
    2,
    FALSE
  ),
  0
)
"),"SP")</f>
        <v>SP</v>
      </c>
      <c r="C40" s="1" t="str">
        <f>IFERROR(__xludf.DUMMYFUNCTION("IFERROR(
  VLOOKUP(
    A40,
    IMPORTRANGE(
      ""1ZygntHC1J6IxzKbTidmOyf5nUyW4GCLurHCjexrLm_o"",
      ""HTMLキャッシュ!A:F""
    ),
    5,
    FALSE
  ),
  0
)
"),"国語苦手克服と得点力強化の個別指導講座｜オンライン対応塾")</f>
        <v>国語苦手克服と得点力強化の個別指導講座｜オンライン対応塾</v>
      </c>
      <c r="D40" s="1" t="str">
        <f>IFERROR(__xludf.DUMMYFUNCTION("IFERROR(
  VLOOKUP(
    A40,
    IMPORTRANGE(
      ""1ZygntHC1J6IxzKbTidmOyf5nUyW4GCLurHCjexrLm_o        "",
      ""HTMLキャッシュ!A:F""
    ),
    6,
    FALSE
  ),
  0
)
"),"国語が伸びない原因を診断し、知識・演習・読解の弱点を個別指導で改善。教室・オンライン対応、体験相談から申込まで安心サポート")</f>
        <v>国語が伸びない原因を診断し、知識・演習・読解の弱点を個別指導で改善。教室・オンライン対応、体験相談から申込まで安心サポート</v>
      </c>
      <c r="E40" s="49">
        <f t="shared" ref="E40:F40" si="191">LEN(C40)</f>
        <v>28</v>
      </c>
      <c r="F40" s="49">
        <f t="shared" si="191"/>
        <v>61</v>
      </c>
      <c r="G40" s="32">
        <f>IFERROR(__xludf.DUMMYFUNCTION("IFERROR(
  VLOOKUP(
    A40,
    IMPORTRANGE(
      ""1ZygntHC1J6IxzKbTidmOyf5nUyW4GCLurHCjexrLm_o        "",
      ""HTMLキャッシュ!A:F""
    ),
    3,
    FALSE
  ),
  0
)
"),46081.78480324074)</f>
        <v>46081.7848</v>
      </c>
      <c r="H40" s="49">
        <f>IFERROR(__xludf.DUMMYFUNCTION("IFERROR(
  VLOOKUP(
    A40,
    IMPORTRANGE(
      ""1ZHMy3vVUd_0MrSduXTe1etBb1HNpAlGwQr006ljwMiM"",
      ""GSC最新!A:F""
    ),
    2,
    FALSE
  ),
  0
)
"),0.0)</f>
        <v>0</v>
      </c>
      <c r="I40" s="49">
        <f>IFERROR(__xludf.DUMMYFUNCTION("IFERROR(
  VLOOKUP(
    A40,
    IMPORTRANGE(
      ""1ZHMy3vVUd_0MrSduXTe1etBb1HNpAlGwQr006ljwMiM"",
      ""GSC最新!A:F""
    ),
    3,
    FALSE
  ),
  0
)
"),1.0)</f>
        <v>1</v>
      </c>
      <c r="J40" s="49">
        <f>IFERROR(__xludf.DUMMYFUNCTION("IFERROR(
  VLOOKUP(
    A40,
    IMPORTRANGE(
      ""1ZHMy3vVUd_0MrSduXTe1etBb1HNpAlGwQr006ljwMiM"",
      ""GSC最新!A:F""
    ),
    4,
    FALSE
  ),
  0
)
"),0.0)</f>
        <v>0</v>
      </c>
      <c r="K40" s="49">
        <f>IFERROR(__xludf.DUMMYFUNCTION("IFERROR(
  VLOOKUP(
    A40,
    IMPORTRANGE(
      ""1ZHMy3vVUd_0MrSduXTe1etBb1HNpAlGwQr006ljwMiM"",
      ""GSC最新!A:F""
    ),
    5,
    FALSE
  ),
  0
)
"),0.0)</f>
        <v>0</v>
      </c>
      <c r="L40" s="50" t="str">
        <f t="shared" ref="L40:M40" si="192">IFERROR(H40/J40,"-")</f>
        <v>-</v>
      </c>
      <c r="M40" s="50" t="str">
        <f t="shared" si="192"/>
        <v>-</v>
      </c>
      <c r="N40" s="6">
        <f>IFERROR(__xludf.DUMMYFUNCTION("IFERROR(
  VLOOKUP(
    A40,
    IMPORTRANGE(
      ""1ZHMy3vVUd_0MrSduXTe1etBb1HNpAlGwQr006ljwMiM"",
      ""GSC最新!A:R""
    ),
    7,
    FALSE
  ),
  0
)
"),23.0)</f>
        <v>23</v>
      </c>
      <c r="O40" s="6">
        <f>IFERROR(__xludf.DUMMYFUNCTION("IFERROR(
  VLOOKUP(
    A40,
    IMPORTRANGE(
      ""1ZHMy3vVUd_0MrSduXTe1etBb1HNpAlGwQr006ljwMiM"",
      ""GSC最新!A:R""
    ),
    10,
    FALSE
  ),
  0
)
"),60.0)</f>
        <v>60</v>
      </c>
      <c r="P40" s="6">
        <f>IFERROR(__xludf.DUMMYFUNCTION("IFERROR(
  VLOOKUP(
    A40,
    IMPORTRANGE(
      ""1ZHMy3vVUd_0MrSduXTe1etBb1HNpAlGwQr006ljwMiM"",
      ""GSC最新!A:R""
    ),
    13,
    FALSE
  ),
  0
)
"),11.0)</f>
        <v>11</v>
      </c>
      <c r="Q40" s="6">
        <f>IFERROR(__xludf.DUMMYFUNCTION("IFERROR(
  VLOOKUP(
    A40,
    IMPORTRANGE(
      ""1ZHMy3vVUd_0MrSduXTe1etBb1HNpAlGwQr006ljwMiM"",
      ""GSC最新!A:R""
    ),
    16,
    FALSE
  ),
  0
)
"),20.0)</f>
        <v>20</v>
      </c>
      <c r="R40" s="51">
        <f t="shared" ref="R40:S40" si="193">IFERROR(N40/P40,"-")</f>
        <v>2.090909091</v>
      </c>
      <c r="S40" s="51">
        <f t="shared" si="193"/>
        <v>3</v>
      </c>
      <c r="T40" s="9">
        <f>IFERROR(__xludf.DUMMYFUNCTION("IFERROR(
  VLOOKUP(
    A40,
    IMPORTRANGE(
      ""1ZHMy3vVUd_0MrSduXTe1etBb1HNpAlGwQr006ljwMiM"",
      ""GSC最新!A:R""
    ),
    8,
    FALSE
  ),
  0
)
"),0.0)</f>
        <v>0</v>
      </c>
      <c r="U40" s="9">
        <f>IFERROR(__xludf.DUMMYFUNCTION("IFERROR(
  VLOOKUP(
    A40,
    IMPORTRANGE(
      ""1ZHMy3vVUd_0MrSduXTe1etBb1HNpAlGwQr006ljwMiM"",
      ""GSC最新!A:R""
    ),
    11,
    FALSE
  ),
  0
)
"),0.016666666666666666)</f>
        <v>0.01666666667</v>
      </c>
      <c r="V40" s="9">
        <f>IFERROR(__xludf.DUMMYFUNCTION("IFERROR(
  VLOOKUP(
    A40,
    IMPORTRANGE(
      ""1ZHMy3vVUd_0MrSduXTe1etBb1HNpAlGwQr006ljwMiM"",
      ""GSC最新!A:R""
    ),
    14,
    FALSE
  ),
  0
)
"),0.0)</f>
        <v>0</v>
      </c>
      <c r="W40" s="9">
        <f>IFERROR(__xludf.DUMMYFUNCTION("IFERROR(
  VLOOKUP(
    A40,
    IMPORTRANGE(
      ""1ZHMy3vVUd_0MrSduXTe1etBb1HNpAlGwQr006ljwMiM"",
      ""GSC最新!A:R""
    ),
    17,
    FALSE
  ),
  0
)
"),0.0)</f>
        <v>0</v>
      </c>
      <c r="X40" s="9">
        <f t="shared" ref="X40:Y40" si="194">IFERROR(T40-V40,"-")</f>
        <v>0</v>
      </c>
      <c r="Y40" s="9">
        <f t="shared" si="194"/>
        <v>0.01666666667</v>
      </c>
      <c r="Z40" s="52">
        <f>IFERROR(__xludf.DUMMYFUNCTION("IFERROR(
  VLOOKUP(
    A40,
    IMPORTRANGE(
      ""1ZHMy3vVUd_0MrSduXTe1etBb1HNpAlGwQr006ljwMiM"",
      ""GSC最新!A:R""
    ),
    9,
    FALSE
  ),
  0
)
"),19.347826086956523)</f>
        <v>19.34782609</v>
      </c>
      <c r="AA40" s="52">
        <f>IFERROR(__xludf.DUMMYFUNCTION("IFERROR(
  VLOOKUP(
    A40,
    IMPORTRANGE(
      ""1ZHMy3vVUd_0MrSduXTe1etBb1HNpAlGwQr006ljwMiM"",
      ""GSC最新!A:R""
    ),
    12,
    FALSE
  ),
  0
)
"),11.733333333333333)</f>
        <v>11.73333333</v>
      </c>
      <c r="AB40" s="52">
        <f>IFERROR(__xludf.DUMMYFUNCTION("IFERROR(
  VLOOKUP(
    A40,
    IMPORTRANGE(
      ""1ZHMy3vVUd_0MrSduXTe1etBb1HNpAlGwQr006ljwMiM"",
      ""GSC最新!A:R""
    ),
    15,
    FALSE
  ),
  0
)
"),9.454545454545455)</f>
        <v>9.454545455</v>
      </c>
      <c r="AC40" s="52">
        <f>IFERROR(__xludf.DUMMYFUNCTION("IFERROR(
  VLOOKUP(
    A40,
    IMPORTRANGE(
      ""1ZHMy3vVUd_0MrSduXTe1etBb1HNpAlGwQr006ljwMiM"",
      ""GSC最新!A:R""
    ),
    18,
    FALSE
  ),
  0
)
"),6.55)</f>
        <v>6.55</v>
      </c>
      <c r="AD40" s="52">
        <f t="shared" ref="AD40:AE40" si="195">Z40-AB40</f>
        <v>9.893280632</v>
      </c>
      <c r="AE40" s="52">
        <f t="shared" si="195"/>
        <v>5.183333333</v>
      </c>
      <c r="AF40" s="53">
        <f>IFERROR(__xludf.DUMMYFUNCTION("IFERROR(
  VLOOKUP(
    A40,
    IMPORTRANGE(
      ""1ZHMy3vVUd_0MrSduXTe1etBb1HNpAlGwQr006ljwMiM"",
      ""GSC最新!A:F""
    ),
    6,
    FALSE
  ),
  0
)
"),46081.0)</f>
        <v>46081</v>
      </c>
      <c r="AG40" s="54">
        <f>IFERROR(__xludf.DUMMYFUNCTION("IFERROR(
  VLOOKUP(
    A40,
    IMPORTRANGE(
      ""1SCYQd7_cobOYqT0r_F0IqD4tE4rYn5y8Eup4PJTH8es"",
      ""Snapshot!A:M""
    ),
    5,
    FALSE
  ),
  ""-""
)
"),4.0)</f>
        <v>4</v>
      </c>
      <c r="AH40" s="54">
        <f>IFERROR(__xludf.DUMMYFUNCTION("IFERROR(
  VLOOKUP(
    A40,
    IMPORTRANGE(
      ""1SCYQd7_cobOYqT0r_F0IqD4tE4rYn5y8Eup4PJTH8es"",
      ""Snapshot!A:M""
    ),
    6,
    FALSE
  ),
  0
)
"),7.0)</f>
        <v>7</v>
      </c>
      <c r="AI40" s="54">
        <f>IFERROR(__xludf.DUMMYFUNCTION("IFERROR(
  VLOOKUP(
    A40,
    IMPORTRANGE(
      ""1SCYQd7_cobOYqT0r_F0IqD4tE4rYn5y8Eup4PJTH8es"",
      ""Snapshot!A:M""
    ),
    7,
    FALSE
  ),
  0
)
"),3339.0)</f>
        <v>3339</v>
      </c>
      <c r="AJ40" s="54">
        <f>IFERROR(__xludf.DUMMYFUNCTION("IFERROR(
  VLOOKUP(
    A40,
    IMPORTRANGE(
      ""1SCYQd7_cobOYqT0r_F0IqD4tE4rYn5y8Eup4PJTH8es"",
      ""Snapshot!A:M""
    ),
    8,
    FALSE
  ),
  0
)
"),0.0)</f>
        <v>0</v>
      </c>
      <c r="AK40" s="54">
        <f>IFERROR(__xludf.DUMMYFUNCTION("IFERROR(
  VLOOKUP(
    A40,
    IMPORTRANGE(
      ""1SCYQd7_cobOYqT0r_F0IqD4tE4rYn5y8Eup4PJTH8es"",
      ""Snapshot!A:M""
    ),
    9,
    FALSE
  ),
  0
)
"),1.0)</f>
        <v>1</v>
      </c>
      <c r="AL40" s="54">
        <f>IFERROR(__xludf.DUMMYFUNCTION("IFERROR(
  VLOOKUP(
    A40,
    IMPORTRANGE(
      ""1SCYQd7_cobOYqT0r_F0IqD4tE4rYn5y8Eup4PJTH8es"",
      ""Snapshot!A:M""
    ),
    13,
    FALSE
  ),
  0
)
"),1.0)</f>
        <v>1</v>
      </c>
    </row>
    <row r="41">
      <c r="A41" s="56" t="s">
        <v>324</v>
      </c>
      <c r="B41" s="1" t="str">
        <f>IFERROR(__xludf.DUMMYFUNCTION("IFERROR(
  VLOOKUP(
    A41,
    IMPORTRANGE(
      ""1ZygntHC1J6IxzKbTidmOyf5nUyW4GCLurHCjexrLm_o"",
      ""HTMLキャッシュ!A:F""
    ),
    2,
    FALSE
  ),
  0
)
"),"SP")</f>
        <v>SP</v>
      </c>
      <c r="C41" s="1" t="str">
        <f>IFERROR(__xludf.DUMMYFUNCTION("IFERROR(
  VLOOKUP(
    A41,
    IMPORTRANGE(
      ""1ZygntHC1J6IxzKbTidmOyf5nUyW4GCLurHCjexrLm_o"",
      ""HTMLキャッシュ!A:F""
    ),
    5,
    FALSE
  ),
  0
)
"),"中3数学体系対策の個別指導講座｜定期・受験対応オンライン塾")</f>
        <v>中3数学体系対策の個別指導講座｜定期・受験対応オンライン塾</v>
      </c>
      <c r="D41" s="1" t="str">
        <f>IFERROR(__xludf.DUMMYFUNCTION("IFERROR(
  VLOOKUP(
    A41,
    IMPORTRANGE(
      ""1ZygntHC1J6IxzKbTidmOyf5nUyW4GCLurHCjexrLm_o        "",
      ""HTMLキャッシュ!A:F""
    ),
    6,
    FALSE
  ),
  0
)
"),"定期試験や高校内容に不安な中3生へ。個別指導で体系数学の土台から先取り・定着。オンライン体験受付中今すぐ相談可")</f>
        <v>定期試験や高校内容に不安な中3生へ。個別指導で体系数学の土台から先取り・定着。オンライン体験受付中今すぐ相談可</v>
      </c>
      <c r="E41" s="49">
        <f t="shared" ref="E41:F41" si="196">LEN(C41)</f>
        <v>29</v>
      </c>
      <c r="F41" s="49">
        <f t="shared" si="196"/>
        <v>55</v>
      </c>
      <c r="G41" s="32">
        <f>IFERROR(__xludf.DUMMYFUNCTION("IFERROR(
  VLOOKUP(
    A41,
    IMPORTRANGE(
      ""1ZygntHC1J6IxzKbTidmOyf5nUyW4GCLurHCjexrLm_o        "",
      ""HTMLキャッシュ!A:F""
    ),
    3,
    FALSE
  ),
  0
)
"),46081.69369212963)</f>
        <v>46081.69369</v>
      </c>
      <c r="H41" s="49">
        <f>IFERROR(__xludf.DUMMYFUNCTION("IFERROR(
  VLOOKUP(
    A41,
    IMPORTRANGE(
      ""1ZHMy3vVUd_0MrSduXTe1etBb1HNpAlGwQr006ljwMiM"",
      ""GSC最新!A:F""
    ),
    2,
    FALSE
  ),
  0
)
"),0.0)</f>
        <v>0</v>
      </c>
      <c r="I41" s="49">
        <f>IFERROR(__xludf.DUMMYFUNCTION("IFERROR(
  VLOOKUP(
    A41,
    IMPORTRANGE(
      ""1ZHMy3vVUd_0MrSduXTe1etBb1HNpAlGwQr006ljwMiM"",
      ""GSC最新!A:F""
    ),
    3,
    FALSE
  ),
  0
)
"),0.0)</f>
        <v>0</v>
      </c>
      <c r="J41" s="49">
        <f>IFERROR(__xludf.DUMMYFUNCTION("IFERROR(
  VLOOKUP(
    A41,
    IMPORTRANGE(
      ""1ZHMy3vVUd_0MrSduXTe1etBb1HNpAlGwQr006ljwMiM"",
      ""GSC最新!A:F""
    ),
    4,
    FALSE
  ),
  0
)
"),0.0)</f>
        <v>0</v>
      </c>
      <c r="K41" s="49">
        <f>IFERROR(__xludf.DUMMYFUNCTION("IFERROR(
  VLOOKUP(
    A41,
    IMPORTRANGE(
      ""1ZHMy3vVUd_0MrSduXTe1etBb1HNpAlGwQr006ljwMiM"",
      ""GSC最新!A:F""
    ),
    5,
    FALSE
  ),
  0
)
"),0.0)</f>
        <v>0</v>
      </c>
      <c r="L41" s="50" t="str">
        <f t="shared" ref="L41:M41" si="197">IFERROR(H41/J41,"-")</f>
        <v>-</v>
      </c>
      <c r="M41" s="50" t="str">
        <f t="shared" si="197"/>
        <v>-</v>
      </c>
      <c r="N41" s="6">
        <f>IFERROR(__xludf.DUMMYFUNCTION("IFERROR(
  VLOOKUP(
    A41,
    IMPORTRANGE(
      ""1ZHMy3vVUd_0MrSduXTe1etBb1HNpAlGwQr006ljwMiM"",
      ""GSC最新!A:R""
    ),
    7,
    FALSE
  ),
  0
)
"),47.0)</f>
        <v>47</v>
      </c>
      <c r="O41" s="6">
        <f>IFERROR(__xludf.DUMMYFUNCTION("IFERROR(
  VLOOKUP(
    A41,
    IMPORTRANGE(
      ""1ZHMy3vVUd_0MrSduXTe1etBb1HNpAlGwQr006ljwMiM"",
      ""GSC最新!A:R""
    ),
    10,
    FALSE
  ),
  0
)
"),52.0)</f>
        <v>52</v>
      </c>
      <c r="P41" s="6">
        <f>IFERROR(__xludf.DUMMYFUNCTION("IFERROR(
  VLOOKUP(
    A41,
    IMPORTRANGE(
      ""1ZHMy3vVUd_0MrSduXTe1etBb1HNpAlGwQr006ljwMiM"",
      ""GSC最新!A:R""
    ),
    13,
    FALSE
  ),
  0
)
"),0.0)</f>
        <v>0</v>
      </c>
      <c r="Q41" s="6">
        <f>IFERROR(__xludf.DUMMYFUNCTION("IFERROR(
  VLOOKUP(
    A41,
    IMPORTRANGE(
      ""1ZHMy3vVUd_0MrSduXTe1etBb1HNpAlGwQr006ljwMiM"",
      ""GSC最新!A:R""
    ),
    16,
    FALSE
  ),
  0
)
"),0.0)</f>
        <v>0</v>
      </c>
      <c r="R41" s="51" t="str">
        <f t="shared" ref="R41:S41" si="198">IFERROR(N41/P41,"-")</f>
        <v>-</v>
      </c>
      <c r="S41" s="51" t="str">
        <f t="shared" si="198"/>
        <v>-</v>
      </c>
      <c r="T41" s="9">
        <f>IFERROR(__xludf.DUMMYFUNCTION("IFERROR(
  VLOOKUP(
    A41,
    IMPORTRANGE(
      ""1ZHMy3vVUd_0MrSduXTe1etBb1HNpAlGwQr006ljwMiM"",
      ""GSC最新!A:R""
    ),
    8,
    FALSE
  ),
  0
)
"),0.0)</f>
        <v>0</v>
      </c>
      <c r="U41" s="9">
        <f>IFERROR(__xludf.DUMMYFUNCTION("IFERROR(
  VLOOKUP(
    A41,
    IMPORTRANGE(
      ""1ZHMy3vVUd_0MrSduXTe1etBb1HNpAlGwQr006ljwMiM"",
      ""GSC最新!A:R""
    ),
    11,
    FALSE
  ),
  0
)
"),0.0)</f>
        <v>0</v>
      </c>
      <c r="V41" s="9">
        <f>IFERROR(__xludf.DUMMYFUNCTION("IFERROR(
  VLOOKUP(
    A41,
    IMPORTRANGE(
      ""1ZHMy3vVUd_0MrSduXTe1etBb1HNpAlGwQr006ljwMiM"",
      ""GSC最新!A:R""
    ),
    14,
    FALSE
  ),
  0
)
"),0.0)</f>
        <v>0</v>
      </c>
      <c r="W41" s="9">
        <f>IFERROR(__xludf.DUMMYFUNCTION("IFERROR(
  VLOOKUP(
    A41,
    IMPORTRANGE(
      ""1ZHMy3vVUd_0MrSduXTe1etBb1HNpAlGwQr006ljwMiM"",
      ""GSC最新!A:R""
    ),
    17,
    FALSE
  ),
  0
)
"),0.0)</f>
        <v>0</v>
      </c>
      <c r="X41" s="9">
        <f t="shared" ref="X41:Y41" si="199">IFERROR(T41-V41,"-")</f>
        <v>0</v>
      </c>
      <c r="Y41" s="9">
        <f t="shared" si="199"/>
        <v>0</v>
      </c>
      <c r="Z41" s="52">
        <f>IFERROR(__xludf.DUMMYFUNCTION("IFERROR(
  VLOOKUP(
    A41,
    IMPORTRANGE(
      ""1ZHMy3vVUd_0MrSduXTe1etBb1HNpAlGwQr006ljwMiM"",
      ""GSC最新!A:R""
    ),
    9,
    FALSE
  ),
  0
)
"),2.404255319148936)</f>
        <v>2.404255319</v>
      </c>
      <c r="AA41" s="52">
        <f>IFERROR(__xludf.DUMMYFUNCTION("IFERROR(
  VLOOKUP(
    A41,
    IMPORTRANGE(
      ""1ZHMy3vVUd_0MrSduXTe1etBb1HNpAlGwQr006ljwMiM"",
      ""GSC最新!A:R""
    ),
    12,
    FALSE
  ),
  0
)
"),2.9615384615384617)</f>
        <v>2.961538462</v>
      </c>
      <c r="AB41" s="52" t="str">
        <f>IFERROR(__xludf.DUMMYFUNCTION("IFERROR(
  VLOOKUP(
    A41,
    IMPORTRANGE(
      ""1ZHMy3vVUd_0MrSduXTe1etBb1HNpAlGwQr006ljwMiM"",
      ""GSC最新!A:R""
    ),
    15,
    FALSE
  ),
  0
)
"),"")</f>
        <v/>
      </c>
      <c r="AC41" s="52" t="str">
        <f>IFERROR(__xludf.DUMMYFUNCTION("IFERROR(
  VLOOKUP(
    A41,
    IMPORTRANGE(
      ""1ZHMy3vVUd_0MrSduXTe1etBb1HNpAlGwQr006ljwMiM"",
      ""GSC最新!A:R""
    ),
    18,
    FALSE
  ),
  0
)
"),"")</f>
        <v/>
      </c>
      <c r="AD41" s="52">
        <f t="shared" ref="AD41:AE41" si="200">Z41-AB41</f>
        <v>2.404255319</v>
      </c>
      <c r="AE41" s="52">
        <f t="shared" si="200"/>
        <v>2.961538462</v>
      </c>
      <c r="AF41" s="53">
        <f>IFERROR(__xludf.DUMMYFUNCTION("IFERROR(
  VLOOKUP(
    A41,
    IMPORTRANGE(
      ""1ZHMy3vVUd_0MrSduXTe1etBb1HNpAlGwQr006ljwMiM"",
      ""GSC最新!A:F""
    ),
    6,
    FALSE
  ),
  0
)
"),46081.0)</f>
        <v>46081</v>
      </c>
      <c r="AG41" s="54">
        <f>IFERROR(__xludf.DUMMYFUNCTION("IFERROR(
  VLOOKUP(
    A41,
    IMPORTRANGE(
      ""1SCYQd7_cobOYqT0r_F0IqD4tE4rYn5y8Eup4PJTH8es"",
      ""Snapshot!A:M""
    ),
    5,
    FALSE
  ),
  ""-""
)
"),13.0)</f>
        <v>13</v>
      </c>
      <c r="AH41" s="54">
        <f>IFERROR(__xludf.DUMMYFUNCTION("IFERROR(
  VLOOKUP(
    A41,
    IMPORTRANGE(
      ""1SCYQd7_cobOYqT0r_F0IqD4tE4rYn5y8Eup4PJTH8es"",
      ""Snapshot!A:M""
    ),
    6,
    FALSE
  ),
  0
)
"),8.0)</f>
        <v>8</v>
      </c>
      <c r="AI41" s="54">
        <f>IFERROR(__xludf.DUMMYFUNCTION("IFERROR(
  VLOOKUP(
    A41,
    IMPORTRANGE(
      ""1SCYQd7_cobOYqT0r_F0IqD4tE4rYn5y8Eup4PJTH8es"",
      ""Snapshot!A:M""
    ),
    7,
    FALSE
  ),
  0
)
"),5249.0)</f>
        <v>5249</v>
      </c>
      <c r="AJ41" s="54">
        <f>IFERROR(__xludf.DUMMYFUNCTION("IFERROR(
  VLOOKUP(
    A41,
    IMPORTRANGE(
      ""1SCYQd7_cobOYqT0r_F0IqD4tE4rYn5y8Eup4PJTH8es"",
      ""Snapshot!A:M""
    ),
    8,
    FALSE
  ),
  0
)
"),4.0)</f>
        <v>4</v>
      </c>
      <c r="AK41" s="54">
        <f>IFERROR(__xludf.DUMMYFUNCTION("IFERROR(
  VLOOKUP(
    A41,
    IMPORTRANGE(
      ""1SCYQd7_cobOYqT0r_F0IqD4tE4rYn5y8Eup4PJTH8es"",
      ""Snapshot!A:M""
    ),
    9,
    FALSE
  ),
  0
)
"),4.0)</f>
        <v>4</v>
      </c>
      <c r="AL41" s="54">
        <f>IFERROR(__xludf.DUMMYFUNCTION("IFERROR(
  VLOOKUP(
    A41,
    IMPORTRANGE(
      ""1SCYQd7_cobOYqT0r_F0IqD4tE4rYn5y8Eup4PJTH8es"",
      ""Snapshot!A:M""
    ),
    13,
    FALSE
  ),
  0
)
"),2.0)</f>
        <v>2</v>
      </c>
    </row>
    <row r="42">
      <c r="A42" s="56" t="s">
        <v>325</v>
      </c>
      <c r="B42" s="1" t="str">
        <f>IFERROR(__xludf.DUMMYFUNCTION("IFERROR(
  VLOOKUP(
    A42,
    IMPORTRANGE(
      ""1ZygntHC1J6IxzKbTidmOyf5nUyW4GCLurHCjexrLm_o"",
      ""HTMLキャッシュ!A:F""
    ),
    2,
    FALSE
  ),
  0
)
"),"SP")</f>
        <v>SP</v>
      </c>
      <c r="C42" s="1" t="str">
        <f>IFERROR(__xludf.DUMMYFUNCTION("IFERROR(
  VLOOKUP(
    A42,
    IMPORTRANGE(
      ""1ZygntHC1J6IxzKbTidmOyf5nUyW4GCLurHCjexrLm_o"",
      ""HTMLキャッシュ!A:F""
    ),
    5,
    FALSE
  ),
  0
)
"),"中高一貫の英数個別指導｜学校教材で定期試験対策｜中1〜高1")</f>
        <v>中高一貫の英数個別指導｜学校教材で定期試験対策｜中1〜高1</v>
      </c>
      <c r="D42" s="1" t="str">
        <f>IFERROR(__xludf.DUMMYFUNCTION("IFERROR(
  VLOOKUP(
    A42,
    IMPORTRANGE(
      ""1ZygntHC1J6IxzKbTidmOyf5nUyW4GCLurHCjexrLm_o        "",
      ""HTMLキャッシュ!A:F""
    ),
    6,
    FALSE
  ),
  0
)
"),"中高一貫の英語・数学を完全1対1で学校対策。学校ワーク・プリント中心に、ミス原因を整理し、次の定期試験までの学習計画を作成。無料ヒアリング／教室・オンライン対応")</f>
        <v>中高一貫の英語・数学を完全1対1で学校対策。学校ワーク・プリント中心に、ミス原因を整理し、次の定期試験までの学習計画を作成。無料ヒアリング／教室・オンライン対応</v>
      </c>
      <c r="E42" s="49">
        <f t="shared" ref="E42:F42" si="201">LEN(C42)</f>
        <v>29</v>
      </c>
      <c r="F42" s="49">
        <f t="shared" si="201"/>
        <v>80</v>
      </c>
      <c r="G42" s="32">
        <f>IFERROR(__xludf.DUMMYFUNCTION("IFERROR(
  VLOOKUP(
    A42,
    IMPORTRANGE(
      ""1ZygntHC1J6IxzKbTidmOyf5nUyW4GCLurHCjexrLm_o        "",
      ""HTMLキャッシュ!A:F""
    ),
    3,
    FALSE
  ),
  0
)
"),46078.87943287037)</f>
        <v>46078.87943</v>
      </c>
      <c r="H42" s="49">
        <f>IFERROR(__xludf.DUMMYFUNCTION("IFERROR(
  VLOOKUP(
    A42,
    IMPORTRANGE(
      ""1ZHMy3vVUd_0MrSduXTe1etBb1HNpAlGwQr006ljwMiM"",
      ""GSC最新!A:F""
    ),
    2,
    FALSE
  ),
  0
)
"),1.0)</f>
        <v>1</v>
      </c>
      <c r="I42" s="49">
        <f>IFERROR(__xludf.DUMMYFUNCTION("IFERROR(
  VLOOKUP(
    A42,
    IMPORTRANGE(
      ""1ZHMy3vVUd_0MrSduXTe1etBb1HNpAlGwQr006ljwMiM"",
      ""GSC最新!A:F""
    ),
    3,
    FALSE
  ),
  0
)
"),1.0)</f>
        <v>1</v>
      </c>
      <c r="J42" s="49">
        <f>IFERROR(__xludf.DUMMYFUNCTION("IFERROR(
  VLOOKUP(
    A42,
    IMPORTRANGE(
      ""1ZHMy3vVUd_0MrSduXTe1etBb1HNpAlGwQr006ljwMiM"",
      ""GSC最新!A:F""
    ),
    4,
    FALSE
  ),
  0
)
"),0.0)</f>
        <v>0</v>
      </c>
      <c r="K42" s="49">
        <f>IFERROR(__xludf.DUMMYFUNCTION("IFERROR(
  VLOOKUP(
    A42,
    IMPORTRANGE(
      ""1ZHMy3vVUd_0MrSduXTe1etBb1HNpAlGwQr006ljwMiM"",
      ""GSC最新!A:F""
    ),
    5,
    FALSE
  ),
  0
)
"),1.0)</f>
        <v>1</v>
      </c>
      <c r="L42" s="50" t="str">
        <f t="shared" ref="L42:M42" si="202">IFERROR(H42/J42,"-")</f>
        <v>-</v>
      </c>
      <c r="M42" s="50">
        <f t="shared" si="202"/>
        <v>1</v>
      </c>
      <c r="N42" s="6">
        <f>IFERROR(__xludf.DUMMYFUNCTION("IFERROR(
  VLOOKUP(
    A42,
    IMPORTRANGE(
      ""1ZHMy3vVUd_0MrSduXTe1etBb1HNpAlGwQr006ljwMiM"",
      ""GSC最新!A:R""
    ),
    7,
    FALSE
  ),
  0
)
"),24.0)</f>
        <v>24</v>
      </c>
      <c r="O42" s="6">
        <f>IFERROR(__xludf.DUMMYFUNCTION("IFERROR(
  VLOOKUP(
    A42,
    IMPORTRANGE(
      ""1ZHMy3vVUd_0MrSduXTe1etBb1HNpAlGwQr006ljwMiM"",
      ""GSC最新!A:R""
    ),
    10,
    FALSE
  ),
  0
)
"),49.0)</f>
        <v>49</v>
      </c>
      <c r="P42" s="6">
        <f>IFERROR(__xludf.DUMMYFUNCTION("IFERROR(
  VLOOKUP(
    A42,
    IMPORTRANGE(
      ""1ZHMy3vVUd_0MrSduXTe1etBb1HNpAlGwQr006ljwMiM"",
      ""GSC最新!A:R""
    ),
    13,
    FALSE
  ),
  0
)
"),3.0)</f>
        <v>3</v>
      </c>
      <c r="Q42" s="6">
        <f>IFERROR(__xludf.DUMMYFUNCTION("IFERROR(
  VLOOKUP(
    A42,
    IMPORTRANGE(
      ""1ZHMy3vVUd_0MrSduXTe1etBb1HNpAlGwQr006ljwMiM"",
      ""GSC最新!A:R""
    ),
    16,
    FALSE
  ),
  0
)
"),10.0)</f>
        <v>10</v>
      </c>
      <c r="R42" s="51">
        <f t="shared" ref="R42:S42" si="203">IFERROR(N42/P42,"-")</f>
        <v>8</v>
      </c>
      <c r="S42" s="51">
        <f t="shared" si="203"/>
        <v>4.9</v>
      </c>
      <c r="T42" s="9">
        <f>IFERROR(__xludf.DUMMYFUNCTION("IFERROR(
  VLOOKUP(
    A42,
    IMPORTRANGE(
      ""1ZHMy3vVUd_0MrSduXTe1etBb1HNpAlGwQr006ljwMiM"",
      ""GSC最新!A:R""
    ),
    8,
    FALSE
  ),
  0
)
"),0.041666666666666664)</f>
        <v>0.04166666667</v>
      </c>
      <c r="U42" s="9">
        <f>IFERROR(__xludf.DUMMYFUNCTION("IFERROR(
  VLOOKUP(
    A42,
    IMPORTRANGE(
      ""1ZHMy3vVUd_0MrSduXTe1etBb1HNpAlGwQr006ljwMiM"",
      ""GSC最新!A:R""
    ),
    11,
    FALSE
  ),
  0
)
"),0.02040816326530612)</f>
        <v>0.02040816327</v>
      </c>
      <c r="V42" s="9">
        <f>IFERROR(__xludf.DUMMYFUNCTION("IFERROR(
  VLOOKUP(
    A42,
    IMPORTRANGE(
      ""1ZHMy3vVUd_0MrSduXTe1etBb1HNpAlGwQr006ljwMiM"",
      ""GSC最新!A:R""
    ),
    14,
    FALSE
  ),
  0
)
"),0.0)</f>
        <v>0</v>
      </c>
      <c r="W42" s="9">
        <f>IFERROR(__xludf.DUMMYFUNCTION("IFERROR(
  VLOOKUP(
    A42,
    IMPORTRANGE(
      ""1ZHMy3vVUd_0MrSduXTe1etBb1HNpAlGwQr006ljwMiM"",
      ""GSC最新!A:R""
    ),
    17,
    FALSE
  ),
  0
)
"),0.1)</f>
        <v>0.1</v>
      </c>
      <c r="X42" s="9">
        <f t="shared" ref="X42:Y42" si="204">IFERROR(T42-V42,"-")</f>
        <v>0.04166666667</v>
      </c>
      <c r="Y42" s="9">
        <f t="shared" si="204"/>
        <v>-0.07959183673</v>
      </c>
      <c r="Z42" s="52">
        <f>IFERROR(__xludf.DUMMYFUNCTION("IFERROR(
  VLOOKUP(
    A42,
    IMPORTRANGE(
      ""1ZHMy3vVUd_0MrSduXTe1etBb1HNpAlGwQr006ljwMiM"",
      ""GSC最新!A:R""
    ),
    9,
    FALSE
  ),
  0
)
"),4.333333333333334)</f>
        <v>4.333333333</v>
      </c>
      <c r="AA42" s="52">
        <f>IFERROR(__xludf.DUMMYFUNCTION("IFERROR(
  VLOOKUP(
    A42,
    IMPORTRANGE(
      ""1ZHMy3vVUd_0MrSduXTe1etBb1HNpAlGwQr006ljwMiM"",
      ""GSC最新!A:R""
    ),
    12,
    FALSE
  ),
  0
)
"),3.7551020408163267)</f>
        <v>3.755102041</v>
      </c>
      <c r="AB42" s="52">
        <f>IFERROR(__xludf.DUMMYFUNCTION("IFERROR(
  VLOOKUP(
    A42,
    IMPORTRANGE(
      ""1ZHMy3vVUd_0MrSduXTe1etBb1HNpAlGwQr006ljwMiM"",
      ""GSC最新!A:R""
    ),
    15,
    FALSE
  ),
  0
)
"),10.666666666666666)</f>
        <v>10.66666667</v>
      </c>
      <c r="AC42" s="52">
        <f>IFERROR(__xludf.DUMMYFUNCTION("IFERROR(
  VLOOKUP(
    A42,
    IMPORTRANGE(
      ""1ZHMy3vVUd_0MrSduXTe1etBb1HNpAlGwQr006ljwMiM"",
      ""GSC最新!A:R""
    ),
    18,
    FALSE
  ),
  0
)
"),10.7)</f>
        <v>10.7</v>
      </c>
      <c r="AD42" s="52">
        <f t="shared" ref="AD42:AE42" si="205">Z42-AB42</f>
        <v>-6.333333333</v>
      </c>
      <c r="AE42" s="52">
        <f t="shared" si="205"/>
        <v>-6.944897959</v>
      </c>
      <c r="AF42" s="53">
        <f>IFERROR(__xludf.DUMMYFUNCTION("IFERROR(
  VLOOKUP(
    A42,
    IMPORTRANGE(
      ""1ZHMy3vVUd_0MrSduXTe1etBb1HNpAlGwQr006ljwMiM"",
      ""GSC最新!A:F""
    ),
    6,
    FALSE
  ),
  0
)
"),46081.0)</f>
        <v>46081</v>
      </c>
      <c r="AG42" s="54">
        <f>IFERROR(__xludf.DUMMYFUNCTION("IFERROR(
  VLOOKUP(
    A42,
    IMPORTRANGE(
      ""1SCYQd7_cobOYqT0r_F0IqD4tE4rYn5y8Eup4PJTH8es"",
      ""Snapshot!A:M""
    ),
    5,
    FALSE
  ),
  ""-""
)
"),11.0)</f>
        <v>11</v>
      </c>
      <c r="AH42" s="54">
        <f>IFERROR(__xludf.DUMMYFUNCTION("IFERROR(
  VLOOKUP(
    A42,
    IMPORTRANGE(
      ""1SCYQd7_cobOYqT0r_F0IqD4tE4rYn5y8Eup4PJTH8es"",
      ""Snapshot!A:M""
    ),
    6,
    FALSE
  ),
  0
)
"),21.0)</f>
        <v>21</v>
      </c>
      <c r="AI42" s="54">
        <f>IFERROR(__xludf.DUMMYFUNCTION("IFERROR(
  VLOOKUP(
    A42,
    IMPORTRANGE(
      ""1SCYQd7_cobOYqT0r_F0IqD4tE4rYn5y8Eup4PJTH8es"",
      ""Snapshot!A:M""
    ),
    7,
    FALSE
  ),
  0
)
"),4206.0)</f>
        <v>4206</v>
      </c>
      <c r="AJ42" s="54">
        <f>IFERROR(__xludf.DUMMYFUNCTION("IFERROR(
  VLOOKUP(
    A42,
    IMPORTRANGE(
      ""1SCYQd7_cobOYqT0r_F0IqD4tE4rYn5y8Eup4PJTH8es"",
      ""Snapshot!A:M""
    ),
    8,
    FALSE
  ),
  0
)
"),10.0)</f>
        <v>10</v>
      </c>
      <c r="AK42" s="54">
        <f>IFERROR(__xludf.DUMMYFUNCTION("IFERROR(
  VLOOKUP(
    A42,
    IMPORTRANGE(
      ""1SCYQd7_cobOYqT0r_F0IqD4tE4rYn5y8Eup4PJTH8es"",
      ""Snapshot!A:M""
    ),
    9,
    FALSE
  ),
  0
)
"),6.0)</f>
        <v>6</v>
      </c>
      <c r="AL42" s="54">
        <f>IFERROR(__xludf.DUMMYFUNCTION("IFERROR(
  VLOOKUP(
    A42,
    IMPORTRANGE(
      ""1SCYQd7_cobOYqT0r_F0IqD4tE4rYn5y8Eup4PJTH8es"",
      ""Snapshot!A:M""
    ),
    13,
    FALSE
  ),
  0
)
"),2.0)</f>
        <v>2</v>
      </c>
    </row>
    <row r="43">
      <c r="A43" s="57" t="s">
        <v>326</v>
      </c>
      <c r="B43" s="1" t="str">
        <f>IFERROR(__xludf.DUMMYFUNCTION("IFERROR(
  VLOOKUP(
    A43,
    IMPORTRANGE(
      ""1ZygntHC1J6IxzKbTidmOyf5nUyW4GCLurHCjexrLm_o"",
      ""HTMLキャッシュ!A:F""
    ),
    2,
    FALSE
  ),
  0
)
"),"SP")</f>
        <v>SP</v>
      </c>
      <c r="C43" s="1" t="str">
        <f>IFERROR(__xludf.DUMMYFUNCTION("IFERROR(
  VLOOKUP(
    A43,
    IMPORTRANGE(
      ""1ZygntHC1J6IxzKbTidmOyf5nUyW4GCLurHCjexrLm_o"",
      ""HTMLキャッシュ!A:F""
    ),
    5,
    FALSE
  ),
  0
)
"),"中学受験国語の個別指導講座｜読解基礎を固めるオンライン塾")</f>
        <v>中学受験国語の個別指導講座｜読解基礎を固めるオンライン塾</v>
      </c>
      <c r="D43" s="1" t="str">
        <f>IFERROR(__xludf.DUMMYFUNCTION("IFERROR(
  VLOOKUP(
    A43,
    IMPORTRANGE(
      ""1ZygntHC1J6IxzKbTidmOyf5nUyW4GCLurHCjexrLm_o        "",
      ""HTMLキャッシュ!A:F""
    ),
    6,
    FALSE
  ),
  0
)
"),"読めているのに点が取れない小学生向け。個別指導で根拠整理から答案作成まで徹底指導。無料相談受付中今すぐオンライン対応可能です")</f>
        <v>読めているのに点が取れない小学生向け。個別指導で根拠整理から答案作成まで徹底指導。無料相談受付中今すぐオンライン対応可能です</v>
      </c>
      <c r="E43" s="49">
        <f t="shared" ref="E43:F43" si="206">LEN(C43)</f>
        <v>28</v>
      </c>
      <c r="F43" s="49">
        <f t="shared" si="206"/>
        <v>62</v>
      </c>
      <c r="G43" s="32">
        <f>IFERROR(__xludf.DUMMYFUNCTION("IFERROR(
  VLOOKUP(
    A43,
    IMPORTRANGE(
      ""1ZygntHC1J6IxzKbTidmOyf5nUyW4GCLurHCjexrLm_o        "",
      ""HTMLキャッシュ!A:F""
    ),
    3,
    FALSE
  ),
  0
)
"),46076.79371527778)</f>
        <v>46076.79372</v>
      </c>
      <c r="H43" s="49">
        <f>IFERROR(__xludf.DUMMYFUNCTION("IFERROR(
  VLOOKUP(
    A43,
    IMPORTRANGE(
      ""1ZHMy3vVUd_0MrSduXTe1etBb1HNpAlGwQr006ljwMiM"",
      ""GSC最新!A:F""
    ),
    2,
    FALSE
  ),
  0
)
"),2.0)</f>
        <v>2</v>
      </c>
      <c r="I43" s="49">
        <f>IFERROR(__xludf.DUMMYFUNCTION("IFERROR(
  VLOOKUP(
    A43,
    IMPORTRANGE(
      ""1ZHMy3vVUd_0MrSduXTe1etBb1HNpAlGwQr006ljwMiM"",
      ""GSC最新!A:F""
    ),
    3,
    FALSE
  ),
  0
)
"),4.0)</f>
        <v>4</v>
      </c>
      <c r="J43" s="49">
        <f>IFERROR(__xludf.DUMMYFUNCTION("IFERROR(
  VLOOKUP(
    A43,
    IMPORTRANGE(
      ""1ZHMy3vVUd_0MrSduXTe1etBb1HNpAlGwQr006ljwMiM"",
      ""GSC最新!A:F""
    ),
    4,
    FALSE
  ),
  0
)
"),0.0)</f>
        <v>0</v>
      </c>
      <c r="K43" s="49">
        <f>IFERROR(__xludf.DUMMYFUNCTION("IFERROR(
  VLOOKUP(
    A43,
    IMPORTRANGE(
      ""1ZHMy3vVUd_0MrSduXTe1etBb1HNpAlGwQr006ljwMiM"",
      ""GSC最新!A:F""
    ),
    5,
    FALSE
  ),
  0
)
"),4.0)</f>
        <v>4</v>
      </c>
      <c r="L43" s="50" t="str">
        <f t="shared" ref="L43:M43" si="207">IFERROR(H43/J43,"-")</f>
        <v>-</v>
      </c>
      <c r="M43" s="50">
        <f t="shared" si="207"/>
        <v>1</v>
      </c>
      <c r="N43" s="6">
        <f>IFERROR(__xludf.DUMMYFUNCTION("IFERROR(
  VLOOKUP(
    A43,
    IMPORTRANGE(
      ""1ZHMy3vVUd_0MrSduXTe1etBb1HNpAlGwQr006ljwMiM"",
      ""GSC最新!A:R""
    ),
    7,
    FALSE
  ),
  0
)
"),22.0)</f>
        <v>22</v>
      </c>
      <c r="O43" s="6">
        <f>IFERROR(__xludf.DUMMYFUNCTION("IFERROR(
  VLOOKUP(
    A43,
    IMPORTRANGE(
      ""1ZHMy3vVUd_0MrSduXTe1etBb1HNpAlGwQr006ljwMiM"",
      ""GSC最新!A:R""
    ),
    10,
    FALSE
  ),
  0
)
"),48.0)</f>
        <v>48</v>
      </c>
      <c r="P43" s="6">
        <f>IFERROR(__xludf.DUMMYFUNCTION("IFERROR(
  VLOOKUP(
    A43,
    IMPORTRANGE(
      ""1ZHMy3vVUd_0MrSduXTe1etBb1HNpAlGwQr006ljwMiM"",
      ""GSC最新!A:R""
    ),
    13,
    FALSE
  ),
  0
)
"),23.0)</f>
        <v>23</v>
      </c>
      <c r="Q43" s="6">
        <f>IFERROR(__xludf.DUMMYFUNCTION("IFERROR(
  VLOOKUP(
    A43,
    IMPORTRANGE(
      ""1ZHMy3vVUd_0MrSduXTe1etBb1HNpAlGwQr006ljwMiM"",
      ""GSC最新!A:R""
    ),
    16,
    FALSE
  ),
  0
)
"),105.0)</f>
        <v>105</v>
      </c>
      <c r="R43" s="51">
        <f t="shared" ref="R43:S43" si="208">IFERROR(N43/P43,"-")</f>
        <v>0.9565217391</v>
      </c>
      <c r="S43" s="51">
        <f t="shared" si="208"/>
        <v>0.4571428571</v>
      </c>
      <c r="T43" s="9">
        <f>IFERROR(__xludf.DUMMYFUNCTION("IFERROR(
  VLOOKUP(
    A43,
    IMPORTRANGE(
      ""1ZHMy3vVUd_0MrSduXTe1etBb1HNpAlGwQr006ljwMiM"",
      ""GSC最新!A:R""
    ),
    8,
    FALSE
  ),
  0
)
"),0.09090909090909091)</f>
        <v>0.09090909091</v>
      </c>
      <c r="U43" s="9">
        <f>IFERROR(__xludf.DUMMYFUNCTION("IFERROR(
  VLOOKUP(
    A43,
    IMPORTRANGE(
      ""1ZHMy3vVUd_0MrSduXTe1etBb1HNpAlGwQr006ljwMiM"",
      ""GSC最新!A:R""
    ),
    11,
    FALSE
  ),
  0
)
"),0.08333333333333333)</f>
        <v>0.08333333333</v>
      </c>
      <c r="V43" s="9">
        <f>IFERROR(__xludf.DUMMYFUNCTION("IFERROR(
  VLOOKUP(
    A43,
    IMPORTRANGE(
      ""1ZHMy3vVUd_0MrSduXTe1etBb1HNpAlGwQr006ljwMiM"",
      ""GSC最新!A:R""
    ),
    14,
    FALSE
  ),
  0
)
"),0.0)</f>
        <v>0</v>
      </c>
      <c r="W43" s="9">
        <f>IFERROR(__xludf.DUMMYFUNCTION("IFERROR(
  VLOOKUP(
    A43,
    IMPORTRANGE(
      ""1ZHMy3vVUd_0MrSduXTe1etBb1HNpAlGwQr006ljwMiM"",
      ""GSC最新!A:R""
    ),
    17,
    FALSE
  ),
  0
)
"),0.0380952380952381)</f>
        <v>0.0380952381</v>
      </c>
      <c r="X43" s="9">
        <f t="shared" ref="X43:Y43" si="209">IFERROR(T43-V43,"-")</f>
        <v>0.09090909091</v>
      </c>
      <c r="Y43" s="9">
        <f t="shared" si="209"/>
        <v>0.04523809524</v>
      </c>
      <c r="Z43" s="52">
        <f>IFERROR(__xludf.DUMMYFUNCTION("IFERROR(
  VLOOKUP(
    A43,
    IMPORTRANGE(
      ""1ZHMy3vVUd_0MrSduXTe1etBb1HNpAlGwQr006ljwMiM"",
      ""GSC最新!A:R""
    ),
    9,
    FALSE
  ),
  0
)
"),5.636363636363637)</f>
        <v>5.636363636</v>
      </c>
      <c r="AA43" s="52">
        <f>IFERROR(__xludf.DUMMYFUNCTION("IFERROR(
  VLOOKUP(
    A43,
    IMPORTRANGE(
      ""1ZHMy3vVUd_0MrSduXTe1etBb1HNpAlGwQr006ljwMiM"",
      ""GSC最新!A:R""
    ),
    12,
    FALSE
  ),
  0
)
"),4.833333333333334)</f>
        <v>4.833333333</v>
      </c>
      <c r="AB43" s="52">
        <f>IFERROR(__xludf.DUMMYFUNCTION("IFERROR(
  VLOOKUP(
    A43,
    IMPORTRANGE(
      ""1ZHMy3vVUd_0MrSduXTe1etBb1HNpAlGwQr006ljwMiM"",
      ""GSC最新!A:R""
    ),
    15,
    FALSE
  ),
  0
)
"),6.173913043478261)</f>
        <v>6.173913043</v>
      </c>
      <c r="AC43" s="52">
        <f>IFERROR(__xludf.DUMMYFUNCTION("IFERROR(
  VLOOKUP(
    A43,
    IMPORTRANGE(
      ""1ZHMy3vVUd_0MrSduXTe1etBb1HNpAlGwQr006ljwMiM"",
      ""GSC最新!A:R""
    ),
    18,
    FALSE
  ),
  0
)
"),11.876190476190477)</f>
        <v>11.87619048</v>
      </c>
      <c r="AD43" s="52">
        <f t="shared" ref="AD43:AE43" si="210">Z43-AB43</f>
        <v>-0.5375494071</v>
      </c>
      <c r="AE43" s="52">
        <f t="shared" si="210"/>
        <v>-7.042857143</v>
      </c>
      <c r="AF43" s="53">
        <f>IFERROR(__xludf.DUMMYFUNCTION("IFERROR(
  VLOOKUP(
    A43,
    IMPORTRANGE(
      ""1ZHMy3vVUd_0MrSduXTe1etBb1HNpAlGwQr006ljwMiM"",
      ""GSC最新!A:F""
    ),
    6,
    FALSE
  ),
  0
)
"),46081.0)</f>
        <v>46081</v>
      </c>
      <c r="AG43" s="54">
        <f>IFERROR(__xludf.DUMMYFUNCTION("IFERROR(
  VLOOKUP(
    A43,
    IMPORTRANGE(
      ""1SCYQd7_cobOYqT0r_F0IqD4tE4rYn5y8Eup4PJTH8es"",
      ""Snapshot!A:M""
    ),
    5,
    FALSE
  ),
  ""-""
)
"),1.0)</f>
        <v>1</v>
      </c>
      <c r="AH43" s="54">
        <f>IFERROR(__xludf.DUMMYFUNCTION("IFERROR(
  VLOOKUP(
    A43,
    IMPORTRANGE(
      ""1SCYQd7_cobOYqT0r_F0IqD4tE4rYn5y8Eup4PJTH8es"",
      ""Snapshot!A:M""
    ),
    6,
    FALSE
  ),
  0
)
"),12.0)</f>
        <v>12</v>
      </c>
      <c r="AI43" s="54">
        <f>IFERROR(__xludf.DUMMYFUNCTION("IFERROR(
  VLOOKUP(
    A43,
    IMPORTRANGE(
      ""1SCYQd7_cobOYqT0r_F0IqD4tE4rYn5y8Eup4PJTH8es"",
      ""Snapshot!A:M""
    ),
    7,
    FALSE
  ),
  0
)
"),1938.0)</f>
        <v>1938</v>
      </c>
      <c r="AJ43" s="54">
        <f>IFERROR(__xludf.DUMMYFUNCTION("IFERROR(
  VLOOKUP(
    A43,
    IMPORTRANGE(
      ""1SCYQd7_cobOYqT0r_F0IqD4tE4rYn5y8Eup4PJTH8es"",
      ""Snapshot!A:M""
    ),
    8,
    FALSE
  ),
  0
)
"),2.0)</f>
        <v>2</v>
      </c>
      <c r="AK43" s="54">
        <f>IFERROR(__xludf.DUMMYFUNCTION("IFERROR(
  VLOOKUP(
    A43,
    IMPORTRANGE(
      ""1SCYQd7_cobOYqT0r_F0IqD4tE4rYn5y8Eup4PJTH8es"",
      ""Snapshot!A:M""
    ),
    9,
    FALSE
  ),
  0
)
"),1.0)</f>
        <v>1</v>
      </c>
      <c r="AL43" s="54">
        <f>IFERROR(__xludf.DUMMYFUNCTION("IFERROR(
  VLOOKUP(
    A43,
    IMPORTRANGE(
      ""1SCYQd7_cobOYqT0r_F0IqD4tE4rYn5y8Eup4PJTH8es"",
      ""Snapshot!A:M""
    ),
    13,
    FALSE
  ),
  0
)
"),2.0)</f>
        <v>2</v>
      </c>
    </row>
    <row r="44">
      <c r="A44" s="56" t="s">
        <v>327</v>
      </c>
      <c r="B44" s="1" t="str">
        <f>IFERROR(__xludf.DUMMYFUNCTION("IFERROR(
  VLOOKUP(
    A44,
    IMPORTRANGE(
      ""1ZygntHC1J6IxzKbTidmOyf5nUyW4GCLurHCjexrLm_o"",
      ""HTMLキャッシュ!A:F""
    ),
    2,
    FALSE
  ),
  0
)
"),"SP")</f>
        <v>SP</v>
      </c>
      <c r="C44" s="1" t="str">
        <f>IFERROR(__xludf.DUMMYFUNCTION("IFERROR(
  VLOOKUP(
    A44,
    IMPORTRANGE(
      ""1ZygntHC1J6IxzKbTidmOyf5nUyW4GCLurHCjexrLm_o"",
      ""HTMLキャッシュ!A:F""
    ),
    5,
    FALSE
  ),
  0
)
"),"都立自校作成校英語読解20分攻略個別指導講座｜オンライン塾")</f>
        <v>都立自校作成校英語読解20分攻略個別指導講座｜オンライン塾</v>
      </c>
      <c r="D44" s="1" t="str">
        <f>IFERROR(__xludf.DUMMYFUNCTION("IFERROR(
  VLOOKUP(
    A44,
    IMPORTRANGE(
      ""1ZygntHC1J6IxzKbTidmOyf5nUyW4GCLurHCjexrLm_o        "",
      ""HTMLキャッシュ!A:F""
    ),
    6,
    FALSE
  ),
  0
)
"),"長文が時間内に終わらない受験生へ。段落把握×音読の個別指導で速読精読を両立し20分完走へ導く。オンライン体験受付中、今すぐ相談")</f>
        <v>長文が時間内に終わらない受験生へ。段落把握×音読の個別指導で速読精読を両立し20分完走へ導く。オンライン体験受付中、今すぐ相談</v>
      </c>
      <c r="E44" s="49">
        <f t="shared" ref="E44:F44" si="211">LEN(C44)</f>
        <v>29</v>
      </c>
      <c r="F44" s="49">
        <f t="shared" si="211"/>
        <v>63</v>
      </c>
      <c r="G44" s="32">
        <f>IFERROR(__xludf.DUMMYFUNCTION("IFERROR(
  VLOOKUP(
    A44,
    IMPORTRANGE(
      ""1ZygntHC1J6IxzKbTidmOyf5nUyW4GCLurHCjexrLm_o        "",
      ""HTMLキャッシュ!A:F""
    ),
    3,
    FALSE
  ),
  0
)
"),46081.769537037035)</f>
        <v>46081.76954</v>
      </c>
      <c r="H44" s="49">
        <f>IFERROR(__xludf.DUMMYFUNCTION("IFERROR(
  VLOOKUP(
    A44,
    IMPORTRANGE(
      ""1ZHMy3vVUd_0MrSduXTe1etBb1HNpAlGwQr006ljwMiM"",
      ""GSC最新!A:F""
    ),
    2,
    FALSE
  ),
  0
)
"),0.0)</f>
        <v>0</v>
      </c>
      <c r="I44" s="49">
        <f>IFERROR(__xludf.DUMMYFUNCTION("IFERROR(
  VLOOKUP(
    A44,
    IMPORTRANGE(
      ""1ZHMy3vVUd_0MrSduXTe1etBb1HNpAlGwQr006ljwMiM"",
      ""GSC最新!A:F""
    ),
    3,
    FALSE
  ),
  0
)
"),1.0)</f>
        <v>1</v>
      </c>
      <c r="J44" s="49">
        <f>IFERROR(__xludf.DUMMYFUNCTION("IFERROR(
  VLOOKUP(
    A44,
    IMPORTRANGE(
      ""1ZHMy3vVUd_0MrSduXTe1etBb1HNpAlGwQr006ljwMiM"",
      ""GSC最新!A:F""
    ),
    4,
    FALSE
  ),
  0
)
"),0.0)</f>
        <v>0</v>
      </c>
      <c r="K44" s="49">
        <f>IFERROR(__xludf.DUMMYFUNCTION("IFERROR(
  VLOOKUP(
    A44,
    IMPORTRANGE(
      ""1ZHMy3vVUd_0MrSduXTe1etBb1HNpAlGwQr006ljwMiM"",
      ""GSC最新!A:F""
    ),
    5,
    FALSE
  ),
  0
)
"),1.0)</f>
        <v>1</v>
      </c>
      <c r="L44" s="50" t="str">
        <f t="shared" ref="L44:M44" si="212">IFERROR(H44/J44,"-")</f>
        <v>-</v>
      </c>
      <c r="M44" s="50">
        <f t="shared" si="212"/>
        <v>1</v>
      </c>
      <c r="N44" s="6">
        <f>IFERROR(__xludf.DUMMYFUNCTION("IFERROR(
  VLOOKUP(
    A44,
    IMPORTRANGE(
      ""1ZHMy3vVUd_0MrSduXTe1etBb1HNpAlGwQr006ljwMiM"",
      ""GSC最新!A:R""
    ),
    7,
    FALSE
  ),
  0
)
"),18.0)</f>
        <v>18</v>
      </c>
      <c r="O44" s="6">
        <f>IFERROR(__xludf.DUMMYFUNCTION("IFERROR(
  VLOOKUP(
    A44,
    IMPORTRANGE(
      ""1ZHMy3vVUd_0MrSduXTe1etBb1HNpAlGwQr006ljwMiM"",
      ""GSC最新!A:R""
    ),
    10,
    FALSE
  ),
  0
)
"),44.0)</f>
        <v>44</v>
      </c>
      <c r="P44" s="6">
        <f>IFERROR(__xludf.DUMMYFUNCTION("IFERROR(
  VLOOKUP(
    A44,
    IMPORTRANGE(
      ""1ZHMy3vVUd_0MrSduXTe1etBb1HNpAlGwQr006ljwMiM"",
      ""GSC最新!A:R""
    ),
    13,
    FALSE
  ),
  0
)
"),2.0)</f>
        <v>2</v>
      </c>
      <c r="Q44" s="6">
        <f>IFERROR(__xludf.DUMMYFUNCTION("IFERROR(
  VLOOKUP(
    A44,
    IMPORTRANGE(
      ""1ZHMy3vVUd_0MrSduXTe1etBb1HNpAlGwQr006ljwMiM"",
      ""GSC最新!A:R""
    ),
    16,
    FALSE
  ),
  0
)
"),36.0)</f>
        <v>36</v>
      </c>
      <c r="R44" s="51">
        <f t="shared" ref="R44:S44" si="213">IFERROR(N44/P44,"-")</f>
        <v>9</v>
      </c>
      <c r="S44" s="51">
        <f t="shared" si="213"/>
        <v>1.222222222</v>
      </c>
      <c r="T44" s="9">
        <f>IFERROR(__xludf.DUMMYFUNCTION("IFERROR(
  VLOOKUP(
    A44,
    IMPORTRANGE(
      ""1ZHMy3vVUd_0MrSduXTe1etBb1HNpAlGwQr006ljwMiM"",
      ""GSC最新!A:R""
    ),
    8,
    FALSE
  ),
  0
)
"),0.0)</f>
        <v>0</v>
      </c>
      <c r="U44" s="9">
        <f>IFERROR(__xludf.DUMMYFUNCTION("IFERROR(
  VLOOKUP(
    A44,
    IMPORTRANGE(
      ""1ZHMy3vVUd_0MrSduXTe1etBb1HNpAlGwQr006ljwMiM"",
      ""GSC最新!A:R""
    ),
    11,
    FALSE
  ),
  0
)
"),0.022727272727272728)</f>
        <v>0.02272727273</v>
      </c>
      <c r="V44" s="9">
        <f>IFERROR(__xludf.DUMMYFUNCTION("IFERROR(
  VLOOKUP(
    A44,
    IMPORTRANGE(
      ""1ZHMy3vVUd_0MrSduXTe1etBb1HNpAlGwQr006ljwMiM"",
      ""GSC最新!A:R""
    ),
    14,
    FALSE
  ),
  0
)
"),0.0)</f>
        <v>0</v>
      </c>
      <c r="W44" s="9">
        <f>IFERROR(__xludf.DUMMYFUNCTION("IFERROR(
  VLOOKUP(
    A44,
    IMPORTRANGE(
      ""1ZHMy3vVUd_0MrSduXTe1etBb1HNpAlGwQr006ljwMiM"",
      ""GSC最新!A:R""
    ),
    17,
    FALSE
  ),
  0
)
"),0.027777777777777776)</f>
        <v>0.02777777778</v>
      </c>
      <c r="X44" s="9">
        <f t="shared" ref="X44:Y44" si="214">IFERROR(T44-V44,"-")</f>
        <v>0</v>
      </c>
      <c r="Y44" s="9">
        <f t="shared" si="214"/>
        <v>-0.005050505051</v>
      </c>
      <c r="Z44" s="52">
        <f>IFERROR(__xludf.DUMMYFUNCTION("IFERROR(
  VLOOKUP(
    A44,
    IMPORTRANGE(
      ""1ZHMy3vVUd_0MrSduXTe1etBb1HNpAlGwQr006ljwMiM"",
      ""GSC最新!A:R""
    ),
    9,
    FALSE
  ),
  0
)
"),6.166666666666667)</f>
        <v>6.166666667</v>
      </c>
      <c r="AA44" s="52">
        <f>IFERROR(__xludf.DUMMYFUNCTION("IFERROR(
  VLOOKUP(
    A44,
    IMPORTRANGE(
      ""1ZHMy3vVUd_0MrSduXTe1etBb1HNpAlGwQr006ljwMiM"",
      ""GSC最新!A:R""
    ),
    12,
    FALSE
  ),
  0
)
"),5.0)</f>
        <v>5</v>
      </c>
      <c r="AB44" s="52">
        <f>IFERROR(__xludf.DUMMYFUNCTION("IFERROR(
  VLOOKUP(
    A44,
    IMPORTRANGE(
      ""1ZHMy3vVUd_0MrSduXTe1etBb1HNpAlGwQr006ljwMiM"",
      ""GSC最新!A:R""
    ),
    15,
    FALSE
  ),
  0
)
"),8.0)</f>
        <v>8</v>
      </c>
      <c r="AC44" s="52">
        <f>IFERROR(__xludf.DUMMYFUNCTION("IFERROR(
  VLOOKUP(
    A44,
    IMPORTRANGE(
      ""1ZHMy3vVUd_0MrSduXTe1etBb1HNpAlGwQr006ljwMiM"",
      ""GSC最新!A:R""
    ),
    18,
    FALSE
  ),
  0
)
"),27.25)</f>
        <v>27.25</v>
      </c>
      <c r="AD44" s="52">
        <f t="shared" ref="AD44:AE44" si="215">Z44-AB44</f>
        <v>-1.833333333</v>
      </c>
      <c r="AE44" s="52">
        <f t="shared" si="215"/>
        <v>-22.25</v>
      </c>
      <c r="AF44" s="53">
        <f>IFERROR(__xludf.DUMMYFUNCTION("IFERROR(
  VLOOKUP(
    A44,
    IMPORTRANGE(
      ""1ZHMy3vVUd_0MrSduXTe1etBb1HNpAlGwQr006ljwMiM"",
      ""GSC最新!A:F""
    ),
    6,
    FALSE
  ),
  0
)
"),46081.0)</f>
        <v>46081</v>
      </c>
      <c r="AG44" s="54">
        <f>IFERROR(__xludf.DUMMYFUNCTION("IFERROR(
  VLOOKUP(
    A44,
    IMPORTRANGE(
      ""1SCYQd7_cobOYqT0r_F0IqD4tE4rYn5y8Eup4PJTH8es"",
      ""Snapshot!A:M""
    ),
    5,
    FALSE
  ),
  ""-""
)
"),5.0)</f>
        <v>5</v>
      </c>
      <c r="AH44" s="54">
        <f>IFERROR(__xludf.DUMMYFUNCTION("IFERROR(
  VLOOKUP(
    A44,
    IMPORTRANGE(
      ""1SCYQd7_cobOYqT0r_F0IqD4tE4rYn5y8Eup4PJTH8es"",
      ""Snapshot!A:M""
    ),
    6,
    FALSE
  ),
  0
)
"),5.0)</f>
        <v>5</v>
      </c>
      <c r="AI44" s="54">
        <f>IFERROR(__xludf.DUMMYFUNCTION("IFERROR(
  VLOOKUP(
    A44,
    IMPORTRANGE(
      ""1SCYQd7_cobOYqT0r_F0IqD4tE4rYn5y8Eup4PJTH8es"",
      ""Snapshot!A:M""
    ),
    7,
    FALSE
  ),
  0
)
"),3053.0)</f>
        <v>3053</v>
      </c>
      <c r="AJ44" s="54">
        <f>IFERROR(__xludf.DUMMYFUNCTION("IFERROR(
  VLOOKUP(
    A44,
    IMPORTRANGE(
      ""1SCYQd7_cobOYqT0r_F0IqD4tE4rYn5y8Eup4PJTH8es"",
      ""Snapshot!A:M""
    ),
    8,
    FALSE
  ),
  0
)
"),1.0)</f>
        <v>1</v>
      </c>
      <c r="AK44" s="54">
        <f>IFERROR(__xludf.DUMMYFUNCTION("IFERROR(
  VLOOKUP(
    A44,
    IMPORTRANGE(
      ""1SCYQd7_cobOYqT0r_F0IqD4tE4rYn5y8Eup4PJTH8es"",
      ""Snapshot!A:M""
    ),
    9,
    FALSE
  ),
  0
)
"),1.0)</f>
        <v>1</v>
      </c>
      <c r="AL44" s="54">
        <f>IFERROR(__xludf.DUMMYFUNCTION("IFERROR(
  VLOOKUP(
    A44,
    IMPORTRANGE(
      ""1SCYQd7_cobOYqT0r_F0IqD4tE4rYn5y8Eup4PJTH8es"",
      ""Snapshot!A:M""
    ),
    13,
    FALSE
  ),
  0
)
"),1.0)</f>
        <v>1</v>
      </c>
    </row>
    <row r="45">
      <c r="A45" s="57" t="s">
        <v>328</v>
      </c>
      <c r="B45" s="1" t="str">
        <f>IFERROR(__xludf.DUMMYFUNCTION("IFERROR(
  VLOOKUP(
    A45,
    IMPORTRANGE(
      ""1ZygntHC1J6IxzKbTidmOyf5nUyW4GCLurHCjexrLm_o"",
      ""HTMLキャッシュ!A:F""
    ),
    2,
    FALSE
  ),
  0
)
"),"SP")</f>
        <v>SP</v>
      </c>
      <c r="C45" s="1" t="str">
        <f>IFERROR(__xludf.DUMMYFUNCTION("IFERROR(
  VLOOKUP(
    A45,
    IMPORTRANGE(
      ""1ZygntHC1J6IxzKbTidmOyf5nUyW4GCLurHCjexrLm_o"",
      ""HTMLキャッシュ!A:F""
    ),
    5,
    FALSE
  ),
  0
)
"),"中高一貫校中1英語完全個別指導講座｜基礎土台固めオンライン塾")</f>
        <v>中高一貫校中1英語完全個別指導講座｜基礎土台固めオンライン塾</v>
      </c>
      <c r="D45" s="1" t="str">
        <f>IFERROR(__xludf.DUMMYFUNCTION("IFERROR(
  VLOOKUP(
    A45,
    IMPORTRANGE(
      ""1ZygntHC1J6IxzKbTidmOyf5nUyW4GCLurHCjexrLm_o        "",
      ""HTMLキャッシュ!A:F""
    ),
    6,
    FALSE
  ),
  0
)
"),"中1英語が苦手な中高一貫生へ。文法・語彙・読解を1対1個別指導で定着し、定期試験・英検も対応。オンライン体験受付中")</f>
        <v>中1英語が苦手な中高一貫生へ。文法・語彙・読解を1対1個別指導で定着し、定期試験・英検も対応。オンライン体験受付中</v>
      </c>
      <c r="E45" s="49">
        <f t="shared" ref="E45:F45" si="216">LEN(C45)</f>
        <v>30</v>
      </c>
      <c r="F45" s="49">
        <f t="shared" si="216"/>
        <v>57</v>
      </c>
      <c r="G45" s="32">
        <f>IFERROR(__xludf.DUMMYFUNCTION("IFERROR(
  VLOOKUP(
    A45,
    IMPORTRANGE(
      ""1ZygntHC1J6IxzKbTidmOyf5nUyW4GCLurHCjexrLm_o        "",
      ""HTMLキャッシュ!A:F""
    ),
    3,
    FALSE
  ),
  0
)
"),46081.677465277775)</f>
        <v>46081.67747</v>
      </c>
      <c r="H45" s="49">
        <f>IFERROR(__xludf.DUMMYFUNCTION("IFERROR(
  VLOOKUP(
    A45,
    IMPORTRANGE(
      ""1ZHMy3vVUd_0MrSduXTe1etBb1HNpAlGwQr006ljwMiM"",
      ""GSC最新!A:F""
    ),
    2,
    FALSE
  ),
  0
)
"),0.0)</f>
        <v>0</v>
      </c>
      <c r="I45" s="49">
        <f>IFERROR(__xludf.DUMMYFUNCTION("IFERROR(
  VLOOKUP(
    A45,
    IMPORTRANGE(
      ""1ZHMy3vVUd_0MrSduXTe1etBb1HNpAlGwQr006ljwMiM"",
      ""GSC最新!A:F""
    ),
    3,
    FALSE
  ),
  0
)
"),0.0)</f>
        <v>0</v>
      </c>
      <c r="J45" s="49">
        <f>IFERROR(__xludf.DUMMYFUNCTION("IFERROR(
  VLOOKUP(
    A45,
    IMPORTRANGE(
      ""1ZHMy3vVUd_0MrSduXTe1etBb1HNpAlGwQr006ljwMiM"",
      ""GSC最新!A:F""
    ),
    4,
    FALSE
  ),
  0
)
"),0.0)</f>
        <v>0</v>
      </c>
      <c r="K45" s="49">
        <f>IFERROR(__xludf.DUMMYFUNCTION("IFERROR(
  VLOOKUP(
    A45,
    IMPORTRANGE(
      ""1ZHMy3vVUd_0MrSduXTe1etBb1HNpAlGwQr006ljwMiM"",
      ""GSC最新!A:F""
    ),
    5,
    FALSE
  ),
  0
)
"),0.0)</f>
        <v>0</v>
      </c>
      <c r="L45" s="50" t="str">
        <f t="shared" ref="L45:M45" si="217">IFERROR(H45/J45,"-")</f>
        <v>-</v>
      </c>
      <c r="M45" s="50" t="str">
        <f t="shared" si="217"/>
        <v>-</v>
      </c>
      <c r="N45" s="6">
        <f>IFERROR(__xludf.DUMMYFUNCTION("IFERROR(
  VLOOKUP(
    A45,
    IMPORTRANGE(
      ""1ZHMy3vVUd_0MrSduXTe1etBb1HNpAlGwQr006ljwMiM"",
      ""GSC最新!A:R""
    ),
    7,
    FALSE
  ),
  0
)
"),22.0)</f>
        <v>22</v>
      </c>
      <c r="O45" s="6">
        <f>IFERROR(__xludf.DUMMYFUNCTION("IFERROR(
  VLOOKUP(
    A45,
    IMPORTRANGE(
      ""1ZHMy3vVUd_0MrSduXTe1etBb1HNpAlGwQr006ljwMiM"",
      ""GSC最新!A:R""
    ),
    10,
    FALSE
  ),
  0
)
"),43.0)</f>
        <v>43</v>
      </c>
      <c r="P45" s="6">
        <f>IFERROR(__xludf.DUMMYFUNCTION("IFERROR(
  VLOOKUP(
    A45,
    IMPORTRANGE(
      ""1ZHMy3vVUd_0MrSduXTe1etBb1HNpAlGwQr006ljwMiM"",
      ""GSC最新!A:R""
    ),
    13,
    FALSE
  ),
  0
)
"),141.0)</f>
        <v>141</v>
      </c>
      <c r="Q45" s="6">
        <f>IFERROR(__xludf.DUMMYFUNCTION("IFERROR(
  VLOOKUP(
    A45,
    IMPORTRANGE(
      ""1ZHMy3vVUd_0MrSduXTe1etBb1HNpAlGwQr006ljwMiM"",
      ""GSC最新!A:R""
    ),
    16,
    FALSE
  ),
  0
)
"),201.0)</f>
        <v>201</v>
      </c>
      <c r="R45" s="51">
        <f t="shared" ref="R45:S45" si="218">IFERROR(N45/P45,"-")</f>
        <v>0.1560283688</v>
      </c>
      <c r="S45" s="51">
        <f t="shared" si="218"/>
        <v>0.2139303483</v>
      </c>
      <c r="T45" s="9">
        <f>IFERROR(__xludf.DUMMYFUNCTION("IFERROR(
  VLOOKUP(
    A45,
    IMPORTRANGE(
      ""1ZHMy3vVUd_0MrSduXTe1etBb1HNpAlGwQr006ljwMiM"",
      ""GSC最新!A:R""
    ),
    8,
    FALSE
  ),
  0
)
"),0.0)</f>
        <v>0</v>
      </c>
      <c r="U45" s="9">
        <f>IFERROR(__xludf.DUMMYFUNCTION("IFERROR(
  VLOOKUP(
    A45,
    IMPORTRANGE(
      ""1ZHMy3vVUd_0MrSduXTe1etBb1HNpAlGwQr006ljwMiM"",
      ""GSC最新!A:R""
    ),
    11,
    FALSE
  ),
  0
)
"),0.0)</f>
        <v>0</v>
      </c>
      <c r="V45" s="9">
        <f>IFERROR(__xludf.DUMMYFUNCTION("IFERROR(
  VLOOKUP(
    A45,
    IMPORTRANGE(
      ""1ZHMy3vVUd_0MrSduXTe1etBb1HNpAlGwQr006ljwMiM"",
      ""GSC最新!A:R""
    ),
    14,
    FALSE
  ),
  0
)
"),0.0)</f>
        <v>0</v>
      </c>
      <c r="W45" s="9">
        <f>IFERROR(__xludf.DUMMYFUNCTION("IFERROR(
  VLOOKUP(
    A45,
    IMPORTRANGE(
      ""1ZHMy3vVUd_0MrSduXTe1etBb1HNpAlGwQr006ljwMiM"",
      ""GSC最新!A:R""
    ),
    17,
    FALSE
  ),
  0
)
"),0.0)</f>
        <v>0</v>
      </c>
      <c r="X45" s="9">
        <f t="shared" ref="X45:Y45" si="219">IFERROR(T45-V45,"-")</f>
        <v>0</v>
      </c>
      <c r="Y45" s="9">
        <f t="shared" si="219"/>
        <v>0</v>
      </c>
      <c r="Z45" s="52">
        <f>IFERROR(__xludf.DUMMYFUNCTION("IFERROR(
  VLOOKUP(
    A45,
    IMPORTRANGE(
      ""1ZHMy3vVUd_0MrSduXTe1etBb1HNpAlGwQr006ljwMiM"",
      ""GSC最新!A:R""
    ),
    9,
    FALSE
  ),
  0
)
"),4.636363636363637)</f>
        <v>4.636363636</v>
      </c>
      <c r="AA45" s="52">
        <f>IFERROR(__xludf.DUMMYFUNCTION("IFERROR(
  VLOOKUP(
    A45,
    IMPORTRANGE(
      ""1ZHMy3vVUd_0MrSduXTe1etBb1HNpAlGwQr006ljwMiM"",
      ""GSC最新!A:R""
    ),
    12,
    FALSE
  ),
  0
)
"),5.651162790697675)</f>
        <v>5.651162791</v>
      </c>
      <c r="AB45" s="52">
        <f>IFERROR(__xludf.DUMMYFUNCTION("IFERROR(
  VLOOKUP(
    A45,
    IMPORTRANGE(
      ""1ZHMy3vVUd_0MrSduXTe1etBb1HNpAlGwQr006ljwMiM"",
      ""GSC最新!A:R""
    ),
    15,
    FALSE
  ),
  0
)
"),87.32624113475177)</f>
        <v>87.32624113</v>
      </c>
      <c r="AC45" s="52">
        <f>IFERROR(__xludf.DUMMYFUNCTION("IFERROR(
  VLOOKUP(
    A45,
    IMPORTRANGE(
      ""1ZHMy3vVUd_0MrSduXTe1etBb1HNpAlGwQr006ljwMiM"",
      ""GSC最新!A:R""
    ),
    18,
    FALSE
  ),
  0
)
"),85.0)</f>
        <v>85</v>
      </c>
      <c r="AD45" s="52">
        <f t="shared" ref="AD45:AE45" si="220">Z45-AB45</f>
        <v>-82.6898775</v>
      </c>
      <c r="AE45" s="52">
        <f t="shared" si="220"/>
        <v>-79.34883721</v>
      </c>
      <c r="AF45" s="53">
        <f>IFERROR(__xludf.DUMMYFUNCTION("IFERROR(
  VLOOKUP(
    A45,
    IMPORTRANGE(
      ""1ZHMy3vVUd_0MrSduXTe1etBb1HNpAlGwQr006ljwMiM"",
      ""GSC最新!A:F""
    ),
    6,
    FALSE
  ),
  0
)
"),46081.0)</f>
        <v>46081</v>
      </c>
      <c r="AG45" s="54">
        <f>IFERROR(__xludf.DUMMYFUNCTION("IFERROR(
  VLOOKUP(
    A45,
    IMPORTRANGE(
      ""1SCYQd7_cobOYqT0r_F0IqD4tE4rYn5y8Eup4PJTH8es"",
      ""Snapshot!A:M""
    ),
    5,
    FALSE
  ),
  ""-""
)
"),11.0)</f>
        <v>11</v>
      </c>
      <c r="AH45" s="54">
        <f>IFERROR(__xludf.DUMMYFUNCTION("IFERROR(
  VLOOKUP(
    A45,
    IMPORTRANGE(
      ""1SCYQd7_cobOYqT0r_F0IqD4tE4rYn5y8Eup4PJTH8es"",
      ""Snapshot!A:M""
    ),
    6,
    FALSE
  ),
  0
)
"),19.0)</f>
        <v>19</v>
      </c>
      <c r="AI45" s="54">
        <f>IFERROR(__xludf.DUMMYFUNCTION("IFERROR(
  VLOOKUP(
    A45,
    IMPORTRANGE(
      ""1SCYQd7_cobOYqT0r_F0IqD4tE4rYn5y8Eup4PJTH8es"",
      ""Snapshot!A:M""
    ),
    7,
    FALSE
  ),
  0
)
"),4529.0)</f>
        <v>4529</v>
      </c>
      <c r="AJ45" s="54">
        <f>IFERROR(__xludf.DUMMYFUNCTION("IFERROR(
  VLOOKUP(
    A45,
    IMPORTRANGE(
      ""1SCYQd7_cobOYqT0r_F0IqD4tE4rYn5y8Eup4PJTH8es"",
      ""Snapshot!A:M""
    ),
    8,
    FALSE
  ),
  0
)
"),8.0)</f>
        <v>8</v>
      </c>
      <c r="AK45" s="54">
        <f>IFERROR(__xludf.DUMMYFUNCTION("IFERROR(
  VLOOKUP(
    A45,
    IMPORTRANGE(
      ""1SCYQd7_cobOYqT0r_F0IqD4tE4rYn5y8Eup4PJTH8es"",
      ""Snapshot!A:M""
    ),
    9,
    FALSE
  ),
  0
)
"),7.0)</f>
        <v>7</v>
      </c>
      <c r="AL45" s="54">
        <f>IFERROR(__xludf.DUMMYFUNCTION("IFERROR(
  VLOOKUP(
    A45,
    IMPORTRANGE(
      ""1SCYQd7_cobOYqT0r_F0IqD4tE4rYn5y8Eup4PJTH8es"",
      ""Snapshot!A:M""
    ),
    13,
    FALSE
  ),
  0
)
"),2.0)</f>
        <v>2</v>
      </c>
    </row>
    <row r="46">
      <c r="A46" s="56" t="s">
        <v>329</v>
      </c>
      <c r="B46" s="1" t="str">
        <f>IFERROR(__xludf.DUMMYFUNCTION("IFERROR(
  VLOOKUP(
    A46,
    IMPORTRANGE(
      ""1ZygntHC1J6IxzKbTidmOyf5nUyW4GCLurHCjexrLm_o"",
      ""HTMLキャッシュ!A:F""
    ),
    2,
    FALSE
  ),
  0
)
"),"SP")</f>
        <v>SP</v>
      </c>
      <c r="C46" s="1" t="str">
        <f>IFERROR(__xludf.DUMMYFUNCTION("IFERROR(
  VLOOKUP(
    A46,
    IMPORTRANGE(
      ""1ZygntHC1J6IxzKbTidmOyf5nUyW4GCLurHCjexrLm_o"",
      ""HTMLキャッシュ!A:F""
    ),
    5,
    FALSE
  ),
  0
)
"),"中高一貫校数学を伸ばす個別指導講座｜基礎応用対応オンライン塾")</f>
        <v>中高一貫校数学を伸ばす個別指導講座｜基礎応用対応オンライン塾</v>
      </c>
      <c r="D46" s="1" t="str">
        <f>IFERROR(__xludf.DUMMYFUNCTION("IFERROR(
  VLOOKUP(
    A46,
    IMPORTRANGE(
      ""1ZygntHC1J6IxzKbTidmOyf5nUyW4GCLurHCjexrLm_o        "",
      ""HTMLキャッシュ!A:F""
    ),
    6,
    FALSE
  ),
  0
)
"),"数学でつまずく中高一貫生へ。1対1の個別指導で基礎から応用まで定着し得点力アップ。定期試験・受験対応、オンライン体験受付中")</f>
        <v>数学でつまずく中高一貫生へ。1対1の個別指導で基礎から応用まで定着し得点力アップ。定期試験・受験対応、オンライン体験受付中</v>
      </c>
      <c r="E46" s="49">
        <f t="shared" ref="E46:F46" si="221">LEN(C46)</f>
        <v>30</v>
      </c>
      <c r="F46" s="49">
        <f t="shared" si="221"/>
        <v>61</v>
      </c>
      <c r="G46" s="32">
        <f>IFERROR(__xludf.DUMMYFUNCTION("IFERROR(
  VLOOKUP(
    A46,
    IMPORTRANGE(
      ""1ZygntHC1J6IxzKbTidmOyf5nUyW4GCLurHCjexrLm_o        "",
      ""HTMLキャッシュ!A:F""
    ),
    3,
    FALSE
  ),
  0
)
"),46084.603101851855)</f>
        <v>46084.6031</v>
      </c>
      <c r="H46" s="49">
        <f>IFERROR(__xludf.DUMMYFUNCTION("IFERROR(
  VLOOKUP(
    A46,
    IMPORTRANGE(
      ""1ZHMy3vVUd_0MrSduXTe1etBb1HNpAlGwQr006ljwMiM"",
      ""GSC最新!A:F""
    ),
    2,
    FALSE
  ),
  0
)
"),0.0)</f>
        <v>0</v>
      </c>
      <c r="I46" s="49">
        <f>IFERROR(__xludf.DUMMYFUNCTION("IFERROR(
  VLOOKUP(
    A46,
    IMPORTRANGE(
      ""1ZHMy3vVUd_0MrSduXTe1etBb1HNpAlGwQr006ljwMiM"",
      ""GSC最新!A:F""
    ),
    3,
    FALSE
  ),
  0
)
"),0.0)</f>
        <v>0</v>
      </c>
      <c r="J46" s="49">
        <f>IFERROR(__xludf.DUMMYFUNCTION("IFERROR(
  VLOOKUP(
    A46,
    IMPORTRANGE(
      ""1ZHMy3vVUd_0MrSduXTe1etBb1HNpAlGwQr006ljwMiM"",
      ""GSC最新!A:F""
    ),
    4,
    FALSE
  ),
  0
)
"),0.0)</f>
        <v>0</v>
      </c>
      <c r="K46" s="49">
        <f>IFERROR(__xludf.DUMMYFUNCTION("IFERROR(
  VLOOKUP(
    A46,
    IMPORTRANGE(
      ""1ZHMy3vVUd_0MrSduXTe1etBb1HNpAlGwQr006ljwMiM"",
      ""GSC最新!A:F""
    ),
    5,
    FALSE
  ),
  0
)
"),0.0)</f>
        <v>0</v>
      </c>
      <c r="L46" s="50" t="str">
        <f t="shared" ref="L46:M46" si="222">IFERROR(H46/J46,"-")</f>
        <v>-</v>
      </c>
      <c r="M46" s="50" t="str">
        <f t="shared" si="222"/>
        <v>-</v>
      </c>
      <c r="N46" s="6">
        <f>IFERROR(__xludf.DUMMYFUNCTION("IFERROR(
  VLOOKUP(
    A46,
    IMPORTRANGE(
      ""1ZHMy3vVUd_0MrSduXTe1etBb1HNpAlGwQr006ljwMiM"",
      ""GSC最新!A:R""
    ),
    7,
    FALSE
  ),
  0
)
"),16.0)</f>
        <v>16</v>
      </c>
      <c r="O46" s="6">
        <f>IFERROR(__xludf.DUMMYFUNCTION("IFERROR(
  VLOOKUP(
    A46,
    IMPORTRANGE(
      ""1ZHMy3vVUd_0MrSduXTe1etBb1HNpAlGwQr006ljwMiM"",
      ""GSC最新!A:R""
    ),
    10,
    FALSE
  ),
  0
)
"),41.0)</f>
        <v>41</v>
      </c>
      <c r="P46" s="6">
        <f>IFERROR(__xludf.DUMMYFUNCTION("IFERROR(
  VLOOKUP(
    A46,
    IMPORTRANGE(
      ""1ZHMy3vVUd_0MrSduXTe1etBb1HNpAlGwQr006ljwMiM"",
      ""GSC最新!A:R""
    ),
    13,
    FALSE
  ),
  0
)
"),175.0)</f>
        <v>175</v>
      </c>
      <c r="Q46" s="6">
        <f>IFERROR(__xludf.DUMMYFUNCTION("IFERROR(
  VLOOKUP(
    A46,
    IMPORTRANGE(
      ""1ZHMy3vVUd_0MrSduXTe1etBb1HNpAlGwQr006ljwMiM"",
      ""GSC最新!A:R""
    ),
    16,
    FALSE
  ),
  0
)
"),360.0)</f>
        <v>360</v>
      </c>
      <c r="R46" s="51">
        <f t="shared" ref="R46:S46" si="223">IFERROR(N46/P46,"-")</f>
        <v>0.09142857143</v>
      </c>
      <c r="S46" s="51">
        <f t="shared" si="223"/>
        <v>0.1138888889</v>
      </c>
      <c r="T46" s="9">
        <f>IFERROR(__xludf.DUMMYFUNCTION("IFERROR(
  VLOOKUP(
    A46,
    IMPORTRANGE(
      ""1ZHMy3vVUd_0MrSduXTe1etBb1HNpAlGwQr006ljwMiM"",
      ""GSC最新!A:R""
    ),
    8,
    FALSE
  ),
  0
)
"),0.0)</f>
        <v>0</v>
      </c>
      <c r="U46" s="9">
        <f>IFERROR(__xludf.DUMMYFUNCTION("IFERROR(
  VLOOKUP(
    A46,
    IMPORTRANGE(
      ""1ZHMy3vVUd_0MrSduXTe1etBb1HNpAlGwQr006ljwMiM"",
      ""GSC最新!A:R""
    ),
    11,
    FALSE
  ),
  0
)
"),0.0)</f>
        <v>0</v>
      </c>
      <c r="V46" s="9">
        <f>IFERROR(__xludf.DUMMYFUNCTION("IFERROR(
  VLOOKUP(
    A46,
    IMPORTRANGE(
      ""1ZHMy3vVUd_0MrSduXTe1etBb1HNpAlGwQr006ljwMiM"",
      ""GSC最新!A:R""
    ),
    14,
    FALSE
  ),
  0
)
"),0.0)</f>
        <v>0</v>
      </c>
      <c r="W46" s="9">
        <f>IFERROR(__xludf.DUMMYFUNCTION("IFERROR(
  VLOOKUP(
    A46,
    IMPORTRANGE(
      ""1ZHMy3vVUd_0MrSduXTe1etBb1HNpAlGwQr006ljwMiM"",
      ""GSC最新!A:R""
    ),
    17,
    FALSE
  ),
  0
)
"),0.0)</f>
        <v>0</v>
      </c>
      <c r="X46" s="9">
        <f t="shared" ref="X46:Y46" si="224">IFERROR(T46-V46,"-")</f>
        <v>0</v>
      </c>
      <c r="Y46" s="9">
        <f t="shared" si="224"/>
        <v>0</v>
      </c>
      <c r="Z46" s="52">
        <f>IFERROR(__xludf.DUMMYFUNCTION("IFERROR(
  VLOOKUP(
    A46,
    IMPORTRANGE(
      ""1ZHMy3vVUd_0MrSduXTe1etBb1HNpAlGwQr006ljwMiM"",
      ""GSC最新!A:R""
    ),
    9,
    FALSE
  ),
  0
)
"),3.1875)</f>
        <v>3.1875</v>
      </c>
      <c r="AA46" s="52">
        <f>IFERROR(__xludf.DUMMYFUNCTION("IFERROR(
  VLOOKUP(
    A46,
    IMPORTRANGE(
      ""1ZHMy3vVUd_0MrSduXTe1etBb1HNpAlGwQr006ljwMiM"",
      ""GSC最新!A:R""
    ),
    12,
    FALSE
  ),
  0
)
"),4.048780487804878)</f>
        <v>4.048780488</v>
      </c>
      <c r="AB46" s="52">
        <f>IFERROR(__xludf.DUMMYFUNCTION("IFERROR(
  VLOOKUP(
    A46,
    IMPORTRANGE(
      ""1ZHMy3vVUd_0MrSduXTe1etBb1HNpAlGwQr006ljwMiM"",
      ""GSC最新!A:R""
    ),
    15,
    FALSE
  ),
  0
)
"),45.285714285714285)</f>
        <v>45.28571429</v>
      </c>
      <c r="AC46" s="52">
        <f>IFERROR(__xludf.DUMMYFUNCTION("IFERROR(
  VLOOKUP(
    A46,
    IMPORTRANGE(
      ""1ZHMy3vVUd_0MrSduXTe1etBb1HNpAlGwQr006ljwMiM"",
      ""GSC最新!A:R""
    ),
    18,
    FALSE
  ),
  0
)
"),46.875)</f>
        <v>46.875</v>
      </c>
      <c r="AD46" s="52">
        <f t="shared" ref="AD46:AE46" si="225">Z46-AB46</f>
        <v>-42.09821429</v>
      </c>
      <c r="AE46" s="52">
        <f t="shared" si="225"/>
        <v>-42.82621951</v>
      </c>
      <c r="AF46" s="53">
        <f>IFERROR(__xludf.DUMMYFUNCTION("IFERROR(
  VLOOKUP(
    A46,
    IMPORTRANGE(
      ""1ZHMy3vVUd_0MrSduXTe1etBb1HNpAlGwQr006ljwMiM"",
      ""GSC最新!A:F""
    ),
    6,
    FALSE
  ),
  0
)
"),46081.0)</f>
        <v>46081</v>
      </c>
      <c r="AG46" s="54">
        <f>IFERROR(__xludf.DUMMYFUNCTION("IFERROR(
  VLOOKUP(
    A46,
    IMPORTRANGE(
      ""1SCYQd7_cobOYqT0r_F0IqD4tE4rYn5y8Eup4PJTH8es"",
      ""Snapshot!A:M""
    ),
    5,
    FALSE
  ),
  ""-""
)
"),7.0)</f>
        <v>7</v>
      </c>
      <c r="AH46" s="54">
        <f>IFERROR(__xludf.DUMMYFUNCTION("IFERROR(
  VLOOKUP(
    A46,
    IMPORTRANGE(
      ""1SCYQd7_cobOYqT0r_F0IqD4tE4rYn5y8Eup4PJTH8es"",
      ""Snapshot!A:M""
    ),
    6,
    FALSE
  ),
  0
)
"),8.0)</f>
        <v>8</v>
      </c>
      <c r="AI46" s="54">
        <f>IFERROR(__xludf.DUMMYFUNCTION("IFERROR(
  VLOOKUP(
    A46,
    IMPORTRANGE(
      ""1SCYQd7_cobOYqT0r_F0IqD4tE4rYn5y8Eup4PJTH8es"",
      ""Snapshot!A:M""
    ),
    7,
    FALSE
  ),
  0
)
"),2874.0)</f>
        <v>2874</v>
      </c>
      <c r="AJ46" s="54">
        <f>IFERROR(__xludf.DUMMYFUNCTION("IFERROR(
  VLOOKUP(
    A46,
    IMPORTRANGE(
      ""1SCYQd7_cobOYqT0r_F0IqD4tE4rYn5y8Eup4PJTH8es"",
      ""Snapshot!A:M""
    ),
    8,
    FALSE
  ),
  0
)
"),0.0)</f>
        <v>0</v>
      </c>
      <c r="AK46" s="54">
        <f>IFERROR(__xludf.DUMMYFUNCTION("IFERROR(
  VLOOKUP(
    A46,
    IMPORTRANGE(
      ""1SCYQd7_cobOYqT0r_F0IqD4tE4rYn5y8Eup4PJTH8es"",
      ""Snapshot!A:M""
    ),
    9,
    FALSE
  ),
  0
)
"),4.0)</f>
        <v>4</v>
      </c>
      <c r="AL46" s="54">
        <f>IFERROR(__xludf.DUMMYFUNCTION("IFERROR(
  VLOOKUP(
    A46,
    IMPORTRANGE(
      ""1SCYQd7_cobOYqT0r_F0IqD4tE4rYn5y8Eup4PJTH8es"",
      ""Snapshot!A:M""
    ),
    13,
    FALSE
  ),
  0
)
"),1.0)</f>
        <v>1</v>
      </c>
    </row>
    <row r="47">
      <c r="A47" s="56" t="s">
        <v>330</v>
      </c>
      <c r="B47" s="1" t="str">
        <f>IFERROR(__xludf.DUMMYFUNCTION("IFERROR(
  VLOOKUP(
    A47,
    IMPORTRANGE(
      ""1ZygntHC1J6IxzKbTidmOyf5nUyW4GCLurHCjexrLm_o"",
      ""HTMLキャッシュ!A:F""
    ),
    2,
    FALSE
  ),
  0
)
"),"SP")</f>
        <v>SP</v>
      </c>
      <c r="C47" s="1" t="str">
        <f>IFERROR(__xludf.DUMMYFUNCTION("IFERROR(
  VLOOKUP(
    A47,
    IMPORTRANGE(
      ""1ZygntHC1J6IxzKbTidmOyf5nUyW4GCLurHCjexrLm_o"",
      ""HTMLキャッシュ!A:F""
    ),
    5,
    FALSE
  ),
  0
)
"),"学校教材対応の数学個別指導講座｜定期試験対応オンライン塾")</f>
        <v>学校教材対応の数学個別指導講座｜定期試験対応オンライン塾</v>
      </c>
      <c r="D47" s="1" t="str">
        <f>IFERROR(__xludf.DUMMYFUNCTION("IFERROR(
  VLOOKUP(
    A47,
    IMPORTRANGE(
      ""1ZygntHC1J6IxzKbTidmOyf5nUyW4GCLurHCjexrLm_o        "",
      ""HTMLキャッシュ!A:F""
    ),
    6,
    FALSE
  ),
  0
)
"),"数学で学校進度に追いつけない中高生へ。1対1個別指導で先取り・定着・定期試験対策を完全サポート。オンライン体験受付中")</f>
        <v>数学で学校進度に追いつけない中高生へ。1対1個別指導で先取り・定着・定期試験対策を完全サポート。オンライン体験受付中</v>
      </c>
      <c r="E47" s="49">
        <f t="shared" ref="E47:F47" si="226">LEN(C47)</f>
        <v>28</v>
      </c>
      <c r="F47" s="49">
        <f t="shared" si="226"/>
        <v>58</v>
      </c>
      <c r="G47" s="32">
        <f>IFERROR(__xludf.DUMMYFUNCTION("IFERROR(
  VLOOKUP(
    A47,
    IMPORTRANGE(
      ""1ZygntHC1J6IxzKbTidmOyf5nUyW4GCLurHCjexrLm_o        "",
      ""HTMLキャッシュ!A:F""
    ),
    3,
    FALSE
  ),
  0
)
"),46081.69541666667)</f>
        <v>46081.69542</v>
      </c>
      <c r="H47" s="49">
        <f>IFERROR(__xludf.DUMMYFUNCTION("IFERROR(
  VLOOKUP(
    A47,
    IMPORTRANGE(
      ""1ZHMy3vVUd_0MrSduXTe1etBb1HNpAlGwQr006ljwMiM"",
      ""GSC最新!A:F""
    ),
    2,
    FALSE
  ),
  0
)
"),0.0)</f>
        <v>0</v>
      </c>
      <c r="I47" s="49">
        <f>IFERROR(__xludf.DUMMYFUNCTION("IFERROR(
  VLOOKUP(
    A47,
    IMPORTRANGE(
      ""1ZHMy3vVUd_0MrSduXTe1etBb1HNpAlGwQr006ljwMiM"",
      ""GSC最新!A:F""
    ),
    3,
    FALSE
  ),
  0
)
"),0.0)</f>
        <v>0</v>
      </c>
      <c r="J47" s="49">
        <f>IFERROR(__xludf.DUMMYFUNCTION("IFERROR(
  VLOOKUP(
    A47,
    IMPORTRANGE(
      ""1ZHMy3vVUd_0MrSduXTe1etBb1HNpAlGwQr006ljwMiM"",
      ""GSC最新!A:F""
    ),
    4,
    FALSE
  ),
  0
)
"),0.0)</f>
        <v>0</v>
      </c>
      <c r="K47" s="49">
        <f>IFERROR(__xludf.DUMMYFUNCTION("IFERROR(
  VLOOKUP(
    A47,
    IMPORTRANGE(
      ""1ZHMy3vVUd_0MrSduXTe1etBb1HNpAlGwQr006ljwMiM"",
      ""GSC最新!A:F""
    ),
    5,
    FALSE
  ),
  0
)
"),1.0)</f>
        <v>1</v>
      </c>
      <c r="L47" s="50" t="str">
        <f t="shared" ref="L47:M47" si="227">IFERROR(H47/J47,"-")</f>
        <v>-</v>
      </c>
      <c r="M47" s="50">
        <f t="shared" si="227"/>
        <v>0</v>
      </c>
      <c r="N47" s="6">
        <f>IFERROR(__xludf.DUMMYFUNCTION("IFERROR(
  VLOOKUP(
    A47,
    IMPORTRANGE(
      ""1ZHMy3vVUd_0MrSduXTe1etBb1HNpAlGwQr006ljwMiM"",
      ""GSC最新!A:R""
    ),
    7,
    FALSE
  ),
  0
)
"),15.0)</f>
        <v>15</v>
      </c>
      <c r="O47" s="6">
        <f>IFERROR(__xludf.DUMMYFUNCTION("IFERROR(
  VLOOKUP(
    A47,
    IMPORTRANGE(
      ""1ZHMy3vVUd_0MrSduXTe1etBb1HNpAlGwQr006ljwMiM"",
      ""GSC最新!A:R""
    ),
    10,
    FALSE
  ),
  0
)
"),39.0)</f>
        <v>39</v>
      </c>
      <c r="P47" s="6">
        <f>IFERROR(__xludf.DUMMYFUNCTION("IFERROR(
  VLOOKUP(
    A47,
    IMPORTRANGE(
      ""1ZHMy3vVUd_0MrSduXTe1etBb1HNpAlGwQr006ljwMiM"",
      ""GSC最新!A:R""
    ),
    13,
    FALSE
  ),
  0
)
"),5.0)</f>
        <v>5</v>
      </c>
      <c r="Q47" s="6">
        <f>IFERROR(__xludf.DUMMYFUNCTION("IFERROR(
  VLOOKUP(
    A47,
    IMPORTRANGE(
      ""1ZHMy3vVUd_0MrSduXTe1etBb1HNpAlGwQr006ljwMiM"",
      ""GSC最新!A:R""
    ),
    16,
    FALSE
  ),
  0
)
"),14.0)</f>
        <v>14</v>
      </c>
      <c r="R47" s="51">
        <f t="shared" ref="R47:S47" si="228">IFERROR(N47/P47,"-")</f>
        <v>3</v>
      </c>
      <c r="S47" s="51">
        <f t="shared" si="228"/>
        <v>2.785714286</v>
      </c>
      <c r="T47" s="9">
        <f>IFERROR(__xludf.DUMMYFUNCTION("IFERROR(
  VLOOKUP(
    A47,
    IMPORTRANGE(
      ""1ZHMy3vVUd_0MrSduXTe1etBb1HNpAlGwQr006ljwMiM"",
      ""GSC最新!A:R""
    ),
    8,
    FALSE
  ),
  0
)
"),0.0)</f>
        <v>0</v>
      </c>
      <c r="U47" s="9">
        <f>IFERROR(__xludf.DUMMYFUNCTION("IFERROR(
  VLOOKUP(
    A47,
    IMPORTRANGE(
      ""1ZHMy3vVUd_0MrSduXTe1etBb1HNpAlGwQr006ljwMiM"",
      ""GSC最新!A:R""
    ),
    11,
    FALSE
  ),
  0
)
"),0.0)</f>
        <v>0</v>
      </c>
      <c r="V47" s="9">
        <f>IFERROR(__xludf.DUMMYFUNCTION("IFERROR(
  VLOOKUP(
    A47,
    IMPORTRANGE(
      ""1ZHMy3vVUd_0MrSduXTe1etBb1HNpAlGwQr006ljwMiM"",
      ""GSC最新!A:R""
    ),
    14,
    FALSE
  ),
  0
)
"),0.0)</f>
        <v>0</v>
      </c>
      <c r="W47" s="9">
        <f>IFERROR(__xludf.DUMMYFUNCTION("IFERROR(
  VLOOKUP(
    A47,
    IMPORTRANGE(
      ""1ZHMy3vVUd_0MrSduXTe1etBb1HNpAlGwQr006ljwMiM"",
      ""GSC最新!A:R""
    ),
    17,
    FALSE
  ),
  0
)
"),0.07142857142857142)</f>
        <v>0.07142857143</v>
      </c>
      <c r="X47" s="9">
        <f t="shared" ref="X47:Y47" si="229">IFERROR(T47-V47,"-")</f>
        <v>0</v>
      </c>
      <c r="Y47" s="9">
        <f t="shared" si="229"/>
        <v>-0.07142857143</v>
      </c>
      <c r="Z47" s="52">
        <f>IFERROR(__xludf.DUMMYFUNCTION("IFERROR(
  VLOOKUP(
    A47,
    IMPORTRANGE(
      ""1ZHMy3vVUd_0MrSduXTe1etBb1HNpAlGwQr006ljwMiM"",
      ""GSC最新!A:R""
    ),
    9,
    FALSE
  ),
  0
)
"),4.066666666666666)</f>
        <v>4.066666667</v>
      </c>
      <c r="AA47" s="52">
        <f>IFERROR(__xludf.DUMMYFUNCTION("IFERROR(
  VLOOKUP(
    A47,
    IMPORTRANGE(
      ""1ZHMy3vVUd_0MrSduXTe1etBb1HNpAlGwQr006ljwMiM"",
      ""GSC最新!A:R""
    ),
    12,
    FALSE
  ),
  0
)
"),5.461538461538462)</f>
        <v>5.461538462</v>
      </c>
      <c r="AB47" s="52">
        <f>IFERROR(__xludf.DUMMYFUNCTION("IFERROR(
  VLOOKUP(
    A47,
    IMPORTRANGE(
      ""1ZHMy3vVUd_0MrSduXTe1etBb1HNpAlGwQr006ljwMiM"",
      ""GSC最新!A:R""
    ),
    15,
    FALSE
  ),
  0
)
"),20.6)</f>
        <v>20.6</v>
      </c>
      <c r="AC47" s="52">
        <f>IFERROR(__xludf.DUMMYFUNCTION("IFERROR(
  VLOOKUP(
    A47,
    IMPORTRANGE(
      ""1ZHMy3vVUd_0MrSduXTe1etBb1HNpAlGwQr006ljwMiM"",
      ""GSC最新!A:R""
    ),
    18,
    FALSE
  ),
  0
)
"),21.857142857142858)</f>
        <v>21.85714286</v>
      </c>
      <c r="AD47" s="52">
        <f t="shared" ref="AD47:AE47" si="230">Z47-AB47</f>
        <v>-16.53333333</v>
      </c>
      <c r="AE47" s="52">
        <f t="shared" si="230"/>
        <v>-16.3956044</v>
      </c>
      <c r="AF47" s="53">
        <f>IFERROR(__xludf.DUMMYFUNCTION("IFERROR(
  VLOOKUP(
    A47,
    IMPORTRANGE(
      ""1ZHMy3vVUd_0MrSduXTe1etBb1HNpAlGwQr006ljwMiM"",
      ""GSC最新!A:F""
    ),
    6,
    FALSE
  ),
  0
)
"),46081.0)</f>
        <v>46081</v>
      </c>
      <c r="AG47" s="54">
        <f>IFERROR(__xludf.DUMMYFUNCTION("IFERROR(
  VLOOKUP(
    A47,
    IMPORTRANGE(
      ""1SCYQd7_cobOYqT0r_F0IqD4tE4rYn5y8Eup4PJTH8es"",
      ""Snapshot!A:M""
    ),
    5,
    FALSE
  ),
  ""-""
)
"),8.0)</f>
        <v>8</v>
      </c>
      <c r="AH47" s="54">
        <f>IFERROR(__xludf.DUMMYFUNCTION("IFERROR(
  VLOOKUP(
    A47,
    IMPORTRANGE(
      ""1SCYQd7_cobOYqT0r_F0IqD4tE4rYn5y8Eup4PJTH8es"",
      ""Snapshot!A:M""
    ),
    6,
    FALSE
  ),
  0
)
"),12.0)</f>
        <v>12</v>
      </c>
      <c r="AI47" s="54">
        <f>IFERROR(__xludf.DUMMYFUNCTION("IFERROR(
  VLOOKUP(
    A47,
    IMPORTRANGE(
      ""1SCYQd7_cobOYqT0r_F0IqD4tE4rYn5y8Eup4PJTH8es"",
      ""Snapshot!A:M""
    ),
    7,
    FALSE
  ),
  0
)
"),2237.0)</f>
        <v>2237</v>
      </c>
      <c r="AJ47" s="54">
        <f>IFERROR(__xludf.DUMMYFUNCTION("IFERROR(
  VLOOKUP(
    A47,
    IMPORTRANGE(
      ""1SCYQd7_cobOYqT0r_F0IqD4tE4rYn5y8Eup4PJTH8es"",
      ""Snapshot!A:M""
    ),
    8,
    FALSE
  ),
  0
)
"),5.0)</f>
        <v>5</v>
      </c>
      <c r="AK47" s="54">
        <f>IFERROR(__xludf.DUMMYFUNCTION("IFERROR(
  VLOOKUP(
    A47,
    IMPORTRANGE(
      ""1SCYQd7_cobOYqT0r_F0IqD4tE4rYn5y8Eup4PJTH8es"",
      ""Snapshot!A:M""
    ),
    9,
    FALSE
  ),
  0
)
"),2.0)</f>
        <v>2</v>
      </c>
      <c r="AL47" s="54">
        <f>IFERROR(__xludf.DUMMYFUNCTION("IFERROR(
  VLOOKUP(
    A47,
    IMPORTRANGE(
      ""1SCYQd7_cobOYqT0r_F0IqD4tE4rYn5y8Eup4PJTH8es"",
      ""Snapshot!A:M""
    ),
    13,
    FALSE
  ),
  0
)
"),2.0)</f>
        <v>2</v>
      </c>
    </row>
    <row r="48">
      <c r="A48" s="56" t="s">
        <v>331</v>
      </c>
      <c r="B48" s="1" t="str">
        <f>IFERROR(__xludf.DUMMYFUNCTION("IFERROR(
  VLOOKUP(
    A48,
    IMPORTRANGE(
      ""1ZygntHC1J6IxzKbTidmOyf5nUyW4GCLurHCjexrLm_o"",
      ""HTMLキャッシュ!A:F""
    ),
    2,
    FALSE
  ),
  0
)
"),"SP")</f>
        <v>SP</v>
      </c>
      <c r="C48" s="1" t="str">
        <f>IFERROR(__xludf.DUMMYFUNCTION("IFERROR(
  VLOOKUP(
    A48,
    IMPORTRANGE(
      ""1ZygntHC1J6IxzKbTidmOyf5nUyW4GCLurHCjexrLm_o"",
      ""HTMLキャッシュ!A:F""
    ),
    5,
    FALSE
  ),
  0
)
"),"大学受験国語ハイレベル記述対策講座｜得点力講座")</f>
        <v>大学受験国語ハイレベル記述対策講座｜得点力講座</v>
      </c>
      <c r="D48" s="1" t="str">
        <f>IFERROR(__xludf.DUMMYFUNCTION("IFERROR(
  VLOOKUP(
    A48,
    IMPORTRANGE(
      ""1ZygntHC1J6IxzKbTidmOyf5nUyW4GCLurHCjexrLm_o        "",
      ""HTMLキャッシュ!A:F""
    ),
    6,
    FALSE
  ),
  0
)
"),"現代文が読めても点に結びつかない大学受験生へ。根拠の見つけ方と設問対応力を徹底指導するハイレベル国語講座。オンライン・教室対応で得点力アップ無料体験も受付中")</f>
        <v>現代文が読めても点に結びつかない大学受験生へ。根拠の見つけ方と設問対応力を徹底指導するハイレベル国語講座。オンライン・教室対応で得点力アップ無料体験も受付中</v>
      </c>
      <c r="E48" s="49">
        <f t="shared" ref="E48:F48" si="231">LEN(C48)</f>
        <v>23</v>
      </c>
      <c r="F48" s="49">
        <f t="shared" si="231"/>
        <v>78</v>
      </c>
      <c r="G48" s="32">
        <f>IFERROR(__xludf.DUMMYFUNCTION("IFERROR(
  VLOOKUP(
    A48,
    IMPORTRANGE(
      ""1ZygntHC1J6IxzKbTidmOyf5nUyW4GCLurHCjexrLm_o        "",
      ""HTMLキャッシュ!A:F""
    ),
    3,
    FALSE
  ),
  0
)
"),46081.73181712963)</f>
        <v>46081.73182</v>
      </c>
      <c r="H48" s="49">
        <f>IFERROR(__xludf.DUMMYFUNCTION("IFERROR(
  VLOOKUP(
    A48,
    IMPORTRANGE(
      ""1ZHMy3vVUd_0MrSduXTe1etBb1HNpAlGwQr006ljwMiM"",
      ""GSC最新!A:F""
    ),
    2,
    FALSE
  ),
  0
)
"),1.0)</f>
        <v>1</v>
      </c>
      <c r="I48" s="49">
        <f>IFERROR(__xludf.DUMMYFUNCTION("IFERROR(
  VLOOKUP(
    A48,
    IMPORTRANGE(
      ""1ZHMy3vVUd_0MrSduXTe1etBb1HNpAlGwQr006ljwMiM"",
      ""GSC最新!A:F""
    ),
    3,
    FALSE
  ),
  0
)
"),3.0)</f>
        <v>3</v>
      </c>
      <c r="J48" s="49">
        <f>IFERROR(__xludf.DUMMYFUNCTION("IFERROR(
  VLOOKUP(
    A48,
    IMPORTRANGE(
      ""1ZHMy3vVUd_0MrSduXTe1etBb1HNpAlGwQr006ljwMiM"",
      ""GSC最新!A:F""
    ),
    4,
    FALSE
  ),
  0
)
"),0.0)</f>
        <v>0</v>
      </c>
      <c r="K48" s="49">
        <f>IFERROR(__xludf.DUMMYFUNCTION("IFERROR(
  VLOOKUP(
    A48,
    IMPORTRANGE(
      ""1ZHMy3vVUd_0MrSduXTe1etBb1HNpAlGwQr006ljwMiM"",
      ""GSC最新!A:F""
    ),
    5,
    FALSE
  ),
  0
)
"),0.0)</f>
        <v>0</v>
      </c>
      <c r="L48" s="50" t="str">
        <f t="shared" ref="L48:M48" si="232">IFERROR(H48/J48,"-")</f>
        <v>-</v>
      </c>
      <c r="M48" s="50" t="str">
        <f t="shared" si="232"/>
        <v>-</v>
      </c>
      <c r="N48" s="6">
        <f>IFERROR(__xludf.DUMMYFUNCTION("IFERROR(
  VLOOKUP(
    A48,
    IMPORTRANGE(
      ""1ZHMy3vVUd_0MrSduXTe1etBb1HNpAlGwQr006ljwMiM"",
      ""GSC最新!A:R""
    ),
    7,
    FALSE
  ),
  0
)
"),13.0)</f>
        <v>13</v>
      </c>
      <c r="O48" s="6">
        <f>IFERROR(__xludf.DUMMYFUNCTION("IFERROR(
  VLOOKUP(
    A48,
    IMPORTRANGE(
      ""1ZHMy3vVUd_0MrSduXTe1etBb1HNpAlGwQr006ljwMiM"",
      ""GSC最新!A:R""
    ),
    10,
    FALSE
  ),
  0
)
"),37.0)</f>
        <v>37</v>
      </c>
      <c r="P48" s="6">
        <f>IFERROR(__xludf.DUMMYFUNCTION("IFERROR(
  VLOOKUP(
    A48,
    IMPORTRANGE(
      ""1ZHMy3vVUd_0MrSduXTe1etBb1HNpAlGwQr006ljwMiM"",
      ""GSC最新!A:R""
    ),
    13,
    FALSE
  ),
  0
)
"),2.0)</f>
        <v>2</v>
      </c>
      <c r="Q48" s="6">
        <f>IFERROR(__xludf.DUMMYFUNCTION("IFERROR(
  VLOOKUP(
    A48,
    IMPORTRANGE(
      ""1ZHMy3vVUd_0MrSduXTe1etBb1HNpAlGwQr006ljwMiM"",
      ""GSC最新!A:R""
    ),
    16,
    FALSE
  ),
  0
)
"),2.0)</f>
        <v>2</v>
      </c>
      <c r="R48" s="51">
        <f t="shared" ref="R48:S48" si="233">IFERROR(N48/P48,"-")</f>
        <v>6.5</v>
      </c>
      <c r="S48" s="51">
        <f t="shared" si="233"/>
        <v>18.5</v>
      </c>
      <c r="T48" s="9">
        <f>IFERROR(__xludf.DUMMYFUNCTION("IFERROR(
  VLOOKUP(
    A48,
    IMPORTRANGE(
      ""1ZHMy3vVUd_0MrSduXTe1etBb1HNpAlGwQr006ljwMiM"",
      ""GSC最新!A:R""
    ),
    8,
    FALSE
  ),
  0
)
"),0.07692307692307693)</f>
        <v>0.07692307692</v>
      </c>
      <c r="U48" s="9">
        <f>IFERROR(__xludf.DUMMYFUNCTION("IFERROR(
  VLOOKUP(
    A48,
    IMPORTRANGE(
      ""1ZHMy3vVUd_0MrSduXTe1etBb1HNpAlGwQr006ljwMiM"",
      ""GSC最新!A:R""
    ),
    11,
    FALSE
  ),
  0
)
"),0.08108108108108109)</f>
        <v>0.08108108108</v>
      </c>
      <c r="V48" s="9">
        <f>IFERROR(__xludf.DUMMYFUNCTION("IFERROR(
  VLOOKUP(
    A48,
    IMPORTRANGE(
      ""1ZHMy3vVUd_0MrSduXTe1etBb1HNpAlGwQr006ljwMiM"",
      ""GSC最新!A:R""
    ),
    14,
    FALSE
  ),
  0
)
"),0.0)</f>
        <v>0</v>
      </c>
      <c r="W48" s="9">
        <f>IFERROR(__xludf.DUMMYFUNCTION("IFERROR(
  VLOOKUP(
    A48,
    IMPORTRANGE(
      ""1ZHMy3vVUd_0MrSduXTe1etBb1HNpAlGwQr006ljwMiM"",
      ""GSC最新!A:R""
    ),
    17,
    FALSE
  ),
  0
)
"),0.0)</f>
        <v>0</v>
      </c>
      <c r="X48" s="9">
        <f t="shared" ref="X48:Y48" si="234">IFERROR(T48-V48,"-")</f>
        <v>0.07692307692</v>
      </c>
      <c r="Y48" s="9">
        <f t="shared" si="234"/>
        <v>0.08108108108</v>
      </c>
      <c r="Z48" s="52">
        <f>IFERROR(__xludf.DUMMYFUNCTION("IFERROR(
  VLOOKUP(
    A48,
    IMPORTRANGE(
      ""1ZHMy3vVUd_0MrSduXTe1etBb1HNpAlGwQr006ljwMiM"",
      ""GSC最新!A:R""
    ),
    9,
    FALSE
  ),
  0
)
"),5.538461538461538)</f>
        <v>5.538461538</v>
      </c>
      <c r="AA48" s="52">
        <f>IFERROR(__xludf.DUMMYFUNCTION("IFERROR(
  VLOOKUP(
    A48,
    IMPORTRANGE(
      ""1ZHMy3vVUd_0MrSduXTe1etBb1HNpAlGwQr006ljwMiM"",
      ""GSC最新!A:R""
    ),
    12,
    FALSE
  ),
  0
)
"),7.243243243243243)</f>
        <v>7.243243243</v>
      </c>
      <c r="AB48" s="52">
        <f>IFERROR(__xludf.DUMMYFUNCTION("IFERROR(
  VLOOKUP(
    A48,
    IMPORTRANGE(
      ""1ZHMy3vVUd_0MrSduXTe1etBb1HNpAlGwQr006ljwMiM"",
      ""GSC最新!A:R""
    ),
    15,
    FALSE
  ),
  0
)
"),9.0)</f>
        <v>9</v>
      </c>
      <c r="AC48" s="52">
        <f>IFERROR(__xludf.DUMMYFUNCTION("IFERROR(
  VLOOKUP(
    A48,
    IMPORTRANGE(
      ""1ZHMy3vVUd_0MrSduXTe1etBb1HNpAlGwQr006ljwMiM"",
      ""GSC最新!A:R""
    ),
    18,
    FALSE
  ),
  0
)
"),9.0)</f>
        <v>9</v>
      </c>
      <c r="AD48" s="52">
        <f t="shared" ref="AD48:AE48" si="235">Z48-AB48</f>
        <v>-3.461538462</v>
      </c>
      <c r="AE48" s="52">
        <f t="shared" si="235"/>
        <v>-1.756756757</v>
      </c>
      <c r="AF48" s="53">
        <f>IFERROR(__xludf.DUMMYFUNCTION("IFERROR(
  VLOOKUP(
    A48,
    IMPORTRANGE(
      ""1ZHMy3vVUd_0MrSduXTe1etBb1HNpAlGwQr006ljwMiM"",
      ""GSC最新!A:F""
    ),
    6,
    FALSE
  ),
  0
)
"),46081.0)</f>
        <v>46081</v>
      </c>
      <c r="AG48" s="54">
        <f>IFERROR(__xludf.DUMMYFUNCTION("IFERROR(
  VLOOKUP(
    A48,
    IMPORTRANGE(
      ""1SCYQd7_cobOYqT0r_F0IqD4tE4rYn5y8Eup4PJTH8es"",
      ""Snapshot!A:M""
    ),
    5,
    FALSE
  ),
  ""-""
)
"),0.0)</f>
        <v>0</v>
      </c>
      <c r="AH48" s="54">
        <f>IFERROR(__xludf.DUMMYFUNCTION("IFERROR(
  VLOOKUP(
    A48,
    IMPORTRANGE(
      ""1SCYQd7_cobOYqT0r_F0IqD4tE4rYn5y8Eup4PJTH8es"",
      ""Snapshot!A:M""
    ),
    6,
    FALSE
  ),
  0
)
"),4.0)</f>
        <v>4</v>
      </c>
      <c r="AI48" s="54">
        <f>IFERROR(__xludf.DUMMYFUNCTION("IFERROR(
  VLOOKUP(
    A48,
    IMPORTRANGE(
      ""1SCYQd7_cobOYqT0r_F0IqD4tE4rYn5y8Eup4PJTH8es"",
      ""Snapshot!A:M""
    ),
    7,
    FALSE
  ),
  0
)
"),1430.0)</f>
        <v>1430</v>
      </c>
      <c r="AJ48" s="54">
        <f>IFERROR(__xludf.DUMMYFUNCTION("IFERROR(
  VLOOKUP(
    A48,
    IMPORTRANGE(
      ""1SCYQd7_cobOYqT0r_F0IqD4tE4rYn5y8Eup4PJTH8es"",
      ""Snapshot!A:M""
    ),
    8,
    FALSE
  ),
  0
)
"),1.0)</f>
        <v>1</v>
      </c>
      <c r="AK48" s="54">
        <f>IFERROR(__xludf.DUMMYFUNCTION("IFERROR(
  VLOOKUP(
    A48,
    IMPORTRANGE(
      ""1SCYQd7_cobOYqT0r_F0IqD4tE4rYn5y8Eup4PJTH8es"",
      ""Snapshot!A:M""
    ),
    9,
    FALSE
  ),
  0
)
"),0.0)</f>
        <v>0</v>
      </c>
      <c r="AL48" s="54">
        <f>IFERROR(__xludf.DUMMYFUNCTION("IFERROR(
  VLOOKUP(
    A48,
    IMPORTRANGE(
      ""1SCYQd7_cobOYqT0r_F0IqD4tE4rYn5y8Eup4PJTH8es"",
      ""Snapshot!A:M""
    ),
    13,
    FALSE
  ),
  0
)
"),3.0)</f>
        <v>3</v>
      </c>
    </row>
    <row r="49">
      <c r="A49" s="56" t="s">
        <v>332</v>
      </c>
      <c r="B49" s="1" t="str">
        <f>IFERROR(__xludf.DUMMYFUNCTION("IFERROR(
  VLOOKUP(
    A49,
    IMPORTRANGE(
      ""1ZygntHC1J6IxzKbTidmOyf5nUyW4GCLurHCjexrLm_o"",
      ""HTMLキャッシュ!A:F""
    ),
    2,
    FALSE
  ),
  0
)
"),"SP")</f>
        <v>SP</v>
      </c>
      <c r="C49" s="1" t="str">
        <f>IFERROR(__xludf.DUMMYFUNCTION("IFERROR(
  VLOOKUP(
    A49,
    IMPORTRANGE(
      ""1ZygntHC1J6IxzKbTidmOyf5nUyW4GCLurHCjexrLm_o"",
      ""HTMLキャッシュ!A:F""
    ),
    5,
    FALSE
  ),
  0
)
"),"中学受験国語得点力強化の個別指導講座｜記述添削オンライン塾")</f>
        <v>中学受験国語得点力強化の個別指導講座｜記述添削オンライン塾</v>
      </c>
      <c r="D49" s="1" t="str">
        <f>IFERROR(__xludf.DUMMYFUNCTION("IFERROR(
  VLOOKUP(
    A49,
    IMPORTRANGE(
      ""1ZygntHC1J6IxzKbTidmOyf5nUyW4GCLurHCjexrLm_o        "",
      ""HTMLキャッシュ!A:F""
    ),
    6,
    FALSE
  ),
  0
)
"),"根拠発見と記述添削で小6国語の失点を防止。１５０分少人数個別指導で選択肢判断力も定着。動画復習付き、オンライン体験受付中")</f>
        <v>根拠発見と記述添削で小6国語の失点を防止。１５０分少人数個別指導で選択肢判断力も定着。動画復習付き、オンライン体験受付中</v>
      </c>
      <c r="E49" s="49">
        <f t="shared" ref="E49:F49" si="236">LEN(C49)</f>
        <v>29</v>
      </c>
      <c r="F49" s="49">
        <f t="shared" si="236"/>
        <v>60</v>
      </c>
      <c r="G49" s="32">
        <f>IFERROR(__xludf.DUMMYFUNCTION("IFERROR(
  VLOOKUP(
    A49,
    IMPORTRANGE(
      ""1ZygntHC1J6IxzKbTidmOyf5nUyW4GCLurHCjexrLm_o        "",
      ""HTMLキャッシュ!A:F""
    ),
    3,
    FALSE
  ),
  0
)
"),46076.832037037035)</f>
        <v>46076.83204</v>
      </c>
      <c r="H49" s="49">
        <f>IFERROR(__xludf.DUMMYFUNCTION("IFERROR(
  VLOOKUP(
    A49,
    IMPORTRANGE(
      ""1ZHMy3vVUd_0MrSduXTe1etBb1HNpAlGwQr006ljwMiM"",
      ""GSC最新!A:F""
    ),
    2,
    FALSE
  ),
  0
)
"),1.0)</f>
        <v>1</v>
      </c>
      <c r="I49" s="49">
        <f>IFERROR(__xludf.DUMMYFUNCTION("IFERROR(
  VLOOKUP(
    A49,
    IMPORTRANGE(
      ""1ZHMy3vVUd_0MrSduXTe1etBb1HNpAlGwQr006ljwMiM"",
      ""GSC最新!A:F""
    ),
    3,
    FALSE
  ),
  0
)
"),1.0)</f>
        <v>1</v>
      </c>
      <c r="J49" s="49">
        <f>IFERROR(__xludf.DUMMYFUNCTION("IFERROR(
  VLOOKUP(
    A49,
    IMPORTRANGE(
      ""1ZHMy3vVUd_0MrSduXTe1etBb1HNpAlGwQr006ljwMiM"",
      ""GSC最新!A:F""
    ),
    4,
    FALSE
  ),
  0
)
"),0.0)</f>
        <v>0</v>
      </c>
      <c r="K49" s="49">
        <f>IFERROR(__xludf.DUMMYFUNCTION("IFERROR(
  VLOOKUP(
    A49,
    IMPORTRANGE(
      ""1ZHMy3vVUd_0MrSduXTe1etBb1HNpAlGwQr006ljwMiM"",
      ""GSC最新!A:F""
    ),
    5,
    FALSE
  ),
  0
)
"),3.0)</f>
        <v>3</v>
      </c>
      <c r="L49" s="50" t="str">
        <f t="shared" ref="L49:M49" si="237">IFERROR(H49/J49,"-")</f>
        <v>-</v>
      </c>
      <c r="M49" s="50">
        <f t="shared" si="237"/>
        <v>0.3333333333</v>
      </c>
      <c r="N49" s="6">
        <f>IFERROR(__xludf.DUMMYFUNCTION("IFERROR(
  VLOOKUP(
    A49,
    IMPORTRANGE(
      ""1ZHMy3vVUd_0MrSduXTe1etBb1HNpAlGwQr006ljwMiM"",
      ""GSC最新!A:R""
    ),
    7,
    FALSE
  ),
  0
)
"),19.0)</f>
        <v>19</v>
      </c>
      <c r="O49" s="6">
        <f>IFERROR(__xludf.DUMMYFUNCTION("IFERROR(
  VLOOKUP(
    A49,
    IMPORTRANGE(
      ""1ZHMy3vVUd_0MrSduXTe1etBb1HNpAlGwQr006ljwMiM"",
      ""GSC最新!A:R""
    ),
    10,
    FALSE
  ),
  0
)
"),33.0)</f>
        <v>33</v>
      </c>
      <c r="P49" s="6">
        <f>IFERROR(__xludf.DUMMYFUNCTION("IFERROR(
  VLOOKUP(
    A49,
    IMPORTRANGE(
      ""1ZHMy3vVUd_0MrSduXTe1etBb1HNpAlGwQr006ljwMiM"",
      ""GSC最新!A:R""
    ),
    13,
    FALSE
  ),
  0
)
"),13.0)</f>
        <v>13</v>
      </c>
      <c r="Q49" s="6">
        <f>IFERROR(__xludf.DUMMYFUNCTION("IFERROR(
  VLOOKUP(
    A49,
    IMPORTRANGE(
      ""1ZHMy3vVUd_0MrSduXTe1etBb1HNpAlGwQr006ljwMiM"",
      ""GSC最新!A:R""
    ),
    16,
    FALSE
  ),
  0
)
"),144.0)</f>
        <v>144</v>
      </c>
      <c r="R49" s="51">
        <f t="shared" ref="R49:S49" si="238">IFERROR(N49/P49,"-")</f>
        <v>1.461538462</v>
      </c>
      <c r="S49" s="51">
        <f t="shared" si="238"/>
        <v>0.2291666667</v>
      </c>
      <c r="T49" s="9">
        <f>IFERROR(__xludf.DUMMYFUNCTION("IFERROR(
  VLOOKUP(
    A49,
    IMPORTRANGE(
      ""1ZHMy3vVUd_0MrSduXTe1etBb1HNpAlGwQr006ljwMiM"",
      ""GSC最新!A:R""
    ),
    8,
    FALSE
  ),
  0
)
"),0.05263157894736842)</f>
        <v>0.05263157895</v>
      </c>
      <c r="U49" s="9">
        <f>IFERROR(__xludf.DUMMYFUNCTION("IFERROR(
  VLOOKUP(
    A49,
    IMPORTRANGE(
      ""1ZHMy3vVUd_0MrSduXTe1etBb1HNpAlGwQr006ljwMiM"",
      ""GSC最新!A:R""
    ),
    11,
    FALSE
  ),
  0
)
"),0.030303030303030304)</f>
        <v>0.0303030303</v>
      </c>
      <c r="V49" s="9">
        <f>IFERROR(__xludf.DUMMYFUNCTION("IFERROR(
  VLOOKUP(
    A49,
    IMPORTRANGE(
      ""1ZHMy3vVUd_0MrSduXTe1etBb1HNpAlGwQr006ljwMiM"",
      ""GSC最新!A:R""
    ),
    14,
    FALSE
  ),
  0
)
"),0.0)</f>
        <v>0</v>
      </c>
      <c r="W49" s="9">
        <f>IFERROR(__xludf.DUMMYFUNCTION("IFERROR(
  VLOOKUP(
    A49,
    IMPORTRANGE(
      ""1ZHMy3vVUd_0MrSduXTe1etBb1HNpAlGwQr006ljwMiM"",
      ""GSC最新!A:R""
    ),
    17,
    FALSE
  ),
  0
)
"),0.020833333333333332)</f>
        <v>0.02083333333</v>
      </c>
      <c r="X49" s="9">
        <f t="shared" ref="X49:Y49" si="239">IFERROR(T49-V49,"-")</f>
        <v>0.05263157895</v>
      </c>
      <c r="Y49" s="9">
        <f t="shared" si="239"/>
        <v>0.00946969697</v>
      </c>
      <c r="Z49" s="52">
        <f>IFERROR(__xludf.DUMMYFUNCTION("IFERROR(
  VLOOKUP(
    A49,
    IMPORTRANGE(
      ""1ZHMy3vVUd_0MrSduXTe1etBb1HNpAlGwQr006ljwMiM"",
      ""GSC最新!A:R""
    ),
    9,
    FALSE
  ),
  0
)
"),14.0)</f>
        <v>14</v>
      </c>
      <c r="AA49" s="52">
        <f>IFERROR(__xludf.DUMMYFUNCTION("IFERROR(
  VLOOKUP(
    A49,
    IMPORTRANGE(
      ""1ZHMy3vVUd_0MrSduXTe1etBb1HNpAlGwQr006ljwMiM"",
      ""GSC最新!A:R""
    ),
    12,
    FALSE
  ),
  0
)
"),11.484848484848484)</f>
        <v>11.48484848</v>
      </c>
      <c r="AB49" s="52">
        <f>IFERROR(__xludf.DUMMYFUNCTION("IFERROR(
  VLOOKUP(
    A49,
    IMPORTRANGE(
      ""1ZHMy3vVUd_0MrSduXTe1etBb1HNpAlGwQr006ljwMiM"",
      ""GSC最新!A:R""
    ),
    15,
    FALSE
  ),
  0
)
"),22.76923076923077)</f>
        <v>22.76923077</v>
      </c>
      <c r="AC49" s="52">
        <f>IFERROR(__xludf.DUMMYFUNCTION("IFERROR(
  VLOOKUP(
    A49,
    IMPORTRANGE(
      ""1ZHMy3vVUd_0MrSduXTe1etBb1HNpAlGwQr006ljwMiM"",
      ""GSC最新!A:R""
    ),
    18,
    FALSE
  ),
  0
)
"),35.298611111111114)</f>
        <v>35.29861111</v>
      </c>
      <c r="AD49" s="52">
        <f t="shared" ref="AD49:AE49" si="240">Z49-AB49</f>
        <v>-8.769230769</v>
      </c>
      <c r="AE49" s="52">
        <f t="shared" si="240"/>
        <v>-23.81376263</v>
      </c>
      <c r="AF49" s="53">
        <f>IFERROR(__xludf.DUMMYFUNCTION("IFERROR(
  VLOOKUP(
    A49,
    IMPORTRANGE(
      ""1ZHMy3vVUd_0MrSduXTe1etBb1HNpAlGwQr006ljwMiM"",
      ""GSC最新!A:F""
    ),
    6,
    FALSE
  ),
  0
)
"),46081.0)</f>
        <v>46081</v>
      </c>
      <c r="AG49" s="54">
        <f>IFERROR(__xludf.DUMMYFUNCTION("IFERROR(
  VLOOKUP(
    A49,
    IMPORTRANGE(
      ""1SCYQd7_cobOYqT0r_F0IqD4tE4rYn5y8Eup4PJTH8es"",
      ""Snapshot!A:M""
    ),
    5,
    FALSE
  ),
  ""-""
)
"),1.0)</f>
        <v>1</v>
      </c>
      <c r="AH49" s="54">
        <f>IFERROR(__xludf.DUMMYFUNCTION("IFERROR(
  VLOOKUP(
    A49,
    IMPORTRANGE(
      ""1SCYQd7_cobOYqT0r_F0IqD4tE4rYn5y8Eup4PJTH8es"",
      ""Snapshot!A:M""
    ),
    6,
    FALSE
  ),
  0
)
"),15.0)</f>
        <v>15</v>
      </c>
      <c r="AI49" s="54">
        <f>IFERROR(__xludf.DUMMYFUNCTION("IFERROR(
  VLOOKUP(
    A49,
    IMPORTRANGE(
      ""1SCYQd7_cobOYqT0r_F0IqD4tE4rYn5y8Eup4PJTH8es"",
      ""Snapshot!A:M""
    ),
    7,
    FALSE
  ),
  0
)
"),3053.0)</f>
        <v>3053</v>
      </c>
      <c r="AJ49" s="54">
        <f>IFERROR(__xludf.DUMMYFUNCTION("IFERROR(
  VLOOKUP(
    A49,
    IMPORTRANGE(
      ""1SCYQd7_cobOYqT0r_F0IqD4tE4rYn5y8Eup4PJTH8es"",
      ""Snapshot!A:M""
    ),
    8,
    FALSE
  ),
  0
)
"),2.0)</f>
        <v>2</v>
      </c>
      <c r="AK49" s="54">
        <f>IFERROR(__xludf.DUMMYFUNCTION("IFERROR(
  VLOOKUP(
    A49,
    IMPORTRANGE(
      ""1SCYQd7_cobOYqT0r_F0IqD4tE4rYn5y8Eup4PJTH8es"",
      ""Snapshot!A:M""
    ),
    9,
    FALSE
  ),
  0
)
"),2.0)</f>
        <v>2</v>
      </c>
      <c r="AL49" s="54">
        <f>IFERROR(__xludf.DUMMYFUNCTION("IFERROR(
  VLOOKUP(
    A49,
    IMPORTRANGE(
      ""1SCYQd7_cobOYqT0r_F0IqD4tE4rYn5y8Eup4PJTH8es"",
      ""Snapshot!A:M""
    ),
    13,
    FALSE
  ),
  0
)
"),2.0)</f>
        <v>2</v>
      </c>
    </row>
    <row r="50">
      <c r="A50" s="57" t="s">
        <v>333</v>
      </c>
      <c r="B50" s="1" t="str">
        <f>IFERROR(__xludf.DUMMYFUNCTION("IFERROR(
  VLOOKUP(
    A50,
    IMPORTRANGE(
      ""1ZygntHC1J6IxzKbTidmOyf5nUyW4GCLurHCjexrLm_o"",
      ""HTMLキャッシュ!A:F""
    ),
    2,
    FALSE
  ),
  0
)
"),"SP")</f>
        <v>SP</v>
      </c>
      <c r="C50" s="1" t="str">
        <f>IFERROR(__xludf.DUMMYFUNCTION("IFERROR(
  VLOOKUP(
    A50,
    IMPORTRANGE(
      ""1ZygntHC1J6IxzKbTidmOyf5nUyW4GCLurHCjexrLm_o"",
      ""HTMLキャッシュ!A:F""
    ),
    5,
    FALSE
  ),
  0
)
"),"中学受験の完全1対1国語個別指導講座｜得点力強化オンライン塾")</f>
        <v>中学受験の完全1対1国語個別指導講座｜得点力強化オンライン塾</v>
      </c>
      <c r="D50" s="1" t="str">
        <f>IFERROR(__xludf.DUMMYFUNCTION("IFERROR(
  VLOOKUP(
    A50,
    IMPORTRANGE(
      ""1ZygntHC1J6IxzKbTidmOyf5nUyW4GCLurHCjexrLm_o        "",
      ""HTMLキャッシュ!A:F""
    ),
    6,
    FALSE
  ),
  0
)
"),"国語が伸び悩む受験生へ。完全1対1の個別指導で根拠把握・記述力を徹底強化し合格力を育成。オンライン体験受付中、今すぐ相談可")</f>
        <v>国語が伸び悩む受験生へ。完全1対1の個別指導で根拠把握・記述力を徹底強化し合格力を育成。オンライン体験受付中、今すぐ相談可</v>
      </c>
      <c r="E50" s="49">
        <f t="shared" ref="E50:F50" si="241">LEN(C50)</f>
        <v>30</v>
      </c>
      <c r="F50" s="49">
        <f t="shared" si="241"/>
        <v>61</v>
      </c>
      <c r="G50" s="32">
        <f>IFERROR(__xludf.DUMMYFUNCTION("IFERROR(
  VLOOKUP(
    A50,
    IMPORTRANGE(
      ""1ZygntHC1J6IxzKbTidmOyf5nUyW4GCLurHCjexrLm_o        "",
      ""HTMLキャッシュ!A:F""
    ),
    3,
    FALSE
  ),
  0
)
"),46081.71608796297)</f>
        <v>46081.71609</v>
      </c>
      <c r="H50" s="49">
        <f>IFERROR(__xludf.DUMMYFUNCTION("IFERROR(
  VLOOKUP(
    A50,
    IMPORTRANGE(
      ""1ZHMy3vVUd_0MrSduXTe1etBb1HNpAlGwQr006ljwMiM"",
      ""GSC最新!A:F""
    ),
    2,
    FALSE
  ),
  0
)
"),0.0)</f>
        <v>0</v>
      </c>
      <c r="I50" s="49">
        <f>IFERROR(__xludf.DUMMYFUNCTION("IFERROR(
  VLOOKUP(
    A50,
    IMPORTRANGE(
      ""1ZHMy3vVUd_0MrSduXTe1etBb1HNpAlGwQr006ljwMiM"",
      ""GSC最新!A:F""
    ),
    3,
    FALSE
  ),
  0
)
"),0.0)</f>
        <v>0</v>
      </c>
      <c r="J50" s="49">
        <f>IFERROR(__xludf.DUMMYFUNCTION("IFERROR(
  VLOOKUP(
    A50,
    IMPORTRANGE(
      ""1ZHMy3vVUd_0MrSduXTe1etBb1HNpAlGwQr006ljwMiM"",
      ""GSC最新!A:F""
    ),
    4,
    FALSE
  ),
  0
)
"),1.0)</f>
        <v>1</v>
      </c>
      <c r="K50" s="49">
        <f>IFERROR(__xludf.DUMMYFUNCTION("IFERROR(
  VLOOKUP(
    A50,
    IMPORTRANGE(
      ""1ZHMy3vVUd_0MrSduXTe1etBb1HNpAlGwQr006ljwMiM"",
      ""GSC最新!A:F""
    ),
    5,
    FALSE
  ),
  0
)
"),1.0)</f>
        <v>1</v>
      </c>
      <c r="L50" s="50">
        <f t="shared" ref="L50:M50" si="242">IFERROR(H50/J50,"-")</f>
        <v>0</v>
      </c>
      <c r="M50" s="50">
        <f t="shared" si="242"/>
        <v>0</v>
      </c>
      <c r="N50" s="6">
        <f>IFERROR(__xludf.DUMMYFUNCTION("IFERROR(
  VLOOKUP(
    A50,
    IMPORTRANGE(
      ""1ZHMy3vVUd_0MrSduXTe1etBb1HNpAlGwQr006ljwMiM"",
      ""GSC最新!A:R""
    ),
    7,
    FALSE
  ),
  0
)
"),6.0)</f>
        <v>6</v>
      </c>
      <c r="O50" s="6">
        <f>IFERROR(__xludf.DUMMYFUNCTION("IFERROR(
  VLOOKUP(
    A50,
    IMPORTRANGE(
      ""1ZHMy3vVUd_0MrSduXTe1etBb1HNpAlGwQr006ljwMiM"",
      ""GSC最新!A:R""
    ),
    10,
    FALSE
  ),
  0
)
"),23.0)</f>
        <v>23</v>
      </c>
      <c r="P50" s="6">
        <f>IFERROR(__xludf.DUMMYFUNCTION("IFERROR(
  VLOOKUP(
    A50,
    IMPORTRANGE(
      ""1ZHMy3vVUd_0MrSduXTe1etBb1HNpAlGwQr006ljwMiM"",
      ""GSC最新!A:R""
    ),
    13,
    FALSE
  ),
  0
)
"),10.0)</f>
        <v>10</v>
      </c>
      <c r="Q50" s="6">
        <f>IFERROR(__xludf.DUMMYFUNCTION("IFERROR(
  VLOOKUP(
    A50,
    IMPORTRANGE(
      ""1ZHMy3vVUd_0MrSduXTe1etBb1HNpAlGwQr006ljwMiM"",
      ""GSC最新!A:R""
    ),
    16,
    FALSE
  ),
  0
)
"),41.0)</f>
        <v>41</v>
      </c>
      <c r="R50" s="51">
        <f t="shared" ref="R50:S50" si="243">IFERROR(N50/P50,"-")</f>
        <v>0.6</v>
      </c>
      <c r="S50" s="51">
        <f t="shared" si="243"/>
        <v>0.5609756098</v>
      </c>
      <c r="T50" s="9">
        <f>IFERROR(__xludf.DUMMYFUNCTION("IFERROR(
  VLOOKUP(
    A50,
    IMPORTRANGE(
      ""1ZHMy3vVUd_0MrSduXTe1etBb1HNpAlGwQr006ljwMiM"",
      ""GSC最新!A:R""
    ),
    8,
    FALSE
  ),
  0
)
"),0.0)</f>
        <v>0</v>
      </c>
      <c r="U50" s="9">
        <f>IFERROR(__xludf.DUMMYFUNCTION("IFERROR(
  VLOOKUP(
    A50,
    IMPORTRANGE(
      ""1ZHMy3vVUd_0MrSduXTe1etBb1HNpAlGwQr006ljwMiM"",
      ""GSC最新!A:R""
    ),
    11,
    FALSE
  ),
  0
)
"),0.0)</f>
        <v>0</v>
      </c>
      <c r="V50" s="9">
        <f>IFERROR(__xludf.DUMMYFUNCTION("IFERROR(
  VLOOKUP(
    A50,
    IMPORTRANGE(
      ""1ZHMy3vVUd_0MrSduXTe1etBb1HNpAlGwQr006ljwMiM"",
      ""GSC最新!A:R""
    ),
    14,
    FALSE
  ),
  0
)
"),0.1)</f>
        <v>0.1</v>
      </c>
      <c r="W50" s="9">
        <f>IFERROR(__xludf.DUMMYFUNCTION("IFERROR(
  VLOOKUP(
    A50,
    IMPORTRANGE(
      ""1ZHMy3vVUd_0MrSduXTe1etBb1HNpAlGwQr006ljwMiM"",
      ""GSC最新!A:R""
    ),
    17,
    FALSE
  ),
  0
)
"),0.024390243902439025)</f>
        <v>0.0243902439</v>
      </c>
      <c r="X50" s="9">
        <f t="shared" ref="X50:Y50" si="244">IFERROR(T50-V50,"-")</f>
        <v>-0.1</v>
      </c>
      <c r="Y50" s="9">
        <f t="shared" si="244"/>
        <v>-0.0243902439</v>
      </c>
      <c r="Z50" s="52">
        <f>IFERROR(__xludf.DUMMYFUNCTION("IFERROR(
  VLOOKUP(
    A50,
    IMPORTRANGE(
      ""1ZHMy3vVUd_0MrSduXTe1etBb1HNpAlGwQr006ljwMiM"",
      ""GSC最新!A:R""
    ),
    9,
    FALSE
  ),
  0
)
"),43.5)</f>
        <v>43.5</v>
      </c>
      <c r="AA50" s="52">
        <f>IFERROR(__xludf.DUMMYFUNCTION("IFERROR(
  VLOOKUP(
    A50,
    IMPORTRANGE(
      ""1ZHMy3vVUd_0MrSduXTe1etBb1HNpAlGwQr006ljwMiM"",
      ""GSC最新!A:R""
    ),
    12,
    FALSE
  ),
  0
)
"),18.52173913043478)</f>
        <v>18.52173913</v>
      </c>
      <c r="AB50" s="52">
        <f>IFERROR(__xludf.DUMMYFUNCTION("IFERROR(
  VLOOKUP(
    A50,
    IMPORTRANGE(
      ""1ZHMy3vVUd_0MrSduXTe1etBb1HNpAlGwQr006ljwMiM"",
      ""GSC最新!A:R""
    ),
    15,
    FALSE
  ),
  0
)
"),7.5)</f>
        <v>7.5</v>
      </c>
      <c r="AC50" s="52">
        <f>IFERROR(__xludf.DUMMYFUNCTION("IFERROR(
  VLOOKUP(
    A50,
    IMPORTRANGE(
      ""1ZHMy3vVUd_0MrSduXTe1etBb1HNpAlGwQr006ljwMiM"",
      ""GSC最新!A:R""
    ),
    18,
    FALSE
  ),
  0
)
"),30.390243902439025)</f>
        <v>30.3902439</v>
      </c>
      <c r="AD50" s="52">
        <f t="shared" ref="AD50:AE50" si="245">Z50-AB50</f>
        <v>36</v>
      </c>
      <c r="AE50" s="52">
        <f t="shared" si="245"/>
        <v>-11.86850477</v>
      </c>
      <c r="AF50" s="53">
        <f>IFERROR(__xludf.DUMMYFUNCTION("IFERROR(
  VLOOKUP(
    A50,
    IMPORTRANGE(
      ""1ZHMy3vVUd_0MrSduXTe1etBb1HNpAlGwQr006ljwMiM"",
      ""GSC最新!A:F""
    ),
    6,
    FALSE
  ),
  0
)
"),46081.0)</f>
        <v>46081</v>
      </c>
      <c r="AG50" s="54">
        <f>IFERROR(__xludf.DUMMYFUNCTION("IFERROR(
  VLOOKUP(
    A50,
    IMPORTRANGE(
      ""1SCYQd7_cobOYqT0r_F0IqD4tE4rYn5y8Eup4PJTH8es"",
      ""Snapshot!A:M""
    ),
    5,
    FALSE
  ),
  ""-""
)
"),4.0)</f>
        <v>4</v>
      </c>
      <c r="AH50" s="54">
        <f>IFERROR(__xludf.DUMMYFUNCTION("IFERROR(
  VLOOKUP(
    A50,
    IMPORTRANGE(
      ""1SCYQd7_cobOYqT0r_F0IqD4tE4rYn5y8Eup4PJTH8es"",
      ""Snapshot!A:M""
    ),
    6,
    FALSE
  ),
  0
)
"),7.0)</f>
        <v>7</v>
      </c>
      <c r="AI50" s="54">
        <f>IFERROR(__xludf.DUMMYFUNCTION("IFERROR(
  VLOOKUP(
    A50,
    IMPORTRANGE(
      ""1SCYQd7_cobOYqT0r_F0IqD4tE4rYn5y8Eup4PJTH8es"",
      ""Snapshot!A:M""
    ),
    7,
    FALSE
  ),
  0
)
"),4923.0)</f>
        <v>4923</v>
      </c>
      <c r="AJ50" s="54">
        <f>IFERROR(__xludf.DUMMYFUNCTION("IFERROR(
  VLOOKUP(
    A50,
    IMPORTRANGE(
      ""1SCYQd7_cobOYqT0r_F0IqD4tE4rYn5y8Eup4PJTH8es"",
      ""Snapshot!A:M""
    ),
    8,
    FALSE
  ),
  0
)
"),3.0)</f>
        <v>3</v>
      </c>
      <c r="AK50" s="54">
        <f>IFERROR(__xludf.DUMMYFUNCTION("IFERROR(
  VLOOKUP(
    A50,
    IMPORTRANGE(
      ""1SCYQd7_cobOYqT0r_F0IqD4tE4rYn5y8Eup4PJTH8es"",
      ""Snapshot!A:M""
    ),
    9,
    FALSE
  ),
  0
)
"),1.0)</f>
        <v>1</v>
      </c>
      <c r="AL50" s="54">
        <f>IFERROR(__xludf.DUMMYFUNCTION("IFERROR(
  VLOOKUP(
    A50,
    IMPORTRANGE(
      ""1SCYQd7_cobOYqT0r_F0IqD4tE4rYn5y8Eup4PJTH8es"",
      ""Snapshot!A:M""
    ),
    13,
    FALSE
  ),
  0
)
"),3.0)</f>
        <v>3</v>
      </c>
    </row>
    <row r="51">
      <c r="A51" s="56" t="s">
        <v>334</v>
      </c>
      <c r="B51" s="1" t="str">
        <f>IFERROR(__xludf.DUMMYFUNCTION("IFERROR(
  VLOOKUP(
    A51,
    IMPORTRANGE(
      ""1ZygntHC1J6IxzKbTidmOyf5nUyW4GCLurHCjexrLm_o"",
      ""HTMLキャッシュ!A:F""
    ),
    2,
    FALSE
  ),
  0
)
"),"SP")</f>
        <v>SP</v>
      </c>
      <c r="C51" s="1" t="str">
        <f>IFERROR(__xludf.DUMMYFUNCTION("IFERROR(
  VLOOKUP(
    A51,
    IMPORTRANGE(
      ""1ZygntHC1J6IxzKbTidmOyf5nUyW4GCLurHCjexrLm_o"",
      ""HTMLキャッシュ!A:F""
    ),
    5,
    FALSE
  ),
  0
)
"),"中高一貫校学習方針と個別指導の特徴｜成果につなぐオンライン塾")</f>
        <v>中高一貫校学習方針と個別指導の特徴｜成果につなぐオンライン塾</v>
      </c>
      <c r="D51" s="1" t="str">
        <f>IFERROR(__xludf.DUMMYFUNCTION("IFERROR(
  VLOOKUP(
    A51,
    IMPORTRANGE(
      ""1ZygntHC1J6IxzKbTidmOyf5nUyW4GCLurHCjexrLm_o        "",
      ""HTMLキャッシュ!A:F""
    ),
    6,
    FALSE
  ),
  0
)
"),"成績が伸び悩む中高一貫生へ。個別指導の方針・定着メソッドを解説し得点力アップへ導く。オンライン体験相談受付中今すぐ")</f>
        <v>成績が伸び悩む中高一貫生へ。個別指導の方針・定着メソッドを解説し得点力アップへ導く。オンライン体験相談受付中今すぐ</v>
      </c>
      <c r="E51" s="49">
        <f t="shared" ref="E51:F51" si="246">LEN(C51)</f>
        <v>30</v>
      </c>
      <c r="F51" s="49">
        <f t="shared" si="246"/>
        <v>57</v>
      </c>
      <c r="G51" s="32">
        <f>IFERROR(__xludf.DUMMYFUNCTION("IFERROR(
  VLOOKUP(
    A51,
    IMPORTRANGE(
      ""1ZygntHC1J6IxzKbTidmOyf5nUyW4GCLurHCjexrLm_o        "",
      ""HTMLキャッシュ!A:F""
    ),
    3,
    FALSE
  ),
  0
)
"),46083.694548611114)</f>
        <v>46083.69455</v>
      </c>
      <c r="H51" s="49">
        <f>IFERROR(__xludf.DUMMYFUNCTION("IFERROR(
  VLOOKUP(
    A51,
    IMPORTRANGE(
      ""1ZHMy3vVUd_0MrSduXTe1etBb1HNpAlGwQr006ljwMiM"",
      ""GSC最新!A:F""
    ),
    2,
    FALSE
  ),
  0
)
"),0.0)</f>
        <v>0</v>
      </c>
      <c r="I51" s="49">
        <f>IFERROR(__xludf.DUMMYFUNCTION("IFERROR(
  VLOOKUP(
    A51,
    IMPORTRANGE(
      ""1ZHMy3vVUd_0MrSduXTe1etBb1HNpAlGwQr006ljwMiM"",
      ""GSC最新!A:F""
    ),
    3,
    FALSE
  ),
  0
)
"),0.0)</f>
        <v>0</v>
      </c>
      <c r="J51" s="49">
        <f>IFERROR(__xludf.DUMMYFUNCTION("IFERROR(
  VLOOKUP(
    A51,
    IMPORTRANGE(
      ""1ZHMy3vVUd_0MrSduXTe1etBb1HNpAlGwQr006ljwMiM"",
      ""GSC最新!A:F""
    ),
    4,
    FALSE
  ),
  0
)
"),0.0)</f>
        <v>0</v>
      </c>
      <c r="K51" s="49">
        <f>IFERROR(__xludf.DUMMYFUNCTION("IFERROR(
  VLOOKUP(
    A51,
    IMPORTRANGE(
      ""1ZHMy3vVUd_0MrSduXTe1etBb1HNpAlGwQr006ljwMiM"",
      ""GSC最新!A:F""
    ),
    5,
    FALSE
  ),
  0
)
"),0.0)</f>
        <v>0</v>
      </c>
      <c r="L51" s="50" t="str">
        <f t="shared" ref="L51:M51" si="247">IFERROR(H51/J51,"-")</f>
        <v>-</v>
      </c>
      <c r="M51" s="50" t="str">
        <f t="shared" si="247"/>
        <v>-</v>
      </c>
      <c r="N51" s="6">
        <f>IFERROR(__xludf.DUMMYFUNCTION("IFERROR(
  VLOOKUP(
    A51,
    IMPORTRANGE(
      ""1ZHMy3vVUd_0MrSduXTe1etBb1HNpAlGwQr006ljwMiM"",
      ""GSC最新!A:R""
    ),
    7,
    FALSE
  ),
  0
)
"),7.0)</f>
        <v>7</v>
      </c>
      <c r="O51" s="6">
        <f>IFERROR(__xludf.DUMMYFUNCTION("IFERROR(
  VLOOKUP(
    A51,
    IMPORTRANGE(
      ""1ZHMy3vVUd_0MrSduXTe1etBb1HNpAlGwQr006ljwMiM"",
      ""GSC最新!A:R""
    ),
    10,
    FALSE
  ),
  0
)
"),19.0)</f>
        <v>19</v>
      </c>
      <c r="P51" s="6">
        <f>IFERROR(__xludf.DUMMYFUNCTION("IFERROR(
  VLOOKUP(
    A51,
    IMPORTRANGE(
      ""1ZHMy3vVUd_0MrSduXTe1etBb1HNpAlGwQr006ljwMiM"",
      ""GSC最新!A:R""
    ),
    13,
    FALSE
  ),
  0
)
"),0.0)</f>
        <v>0</v>
      </c>
      <c r="Q51" s="6">
        <f>IFERROR(__xludf.DUMMYFUNCTION("IFERROR(
  VLOOKUP(
    A51,
    IMPORTRANGE(
      ""1ZHMy3vVUd_0MrSduXTe1etBb1HNpAlGwQr006ljwMiM"",
      ""GSC最新!A:R""
    ),
    16,
    FALSE
  ),
  0
)
"),2.0)</f>
        <v>2</v>
      </c>
      <c r="R51" s="51" t="str">
        <f t="shared" ref="R51:S51" si="248">IFERROR(N51/P51,"-")</f>
        <v>-</v>
      </c>
      <c r="S51" s="51">
        <f t="shared" si="248"/>
        <v>9.5</v>
      </c>
      <c r="T51" s="9">
        <f>IFERROR(__xludf.DUMMYFUNCTION("IFERROR(
  VLOOKUP(
    A51,
    IMPORTRANGE(
      ""1ZHMy3vVUd_0MrSduXTe1etBb1HNpAlGwQr006ljwMiM"",
      ""GSC最新!A:R""
    ),
    8,
    FALSE
  ),
  0
)
"),0.0)</f>
        <v>0</v>
      </c>
      <c r="U51" s="9">
        <f>IFERROR(__xludf.DUMMYFUNCTION("IFERROR(
  VLOOKUP(
    A51,
    IMPORTRANGE(
      ""1ZHMy3vVUd_0MrSduXTe1etBb1HNpAlGwQr006ljwMiM"",
      ""GSC最新!A:R""
    ),
    11,
    FALSE
  ),
  0
)
"),0.0)</f>
        <v>0</v>
      </c>
      <c r="V51" s="9">
        <f>IFERROR(__xludf.DUMMYFUNCTION("IFERROR(
  VLOOKUP(
    A51,
    IMPORTRANGE(
      ""1ZHMy3vVUd_0MrSduXTe1etBb1HNpAlGwQr006ljwMiM"",
      ""GSC最新!A:R""
    ),
    14,
    FALSE
  ),
  0
)
"),0.0)</f>
        <v>0</v>
      </c>
      <c r="W51" s="9">
        <f>IFERROR(__xludf.DUMMYFUNCTION("IFERROR(
  VLOOKUP(
    A51,
    IMPORTRANGE(
      ""1ZHMy3vVUd_0MrSduXTe1etBb1HNpAlGwQr006ljwMiM"",
      ""GSC最新!A:R""
    ),
    17,
    FALSE
  ),
  0
)
"),0.0)</f>
        <v>0</v>
      </c>
      <c r="X51" s="9">
        <f t="shared" ref="X51:Y51" si="249">IFERROR(T51-V51,"-")</f>
        <v>0</v>
      </c>
      <c r="Y51" s="9">
        <f t="shared" si="249"/>
        <v>0</v>
      </c>
      <c r="Z51" s="52">
        <f>IFERROR(__xludf.DUMMYFUNCTION("IFERROR(
  VLOOKUP(
    A51,
    IMPORTRANGE(
      ""1ZHMy3vVUd_0MrSduXTe1etBb1HNpAlGwQr006ljwMiM"",
      ""GSC最新!A:R""
    ),
    9,
    FALSE
  ),
  0
)
"),6.714285714285714)</f>
        <v>6.714285714</v>
      </c>
      <c r="AA51" s="52">
        <f>IFERROR(__xludf.DUMMYFUNCTION("IFERROR(
  VLOOKUP(
    A51,
    IMPORTRANGE(
      ""1ZHMy3vVUd_0MrSduXTe1etBb1HNpAlGwQr006ljwMiM"",
      ""GSC最新!A:R""
    ),
    12,
    FALSE
  ),
  0
)
"),5.684210526315789)</f>
        <v>5.684210526</v>
      </c>
      <c r="AB51" s="52" t="str">
        <f>IFERROR(__xludf.DUMMYFUNCTION("IFERROR(
  VLOOKUP(
    A51,
    IMPORTRANGE(
      ""1ZHMy3vVUd_0MrSduXTe1etBb1HNpAlGwQr006ljwMiM"",
      ""GSC最新!A:R""
    ),
    15,
    FALSE
  ),
  0
)
"),"")</f>
        <v/>
      </c>
      <c r="AC51" s="52">
        <f>IFERROR(__xludf.DUMMYFUNCTION("IFERROR(
  VLOOKUP(
    A51,
    IMPORTRANGE(
      ""1ZHMy3vVUd_0MrSduXTe1etBb1HNpAlGwQr006ljwMiM"",
      ""GSC最新!A:R""
    ),
    18,
    FALSE
  ),
  0
)
"),5.0)</f>
        <v>5</v>
      </c>
      <c r="AD51" s="52">
        <f t="shared" ref="AD51:AE51" si="250">Z51-AB51</f>
        <v>6.714285714</v>
      </c>
      <c r="AE51" s="52">
        <f t="shared" si="250"/>
        <v>0.6842105263</v>
      </c>
      <c r="AF51" s="53">
        <f>IFERROR(__xludf.DUMMYFUNCTION("IFERROR(
  VLOOKUP(
    A51,
    IMPORTRANGE(
      ""1ZHMy3vVUd_0MrSduXTe1etBb1HNpAlGwQr006ljwMiM"",
      ""GSC最新!A:F""
    ),
    6,
    FALSE
  ),
  0
)
"),46081.0)</f>
        <v>46081</v>
      </c>
      <c r="AG51" s="54">
        <f>IFERROR(__xludf.DUMMYFUNCTION("IFERROR(
  VLOOKUP(
    A51,
    IMPORTRANGE(
      ""1SCYQd7_cobOYqT0r_F0IqD4tE4rYn5y8Eup4PJTH8es"",
      ""Snapshot!A:M""
    ),
    5,
    FALSE
  ),
  ""-""
)
"),1.0)</f>
        <v>1</v>
      </c>
      <c r="AH51" s="54">
        <f>IFERROR(__xludf.DUMMYFUNCTION("IFERROR(
  VLOOKUP(
    A51,
    IMPORTRANGE(
      ""1SCYQd7_cobOYqT0r_F0IqD4tE4rYn5y8Eup4PJTH8es"",
      ""Snapshot!A:M""
    ),
    6,
    FALSE
  ),
  0
)
"),3.0)</f>
        <v>3</v>
      </c>
      <c r="AI51" s="54">
        <f>IFERROR(__xludf.DUMMYFUNCTION("IFERROR(
  VLOOKUP(
    A51,
    IMPORTRANGE(
      ""1SCYQd7_cobOYqT0r_F0IqD4tE4rYn5y8Eup4PJTH8es"",
      ""Snapshot!A:M""
    ),
    7,
    FALSE
  ),
  0
)
"),1146.0)</f>
        <v>1146</v>
      </c>
      <c r="AJ51" s="54">
        <f>IFERROR(__xludf.DUMMYFUNCTION("IFERROR(
  VLOOKUP(
    A51,
    IMPORTRANGE(
      ""1SCYQd7_cobOYqT0r_F0IqD4tE4rYn5y8Eup4PJTH8es"",
      ""Snapshot!A:M""
    ),
    8,
    FALSE
  ),
  0
)
"),5.0)</f>
        <v>5</v>
      </c>
      <c r="AK51" s="54">
        <f>IFERROR(__xludf.DUMMYFUNCTION("IFERROR(
  VLOOKUP(
    A51,
    IMPORTRANGE(
      ""1SCYQd7_cobOYqT0r_F0IqD4tE4rYn5y8Eup4PJTH8es"",
      ""Snapshot!A:M""
    ),
    9,
    FALSE
  ),
  0
)
"),2.0)</f>
        <v>2</v>
      </c>
      <c r="AL51" s="54">
        <f>IFERROR(__xludf.DUMMYFUNCTION("IFERROR(
  VLOOKUP(
    A51,
    IMPORTRANGE(
      ""1SCYQd7_cobOYqT0r_F0IqD4tE4rYn5y8Eup4PJTH8es"",
      ""Snapshot!A:M""
    ),
    13,
    FALSE
  ),
  0
)
"),1.0)</f>
        <v>1</v>
      </c>
    </row>
    <row r="52">
      <c r="A52" s="56" t="s">
        <v>335</v>
      </c>
      <c r="B52" s="1" t="str">
        <f>IFERROR(__xludf.DUMMYFUNCTION("IFERROR(
  VLOOKUP(
    A52,
    IMPORTRANGE(
      ""1ZygntHC1J6IxzKbTidmOyf5nUyW4GCLurHCjexrLm_o"",
      ""HTMLキャッシュ!A:F""
    ),
    2,
    FALSE
  ),
  0
)
"),"SP")</f>
        <v>SP</v>
      </c>
      <c r="C52" s="1" t="str">
        <f>IFERROR(__xludf.DUMMYFUNCTION("IFERROR(
  VLOOKUP(
    A52,
    IMPORTRANGE(
      ""1ZygntHC1J6IxzKbTidmOyf5nUyW4GCLurHCjexrLm_o"",
      ""HTMLキャッシュ!A:F""
    ),
    5,
    FALSE
  ),
  0
)
"),"中高一貫校定期試験・受験対策の個別指導講座｜志望別オンライン")</f>
        <v>中高一貫校定期試験・受験対策の個別指導講座｜志望別オンライン</v>
      </c>
      <c r="D52" s="1" t="str">
        <f>IFERROR(__xludf.DUMMYFUNCTION("IFERROR(
  VLOOKUP(
    A52,
    IMPORTRANGE(
      ""1ZygntHC1J6IxzKbTidmOyf5nUyW4GCLurHCjexrLm_o        "",
      ""HTMLキャッシュ!A:F""
    ),
    6,
    FALSE
  ),
  0
)
"),"定期テストや受験で伸び悩む中高一貫生へ。英語数学国語を志望別個別指導で強化。教室・オンライン体験受付中")</f>
        <v>定期テストや受験で伸び悩む中高一貫生へ。英語数学国語を志望別個別指導で強化。教室・オンライン体験受付中</v>
      </c>
      <c r="E52" s="49">
        <f t="shared" ref="E52:F52" si="251">LEN(C52)</f>
        <v>30</v>
      </c>
      <c r="F52" s="49">
        <f t="shared" si="251"/>
        <v>51</v>
      </c>
      <c r="G52" s="32">
        <f>IFERROR(__xludf.DUMMYFUNCTION("IFERROR(
  VLOOKUP(
    A52,
    IMPORTRANGE(
      ""1ZygntHC1J6IxzKbTidmOyf5nUyW4GCLurHCjexrLm_o        "",
      ""HTMLキャッシュ!A:F""
    ),
    3,
    FALSE
  ),
  0
)
"),46084.64103009259)</f>
        <v>46084.64103</v>
      </c>
      <c r="H52" s="49">
        <f>IFERROR(__xludf.DUMMYFUNCTION("IFERROR(
  VLOOKUP(
    A52,
    IMPORTRANGE(
      ""1ZHMy3vVUd_0MrSduXTe1etBb1HNpAlGwQr006ljwMiM"",
      ""GSC最新!A:F""
    ),
    2,
    FALSE
  ),
  0
)
"),1.0)</f>
        <v>1</v>
      </c>
      <c r="I52" s="49">
        <f>IFERROR(__xludf.DUMMYFUNCTION("IFERROR(
  VLOOKUP(
    A52,
    IMPORTRANGE(
      ""1ZHMy3vVUd_0MrSduXTe1etBb1HNpAlGwQr006ljwMiM"",
      ""GSC最新!A:F""
    ),
    3,
    FALSE
  ),
  0
)
"),1.0)</f>
        <v>1</v>
      </c>
      <c r="J52" s="49">
        <f>IFERROR(__xludf.DUMMYFUNCTION("IFERROR(
  VLOOKUP(
    A52,
    IMPORTRANGE(
      ""1ZHMy3vVUd_0MrSduXTe1etBb1HNpAlGwQr006ljwMiM"",
      ""GSC最新!A:F""
    ),
    4,
    FALSE
  ),
  0
)
"),0.0)</f>
        <v>0</v>
      </c>
      <c r="K52" s="49">
        <f>IFERROR(__xludf.DUMMYFUNCTION("IFERROR(
  VLOOKUP(
    A52,
    IMPORTRANGE(
      ""1ZHMy3vVUd_0MrSduXTe1etBb1HNpAlGwQr006ljwMiM"",
      ""GSC最新!A:F""
    ),
    5,
    FALSE
  ),
  0
)
"),0.0)</f>
        <v>0</v>
      </c>
      <c r="L52" s="50" t="str">
        <f t="shared" ref="L52:M52" si="252">IFERROR(H52/J52,"-")</f>
        <v>-</v>
      </c>
      <c r="M52" s="50" t="str">
        <f t="shared" si="252"/>
        <v>-</v>
      </c>
      <c r="N52" s="6">
        <f>IFERROR(__xludf.DUMMYFUNCTION("IFERROR(
  VLOOKUP(
    A52,
    IMPORTRANGE(
      ""1ZHMy3vVUd_0MrSduXTe1etBb1HNpAlGwQr006ljwMiM"",
      ""GSC最新!A:R""
    ),
    7,
    FALSE
  ),
  0
)
"),11.0)</f>
        <v>11</v>
      </c>
      <c r="O52" s="6">
        <f>IFERROR(__xludf.DUMMYFUNCTION("IFERROR(
  VLOOKUP(
    A52,
    IMPORTRANGE(
      ""1ZHMy3vVUd_0MrSduXTe1etBb1HNpAlGwQr006ljwMiM"",
      ""GSC最新!A:R""
    ),
    10,
    FALSE
  ),
  0
)
"),18.0)</f>
        <v>18</v>
      </c>
      <c r="P52" s="6">
        <f>IFERROR(__xludf.DUMMYFUNCTION("IFERROR(
  VLOOKUP(
    A52,
    IMPORTRANGE(
      ""1ZHMy3vVUd_0MrSduXTe1etBb1HNpAlGwQr006ljwMiM"",
      ""GSC最新!A:R""
    ),
    13,
    FALSE
  ),
  0
)
"),0.0)</f>
        <v>0</v>
      </c>
      <c r="Q52" s="6">
        <f>IFERROR(__xludf.DUMMYFUNCTION("IFERROR(
  VLOOKUP(
    A52,
    IMPORTRANGE(
      ""1ZHMy3vVUd_0MrSduXTe1etBb1HNpAlGwQr006ljwMiM"",
      ""GSC最新!A:R""
    ),
    16,
    FALSE
  ),
  0
)
"),1.0)</f>
        <v>1</v>
      </c>
      <c r="R52" s="51" t="str">
        <f t="shared" ref="R52:S52" si="253">IFERROR(N52/P52,"-")</f>
        <v>-</v>
      </c>
      <c r="S52" s="51">
        <f t="shared" si="253"/>
        <v>18</v>
      </c>
      <c r="T52" s="9">
        <f>IFERROR(__xludf.DUMMYFUNCTION("IFERROR(
  VLOOKUP(
    A52,
    IMPORTRANGE(
      ""1ZHMy3vVUd_0MrSduXTe1etBb1HNpAlGwQr006ljwMiM"",
      ""GSC最新!A:R""
    ),
    8,
    FALSE
  ),
  0
)
"),0.09090909090909091)</f>
        <v>0.09090909091</v>
      </c>
      <c r="U52" s="9">
        <f>IFERROR(__xludf.DUMMYFUNCTION("IFERROR(
  VLOOKUP(
    A52,
    IMPORTRANGE(
      ""1ZHMy3vVUd_0MrSduXTe1etBb1HNpAlGwQr006ljwMiM"",
      ""GSC最新!A:R""
    ),
    11,
    FALSE
  ),
  0
)
"),0.05555555555555555)</f>
        <v>0.05555555556</v>
      </c>
      <c r="V52" s="9">
        <f>IFERROR(__xludf.DUMMYFUNCTION("IFERROR(
  VLOOKUP(
    A52,
    IMPORTRANGE(
      ""1ZHMy3vVUd_0MrSduXTe1etBb1HNpAlGwQr006ljwMiM"",
      ""GSC最新!A:R""
    ),
    14,
    FALSE
  ),
  0
)
"),0.0)</f>
        <v>0</v>
      </c>
      <c r="W52" s="9">
        <f>IFERROR(__xludf.DUMMYFUNCTION("IFERROR(
  VLOOKUP(
    A52,
    IMPORTRANGE(
      ""1ZHMy3vVUd_0MrSduXTe1etBb1HNpAlGwQr006ljwMiM"",
      ""GSC最新!A:R""
    ),
    17,
    FALSE
  ),
  0
)
"),0.0)</f>
        <v>0</v>
      </c>
      <c r="X52" s="9">
        <f t="shared" ref="X52:Y52" si="254">IFERROR(T52-V52,"-")</f>
        <v>0.09090909091</v>
      </c>
      <c r="Y52" s="9">
        <f t="shared" si="254"/>
        <v>0.05555555556</v>
      </c>
      <c r="Z52" s="52">
        <f>IFERROR(__xludf.DUMMYFUNCTION("IFERROR(
  VLOOKUP(
    A52,
    IMPORTRANGE(
      ""1ZHMy3vVUd_0MrSduXTe1etBb1HNpAlGwQr006ljwMiM"",
      ""GSC最新!A:R""
    ),
    9,
    FALSE
  ),
  0
)
"),4.363636363636363)</f>
        <v>4.363636364</v>
      </c>
      <c r="AA52" s="52">
        <f>IFERROR(__xludf.DUMMYFUNCTION("IFERROR(
  VLOOKUP(
    A52,
    IMPORTRANGE(
      ""1ZHMy3vVUd_0MrSduXTe1etBb1HNpAlGwQr006ljwMiM"",
      ""GSC最新!A:R""
    ),
    12,
    FALSE
  ),
  0
)
"),4.888888888888889)</f>
        <v>4.888888889</v>
      </c>
      <c r="AB52" s="52" t="str">
        <f>IFERROR(__xludf.DUMMYFUNCTION("IFERROR(
  VLOOKUP(
    A52,
    IMPORTRANGE(
      ""1ZHMy3vVUd_0MrSduXTe1etBb1HNpAlGwQr006ljwMiM"",
      ""GSC最新!A:R""
    ),
    15,
    FALSE
  ),
  0
)
"),"")</f>
        <v/>
      </c>
      <c r="AC52" s="52">
        <f>IFERROR(__xludf.DUMMYFUNCTION("IFERROR(
  VLOOKUP(
    A52,
    IMPORTRANGE(
      ""1ZHMy3vVUd_0MrSduXTe1etBb1HNpAlGwQr006ljwMiM"",
      ""GSC最新!A:R""
    ),
    18,
    FALSE
  ),
  0
)
"),10.0)</f>
        <v>10</v>
      </c>
      <c r="AD52" s="52">
        <f t="shared" ref="AD52:AE52" si="255">Z52-AB52</f>
        <v>4.363636364</v>
      </c>
      <c r="AE52" s="52">
        <f t="shared" si="255"/>
        <v>-5.111111111</v>
      </c>
      <c r="AF52" s="53">
        <f>IFERROR(__xludf.DUMMYFUNCTION("IFERROR(
  VLOOKUP(
    A52,
    IMPORTRANGE(
      ""1ZHMy3vVUd_0MrSduXTe1etBb1HNpAlGwQr006ljwMiM"",
      ""GSC最新!A:F""
    ),
    6,
    FALSE
  ),
  0
)
"),46081.0)</f>
        <v>46081</v>
      </c>
      <c r="AG52" s="54">
        <f>IFERROR(__xludf.DUMMYFUNCTION("IFERROR(
  VLOOKUP(
    A52,
    IMPORTRANGE(
      ""1SCYQd7_cobOYqT0r_F0IqD4tE4rYn5y8Eup4PJTH8es"",
      ""Snapshot!A:M""
    ),
    5,
    FALSE
  ),
  ""-""
)
"),15.0)</f>
        <v>15</v>
      </c>
      <c r="AH52" s="54">
        <f>IFERROR(__xludf.DUMMYFUNCTION("IFERROR(
  VLOOKUP(
    A52,
    IMPORTRANGE(
      ""1SCYQd7_cobOYqT0r_F0IqD4tE4rYn5y8Eup4PJTH8es"",
      ""Snapshot!A:M""
    ),
    6,
    FALSE
  ),
  0
)
"),17.0)</f>
        <v>17</v>
      </c>
      <c r="AI52" s="54">
        <f>IFERROR(__xludf.DUMMYFUNCTION("IFERROR(
  VLOOKUP(
    A52,
    IMPORTRANGE(
      ""1SCYQd7_cobOYqT0r_F0IqD4tE4rYn5y8Eup4PJTH8es"",
      ""Snapshot!A:M""
    ),
    7,
    FALSE
  ),
  0
)
"),5093.0)</f>
        <v>5093</v>
      </c>
      <c r="AJ52" s="54">
        <f>IFERROR(__xludf.DUMMYFUNCTION("IFERROR(
  VLOOKUP(
    A52,
    IMPORTRANGE(
      ""1SCYQd7_cobOYqT0r_F0IqD4tE4rYn5y8Eup4PJTH8es"",
      ""Snapshot!A:M""
    ),
    8,
    FALSE
  ),
  0
)
"),0.0)</f>
        <v>0</v>
      </c>
      <c r="AK52" s="54">
        <f>IFERROR(__xludf.DUMMYFUNCTION("IFERROR(
  VLOOKUP(
    A52,
    IMPORTRANGE(
      ""1SCYQd7_cobOYqT0r_F0IqD4tE4rYn5y8Eup4PJTH8es"",
      ""Snapshot!A:M""
    ),
    9,
    FALSE
  ),
  0
)
"),1.0)</f>
        <v>1</v>
      </c>
      <c r="AL52" s="54">
        <f>IFERROR(__xludf.DUMMYFUNCTION("IFERROR(
  VLOOKUP(
    A52,
    IMPORTRANGE(
      ""1SCYQd7_cobOYqT0r_F0IqD4tE4rYn5y8Eup4PJTH8es"",
      ""Snapshot!A:M""
    ),
    13,
    FALSE
  ),
  0
)
"),1.0)</f>
        <v>1</v>
      </c>
    </row>
    <row r="53">
      <c r="A53" s="57" t="s">
        <v>336</v>
      </c>
      <c r="B53" s="1" t="str">
        <f>IFERROR(__xludf.DUMMYFUNCTION("IFERROR(
  VLOOKUP(
    A53,
    IMPORTRANGE(
      ""1ZygntHC1J6IxzKbTidmOyf5nUyW4GCLurHCjexrLm_o"",
      ""HTMLキャッシュ!A:F""
    ),
    2,
    FALSE
  ),
  0
)
"),"SP")</f>
        <v>SP</v>
      </c>
      <c r="C53" s="1" t="str">
        <f>IFERROR(__xludf.DUMMYFUNCTION("IFERROR(
  VLOOKUP(
    A53,
    IMPORTRANGE(
      ""1ZygntHC1J6IxzKbTidmOyf5nUyW4GCLurHCjexrLm_o"",
      ""HTMLキャッシュ!A:F""
    ),
    5,
    FALSE
  ),
  0
)
"),"国語文法を2回で整理する個別指導講座｜読解力強化オンライン塾")</f>
        <v>国語文法を2回で整理する個別指導講座｜読解力強化オンライン塾</v>
      </c>
      <c r="D53" s="1" t="str">
        <f>IFERROR(__xludf.DUMMYFUNCTION("IFERROR(
  VLOOKUP(
    A53,
    IMPORTRANGE(
      ""1ZygntHC1J6IxzKbTidmOyf5nUyW4GCLurHCjexrLm_o        "",
      ""HTMLキャッシュ!A:F""
    ),
    6,
    FALSE
  ),
  0
)
"),"主語述語や助動詞があいまいな子へ。90分×2回の個別指導で文法を整理し、読解の根拠把握力を強化。オンライン体験受付中")</f>
        <v>主語述語や助動詞があいまいな子へ。90分×2回の個別指導で文法を整理し、読解の根拠把握力を強化。オンライン体験受付中</v>
      </c>
      <c r="E53" s="49">
        <f t="shared" ref="E53:F53" si="256">LEN(C53)</f>
        <v>30</v>
      </c>
      <c r="F53" s="49">
        <f t="shared" si="256"/>
        <v>58</v>
      </c>
      <c r="G53" s="32">
        <f>IFERROR(__xludf.DUMMYFUNCTION("IFERROR(
  VLOOKUP(
    A53,
    IMPORTRANGE(
      ""1ZygntHC1J6IxzKbTidmOyf5nUyW4GCLurHCjexrLm_o        "",
      ""HTMLキャッシュ!A:F""
    ),
    3,
    FALSE
  ),
  0
)
"),46076.83322916667)</f>
        <v>46076.83323</v>
      </c>
      <c r="H53" s="49">
        <f>IFERROR(__xludf.DUMMYFUNCTION("IFERROR(
  VLOOKUP(
    A53,
    IMPORTRANGE(
      ""1ZHMy3vVUd_0MrSduXTe1etBb1HNpAlGwQr006ljwMiM"",
      ""GSC最新!A:F""
    ),
    2,
    FALSE
  ),
  0
)
"),1.0)</f>
        <v>1</v>
      </c>
      <c r="I53" s="49">
        <f>IFERROR(__xludf.DUMMYFUNCTION("IFERROR(
  VLOOKUP(
    A53,
    IMPORTRANGE(
      ""1ZHMy3vVUd_0MrSduXTe1etBb1HNpAlGwQr006ljwMiM"",
      ""GSC最新!A:F""
    ),
    3,
    FALSE
  ),
  0
)
"),1.0)</f>
        <v>1</v>
      </c>
      <c r="J53" s="49">
        <f>IFERROR(__xludf.DUMMYFUNCTION("IFERROR(
  VLOOKUP(
    A53,
    IMPORTRANGE(
      ""1ZHMy3vVUd_0MrSduXTe1etBb1HNpAlGwQr006ljwMiM"",
      ""GSC最新!A:F""
    ),
    4,
    FALSE
  ),
  0
)
"),0.0)</f>
        <v>0</v>
      </c>
      <c r="K53" s="49">
        <f>IFERROR(__xludf.DUMMYFUNCTION("IFERROR(
  VLOOKUP(
    A53,
    IMPORTRANGE(
      ""1ZHMy3vVUd_0MrSduXTe1etBb1HNpAlGwQr006ljwMiM"",
      ""GSC最新!A:F""
    ),
    5,
    FALSE
  ),
  0
)
"),0.0)</f>
        <v>0</v>
      </c>
      <c r="L53" s="50" t="str">
        <f t="shared" ref="L53:M53" si="257">IFERROR(H53/J53,"-")</f>
        <v>-</v>
      </c>
      <c r="M53" s="50" t="str">
        <f t="shared" si="257"/>
        <v>-</v>
      </c>
      <c r="N53" s="6">
        <f>IFERROR(__xludf.DUMMYFUNCTION("IFERROR(
  VLOOKUP(
    A53,
    IMPORTRANGE(
      ""1ZHMy3vVUd_0MrSduXTe1etBb1HNpAlGwQr006ljwMiM"",
      ""GSC最新!A:R""
    ),
    7,
    FALSE
  ),
  0
)
"),8.0)</f>
        <v>8</v>
      </c>
      <c r="O53" s="6">
        <f>IFERROR(__xludf.DUMMYFUNCTION("IFERROR(
  VLOOKUP(
    A53,
    IMPORTRANGE(
      ""1ZHMy3vVUd_0MrSduXTe1etBb1HNpAlGwQr006ljwMiM"",
      ""GSC最新!A:R""
    ),
    10,
    FALSE
  ),
  0
)
"),16.0)</f>
        <v>16</v>
      </c>
      <c r="P53" s="6">
        <f>IFERROR(__xludf.DUMMYFUNCTION("IFERROR(
  VLOOKUP(
    A53,
    IMPORTRANGE(
      ""1ZHMy3vVUd_0MrSduXTe1etBb1HNpAlGwQr006ljwMiM"",
      ""GSC最新!A:R""
    ),
    13,
    FALSE
  ),
  0
)
"),4.0)</f>
        <v>4</v>
      </c>
      <c r="Q53" s="6">
        <f>IFERROR(__xludf.DUMMYFUNCTION("IFERROR(
  VLOOKUP(
    A53,
    IMPORTRANGE(
      ""1ZHMy3vVUd_0MrSduXTe1etBb1HNpAlGwQr006ljwMiM"",
      ""GSC最新!A:R""
    ),
    16,
    FALSE
  ),
  0
)
"),44.0)</f>
        <v>44</v>
      </c>
      <c r="R53" s="51">
        <f t="shared" ref="R53:S53" si="258">IFERROR(N53/P53,"-")</f>
        <v>2</v>
      </c>
      <c r="S53" s="51">
        <f t="shared" si="258"/>
        <v>0.3636363636</v>
      </c>
      <c r="T53" s="9">
        <f>IFERROR(__xludf.DUMMYFUNCTION("IFERROR(
  VLOOKUP(
    A53,
    IMPORTRANGE(
      ""1ZHMy3vVUd_0MrSduXTe1etBb1HNpAlGwQr006ljwMiM"",
      ""GSC最新!A:R""
    ),
    8,
    FALSE
  ),
  0
)
"),0.125)</f>
        <v>0.125</v>
      </c>
      <c r="U53" s="9">
        <f>IFERROR(__xludf.DUMMYFUNCTION("IFERROR(
  VLOOKUP(
    A53,
    IMPORTRANGE(
      ""1ZHMy3vVUd_0MrSduXTe1etBb1HNpAlGwQr006ljwMiM"",
      ""GSC最新!A:R""
    ),
    11,
    FALSE
  ),
  0
)
"),0.0625)</f>
        <v>0.0625</v>
      </c>
      <c r="V53" s="9">
        <f>IFERROR(__xludf.DUMMYFUNCTION("IFERROR(
  VLOOKUP(
    A53,
    IMPORTRANGE(
      ""1ZHMy3vVUd_0MrSduXTe1etBb1HNpAlGwQr006ljwMiM"",
      ""GSC最新!A:R""
    ),
    14,
    FALSE
  ),
  0
)
"),0.0)</f>
        <v>0</v>
      </c>
      <c r="W53" s="9">
        <f>IFERROR(__xludf.DUMMYFUNCTION("IFERROR(
  VLOOKUP(
    A53,
    IMPORTRANGE(
      ""1ZHMy3vVUd_0MrSduXTe1etBb1HNpAlGwQr006ljwMiM"",
      ""GSC最新!A:R""
    ),
    17,
    FALSE
  ),
  0
)
"),0.0)</f>
        <v>0</v>
      </c>
      <c r="X53" s="9">
        <f t="shared" ref="X53:Y53" si="259">IFERROR(T53-V53,"-")</f>
        <v>0.125</v>
      </c>
      <c r="Y53" s="9">
        <f t="shared" si="259"/>
        <v>0.0625</v>
      </c>
      <c r="Z53" s="52">
        <f>IFERROR(__xludf.DUMMYFUNCTION("IFERROR(
  VLOOKUP(
    A53,
    IMPORTRANGE(
      ""1ZHMy3vVUd_0MrSduXTe1etBb1HNpAlGwQr006ljwMiM"",
      ""GSC最新!A:R""
    ),
    9,
    FALSE
  ),
  0
)
"),10.5)</f>
        <v>10.5</v>
      </c>
      <c r="AA53" s="52">
        <f>IFERROR(__xludf.DUMMYFUNCTION("IFERROR(
  VLOOKUP(
    A53,
    IMPORTRANGE(
      ""1ZHMy3vVUd_0MrSduXTe1etBb1HNpAlGwQr006ljwMiM"",
      ""GSC最新!A:R""
    ),
    12,
    FALSE
  ),
  0
)
"),7.375)</f>
        <v>7.375</v>
      </c>
      <c r="AB53" s="52">
        <f>IFERROR(__xludf.DUMMYFUNCTION("IFERROR(
  VLOOKUP(
    A53,
    IMPORTRANGE(
      ""1ZHMy3vVUd_0MrSduXTe1etBb1HNpAlGwQr006ljwMiM"",
      ""GSC最新!A:R""
    ),
    15,
    FALSE
  ),
  0
)
"),9.25)</f>
        <v>9.25</v>
      </c>
      <c r="AC53" s="52">
        <f>IFERROR(__xludf.DUMMYFUNCTION("IFERROR(
  VLOOKUP(
    A53,
    IMPORTRANGE(
      ""1ZHMy3vVUd_0MrSduXTe1etBb1HNpAlGwQr006ljwMiM"",
      ""GSC最新!A:R""
    ),
    18,
    FALSE
  ),
  0
)
"),42.04545454545455)</f>
        <v>42.04545455</v>
      </c>
      <c r="AD53" s="52">
        <f t="shared" ref="AD53:AE53" si="260">Z53-AB53</f>
        <v>1.25</v>
      </c>
      <c r="AE53" s="52">
        <f t="shared" si="260"/>
        <v>-34.67045455</v>
      </c>
      <c r="AF53" s="53">
        <f>IFERROR(__xludf.DUMMYFUNCTION("IFERROR(
  VLOOKUP(
    A53,
    IMPORTRANGE(
      ""1ZHMy3vVUd_0MrSduXTe1etBb1HNpAlGwQr006ljwMiM"",
      ""GSC最新!A:F""
    ),
    6,
    FALSE
  ),
  0
)
"),46081.0)</f>
        <v>46081</v>
      </c>
      <c r="AG53" s="54">
        <f>IFERROR(__xludf.DUMMYFUNCTION("IFERROR(
  VLOOKUP(
    A53,
    IMPORTRANGE(
      ""1SCYQd7_cobOYqT0r_F0IqD4tE4rYn5y8Eup4PJTH8es"",
      ""Snapshot!A:M""
    ),
    5,
    FALSE
  ),
  ""-""
)
"),9.0)</f>
        <v>9</v>
      </c>
      <c r="AH53" s="54">
        <f>IFERROR(__xludf.DUMMYFUNCTION("IFERROR(
  VLOOKUP(
    A53,
    IMPORTRANGE(
      ""1SCYQd7_cobOYqT0r_F0IqD4tE4rYn5y8Eup4PJTH8es"",
      ""Snapshot!A:M""
    ),
    6,
    FALSE
  ),
  0
)
"),0.0)</f>
        <v>0</v>
      </c>
      <c r="AI53" s="54">
        <f>IFERROR(__xludf.DUMMYFUNCTION("IFERROR(
  VLOOKUP(
    A53,
    IMPORTRANGE(
      ""1SCYQd7_cobOYqT0r_F0IqD4tE4rYn5y8Eup4PJTH8es"",
      ""Snapshot!A:M""
    ),
    7,
    FALSE
  ),
  0
)
"),1418.0)</f>
        <v>1418</v>
      </c>
      <c r="AJ53" s="54">
        <f>IFERROR(__xludf.DUMMYFUNCTION("IFERROR(
  VLOOKUP(
    A53,
    IMPORTRANGE(
      ""1SCYQd7_cobOYqT0r_F0IqD4tE4rYn5y8Eup4PJTH8es"",
      ""Snapshot!A:M""
    ),
    8,
    FALSE
  ),
  0
)
"),1.0)</f>
        <v>1</v>
      </c>
      <c r="AK53" s="54">
        <f>IFERROR(__xludf.DUMMYFUNCTION("IFERROR(
  VLOOKUP(
    A53,
    IMPORTRANGE(
      ""1SCYQd7_cobOYqT0r_F0IqD4tE4rYn5y8Eup4PJTH8es"",
      ""Snapshot!A:M""
    ),
    9,
    FALSE
  ),
  0
)
"),1.0)</f>
        <v>1</v>
      </c>
      <c r="AL53" s="54">
        <f>IFERROR(__xludf.DUMMYFUNCTION("IFERROR(
  VLOOKUP(
    A53,
    IMPORTRANGE(
      ""1SCYQd7_cobOYqT0r_F0IqD4tE4rYn5y8Eup4PJTH8es"",
      ""Snapshot!A:M""
    ),
    13,
    FALSE
  ),
  0
)
"),2.0)</f>
        <v>2</v>
      </c>
    </row>
    <row r="54">
      <c r="A54" s="56" t="s">
        <v>337</v>
      </c>
      <c r="B54" s="1" t="str">
        <f>IFERROR(__xludf.DUMMYFUNCTION("IFERROR(
  VLOOKUP(
    A54,
    IMPORTRANGE(
      ""1ZygntHC1J6IxzKbTidmOyf5nUyW4GCLurHCjexrLm_o"",
      ""HTMLキャッシュ!A:F""
    ),
    2,
    FALSE
  ),
  0
)
"),"SP")</f>
        <v>SP</v>
      </c>
      <c r="C54" s="1" t="str">
        <f>IFERROR(__xludf.DUMMYFUNCTION("IFERROR(
  VLOOKUP(
    A54,
    IMPORTRANGE(
      ""1ZygntHC1J6IxzKbTidmOyf5nUyW4GCLurHCjexrLm_o"",
      ""HTMLキャッシュ!A:F""
    ),
    5,
    FALSE
  ),
  0
)
"),"中2英語対策の個別指導講座｜定期・入試力強化オンライン塾")</f>
        <v>中2英語対策の個別指導講座｜定期・入試力強化オンライン塾</v>
      </c>
      <c r="D54" s="1" t="str">
        <f>IFERROR(__xludf.DUMMYFUNCTION("IFERROR(
  VLOOKUP(
    A54,
    IMPORTRANGE(
      ""1ZygntHC1J6IxzKbTidmOyf5nUyW4GCLurHCjexrLm_o        "",
      ""HTMLキャッシュ!A:F""
    ),
    6,
    FALSE
  ),
  0
)
"),"中2英語で伸び悩む中高一貫生へ。文法・語彙・読解を個別指導で定着し定期・入試につなげる。オンライン体験受付中")</f>
        <v>中2英語で伸び悩む中高一貫生へ。文法・語彙・読解を個別指導で定着し定期・入試につなげる。オンライン体験受付中</v>
      </c>
      <c r="E54" s="49">
        <f t="shared" ref="E54:F54" si="261">LEN(C54)</f>
        <v>28</v>
      </c>
      <c r="F54" s="49">
        <f t="shared" si="261"/>
        <v>54</v>
      </c>
      <c r="G54" s="32">
        <f>IFERROR(__xludf.DUMMYFUNCTION("IFERROR(
  VLOOKUP(
    A54,
    IMPORTRANGE(
      ""1ZygntHC1J6IxzKbTidmOyf5nUyW4GCLurHCjexrLm_o        "",
      ""HTMLキャッシュ!A:F""
    ),
    3,
    FALSE
  ),
  0
)
"),46081.675775462965)</f>
        <v>46081.67578</v>
      </c>
      <c r="H54" s="49">
        <f>IFERROR(__xludf.DUMMYFUNCTION("IFERROR(
  VLOOKUP(
    A54,
    IMPORTRANGE(
      ""1ZHMy3vVUd_0MrSduXTe1etBb1HNpAlGwQr006ljwMiM"",
      ""GSC最新!A:F""
    ),
    2,
    FALSE
  ),
  0
)
"),0.0)</f>
        <v>0</v>
      </c>
      <c r="I54" s="49">
        <f>IFERROR(__xludf.DUMMYFUNCTION("IFERROR(
  VLOOKUP(
    A54,
    IMPORTRANGE(
      ""1ZHMy3vVUd_0MrSduXTe1etBb1HNpAlGwQr006ljwMiM"",
      ""GSC最新!A:F""
    ),
    3,
    FALSE
  ),
  0
)
"),0.0)</f>
        <v>0</v>
      </c>
      <c r="J54" s="49">
        <f>IFERROR(__xludf.DUMMYFUNCTION("IFERROR(
  VLOOKUP(
    A54,
    IMPORTRANGE(
      ""1ZHMy3vVUd_0MrSduXTe1etBb1HNpAlGwQr006ljwMiM"",
      ""GSC最新!A:F""
    ),
    4,
    FALSE
  ),
  0
)
"),0.0)</f>
        <v>0</v>
      </c>
      <c r="K54" s="49">
        <f>IFERROR(__xludf.DUMMYFUNCTION("IFERROR(
  VLOOKUP(
    A54,
    IMPORTRANGE(
      ""1ZHMy3vVUd_0MrSduXTe1etBb1HNpAlGwQr006ljwMiM"",
      ""GSC最新!A:F""
    ),
    5,
    FALSE
  ),
  0
)
"),0.0)</f>
        <v>0</v>
      </c>
      <c r="L54" s="50" t="str">
        <f t="shared" ref="L54:M54" si="262">IFERROR(H54/J54,"-")</f>
        <v>-</v>
      </c>
      <c r="M54" s="50" t="str">
        <f t="shared" si="262"/>
        <v>-</v>
      </c>
      <c r="N54" s="6">
        <f>IFERROR(__xludf.DUMMYFUNCTION("IFERROR(
  VLOOKUP(
    A54,
    IMPORTRANGE(
      ""1ZHMy3vVUd_0MrSduXTe1etBb1HNpAlGwQr006ljwMiM"",
      ""GSC最新!A:R""
    ),
    7,
    FALSE
  ),
  0
)
"),11.0)</f>
        <v>11</v>
      </c>
      <c r="O54" s="6">
        <f>IFERROR(__xludf.DUMMYFUNCTION("IFERROR(
  VLOOKUP(
    A54,
    IMPORTRANGE(
      ""1ZHMy3vVUd_0MrSduXTe1etBb1HNpAlGwQr006ljwMiM"",
      ""GSC最新!A:R""
    ),
    10,
    FALSE
  ),
  0
)
"),13.0)</f>
        <v>13</v>
      </c>
      <c r="P54" s="6">
        <f>IFERROR(__xludf.DUMMYFUNCTION("IFERROR(
  VLOOKUP(
    A54,
    IMPORTRANGE(
      ""1ZHMy3vVUd_0MrSduXTe1etBb1HNpAlGwQr006ljwMiM"",
      ""GSC最新!A:R""
    ),
    13,
    FALSE
  ),
  0
)
"),0.0)</f>
        <v>0</v>
      </c>
      <c r="Q54" s="6">
        <f>IFERROR(__xludf.DUMMYFUNCTION("IFERROR(
  VLOOKUP(
    A54,
    IMPORTRANGE(
      ""1ZHMy3vVUd_0MrSduXTe1etBb1HNpAlGwQr006ljwMiM"",
      ""GSC最新!A:R""
    ),
    16,
    FALSE
  ),
  0
)
"),0.0)</f>
        <v>0</v>
      </c>
      <c r="R54" s="51" t="str">
        <f t="shared" ref="R54:S54" si="263">IFERROR(N54/P54,"-")</f>
        <v>-</v>
      </c>
      <c r="S54" s="51" t="str">
        <f t="shared" si="263"/>
        <v>-</v>
      </c>
      <c r="T54" s="9">
        <f>IFERROR(__xludf.DUMMYFUNCTION("IFERROR(
  VLOOKUP(
    A54,
    IMPORTRANGE(
      ""1ZHMy3vVUd_0MrSduXTe1etBb1HNpAlGwQr006ljwMiM"",
      ""GSC最新!A:R""
    ),
    8,
    FALSE
  ),
  0
)
"),0.0)</f>
        <v>0</v>
      </c>
      <c r="U54" s="9">
        <f>IFERROR(__xludf.DUMMYFUNCTION("IFERROR(
  VLOOKUP(
    A54,
    IMPORTRANGE(
      ""1ZHMy3vVUd_0MrSduXTe1etBb1HNpAlGwQr006ljwMiM"",
      ""GSC最新!A:R""
    ),
    11,
    FALSE
  ),
  0
)
"),0.0)</f>
        <v>0</v>
      </c>
      <c r="V54" s="9">
        <f>IFERROR(__xludf.DUMMYFUNCTION("IFERROR(
  VLOOKUP(
    A54,
    IMPORTRANGE(
      ""1ZHMy3vVUd_0MrSduXTe1etBb1HNpAlGwQr006ljwMiM"",
      ""GSC最新!A:R""
    ),
    14,
    FALSE
  ),
  0
)
"),0.0)</f>
        <v>0</v>
      </c>
      <c r="W54" s="9">
        <f>IFERROR(__xludf.DUMMYFUNCTION("IFERROR(
  VLOOKUP(
    A54,
    IMPORTRANGE(
      ""1ZHMy3vVUd_0MrSduXTe1etBb1HNpAlGwQr006ljwMiM"",
      ""GSC最新!A:R""
    ),
    17,
    FALSE
  ),
  0
)
"),0.0)</f>
        <v>0</v>
      </c>
      <c r="X54" s="9">
        <f t="shared" ref="X54:Y54" si="264">IFERROR(T54-V54,"-")</f>
        <v>0</v>
      </c>
      <c r="Y54" s="9">
        <f t="shared" si="264"/>
        <v>0</v>
      </c>
      <c r="Z54" s="52">
        <f>IFERROR(__xludf.DUMMYFUNCTION("IFERROR(
  VLOOKUP(
    A54,
    IMPORTRANGE(
      ""1ZHMy3vVUd_0MrSduXTe1etBb1HNpAlGwQr006ljwMiM"",
      ""GSC最新!A:R""
    ),
    9,
    FALSE
  ),
  0
)
"),5.818181818181818)</f>
        <v>5.818181818</v>
      </c>
      <c r="AA54" s="52">
        <f>IFERROR(__xludf.DUMMYFUNCTION("IFERROR(
  VLOOKUP(
    A54,
    IMPORTRANGE(
      ""1ZHMy3vVUd_0MrSduXTe1etBb1HNpAlGwQr006ljwMiM"",
      ""GSC最新!A:R""
    ),
    12,
    FALSE
  ),
  0
)
"),5.461538461538462)</f>
        <v>5.461538462</v>
      </c>
      <c r="AB54" s="52" t="str">
        <f>IFERROR(__xludf.DUMMYFUNCTION("IFERROR(
  VLOOKUP(
    A54,
    IMPORTRANGE(
      ""1ZHMy3vVUd_0MrSduXTe1etBb1HNpAlGwQr006ljwMiM"",
      ""GSC最新!A:R""
    ),
    15,
    FALSE
  ),
  0
)
"),"")</f>
        <v/>
      </c>
      <c r="AC54" s="52" t="str">
        <f>IFERROR(__xludf.DUMMYFUNCTION("IFERROR(
  VLOOKUP(
    A54,
    IMPORTRANGE(
      ""1ZHMy3vVUd_0MrSduXTe1etBb1HNpAlGwQr006ljwMiM"",
      ""GSC最新!A:R""
    ),
    18,
    FALSE
  ),
  0
)
"),"")</f>
        <v/>
      </c>
      <c r="AD54" s="52">
        <f t="shared" ref="AD54:AE54" si="265">Z54-AB54</f>
        <v>5.818181818</v>
      </c>
      <c r="AE54" s="52">
        <f t="shared" si="265"/>
        <v>5.461538462</v>
      </c>
      <c r="AF54" s="53">
        <f>IFERROR(__xludf.DUMMYFUNCTION("IFERROR(
  VLOOKUP(
    A54,
    IMPORTRANGE(
      ""1ZHMy3vVUd_0MrSduXTe1etBb1HNpAlGwQr006ljwMiM"",
      ""GSC最新!A:F""
    ),
    6,
    FALSE
  ),
  0
)
"),46081.0)</f>
        <v>46081</v>
      </c>
      <c r="AG54" s="54">
        <f>IFERROR(__xludf.DUMMYFUNCTION("IFERROR(
  VLOOKUP(
    A54,
    IMPORTRANGE(
      ""1SCYQd7_cobOYqT0r_F0IqD4tE4rYn5y8Eup4PJTH8es"",
      ""Snapshot!A:M""
    ),
    5,
    FALSE
  ),
  ""-""
)
"),10.0)</f>
        <v>10</v>
      </c>
      <c r="AH54" s="54">
        <f>IFERROR(__xludf.DUMMYFUNCTION("IFERROR(
  VLOOKUP(
    A54,
    IMPORTRANGE(
      ""1SCYQd7_cobOYqT0r_F0IqD4tE4rYn5y8Eup4PJTH8es"",
      ""Snapshot!A:M""
    ),
    6,
    FALSE
  ),
  0
)
"),20.0)</f>
        <v>20</v>
      </c>
      <c r="AI54" s="54">
        <f>IFERROR(__xludf.DUMMYFUNCTION("IFERROR(
  VLOOKUP(
    A54,
    IMPORTRANGE(
      ""1SCYQd7_cobOYqT0r_F0IqD4tE4rYn5y8Eup4PJTH8es"",
      ""Snapshot!A:M""
    ),
    7,
    FALSE
  ),
  0
)
"),4777.0)</f>
        <v>4777</v>
      </c>
      <c r="AJ54" s="54">
        <f>IFERROR(__xludf.DUMMYFUNCTION("IFERROR(
  VLOOKUP(
    A54,
    IMPORTRANGE(
      ""1SCYQd7_cobOYqT0r_F0IqD4tE4rYn5y8Eup4PJTH8es"",
      ""Snapshot!A:M""
    ),
    8,
    FALSE
  ),
  0
)
"),7.0)</f>
        <v>7</v>
      </c>
      <c r="AK54" s="54">
        <f>IFERROR(__xludf.DUMMYFUNCTION("IFERROR(
  VLOOKUP(
    A54,
    IMPORTRANGE(
      ""1SCYQd7_cobOYqT0r_F0IqD4tE4rYn5y8Eup4PJTH8es"",
      ""Snapshot!A:M""
    ),
    9,
    FALSE
  ),
  0
)
"),6.0)</f>
        <v>6</v>
      </c>
      <c r="AL54" s="54">
        <f>IFERROR(__xludf.DUMMYFUNCTION("IFERROR(
  VLOOKUP(
    A54,
    IMPORTRANGE(
      ""1SCYQd7_cobOYqT0r_F0IqD4tE4rYn5y8Eup4PJTH8es"",
      ""Snapshot!A:M""
    ),
    13,
    FALSE
  ),
  0
)
"),2.0)</f>
        <v>2</v>
      </c>
    </row>
    <row r="55">
      <c r="A55" s="56" t="s">
        <v>338</v>
      </c>
      <c r="B55" s="1" t="str">
        <f>IFERROR(__xludf.DUMMYFUNCTION("IFERROR(
  VLOOKUP(
    A55,
    IMPORTRANGE(
      ""1ZygntHC1J6IxzKbTidmOyf5nUyW4GCLurHCjexrLm_o"",
      ""HTMLキャッシュ!A:F""
    ),
    2,
    FALSE
  ),
  0
)
"),"SP")</f>
        <v>SP</v>
      </c>
      <c r="C55" s="1" t="str">
        <f>IFERROR(__xludf.DUMMYFUNCTION("IFERROR(
  VLOOKUP(
    A55,
    IMPORTRANGE(
      ""1ZygntHC1J6IxzKbTidmOyf5nUyW4GCLurHCjexrLm_o"",
      ""HTMLキャッシュ!A:F""
    ),
    5,
    FALSE
  ),
  0
)
"),"小5英語国語夏期体験個別指導講座｜記述と根拠強化オンライン塾")</f>
        <v>小5英語国語夏期体験個別指導講座｜記述と根拠強化オンライン塾</v>
      </c>
      <c r="D55" s="1" t="str">
        <f>IFERROR(__xludf.DUMMYFUNCTION("IFERROR(
  VLOOKUP(
    A55,
    IMPORTRANGE(
      ""1ZygntHC1J6IxzKbTidmOyf5nUyW4GCLurHCjexrLm_o        "",
      ""HTMLキャッシュ!A:F""
    ),
    6,
    FALSE
  ),
  0
)
"),"夏休みの小5向けに根拠発見と記述整理力を伸ばす個別指導。教室・オンライン両対応で体験受付中、成果を感じる学習へ導く")</f>
        <v>夏休みの小5向けに根拠発見と記述整理力を伸ばす個別指導。教室・オンライン両対応で体験受付中、成果を感じる学習へ導く</v>
      </c>
      <c r="E55" s="49">
        <f t="shared" ref="E55:F55" si="266">LEN(C55)</f>
        <v>30</v>
      </c>
      <c r="F55" s="49">
        <f t="shared" si="266"/>
        <v>57</v>
      </c>
      <c r="G55" s="32">
        <f>IFERROR(__xludf.DUMMYFUNCTION("IFERROR(
  VLOOKUP(
    A55,
    IMPORTRANGE(
      ""1ZygntHC1J6IxzKbTidmOyf5nUyW4GCLurHCjexrLm_o        "",
      ""HTMLキャッシュ!A:F""
    ),
    3,
    FALSE
  ),
  0
)
"),46076.86078703704)</f>
        <v>46076.86079</v>
      </c>
      <c r="H55" s="49">
        <f>IFERROR(__xludf.DUMMYFUNCTION("IFERROR(
  VLOOKUP(
    A55,
    IMPORTRANGE(
      ""1ZHMy3vVUd_0MrSduXTe1etBb1HNpAlGwQr006ljwMiM"",
      ""GSC最新!A:F""
    ),
    2,
    FALSE
  ),
  0
)
"),1.0)</f>
        <v>1</v>
      </c>
      <c r="I55" s="49">
        <f>IFERROR(__xludf.DUMMYFUNCTION("IFERROR(
  VLOOKUP(
    A55,
    IMPORTRANGE(
      ""1ZHMy3vVUd_0MrSduXTe1etBb1HNpAlGwQr006ljwMiM"",
      ""GSC最新!A:F""
    ),
    3,
    FALSE
  ),
  0
)
"),1.0)</f>
        <v>1</v>
      </c>
      <c r="J55" s="49">
        <f>IFERROR(__xludf.DUMMYFUNCTION("IFERROR(
  VLOOKUP(
    A55,
    IMPORTRANGE(
      ""1ZHMy3vVUd_0MrSduXTe1etBb1HNpAlGwQr006ljwMiM"",
      ""GSC最新!A:F""
    ),
    4,
    FALSE
  ),
  0
)
"),0.0)</f>
        <v>0</v>
      </c>
      <c r="K55" s="49">
        <f>IFERROR(__xludf.DUMMYFUNCTION("IFERROR(
  VLOOKUP(
    A55,
    IMPORTRANGE(
      ""1ZHMy3vVUd_0MrSduXTe1etBb1HNpAlGwQr006ljwMiM"",
      ""GSC最新!A:F""
    ),
    5,
    FALSE
  ),
  0
)
"),1.0)</f>
        <v>1</v>
      </c>
      <c r="L55" s="50" t="str">
        <f t="shared" ref="L55:M55" si="267">IFERROR(H55/J55,"-")</f>
        <v>-</v>
      </c>
      <c r="M55" s="50">
        <f t="shared" si="267"/>
        <v>1</v>
      </c>
      <c r="N55" s="6">
        <f>IFERROR(__xludf.DUMMYFUNCTION("IFERROR(
  VLOOKUP(
    A55,
    IMPORTRANGE(
      ""1ZHMy3vVUd_0MrSduXTe1etBb1HNpAlGwQr006ljwMiM"",
      ""GSC最新!A:R""
    ),
    7,
    FALSE
  ),
  0
)
"),2.0)</f>
        <v>2</v>
      </c>
      <c r="O55" s="6">
        <f>IFERROR(__xludf.DUMMYFUNCTION("IFERROR(
  VLOOKUP(
    A55,
    IMPORTRANGE(
      ""1ZHMy3vVUd_0MrSduXTe1etBb1HNpAlGwQr006ljwMiM"",
      ""GSC最新!A:R""
    ),
    10,
    FALSE
  ),
  0
)
"),12.0)</f>
        <v>12</v>
      </c>
      <c r="P55" s="6">
        <f>IFERROR(__xludf.DUMMYFUNCTION("IFERROR(
  VLOOKUP(
    A55,
    IMPORTRANGE(
      ""1ZHMy3vVUd_0MrSduXTe1etBb1HNpAlGwQr006ljwMiM"",
      ""GSC最新!A:R""
    ),
    13,
    FALSE
  ),
  0
)
"),2.0)</f>
        <v>2</v>
      </c>
      <c r="Q55" s="6">
        <f>IFERROR(__xludf.DUMMYFUNCTION("IFERROR(
  VLOOKUP(
    A55,
    IMPORTRANGE(
      ""1ZHMy3vVUd_0MrSduXTe1etBb1HNpAlGwQr006ljwMiM"",
      ""GSC最新!A:R""
    ),
    16,
    FALSE
  ),
  0
)
"),22.0)</f>
        <v>22</v>
      </c>
      <c r="R55" s="51">
        <f t="shared" ref="R55:S55" si="268">IFERROR(N55/P55,"-")</f>
        <v>1</v>
      </c>
      <c r="S55" s="51">
        <f t="shared" si="268"/>
        <v>0.5454545455</v>
      </c>
      <c r="T55" s="9">
        <f>IFERROR(__xludf.DUMMYFUNCTION("IFERROR(
  VLOOKUP(
    A55,
    IMPORTRANGE(
      ""1ZHMy3vVUd_0MrSduXTe1etBb1HNpAlGwQr006ljwMiM"",
      ""GSC最新!A:R""
    ),
    8,
    FALSE
  ),
  0
)
"),0.5)</f>
        <v>0.5</v>
      </c>
      <c r="U55" s="9">
        <f>IFERROR(__xludf.DUMMYFUNCTION("IFERROR(
  VLOOKUP(
    A55,
    IMPORTRANGE(
      ""1ZHMy3vVUd_0MrSduXTe1etBb1HNpAlGwQr006ljwMiM"",
      ""GSC最新!A:R""
    ),
    11,
    FALSE
  ),
  0
)
"),0.08333333333333333)</f>
        <v>0.08333333333</v>
      </c>
      <c r="V55" s="9">
        <f>IFERROR(__xludf.DUMMYFUNCTION("IFERROR(
  VLOOKUP(
    A55,
    IMPORTRANGE(
      ""1ZHMy3vVUd_0MrSduXTe1etBb1HNpAlGwQr006ljwMiM"",
      ""GSC最新!A:R""
    ),
    14,
    FALSE
  ),
  0
)
"),0.0)</f>
        <v>0</v>
      </c>
      <c r="W55" s="9">
        <f>IFERROR(__xludf.DUMMYFUNCTION("IFERROR(
  VLOOKUP(
    A55,
    IMPORTRANGE(
      ""1ZHMy3vVUd_0MrSduXTe1etBb1HNpAlGwQr006ljwMiM"",
      ""GSC最新!A:R""
    ),
    17,
    FALSE
  ),
  0
)
"),0.045454545454545456)</f>
        <v>0.04545454545</v>
      </c>
      <c r="X55" s="9">
        <f t="shared" ref="X55:Y55" si="269">IFERROR(T55-V55,"-")</f>
        <v>0.5</v>
      </c>
      <c r="Y55" s="9">
        <f t="shared" si="269"/>
        <v>0.03787878788</v>
      </c>
      <c r="Z55" s="52">
        <f>IFERROR(__xludf.DUMMYFUNCTION("IFERROR(
  VLOOKUP(
    A55,
    IMPORTRANGE(
      ""1ZHMy3vVUd_0MrSduXTe1etBb1HNpAlGwQr006ljwMiM"",
      ""GSC最新!A:R""
    ),
    9,
    FALSE
  ),
  0
)
"),7.5)</f>
        <v>7.5</v>
      </c>
      <c r="AA55" s="52">
        <f>IFERROR(__xludf.DUMMYFUNCTION("IFERROR(
  VLOOKUP(
    A55,
    IMPORTRANGE(
      ""1ZHMy3vVUd_0MrSduXTe1etBb1HNpAlGwQr006ljwMiM"",
      ""GSC最新!A:R""
    ),
    12,
    FALSE
  ),
  0
)
"),6.666666666666667)</f>
        <v>6.666666667</v>
      </c>
      <c r="AB55" s="52">
        <f>IFERROR(__xludf.DUMMYFUNCTION("IFERROR(
  VLOOKUP(
    A55,
    IMPORTRANGE(
      ""1ZHMy3vVUd_0MrSduXTe1etBb1HNpAlGwQr006ljwMiM"",
      ""GSC最新!A:R""
    ),
    15,
    FALSE
  ),
  0
)
"),8.0)</f>
        <v>8</v>
      </c>
      <c r="AC55" s="52">
        <f>IFERROR(__xludf.DUMMYFUNCTION("IFERROR(
  VLOOKUP(
    A55,
    IMPORTRANGE(
      ""1ZHMy3vVUd_0MrSduXTe1etBb1HNpAlGwQr006ljwMiM"",
      ""GSC最新!A:R""
    ),
    18,
    FALSE
  ),
  0
)
"),26.454545454545453)</f>
        <v>26.45454545</v>
      </c>
      <c r="AD55" s="52">
        <f t="shared" ref="AD55:AE55" si="270">Z55-AB55</f>
        <v>-0.5</v>
      </c>
      <c r="AE55" s="52">
        <f t="shared" si="270"/>
        <v>-19.78787879</v>
      </c>
      <c r="AF55" s="53">
        <f>IFERROR(__xludf.DUMMYFUNCTION("IFERROR(
  VLOOKUP(
    A55,
    IMPORTRANGE(
      ""1ZHMy3vVUd_0MrSduXTe1etBb1HNpAlGwQr006ljwMiM"",
      ""GSC最新!A:F""
    ),
    6,
    FALSE
  ),
  0
)
"),46081.0)</f>
        <v>46081</v>
      </c>
      <c r="AG55" s="54">
        <f>IFERROR(__xludf.DUMMYFUNCTION("IFERROR(
  VLOOKUP(
    A55,
    IMPORTRANGE(
      ""1SCYQd7_cobOYqT0r_F0IqD4tE4rYn5y8Eup4PJTH8es"",
      ""Snapshot!A:M""
    ),
    5,
    FALSE
  ),
  ""-""
)
"),5.0)</f>
        <v>5</v>
      </c>
      <c r="AH55" s="54">
        <f>IFERROR(__xludf.DUMMYFUNCTION("IFERROR(
  VLOOKUP(
    A55,
    IMPORTRANGE(
      ""1SCYQd7_cobOYqT0r_F0IqD4tE4rYn5y8Eup4PJTH8es"",
      ""Snapshot!A:M""
    ),
    6,
    FALSE
  ),
  0
)
"),6.0)</f>
        <v>6</v>
      </c>
      <c r="AI55" s="54">
        <f>IFERROR(__xludf.DUMMYFUNCTION("IFERROR(
  VLOOKUP(
    A55,
    IMPORTRANGE(
      ""1SCYQd7_cobOYqT0r_F0IqD4tE4rYn5y8Eup4PJTH8es"",
      ""Snapshot!A:M""
    ),
    7,
    FALSE
  ),
  0
)
"),2497.0)</f>
        <v>2497</v>
      </c>
      <c r="AJ55" s="54">
        <f>IFERROR(__xludf.DUMMYFUNCTION("IFERROR(
  VLOOKUP(
    A55,
    IMPORTRANGE(
      ""1SCYQd7_cobOYqT0r_F0IqD4tE4rYn5y8Eup4PJTH8es"",
      ""Snapshot!A:M""
    ),
    8,
    FALSE
  ),
  0
)
"),2.0)</f>
        <v>2</v>
      </c>
      <c r="AK55" s="54">
        <f>IFERROR(__xludf.DUMMYFUNCTION("IFERROR(
  VLOOKUP(
    A55,
    IMPORTRANGE(
      ""1SCYQd7_cobOYqT0r_F0IqD4tE4rYn5y8Eup4PJTH8es"",
      ""Snapshot!A:M""
    ),
    9,
    FALSE
  ),
  0
)
"),2.0)</f>
        <v>2</v>
      </c>
      <c r="AL55" s="54">
        <f>IFERROR(__xludf.DUMMYFUNCTION("IFERROR(
  VLOOKUP(
    A55,
    IMPORTRANGE(
      ""1SCYQd7_cobOYqT0r_F0IqD4tE4rYn5y8Eup4PJTH8es"",
      ""Snapshot!A:M""
    ),
    13,
    FALSE
  ),
  0
)
"),2.0)</f>
        <v>2</v>
      </c>
    </row>
    <row r="56">
      <c r="A56" s="56" t="s">
        <v>339</v>
      </c>
      <c r="B56" s="1" t="str">
        <f>IFERROR(__xludf.DUMMYFUNCTION("IFERROR(
  VLOOKUP(
    A56,
    IMPORTRANGE(
      ""1ZygntHC1J6IxzKbTidmOyf5nUyW4GCLurHCjexrLm_o"",
      ""HTMLキャッシュ!A:F""
    ),
    2,
    FALSE
  ),
  0
)
"),"SP")</f>
        <v>SP</v>
      </c>
      <c r="C56" s="1" t="str">
        <f>IFERROR(__xludf.DUMMYFUNCTION("IFERROR(
  VLOOKUP(
    A56,
    IMPORTRANGE(
      ""1ZygntHC1J6IxzKbTidmOyf5nUyW4GCLurHCjexrLm_o"",
      ""HTMLキャッシュ!A:F""
    ),
    5,
    FALSE
  ),
  0
)
"),"英語受験対策の個別指導講座｜添削で得点力強化オンライン塾")</f>
        <v>英語受験対策の個別指導講座｜添削で得点力強化オンライン塾</v>
      </c>
      <c r="D56" s="1" t="str">
        <f>IFERROR(__xludf.DUMMYFUNCTION("IFERROR(
  VLOOKUP(
    A56,
    IMPORTRANGE(
      ""1ZygntHC1J6IxzKbTidmOyf5nUyW4GCLurHCjexrLm_o        "",
      ""HTMLキャッシュ!A:F""
    ),
    6,
    FALSE
  ),
  0
)
"),"英作文・和訳・要約で失点しやすい受験生へ。志望校形式に沿った個別添削で答案力を伸ばす。オンライン体験受付中今すぐ相談可")</f>
        <v>英作文・和訳・要約で失点しやすい受験生へ。志望校形式に沿った個別添削で答案力を伸ばす。オンライン体験受付中今すぐ相談可</v>
      </c>
      <c r="E56" s="49">
        <f t="shared" ref="E56:F56" si="271">LEN(C56)</f>
        <v>28</v>
      </c>
      <c r="F56" s="49">
        <f t="shared" si="271"/>
        <v>59</v>
      </c>
      <c r="G56" s="32">
        <f>IFERROR(__xludf.DUMMYFUNCTION("IFERROR(
  VLOOKUP(
    A56,
    IMPORTRANGE(
      ""1ZygntHC1J6IxzKbTidmOyf5nUyW4GCLurHCjexrLm_o        "",
      ""HTMLキャッシュ!A:F""
    ),
    3,
    FALSE
  ),
  0
)
"),46081.6659375)</f>
        <v>46081.66594</v>
      </c>
      <c r="H56" s="49">
        <f>IFERROR(__xludf.DUMMYFUNCTION("IFERROR(
  VLOOKUP(
    A56,
    IMPORTRANGE(
      ""1ZHMy3vVUd_0MrSduXTe1etBb1HNpAlGwQr006ljwMiM"",
      ""GSC最新!A:F""
    ),
    2,
    FALSE
  ),
  0
)
"),0.0)</f>
        <v>0</v>
      </c>
      <c r="I56" s="49">
        <f>IFERROR(__xludf.DUMMYFUNCTION("IFERROR(
  VLOOKUP(
    A56,
    IMPORTRANGE(
      ""1ZHMy3vVUd_0MrSduXTe1etBb1HNpAlGwQr006ljwMiM"",
      ""GSC最新!A:F""
    ),
    3,
    FALSE
  ),
  0
)
"),0.0)</f>
        <v>0</v>
      </c>
      <c r="J56" s="49">
        <f>IFERROR(__xludf.DUMMYFUNCTION("IFERROR(
  VLOOKUP(
    A56,
    IMPORTRANGE(
      ""1ZHMy3vVUd_0MrSduXTe1etBb1HNpAlGwQr006ljwMiM"",
      ""GSC最新!A:F""
    ),
    4,
    FALSE
  ),
  0
)
"),0.0)</f>
        <v>0</v>
      </c>
      <c r="K56" s="49">
        <f>IFERROR(__xludf.DUMMYFUNCTION("IFERROR(
  VLOOKUP(
    A56,
    IMPORTRANGE(
      ""1ZHMy3vVUd_0MrSduXTe1etBb1HNpAlGwQr006ljwMiM"",
      ""GSC最新!A:F""
    ),
    5,
    FALSE
  ),
  0
)
"),0.0)</f>
        <v>0</v>
      </c>
      <c r="L56" s="50" t="str">
        <f t="shared" ref="L56:M56" si="272">IFERROR(H56/J56,"-")</f>
        <v>-</v>
      </c>
      <c r="M56" s="50" t="str">
        <f t="shared" si="272"/>
        <v>-</v>
      </c>
      <c r="N56" s="6">
        <f>IFERROR(__xludf.DUMMYFUNCTION("IFERROR(
  VLOOKUP(
    A56,
    IMPORTRANGE(
      ""1ZHMy3vVUd_0MrSduXTe1etBb1HNpAlGwQr006ljwMiM"",
      ""GSC最新!A:R""
    ),
    7,
    FALSE
  ),
  0
)
"),6.0)</f>
        <v>6</v>
      </c>
      <c r="O56" s="6">
        <f>IFERROR(__xludf.DUMMYFUNCTION("IFERROR(
  VLOOKUP(
    A56,
    IMPORTRANGE(
      ""1ZHMy3vVUd_0MrSduXTe1etBb1HNpAlGwQr006ljwMiM"",
      ""GSC最新!A:R""
    ),
    10,
    FALSE
  ),
  0
)
"),11.0)</f>
        <v>11</v>
      </c>
      <c r="P56" s="6">
        <f>IFERROR(__xludf.DUMMYFUNCTION("IFERROR(
  VLOOKUP(
    A56,
    IMPORTRANGE(
      ""1ZHMy3vVUd_0MrSduXTe1etBb1HNpAlGwQr006ljwMiM"",
      ""GSC最新!A:R""
    ),
    13,
    FALSE
  ),
  0
)
"),0.0)</f>
        <v>0</v>
      </c>
      <c r="Q56" s="6">
        <f>IFERROR(__xludf.DUMMYFUNCTION("IFERROR(
  VLOOKUP(
    A56,
    IMPORTRANGE(
      ""1ZHMy3vVUd_0MrSduXTe1etBb1HNpAlGwQr006ljwMiM"",
      ""GSC最新!A:R""
    ),
    16,
    FALSE
  ),
  0
)
"),1.0)</f>
        <v>1</v>
      </c>
      <c r="R56" s="51" t="str">
        <f t="shared" ref="R56:S56" si="273">IFERROR(N56/P56,"-")</f>
        <v>-</v>
      </c>
      <c r="S56" s="51">
        <f t="shared" si="273"/>
        <v>11</v>
      </c>
      <c r="T56" s="9">
        <f>IFERROR(__xludf.DUMMYFUNCTION("IFERROR(
  VLOOKUP(
    A56,
    IMPORTRANGE(
      ""1ZHMy3vVUd_0MrSduXTe1etBb1HNpAlGwQr006ljwMiM"",
      ""GSC最新!A:R""
    ),
    8,
    FALSE
  ),
  0
)
"),0.0)</f>
        <v>0</v>
      </c>
      <c r="U56" s="9">
        <f>IFERROR(__xludf.DUMMYFUNCTION("IFERROR(
  VLOOKUP(
    A56,
    IMPORTRANGE(
      ""1ZHMy3vVUd_0MrSduXTe1etBb1HNpAlGwQr006ljwMiM"",
      ""GSC最新!A:R""
    ),
    11,
    FALSE
  ),
  0
)
"),0.0)</f>
        <v>0</v>
      </c>
      <c r="V56" s="9">
        <f>IFERROR(__xludf.DUMMYFUNCTION("IFERROR(
  VLOOKUP(
    A56,
    IMPORTRANGE(
      ""1ZHMy3vVUd_0MrSduXTe1etBb1HNpAlGwQr006ljwMiM"",
      ""GSC最新!A:R""
    ),
    14,
    FALSE
  ),
  0
)
"),0.0)</f>
        <v>0</v>
      </c>
      <c r="W56" s="9">
        <f>IFERROR(__xludf.DUMMYFUNCTION("IFERROR(
  VLOOKUP(
    A56,
    IMPORTRANGE(
      ""1ZHMy3vVUd_0MrSduXTe1etBb1HNpAlGwQr006ljwMiM"",
      ""GSC最新!A:R""
    ),
    17,
    FALSE
  ),
  0
)
"),0.0)</f>
        <v>0</v>
      </c>
      <c r="X56" s="9">
        <f t="shared" ref="X56:Y56" si="274">IFERROR(T56-V56,"-")</f>
        <v>0</v>
      </c>
      <c r="Y56" s="9">
        <f t="shared" si="274"/>
        <v>0</v>
      </c>
      <c r="Z56" s="52">
        <f>IFERROR(__xludf.DUMMYFUNCTION("IFERROR(
  VLOOKUP(
    A56,
    IMPORTRANGE(
      ""1ZHMy3vVUd_0MrSduXTe1etBb1HNpAlGwQr006ljwMiM"",
      ""GSC最新!A:R""
    ),
    9,
    FALSE
  ),
  0
)
"),4.0)</f>
        <v>4</v>
      </c>
      <c r="AA56" s="52">
        <f>IFERROR(__xludf.DUMMYFUNCTION("IFERROR(
  VLOOKUP(
    A56,
    IMPORTRANGE(
      ""1ZHMy3vVUd_0MrSduXTe1etBb1HNpAlGwQr006ljwMiM"",
      ""GSC最新!A:R""
    ),
    12,
    FALSE
  ),
  0
)
"),4.272727272727273)</f>
        <v>4.272727273</v>
      </c>
      <c r="AB56" s="52" t="str">
        <f>IFERROR(__xludf.DUMMYFUNCTION("IFERROR(
  VLOOKUP(
    A56,
    IMPORTRANGE(
      ""1ZHMy3vVUd_0MrSduXTe1etBb1HNpAlGwQr006ljwMiM"",
      ""GSC最新!A:R""
    ),
    15,
    FALSE
  ),
  0
)
"),"")</f>
        <v/>
      </c>
      <c r="AC56" s="52">
        <f>IFERROR(__xludf.DUMMYFUNCTION("IFERROR(
  VLOOKUP(
    A56,
    IMPORTRANGE(
      ""1ZHMy3vVUd_0MrSduXTe1etBb1HNpAlGwQr006ljwMiM"",
      ""GSC最新!A:R""
    ),
    18,
    FALSE
  ),
  0
)
"),25.0)</f>
        <v>25</v>
      </c>
      <c r="AD56" s="52">
        <f t="shared" ref="AD56:AE56" si="275">Z56-AB56</f>
        <v>4</v>
      </c>
      <c r="AE56" s="52">
        <f t="shared" si="275"/>
        <v>-20.72727273</v>
      </c>
      <c r="AF56" s="53">
        <f>IFERROR(__xludf.DUMMYFUNCTION("IFERROR(
  VLOOKUP(
    A56,
    IMPORTRANGE(
      ""1ZHMy3vVUd_0MrSduXTe1etBb1HNpAlGwQr006ljwMiM"",
      ""GSC最新!A:F""
    ),
    6,
    FALSE
  ),
  0
)
"),46081.0)</f>
        <v>46081</v>
      </c>
      <c r="AG56" s="54">
        <f>IFERROR(__xludf.DUMMYFUNCTION("IFERROR(
  VLOOKUP(
    A56,
    IMPORTRANGE(
      ""1SCYQd7_cobOYqT0r_F0IqD4tE4rYn5y8Eup4PJTH8es"",
      ""Snapshot!A:M""
    ),
    5,
    FALSE
  ),
  ""-""
)
"),10.0)</f>
        <v>10</v>
      </c>
      <c r="AH56" s="54">
        <f>IFERROR(__xludf.DUMMYFUNCTION("IFERROR(
  VLOOKUP(
    A56,
    IMPORTRANGE(
      ""1SCYQd7_cobOYqT0r_F0IqD4tE4rYn5y8Eup4PJTH8es"",
      ""Snapshot!A:M""
    ),
    6,
    FALSE
  ),
  0
)
"),8.0)</f>
        <v>8</v>
      </c>
      <c r="AI56" s="54">
        <f>IFERROR(__xludf.DUMMYFUNCTION("IFERROR(
  VLOOKUP(
    A56,
    IMPORTRANGE(
      ""1SCYQd7_cobOYqT0r_F0IqD4tE4rYn5y8Eup4PJTH8es"",
      ""Snapshot!A:M""
    ),
    7,
    FALSE
  ),
  0
)
"),3828.0)</f>
        <v>3828</v>
      </c>
      <c r="AJ56" s="54">
        <f>IFERROR(__xludf.DUMMYFUNCTION("IFERROR(
  VLOOKUP(
    A56,
    IMPORTRANGE(
      ""1SCYQd7_cobOYqT0r_F0IqD4tE4rYn5y8Eup4PJTH8es"",
      ""Snapshot!A:M""
    ),
    8,
    FALSE
  ),
  0
)
"),0.0)</f>
        <v>0</v>
      </c>
      <c r="AK56" s="54">
        <f>IFERROR(__xludf.DUMMYFUNCTION("IFERROR(
  VLOOKUP(
    A56,
    IMPORTRANGE(
      ""1SCYQd7_cobOYqT0r_F0IqD4tE4rYn5y8Eup4PJTH8es"",
      ""Snapshot!A:M""
    ),
    9,
    FALSE
  ),
  0
)
"),0.0)</f>
        <v>0</v>
      </c>
      <c r="AL56" s="54">
        <f>IFERROR(__xludf.DUMMYFUNCTION("IFERROR(
  VLOOKUP(
    A56,
    IMPORTRANGE(
      ""1SCYQd7_cobOYqT0r_F0IqD4tE4rYn5y8Eup4PJTH8es"",
      ""Snapshot!A:M""
    ),
    13,
    FALSE
  ),
  0
)
"),2.0)</f>
        <v>2</v>
      </c>
    </row>
    <row r="57">
      <c r="A57" s="56" t="s">
        <v>340</v>
      </c>
      <c r="B57" s="1" t="str">
        <f>IFERROR(__xludf.DUMMYFUNCTION("IFERROR(
  VLOOKUP(
    A57,
    IMPORTRANGE(
      ""1ZygntHC1J6IxzKbTidmOyf5nUyW4GCLurHCjexrLm_o"",
      ""HTMLキャッシュ!A:F""
    ),
    2,
    FALSE
  ),
  0
)
"),"SP")</f>
        <v>SP</v>
      </c>
      <c r="C57" s="1" t="str">
        <f>IFERROR(__xludf.DUMMYFUNCTION("IFERROR(
  VLOOKUP(
    A57,
    IMPORTRANGE(
      ""1ZygntHC1J6IxzKbTidmOyf5nUyW4GCLurHCjexrLm_o"",
      ""HTMLキャッシュ!A:F""
    ),
    5,
    FALSE
  ),
  0
)
"),"中学受験国語10分集中個別指導講座｜得点力強化オンライン塾")</f>
        <v>中学受験国語10分集中個別指導講座｜得点力強化オンライン塾</v>
      </c>
      <c r="D57" s="1" t="str">
        <f>IFERROR(__xludf.DUMMYFUNCTION("IFERROR(
  VLOOKUP(
    A57,
    IMPORTRANGE(
      ""1ZygntHC1J6IxzKbTidmOyf5nUyW4GCLurHCjexrLm_o        "",
      ""HTMLキャッシュ!A:F""
    ),
    6,
    FALSE
  ),
  0
)
"),"集中が続かない小学生へ。10分オンライン個別指導で厳選問題を深掘りし思考力を定着。月8回対応、体験相談受付中")</f>
        <v>集中が続かない小学生へ。10分オンライン個別指導で厳選問題を深掘りし思考力を定着。月8回対応、体験相談受付中</v>
      </c>
      <c r="E57" s="49">
        <f t="shared" ref="E57:F57" si="276">LEN(C57)</f>
        <v>29</v>
      </c>
      <c r="F57" s="49">
        <f t="shared" si="276"/>
        <v>54</v>
      </c>
      <c r="G57" s="32">
        <f>IFERROR(__xludf.DUMMYFUNCTION("IFERROR(
  VLOOKUP(
    A57,
    IMPORTRANGE(
      ""1ZygntHC1J6IxzKbTidmOyf5nUyW4GCLurHCjexrLm_o        "",
      ""HTMLキャッシュ!A:F""
    ),
    3,
    FALSE
  ),
  0
)
"),46081.7662037037)</f>
        <v>46081.7662</v>
      </c>
      <c r="H57" s="49">
        <f>IFERROR(__xludf.DUMMYFUNCTION("IFERROR(
  VLOOKUP(
    A57,
    IMPORTRANGE(
      ""1ZHMy3vVUd_0MrSduXTe1etBb1HNpAlGwQr006ljwMiM"",
      ""GSC最新!A:F""
    ),
    2,
    FALSE
  ),
  0
)
"),0.0)</f>
        <v>0</v>
      </c>
      <c r="I57" s="49">
        <f>IFERROR(__xludf.DUMMYFUNCTION("IFERROR(
  VLOOKUP(
    A57,
    IMPORTRANGE(
      ""1ZHMy3vVUd_0MrSduXTe1etBb1HNpAlGwQr006ljwMiM"",
      ""GSC最新!A:F""
    ),
    3,
    FALSE
  ),
  0
)
"),0.0)</f>
        <v>0</v>
      </c>
      <c r="J57" s="49">
        <f>IFERROR(__xludf.DUMMYFUNCTION("IFERROR(
  VLOOKUP(
    A57,
    IMPORTRANGE(
      ""1ZHMy3vVUd_0MrSduXTe1etBb1HNpAlGwQr006ljwMiM"",
      ""GSC最新!A:F""
    ),
    4,
    FALSE
  ),
  0
)
"),0.0)</f>
        <v>0</v>
      </c>
      <c r="K57" s="49">
        <f>IFERROR(__xludf.DUMMYFUNCTION("IFERROR(
  VLOOKUP(
    A57,
    IMPORTRANGE(
      ""1ZHMy3vVUd_0MrSduXTe1etBb1HNpAlGwQr006ljwMiM"",
      ""GSC最新!A:F""
    ),
    5,
    FALSE
  ),
  0
)
"),0.0)</f>
        <v>0</v>
      </c>
      <c r="L57" s="50" t="str">
        <f t="shared" ref="L57:M57" si="277">IFERROR(H57/J57,"-")</f>
        <v>-</v>
      </c>
      <c r="M57" s="50" t="str">
        <f t="shared" si="277"/>
        <v>-</v>
      </c>
      <c r="N57" s="6">
        <f>IFERROR(__xludf.DUMMYFUNCTION("IFERROR(
  VLOOKUP(
    A57,
    IMPORTRANGE(
      ""1ZHMy3vVUd_0MrSduXTe1etBb1HNpAlGwQr006ljwMiM"",
      ""GSC最新!A:R""
    ),
    7,
    FALSE
  ),
  0
)
"),1.0)</f>
        <v>1</v>
      </c>
      <c r="O57" s="6">
        <f>IFERROR(__xludf.DUMMYFUNCTION("IFERROR(
  VLOOKUP(
    A57,
    IMPORTRANGE(
      ""1ZHMy3vVUd_0MrSduXTe1etBb1HNpAlGwQr006ljwMiM"",
      ""GSC最新!A:R""
    ),
    10,
    FALSE
  ),
  0
)
"),4.0)</f>
        <v>4</v>
      </c>
      <c r="P57" s="6">
        <f>IFERROR(__xludf.DUMMYFUNCTION("IFERROR(
  VLOOKUP(
    A57,
    IMPORTRANGE(
      ""1ZHMy3vVUd_0MrSduXTe1etBb1HNpAlGwQr006ljwMiM"",
      ""GSC最新!A:R""
    ),
    13,
    FALSE
  ),
  0
)
"),0.0)</f>
        <v>0</v>
      </c>
      <c r="Q57" s="6">
        <f>IFERROR(__xludf.DUMMYFUNCTION("IFERROR(
  VLOOKUP(
    A57,
    IMPORTRANGE(
      ""1ZHMy3vVUd_0MrSduXTe1etBb1HNpAlGwQr006ljwMiM"",
      ""GSC最新!A:R""
    ),
    16,
    FALSE
  ),
  0
)
"),0.0)</f>
        <v>0</v>
      </c>
      <c r="R57" s="51" t="str">
        <f t="shared" ref="R57:S57" si="278">IFERROR(N57/P57,"-")</f>
        <v>-</v>
      </c>
      <c r="S57" s="51" t="str">
        <f t="shared" si="278"/>
        <v>-</v>
      </c>
      <c r="T57" s="9">
        <f>IFERROR(__xludf.DUMMYFUNCTION("IFERROR(
  VLOOKUP(
    A57,
    IMPORTRANGE(
      ""1ZHMy3vVUd_0MrSduXTe1etBb1HNpAlGwQr006ljwMiM"",
      ""GSC最新!A:R""
    ),
    8,
    FALSE
  ),
  0
)
"),0.0)</f>
        <v>0</v>
      </c>
      <c r="U57" s="9">
        <f>IFERROR(__xludf.DUMMYFUNCTION("IFERROR(
  VLOOKUP(
    A57,
    IMPORTRANGE(
      ""1ZHMy3vVUd_0MrSduXTe1etBb1HNpAlGwQr006ljwMiM"",
      ""GSC最新!A:R""
    ),
    11,
    FALSE
  ),
  0
)
"),0.0)</f>
        <v>0</v>
      </c>
      <c r="V57" s="9">
        <f>IFERROR(__xludf.DUMMYFUNCTION("IFERROR(
  VLOOKUP(
    A57,
    IMPORTRANGE(
      ""1ZHMy3vVUd_0MrSduXTe1etBb1HNpAlGwQr006ljwMiM"",
      ""GSC最新!A:R""
    ),
    14,
    FALSE
  ),
  0
)
"),0.0)</f>
        <v>0</v>
      </c>
      <c r="W57" s="9">
        <f>IFERROR(__xludf.DUMMYFUNCTION("IFERROR(
  VLOOKUP(
    A57,
    IMPORTRANGE(
      ""1ZHMy3vVUd_0MrSduXTe1etBb1HNpAlGwQr006ljwMiM"",
      ""GSC最新!A:R""
    ),
    17,
    FALSE
  ),
  0
)
"),0.0)</f>
        <v>0</v>
      </c>
      <c r="X57" s="9">
        <f t="shared" ref="X57:Y57" si="279">IFERROR(T57-V57,"-")</f>
        <v>0</v>
      </c>
      <c r="Y57" s="9">
        <f t="shared" si="279"/>
        <v>0</v>
      </c>
      <c r="Z57" s="52">
        <f>IFERROR(__xludf.DUMMYFUNCTION("IFERROR(
  VLOOKUP(
    A57,
    IMPORTRANGE(
      ""1ZHMy3vVUd_0MrSduXTe1etBb1HNpAlGwQr006ljwMiM"",
      ""GSC最新!A:R""
    ),
    9,
    FALSE
  ),
  0
)
"),8.0)</f>
        <v>8</v>
      </c>
      <c r="AA57" s="52">
        <f>IFERROR(__xludf.DUMMYFUNCTION("IFERROR(
  VLOOKUP(
    A57,
    IMPORTRANGE(
      ""1ZHMy3vVUd_0MrSduXTe1etBb1HNpAlGwQr006ljwMiM"",
      ""GSC最新!A:R""
    ),
    12,
    FALSE
  ),
  0
)
"),5.5)</f>
        <v>5.5</v>
      </c>
      <c r="AB57" s="52" t="str">
        <f>IFERROR(__xludf.DUMMYFUNCTION("IFERROR(
  VLOOKUP(
    A57,
    IMPORTRANGE(
      ""1ZHMy3vVUd_0MrSduXTe1etBb1HNpAlGwQr006ljwMiM"",
      ""GSC最新!A:R""
    ),
    15,
    FALSE
  ),
  0
)
"),"")</f>
        <v/>
      </c>
      <c r="AC57" s="52" t="str">
        <f>IFERROR(__xludf.DUMMYFUNCTION("IFERROR(
  VLOOKUP(
    A57,
    IMPORTRANGE(
      ""1ZHMy3vVUd_0MrSduXTe1etBb1HNpAlGwQr006ljwMiM"",
      ""GSC最新!A:R""
    ),
    18,
    FALSE
  ),
  0
)
"),"")</f>
        <v/>
      </c>
      <c r="AD57" s="52">
        <f t="shared" ref="AD57:AE57" si="280">Z57-AB57</f>
        <v>8</v>
      </c>
      <c r="AE57" s="52">
        <f t="shared" si="280"/>
        <v>5.5</v>
      </c>
      <c r="AF57" s="53">
        <f>IFERROR(__xludf.DUMMYFUNCTION("IFERROR(
  VLOOKUP(
    A57,
    IMPORTRANGE(
      ""1ZHMy3vVUd_0MrSduXTe1etBb1HNpAlGwQr006ljwMiM"",
      ""GSC最新!A:F""
    ),
    6,
    FALSE
  ),
  0
)
"),46081.0)</f>
        <v>46081</v>
      </c>
      <c r="AG57" s="54">
        <f>IFERROR(__xludf.DUMMYFUNCTION("IFERROR(
  VLOOKUP(
    A57,
    IMPORTRANGE(
      ""1SCYQd7_cobOYqT0r_F0IqD4tE4rYn5y8Eup4PJTH8es"",
      ""Snapshot!A:M""
    ),
    5,
    FALSE
  ),
  ""-""
)
"),8.0)</f>
        <v>8</v>
      </c>
      <c r="AH57" s="54">
        <f>IFERROR(__xludf.DUMMYFUNCTION("IFERROR(
  VLOOKUP(
    A57,
    IMPORTRANGE(
      ""1SCYQd7_cobOYqT0r_F0IqD4tE4rYn5y8Eup4PJTH8es"",
      ""Snapshot!A:M""
    ),
    6,
    FALSE
  ),
  0
)
"),0.0)</f>
        <v>0</v>
      </c>
      <c r="AI57" s="54">
        <f>IFERROR(__xludf.DUMMYFUNCTION("IFERROR(
  VLOOKUP(
    A57,
    IMPORTRANGE(
      ""1SCYQd7_cobOYqT0r_F0IqD4tE4rYn5y8Eup4PJTH8es"",
      ""Snapshot!A:M""
    ),
    7,
    FALSE
  ),
  0
)
"),1335.0)</f>
        <v>1335</v>
      </c>
      <c r="AJ57" s="54">
        <f>IFERROR(__xludf.DUMMYFUNCTION("IFERROR(
  VLOOKUP(
    A57,
    IMPORTRANGE(
      ""1SCYQd7_cobOYqT0r_F0IqD4tE4rYn5y8Eup4PJTH8es"",
      ""Snapshot!A:M""
    ),
    8,
    FALSE
  ),
  0
)
"),2.0)</f>
        <v>2</v>
      </c>
      <c r="AK57" s="54">
        <f>IFERROR(__xludf.DUMMYFUNCTION("IFERROR(
  VLOOKUP(
    A57,
    IMPORTRANGE(
      ""1SCYQd7_cobOYqT0r_F0IqD4tE4rYn5y8Eup4PJTH8es"",
      ""Snapshot!A:M""
    ),
    9,
    FALSE
  ),
  0
)
"),0.0)</f>
        <v>0</v>
      </c>
      <c r="AL57" s="54">
        <f>IFERROR(__xludf.DUMMYFUNCTION("IFERROR(
  VLOOKUP(
    A57,
    IMPORTRANGE(
      ""1SCYQd7_cobOYqT0r_F0IqD4tE4rYn5y8Eup4PJTH8es"",
      ""Snapshot!A:M""
    ),
    13,
    FALSE
  ),
  0
)
"),3.0)</f>
        <v>3</v>
      </c>
    </row>
    <row r="58">
      <c r="A58" s="56" t="s">
        <v>341</v>
      </c>
      <c r="B58" s="1" t="str">
        <f>IFERROR(__xludf.DUMMYFUNCTION("IFERROR(
  VLOOKUP(
    A58,
    IMPORTRANGE(
      ""1ZygntHC1J6IxzKbTidmOyf5nUyW4GCLurHCjexrLm_o"",
      ""HTMLキャッシュ!A:F""
    ),
    2,
    FALSE
  ),
  0
)
"),"SP")</f>
        <v>SP</v>
      </c>
      <c r="C58" s="1" t="str">
        <f>IFERROR(__xludf.DUMMYFUNCTION("IFERROR(
  VLOOKUP(
    A58,
    IMPORTRANGE(
      ""1ZygntHC1J6IxzKbTidmOyf5nUyW4GCLurHCjexrLm_o"",
      ""HTMLキャッシュ!A:F""
    ),
    5,
    FALSE
  ),
  0
)
"),"国語受験対策の個別指導講座｜読解記述基礎徹底オンライン塾")</f>
        <v>国語受験対策の個別指導講座｜読解記述基礎徹底オンライン塾</v>
      </c>
      <c r="D58" s="1" t="str">
        <f>IFERROR(__xludf.DUMMYFUNCTION("IFERROR(
  VLOOKUP(
    A58,
    IMPORTRANGE(
      ""1ZygntHC1J6IxzKbTidmOyf5nUyW4GCLurHCjexrLm_o        "",
      ""HTMLキャッシュ!A:F""
    ),
    6,
    FALSE
  ),
  0
)
"),"記述が伸び悩む受験生へ。現代文・古典・小論文・文法を個別指導で基礎から得点力に結び付ける。オンライン体験受付中")</f>
        <v>記述が伸び悩む受験生へ。現代文・古典・小論文・文法を個別指導で基礎から得点力に結び付ける。オンライン体験受付中</v>
      </c>
      <c r="E58" s="49">
        <f t="shared" ref="E58:F58" si="281">LEN(C58)</f>
        <v>28</v>
      </c>
      <c r="F58" s="49">
        <f t="shared" si="281"/>
        <v>55</v>
      </c>
      <c r="G58" s="32">
        <f>IFERROR(__xludf.DUMMYFUNCTION("IFERROR(
  VLOOKUP(
    A58,
    IMPORTRANGE(
      ""1ZygntHC1J6IxzKbTidmOyf5nUyW4GCLurHCjexrLm_o        "",
      ""HTMLキャッシュ!A:F""
    ),
    3,
    FALSE
  ),
  0
)
"),46076.865902777776)</f>
        <v>46076.8659</v>
      </c>
      <c r="H58" s="49">
        <f>IFERROR(__xludf.DUMMYFUNCTION("IFERROR(
  VLOOKUP(
    A58,
    IMPORTRANGE(
      ""1ZHMy3vVUd_0MrSduXTe1etBb1HNpAlGwQr006ljwMiM"",
      ""GSC最新!A:F""
    ),
    2,
    FALSE
  ),
  0
)
"),0.0)</f>
        <v>0</v>
      </c>
      <c r="I58" s="49">
        <f>IFERROR(__xludf.DUMMYFUNCTION("IFERROR(
  VLOOKUP(
    A58,
    IMPORTRANGE(
      ""1ZHMy3vVUd_0MrSduXTe1etBb1HNpAlGwQr006ljwMiM"",
      ""GSC最新!A:F""
    ),
    3,
    FALSE
  ),
  0
)
"),0.0)</f>
        <v>0</v>
      </c>
      <c r="J58" s="49">
        <f>IFERROR(__xludf.DUMMYFUNCTION("IFERROR(
  VLOOKUP(
    A58,
    IMPORTRANGE(
      ""1ZHMy3vVUd_0MrSduXTe1etBb1HNpAlGwQr006ljwMiM"",
      ""GSC最新!A:F""
    ),
    4,
    FALSE
  ),
  0
)
"),0.0)</f>
        <v>0</v>
      </c>
      <c r="K58" s="49">
        <f>IFERROR(__xludf.DUMMYFUNCTION("IFERROR(
  VLOOKUP(
    A58,
    IMPORTRANGE(
      ""1ZHMy3vVUd_0MrSduXTe1etBb1HNpAlGwQr006ljwMiM"",
      ""GSC最新!A:F""
    ),
    5,
    FALSE
  ),
  0
)
"),2.0)</f>
        <v>2</v>
      </c>
      <c r="L58" s="50" t="str">
        <f t="shared" ref="L58:M58" si="282">IFERROR(H58/J58,"-")</f>
        <v>-</v>
      </c>
      <c r="M58" s="50">
        <f t="shared" si="282"/>
        <v>0</v>
      </c>
      <c r="N58" s="6">
        <f>IFERROR(__xludf.DUMMYFUNCTION("IFERROR(
  VLOOKUP(
    A58,
    IMPORTRANGE(
      ""1ZHMy3vVUd_0MrSduXTe1etBb1HNpAlGwQr006ljwMiM"",
      ""GSC最新!A:R""
    ),
    7,
    FALSE
  ),
  0
)
"),0.0)</f>
        <v>0</v>
      </c>
      <c r="O58" s="6">
        <f>IFERROR(__xludf.DUMMYFUNCTION("IFERROR(
  VLOOKUP(
    A58,
    IMPORTRANGE(
      ""1ZHMy3vVUd_0MrSduXTe1etBb1HNpAlGwQr006ljwMiM"",
      ""GSC最新!A:R""
    ),
    10,
    FALSE
  ),
  0
)
"),0.0)</f>
        <v>0</v>
      </c>
      <c r="P58" s="6">
        <f>IFERROR(__xludf.DUMMYFUNCTION("IFERROR(
  VLOOKUP(
    A58,
    IMPORTRANGE(
      ""1ZHMy3vVUd_0MrSduXTe1etBb1HNpAlGwQr006ljwMiM"",
      ""GSC最新!A:R""
    ),
    13,
    FALSE
  ),
  0
)
"),2.0)</f>
        <v>2</v>
      </c>
      <c r="Q58" s="6">
        <f>IFERROR(__xludf.DUMMYFUNCTION("IFERROR(
  VLOOKUP(
    A58,
    IMPORTRANGE(
      ""1ZHMy3vVUd_0MrSduXTe1etBb1HNpAlGwQr006ljwMiM"",
      ""GSC最新!A:R""
    ),
    16,
    FALSE
  ),
  0
)
"),8.0)</f>
        <v>8</v>
      </c>
      <c r="R58" s="51">
        <f t="shared" ref="R58:S58" si="283">IFERROR(N58/P58,"-")</f>
        <v>0</v>
      </c>
      <c r="S58" s="51">
        <f t="shared" si="283"/>
        <v>0</v>
      </c>
      <c r="T58" s="9">
        <f>IFERROR(__xludf.DUMMYFUNCTION("IFERROR(
  VLOOKUP(
    A58,
    IMPORTRANGE(
      ""1ZHMy3vVUd_0MrSduXTe1etBb1HNpAlGwQr006ljwMiM"",
      ""GSC最新!A:R""
    ),
    8,
    FALSE
  ),
  0
)
"),0.0)</f>
        <v>0</v>
      </c>
      <c r="U58" s="9">
        <f>IFERROR(__xludf.DUMMYFUNCTION("IFERROR(
  VLOOKUP(
    A58,
    IMPORTRANGE(
      ""1ZHMy3vVUd_0MrSduXTe1etBb1HNpAlGwQr006ljwMiM"",
      ""GSC最新!A:R""
    ),
    11,
    FALSE
  ),
  0
)
"),0.0)</f>
        <v>0</v>
      </c>
      <c r="V58" s="9">
        <f>IFERROR(__xludf.DUMMYFUNCTION("IFERROR(
  VLOOKUP(
    A58,
    IMPORTRANGE(
      ""1ZHMy3vVUd_0MrSduXTe1etBb1HNpAlGwQr006ljwMiM"",
      ""GSC最新!A:R""
    ),
    14,
    FALSE
  ),
  0
)
"),0.0)</f>
        <v>0</v>
      </c>
      <c r="W58" s="9">
        <f>IFERROR(__xludf.DUMMYFUNCTION("IFERROR(
  VLOOKUP(
    A58,
    IMPORTRANGE(
      ""1ZHMy3vVUd_0MrSduXTe1etBb1HNpAlGwQr006ljwMiM"",
      ""GSC最新!A:R""
    ),
    17,
    FALSE
  ),
  0
)
"),0.25)</f>
        <v>0.25</v>
      </c>
      <c r="X58" s="9">
        <f t="shared" ref="X58:Y58" si="284">IFERROR(T58-V58,"-")</f>
        <v>0</v>
      </c>
      <c r="Y58" s="9">
        <f t="shared" si="284"/>
        <v>-0.25</v>
      </c>
      <c r="Z58" s="52" t="str">
        <f>IFERROR(__xludf.DUMMYFUNCTION("IFERROR(
  VLOOKUP(
    A58,
    IMPORTRANGE(
      ""1ZHMy3vVUd_0MrSduXTe1etBb1HNpAlGwQr006ljwMiM"",
      ""GSC最新!A:R""
    ),
    9,
    FALSE
  ),
  0
)
"),"")</f>
        <v/>
      </c>
      <c r="AA58" s="52" t="str">
        <f>IFERROR(__xludf.DUMMYFUNCTION("IFERROR(
  VLOOKUP(
    A58,
    IMPORTRANGE(
      ""1ZHMy3vVUd_0MrSduXTe1etBb1HNpAlGwQr006ljwMiM"",
      ""GSC最新!A:R""
    ),
    12,
    FALSE
  ),
  0
)
"),"")</f>
        <v/>
      </c>
      <c r="AB58" s="52">
        <f>IFERROR(__xludf.DUMMYFUNCTION("IFERROR(
  VLOOKUP(
    A58,
    IMPORTRANGE(
      ""1ZHMy3vVUd_0MrSduXTe1etBb1HNpAlGwQr006ljwMiM"",
      ""GSC最新!A:R""
    ),
    15,
    FALSE
  ),
  0
)
"),30.5)</f>
        <v>30.5</v>
      </c>
      <c r="AC58" s="52">
        <f>IFERROR(__xludf.DUMMYFUNCTION("IFERROR(
  VLOOKUP(
    A58,
    IMPORTRANGE(
      ""1ZHMy3vVUd_0MrSduXTe1etBb1HNpAlGwQr006ljwMiM"",
      ""GSC最新!A:R""
    ),
    18,
    FALSE
  ),
  0
)
"),19.625)</f>
        <v>19.625</v>
      </c>
      <c r="AD58" s="52">
        <f t="shared" ref="AD58:AE58" si="285">Z58-AB58</f>
        <v>-30.5</v>
      </c>
      <c r="AE58" s="52">
        <f t="shared" si="285"/>
        <v>-19.625</v>
      </c>
      <c r="AF58" s="53">
        <f>IFERROR(__xludf.DUMMYFUNCTION("IFERROR(
  VLOOKUP(
    A58,
    IMPORTRANGE(
      ""1ZHMy3vVUd_0MrSduXTe1etBb1HNpAlGwQr006ljwMiM"",
      ""GSC最新!A:F""
    ),
    6,
    FALSE
  ),
  0
)
"),46081.0)</f>
        <v>46081</v>
      </c>
      <c r="AG58" s="54">
        <f>IFERROR(__xludf.DUMMYFUNCTION("IFERROR(
  VLOOKUP(
    A58,
    IMPORTRANGE(
      ""1SCYQd7_cobOYqT0r_F0IqD4tE4rYn5y8Eup4PJTH8es"",
      ""Snapshot!A:M""
    ),
    5,
    FALSE
  ),
  ""-""
)
"),16.0)</f>
        <v>16</v>
      </c>
      <c r="AH58" s="54">
        <f>IFERROR(__xludf.DUMMYFUNCTION("IFERROR(
  VLOOKUP(
    A58,
    IMPORTRANGE(
      ""1SCYQd7_cobOYqT0r_F0IqD4tE4rYn5y8Eup4PJTH8es"",
      ""Snapshot!A:M""
    ),
    6,
    FALSE
  ),
  0
)
"),6.0)</f>
        <v>6</v>
      </c>
      <c r="AI58" s="54">
        <f>IFERROR(__xludf.DUMMYFUNCTION("IFERROR(
  VLOOKUP(
    A58,
    IMPORTRANGE(
      ""1SCYQd7_cobOYqT0r_F0IqD4tE4rYn5y8Eup4PJTH8es"",
      ""Snapshot!A:M""
    ),
    7,
    FALSE
  ),
  0
)
"),4469.0)</f>
        <v>4469</v>
      </c>
      <c r="AJ58" s="54">
        <f>IFERROR(__xludf.DUMMYFUNCTION("IFERROR(
  VLOOKUP(
    A58,
    IMPORTRANGE(
      ""1SCYQd7_cobOYqT0r_F0IqD4tE4rYn5y8Eup4PJTH8es"",
      ""Snapshot!A:M""
    ),
    8,
    FALSE
  ),
  0
)
"),0.0)</f>
        <v>0</v>
      </c>
      <c r="AK58" s="54">
        <f>IFERROR(__xludf.DUMMYFUNCTION("IFERROR(
  VLOOKUP(
    A58,
    IMPORTRANGE(
      ""1SCYQd7_cobOYqT0r_F0IqD4tE4rYn5y8Eup4PJTH8es"",
      ""Snapshot!A:M""
    ),
    9,
    FALSE
  ),
  0
)
"),0.0)</f>
        <v>0</v>
      </c>
      <c r="AL58" s="54">
        <f>IFERROR(__xludf.DUMMYFUNCTION("IFERROR(
  VLOOKUP(
    A58,
    IMPORTRANGE(
      ""1SCYQd7_cobOYqT0r_F0IqD4tE4rYn5y8Eup4PJTH8es"",
      ""Snapshot!A:M""
    ),
    13,
    FALSE
  ),
  0
)
"),2.0)</f>
        <v>2</v>
      </c>
    </row>
    <row r="59">
      <c r="A59" s="56" t="s">
        <v>342</v>
      </c>
      <c r="B59" s="1" t="str">
        <f>IFERROR(__xludf.DUMMYFUNCTION("IFERROR(
  VLOOKUP(
    A59,
    IMPORTRANGE(
      ""1ZygntHC1J6IxzKbTidmOyf5nUyW4GCLurHCjexrLm_o"",
      ""HTMLキャッシュ!A:F""
    ),
    2,
    FALSE
  ),
  0
)
"),"SP")</f>
        <v>SP</v>
      </c>
      <c r="C59" s="1" t="str">
        <f>IFERROR(__xludf.DUMMYFUNCTION("IFERROR(
  VLOOKUP(
    A59,
    IMPORTRANGE(
      ""1ZygntHC1J6IxzKbTidmOyf5nUyW4GCLurHCjexrLm_o"",
      ""HTMLキャッシュ!A:F""
    ),
    5,
    FALSE
  ),
  0
)
"),"国語夏期講習の個別指導プログラム｜読解記述力強化オンライン塾")</f>
        <v>国語夏期講習の個別指導プログラム｜読解記述力強化オンライン塾</v>
      </c>
      <c r="D59" s="1" t="str">
        <f>IFERROR(__xludf.DUMMYFUNCTION("IFERROR(
  VLOOKUP(
    A59,
    IMPORTRANGE(
      ""1ZygntHC1J6IxzKbTidmOyf5nUyW4GCLurHCjexrLm_o        "",
      ""HTMLキャッシュ!A:F""
    ),
    6,
    FALSE
  ),
  0
)
"),"夏に国語の読解と記述力を徹底強化する個別指導。教室・オンライン対応、体験申込受付中。受講日程選択後すぐ申込可")</f>
        <v>夏に国語の読解と記述力を徹底強化する個別指導。教室・オンライン対応、体験申込受付中。受講日程選択後すぐ申込可</v>
      </c>
      <c r="E59" s="49">
        <f t="shared" ref="E59:F59" si="286">LEN(C59)</f>
        <v>30</v>
      </c>
      <c r="F59" s="49">
        <f t="shared" si="286"/>
        <v>54</v>
      </c>
      <c r="G59" s="32">
        <f>IFERROR(__xludf.DUMMYFUNCTION("IFERROR(
  VLOOKUP(
    A59,
    IMPORTRANGE(
      ""1ZygntHC1J6IxzKbTidmOyf5nUyW4GCLurHCjexrLm_o        "",
      ""HTMLキャッシュ!A:F""
    ),
    3,
    FALSE
  ),
  0
)
"),46081.728946759256)</f>
        <v>46081.72895</v>
      </c>
      <c r="H59" s="49">
        <f>IFERROR(__xludf.DUMMYFUNCTION("IFERROR(
  VLOOKUP(
    A59,
    IMPORTRANGE(
      ""1ZHMy3vVUd_0MrSduXTe1etBb1HNpAlGwQr006ljwMiM"",
      ""GSC最新!A:F""
    ),
    2,
    FALSE
  ),
  0
)
"),0.0)</f>
        <v>0</v>
      </c>
      <c r="I59" s="49">
        <f>IFERROR(__xludf.DUMMYFUNCTION("IFERROR(
  VLOOKUP(
    A59,
    IMPORTRANGE(
      ""1ZHMy3vVUd_0MrSduXTe1etBb1HNpAlGwQr006ljwMiM"",
      ""GSC最新!A:F""
    ),
    3,
    FALSE
  ),
  0
)
"),0.0)</f>
        <v>0</v>
      </c>
      <c r="J59" s="49">
        <f>IFERROR(__xludf.DUMMYFUNCTION("IFERROR(
  VLOOKUP(
    A59,
    IMPORTRANGE(
      ""1ZHMy3vVUd_0MrSduXTe1etBb1HNpAlGwQr006ljwMiM"",
      ""GSC最新!A:F""
    ),
    4,
    FALSE
  ),
  0
)
"),0.0)</f>
        <v>0</v>
      </c>
      <c r="K59" s="49">
        <f>IFERROR(__xludf.DUMMYFUNCTION("IFERROR(
  VLOOKUP(
    A59,
    IMPORTRANGE(
      ""1ZHMy3vVUd_0MrSduXTe1etBb1HNpAlGwQr006ljwMiM"",
      ""GSC最新!A:F""
    ),
    5,
    FALSE
  ),
  0
)
"),0.0)</f>
        <v>0</v>
      </c>
      <c r="L59" s="50" t="str">
        <f t="shared" ref="L59:M59" si="287">IFERROR(H59/J59,"-")</f>
        <v>-</v>
      </c>
      <c r="M59" s="50" t="str">
        <f t="shared" si="287"/>
        <v>-</v>
      </c>
      <c r="N59" s="6">
        <f>IFERROR(__xludf.DUMMYFUNCTION("IFERROR(
  VLOOKUP(
    A59,
    IMPORTRANGE(
      ""1ZHMy3vVUd_0MrSduXTe1etBb1HNpAlGwQr006ljwMiM"",
      ""GSC最新!A:R""
    ),
    7,
    FALSE
  ),
  0
)
"),0.0)</f>
        <v>0</v>
      </c>
      <c r="O59" s="6">
        <f>IFERROR(__xludf.DUMMYFUNCTION("IFERROR(
  VLOOKUP(
    A59,
    IMPORTRANGE(
      ""1ZHMy3vVUd_0MrSduXTe1etBb1HNpAlGwQr006ljwMiM"",
      ""GSC最新!A:R""
    ),
    10,
    FALSE
  ),
  0
)
"),0.0)</f>
        <v>0</v>
      </c>
      <c r="P59" s="6">
        <f>IFERROR(__xludf.DUMMYFUNCTION("IFERROR(
  VLOOKUP(
    A59,
    IMPORTRANGE(
      ""1ZHMy3vVUd_0MrSduXTe1etBb1HNpAlGwQr006ljwMiM"",
      ""GSC最新!A:R""
    ),
    13,
    FALSE
  ),
  0
)
"),0.0)</f>
        <v>0</v>
      </c>
      <c r="Q59" s="6">
        <f>IFERROR(__xludf.DUMMYFUNCTION("IFERROR(
  VLOOKUP(
    A59,
    IMPORTRANGE(
      ""1ZHMy3vVUd_0MrSduXTe1etBb1HNpAlGwQr006ljwMiM"",
      ""GSC最新!A:R""
    ),
    16,
    FALSE
  ),
  0
)
"),0.0)</f>
        <v>0</v>
      </c>
      <c r="R59" s="51" t="str">
        <f t="shared" ref="R59:S59" si="288">IFERROR(N59/P59,"-")</f>
        <v>-</v>
      </c>
      <c r="S59" s="51" t="str">
        <f t="shared" si="288"/>
        <v>-</v>
      </c>
      <c r="T59" s="9">
        <f>IFERROR(__xludf.DUMMYFUNCTION("IFERROR(
  VLOOKUP(
    A59,
    IMPORTRANGE(
      ""1ZHMy3vVUd_0MrSduXTe1etBb1HNpAlGwQr006ljwMiM"",
      ""GSC最新!A:R""
    ),
    8,
    FALSE
  ),
  0
)
"),0.0)</f>
        <v>0</v>
      </c>
      <c r="U59" s="9">
        <f>IFERROR(__xludf.DUMMYFUNCTION("IFERROR(
  VLOOKUP(
    A59,
    IMPORTRANGE(
      ""1ZHMy3vVUd_0MrSduXTe1etBb1HNpAlGwQr006ljwMiM"",
      ""GSC最新!A:R""
    ),
    11,
    FALSE
  ),
  0
)
"),0.0)</f>
        <v>0</v>
      </c>
      <c r="V59" s="9">
        <f>IFERROR(__xludf.DUMMYFUNCTION("IFERROR(
  VLOOKUP(
    A59,
    IMPORTRANGE(
      ""1ZHMy3vVUd_0MrSduXTe1etBb1HNpAlGwQr006ljwMiM"",
      ""GSC最新!A:R""
    ),
    14,
    FALSE
  ),
  0
)
"),0.0)</f>
        <v>0</v>
      </c>
      <c r="W59" s="9">
        <f>IFERROR(__xludf.DUMMYFUNCTION("IFERROR(
  VLOOKUP(
    A59,
    IMPORTRANGE(
      ""1ZHMy3vVUd_0MrSduXTe1etBb1HNpAlGwQr006ljwMiM"",
      ""GSC最新!A:R""
    ),
    17,
    FALSE
  ),
  0
)
"),0.0)</f>
        <v>0</v>
      </c>
      <c r="X59" s="9">
        <f t="shared" ref="X59:Y59" si="289">IFERROR(T59-V59,"-")</f>
        <v>0</v>
      </c>
      <c r="Y59" s="9">
        <f t="shared" si="289"/>
        <v>0</v>
      </c>
      <c r="Z59" s="52" t="str">
        <f>IFERROR(__xludf.DUMMYFUNCTION("IFERROR(
  VLOOKUP(
    A59,
    IMPORTRANGE(
      ""1ZHMy3vVUd_0MrSduXTe1etBb1HNpAlGwQr006ljwMiM"",
      ""GSC最新!A:R""
    ),
    9,
    FALSE
  ),
  0
)
"),"")</f>
        <v/>
      </c>
      <c r="AA59" s="52" t="str">
        <f>IFERROR(__xludf.DUMMYFUNCTION("IFERROR(
  VLOOKUP(
    A59,
    IMPORTRANGE(
      ""1ZHMy3vVUd_0MrSduXTe1etBb1HNpAlGwQr006ljwMiM"",
      ""GSC最新!A:R""
    ),
    12,
    FALSE
  ),
  0
)
"),"")</f>
        <v/>
      </c>
      <c r="AB59" s="52" t="str">
        <f>IFERROR(__xludf.DUMMYFUNCTION("IFERROR(
  VLOOKUP(
    A59,
    IMPORTRANGE(
      ""1ZHMy3vVUd_0MrSduXTe1etBb1HNpAlGwQr006ljwMiM"",
      ""GSC最新!A:R""
    ),
    15,
    FALSE
  ),
  0
)
"),"")</f>
        <v/>
      </c>
      <c r="AC59" s="52" t="str">
        <f>IFERROR(__xludf.DUMMYFUNCTION("IFERROR(
  VLOOKUP(
    A59,
    IMPORTRANGE(
      ""1ZHMy3vVUd_0MrSduXTe1etBb1HNpAlGwQr006ljwMiM"",
      ""GSC最新!A:R""
    ),
    18,
    FALSE
  ),
  0
)
"),"")</f>
        <v/>
      </c>
      <c r="AD59" s="52">
        <f t="shared" ref="AD59:AE59" si="290">Z59-AB59</f>
        <v>0</v>
      </c>
      <c r="AE59" s="52">
        <f t="shared" si="290"/>
        <v>0</v>
      </c>
      <c r="AF59" s="53">
        <f>IFERROR(__xludf.DUMMYFUNCTION("IFERROR(
  VLOOKUP(
    A59,
    IMPORTRANGE(
      ""1ZHMy3vVUd_0MrSduXTe1etBb1HNpAlGwQr006ljwMiM"",
      ""GSC最新!A:F""
    ),
    6,
    FALSE
  ),
  0
)
"),46081.0)</f>
        <v>46081</v>
      </c>
      <c r="AG59" s="54">
        <f>IFERROR(__xludf.DUMMYFUNCTION("IFERROR(
  VLOOKUP(
    A59,
    IMPORTRANGE(
      ""1SCYQd7_cobOYqT0r_F0IqD4tE4rYn5y8Eup4PJTH8es"",
      ""Snapshot!A:M""
    ),
    5,
    FALSE
  ),
  ""-""
)
"),1.0)</f>
        <v>1</v>
      </c>
      <c r="AH59" s="54">
        <f>IFERROR(__xludf.DUMMYFUNCTION("IFERROR(
  VLOOKUP(
    A59,
    IMPORTRANGE(
      ""1SCYQd7_cobOYqT0r_F0IqD4tE4rYn5y8Eup4PJTH8es"",
      ""Snapshot!A:M""
    ),
    6,
    FALSE
  ),
  0
)
"),0.0)</f>
        <v>0</v>
      </c>
      <c r="AI59" s="54">
        <f>IFERROR(__xludf.DUMMYFUNCTION("IFERROR(
  VLOOKUP(
    A59,
    IMPORTRANGE(
      ""1SCYQd7_cobOYqT0r_F0IqD4tE4rYn5y8Eup4PJTH8es"",
      ""Snapshot!A:M""
    ),
    7,
    FALSE
  ),
  0
)
"),885.0)</f>
        <v>885</v>
      </c>
      <c r="AJ59" s="54">
        <f>IFERROR(__xludf.DUMMYFUNCTION("IFERROR(
  VLOOKUP(
    A59,
    IMPORTRANGE(
      ""1SCYQd7_cobOYqT0r_F0IqD4tE4rYn5y8Eup4PJTH8es"",
      ""Snapshot!A:M""
    ),
    8,
    FALSE
  ),
  0
)
"),1.0)</f>
        <v>1</v>
      </c>
      <c r="AK59" s="54">
        <f>IFERROR(__xludf.DUMMYFUNCTION("IFERROR(
  VLOOKUP(
    A59,
    IMPORTRANGE(
      ""1SCYQd7_cobOYqT0r_F0IqD4tE4rYn5y8Eup4PJTH8es"",
      ""Snapshot!A:M""
    ),
    9,
    FALSE
  ),
  0
)
"),1.0)</f>
        <v>1</v>
      </c>
      <c r="AL59" s="54">
        <f>IFERROR(__xludf.DUMMYFUNCTION("IFERROR(
  VLOOKUP(
    A59,
    IMPORTRANGE(
      ""1SCYQd7_cobOYqT0r_F0IqD4tE4rYn5y8Eup4PJTH8es"",
      ""Snapshot!A:M""
    ),
    13,
    FALSE
  ),
  0
)
"),2.0)</f>
        <v>2</v>
      </c>
    </row>
    <row r="60">
      <c r="A60" s="56" t="s">
        <v>343</v>
      </c>
      <c r="B60" s="1" t="str">
        <f>IFERROR(__xludf.DUMMYFUNCTION("IFERROR(
  VLOOKUP(
    A60,
    IMPORTRANGE(
      ""1ZygntHC1J6IxzKbTidmOyf5nUyW4GCLurHCjexrLm_o"",
      ""HTMLキャッシュ!A:F""
    ),
    2,
    FALSE
  ),
  0
)
"),"SP")</f>
        <v>SP</v>
      </c>
      <c r="C60" s="1" t="str">
        <f>IFERROR(__xludf.DUMMYFUNCTION("IFERROR(
  VLOOKUP(
    A60,
    IMPORTRANGE(
      ""1ZygntHC1J6IxzKbTidmOyf5nUyW4GCLurHCjexrLm_o"",
      ""HTMLキャッシュ!A:F""
    ),
    5,
    FALSE
  ),
  0
)
"),"高1英語学校対策の個別指導講座｜定期・受験対応オンライン塾")</f>
        <v>高1英語学校対策の個別指導講座｜定期・受験対応オンライン塾</v>
      </c>
      <c r="D60" s="1" t="str">
        <f>IFERROR(__xludf.DUMMYFUNCTION("IFERROR(
  VLOOKUP(
    A60,
    IMPORTRANGE(
      ""1ZygntHC1J6IxzKbTidmOyf5nUyW4GCLurHCjexrLm_o        "",
      ""HTMLキャッシュ!A:F""
    ),
    6,
    FALSE
  ),
  0
)
"),"文法増加で点が伸びない高1生へ。教材進度に合わせ個別指導で定期試験と受験力を両立。オンライン体験受付中今すぐ相談可")</f>
        <v>文法増加で点が伸びない高1生へ。教材進度に合わせ個別指導で定期試験と受験力を両立。オンライン体験受付中今すぐ相談可</v>
      </c>
      <c r="E60" s="49">
        <f t="shared" ref="E60:F60" si="291">LEN(C60)</f>
        <v>29</v>
      </c>
      <c r="F60" s="49">
        <f t="shared" si="291"/>
        <v>57</v>
      </c>
      <c r="G60" s="32">
        <f>IFERROR(__xludf.DUMMYFUNCTION("IFERROR(
  VLOOKUP(
    A60,
    IMPORTRANGE(
      ""1ZygntHC1J6IxzKbTidmOyf5nUyW4GCLurHCjexrLm_o        "",
      ""HTMLキャッシュ!A:F""
    ),
    3,
    FALSE
  ),
  0
)
"),46081.79739583333)</f>
        <v>46081.7974</v>
      </c>
      <c r="H60" s="49">
        <f>IFERROR(__xludf.DUMMYFUNCTION("IFERROR(
  VLOOKUP(
    A60,
    IMPORTRANGE(
      ""1ZHMy3vVUd_0MrSduXTe1etBb1HNpAlGwQr006ljwMiM"",
      ""GSC最新!A:F""
    ),
    2,
    FALSE
  ),
  0
)
"),0.0)</f>
        <v>0</v>
      </c>
      <c r="I60" s="49">
        <f>IFERROR(__xludf.DUMMYFUNCTION("IFERROR(
  VLOOKUP(
    A60,
    IMPORTRANGE(
      ""1ZHMy3vVUd_0MrSduXTe1etBb1HNpAlGwQr006ljwMiM"",
      ""GSC最新!A:F""
    ),
    3,
    FALSE
  ),
  0
)
"),0.0)</f>
        <v>0</v>
      </c>
      <c r="J60" s="49">
        <f>IFERROR(__xludf.DUMMYFUNCTION("IFERROR(
  VLOOKUP(
    A60,
    IMPORTRANGE(
      ""1ZHMy3vVUd_0MrSduXTe1etBb1HNpAlGwQr006ljwMiM"",
      ""GSC最新!A:F""
    ),
    4,
    FALSE
  ),
  0
)
"),0.0)</f>
        <v>0</v>
      </c>
      <c r="K60" s="49">
        <f>IFERROR(__xludf.DUMMYFUNCTION("IFERROR(
  VLOOKUP(
    A60,
    IMPORTRANGE(
      ""1ZHMy3vVUd_0MrSduXTe1etBb1HNpAlGwQr006ljwMiM"",
      ""GSC最新!A:F""
    ),
    5,
    FALSE
  ),
  0
)
"),0.0)</f>
        <v>0</v>
      </c>
      <c r="L60" s="50" t="str">
        <f t="shared" ref="L60:M60" si="292">IFERROR(H60/J60,"-")</f>
        <v>-</v>
      </c>
      <c r="M60" s="50" t="str">
        <f t="shared" si="292"/>
        <v>-</v>
      </c>
      <c r="N60" s="6">
        <f>IFERROR(__xludf.DUMMYFUNCTION("IFERROR(
  VLOOKUP(
    A60,
    IMPORTRANGE(
      ""1ZHMy3vVUd_0MrSduXTe1etBb1HNpAlGwQr006ljwMiM"",
      ""GSC最新!A:R""
    ),
    7,
    FALSE
  ),
  0
)
"),0.0)</f>
        <v>0</v>
      </c>
      <c r="O60" s="6">
        <f>IFERROR(__xludf.DUMMYFUNCTION("IFERROR(
  VLOOKUP(
    A60,
    IMPORTRANGE(
      ""1ZHMy3vVUd_0MrSduXTe1etBb1HNpAlGwQr006ljwMiM"",
      ""GSC最新!A:R""
    ),
    10,
    FALSE
  ),
  0
)
"),0.0)</f>
        <v>0</v>
      </c>
      <c r="P60" s="6">
        <f>IFERROR(__xludf.DUMMYFUNCTION("IFERROR(
  VLOOKUP(
    A60,
    IMPORTRANGE(
      ""1ZHMy3vVUd_0MrSduXTe1etBb1HNpAlGwQr006ljwMiM"",
      ""GSC最新!A:R""
    ),
    13,
    FALSE
  ),
  0
)
"),0.0)</f>
        <v>0</v>
      </c>
      <c r="Q60" s="6">
        <f>IFERROR(__xludf.DUMMYFUNCTION("IFERROR(
  VLOOKUP(
    A60,
    IMPORTRANGE(
      ""1ZHMy3vVUd_0MrSduXTe1etBb1HNpAlGwQr006ljwMiM"",
      ""GSC最新!A:R""
    ),
    16,
    FALSE
  ),
  0
)
"),4.0)</f>
        <v>4</v>
      </c>
      <c r="R60" s="51" t="str">
        <f t="shared" ref="R60:S60" si="293">IFERROR(N60/P60,"-")</f>
        <v>-</v>
      </c>
      <c r="S60" s="51">
        <f t="shared" si="293"/>
        <v>0</v>
      </c>
      <c r="T60" s="9">
        <f>IFERROR(__xludf.DUMMYFUNCTION("IFERROR(
  VLOOKUP(
    A60,
    IMPORTRANGE(
      ""1ZHMy3vVUd_0MrSduXTe1etBb1HNpAlGwQr006ljwMiM"",
      ""GSC最新!A:R""
    ),
    8,
    FALSE
  ),
  0
)
"),0.0)</f>
        <v>0</v>
      </c>
      <c r="U60" s="9">
        <f>IFERROR(__xludf.DUMMYFUNCTION("IFERROR(
  VLOOKUP(
    A60,
    IMPORTRANGE(
      ""1ZHMy3vVUd_0MrSduXTe1etBb1HNpAlGwQr006ljwMiM"",
      ""GSC最新!A:R""
    ),
    11,
    FALSE
  ),
  0
)
"),0.0)</f>
        <v>0</v>
      </c>
      <c r="V60" s="9">
        <f>IFERROR(__xludf.DUMMYFUNCTION("IFERROR(
  VLOOKUP(
    A60,
    IMPORTRANGE(
      ""1ZHMy3vVUd_0MrSduXTe1etBb1HNpAlGwQr006ljwMiM"",
      ""GSC最新!A:R""
    ),
    14,
    FALSE
  ),
  0
)
"),0.0)</f>
        <v>0</v>
      </c>
      <c r="W60" s="9">
        <f>IFERROR(__xludf.DUMMYFUNCTION("IFERROR(
  VLOOKUP(
    A60,
    IMPORTRANGE(
      ""1ZHMy3vVUd_0MrSduXTe1etBb1HNpAlGwQr006ljwMiM"",
      ""GSC最新!A:R""
    ),
    17,
    FALSE
  ),
  0
)
"),0.0)</f>
        <v>0</v>
      </c>
      <c r="X60" s="9">
        <f t="shared" ref="X60:Y60" si="294">IFERROR(T60-V60,"-")</f>
        <v>0</v>
      </c>
      <c r="Y60" s="9">
        <f t="shared" si="294"/>
        <v>0</v>
      </c>
      <c r="Z60" s="52" t="str">
        <f>IFERROR(__xludf.DUMMYFUNCTION("IFERROR(
  VLOOKUP(
    A60,
    IMPORTRANGE(
      ""1ZHMy3vVUd_0MrSduXTe1etBb1HNpAlGwQr006ljwMiM"",
      ""GSC最新!A:R""
    ),
    9,
    FALSE
  ),
  0
)
"),"")</f>
        <v/>
      </c>
      <c r="AA60" s="52" t="str">
        <f>IFERROR(__xludf.DUMMYFUNCTION("IFERROR(
  VLOOKUP(
    A60,
    IMPORTRANGE(
      ""1ZHMy3vVUd_0MrSduXTe1etBb1HNpAlGwQr006ljwMiM"",
      ""GSC最新!A:R""
    ),
    12,
    FALSE
  ),
  0
)
"),"")</f>
        <v/>
      </c>
      <c r="AB60" s="52" t="str">
        <f>IFERROR(__xludf.DUMMYFUNCTION("IFERROR(
  VLOOKUP(
    A60,
    IMPORTRANGE(
      ""1ZHMy3vVUd_0MrSduXTe1etBb1HNpAlGwQr006ljwMiM"",
      ""GSC最新!A:R""
    ),
    15,
    FALSE
  ),
  0
)
"),"")</f>
        <v/>
      </c>
      <c r="AC60" s="52">
        <f>IFERROR(__xludf.DUMMYFUNCTION("IFERROR(
  VLOOKUP(
    A60,
    IMPORTRANGE(
      ""1ZHMy3vVUd_0MrSduXTe1etBb1HNpAlGwQr006ljwMiM"",
      ""GSC最新!A:R""
    ),
    18,
    FALSE
  ),
  0
)
"),63.25)</f>
        <v>63.25</v>
      </c>
      <c r="AD60" s="52">
        <f t="shared" ref="AD60:AE60" si="295">Z60-AB60</f>
        <v>0</v>
      </c>
      <c r="AE60" s="52">
        <f t="shared" si="295"/>
        <v>-63.25</v>
      </c>
      <c r="AF60" s="53">
        <f>IFERROR(__xludf.DUMMYFUNCTION("IFERROR(
  VLOOKUP(
    A60,
    IMPORTRANGE(
      ""1ZHMy3vVUd_0MrSduXTe1etBb1HNpAlGwQr006ljwMiM"",
      ""GSC最新!A:F""
    ),
    6,
    FALSE
  ),
  0
)
"),46081.0)</f>
        <v>46081</v>
      </c>
      <c r="AG60" s="54">
        <f>IFERROR(__xludf.DUMMYFUNCTION("IFERROR(
  VLOOKUP(
    A60,
    IMPORTRANGE(
      ""1SCYQd7_cobOYqT0r_F0IqD4tE4rYn5y8Eup4PJTH8es"",
      ""Snapshot!A:M""
    ),
    5,
    FALSE
  ),
  ""-""
)
"),5.0)</f>
        <v>5</v>
      </c>
      <c r="AH60" s="54">
        <f>IFERROR(__xludf.DUMMYFUNCTION("IFERROR(
  VLOOKUP(
    A60,
    IMPORTRANGE(
      ""1SCYQd7_cobOYqT0r_F0IqD4tE4rYn5y8Eup4PJTH8es"",
      ""Snapshot!A:M""
    ),
    6,
    FALSE
  ),
  0
)
"),5.0)</f>
        <v>5</v>
      </c>
      <c r="AI60" s="54">
        <f>IFERROR(__xludf.DUMMYFUNCTION("IFERROR(
  VLOOKUP(
    A60,
    IMPORTRANGE(
      ""1SCYQd7_cobOYqT0r_F0IqD4tE4rYn5y8Eup4PJTH8es"",
      ""Snapshot!A:M""
    ),
    7,
    FALSE
  ),
  0
)
"),2918.0)</f>
        <v>2918</v>
      </c>
      <c r="AJ60" s="54">
        <f>IFERROR(__xludf.DUMMYFUNCTION("IFERROR(
  VLOOKUP(
    A60,
    IMPORTRANGE(
      ""1SCYQd7_cobOYqT0r_F0IqD4tE4rYn5y8Eup4PJTH8es"",
      ""Snapshot!A:M""
    ),
    8,
    FALSE
  ),
  0
)
"),4.0)</f>
        <v>4</v>
      </c>
      <c r="AK60" s="54">
        <f>IFERROR(__xludf.DUMMYFUNCTION("IFERROR(
  VLOOKUP(
    A60,
    IMPORTRANGE(
      ""1SCYQd7_cobOYqT0r_F0IqD4tE4rYn5y8Eup4PJTH8es"",
      ""Snapshot!A:M""
    ),
    9,
    FALSE
  ),
  0
)
"),3.0)</f>
        <v>3</v>
      </c>
      <c r="AL60" s="54">
        <f>IFERROR(__xludf.DUMMYFUNCTION("IFERROR(
  VLOOKUP(
    A60,
    IMPORTRANGE(
      ""1SCYQd7_cobOYqT0r_F0IqD4tE4rYn5y8Eup4PJTH8es"",
      ""Snapshot!A:M""
    ),
    13,
    FALSE
  ),
  0
)
"),2.0)</f>
        <v>2</v>
      </c>
    </row>
    <row r="61">
      <c r="A61" s="56" t="s">
        <v>344</v>
      </c>
      <c r="B61" s="1" t="str">
        <f>IFERROR(__xludf.DUMMYFUNCTION("IFERROR(
  VLOOKUP(
    A61,
    IMPORTRANGE(
      ""1ZygntHC1J6IxzKbTidmOyf5nUyW4GCLurHCjexrLm_o"",
      ""HTMLキャッシュ!A:F""
    ),
    2,
    FALSE
  ),
  0
)
"),"SP")</f>
        <v>SP</v>
      </c>
      <c r="C61" s="1" t="str">
        <f>IFERROR(__xludf.DUMMYFUNCTION("IFERROR(
  VLOOKUP(
    A61,
    IMPORTRANGE(
      ""1ZygntHC1J6IxzKbTidmOyf5nUyW4GCLurHCjexrLm_o"",
      ""HTMLキャッシュ!A:F""
    ),
    5,
    FALSE
  ),
  0
)
"),"中2数学の個別指導講座｜定期試験対応＆計算幾何攻略オンライン")</f>
        <v>中2数学の個別指導講座｜定期試験対応＆計算幾何攻略オンライン</v>
      </c>
      <c r="D61" s="1" t="str">
        <f>IFERROR(__xludf.DUMMYFUNCTION("IFERROR(
  VLOOKUP(
    A61,
    IMPORTRANGE(
      ""1ZygntHC1J6IxzKbTidmOyf5nUyW4GCLurHCjexrLm_o        "",
      ""HTMLキャッシュ!A:F""
    ),
    6,
    FALSE
  ),
  0
)
"),"中高一貫中2数学でつまずく生徒へ。計算・幾何・確率を個別指導で整理し定期試験に直結。オンライン体験受付中今すぐ相談可")</f>
        <v>中高一貫中2数学でつまずく生徒へ。計算・幾何・確率を個別指導で整理し定期試験に直結。オンライン体験受付中今すぐ相談可</v>
      </c>
      <c r="E61" s="49">
        <f t="shared" ref="E61:F61" si="296">LEN(C61)</f>
        <v>30</v>
      </c>
      <c r="F61" s="49">
        <f t="shared" si="296"/>
        <v>58</v>
      </c>
      <c r="G61" s="32">
        <f>IFERROR(__xludf.DUMMYFUNCTION("IFERROR(
  VLOOKUP(
    A61,
    IMPORTRANGE(
      ""1ZygntHC1J6IxzKbTidmOyf5nUyW4GCLurHCjexrLm_o        "",
      ""HTMLキャッシュ!A:F""
    ),
    3,
    FALSE
  ),
  0
)
"),46076.87211805556)</f>
        <v>46076.87212</v>
      </c>
      <c r="H61" s="49">
        <f>IFERROR(__xludf.DUMMYFUNCTION("IFERROR(
  VLOOKUP(
    A61,
    IMPORTRANGE(
      ""1ZHMy3vVUd_0MrSduXTe1etBb1HNpAlGwQr006ljwMiM"",
      ""GSC最新!A:F""
    ),
    2,
    FALSE
  ),
  0
)
"),0.0)</f>
        <v>0</v>
      </c>
      <c r="I61" s="49">
        <f>IFERROR(__xludf.DUMMYFUNCTION("IFERROR(
  VLOOKUP(
    A61,
    IMPORTRANGE(
      ""1ZHMy3vVUd_0MrSduXTe1etBb1HNpAlGwQr006ljwMiM"",
      ""GSC最新!A:F""
    ),
    3,
    FALSE
  ),
  0
)
"),0.0)</f>
        <v>0</v>
      </c>
      <c r="J61" s="49">
        <f>IFERROR(__xludf.DUMMYFUNCTION("IFERROR(
  VLOOKUP(
    A61,
    IMPORTRANGE(
      ""1ZHMy3vVUd_0MrSduXTe1etBb1HNpAlGwQr006ljwMiM"",
      ""GSC最新!A:F""
    ),
    4,
    FALSE
  ),
  0
)
"),0.0)</f>
        <v>0</v>
      </c>
      <c r="K61" s="49">
        <f>IFERROR(__xludf.DUMMYFUNCTION("IFERROR(
  VLOOKUP(
    A61,
    IMPORTRANGE(
      ""1ZHMy3vVUd_0MrSduXTe1etBb1HNpAlGwQr006ljwMiM"",
      ""GSC最新!A:F""
    ),
    5,
    FALSE
  ),
  0
)
"),0.0)</f>
        <v>0</v>
      </c>
      <c r="L61" s="50" t="str">
        <f t="shared" ref="L61:M61" si="297">IFERROR(H61/J61,"-")</f>
        <v>-</v>
      </c>
      <c r="M61" s="50" t="str">
        <f t="shared" si="297"/>
        <v>-</v>
      </c>
      <c r="N61" s="6">
        <f>IFERROR(__xludf.DUMMYFUNCTION("IFERROR(
  VLOOKUP(
    A61,
    IMPORTRANGE(
      ""1ZHMy3vVUd_0MrSduXTe1etBb1HNpAlGwQr006ljwMiM"",
      ""GSC最新!A:R""
    ),
    7,
    FALSE
  ),
  0
)
"),0.0)</f>
        <v>0</v>
      </c>
      <c r="O61" s="6">
        <f>IFERROR(__xludf.DUMMYFUNCTION("IFERROR(
  VLOOKUP(
    A61,
    IMPORTRANGE(
      ""1ZHMy3vVUd_0MrSduXTe1etBb1HNpAlGwQr006ljwMiM"",
      ""GSC最新!A:R""
    ),
    10,
    FALSE
  ),
  0
)
"),0.0)</f>
        <v>0</v>
      </c>
      <c r="P61" s="6">
        <f>IFERROR(__xludf.DUMMYFUNCTION("IFERROR(
  VLOOKUP(
    A61,
    IMPORTRANGE(
      ""1ZHMy3vVUd_0MrSduXTe1etBb1HNpAlGwQr006ljwMiM"",
      ""GSC最新!A:R""
    ),
    13,
    FALSE
  ),
  0
)
"),0.0)</f>
        <v>0</v>
      </c>
      <c r="Q61" s="6">
        <f>IFERROR(__xludf.DUMMYFUNCTION("IFERROR(
  VLOOKUP(
    A61,
    IMPORTRANGE(
      ""1ZHMy3vVUd_0MrSduXTe1etBb1HNpAlGwQr006ljwMiM"",
      ""GSC最新!A:R""
    ),
    16,
    FALSE
  ),
  0
)
"),0.0)</f>
        <v>0</v>
      </c>
      <c r="R61" s="51" t="str">
        <f t="shared" ref="R61:S61" si="298">IFERROR(N61/P61,"-")</f>
        <v>-</v>
      </c>
      <c r="S61" s="51" t="str">
        <f t="shared" si="298"/>
        <v>-</v>
      </c>
      <c r="T61" s="9">
        <f>IFERROR(__xludf.DUMMYFUNCTION("IFERROR(
  VLOOKUP(
    A61,
    IMPORTRANGE(
      ""1ZHMy3vVUd_0MrSduXTe1etBb1HNpAlGwQr006ljwMiM"",
      ""GSC最新!A:R""
    ),
    8,
    FALSE
  ),
  0
)
"),0.0)</f>
        <v>0</v>
      </c>
      <c r="U61" s="9">
        <f>IFERROR(__xludf.DUMMYFUNCTION("IFERROR(
  VLOOKUP(
    A61,
    IMPORTRANGE(
      ""1ZHMy3vVUd_0MrSduXTe1etBb1HNpAlGwQr006ljwMiM"",
      ""GSC最新!A:R""
    ),
    11,
    FALSE
  ),
  0
)
"),0.0)</f>
        <v>0</v>
      </c>
      <c r="V61" s="9">
        <f>IFERROR(__xludf.DUMMYFUNCTION("IFERROR(
  VLOOKUP(
    A61,
    IMPORTRANGE(
      ""1ZHMy3vVUd_0MrSduXTe1etBb1HNpAlGwQr006ljwMiM"",
      ""GSC最新!A:R""
    ),
    14,
    FALSE
  ),
  0
)
"),0.0)</f>
        <v>0</v>
      </c>
      <c r="W61" s="9">
        <f>IFERROR(__xludf.DUMMYFUNCTION("IFERROR(
  VLOOKUP(
    A61,
    IMPORTRANGE(
      ""1ZHMy3vVUd_0MrSduXTe1etBb1HNpAlGwQr006ljwMiM"",
      ""GSC最新!A:R""
    ),
    17,
    FALSE
  ),
  0
)
"),0.0)</f>
        <v>0</v>
      </c>
      <c r="X61" s="9">
        <f t="shared" ref="X61:Y61" si="299">IFERROR(T61-V61,"-")</f>
        <v>0</v>
      </c>
      <c r="Y61" s="9">
        <f t="shared" si="299"/>
        <v>0</v>
      </c>
      <c r="Z61" s="52" t="str">
        <f>IFERROR(__xludf.DUMMYFUNCTION("IFERROR(
  VLOOKUP(
    A61,
    IMPORTRANGE(
      ""1ZHMy3vVUd_0MrSduXTe1etBb1HNpAlGwQr006ljwMiM"",
      ""GSC最新!A:R""
    ),
    9,
    FALSE
  ),
  0
)
"),"")</f>
        <v/>
      </c>
      <c r="AA61" s="52" t="str">
        <f>IFERROR(__xludf.DUMMYFUNCTION("IFERROR(
  VLOOKUP(
    A61,
    IMPORTRANGE(
      ""1ZHMy3vVUd_0MrSduXTe1etBb1HNpAlGwQr006ljwMiM"",
      ""GSC最新!A:R""
    ),
    12,
    FALSE
  ),
  0
)
"),"")</f>
        <v/>
      </c>
      <c r="AB61" s="52" t="str">
        <f>IFERROR(__xludf.DUMMYFUNCTION("IFERROR(
  VLOOKUP(
    A61,
    IMPORTRANGE(
      ""1ZHMy3vVUd_0MrSduXTe1etBb1HNpAlGwQr006ljwMiM"",
      ""GSC最新!A:R""
    ),
    15,
    FALSE
  ),
  0
)
"),"")</f>
        <v/>
      </c>
      <c r="AC61" s="52" t="str">
        <f>IFERROR(__xludf.DUMMYFUNCTION("IFERROR(
  VLOOKUP(
    A61,
    IMPORTRANGE(
      ""1ZHMy3vVUd_0MrSduXTe1etBb1HNpAlGwQr006ljwMiM"",
      ""GSC最新!A:R""
    ),
    18,
    FALSE
  ),
  0
)
"),"")</f>
        <v/>
      </c>
      <c r="AD61" s="52">
        <f t="shared" ref="AD61:AE61" si="300">Z61-AB61</f>
        <v>0</v>
      </c>
      <c r="AE61" s="52">
        <f t="shared" si="300"/>
        <v>0</v>
      </c>
      <c r="AF61" s="53">
        <f>IFERROR(__xludf.DUMMYFUNCTION("IFERROR(
  VLOOKUP(
    A61,
    IMPORTRANGE(
      ""1ZHMy3vVUd_0MrSduXTe1etBb1HNpAlGwQr006ljwMiM"",
      ""GSC最新!A:F""
    ),
    6,
    FALSE
  ),
  0
)
"),46081.0)</f>
        <v>46081</v>
      </c>
      <c r="AG61" s="54">
        <f>IFERROR(__xludf.DUMMYFUNCTION("IFERROR(
  VLOOKUP(
    A61,
    IMPORTRANGE(
      ""1SCYQd7_cobOYqT0r_F0IqD4tE4rYn5y8Eup4PJTH8es"",
      ""Snapshot!A:M""
    ),
    5,
    FALSE
  ),
  ""-""
)
"),9.0)</f>
        <v>9</v>
      </c>
      <c r="AH61" s="54">
        <f>IFERROR(__xludf.DUMMYFUNCTION("IFERROR(
  VLOOKUP(
    A61,
    IMPORTRANGE(
      ""1SCYQd7_cobOYqT0r_F0IqD4tE4rYn5y8Eup4PJTH8es"",
      ""Snapshot!A:M""
    ),
    6,
    FALSE
  ),
  0
)
"),10.0)</f>
        <v>10</v>
      </c>
      <c r="AI61" s="54">
        <f>IFERROR(__xludf.DUMMYFUNCTION("IFERROR(
  VLOOKUP(
    A61,
    IMPORTRANGE(
      ""1SCYQd7_cobOYqT0r_F0IqD4tE4rYn5y8Eup4PJTH8es"",
      ""Snapshot!A:M""
    ),
    7,
    FALSE
  ),
  0
)
"),4040.0)</f>
        <v>4040</v>
      </c>
      <c r="AJ61" s="54">
        <f>IFERROR(__xludf.DUMMYFUNCTION("IFERROR(
  VLOOKUP(
    A61,
    IMPORTRANGE(
      ""1SCYQd7_cobOYqT0r_F0IqD4tE4rYn5y8Eup4PJTH8es"",
      ""Snapshot!A:M""
    ),
    8,
    FALSE
  ),
  0
)
"),6.0)</f>
        <v>6</v>
      </c>
      <c r="AK61" s="54">
        <f>IFERROR(__xludf.DUMMYFUNCTION("IFERROR(
  VLOOKUP(
    A61,
    IMPORTRANGE(
      ""1SCYQd7_cobOYqT0r_F0IqD4tE4rYn5y8Eup4PJTH8es"",
      ""Snapshot!A:M""
    ),
    9,
    FALSE
  ),
  0
)
"),5.0)</f>
        <v>5</v>
      </c>
      <c r="AL61" s="54">
        <f>IFERROR(__xludf.DUMMYFUNCTION("IFERROR(
  VLOOKUP(
    A61,
    IMPORTRANGE(
      ""1SCYQd7_cobOYqT0r_F0IqD4tE4rYn5y8Eup4PJTH8es"",
      ""Snapshot!A:M""
    ),
    13,
    FALSE
  ),
  0
)
"),2.0)</f>
        <v>2</v>
      </c>
    </row>
    <row r="62">
      <c r="A62" s="56" t="s">
        <v>345</v>
      </c>
      <c r="B62" s="1" t="str">
        <f>IFERROR(__xludf.DUMMYFUNCTION("IFERROR(
  VLOOKUP(
    A62,
    IMPORTRANGE(
      ""1ZygntHC1J6IxzKbTidmOyf5nUyW4GCLurHCjexrLm_o"",
      ""HTMLキャッシュ!A:F""
    ),
    2,
    FALSE
  ),
  0
)
"),"SP")</f>
        <v>SP</v>
      </c>
      <c r="C62" s="1" t="str">
        <f>IFERROR(__xludf.DUMMYFUNCTION("IFERROR(
  VLOOKUP(
    A62,
    IMPORTRANGE(
      ""1ZygntHC1J6IxzKbTidmOyf5nUyW4GCLurHCjexrLm_o"",
      ""HTMLキャッシュ!A:F""
    ),
    5,
    FALSE
  ),
  0
)
"),"中3英語の個別指導講座｜定期・入試対応英文法読解強化塾")</f>
        <v>中3英語の個別指導講座｜定期・入試対応英文法読解強化塾</v>
      </c>
      <c r="D62" s="1" t="str">
        <f>IFERROR(__xludf.DUMMYFUNCTION("IFERROR(
  VLOOKUP(
    A62,
    IMPORTRANGE(
      ""1ZygntHC1J6IxzKbTidmOyf5nUyW4GCLurHCjexrLm_o        "",
      ""HTMLキャッシュ!A:F""
    ),
    6,
    FALSE
  ),
  0
)
"),"英文量・語彙増加で伸び悩む中3生へ。文法・読解・入試対応力を1対1個別指導で確実に定着。オンライン体験受付中")</f>
        <v>英文量・語彙増加で伸び悩む中3生へ。文法・読解・入試対応力を1対1個別指導で確実に定着。オンライン体験受付中</v>
      </c>
      <c r="E62" s="49">
        <f t="shared" ref="E62:F62" si="301">LEN(C62)</f>
        <v>27</v>
      </c>
      <c r="F62" s="49">
        <f t="shared" si="301"/>
        <v>54</v>
      </c>
      <c r="G62" s="32">
        <f>IFERROR(__xludf.DUMMYFUNCTION("IFERROR(
  VLOOKUP(
    A62,
    IMPORTRANGE(
      ""1ZygntHC1J6IxzKbTidmOyf5nUyW4GCLurHCjexrLm_o        "",
      ""HTMLキャッシュ!A:F""
    ),
    3,
    FALSE
  ),
  0
)
"),46081.670127314814)</f>
        <v>46081.67013</v>
      </c>
      <c r="H62" s="49">
        <f>IFERROR(__xludf.DUMMYFUNCTION("IFERROR(
  VLOOKUP(
    A62,
    IMPORTRANGE(
      ""1ZHMy3vVUd_0MrSduXTe1etBb1HNpAlGwQr006ljwMiM"",
      ""GSC最新!A:F""
    ),
    2,
    FALSE
  ),
  0
)
"),0.0)</f>
        <v>0</v>
      </c>
      <c r="I62" s="49">
        <f>IFERROR(__xludf.DUMMYFUNCTION("IFERROR(
  VLOOKUP(
    A62,
    IMPORTRANGE(
      ""1ZHMy3vVUd_0MrSduXTe1etBb1HNpAlGwQr006ljwMiM"",
      ""GSC最新!A:F""
    ),
    3,
    FALSE
  ),
  0
)
"),0.0)</f>
        <v>0</v>
      </c>
      <c r="J62" s="49">
        <f>IFERROR(__xludf.DUMMYFUNCTION("IFERROR(
  VLOOKUP(
    A62,
    IMPORTRANGE(
      ""1ZHMy3vVUd_0MrSduXTe1etBb1HNpAlGwQr006ljwMiM"",
      ""GSC最新!A:F""
    ),
    4,
    FALSE
  ),
  0
)
"),0.0)</f>
        <v>0</v>
      </c>
      <c r="K62" s="49">
        <f>IFERROR(__xludf.DUMMYFUNCTION("IFERROR(
  VLOOKUP(
    A62,
    IMPORTRANGE(
      ""1ZHMy3vVUd_0MrSduXTe1etBb1HNpAlGwQr006ljwMiM"",
      ""GSC最新!A:F""
    ),
    5,
    FALSE
  ),
  0
)
"),0.0)</f>
        <v>0</v>
      </c>
      <c r="L62" s="50" t="str">
        <f t="shared" ref="L62:M62" si="302">IFERROR(H62/J62,"-")</f>
        <v>-</v>
      </c>
      <c r="M62" s="50" t="str">
        <f t="shared" si="302"/>
        <v>-</v>
      </c>
      <c r="N62" s="6">
        <f>IFERROR(__xludf.DUMMYFUNCTION("IFERROR(
  VLOOKUP(
    A62,
    IMPORTRANGE(
      ""1ZHMy3vVUd_0MrSduXTe1etBb1HNpAlGwQr006ljwMiM"",
      ""GSC最新!A:R""
    ),
    7,
    FALSE
  ),
  0
)
"),0.0)</f>
        <v>0</v>
      </c>
      <c r="O62" s="6">
        <f>IFERROR(__xludf.DUMMYFUNCTION("IFERROR(
  VLOOKUP(
    A62,
    IMPORTRANGE(
      ""1ZHMy3vVUd_0MrSduXTe1etBb1HNpAlGwQr006ljwMiM"",
      ""GSC最新!A:R""
    ),
    10,
    FALSE
  ),
  0
)
"),0.0)</f>
        <v>0</v>
      </c>
      <c r="P62" s="6">
        <f>IFERROR(__xludf.DUMMYFUNCTION("IFERROR(
  VLOOKUP(
    A62,
    IMPORTRANGE(
      ""1ZHMy3vVUd_0MrSduXTe1etBb1HNpAlGwQr006ljwMiM"",
      ""GSC最新!A:R""
    ),
    13,
    FALSE
  ),
  0
)
"),0.0)</f>
        <v>0</v>
      </c>
      <c r="Q62" s="6">
        <f>IFERROR(__xludf.DUMMYFUNCTION("IFERROR(
  VLOOKUP(
    A62,
    IMPORTRANGE(
      ""1ZHMy3vVUd_0MrSduXTe1etBb1HNpAlGwQr006ljwMiM"",
      ""GSC最新!A:R""
    ),
    16,
    FALSE
  ),
  0
)
"),0.0)</f>
        <v>0</v>
      </c>
      <c r="R62" s="51" t="str">
        <f t="shared" ref="R62:S62" si="303">IFERROR(N62/P62,"-")</f>
        <v>-</v>
      </c>
      <c r="S62" s="51" t="str">
        <f t="shared" si="303"/>
        <v>-</v>
      </c>
      <c r="T62" s="9">
        <f>IFERROR(__xludf.DUMMYFUNCTION("IFERROR(
  VLOOKUP(
    A62,
    IMPORTRANGE(
      ""1ZHMy3vVUd_0MrSduXTe1etBb1HNpAlGwQr006ljwMiM"",
      ""GSC最新!A:R""
    ),
    8,
    FALSE
  ),
  0
)
"),0.0)</f>
        <v>0</v>
      </c>
      <c r="U62" s="9">
        <f>IFERROR(__xludf.DUMMYFUNCTION("IFERROR(
  VLOOKUP(
    A62,
    IMPORTRANGE(
      ""1ZHMy3vVUd_0MrSduXTe1etBb1HNpAlGwQr006ljwMiM"",
      ""GSC最新!A:R""
    ),
    11,
    FALSE
  ),
  0
)
"),0.0)</f>
        <v>0</v>
      </c>
      <c r="V62" s="9">
        <f>IFERROR(__xludf.DUMMYFUNCTION("IFERROR(
  VLOOKUP(
    A62,
    IMPORTRANGE(
      ""1ZHMy3vVUd_0MrSduXTe1etBb1HNpAlGwQr006ljwMiM"",
      ""GSC最新!A:R""
    ),
    14,
    FALSE
  ),
  0
)
"),0.0)</f>
        <v>0</v>
      </c>
      <c r="W62" s="9">
        <f>IFERROR(__xludf.DUMMYFUNCTION("IFERROR(
  VLOOKUP(
    A62,
    IMPORTRANGE(
      ""1ZHMy3vVUd_0MrSduXTe1etBb1HNpAlGwQr006ljwMiM"",
      ""GSC最新!A:R""
    ),
    17,
    FALSE
  ),
  0
)
"),0.0)</f>
        <v>0</v>
      </c>
      <c r="X62" s="9">
        <f t="shared" ref="X62:Y62" si="304">IFERROR(T62-V62,"-")</f>
        <v>0</v>
      </c>
      <c r="Y62" s="9">
        <f t="shared" si="304"/>
        <v>0</v>
      </c>
      <c r="Z62" s="52" t="str">
        <f>IFERROR(__xludf.DUMMYFUNCTION("IFERROR(
  VLOOKUP(
    A62,
    IMPORTRANGE(
      ""1ZHMy3vVUd_0MrSduXTe1etBb1HNpAlGwQr006ljwMiM"",
      ""GSC最新!A:R""
    ),
    9,
    FALSE
  ),
  0
)
"),"")</f>
        <v/>
      </c>
      <c r="AA62" s="52" t="str">
        <f>IFERROR(__xludf.DUMMYFUNCTION("IFERROR(
  VLOOKUP(
    A62,
    IMPORTRANGE(
      ""1ZHMy3vVUd_0MrSduXTe1etBb1HNpAlGwQr006ljwMiM"",
      ""GSC最新!A:R""
    ),
    12,
    FALSE
  ),
  0
)
"),"")</f>
        <v/>
      </c>
      <c r="AB62" s="52" t="str">
        <f>IFERROR(__xludf.DUMMYFUNCTION("IFERROR(
  VLOOKUP(
    A62,
    IMPORTRANGE(
      ""1ZHMy3vVUd_0MrSduXTe1etBb1HNpAlGwQr006ljwMiM"",
      ""GSC最新!A:R""
    ),
    15,
    FALSE
  ),
  0
)
"),"")</f>
        <v/>
      </c>
      <c r="AC62" s="52" t="str">
        <f>IFERROR(__xludf.DUMMYFUNCTION("IFERROR(
  VLOOKUP(
    A62,
    IMPORTRANGE(
      ""1ZHMy3vVUd_0MrSduXTe1etBb1HNpAlGwQr006ljwMiM"",
      ""GSC最新!A:R""
    ),
    18,
    FALSE
  ),
  0
)
"),"")</f>
        <v/>
      </c>
      <c r="AD62" s="52">
        <f t="shared" ref="AD62:AE62" si="305">Z62-AB62</f>
        <v>0</v>
      </c>
      <c r="AE62" s="52">
        <f t="shared" si="305"/>
        <v>0</v>
      </c>
      <c r="AF62" s="53">
        <f>IFERROR(__xludf.DUMMYFUNCTION("IFERROR(
  VLOOKUP(
    A62,
    IMPORTRANGE(
      ""1ZHMy3vVUd_0MrSduXTe1etBb1HNpAlGwQr006ljwMiM"",
      ""GSC最新!A:F""
    ),
    6,
    FALSE
  ),
  0
)
"),46081.0)</f>
        <v>46081</v>
      </c>
      <c r="AG62" s="54">
        <f>IFERROR(__xludf.DUMMYFUNCTION("IFERROR(
  VLOOKUP(
    A62,
    IMPORTRANGE(
      ""1SCYQd7_cobOYqT0r_F0IqD4tE4rYn5y8Eup4PJTH8es"",
      ""Snapshot!A:M""
    ),
    5,
    FALSE
  ),
  ""-""
)
"),11.0)</f>
        <v>11</v>
      </c>
      <c r="AH62" s="54">
        <f>IFERROR(__xludf.DUMMYFUNCTION("IFERROR(
  VLOOKUP(
    A62,
    IMPORTRANGE(
      ""1SCYQd7_cobOYqT0r_F0IqD4tE4rYn5y8Eup4PJTH8es"",
      ""Snapshot!A:M""
    ),
    6,
    FALSE
  ),
  0
)
"),7.0)</f>
        <v>7</v>
      </c>
      <c r="AI62" s="54">
        <f>IFERROR(__xludf.DUMMYFUNCTION("IFERROR(
  VLOOKUP(
    A62,
    IMPORTRANGE(
      ""1SCYQd7_cobOYqT0r_F0IqD4tE4rYn5y8Eup4PJTH8es"",
      ""Snapshot!A:M""
    ),
    7,
    FALSE
  ),
  0
)
"),4245.0)</f>
        <v>4245</v>
      </c>
      <c r="AJ62" s="54">
        <f>IFERROR(__xludf.DUMMYFUNCTION("IFERROR(
  VLOOKUP(
    A62,
    IMPORTRANGE(
      ""1SCYQd7_cobOYqT0r_F0IqD4tE4rYn5y8Eup4PJTH8es"",
      ""Snapshot!A:M""
    ),
    8,
    FALSE
  ),
  0
)
"),8.0)</f>
        <v>8</v>
      </c>
      <c r="AK62" s="54">
        <f>IFERROR(__xludf.DUMMYFUNCTION("IFERROR(
  VLOOKUP(
    A62,
    IMPORTRANGE(
      ""1SCYQd7_cobOYqT0r_F0IqD4tE4rYn5y8Eup4PJTH8es"",
      ""Snapshot!A:M""
    ),
    9,
    FALSE
  ),
  0
)
"),7.0)</f>
        <v>7</v>
      </c>
      <c r="AL62" s="54">
        <f>IFERROR(__xludf.DUMMYFUNCTION("IFERROR(
  VLOOKUP(
    A62,
    IMPORTRANGE(
      ""1SCYQd7_cobOYqT0r_F0IqD4tE4rYn5y8Eup4PJTH8es"",
      ""Snapshot!A:M""
    ),
    13,
    FALSE
  ),
  0
)
"),2.0)</f>
        <v>2</v>
      </c>
    </row>
    <row r="63">
      <c r="A63" s="56" t="s">
        <v>346</v>
      </c>
      <c r="B63" s="1" t="str">
        <f>IFERROR(__xludf.DUMMYFUNCTION("IFERROR(
  VLOOKUP(
    A63,
    IMPORTRANGE(
      ""1ZygntHC1J6IxzKbTidmOyf5nUyW4GCLurHCjexrLm_o"",
      ""HTMLキャッシュ!A:F""
    ),
    2,
    FALSE
  ),
  0
)
"),"SP")</f>
        <v>SP</v>
      </c>
      <c r="C63" s="1" t="str">
        <f>IFERROR(__xludf.DUMMYFUNCTION("IFERROR(
  VLOOKUP(
    A63,
    IMPORTRANGE(
      ""1ZygntHC1J6IxzKbTidmOyf5nUyW4GCLurHCjexrLm_o"",
      ""HTMLキャッシュ!A:F""
    ),
    5,
    FALSE
  ),
  0
)
"),"中高一貫受験数学の個別指導講座｜模試対応オンライン塾")</f>
        <v>中高一貫受験数学の個別指導講座｜模試対応オンライン塾</v>
      </c>
      <c r="D63" s="1" t="str">
        <f>IFERROR(__xludf.DUMMYFUNCTION("IFERROR(
  VLOOKUP(
    A63,
    IMPORTRANGE(
      ""1ZygntHC1J6IxzKbTidmOyf5nUyW4GCLurHCjexrLm_o        "",
      ""HTMLキャッシュ!A:F""
    ),
    6,
    FALSE
  ),
  0
)
"),"模試や定期で点が安定しない中高一貫生へ。答案分析と個別演習で弱点を整理し、得点力を高めます。体験受付中")</f>
        <v>模試や定期で点が安定しない中高一貫生へ。答案分析と個別演習で弱点を整理し、得点力を高めます。体験受付中</v>
      </c>
      <c r="E63" s="49">
        <f t="shared" ref="E63:F63" si="306">LEN(C63)</f>
        <v>26</v>
      </c>
      <c r="F63" s="49">
        <f t="shared" si="306"/>
        <v>51</v>
      </c>
      <c r="G63" s="32">
        <f>IFERROR(__xludf.DUMMYFUNCTION("IFERROR(
  VLOOKUP(
    A63,
    IMPORTRANGE(
      ""1ZygntHC1J6IxzKbTidmOyf5nUyW4GCLurHCjexrLm_o        "",
      ""HTMLキャッシュ!A:F""
    ),
    3,
    FALSE
  ),
  0
)
"),46083.69395833334)</f>
        <v>46083.69396</v>
      </c>
      <c r="H63" s="49">
        <f>IFERROR(__xludf.DUMMYFUNCTION("IFERROR(
  VLOOKUP(
    A63,
    IMPORTRANGE(
      ""1ZHMy3vVUd_0MrSduXTe1etBb1HNpAlGwQr006ljwMiM"",
      ""GSC最新!A:F""
    ),
    2,
    FALSE
  ),
  0
)
"),0.0)</f>
        <v>0</v>
      </c>
      <c r="I63" s="49">
        <f>IFERROR(__xludf.DUMMYFUNCTION("IFERROR(
  VLOOKUP(
    A63,
    IMPORTRANGE(
      ""1ZHMy3vVUd_0MrSduXTe1etBb1HNpAlGwQr006ljwMiM"",
      ""GSC最新!A:F""
    ),
    3,
    FALSE
  ),
  0
)
"),0.0)</f>
        <v>0</v>
      </c>
      <c r="J63" s="49">
        <f>IFERROR(__xludf.DUMMYFUNCTION("IFERROR(
  VLOOKUP(
    A63,
    IMPORTRANGE(
      ""1ZHMy3vVUd_0MrSduXTe1etBb1HNpAlGwQr006ljwMiM"",
      ""GSC最新!A:F""
    ),
    4,
    FALSE
  ),
  0
)
"),0.0)</f>
        <v>0</v>
      </c>
      <c r="K63" s="49">
        <f>IFERROR(__xludf.DUMMYFUNCTION("IFERROR(
  VLOOKUP(
    A63,
    IMPORTRANGE(
      ""1ZHMy3vVUd_0MrSduXTe1etBb1HNpAlGwQr006ljwMiM"",
      ""GSC最新!A:F""
    ),
    5,
    FALSE
  ),
  0
)
"),0.0)</f>
        <v>0</v>
      </c>
      <c r="L63" s="50" t="str">
        <f t="shared" ref="L63:M63" si="307">IFERROR(H63/J63,"-")</f>
        <v>-</v>
      </c>
      <c r="M63" s="50" t="str">
        <f t="shared" si="307"/>
        <v>-</v>
      </c>
      <c r="N63" s="6">
        <f>IFERROR(__xludf.DUMMYFUNCTION("IFERROR(
  VLOOKUP(
    A63,
    IMPORTRANGE(
      ""1ZHMy3vVUd_0MrSduXTe1etBb1HNpAlGwQr006ljwMiM"",
      ""GSC最新!A:R""
    ),
    7,
    FALSE
  ),
  0
)
"),0.0)</f>
        <v>0</v>
      </c>
      <c r="O63" s="6">
        <f>IFERROR(__xludf.DUMMYFUNCTION("IFERROR(
  VLOOKUP(
    A63,
    IMPORTRANGE(
      ""1ZHMy3vVUd_0MrSduXTe1etBb1HNpAlGwQr006ljwMiM"",
      ""GSC最新!A:R""
    ),
    10,
    FALSE
  ),
  0
)
"),0.0)</f>
        <v>0</v>
      </c>
      <c r="P63" s="6">
        <f>IFERROR(__xludf.DUMMYFUNCTION("IFERROR(
  VLOOKUP(
    A63,
    IMPORTRANGE(
      ""1ZHMy3vVUd_0MrSduXTe1etBb1HNpAlGwQr006ljwMiM"",
      ""GSC最新!A:R""
    ),
    13,
    FALSE
  ),
  0
)
"),0.0)</f>
        <v>0</v>
      </c>
      <c r="Q63" s="6">
        <f>IFERROR(__xludf.DUMMYFUNCTION("IFERROR(
  VLOOKUP(
    A63,
    IMPORTRANGE(
      ""1ZHMy3vVUd_0MrSduXTe1etBb1HNpAlGwQr006ljwMiM"",
      ""GSC最新!A:R""
    ),
    16,
    FALSE
  ),
  0
)
"),1.0)</f>
        <v>1</v>
      </c>
      <c r="R63" s="51" t="str">
        <f t="shared" ref="R63:S63" si="308">IFERROR(N63/P63,"-")</f>
        <v>-</v>
      </c>
      <c r="S63" s="51">
        <f t="shared" si="308"/>
        <v>0</v>
      </c>
      <c r="T63" s="9">
        <f>IFERROR(__xludf.DUMMYFUNCTION("IFERROR(
  VLOOKUP(
    A63,
    IMPORTRANGE(
      ""1ZHMy3vVUd_0MrSduXTe1etBb1HNpAlGwQr006ljwMiM"",
      ""GSC最新!A:R""
    ),
    8,
    FALSE
  ),
  0
)
"),0.0)</f>
        <v>0</v>
      </c>
      <c r="U63" s="9">
        <f>IFERROR(__xludf.DUMMYFUNCTION("IFERROR(
  VLOOKUP(
    A63,
    IMPORTRANGE(
      ""1ZHMy3vVUd_0MrSduXTe1etBb1HNpAlGwQr006ljwMiM"",
      ""GSC最新!A:R""
    ),
    11,
    FALSE
  ),
  0
)
"),0.0)</f>
        <v>0</v>
      </c>
      <c r="V63" s="9">
        <f>IFERROR(__xludf.DUMMYFUNCTION("IFERROR(
  VLOOKUP(
    A63,
    IMPORTRANGE(
      ""1ZHMy3vVUd_0MrSduXTe1etBb1HNpAlGwQr006ljwMiM"",
      ""GSC最新!A:R""
    ),
    14,
    FALSE
  ),
  0
)
"),0.0)</f>
        <v>0</v>
      </c>
      <c r="W63" s="9">
        <f>IFERROR(__xludf.DUMMYFUNCTION("IFERROR(
  VLOOKUP(
    A63,
    IMPORTRANGE(
      ""1ZHMy3vVUd_0MrSduXTe1etBb1HNpAlGwQr006ljwMiM"",
      ""GSC最新!A:R""
    ),
    17,
    FALSE
  ),
  0
)
"),0.0)</f>
        <v>0</v>
      </c>
      <c r="X63" s="9">
        <f t="shared" ref="X63:Y63" si="309">IFERROR(T63-V63,"-")</f>
        <v>0</v>
      </c>
      <c r="Y63" s="9">
        <f t="shared" si="309"/>
        <v>0</v>
      </c>
      <c r="Z63" s="52" t="str">
        <f>IFERROR(__xludf.DUMMYFUNCTION("IFERROR(
  VLOOKUP(
    A63,
    IMPORTRANGE(
      ""1ZHMy3vVUd_0MrSduXTe1etBb1HNpAlGwQr006ljwMiM"",
      ""GSC最新!A:R""
    ),
    9,
    FALSE
  ),
  0
)
"),"")</f>
        <v/>
      </c>
      <c r="AA63" s="52" t="str">
        <f>IFERROR(__xludf.DUMMYFUNCTION("IFERROR(
  VLOOKUP(
    A63,
    IMPORTRANGE(
      ""1ZHMy3vVUd_0MrSduXTe1etBb1HNpAlGwQr006ljwMiM"",
      ""GSC最新!A:R""
    ),
    12,
    FALSE
  ),
  0
)
"),"")</f>
        <v/>
      </c>
      <c r="AB63" s="52" t="str">
        <f>IFERROR(__xludf.DUMMYFUNCTION("IFERROR(
  VLOOKUP(
    A63,
    IMPORTRANGE(
      ""1ZHMy3vVUd_0MrSduXTe1etBb1HNpAlGwQr006ljwMiM"",
      ""GSC最新!A:R""
    ),
    15,
    FALSE
  ),
  0
)
"),"")</f>
        <v/>
      </c>
      <c r="AC63" s="52">
        <f>IFERROR(__xludf.DUMMYFUNCTION("IFERROR(
  VLOOKUP(
    A63,
    IMPORTRANGE(
      ""1ZHMy3vVUd_0MrSduXTe1etBb1HNpAlGwQr006ljwMiM"",
      ""GSC最新!A:R""
    ),
    18,
    FALSE
  ),
  0
)
"),19.0)</f>
        <v>19</v>
      </c>
      <c r="AD63" s="52">
        <f t="shared" ref="AD63:AE63" si="310">Z63-AB63</f>
        <v>0</v>
      </c>
      <c r="AE63" s="52">
        <f t="shared" si="310"/>
        <v>-19</v>
      </c>
      <c r="AF63" s="53">
        <f>IFERROR(__xludf.DUMMYFUNCTION("IFERROR(
  VLOOKUP(
    A63,
    IMPORTRANGE(
      ""1ZHMy3vVUd_0MrSduXTe1etBb1HNpAlGwQr006ljwMiM"",
      ""GSC最新!A:F""
    ),
    6,
    FALSE
  ),
  0
)
"),46081.0)</f>
        <v>46081</v>
      </c>
      <c r="AG63" s="54">
        <f>IFERROR(__xludf.DUMMYFUNCTION("IFERROR(
  VLOOKUP(
    A63,
    IMPORTRANGE(
      ""1SCYQd7_cobOYqT0r_F0IqD4tE4rYn5y8Eup4PJTH8es"",
      ""Snapshot!A:M""
    ),
    5,
    FALSE
  ),
  ""-""
)
"),9.0)</f>
        <v>9</v>
      </c>
      <c r="AH63" s="54">
        <f>IFERROR(__xludf.DUMMYFUNCTION("IFERROR(
  VLOOKUP(
    A63,
    IMPORTRANGE(
      ""1SCYQd7_cobOYqT0r_F0IqD4tE4rYn5y8Eup4PJTH8es"",
      ""Snapshot!A:M""
    ),
    6,
    FALSE
  ),
  0
)
"),11.0)</f>
        <v>11</v>
      </c>
      <c r="AI63" s="54">
        <f>IFERROR(__xludf.DUMMYFUNCTION("IFERROR(
  VLOOKUP(
    A63,
    IMPORTRANGE(
      ""1SCYQd7_cobOYqT0r_F0IqD4tE4rYn5y8Eup4PJTH8es"",
      ""Snapshot!A:M""
    ),
    7,
    FALSE
  ),
  0
)
"),4206.0)</f>
        <v>4206</v>
      </c>
      <c r="AJ63" s="54">
        <f>IFERROR(__xludf.DUMMYFUNCTION("IFERROR(
  VLOOKUP(
    A63,
    IMPORTRANGE(
      ""1SCYQd7_cobOYqT0r_F0IqD4tE4rYn5y8Eup4PJTH8es"",
      ""Snapshot!A:M""
    ),
    8,
    FALSE
  ),
  0
)
"),8.0)</f>
        <v>8</v>
      </c>
      <c r="AK63" s="54">
        <f>IFERROR(__xludf.DUMMYFUNCTION("IFERROR(
  VLOOKUP(
    A63,
    IMPORTRANGE(
      ""1SCYQd7_cobOYqT0r_F0IqD4tE4rYn5y8Eup4PJTH8es"",
      ""Snapshot!A:M""
    ),
    9,
    FALSE
  ),
  0
)
"),4.0)</f>
        <v>4</v>
      </c>
      <c r="AL63" s="54">
        <f>IFERROR(__xludf.DUMMYFUNCTION("IFERROR(
  VLOOKUP(
    A63,
    IMPORTRANGE(
      ""1SCYQd7_cobOYqT0r_F0IqD4tE4rYn5y8Eup4PJTH8es"",
      ""Snapshot!A:M""
    ),
    13,
    FALSE
  ),
  0
)
"),2.0)</f>
        <v>2</v>
      </c>
    </row>
    <row r="64">
      <c r="A64" s="56" t="s">
        <v>347</v>
      </c>
      <c r="B64" s="1" t="str">
        <f>IFERROR(__xludf.DUMMYFUNCTION("IFERROR(
  VLOOKUP(
    A64,
    IMPORTRANGE(
      ""1ZygntHC1J6IxzKbTidmOyf5nUyW4GCLurHCjexrLm_o"",
      ""HTMLキャッシュ!A:F""
    ),
    2,
    FALSE
  ),
  0
)
"),"SP")</f>
        <v>SP</v>
      </c>
      <c r="C64" s="1" t="str">
        <f>IFERROR(__xludf.DUMMYFUNCTION("IFERROR(
  VLOOKUP(
    A64,
    IMPORTRANGE(
      ""1ZygntHC1J6IxzKbTidmOyf5nUyW4GCLurHCjexrLm_o"",
      ""HTMLキャッシュ!A:F""
    ),
    5,
    FALSE
  ),
  0
)
"),"夏井算数塾の個別指導講座一覧｜学年別・目的別対応オンライン塾")</f>
        <v>夏井算数塾の個別指導講座一覧｜学年別・目的別対応オンライン塾</v>
      </c>
      <c r="D64" s="1" t="str">
        <f>IFERROR(__xludf.DUMMYFUNCTION("IFERROR(
  VLOOKUP(
    A64,
    IMPORTRANGE(
      ""1ZygntHC1J6IxzKbTidmOyf5nUyW4GCLurHCjexrLm_o        "",
      ""HTMLキャッシュ!A:F""
    ),
    6,
    FALSE
  ),
  0
)
"),"算数が伸び悩む小中生へ。1対1個別・オンライン・短期講座を一覧で比較し最適な学習法を選べる。体験受付中今すぐ相談可")</f>
        <v>算数が伸び悩む小中生へ。1対1個別・オンライン・短期講座を一覧で比較し最適な学習法を選べる。体験受付中今すぐ相談可</v>
      </c>
      <c r="E64" s="49">
        <f t="shared" ref="E64:F64" si="311">LEN(C64)</f>
        <v>30</v>
      </c>
      <c r="F64" s="49">
        <f t="shared" si="311"/>
        <v>57</v>
      </c>
      <c r="G64" s="32">
        <f>IFERROR(__xludf.DUMMYFUNCTION("IFERROR(
  VLOOKUP(
    A64,
    IMPORTRANGE(
      ""1ZygntHC1J6IxzKbTidmOyf5nUyW4GCLurHCjexrLm_o        "",
      ""HTMLキャッシュ!A:F""
    ),
    3,
    FALSE
  ),
  0
)
"),46083.72033564815)</f>
        <v>46083.72034</v>
      </c>
      <c r="H64" s="49">
        <f>IFERROR(__xludf.DUMMYFUNCTION("IFERROR(
  VLOOKUP(
    A64,
    IMPORTRANGE(
      ""1ZHMy3vVUd_0MrSduXTe1etBb1HNpAlGwQr006ljwMiM"",
      ""GSC最新!A:F""
    ),
    2,
    FALSE
  ),
  0
)
"),0.0)</f>
        <v>0</v>
      </c>
      <c r="I64" s="49">
        <f>IFERROR(__xludf.DUMMYFUNCTION("IFERROR(
  VLOOKUP(
    A64,
    IMPORTRANGE(
      ""1ZHMy3vVUd_0MrSduXTe1etBb1HNpAlGwQr006ljwMiM"",
      ""GSC最新!A:F""
    ),
    3,
    FALSE
  ),
  0
)
"),0.0)</f>
        <v>0</v>
      </c>
      <c r="J64" s="49">
        <f>IFERROR(__xludf.DUMMYFUNCTION("IFERROR(
  VLOOKUP(
    A64,
    IMPORTRANGE(
      ""1ZHMy3vVUd_0MrSduXTe1etBb1HNpAlGwQr006ljwMiM"",
      ""GSC最新!A:F""
    ),
    4,
    FALSE
  ),
  0
)
"),0.0)</f>
        <v>0</v>
      </c>
      <c r="K64" s="49">
        <f>IFERROR(__xludf.DUMMYFUNCTION("IFERROR(
  VLOOKUP(
    A64,
    IMPORTRANGE(
      ""1ZHMy3vVUd_0MrSduXTe1etBb1HNpAlGwQr006ljwMiM"",
      ""GSC最新!A:F""
    ),
    5,
    FALSE
  ),
  0
)
"),0.0)</f>
        <v>0</v>
      </c>
      <c r="L64" s="50" t="str">
        <f t="shared" ref="L64:M64" si="312">IFERROR(H64/J64,"-")</f>
        <v>-</v>
      </c>
      <c r="M64" s="50" t="str">
        <f t="shared" si="312"/>
        <v>-</v>
      </c>
      <c r="N64" s="6">
        <f>IFERROR(__xludf.DUMMYFUNCTION("IFERROR(
  VLOOKUP(
    A64,
    IMPORTRANGE(
      ""1ZHMy3vVUd_0MrSduXTe1etBb1HNpAlGwQr006ljwMiM"",
      ""GSC最新!A:R""
    ),
    7,
    FALSE
  ),
  0
)
"),0.0)</f>
        <v>0</v>
      </c>
      <c r="O64" s="6">
        <f>IFERROR(__xludf.DUMMYFUNCTION("IFERROR(
  VLOOKUP(
    A64,
    IMPORTRANGE(
      ""1ZHMy3vVUd_0MrSduXTe1etBb1HNpAlGwQr006ljwMiM"",
      ""GSC最新!A:R""
    ),
    10,
    FALSE
  ),
  0
)
"),0.0)</f>
        <v>0</v>
      </c>
      <c r="P64" s="6">
        <f>IFERROR(__xludf.DUMMYFUNCTION("IFERROR(
  VLOOKUP(
    A64,
    IMPORTRANGE(
      ""1ZHMy3vVUd_0MrSduXTe1etBb1HNpAlGwQr006ljwMiM"",
      ""GSC最新!A:R""
    ),
    13,
    FALSE
  ),
  0
)
"),0.0)</f>
        <v>0</v>
      </c>
      <c r="Q64" s="6">
        <f>IFERROR(__xludf.DUMMYFUNCTION("IFERROR(
  VLOOKUP(
    A64,
    IMPORTRANGE(
      ""1ZHMy3vVUd_0MrSduXTe1etBb1HNpAlGwQr006ljwMiM"",
      ""GSC最新!A:R""
    ),
    16,
    FALSE
  ),
  0
)
"),0.0)</f>
        <v>0</v>
      </c>
      <c r="R64" s="51" t="str">
        <f t="shared" ref="R64:S64" si="313">IFERROR(N64/P64,"-")</f>
        <v>-</v>
      </c>
      <c r="S64" s="51" t="str">
        <f t="shared" si="313"/>
        <v>-</v>
      </c>
      <c r="T64" s="9">
        <f>IFERROR(__xludf.DUMMYFUNCTION("IFERROR(
  VLOOKUP(
    A64,
    IMPORTRANGE(
      ""1ZHMy3vVUd_0MrSduXTe1etBb1HNpAlGwQr006ljwMiM"",
      ""GSC最新!A:R""
    ),
    8,
    FALSE
  ),
  0
)
"),0.0)</f>
        <v>0</v>
      </c>
      <c r="U64" s="9">
        <f>IFERROR(__xludf.DUMMYFUNCTION("IFERROR(
  VLOOKUP(
    A64,
    IMPORTRANGE(
      ""1ZHMy3vVUd_0MrSduXTe1etBb1HNpAlGwQr006ljwMiM"",
      ""GSC最新!A:R""
    ),
    11,
    FALSE
  ),
  0
)
"),0.0)</f>
        <v>0</v>
      </c>
      <c r="V64" s="9">
        <f>IFERROR(__xludf.DUMMYFUNCTION("IFERROR(
  VLOOKUP(
    A64,
    IMPORTRANGE(
      ""1ZHMy3vVUd_0MrSduXTe1etBb1HNpAlGwQr006ljwMiM"",
      ""GSC最新!A:R""
    ),
    14,
    FALSE
  ),
  0
)
"),0.0)</f>
        <v>0</v>
      </c>
      <c r="W64" s="9">
        <f>IFERROR(__xludf.DUMMYFUNCTION("IFERROR(
  VLOOKUP(
    A64,
    IMPORTRANGE(
      ""1ZHMy3vVUd_0MrSduXTe1etBb1HNpAlGwQr006ljwMiM"",
      ""GSC最新!A:R""
    ),
    17,
    FALSE
  ),
  0
)
"),0.0)</f>
        <v>0</v>
      </c>
      <c r="X64" s="9">
        <f t="shared" ref="X64:Y64" si="314">IFERROR(T64-V64,"-")</f>
        <v>0</v>
      </c>
      <c r="Y64" s="9">
        <f t="shared" si="314"/>
        <v>0</v>
      </c>
      <c r="Z64" s="52" t="str">
        <f>IFERROR(__xludf.DUMMYFUNCTION("IFERROR(
  VLOOKUP(
    A64,
    IMPORTRANGE(
      ""1ZHMy3vVUd_0MrSduXTe1etBb1HNpAlGwQr006ljwMiM"",
      ""GSC最新!A:R""
    ),
    9,
    FALSE
  ),
  0
)
"),"")</f>
        <v/>
      </c>
      <c r="AA64" s="52" t="str">
        <f>IFERROR(__xludf.DUMMYFUNCTION("IFERROR(
  VLOOKUP(
    A64,
    IMPORTRANGE(
      ""1ZHMy3vVUd_0MrSduXTe1etBb1HNpAlGwQr006ljwMiM"",
      ""GSC最新!A:R""
    ),
    12,
    FALSE
  ),
  0
)
"),"")</f>
        <v/>
      </c>
      <c r="AB64" s="52" t="str">
        <f>IFERROR(__xludf.DUMMYFUNCTION("IFERROR(
  VLOOKUP(
    A64,
    IMPORTRANGE(
      ""1ZHMy3vVUd_0MrSduXTe1etBb1HNpAlGwQr006ljwMiM"",
      ""GSC最新!A:R""
    ),
    15,
    FALSE
  ),
  0
)
"),"")</f>
        <v/>
      </c>
      <c r="AC64" s="52" t="str">
        <f>IFERROR(__xludf.DUMMYFUNCTION("IFERROR(
  VLOOKUP(
    A64,
    IMPORTRANGE(
      ""1ZHMy3vVUd_0MrSduXTe1etBb1HNpAlGwQr006ljwMiM"",
      ""GSC最新!A:R""
    ),
    18,
    FALSE
  ),
  0
)
"),"")</f>
        <v/>
      </c>
      <c r="AD64" s="52">
        <f t="shared" ref="AD64:AE64" si="315">Z64-AB64</f>
        <v>0</v>
      </c>
      <c r="AE64" s="52">
        <f t="shared" si="315"/>
        <v>0</v>
      </c>
      <c r="AF64" s="53">
        <f>IFERROR(__xludf.DUMMYFUNCTION("IFERROR(
  VLOOKUP(
    A64,
    IMPORTRANGE(
      ""1ZHMy3vVUd_0MrSduXTe1etBb1HNpAlGwQr006ljwMiM"",
      ""GSC最新!A:F""
    ),
    6,
    FALSE
  ),
  0
)
"),46081.0)</f>
        <v>46081</v>
      </c>
      <c r="AG64" s="54">
        <f>IFERROR(__xludf.DUMMYFUNCTION("IFERROR(
  VLOOKUP(
    A64,
    IMPORTRANGE(
      ""1SCYQd7_cobOYqT0r_F0IqD4tE4rYn5y8Eup4PJTH8es"",
      ""Snapshot!A:M""
    ),
    5,
    FALSE
  ),
  ""-""
)
"),6.0)</f>
        <v>6</v>
      </c>
      <c r="AH64" s="54">
        <f>IFERROR(__xludf.DUMMYFUNCTION("IFERROR(
  VLOOKUP(
    A64,
    IMPORTRANGE(
      ""1SCYQd7_cobOYqT0r_F0IqD4tE4rYn5y8Eup4PJTH8es"",
      ""Snapshot!A:M""
    ),
    6,
    FALSE
  ),
  0
)
"),1.0)</f>
        <v>1</v>
      </c>
      <c r="AI64" s="54">
        <f>IFERROR(__xludf.DUMMYFUNCTION("IFERROR(
  VLOOKUP(
    A64,
    IMPORTRANGE(
      ""1SCYQd7_cobOYqT0r_F0IqD4tE4rYn5y8Eup4PJTH8es"",
      ""Snapshot!A:M""
    ),
    7,
    FALSE
  ),
  0
)
"),1647.0)</f>
        <v>1647</v>
      </c>
      <c r="AJ64" s="54">
        <f>IFERROR(__xludf.DUMMYFUNCTION("IFERROR(
  VLOOKUP(
    A64,
    IMPORTRANGE(
      ""1SCYQd7_cobOYqT0r_F0IqD4tE4rYn5y8Eup4PJTH8es"",
      ""Snapshot!A:M""
    ),
    8,
    FALSE
  ),
  0
)
"),6.0)</f>
        <v>6</v>
      </c>
      <c r="AK64" s="54">
        <f>IFERROR(__xludf.DUMMYFUNCTION("IFERROR(
  VLOOKUP(
    A64,
    IMPORTRANGE(
      ""1SCYQd7_cobOYqT0r_F0IqD4tE4rYn5y8Eup4PJTH8es"",
      ""Snapshot!A:M""
    ),
    9,
    FALSE
  ),
  0
)
"),3.0)</f>
        <v>3</v>
      </c>
      <c r="AL64" s="54">
        <f>IFERROR(__xludf.DUMMYFUNCTION("IFERROR(
  VLOOKUP(
    A64,
    IMPORTRANGE(
      ""1SCYQd7_cobOYqT0r_F0IqD4tE4rYn5y8Eup4PJTH8es"",
      ""Snapshot!A:M""
    ),
    13,
    FALSE
  ),
  0
)
"),1.0)</f>
        <v>1</v>
      </c>
    </row>
  </sheetData>
  <autoFilter ref="$A$1:$AL$64">
    <sortState ref="A1:AL64">
      <sortCondition descending="1" ref="O1:O64"/>
      <sortCondition descending="1" ref="I1:I64"/>
      <sortCondition descending="1" ref="N1:N64"/>
      <sortCondition descending="1" ref="H1:H64"/>
      <sortCondition descending="1" ref="K1:K64"/>
      <sortCondition ref="A1:A64"/>
      <sortCondition ref="B1:B64"/>
    </sortState>
  </autoFilter>
  <conditionalFormatting sqref="L1:M64 R1:S64">
    <cfRule type="colorScale" priority="1">
      <colorScale>
        <cfvo type="formula" val="0"/>
        <cfvo type="formula" val="1"/>
        <cfvo type="formula" val="2"/>
        <color rgb="FFE67C73"/>
        <color rgb="FFFFFFFF"/>
        <color rgb="FF57BB8A"/>
      </colorScale>
    </cfRule>
  </conditionalFormatting>
  <conditionalFormatting sqref="AI1:AI64">
    <cfRule type="colorScale" priority="2">
      <colorScale>
        <cfvo type="min"/>
        <cfvo type="formula" val="3000"/>
        <cfvo type="formula" val="6000"/>
        <color rgb="FFE67C73"/>
        <color rgb="FFFFFFFF"/>
        <color rgb="FF57BB8A"/>
      </colorScale>
    </cfRule>
  </conditionalFormatting>
  <conditionalFormatting sqref="I1:I64 K1:K64">
    <cfRule type="colorScale" priority="3">
      <colorScale>
        <cfvo type="min"/>
        <cfvo type="formula" val="10"/>
        <cfvo type="max"/>
        <color rgb="FFE67C73"/>
        <color rgb="FFFFFFFF"/>
        <color rgb="FF57BB8A"/>
      </colorScale>
    </cfRule>
  </conditionalFormatting>
  <conditionalFormatting sqref="E1:E64">
    <cfRule type="colorScale" priority="4">
      <colorScale>
        <cfvo type="min"/>
        <cfvo type="percentile" val="50"/>
        <cfvo type="max"/>
        <color rgb="FFE67C73"/>
        <color rgb="FFFFFFFF"/>
        <color rgb="FF57BB8A"/>
      </colorScale>
    </cfRule>
  </conditionalFormatting>
  <conditionalFormatting sqref="F1:F64">
    <cfRule type="colorScale" priority="5">
      <colorScale>
        <cfvo type="min"/>
        <cfvo type="percentile" val="50"/>
        <cfvo type="max"/>
        <color rgb="FFE67C73"/>
        <color rgb="FFFFFFFF"/>
        <color rgb="FF57BB8A"/>
      </colorScale>
    </cfRule>
  </conditionalFormatting>
  <conditionalFormatting sqref="G1:G64">
    <cfRule type="colorScale" priority="6">
      <colorScale>
        <cfvo type="formula" val="45500"/>
        <cfvo type="formula" val="45986"/>
        <cfvo type="max"/>
        <color rgb="FFE67C73"/>
        <color rgb="FFFFFFFF"/>
        <color rgb="FF57BB8A"/>
      </colorScale>
    </cfRule>
  </conditionalFormatting>
  <conditionalFormatting sqref="X1:Y64 AD1:AE1">
    <cfRule type="colorScale" priority="7">
      <colorScale>
        <cfvo type="formula" val="-0.1"/>
        <cfvo type="formula" val="0"/>
        <cfvo type="formula" val="0.1"/>
        <color rgb="FFE67C73"/>
        <color rgb="FFFFFFFF"/>
        <color rgb="FF57BB8A"/>
      </colorScale>
    </cfRule>
  </conditionalFormatting>
  <conditionalFormatting sqref="O1:O64 Q1:Q64">
    <cfRule type="colorScale" priority="8">
      <colorScale>
        <cfvo type="min"/>
        <cfvo type="percentile" val="80"/>
        <cfvo type="max"/>
        <color rgb="FFE67C73"/>
        <color rgb="FFFFFFFF"/>
        <color rgb="FF57BB8A"/>
      </colorScale>
    </cfRule>
  </conditionalFormatting>
  <conditionalFormatting sqref="AD1:AE64">
    <cfRule type="colorScale" priority="9">
      <colorScale>
        <cfvo type="min"/>
        <cfvo type="percentile" val="50"/>
        <cfvo type="max"/>
        <color rgb="FF57BB8A"/>
        <color rgb="FFFFFFFF"/>
        <color rgb="FFE67C73"/>
      </colorScale>
    </cfRule>
  </conditionalFormatting>
  <conditionalFormatting sqref="A2:A64">
    <cfRule type="expression" dxfId="0" priority="10">
      <formula>L2&lt;M2</formula>
    </cfRule>
  </conditionalFormatting>
  <conditionalFormatting sqref="A2:A64">
    <cfRule type="expression" dxfId="0" priority="11">
      <formula>L2&lt;M2</formula>
    </cfRule>
  </conditionalFormatting>
  <conditionalFormatting sqref="A2:A64">
    <cfRule type="expression" dxfId="0" priority="12">
      <formula>L2&lt;M2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s>
  <drawing r:id="rId6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5.25"/>
    <col customWidth="1" min="2" max="2" width="4.13"/>
    <col customWidth="1" min="3" max="3" width="11.25"/>
    <col customWidth="1" min="4" max="4" width="12.5"/>
    <col customWidth="1" min="5" max="5" width="3.13"/>
    <col customWidth="1" min="6" max="6" width="4.25"/>
    <col customWidth="1" min="7" max="7" width="14.75"/>
    <col customWidth="1" min="8" max="10" width="4.38"/>
    <col customWidth="1" min="11" max="11" width="4.75"/>
    <col customWidth="1" min="12" max="12" width="7.13"/>
    <col customWidth="1" min="13" max="13" width="6.75"/>
    <col customWidth="1" min="14" max="14" width="5.0"/>
    <col customWidth="1" min="15" max="15" width="5.63"/>
    <col customWidth="1" min="16" max="16" width="4.38"/>
    <col customWidth="1" min="17" max="17" width="5.38"/>
    <col customWidth="1" min="18" max="18" width="6.63"/>
    <col customWidth="1" min="19" max="19" width="6.88"/>
    <col customWidth="1" min="20" max="25" width="5.38"/>
    <col customWidth="1" min="26" max="31" width="4.38"/>
    <col customWidth="1" min="32" max="32" width="7.88"/>
    <col customWidth="1" min="33" max="34" width="2.88"/>
    <col customWidth="1" min="35" max="35" width="5.13"/>
    <col customWidth="1" min="36" max="38" width="3.0"/>
  </cols>
  <sheetData>
    <row r="1">
      <c r="A1" s="1" t="s">
        <v>61</v>
      </c>
      <c r="B1" s="1" t="s">
        <v>29</v>
      </c>
      <c r="C1" s="1" t="s">
        <v>63</v>
      </c>
      <c r="D1" s="1" t="s">
        <v>243</v>
      </c>
      <c r="E1" s="1" t="s">
        <v>244</v>
      </c>
      <c r="F1" s="1" t="s">
        <v>245</v>
      </c>
      <c r="G1" s="32" t="s">
        <v>246</v>
      </c>
      <c r="H1" s="36" t="s">
        <v>65</v>
      </c>
      <c r="I1" s="36" t="s">
        <v>247</v>
      </c>
      <c r="J1" s="36" t="s">
        <v>248</v>
      </c>
      <c r="K1" s="36" t="s">
        <v>249</v>
      </c>
      <c r="L1" s="58" t="s">
        <v>250</v>
      </c>
      <c r="M1" s="58" t="s">
        <v>251</v>
      </c>
      <c r="N1" s="38" t="s">
        <v>64</v>
      </c>
      <c r="O1" s="39" t="s">
        <v>252</v>
      </c>
      <c r="P1" s="39" t="s">
        <v>253</v>
      </c>
      <c r="Q1" s="39" t="s">
        <v>254</v>
      </c>
      <c r="R1" s="40" t="s">
        <v>255</v>
      </c>
      <c r="S1" s="40" t="s">
        <v>256</v>
      </c>
      <c r="T1" s="41" t="s">
        <v>257</v>
      </c>
      <c r="U1" s="42" t="s">
        <v>258</v>
      </c>
      <c r="V1" s="42" t="s">
        <v>259</v>
      </c>
      <c r="W1" s="42" t="s">
        <v>260</v>
      </c>
      <c r="X1" s="43" t="s">
        <v>261</v>
      </c>
      <c r="Y1" s="43" t="s">
        <v>262</v>
      </c>
      <c r="Z1" s="44" t="s">
        <v>263</v>
      </c>
      <c r="AA1" s="44" t="s">
        <v>264</v>
      </c>
      <c r="AB1" s="44" t="s">
        <v>265</v>
      </c>
      <c r="AC1" s="44" t="s">
        <v>266</v>
      </c>
      <c r="AD1" s="45" t="s">
        <v>267</v>
      </c>
      <c r="AE1" s="45" t="s">
        <v>268</v>
      </c>
      <c r="AF1" s="46" t="s">
        <v>269</v>
      </c>
      <c r="AG1" s="47" t="s">
        <v>270</v>
      </c>
      <c r="AH1" s="47" t="s">
        <v>271</v>
      </c>
      <c r="AI1" s="47" t="s">
        <v>272</v>
      </c>
      <c r="AJ1" s="47" t="s">
        <v>273</v>
      </c>
      <c r="AK1" s="47" t="s">
        <v>274</v>
      </c>
      <c r="AL1" s="1" t="s">
        <v>275</v>
      </c>
    </row>
    <row r="2">
      <c r="A2" s="48" t="s">
        <v>276</v>
      </c>
      <c r="B2" s="1" t="str">
        <f>IFERROR(__xludf.DUMMYFUNCTION("IFERROR(
  VLOOKUP(
    A2,
    IMPORTRANGE(
      ""1ZygntHC1J6IxzKbTidmOyf5nUyW4GCLurHCjexrLm_o"",
      ""HTMLキャッシュ!A:F""
    ),
    2,
    FALSE
  ),
  0
)
"),"TP")</f>
        <v>TP</v>
      </c>
      <c r="C2" s="1" t="str">
        <f>IFERROR(__xludf.DUMMYFUNCTION("IFERROR(
  VLOOKUP(
    A2,
    IMPORTRANGE(
      ""1ZygntHC1J6IxzKbTidmOyf5nUyW4GCLurHCjexrLm_o"",
      ""HTMLキャッシュ!A:F""
    ),
    5,
    FALSE
  ),
  0
)
"),"中学受験算数｜代表が全授業担当の完全１対１個別へ｜夏井算数塾")</f>
        <v>中学受験算数｜代表が全授業担当の完全１対１個別へ｜夏井算数塾</v>
      </c>
      <c r="D2" s="1" t="str">
        <f>IFERROR(__xludf.DUMMYFUNCTION("IFERROR(
  VLOOKUP(
    A2,
    IMPORTRANGE(
      ""1ZygntHC1J6IxzKbTidmOyf5nUyW4GCLurHCjexrLm_o        "",
      ""HTMLキャッシュ!A:F""
    ),
    6,
    FALSE
  ),
  0
)
"),"算数で親子ゲンカが増えたご家庭へ。完全１対１で分析→直し方→家庭学習→過去問まで。代表が全授業。オンライン／四谷対面、サピ・四谷大塚・日能研・早稲アカ併用ＯＫ。")</f>
        <v>算数で親子ゲンカが増えたご家庭へ。完全１対１で分析→直し方→家庭学習→過去問まで。代表が全授業。オンライン／四谷対面、サピ・四谷大塚・日能研・早稲アカ併用ＯＫ。</v>
      </c>
      <c r="E2" s="49">
        <f t="shared" ref="E2:F2" si="1">LEN(C2)</f>
        <v>30</v>
      </c>
      <c r="F2" s="49">
        <f t="shared" si="1"/>
        <v>80</v>
      </c>
      <c r="G2" s="32">
        <f>IFERROR(__xludf.DUMMYFUNCTION("IFERROR(
  VLOOKUP(
    A2,
    IMPORTRANGE(
      ""1ZygntHC1J6IxzKbTidmOyf5nUyW4GCLurHCjexrLm_o        "",
      ""HTMLキャッシュ!A:F""
    ),
    3,
    FALSE
  ),
  0
)
"),46082.490532407406)</f>
        <v>46082.49053</v>
      </c>
      <c r="H2" s="54">
        <f>IFERROR(__xludf.DUMMYFUNCTION("IFERROR(
  VLOOKUP(
    A2,
    IMPORTRANGE(
      ""1ZHMy3vVUd_0MrSduXTe1etBb1HNpAlGwQr006ljwMiM"",
      ""GSC最新!A:F""
    ),
    2,
    FALSE
  ),
  0
)
"),184.0)</f>
        <v>184</v>
      </c>
      <c r="I2" s="54">
        <f>IFERROR(__xludf.DUMMYFUNCTION("IFERROR(
  VLOOKUP(
    A2,
    IMPORTRANGE(
      ""1ZHMy3vVUd_0MrSduXTe1etBb1HNpAlGwQr006ljwMiM"",
      ""GSC最新!A:F""
    ),
    3,
    FALSE
  ),
  0
)
"),512.0)</f>
        <v>512</v>
      </c>
      <c r="J2" s="54">
        <f>IFERROR(__xludf.DUMMYFUNCTION("IFERROR(
  VLOOKUP(
    A2,
    IMPORTRANGE(
      ""1ZHMy3vVUd_0MrSduXTe1etBb1HNpAlGwQr006ljwMiM"",
      ""GSC最新!A:F""
    ),
    4,
    FALSE
  ),
  0
)
"),123.0)</f>
        <v>123</v>
      </c>
      <c r="K2" s="54">
        <f>IFERROR(__xludf.DUMMYFUNCTION("IFERROR(
  VLOOKUP(
    A2,
    IMPORTRANGE(
      ""1ZHMy3vVUd_0MrSduXTe1etBb1HNpAlGwQr006ljwMiM"",
      ""GSC最新!A:F""
    ),
    5,
    FALSE
  ),
  0
)
"),419.0)</f>
        <v>419</v>
      </c>
      <c r="L2" s="50">
        <f t="shared" ref="L2:M2" si="2">IFERROR(H2/J2,"-")</f>
        <v>1.495934959</v>
      </c>
      <c r="M2" s="50">
        <f t="shared" si="2"/>
        <v>1.221957041</v>
      </c>
      <c r="N2" s="59">
        <f>IFERROR(__xludf.DUMMYFUNCTION("IFERROR(
  VLOOKUP(
    A2,
    IMPORTRANGE(
      ""1ZHMy3vVUd_0MrSduXTe1etBb1HNpAlGwQr006ljwMiM"",
      ""GSC最新!A:R""
    ),
    7,
    FALSE
  ),
  0
)
"),4074.0)</f>
        <v>4074</v>
      </c>
      <c r="O2" s="59">
        <f>IFERROR(__xludf.DUMMYFUNCTION("IFERROR(
  VLOOKUP(
    A2,
    IMPORTRANGE(
      ""1ZHMy3vVUd_0MrSduXTe1etBb1HNpAlGwQr006ljwMiM"",
      ""GSC最新!A:R""
    ),
    10,
    FALSE
  ),
  0
)
"),11323.0)</f>
        <v>11323</v>
      </c>
      <c r="P2" s="59">
        <f>IFERROR(__xludf.DUMMYFUNCTION("IFERROR(
  VLOOKUP(
    A2,
    IMPORTRANGE(
      ""1ZHMy3vVUd_0MrSduXTe1etBb1HNpAlGwQr006ljwMiM"",
      ""GSC最新!A:R""
    ),
    13,
    FALSE
  ),
  0
)
"),5162.0)</f>
        <v>5162</v>
      </c>
      <c r="Q2" s="59">
        <f>IFERROR(__xludf.DUMMYFUNCTION("IFERROR(
  VLOOKUP(
    A2,
    IMPORTRANGE(
      ""1ZHMy3vVUd_0MrSduXTe1etBb1HNpAlGwQr006ljwMiM"",
      ""GSC最新!A:R""
    ),
    16,
    FALSE
  ),
  0
)
"),15851.0)</f>
        <v>15851</v>
      </c>
      <c r="R2" s="50">
        <f t="shared" ref="R2:S2" si="3">IFERROR(N2/P2,"-")</f>
        <v>0.789228981</v>
      </c>
      <c r="S2" s="50">
        <f t="shared" si="3"/>
        <v>0.7143397893</v>
      </c>
      <c r="T2" s="60">
        <f>IFERROR(__xludf.DUMMYFUNCTION("IFERROR(
  VLOOKUP(
    A2,
    IMPORTRANGE(
      ""1ZHMy3vVUd_0MrSduXTe1etBb1HNpAlGwQr006ljwMiM"",
      ""GSC最新!A:R""
    ),
    8,
    FALSE
  ),
  0
)
"),0.045164457535591555)</f>
        <v>0.04516445754</v>
      </c>
      <c r="U2" s="60">
        <f>IFERROR(__xludf.DUMMYFUNCTION("IFERROR(
  VLOOKUP(
    A2,
    IMPORTRANGE(
      ""1ZHMy3vVUd_0MrSduXTe1etBb1HNpAlGwQr006ljwMiM"",
      ""GSC最新!A:R""
    ),
    11,
    FALSE
  ),
  0
)
"),0.04521769848979952)</f>
        <v>0.04521769849</v>
      </c>
      <c r="V2" s="60">
        <f>IFERROR(__xludf.DUMMYFUNCTION("IFERROR(
  VLOOKUP(
    A2,
    IMPORTRANGE(
      ""1ZHMy3vVUd_0MrSduXTe1etBb1HNpAlGwQr006ljwMiM"",
      ""GSC最新!A:R""
    ),
    14,
    FALSE
  ),
  0
)
"),0.023827973653622627)</f>
        <v>0.02382797365</v>
      </c>
      <c r="W2" s="60">
        <f>IFERROR(__xludf.DUMMYFUNCTION("IFERROR(
  VLOOKUP(
    A2,
    IMPORTRANGE(
      ""1ZHMy3vVUd_0MrSduXTe1etBb1HNpAlGwQr006ljwMiM"",
      ""GSC最新!A:R""
    ),
    17,
    FALSE
  ),
  0
)
"),0.02643366349126238)</f>
        <v>0.02643366349</v>
      </c>
      <c r="X2" s="60">
        <f t="shared" ref="X2:Y2" si="4">IFERROR(T2-V2,"-")</f>
        <v>0.02133648388</v>
      </c>
      <c r="Y2" s="60">
        <f t="shared" si="4"/>
        <v>0.018784035</v>
      </c>
      <c r="Z2" s="52">
        <f>IFERROR(__xludf.DUMMYFUNCTION("IFERROR(
  VLOOKUP(
    A2,
    IMPORTRANGE(
      ""1ZHMy3vVUd_0MrSduXTe1etBb1HNpAlGwQr006ljwMiM"",
      ""GSC最新!A:R""
    ),
    9,
    FALSE
  ),
  0
)
"),11.246931762395679)</f>
        <v>11.24693176</v>
      </c>
      <c r="AA2" s="52">
        <f>IFERROR(__xludf.DUMMYFUNCTION("IFERROR(
  VLOOKUP(
    A2,
    IMPORTRANGE(
      ""1ZHMy3vVUd_0MrSduXTe1etBb1HNpAlGwQr006ljwMiM"",
      ""GSC最新!A:R""
    ),
    12,
    FALSE
  ),
  0
)
"),11.24021902322706)</f>
        <v>11.24021902</v>
      </c>
      <c r="AB2" s="52">
        <f>IFERROR(__xludf.DUMMYFUNCTION("IFERROR(
  VLOOKUP(
    A2,
    IMPORTRANGE(
      ""1ZHMy3vVUd_0MrSduXTe1etBb1HNpAlGwQr006ljwMiM"",
      ""GSC最新!A:R""
    ),
    15,
    FALSE
  ),
  0
)
"),17.170282836110037)</f>
        <v>17.17028284</v>
      </c>
      <c r="AC2" s="52">
        <f>IFERROR(__xludf.DUMMYFUNCTION("IFERROR(
  VLOOKUP(
    A2,
    IMPORTRANGE(
      ""1ZHMy3vVUd_0MrSduXTe1etBb1HNpAlGwQr006ljwMiM"",
      ""GSC最新!A:R""
    ),
    18,
    FALSE
  ),
  0
)
"),18.932307109961517)</f>
        <v>18.93230711</v>
      </c>
      <c r="AD2" s="52">
        <f t="shared" ref="AD2:AE2" si="5">Z2-AB2</f>
        <v>-5.923351074</v>
      </c>
      <c r="AE2" s="52">
        <f t="shared" si="5"/>
        <v>-7.692088087</v>
      </c>
      <c r="AF2" s="53">
        <f>IFERROR(__xludf.DUMMYFUNCTION("IFERROR(
  VLOOKUP(
    A2,
    IMPORTRANGE(
      ""1ZHMy3vVUd_0MrSduXTe1etBb1HNpAlGwQr006ljwMiM"",
      ""GSC最新!A:F""
    ),
    6,
    FALSE
  ),
  0
)
"),46081.0)</f>
        <v>46081</v>
      </c>
      <c r="AG2" s="54">
        <f>IFERROR(__xludf.DUMMYFUNCTION("IFERROR(
  VLOOKUP(
    A2,
    IMPORTRANGE(
      ""1SCYQd7_cobOYqT0r_F0IqD4tE4rYn5y8Eup4PJTH8es"",
      ""Snapshot!A:M""
    ),
    5,
    FALSE
  ),
  ""-""
)
"),10.0)</f>
        <v>10</v>
      </c>
      <c r="AH2" s="54">
        <f>IFERROR(__xludf.DUMMYFUNCTION("IFERROR(
  VLOOKUP(
    A2,
    IMPORTRANGE(
      ""1SCYQd7_cobOYqT0r_F0IqD4tE4rYn5y8Eup4PJTH8es"",
      ""Snapshot!A:M""
    ),
    6,
    FALSE
  ),
  0
)
"),12.0)</f>
        <v>12</v>
      </c>
      <c r="AI2" s="54">
        <f>IFERROR(__xludf.DUMMYFUNCTION("IFERROR(
  VLOOKUP(
    A2,
    IMPORTRANGE(
      ""1SCYQd7_cobOYqT0r_F0IqD4tE4rYn5y8Eup4PJTH8es"",
      ""Snapshot!A:M""
    ),
    7,
    FALSE
  ),
  0
)
"),3910.0)</f>
        <v>3910</v>
      </c>
      <c r="AJ2" s="54">
        <f>IFERROR(__xludf.DUMMYFUNCTION("IFERROR(
  VLOOKUP(
    A2,
    IMPORTRANGE(
      ""1SCYQd7_cobOYqT0r_F0IqD4tE4rYn5y8Eup4PJTH8es"",
      ""Snapshot!A:M""
    ),
    8,
    FALSE
  ),
  0
)
"),41.0)</f>
        <v>41</v>
      </c>
      <c r="AK2" s="54">
        <f>IFERROR(__xludf.DUMMYFUNCTION("IFERROR(
  VLOOKUP(
    A2,
    IMPORTRANGE(
      ""1SCYQd7_cobOYqT0r_F0IqD4tE4rYn5y8Eup4PJTH8es"",
      ""Snapshot!A:M""
    ),
    9,
    FALSE
  ),
  0
)
"),2.0)</f>
        <v>2</v>
      </c>
      <c r="AL2" s="54">
        <f>IFERROR(__xludf.DUMMYFUNCTION("IFERROR(
  VLOOKUP(
    A2,
    IMPORTRANGE(
      ""1SCYQd7_cobOYqT0r_F0IqD4tE4rYn5y8Eup4PJTH8es"",
      ""Snapshot!A:M""
    ),
    13,
    FALSE
  ),
  0
)
"),2.0)</f>
        <v>2</v>
      </c>
    </row>
    <row r="3">
      <c r="A3" s="3" t="s">
        <v>348</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"),"上から1桁・上から2桁の概数｜四捨五入の手順と概数の範囲（未満/以下・数/整数）【小5算数】 - 中学受験専門 夏井算数塾")</f>
        <v>上から1桁・上から2桁の概数｜四捨五入の手順と概数の範囲（未満/以下・数/整数）【小5算数】 - 中学受験専門 夏井算数塾</v>
      </c>
      <c r="D3" s="1" t="str">
        <f>IFERROR(__xludf.DUMMYFUNCTION("IFERROR(
  VLOOKUP(
    A3,
    IMPORTRANGE(
      ""1ZygntHC1J6IxzKbTidmOyf5nUyW4GCLurHCjexrLm_o        "",
      ""HTMLキャッシュ!A:F""
    ),
    6,
    FALSE
  ),
  0
)
"),"小5算数の「上から1桁の概数（概数 上から1桁）」を基礎から。上から2桁、1000の位・一万の位、上から1桁の概数（小数）まで、四捨五入する位の決め方を例題で整理。さらに概数の範囲（数/整数・未満/以下）も確認でき、中学受験の土台づくりに役立ちます。")</f>
        <v>小5算数の「上から1桁の概数（概数 上から1桁）」を基礎から。上から2桁、1000の位・一万の位、上から1桁の概数（小数）まで、四捨五入する位の決め方を例題で整理。さらに概数の範囲（数/整数・未満/以下）も確認でき、中学受験の土台づくりに役立ちます。</v>
      </c>
      <c r="E3" s="49">
        <f t="shared" ref="E3:F3" si="6">LEN(C3)</f>
        <v>61</v>
      </c>
      <c r="F3" s="49">
        <f t="shared" si="6"/>
        <v>125</v>
      </c>
      <c r="G3" s="32">
        <f>IFERROR(__xludf.DUMMYFUNCTION("IFERROR(
  VLOOKUP(
    A3,
    IMPORTRANGE(
      ""1ZygntHC1J6IxzKbTidmOyf5nUyW4GCLurHCjexrLm_o        "",
      ""HTMLキャッシュ!A:F""
    ),
    3,
    FALSE
  ),
  0
)
"),46065.883726851855)</f>
        <v>46065.88373</v>
      </c>
      <c r="H3" s="54">
        <f>IFERROR(__xludf.DUMMYFUNCTION("IFERROR(
  VLOOKUP(
    A3,
    IMPORTRANGE(
      ""1ZHMy3vVUd_0MrSduXTe1etBb1HNpAlGwQr006ljwMiM"",
      ""GSC最新!A:F""
    ),
    2,
    FALSE
  ),
  0
)
"),191.0)</f>
        <v>191</v>
      </c>
      <c r="I3" s="54">
        <f>IFERROR(__xludf.DUMMYFUNCTION("IFERROR(
  VLOOKUP(
    A3,
    IMPORTRANGE(
      ""1ZHMy3vVUd_0MrSduXTe1etBb1HNpAlGwQr006ljwMiM"",
      ""GSC最新!A:F""
    ),
    3,
    FALSE
  ),
  0
)
"),436.0)</f>
        <v>436</v>
      </c>
      <c r="J3" s="54">
        <f>IFERROR(__xludf.DUMMYFUNCTION("IFERROR(
  VLOOKUP(
    A3,
    IMPORTRANGE(
      ""1ZHMy3vVUd_0MrSduXTe1etBb1HNpAlGwQr006ljwMiM"",
      ""GSC最新!A:F""
    ),
    4,
    FALSE
  ),
  0
)
"),5.0)</f>
        <v>5</v>
      </c>
      <c r="K3" s="54">
        <f>IFERROR(__xludf.DUMMYFUNCTION("IFERROR(
  VLOOKUP(
    A3,
    IMPORTRANGE(
      ""1ZHMy3vVUd_0MrSduXTe1etBb1HNpAlGwQr006ljwMiM"",
      ""GSC最新!A:F""
    ),
    5,
    FALSE
  ),
  0
)
"),9.0)</f>
        <v>9</v>
      </c>
      <c r="L3" s="50">
        <f t="shared" ref="L3:M3" si="7">IFERROR(H3/J3,"-")</f>
        <v>38.2</v>
      </c>
      <c r="M3" s="50">
        <f t="shared" si="7"/>
        <v>48.44444444</v>
      </c>
      <c r="N3" s="59">
        <f>IFERROR(__xludf.DUMMYFUNCTION("IFERROR(
  VLOOKUP(
    A3,
    IMPORTRANGE(
      ""1ZHMy3vVUd_0MrSduXTe1etBb1HNpAlGwQr006ljwMiM"",
      ""GSC最新!A:R""
    ),
    7,
    FALSE
  ),
  0
)
"),44943.0)</f>
        <v>44943</v>
      </c>
      <c r="O3" s="59">
        <f>IFERROR(__xludf.DUMMYFUNCTION("IFERROR(
  VLOOKUP(
    A3,
    IMPORTRANGE(
      ""1ZHMy3vVUd_0MrSduXTe1etBb1HNpAlGwQr006ljwMiM"",
      ""GSC最新!A:R""
    ),
    10,
    FALSE
  ),
  0
)
"),92005.0)</f>
        <v>92005</v>
      </c>
      <c r="P3" s="59">
        <f>IFERROR(__xludf.DUMMYFUNCTION("IFERROR(
  VLOOKUP(
    A3,
    IMPORTRANGE(
      ""1ZHMy3vVUd_0MrSduXTe1etBb1HNpAlGwQr006ljwMiM"",
      ""GSC最新!A:R""
    ),
    13,
    FALSE
  ),
  0
)
"),260.0)</f>
        <v>260</v>
      </c>
      <c r="Q3" s="59">
        <f>IFERROR(__xludf.DUMMYFUNCTION("IFERROR(
  VLOOKUP(
    A3,
    IMPORTRANGE(
      ""1ZHMy3vVUd_0MrSduXTe1etBb1HNpAlGwQr006ljwMiM"",
      ""GSC最新!A:R""
    ),
    16,
    FALSE
  ),
  0
)
"),561.0)</f>
        <v>561</v>
      </c>
      <c r="R3" s="50">
        <f t="shared" ref="R3:S3" si="8">IFERROR(N3/P3,"-")</f>
        <v>172.8576923</v>
      </c>
      <c r="S3" s="50">
        <f t="shared" si="8"/>
        <v>164.0017825</v>
      </c>
      <c r="T3" s="60">
        <f>IFERROR(__xludf.DUMMYFUNCTION("IFERROR(
  VLOOKUP(
    A3,
    IMPORTRANGE(
      ""1ZHMy3vVUd_0MrSduXTe1etBb1HNpAlGwQr006ljwMiM"",
      ""GSC最新!A:R""
    ),
    8,
    FALSE
  ),
  0
)
"),0.004249827559352958)</f>
        <v>0.004249827559</v>
      </c>
      <c r="U3" s="60">
        <f>IFERROR(__xludf.DUMMYFUNCTION("IFERROR(
  VLOOKUP(
    A3,
    IMPORTRANGE(
      ""1ZHMy3vVUd_0MrSduXTe1etBb1HNpAlGwQr006ljwMiM"",
      ""GSC最新!A:R""
    ),
    11,
    FALSE
  ),
  0
)
"),0.004738872887343079)</f>
        <v>0.004738872887</v>
      </c>
      <c r="V3" s="60">
        <f>IFERROR(__xludf.DUMMYFUNCTION("IFERROR(
  VLOOKUP(
    A3,
    IMPORTRANGE(
      ""1ZHMy3vVUd_0MrSduXTe1etBb1HNpAlGwQr006ljwMiM"",
      ""GSC最新!A:R""
    ),
    14,
    FALSE
  ),
  0
)
"),0.019230769230769232)</f>
        <v>0.01923076923</v>
      </c>
      <c r="W3" s="60">
        <f>IFERROR(__xludf.DUMMYFUNCTION("IFERROR(
  VLOOKUP(
    A3,
    IMPORTRANGE(
      ""1ZHMy3vVUd_0MrSduXTe1etBb1HNpAlGwQr006ljwMiM"",
      ""GSC最新!A:R""
    ),
    17,
    FALSE
  ),
  0
)
"),0.016042780748663103)</f>
        <v>0.01604278075</v>
      </c>
      <c r="X3" s="60">
        <f t="shared" ref="X3:Y3" si="9">IFERROR(T3-V3,"-")</f>
        <v>-0.01498094167</v>
      </c>
      <c r="Y3" s="60">
        <f t="shared" si="9"/>
        <v>-0.01130390786</v>
      </c>
      <c r="Z3" s="52">
        <f>IFERROR(__xludf.DUMMYFUNCTION("IFERROR(
  VLOOKUP(
    A3,
    IMPORTRANGE(
      ""1ZHMy3vVUd_0MrSduXTe1etBb1HNpAlGwQr006ljwMiM"",
      ""GSC最新!A:R""
    ),
    9,
    FALSE
  ),
  0
)
"),2.9956166700042273)</f>
        <v>2.99561667</v>
      </c>
      <c r="AA3" s="52">
        <f>IFERROR(__xludf.DUMMYFUNCTION("IFERROR(
  VLOOKUP(
    A3,
    IMPORTRANGE(
      ""1ZHMy3vVUd_0MrSduXTe1etBb1HNpAlGwQr006ljwMiM"",
      ""GSC最新!A:R""
    ),
    12,
    FALSE
  ),
  0
)
"),3.7564371501548828)</f>
        <v>3.75643715</v>
      </c>
      <c r="AB3" s="52">
        <f>IFERROR(__xludf.DUMMYFUNCTION("IFERROR(
  VLOOKUP(
    A3,
    IMPORTRANGE(
      ""1ZHMy3vVUd_0MrSduXTe1etBb1HNpAlGwQr006ljwMiM"",
      ""GSC最新!A:R""
    ),
    15,
    FALSE
  ),
  0
)
"),4.5576923076923075)</f>
        <v>4.557692308</v>
      </c>
      <c r="AC3" s="52">
        <f>IFERROR(__xludf.DUMMYFUNCTION("IFERROR(
  VLOOKUP(
    A3,
    IMPORTRANGE(
      ""1ZHMy3vVUd_0MrSduXTe1etBb1HNpAlGwQr006ljwMiM"",
      ""GSC最新!A:R""
    ),
    18,
    FALSE
  ),
  0
)
"),4.973262032085561)</f>
        <v>4.973262032</v>
      </c>
      <c r="AD3" s="52">
        <f t="shared" ref="AD3:AE3" si="10">Z3-AB3</f>
        <v>-1.562075638</v>
      </c>
      <c r="AE3" s="52">
        <f t="shared" si="10"/>
        <v>-1.216824882</v>
      </c>
      <c r="AF3" s="53">
        <f>IFERROR(__xludf.DUMMYFUNCTION("IFERROR(
  VLOOKUP(
    A3,
    IMPORTRANGE(
      ""1ZHMy3vVUd_0MrSduXTe1etBb1HNpAlGwQr006ljwMiM"",
      ""GSC最新!A:F""
    ),
    6,
    FALSE
  ),
  0
)
"),46081.0)</f>
        <v>46081</v>
      </c>
      <c r="AG3" s="54">
        <f>IFERROR(__xludf.DUMMYFUNCTION("IFERROR(
  VLOOKUP(
    A3,
    IMPORTRANGE(
      ""1SCYQd7_cobOYqT0r_F0IqD4tE4rYn5y8Eup4PJTH8es"",
      ""Snapshot!A:M""
    ),
    5,
    FALSE
  ),
  ""-""
)
"),7.0)</f>
        <v>7</v>
      </c>
      <c r="AH3" s="54">
        <f>IFERROR(__xludf.DUMMYFUNCTION("IFERROR(
  VLOOKUP(
    A3,
    IMPORTRANGE(
      ""1SCYQd7_cobOYqT0r_F0IqD4tE4rYn5y8Eup4PJTH8es"",
      ""Snapshot!A:M""
    ),
    6,
    FALSE
  ),
  0
)
"),9.0)</f>
        <v>9</v>
      </c>
      <c r="AI3" s="54">
        <f>IFERROR(__xludf.DUMMYFUNCTION("IFERROR(
  VLOOKUP(
    A3,
    IMPORTRANGE(
      ""1SCYQd7_cobOYqT0r_F0IqD4tE4rYn5y8Eup4PJTH8es"",
      ""Snapshot!A:M""
    ),
    7,
    FALSE
  ),
  0
)
"),3196.0)</f>
        <v>3196</v>
      </c>
      <c r="AJ3" s="54">
        <f>IFERROR(__xludf.DUMMYFUNCTION("IFERROR(
  VLOOKUP(
    A3,
    IMPORTRANGE(
      ""1SCYQd7_cobOYqT0r_F0IqD4tE4rYn5y8Eup4PJTH8es"",
      ""Snapshot!A:M""
    ),
    8,
    FALSE
  ),
  0
)
"),7.0)</f>
        <v>7</v>
      </c>
      <c r="AK3" s="54">
        <f>IFERROR(__xludf.DUMMYFUNCTION("IFERROR(
  VLOOKUP(
    A3,
    IMPORTRANGE(
      ""1SCYQd7_cobOYqT0r_F0IqD4tE4rYn5y8Eup4PJTH8es"",
      ""Snapshot!A:M""
    ),
    9,
    FALSE
  ),
  0
)
"),2.0)</f>
        <v>2</v>
      </c>
      <c r="AL3" s="54">
        <f>IFERROR(__xludf.DUMMYFUNCTION("IFERROR(
  VLOOKUP(
    A3,
    IMPORTRANGE(
      ""1SCYQd7_cobOYqT0r_F0IqD4tE4rYn5y8Eup4PJTH8es"",
      ""Snapshot!A:M""
    ),
    13,
    FALSE
  ),
  0
)
"),2.0)</f>
        <v>2</v>
      </c>
    </row>
    <row r="4">
      <c r="A4" s="3" t="s">
        <v>349</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"),"サピックス（SAPIX）とは？特徴・費用・クラス替え（組分け/マンスリー）を塾選び目線で整理｜中学受験")</f>
        <v>サピックス（SAPIX）とは？特徴・費用・クラス替え（組分け/マンスリー）を塾選び目線で整理｜中学受験</v>
      </c>
      <c r="D4" s="1" t="str">
        <f>IFERROR(__xludf.DUMMYFUNCTION("IFERROR(
  VLOOKUP(
    A4,
    IMPORTRANGE(
      ""1ZygntHC1J6IxzKbTidmOyf5nUyW4GCLurHCjexrLm_o        "",
      ""HTMLキャッシュ!A:F""
    ),
    6,
    FALSE
  ),
  0
)
"),"サピックス（SAPIX）は首都圏中心の難関中学受験向け進学塾。討論型授業、宿題・プリント量、αクラス、組分け/マンスリー、通塾頻度、年間費用目安、向く子・負担になりやすい子を保護者向けに要点整理します。")</f>
        <v>サピックス（SAPIX）は首都圏中心の難関中学受験向け進学塾。討論型授業、宿題・プリント量、αクラス、組分け/マンスリー、通塾頻度、年間費用目安、向く子・負担になりやすい子を保護者向けに要点整理します。</v>
      </c>
      <c r="E4" s="49">
        <f t="shared" ref="E4:F4" si="11">LEN(C4)</f>
        <v>51</v>
      </c>
      <c r="F4" s="49">
        <f t="shared" si="11"/>
        <v>101</v>
      </c>
      <c r="G4" s="32">
        <f>IFERROR(__xludf.DUMMYFUNCTION("IFERROR(
  VLOOKUP(
    A4,
    IMPORTRANGE(
      ""1ZygntHC1J6IxzKbTidmOyf5nUyW4GCLurHCjexrLm_o        "",
      ""HTMLキャッシュ!A:F""
    ),
    3,
    FALSE
  ),
  0
)
"),46067.797372685185)</f>
        <v>46067.79737</v>
      </c>
      <c r="H4" s="54">
        <f>IFERROR(__xludf.DUMMYFUNCTION("IFERROR(
  VLOOKUP(
    A4,
    IMPORTRANGE(
      ""1ZHMy3vVUd_0MrSduXTe1etBb1HNpAlGwQr006ljwMiM"",
      ""GSC最新!A:F""
    ),
    2,
    FALSE
  ),
  0
)
"),224.0)</f>
        <v>224</v>
      </c>
      <c r="I4" s="54">
        <f>IFERROR(__xludf.DUMMYFUNCTION("IFERROR(
  VLOOKUP(
    A4,
    IMPORTRANGE(
      ""1ZHMy3vVUd_0MrSduXTe1etBb1HNpAlGwQr006ljwMiM"",
      ""GSC最新!A:F""
    ),
    3,
    FALSE
  ),
  0
)
"),354.0)</f>
        <v>354</v>
      </c>
      <c r="J4" s="54">
        <f>IFERROR(__xludf.DUMMYFUNCTION("IFERROR(
  VLOOKUP(
    A4,
    IMPORTRANGE(
      ""1ZHMy3vVUd_0MrSduXTe1etBb1HNpAlGwQr006ljwMiM"",
      ""GSC最新!A:F""
    ),
    4,
    FALSE
  ),
  0
)
"),12.0)</f>
        <v>12</v>
      </c>
      <c r="K4" s="54">
        <f>IFERROR(__xludf.DUMMYFUNCTION("IFERROR(
  VLOOKUP(
    A4,
    IMPORTRANGE(
      ""1ZHMy3vVUd_0MrSduXTe1etBb1HNpAlGwQr006ljwMiM"",
      ""GSC最新!A:F""
    ),
    5,
    FALSE
  ),
  0
)
"),33.0)</f>
        <v>33</v>
      </c>
      <c r="L4" s="50">
        <f t="shared" ref="L4:M4" si="12">IFERROR(H4/J4,"-")</f>
        <v>18.66666667</v>
      </c>
      <c r="M4" s="50">
        <f t="shared" si="12"/>
        <v>10.72727273</v>
      </c>
      <c r="N4" s="59">
        <f>IFERROR(__xludf.DUMMYFUNCTION("IFERROR(
  VLOOKUP(
    A4,
    IMPORTRANGE(
      ""1ZHMy3vVUd_0MrSduXTe1etBb1HNpAlGwQr006ljwMiM"",
      ""GSC最新!A:R""
    ),
    7,
    FALSE
  ),
  0
)
"),14010.0)</f>
        <v>14010</v>
      </c>
      <c r="O4" s="59">
        <f>IFERROR(__xludf.DUMMYFUNCTION("IFERROR(
  VLOOKUP(
    A4,
    IMPORTRANGE(
      ""1ZHMy3vVUd_0MrSduXTe1etBb1HNpAlGwQr006ljwMiM"",
      ""GSC最新!A:R""
    ),
    10,
    FALSE
  ),
  0
)
"),33145.0)</f>
        <v>33145</v>
      </c>
      <c r="P4" s="59">
        <f>IFERROR(__xludf.DUMMYFUNCTION("IFERROR(
  VLOOKUP(
    A4,
    IMPORTRANGE(
      ""1ZHMy3vVUd_0MrSduXTe1etBb1HNpAlGwQr006ljwMiM"",
      ""GSC最新!A:R""
    ),
    13,
    FALSE
  ),
  0
)
"),455.0)</f>
        <v>455</v>
      </c>
      <c r="Q4" s="59">
        <f>IFERROR(__xludf.DUMMYFUNCTION("IFERROR(
  VLOOKUP(
    A4,
    IMPORTRANGE(
      ""1ZHMy3vVUd_0MrSduXTe1etBb1HNpAlGwQr006ljwMiM"",
      ""GSC最新!A:R""
    ),
    16,
    FALSE
  ),
  0
)
"),2595.0)</f>
        <v>2595</v>
      </c>
      <c r="R4" s="50">
        <f t="shared" ref="R4:S4" si="13">IFERROR(N4/P4,"-")</f>
        <v>30.79120879</v>
      </c>
      <c r="S4" s="50">
        <f t="shared" si="13"/>
        <v>12.77263969</v>
      </c>
      <c r="T4" s="60">
        <f>IFERROR(__xludf.DUMMYFUNCTION("IFERROR(
  VLOOKUP(
    A4,
    IMPORTRANGE(
      ""1ZHMy3vVUd_0MrSduXTe1etBb1HNpAlGwQr006ljwMiM"",
      ""GSC最新!A:R""
    ),
    8,
    FALSE
  ),
  0
)
"),0.015988579586009993)</f>
        <v>0.01598857959</v>
      </c>
      <c r="U4" s="60">
        <f>IFERROR(__xludf.DUMMYFUNCTION("IFERROR(
  VLOOKUP(
    A4,
    IMPORTRANGE(
      ""1ZHMy3vVUd_0MrSduXTe1etBb1HNpAlGwQr006ljwMiM"",
      ""GSC最新!A:R""
    ),
    11,
    FALSE
  ),
  0
)
"),0.01068034394327953)</f>
        <v>0.01068034394</v>
      </c>
      <c r="V4" s="60">
        <f>IFERROR(__xludf.DUMMYFUNCTION("IFERROR(
  VLOOKUP(
    A4,
    IMPORTRANGE(
      ""1ZHMy3vVUd_0MrSduXTe1etBb1HNpAlGwQr006ljwMiM"",
      ""GSC最新!A:R""
    ),
    14,
    FALSE
  ),
  0
)
"),0.026373626373626374)</f>
        <v>0.02637362637</v>
      </c>
      <c r="W4" s="60">
        <f>IFERROR(__xludf.DUMMYFUNCTION("IFERROR(
  VLOOKUP(
    A4,
    IMPORTRANGE(
      ""1ZHMy3vVUd_0MrSduXTe1etBb1HNpAlGwQr006ljwMiM"",
      ""GSC最新!A:R""
    ),
    17,
    FALSE
  ),
  0
)
"),0.012716763005780347)</f>
        <v>0.01271676301</v>
      </c>
      <c r="X4" s="60">
        <f t="shared" ref="X4:Y4" si="14">IFERROR(T4-V4,"-")</f>
        <v>-0.01038504679</v>
      </c>
      <c r="Y4" s="60">
        <f t="shared" si="14"/>
        <v>-0.002036419063</v>
      </c>
      <c r="Z4" s="52">
        <f>IFERROR(__xludf.DUMMYFUNCTION("IFERROR(
  VLOOKUP(
    A4,
    IMPORTRANGE(
      ""1ZHMy3vVUd_0MrSduXTe1etBb1HNpAlGwQr006ljwMiM"",
      ""GSC最新!A:R""
    ),
    9,
    FALSE
  ),
  0
)
"),2.1209136331192004)</f>
        <v>2.120913633</v>
      </c>
      <c r="AA4" s="52">
        <f>IFERROR(__xludf.DUMMYFUNCTION("IFERROR(
  VLOOKUP(
    A4,
    IMPORTRANGE(
      ""1ZHMy3vVUd_0MrSduXTe1etBb1HNpAlGwQr006ljwMiM"",
      ""GSC最新!A:R""
    ),
    12,
    FALSE
  ),
  0
)
"),2.0582591642781716)</f>
        <v>2.058259164</v>
      </c>
      <c r="AB4" s="52">
        <f>IFERROR(__xludf.DUMMYFUNCTION("IFERROR(
  VLOOKUP(
    A4,
    IMPORTRANGE(
      ""1ZHMy3vVUd_0MrSduXTe1etBb1HNpAlGwQr006ljwMiM"",
      ""GSC最新!A:R""
    ),
    15,
    FALSE
  ),
  0
)
"),26.184615384615384)</f>
        <v>26.18461538</v>
      </c>
      <c r="AC4" s="52">
        <f>IFERROR(__xludf.DUMMYFUNCTION("IFERROR(
  VLOOKUP(
    A4,
    IMPORTRANGE(
      ""1ZHMy3vVUd_0MrSduXTe1etBb1HNpAlGwQr006ljwMiM"",
      ""GSC最新!A:R""
    ),
    18,
    FALSE
  ),
  0
)
"),38.3140655105973)</f>
        <v>38.31406551</v>
      </c>
      <c r="AD4" s="52">
        <f t="shared" ref="AD4:AE4" si="15">Z4-AB4</f>
        <v>-24.06370175</v>
      </c>
      <c r="AE4" s="52">
        <f t="shared" si="15"/>
        <v>-36.25580635</v>
      </c>
      <c r="AF4" s="53">
        <f>IFERROR(__xludf.DUMMYFUNCTION("IFERROR(
  VLOOKUP(
    A4,
    IMPORTRANGE(
      ""1ZHMy3vVUd_0MrSduXTe1etBb1HNpAlGwQr006ljwMiM"",
      ""GSC最新!A:F""
    ),
    6,
    FALSE
  ),
  0
)
"),46081.0)</f>
        <v>46081</v>
      </c>
      <c r="AG4" s="54">
        <f>IFERROR(__xludf.DUMMYFUNCTION("IFERROR(
  VLOOKUP(
    A4,
    IMPORTRANGE(
      ""1SCYQd7_cobOYqT0r_F0IqD4tE4rYn5y8Eup4PJTH8es"",
      ""Snapshot!A:M""
    ),
    5,
    FALSE
  ),
  ""-""
)
"),10.0)</f>
        <v>10</v>
      </c>
      <c r="AH4" s="54">
        <f>IFERROR(__xludf.DUMMYFUNCTION("IFERROR(
  VLOOKUP(
    A4,
    IMPORTRANGE(
      ""1SCYQd7_cobOYqT0r_F0IqD4tE4rYn5y8Eup4PJTH8es"",
      ""Snapshot!A:M""
    ),
    6,
    FALSE
  ),
  0
)
"),17.0)</f>
        <v>17</v>
      </c>
      <c r="AI4" s="54">
        <f>IFERROR(__xludf.DUMMYFUNCTION("IFERROR(
  VLOOKUP(
    A4,
    IMPORTRANGE(
      ""1SCYQd7_cobOYqT0r_F0IqD4tE4rYn5y8Eup4PJTH8es"",
      ""Snapshot!A:M""
    ),
    7,
    FALSE
  ),
  0
)
"),2872.0)</f>
        <v>2872</v>
      </c>
      <c r="AJ4" s="54">
        <f>IFERROR(__xludf.DUMMYFUNCTION("IFERROR(
  VLOOKUP(
    A4,
    IMPORTRANGE(
      ""1SCYQd7_cobOYqT0r_F0IqD4tE4rYn5y8Eup4PJTH8es"",
      ""Snapshot!A:M""
    ),
    8,
    FALSE
  ),
  0
)
"),6.0)</f>
        <v>6</v>
      </c>
      <c r="AK4" s="54">
        <f>IFERROR(__xludf.DUMMYFUNCTION("IFERROR(
  VLOOKUP(
    A4,
    IMPORTRANGE(
      ""1SCYQd7_cobOYqT0r_F0IqD4tE4rYn5y8Eup4PJTH8es"",
      ""Snapshot!A:M""
    ),
    9,
    FALSE
  ),
  0
)
"),3.0)</f>
        <v>3</v>
      </c>
      <c r="AL4" s="54">
        <f>IFERROR(__xludf.DUMMYFUNCTION("IFERROR(
  VLOOKUP(
    A4,
    IMPORTRANGE(
      ""1SCYQd7_cobOYqT0r_F0IqD4tE4rYn5y8Eup4PJTH8es"",
      ""Snapshot!A:M""
    ),
    13,
    FALSE
  ),
  0
)
"),1.0)</f>
        <v>1</v>
      </c>
    </row>
    <row r="5">
      <c r="A5" s="48" t="s">
        <v>350</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"),"中学受験算数「場合の数」｜何通りの求め方：足す/かける（和・積）と場合分け・樹形図")</f>
        <v>中学受験算数「場合の数」｜何通りの求め方：足す/かける（和・積）と場合分け・樹形図</v>
      </c>
      <c r="D5" s="1" t="str">
        <f>IFERROR(__xludf.DUMMYFUNCTION("IFERROR(
  VLOOKUP(
    A5,
    IMPORTRANGE(
      ""1ZygntHC1J6IxzKbTidmOyf5nUyW4GCLurHCjexrLm_o        "",
      ""HTMLキャッシュ!A:F""
    ),
    6,
    FALSE
  ),
  0
)
"),"場合の数の「何通り？」を迷わず出すために、足す/かける（和・積）の判断→場合分け→樹形図→余事象までを一気に整理。0〜4のカード（三桁の偶数）、サイコロの確からしさ、道順など定番例題で数え漏れ・二重カウントを防ぐ型が身につきます。")</f>
        <v>場合の数の「何通り？」を迷わず出すために、足す/かける（和・積）の判断→場合分け→樹形図→余事象までを一気に整理。0〜4のカード（三桁の偶数）、サイコロの確からしさ、道順など定番例題で数え漏れ・二重カウントを防ぐ型が身につきます。</v>
      </c>
      <c r="E5" s="49">
        <f t="shared" ref="E5:F5" si="16">LEN(C5)</f>
        <v>41</v>
      </c>
      <c r="F5" s="49">
        <f t="shared" si="16"/>
        <v>115</v>
      </c>
      <c r="G5" s="32">
        <f>IFERROR(__xludf.DUMMYFUNCTION("IFERROR(
  VLOOKUP(
    A5,
    IMPORTRANGE(
      ""1ZygntHC1J6IxzKbTidmOyf5nUyW4GCLurHCjexrLm_o        "",
      ""HTMLキャッシュ!A:F""
    ),
    3,
    FALSE
  ),
  0
)
"),46069.62248842593)</f>
        <v>46069.62249</v>
      </c>
      <c r="H5" s="54">
        <f>IFERROR(__xludf.DUMMYFUNCTION("IFERROR(
  VLOOKUP(
    A5,
    IMPORTRANGE(
      ""1ZHMy3vVUd_0MrSduXTe1etBb1HNpAlGwQr006ljwMiM"",
      ""GSC最新!A:F""
    ),
    2,
    FALSE
  ),
  0
)
"),94.0)</f>
        <v>94</v>
      </c>
      <c r="I5" s="54">
        <f>IFERROR(__xludf.DUMMYFUNCTION("IFERROR(
  VLOOKUP(
    A5,
    IMPORTRANGE(
      ""1ZHMy3vVUd_0MrSduXTe1etBb1HNpAlGwQr006ljwMiM"",
      ""GSC最新!A:F""
    ),
    3,
    FALSE
  ),
  0
)
"),340.0)</f>
        <v>340</v>
      </c>
      <c r="J5" s="54">
        <f>IFERROR(__xludf.DUMMYFUNCTION("IFERROR(
  VLOOKUP(
    A5,
    IMPORTRANGE(
      ""1ZHMy3vVUd_0MrSduXTe1etBb1HNpAlGwQr006ljwMiM"",
      ""GSC最新!A:F""
    ),
    4,
    FALSE
  ),
  0
)
"),18.0)</f>
        <v>18</v>
      </c>
      <c r="K5" s="54">
        <f>IFERROR(__xludf.DUMMYFUNCTION("IFERROR(
  VLOOKUP(
    A5,
    IMPORTRANGE(
      ""1ZHMy3vVUd_0MrSduXTe1etBb1HNpAlGwQr006ljwMiM"",
      ""GSC最新!A:F""
    ),
    5,
    FALSE
  ),
  0
)
"),115.0)</f>
        <v>115</v>
      </c>
      <c r="L5" s="50">
        <f t="shared" ref="L5:M5" si="17">IFERROR(H5/J5,"-")</f>
        <v>5.222222222</v>
      </c>
      <c r="M5" s="50">
        <f t="shared" si="17"/>
        <v>2.956521739</v>
      </c>
      <c r="N5" s="59">
        <f>IFERROR(__xludf.DUMMYFUNCTION("IFERROR(
  VLOOKUP(
    A5,
    IMPORTRANGE(
      ""1ZHMy3vVUd_0MrSduXTe1etBb1HNpAlGwQr006ljwMiM"",
      ""GSC最新!A:R""
    ),
    7,
    FALSE
  ),
  0
)
"),4085.0)</f>
        <v>4085</v>
      </c>
      <c r="O5" s="59">
        <f>IFERROR(__xludf.DUMMYFUNCTION("IFERROR(
  VLOOKUP(
    A5,
    IMPORTRANGE(
      ""1ZHMy3vVUd_0MrSduXTe1etBb1HNpAlGwQr006ljwMiM"",
      ""GSC最新!A:R""
    ),
    10,
    FALSE
  ),
  0
)
"),13888.0)</f>
        <v>13888</v>
      </c>
      <c r="P5" s="59">
        <f>IFERROR(__xludf.DUMMYFUNCTION("IFERROR(
  VLOOKUP(
    A5,
    IMPORTRANGE(
      ""1ZHMy3vVUd_0MrSduXTe1etBb1HNpAlGwQr006ljwMiM"",
      ""GSC最新!A:R""
    ),
    13,
    FALSE
  ),
  0
)
"),552.0)</f>
        <v>552</v>
      </c>
      <c r="Q5" s="59">
        <f>IFERROR(__xludf.DUMMYFUNCTION("IFERROR(
  VLOOKUP(
    A5,
    IMPORTRANGE(
      ""1ZHMy3vVUd_0MrSduXTe1etBb1HNpAlGwQr006ljwMiM"",
      ""GSC最新!A:R""
    ),
    16,
    FALSE
  ),
  0
)
"),2606.0)</f>
        <v>2606</v>
      </c>
      <c r="R5" s="50">
        <f t="shared" ref="R5:S5" si="18">IFERROR(N5/P5,"-")</f>
        <v>7.400362319</v>
      </c>
      <c r="S5" s="50">
        <f t="shared" si="18"/>
        <v>5.329240215</v>
      </c>
      <c r="T5" s="60">
        <f>IFERROR(__xludf.DUMMYFUNCTION("IFERROR(
  VLOOKUP(
    A5,
    IMPORTRANGE(
      ""1ZHMy3vVUd_0MrSduXTe1etBb1HNpAlGwQr006ljwMiM"",
      ""GSC最新!A:R""
    ),
    8,
    FALSE
  ),
  0
)
"),0.023011015911872705)</f>
        <v>0.02301101591</v>
      </c>
      <c r="U5" s="60">
        <f>IFERROR(__xludf.DUMMYFUNCTION("IFERROR(
  VLOOKUP(
    A5,
    IMPORTRANGE(
      ""1ZHMy3vVUd_0MrSduXTe1etBb1HNpAlGwQr006ljwMiM"",
      ""GSC最新!A:R""
    ),
    11,
    FALSE
  ),
  0
)
"),0.0244815668202765)</f>
        <v>0.02448156682</v>
      </c>
      <c r="V5" s="60">
        <f>IFERROR(__xludf.DUMMYFUNCTION("IFERROR(
  VLOOKUP(
    A5,
    IMPORTRANGE(
      ""1ZHMy3vVUd_0MrSduXTe1etBb1HNpAlGwQr006ljwMiM"",
      ""GSC最新!A:R""
    ),
    14,
    FALSE
  ),
  0
)
"),0.03260869565217391)</f>
        <v>0.03260869565</v>
      </c>
      <c r="W5" s="60">
        <f>IFERROR(__xludf.DUMMYFUNCTION("IFERROR(
  VLOOKUP(
    A5,
    IMPORTRANGE(
      ""1ZHMy3vVUd_0MrSduXTe1etBb1HNpAlGwQr006ljwMiM"",
      ""GSC最新!A:R""
    ),
    17,
    FALSE
  ),
  0
)
"),0.04412893323100537)</f>
        <v>0.04412893323</v>
      </c>
      <c r="X5" s="60">
        <f t="shared" ref="X5:Y5" si="19">IFERROR(T5-V5,"-")</f>
        <v>-0.00959767974</v>
      </c>
      <c r="Y5" s="60">
        <f t="shared" si="19"/>
        <v>-0.01964736641</v>
      </c>
      <c r="Z5" s="52">
        <f>IFERROR(__xludf.DUMMYFUNCTION("IFERROR(
  VLOOKUP(
    A5,
    IMPORTRANGE(
      ""1ZHMy3vVUd_0MrSduXTe1etBb1HNpAlGwQr006ljwMiM"",
      ""GSC最新!A:R""
    ),
    9,
    FALSE
  ),
  0
)
"),5.374051407588739)</f>
        <v>5.374051408</v>
      </c>
      <c r="AA5" s="52">
        <f>IFERROR(__xludf.DUMMYFUNCTION("IFERROR(
  VLOOKUP(
    A5,
    IMPORTRANGE(
      ""1ZHMy3vVUd_0MrSduXTe1etBb1HNpAlGwQr006ljwMiM"",
      ""GSC最新!A:R""
    ),
    12,
    FALSE
  ),
  0
)
"),6.027145737327189)</f>
        <v>6.027145737</v>
      </c>
      <c r="AB5" s="52">
        <f>IFERROR(__xludf.DUMMYFUNCTION("IFERROR(
  VLOOKUP(
    A5,
    IMPORTRANGE(
      ""1ZHMy3vVUd_0MrSduXTe1etBb1HNpAlGwQr006ljwMiM"",
      ""GSC最新!A:R""
    ),
    15,
    FALSE
  ),
  0
)
"),11.67572463768116)</f>
        <v>11.67572464</v>
      </c>
      <c r="AC5" s="52">
        <f>IFERROR(__xludf.DUMMYFUNCTION("IFERROR(
  VLOOKUP(
    A5,
    IMPORTRANGE(
      ""1ZHMy3vVUd_0MrSduXTe1etBb1HNpAlGwQr006ljwMiM"",
      ""GSC最新!A:R""
    ),
    18,
    FALSE
  ),
  0
)
"),15.74865694551036)</f>
        <v>15.74865695</v>
      </c>
      <c r="AD5" s="52">
        <f t="shared" ref="AD5:AE5" si="20">Z5-AB5</f>
        <v>-6.30167323</v>
      </c>
      <c r="AE5" s="52">
        <f t="shared" si="20"/>
        <v>-9.721511208</v>
      </c>
      <c r="AF5" s="53">
        <f>IFERROR(__xludf.DUMMYFUNCTION("IFERROR(
  VLOOKUP(
    A5,
    IMPORTRANGE(
      ""1ZHMy3vVUd_0MrSduXTe1etBb1HNpAlGwQr006ljwMiM"",
      ""GSC最新!A:F""
    ),
    6,
    FALSE
  ),
  0
)
"),46081.0)</f>
        <v>46081</v>
      </c>
      <c r="AG5" s="54">
        <f>IFERROR(__xludf.DUMMYFUNCTION("IFERROR(
  VLOOKUP(
    A5,
    IMPORTRANGE(
      ""1SCYQd7_cobOYqT0r_F0IqD4tE4rYn5y8Eup4PJTH8es"",
      ""Snapshot!A:M""
    ),
    5,
    FALSE
  ),
  ""-""
)
"),3.0)</f>
        <v>3</v>
      </c>
      <c r="AH5" s="54">
        <f>IFERROR(__xludf.DUMMYFUNCTION("IFERROR(
  VLOOKUP(
    A5,
    IMPORTRANGE(
      ""1SCYQd7_cobOYqT0r_F0IqD4tE4rYn5y8Eup4PJTH8es"",
      ""Snapshot!A:M""
    ),
    6,
    FALSE
  ),
  0
)
"),5.0)</f>
        <v>5</v>
      </c>
      <c r="AI5" s="54">
        <f>IFERROR(__xludf.DUMMYFUNCTION("IFERROR(
  VLOOKUP(
    A5,
    IMPORTRANGE(
      ""1SCYQd7_cobOYqT0r_F0IqD4tE4rYn5y8Eup4PJTH8es"",
      ""Snapshot!A:M""
    ),
    7,
    FALSE
  ),
  0
)
"),2929.0)</f>
        <v>2929</v>
      </c>
      <c r="AJ5" s="54">
        <f>IFERROR(__xludf.DUMMYFUNCTION("IFERROR(
  VLOOKUP(
    A5,
    IMPORTRANGE(
      ""1SCYQd7_cobOYqT0r_F0IqD4tE4rYn5y8Eup4PJTH8es"",
      ""Snapshot!A:M""
    ),
    8,
    FALSE
  ),
  0
)
"),6.0)</f>
        <v>6</v>
      </c>
      <c r="AK5" s="54">
        <f>IFERROR(__xludf.DUMMYFUNCTION("IFERROR(
  VLOOKUP(
    A5,
    IMPORTRANGE(
      ""1SCYQd7_cobOYqT0r_F0IqD4tE4rYn5y8Eup4PJTH8es"",
      ""Snapshot!A:M""
    ),
    9,
    FALSE
  ),
  0
)
"),3.0)</f>
        <v>3</v>
      </c>
      <c r="AL5" s="54">
        <f>IFERROR(__xludf.DUMMYFUNCTION("IFERROR(
  VLOOKUP(
    A5,
    IMPORTRANGE(
      ""1SCYQd7_cobOYqT0r_F0IqD4tE4rYn5y8Eup4PJTH8es"",
      ""Snapshot!A:M""
    ),
    13,
    FALSE
  ),
  0
)
"),2.0)</f>
        <v>2</v>
      </c>
    </row>
    <row r="6">
      <c r="A6" s="3" t="s">
        <v>351</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"),"中学受験算数「速さ」｜きはじ計算・はじき計算（三公式）と単位換算（時速→分速）")</f>
        <v>中学受験算数「速さ」｜きはじ計算・はじき計算（三公式）と単位換算（時速→分速）</v>
      </c>
      <c r="D6" s="1" t="str">
        <f>IFERROR(__xludf.DUMMYFUNCTION("IFERROR(
  VLOOKUP(
    A6,
    IMPORTRANGE(
      ""1ZygntHC1J6IxzKbTidmOyf5nUyW4GCLurHCjexrLm_o        "",
      ""HTMLキャッシュ!A:F""
    ),
    6,
    FALSE
  ),
  0
)
"),"中学受験算数の速さを「きはじ計算／はじき計算」で即答できる土台に。距離＝速さ×時間／速さ＝距離÷時間／時間＝距離÷速さ、時速→分速・12分→12/60時間の換算、きはじが逆に遅くなる落とし穴、式→図（グラフ）で整理する手順まで解説。")</f>
        <v>中学受験算数の速さを「きはじ計算／はじき計算」で即答できる土台に。距離＝速さ×時間／速さ＝距離÷時間／時間＝距離÷速さ、時速→分速・12分→12/60時間の換算、きはじが逆に遅くなる落とし穴、式→図（グラフ）で整理する手順まで解説。</v>
      </c>
      <c r="E6" s="49">
        <f t="shared" ref="E6:F6" si="21">LEN(C6)</f>
        <v>39</v>
      </c>
      <c r="F6" s="49">
        <f t="shared" si="21"/>
        <v>116</v>
      </c>
      <c r="G6" s="32">
        <f>IFERROR(__xludf.DUMMYFUNCTION("IFERROR(
  VLOOKUP(
    A6,
    IMPORTRANGE(
      ""1ZygntHC1J6IxzKbTidmOyf5nUyW4GCLurHCjexrLm_o        "",
      ""HTMLキャッシュ!A:F""
    ),
    3,
    FALSE
  ),
  0
)
"),46069.77924768518)</f>
        <v>46069.77925</v>
      </c>
      <c r="H6" s="54">
        <f>IFERROR(__xludf.DUMMYFUNCTION("IFERROR(
  VLOOKUP(
    A6,
    IMPORTRANGE(
      ""1ZHMy3vVUd_0MrSduXTe1etBb1HNpAlGwQr006ljwMiM"",
      ""GSC最新!A:F""
    ),
    2,
    FALSE
  ),
  0
)
"),115.0)</f>
        <v>115</v>
      </c>
      <c r="I6" s="54">
        <f>IFERROR(__xludf.DUMMYFUNCTION("IFERROR(
  VLOOKUP(
    A6,
    IMPORTRANGE(
      ""1ZHMy3vVUd_0MrSduXTe1etBb1HNpAlGwQr006ljwMiM"",
      ""GSC最新!A:F""
    ),
    3,
    FALSE
  ),
  0
)
"),263.0)</f>
        <v>263</v>
      </c>
      <c r="J6" s="54">
        <f>IFERROR(__xludf.DUMMYFUNCTION("IFERROR(
  VLOOKUP(
    A6,
    IMPORTRANGE(
      ""1ZHMy3vVUd_0MrSduXTe1etBb1HNpAlGwQr006ljwMiM"",
      ""GSC最新!A:F""
    ),
    4,
    FALSE
  ),
  0
)
"),9.0)</f>
        <v>9</v>
      </c>
      <c r="K6" s="54">
        <f>IFERROR(__xludf.DUMMYFUNCTION("IFERROR(
  VLOOKUP(
    A6,
    IMPORTRANGE(
      ""1ZHMy3vVUd_0MrSduXTe1etBb1HNpAlGwQr006ljwMiM"",
      ""GSC最新!A:F""
    ),
    5,
    FALSE
  ),
  0
)
"),36.0)</f>
        <v>36</v>
      </c>
      <c r="L6" s="50">
        <f t="shared" ref="L6:M6" si="22">IFERROR(H6/J6,"-")</f>
        <v>12.77777778</v>
      </c>
      <c r="M6" s="50">
        <f t="shared" si="22"/>
        <v>7.305555556</v>
      </c>
      <c r="N6" s="59">
        <f>IFERROR(__xludf.DUMMYFUNCTION("IFERROR(
  VLOOKUP(
    A6,
    IMPORTRANGE(
      ""1ZHMy3vVUd_0MrSduXTe1etBb1HNpAlGwQr006ljwMiM"",
      ""GSC最新!A:R""
    ),
    7,
    FALSE
  ),
  0
)
"),18444.0)</f>
        <v>18444</v>
      </c>
      <c r="O6" s="59">
        <f>IFERROR(__xludf.DUMMYFUNCTION("IFERROR(
  VLOOKUP(
    A6,
    IMPORTRANGE(
      ""1ZHMy3vVUd_0MrSduXTe1etBb1HNpAlGwQr006ljwMiM"",
      ""GSC最新!A:R""
    ),
    10,
    FALSE
  ),
  0
)
"),31129.0)</f>
        <v>31129</v>
      </c>
      <c r="P6" s="59">
        <f>IFERROR(__xludf.DUMMYFUNCTION("IFERROR(
  VLOOKUP(
    A6,
    IMPORTRANGE(
      ""1ZHMy3vVUd_0MrSduXTe1etBb1HNpAlGwQr006ljwMiM"",
      ""GSC最新!A:R""
    ),
    13,
    FALSE
  ),
  0
)
"),361.0)</f>
        <v>361</v>
      </c>
      <c r="Q6" s="59">
        <f>IFERROR(__xludf.DUMMYFUNCTION("IFERROR(
  VLOOKUP(
    A6,
    IMPORTRANGE(
      ""1ZHMy3vVUd_0MrSduXTe1etBb1HNpAlGwQr006ljwMiM"",
      ""GSC最新!A:R""
    ),
    16,
    FALSE
  ),
  0
)
"),1206.0)</f>
        <v>1206</v>
      </c>
      <c r="R6" s="50">
        <f t="shared" ref="R6:S6" si="23">IFERROR(N6/P6,"-")</f>
        <v>51.09141274</v>
      </c>
      <c r="S6" s="50">
        <f t="shared" si="23"/>
        <v>25.81177446</v>
      </c>
      <c r="T6" s="60">
        <f>IFERROR(__xludf.DUMMYFUNCTION("IFERROR(
  VLOOKUP(
    A6,
    IMPORTRANGE(
      ""1ZHMy3vVUd_0MrSduXTe1etBb1HNpAlGwQr006ljwMiM"",
      ""GSC最新!A:R""
    ),
    8,
    FALSE
  ),
  0
)
"),0.0062350900021687266)</f>
        <v>0.006235090002</v>
      </c>
      <c r="U6" s="60">
        <f>IFERROR(__xludf.DUMMYFUNCTION("IFERROR(
  VLOOKUP(
    A6,
    IMPORTRANGE(
      ""1ZHMy3vVUd_0MrSduXTe1etBb1HNpAlGwQr006ljwMiM"",
      ""GSC最新!A:R""
    ),
    11,
    FALSE
  ),
  0
)
"),0.008448713418355874)</f>
        <v>0.008448713418</v>
      </c>
      <c r="V6" s="60">
        <f>IFERROR(__xludf.DUMMYFUNCTION("IFERROR(
  VLOOKUP(
    A6,
    IMPORTRANGE(
      ""1ZHMy3vVUd_0MrSduXTe1etBb1HNpAlGwQr006ljwMiM"",
      ""GSC最新!A:R""
    ),
    14,
    FALSE
  ),
  0
)
"),0.024930747922437674)</f>
        <v>0.02493074792</v>
      </c>
      <c r="W6" s="60">
        <f>IFERROR(__xludf.DUMMYFUNCTION("IFERROR(
  VLOOKUP(
    A6,
    IMPORTRANGE(
      ""1ZHMy3vVUd_0MrSduXTe1etBb1HNpAlGwQr006ljwMiM"",
      ""GSC最新!A:R""
    ),
    17,
    FALSE
  ),
  0
)
"),0.029850746268656716)</f>
        <v>0.02985074627</v>
      </c>
      <c r="X6" s="60">
        <f t="shared" ref="X6:Y6" si="24">IFERROR(T6-V6,"-")</f>
        <v>-0.01869565792</v>
      </c>
      <c r="Y6" s="60">
        <f t="shared" si="24"/>
        <v>-0.02140203285</v>
      </c>
      <c r="Z6" s="52">
        <f>IFERROR(__xludf.DUMMYFUNCTION("IFERROR(
  VLOOKUP(
    A6,
    IMPORTRANGE(
      ""1ZHMy3vVUd_0MrSduXTe1etBb1HNpAlGwQr006ljwMiM"",
      ""GSC最新!A:R""
    ),
    9,
    FALSE
  ),
  0
)
"),3.156365213619605)</f>
        <v>3.156365214</v>
      </c>
      <c r="AA6" s="52">
        <f>IFERROR(__xludf.DUMMYFUNCTION("IFERROR(
  VLOOKUP(
    A6,
    IMPORTRANGE(
      ""1ZHMy3vVUd_0MrSduXTe1etBb1HNpAlGwQr006ljwMiM"",
      ""GSC最新!A:R""
    ),
    12,
    FALSE
  ),
  0
)
"),3.4109030164798098)</f>
        <v>3.410903016</v>
      </c>
      <c r="AB6" s="52">
        <f>IFERROR(__xludf.DUMMYFUNCTION("IFERROR(
  VLOOKUP(
    A6,
    IMPORTRANGE(
      ""1ZHMy3vVUd_0MrSduXTe1etBb1HNpAlGwQr006ljwMiM"",
      ""GSC最新!A:R""
    ),
    15,
    FALSE
  ),
  0
)
"),11.13573407202216)</f>
        <v>11.13573407</v>
      </c>
      <c r="AC6" s="52">
        <f>IFERROR(__xludf.DUMMYFUNCTION("IFERROR(
  VLOOKUP(
    A6,
    IMPORTRANGE(
      ""1ZHMy3vVUd_0MrSduXTe1etBb1HNpAlGwQr006ljwMiM"",
      ""GSC最新!A:R""
    ),
    18,
    FALSE
  ),
  0
)
"),14.310116086235489)</f>
        <v>14.31011609</v>
      </c>
      <c r="AD6" s="52">
        <f t="shared" ref="AD6:AE6" si="25">Z6-AB6</f>
        <v>-7.979368858</v>
      </c>
      <c r="AE6" s="52">
        <f t="shared" si="25"/>
        <v>-10.89921307</v>
      </c>
      <c r="AF6" s="53">
        <f>IFERROR(__xludf.DUMMYFUNCTION("IFERROR(
  VLOOKUP(
    A6,
    IMPORTRANGE(
      ""1ZHMy3vVUd_0MrSduXTe1etBb1HNpAlGwQr006ljwMiM"",
      ""GSC最新!A:F""
    ),
    6,
    FALSE
  ),
  0
)
"),46081.0)</f>
        <v>46081</v>
      </c>
      <c r="AG6" s="54">
        <f>IFERROR(__xludf.DUMMYFUNCTION("IFERROR(
  VLOOKUP(
    A6,
    IMPORTRANGE(
      ""1SCYQd7_cobOYqT0r_F0IqD4tE4rYn5y8Eup4PJTH8es"",
      ""Snapshot!A:M""
    ),
    5,
    FALSE
  ),
  ""-""
)
"),6.0)</f>
        <v>6</v>
      </c>
      <c r="AH6" s="54">
        <f>IFERROR(__xludf.DUMMYFUNCTION("IFERROR(
  VLOOKUP(
    A6,
    IMPORTRANGE(
      ""1SCYQd7_cobOYqT0r_F0IqD4tE4rYn5y8Eup4PJTH8es"",
      ""Snapshot!A:M""
    ),
    6,
    FALSE
  ),
  0
)
"),16.0)</f>
        <v>16</v>
      </c>
      <c r="AI6" s="54">
        <f>IFERROR(__xludf.DUMMYFUNCTION("IFERROR(
  VLOOKUP(
    A6,
    IMPORTRANGE(
      ""1SCYQd7_cobOYqT0r_F0IqD4tE4rYn5y8Eup4PJTH8es"",
      ""Snapshot!A:M""
    ),
    7,
    FALSE
  ),
  0
)
"),5246.0)</f>
        <v>5246</v>
      </c>
      <c r="AJ6" s="54">
        <f>IFERROR(__xludf.DUMMYFUNCTION("IFERROR(
  VLOOKUP(
    A6,
    IMPORTRANGE(
      ""1SCYQd7_cobOYqT0r_F0IqD4tE4rYn5y8Eup4PJTH8es"",
      ""Snapshot!A:M""
    ),
    8,
    FALSE
  ),
  0
)
"),11.0)</f>
        <v>11</v>
      </c>
      <c r="AK6" s="54">
        <f>IFERROR(__xludf.DUMMYFUNCTION("IFERROR(
  VLOOKUP(
    A6,
    IMPORTRANGE(
      ""1SCYQd7_cobOYqT0r_F0IqD4tE4rYn5y8Eup4PJTH8es"",
      ""Snapshot!A:M""
    ),
    9,
    FALSE
  ),
  0
)
"),4.0)</f>
        <v>4</v>
      </c>
      <c r="AL6" s="54">
        <f>IFERROR(__xludf.DUMMYFUNCTION("IFERROR(
  VLOOKUP(
    A6,
    IMPORTRANGE(
      ""1SCYQd7_cobOYqT0r_F0IqD4tE4rYn5y8Eup4PJTH8es"",
      ""Snapshot!A:M""
    ),
    13,
    FALSE
  ),
  0
)
"),2.0)</f>
        <v>2</v>
      </c>
    </row>
    <row r="7">
      <c r="A7" s="3" t="s">
        <v>352</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"),"中学受験 算数の文章題が苦手な子へ｜つるかめ算・割合・並べ方の読み方と解き方 - 中学受験専門 夏井算数塾")</f>
        <v>中学受験 算数の文章題が苦手な子へ｜つるかめ算・割合・並べ方の読み方と解き方 - 中学受験専門 夏井算数塾</v>
      </c>
      <c r="D7" s="1" t="str">
        <f>IFERROR(__xludf.DUMMYFUNCTION("IFERROR(
  VLOOKUP(
    A7,
    IMPORTRANGE(
      ""1ZygntHC1J6IxzKbTidmOyf5nUyW4GCLurHCjexrLm_o        "",
      ""HTMLキャッシュ!A:F""
    ),
    6,
    FALSE
  ),
  0
)
"),"中学受験の算数文章題で点が伸びない小4〜小6向けガイド。つるかめ算・割合・あまりのあるわり算・並べ方など頻出単元を、「日本語の読み方」「式の立て方」「図の使い方」の順に整理。家でどんな問題から優先して練習すべきかも具体的に示します。")</f>
        <v>中学受験の算数文章題で点が伸びない小4〜小6向けガイド。つるかめ算・割合・あまりのあるわり算・並べ方など頻出単元を、「日本語の読み方」「式の立て方」「図の使い方」の順に整理。家でどんな問題から優先して練習すべきかも具体的に示します。</v>
      </c>
      <c r="E7" s="49">
        <f t="shared" ref="E7:F7" si="26">LEN(C7)</f>
        <v>53</v>
      </c>
      <c r="F7" s="49">
        <f t="shared" si="26"/>
        <v>116</v>
      </c>
      <c r="G7" s="32">
        <f>IFERROR(__xludf.DUMMYFUNCTION("IFERROR(
  VLOOKUP(
    A7,
    IMPORTRANGE(
      ""1ZygntHC1J6IxzKbTidmOyf5nUyW4GCLurHCjexrLm_o        "",
      ""HTMLキャッシュ!A:F""
    ),
    3,
    FALSE
  ),
  0
)
"),46069.853425925925)</f>
        <v>46069.85343</v>
      </c>
      <c r="H7" s="54">
        <f>IFERROR(__xludf.DUMMYFUNCTION("IFERROR(
  VLOOKUP(
    A7,
    IMPORTRANGE(
      ""1ZHMy3vVUd_0MrSduXTe1etBb1HNpAlGwQr006ljwMiM"",
      ""GSC最新!A:F""
    ),
    2,
    FALSE
  ),
  0
)
"),53.0)</f>
        <v>53</v>
      </c>
      <c r="I7" s="54">
        <f>IFERROR(__xludf.DUMMYFUNCTION("IFERROR(
  VLOOKUP(
    A7,
    IMPORTRANGE(
      ""1ZHMy3vVUd_0MrSduXTe1etBb1HNpAlGwQr006ljwMiM"",
      ""GSC最新!A:F""
    ),
    3,
    FALSE
  ),
  0
)
"),209.0)</f>
        <v>209</v>
      </c>
      <c r="J7" s="54">
        <f>IFERROR(__xludf.DUMMYFUNCTION("IFERROR(
  VLOOKUP(
    A7,
    IMPORTRANGE(
      ""1ZHMy3vVUd_0MrSduXTe1etBb1HNpAlGwQr006ljwMiM"",
      ""GSC最新!A:F""
    ),
    4,
    FALSE
  ),
  0
)
"),26.0)</f>
        <v>26</v>
      </c>
      <c r="K7" s="54">
        <f>IFERROR(__xludf.DUMMYFUNCTION("IFERROR(
  VLOOKUP(
    A7,
    IMPORTRANGE(
      ""1ZHMy3vVUd_0MrSduXTe1etBb1HNpAlGwQr006ljwMiM"",
      ""GSC最新!A:F""
    ),
    5,
    FALSE
  ),
  0
)
"),84.0)</f>
        <v>84</v>
      </c>
      <c r="L7" s="50">
        <f t="shared" ref="L7:M7" si="27">IFERROR(H7/J7,"-")</f>
        <v>2.038461538</v>
      </c>
      <c r="M7" s="50">
        <f t="shared" si="27"/>
        <v>2.488095238</v>
      </c>
      <c r="N7" s="59">
        <f>IFERROR(__xludf.DUMMYFUNCTION("IFERROR(
  VLOOKUP(
    A7,
    IMPORTRANGE(
      ""1ZHMy3vVUd_0MrSduXTe1etBb1HNpAlGwQr006ljwMiM"",
      ""GSC最新!A:R""
    ),
    7,
    FALSE
  ),
  0
)
"),1989.0)</f>
        <v>1989</v>
      </c>
      <c r="O7" s="59">
        <f>IFERROR(__xludf.DUMMYFUNCTION("IFERROR(
  VLOOKUP(
    A7,
    IMPORTRANGE(
      ""1ZHMy3vVUd_0MrSduXTe1etBb1HNpAlGwQr006ljwMiM"",
      ""GSC最新!A:R""
    ),
    10,
    FALSE
  ),
  0
)
"),6316.0)</f>
        <v>6316</v>
      </c>
      <c r="P7" s="59">
        <f>IFERROR(__xludf.DUMMYFUNCTION("IFERROR(
  VLOOKUP(
    A7,
    IMPORTRANGE(
      ""1ZHMy3vVUd_0MrSduXTe1etBb1HNpAlGwQr006ljwMiM"",
      ""GSC最新!A:R""
    ),
    13,
    FALSE
  ),
  0
)
"),585.0)</f>
        <v>585</v>
      </c>
      <c r="Q7" s="59">
        <f>IFERROR(__xludf.DUMMYFUNCTION("IFERROR(
  VLOOKUP(
    A7,
    IMPORTRANGE(
      ""1ZHMy3vVUd_0MrSduXTe1etBb1HNpAlGwQr006ljwMiM"",
      ""GSC最新!A:R""
    ),
    16,
    FALSE
  ),
  0
)
"),1729.0)</f>
        <v>1729</v>
      </c>
      <c r="R7" s="50">
        <f t="shared" ref="R7:S7" si="28">IFERROR(N7/P7,"-")</f>
        <v>3.4</v>
      </c>
      <c r="S7" s="50">
        <f t="shared" si="28"/>
        <v>3.6529786</v>
      </c>
      <c r="T7" s="60">
        <f>IFERROR(__xludf.DUMMYFUNCTION("IFERROR(
  VLOOKUP(
    A7,
    IMPORTRANGE(
      ""1ZHMy3vVUd_0MrSduXTe1etBb1HNpAlGwQr006ljwMiM"",
      ""GSC最新!A:R""
    ),
    8,
    FALSE
  ),
  0
)
"),0.026646556058320763)</f>
        <v>0.02664655606</v>
      </c>
      <c r="U7" s="60">
        <f>IFERROR(__xludf.DUMMYFUNCTION("IFERROR(
  VLOOKUP(
    A7,
    IMPORTRANGE(
      ""1ZHMy3vVUd_0MrSduXTe1etBb1HNpAlGwQr006ljwMiM"",
      ""GSC最新!A:R""
    ),
    11,
    FALSE
  ),
  0
)
"),0.03309056364787841)</f>
        <v>0.03309056365</v>
      </c>
      <c r="V7" s="60">
        <f>IFERROR(__xludf.DUMMYFUNCTION("IFERROR(
  VLOOKUP(
    A7,
    IMPORTRANGE(
      ""1ZHMy3vVUd_0MrSduXTe1etBb1HNpAlGwQr006ljwMiM"",
      ""GSC最新!A:R""
    ),
    14,
    FALSE
  ),
  0
)
"),0.044444444444444446)</f>
        <v>0.04444444444</v>
      </c>
      <c r="W7" s="60">
        <f>IFERROR(__xludf.DUMMYFUNCTION("IFERROR(
  VLOOKUP(
    A7,
    IMPORTRANGE(
      ""1ZHMy3vVUd_0MrSduXTe1etBb1HNpAlGwQr006ljwMiM"",
      ""GSC最新!A:R""
    ),
    17,
    FALSE
  ),
  0
)
"),0.048582995951417005)</f>
        <v>0.04858299595</v>
      </c>
      <c r="X7" s="60">
        <f t="shared" ref="X7:Y7" si="29">IFERROR(T7-V7,"-")</f>
        <v>-0.01779788839</v>
      </c>
      <c r="Y7" s="60">
        <f t="shared" si="29"/>
        <v>-0.0154924323</v>
      </c>
      <c r="Z7" s="52">
        <f>IFERROR(__xludf.DUMMYFUNCTION("IFERROR(
  VLOOKUP(
    A7,
    IMPORTRANGE(
      ""1ZHMy3vVUd_0MrSduXTe1etBb1HNpAlGwQr006ljwMiM"",
      ""GSC最新!A:R""
    ),
    9,
    FALSE
  ),
  0
)
"),6.1091000502765205)</f>
        <v>6.10910005</v>
      </c>
      <c r="AA7" s="52">
        <f>IFERROR(__xludf.DUMMYFUNCTION("IFERROR(
  VLOOKUP(
    A7,
    IMPORTRANGE(
      ""1ZHMy3vVUd_0MrSduXTe1etBb1HNpAlGwQr006ljwMiM"",
      ""GSC最新!A:R""
    ),
    12,
    FALSE
  ),
  0
)
"),6.116054464851172)</f>
        <v>6.116054465</v>
      </c>
      <c r="AB7" s="52">
        <f>IFERROR(__xludf.DUMMYFUNCTION("IFERROR(
  VLOOKUP(
    A7,
    IMPORTRANGE(
      ""1ZHMy3vVUd_0MrSduXTe1etBb1HNpAlGwQr006ljwMiM"",
      ""GSC最新!A:R""
    ),
    15,
    FALSE
  ),
  0
)
"),15.458119658119658)</f>
        <v>15.45811966</v>
      </c>
      <c r="AC7" s="52">
        <f>IFERROR(__xludf.DUMMYFUNCTION("IFERROR(
  VLOOKUP(
    A7,
    IMPORTRANGE(
      ""1ZHMy3vVUd_0MrSduXTe1etBb1HNpAlGwQr006ljwMiM"",
      ""GSC最新!A:R""
    ),
    18,
    FALSE
  ),
  0
)
"),17.710237131289762)</f>
        <v>17.71023713</v>
      </c>
      <c r="AD7" s="52">
        <f t="shared" ref="AD7:AE7" si="30">Z7-AB7</f>
        <v>-9.349019608</v>
      </c>
      <c r="AE7" s="52">
        <f t="shared" si="30"/>
        <v>-11.59418267</v>
      </c>
      <c r="AF7" s="53">
        <f>IFERROR(__xludf.DUMMYFUNCTION("IFERROR(
  VLOOKUP(
    A7,
    IMPORTRANGE(
      ""1ZHMy3vVUd_0MrSduXTe1etBb1HNpAlGwQr006ljwMiM"",
      ""GSC最新!A:F""
    ),
    6,
    FALSE
  ),
  0
)
"),46081.0)</f>
        <v>46081</v>
      </c>
      <c r="AG7" s="54">
        <f>IFERROR(__xludf.DUMMYFUNCTION("IFERROR(
  VLOOKUP(
    A7,
    IMPORTRANGE(
      ""1SCYQd7_cobOYqT0r_F0IqD4tE4rYn5y8Eup4PJTH8es"",
      ""Snapshot!A:M""
    ),
    5,
    FALSE
  ),
  ""-""
)
"),4.0)</f>
        <v>4</v>
      </c>
      <c r="AH7" s="54">
        <f>IFERROR(__xludf.DUMMYFUNCTION("IFERROR(
  VLOOKUP(
    A7,
    IMPORTRANGE(
      ""1SCYQd7_cobOYqT0r_F0IqD4tE4rYn5y8Eup4PJTH8es"",
      ""Snapshot!A:M""
    ),
    6,
    FALSE
  ),
  0
)
"),16.0)</f>
        <v>16</v>
      </c>
      <c r="AI7" s="54">
        <f>IFERROR(__xludf.DUMMYFUNCTION("IFERROR(
  VLOOKUP(
    A7,
    IMPORTRANGE(
      ""1SCYQd7_cobOYqT0r_F0IqD4tE4rYn5y8Eup4PJTH8es"",
      ""Snapshot!A:M""
    ),
    7,
    FALSE
  ),
  0
)
"),6456.0)</f>
        <v>6456</v>
      </c>
      <c r="AJ7" s="54">
        <f>IFERROR(__xludf.DUMMYFUNCTION("IFERROR(
  VLOOKUP(
    A7,
    IMPORTRANGE(
      ""1SCYQd7_cobOYqT0r_F0IqD4tE4rYn5y8Eup4PJTH8es"",
      ""Snapshot!A:M""
    ),
    8,
    FALSE
  ),
  0
)
"),14.0)</f>
        <v>14</v>
      </c>
      <c r="AK7" s="54">
        <f>IFERROR(__xludf.DUMMYFUNCTION("IFERROR(
  VLOOKUP(
    A7,
    IMPORTRANGE(
      ""1SCYQd7_cobOYqT0r_F0IqD4tE4rYn5y8Eup4PJTH8es"",
      ""Snapshot!A:M""
    ),
    9,
    FALSE
  ),
  0
)
"),4.0)</f>
        <v>4</v>
      </c>
      <c r="AL7" s="54">
        <f>IFERROR(__xludf.DUMMYFUNCTION("IFERROR(
  VLOOKUP(
    A7,
    IMPORTRANGE(
      ""1SCYQd7_cobOYqT0r_F0IqD4tE4rYn5y8Eup4PJTH8es"",
      ""Snapshot!A:M""
    ),
    13,
    FALSE
  ),
  0
)
"),2.0)</f>
        <v>2</v>
      </c>
    </row>
    <row r="8">
      <c r="A8" s="3" t="s">
        <v>353</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"),"中学入試算数で頻出する立体図形を克服する方法 - 中学受験専門 夏井算数塾")</f>
        <v>中学入試算数で頻出する立体図形を克服する方法 - 中学受験専門 夏井算数塾</v>
      </c>
      <c r="D8" s="1" t="str">
        <f>IFERROR(__xludf.DUMMYFUNCTION("IFERROR(
  VLOOKUP(
    A8,
    IMPORTRANGE(
      ""1ZygntHC1J6IxzKbTidmOyf5nUyW4GCLurHCjexrLm_o        "",
      ""HTMLキャッシュ!A:F""
    ),
    6,
    FALSE
  ),
  0
)
"),"中学入試算数の立体図形対策！図形を正確に描き、多方面から観察し、捨て問題を見極めるコツを解説。苦手を克服し、得点源に変える方法を確認しましょう！")</f>
        <v>中学入試算数の立体図形対策！図形を正確に描き、多方面から観察し、捨て問題を見極めるコツを解説。苦手を克服し、得点源に変える方法を確認しましょう！</v>
      </c>
      <c r="E8" s="49">
        <f t="shared" ref="E8:F8" si="31">LEN(C8)</f>
        <v>37</v>
      </c>
      <c r="F8" s="49">
        <f t="shared" si="31"/>
        <v>72</v>
      </c>
      <c r="G8" s="32">
        <f>IFERROR(__xludf.DUMMYFUNCTION("IFERROR(
  VLOOKUP(
    A8,
    IMPORTRANGE(
      ""1ZygntHC1J6IxzKbTidmOyf5nUyW4GCLurHCjexrLm_o        "",
      ""HTMLキャッシュ!A:F""
    ),
    3,
    FALSE
  ),
  0
)
"),46048.6684837963)</f>
        <v>46048.66848</v>
      </c>
      <c r="H8" s="54">
        <f>IFERROR(__xludf.DUMMYFUNCTION("IFERROR(
  VLOOKUP(
    A8,
    IMPORTRANGE(
      ""1ZHMy3vVUd_0MrSduXTe1etBb1HNpAlGwQr006ljwMiM"",
      ""GSC最新!A:F""
    ),
    2,
    FALSE
  ),
  0
)
"),24.0)</f>
        <v>24</v>
      </c>
      <c r="I8" s="54">
        <f>IFERROR(__xludf.DUMMYFUNCTION("IFERROR(
  VLOOKUP(
    A8,
    IMPORTRANGE(
      ""1ZHMy3vVUd_0MrSduXTe1etBb1HNpAlGwQr006ljwMiM"",
      ""GSC最新!A:F""
    ),
    3,
    FALSE
  ),
  0
)
"),158.0)</f>
        <v>158</v>
      </c>
      <c r="J8" s="54">
        <f>IFERROR(__xludf.DUMMYFUNCTION("IFERROR(
  VLOOKUP(
    A8,
    IMPORTRANGE(
      ""1ZHMy3vVUd_0MrSduXTe1etBb1HNpAlGwQr006ljwMiM"",
      ""GSC最新!A:F""
    ),
    4,
    FALSE
  ),
  0
)
"),0.0)</f>
        <v>0</v>
      </c>
      <c r="K8" s="54">
        <f>IFERROR(__xludf.DUMMYFUNCTION("IFERROR(
  VLOOKUP(
    A8,
    IMPORTRANGE(
      ""1ZHMy3vVUd_0MrSduXTe1etBb1HNpAlGwQr006ljwMiM"",
      ""GSC最新!A:F""
    ),
    5,
    FALSE
  ),
  0
)
"),3.0)</f>
        <v>3</v>
      </c>
      <c r="L8" s="50" t="str">
        <f t="shared" ref="L8:M8" si="32">IFERROR(H8/J8,"-")</f>
        <v>-</v>
      </c>
      <c r="M8" s="50">
        <f t="shared" si="32"/>
        <v>52.66666667</v>
      </c>
      <c r="N8" s="59">
        <f>IFERROR(__xludf.DUMMYFUNCTION("IFERROR(
  VLOOKUP(
    A8,
    IMPORTRANGE(
      ""1ZHMy3vVUd_0MrSduXTe1etBb1HNpAlGwQr006ljwMiM"",
      ""GSC最新!A:R""
    ),
    7,
    FALSE
  ),
  0
)
"),726.0)</f>
        <v>726</v>
      </c>
      <c r="O8" s="59">
        <f>IFERROR(__xludf.DUMMYFUNCTION("IFERROR(
  VLOOKUP(
    A8,
    IMPORTRANGE(
      ""1ZHMy3vVUd_0MrSduXTe1etBb1HNpAlGwQr006ljwMiM"",
      ""GSC最新!A:R""
    ),
    10,
    FALSE
  ),
  0
)
"),2814.0)</f>
        <v>2814</v>
      </c>
      <c r="P8" s="59">
        <f>IFERROR(__xludf.DUMMYFUNCTION("IFERROR(
  VLOOKUP(
    A8,
    IMPORTRANGE(
      ""1ZHMy3vVUd_0MrSduXTe1etBb1HNpAlGwQr006ljwMiM"",
      ""GSC最新!A:R""
    ),
    13,
    FALSE
  ),
  0
)
"),37.0)</f>
        <v>37</v>
      </c>
      <c r="Q8" s="59">
        <f>IFERROR(__xludf.DUMMYFUNCTION("IFERROR(
  VLOOKUP(
    A8,
    IMPORTRANGE(
      ""1ZHMy3vVUd_0MrSduXTe1etBb1HNpAlGwQr006ljwMiM"",
      ""GSC最新!A:R""
    ),
    16,
    FALSE
  ),
  0
)
"),135.0)</f>
        <v>135</v>
      </c>
      <c r="R8" s="50">
        <f t="shared" ref="R8:S8" si="33">IFERROR(N8/P8,"-")</f>
        <v>19.62162162</v>
      </c>
      <c r="S8" s="50">
        <f t="shared" si="33"/>
        <v>20.84444444</v>
      </c>
      <c r="T8" s="60">
        <f>IFERROR(__xludf.DUMMYFUNCTION("IFERROR(
  VLOOKUP(
    A8,
    IMPORTRANGE(
      ""1ZHMy3vVUd_0MrSduXTe1etBb1HNpAlGwQr006ljwMiM"",
      ""GSC最新!A:R""
    ),
    8,
    FALSE
  ),
  0
)
"),0.03305785123966942)</f>
        <v>0.03305785124</v>
      </c>
      <c r="U8" s="60">
        <f>IFERROR(__xludf.DUMMYFUNCTION("IFERROR(
  VLOOKUP(
    A8,
    IMPORTRANGE(
      ""1ZHMy3vVUd_0MrSduXTe1etBb1HNpAlGwQr006ljwMiM"",
      ""GSC最新!A:R""
    ),
    11,
    FALSE
  ),
  0
)
"),0.05614783226723525)</f>
        <v>0.05614783227</v>
      </c>
      <c r="V8" s="60">
        <f>IFERROR(__xludf.DUMMYFUNCTION("IFERROR(
  VLOOKUP(
    A8,
    IMPORTRANGE(
      ""1ZHMy3vVUd_0MrSduXTe1etBb1HNpAlGwQr006ljwMiM"",
      ""GSC最新!A:R""
    ),
    14,
    FALSE
  ),
  0
)
"),0.0)</f>
        <v>0</v>
      </c>
      <c r="W8" s="60">
        <f>IFERROR(__xludf.DUMMYFUNCTION("IFERROR(
  VLOOKUP(
    A8,
    IMPORTRANGE(
      ""1ZHMy3vVUd_0MrSduXTe1etBb1HNpAlGwQr006ljwMiM"",
      ""GSC最新!A:R""
    ),
    17,
    FALSE
  ),
  0
)
"),0.022222222222222223)</f>
        <v>0.02222222222</v>
      </c>
      <c r="X8" s="60">
        <f t="shared" ref="X8:Y8" si="34">IFERROR(T8-V8,"-")</f>
        <v>0.03305785124</v>
      </c>
      <c r="Y8" s="60">
        <f t="shared" si="34"/>
        <v>0.03392561005</v>
      </c>
      <c r="Z8" s="52">
        <f>IFERROR(__xludf.DUMMYFUNCTION("IFERROR(
  VLOOKUP(
    A8,
    IMPORTRANGE(
      ""1ZHMy3vVUd_0MrSduXTe1etBb1HNpAlGwQr006ljwMiM"",
      ""GSC最新!A:R""
    ),
    9,
    FALSE
  ),
  0
)
"),4.621212121212121)</f>
        <v>4.621212121</v>
      </c>
      <c r="AA8" s="52">
        <f>IFERROR(__xludf.DUMMYFUNCTION("IFERROR(
  VLOOKUP(
    A8,
    IMPORTRANGE(
      ""1ZHMy3vVUd_0MrSduXTe1etBb1HNpAlGwQr006ljwMiM"",
      ""GSC最新!A:R""
    ),
    12,
    FALSE
  ),
  0
)
"),4.986851457000711)</f>
        <v>4.986851457</v>
      </c>
      <c r="AB8" s="52">
        <f>IFERROR(__xludf.DUMMYFUNCTION("IFERROR(
  VLOOKUP(
    A8,
    IMPORTRANGE(
      ""1ZHMy3vVUd_0MrSduXTe1etBb1HNpAlGwQr006ljwMiM"",
      ""GSC最新!A:R""
    ),
    15,
    FALSE
  ),
  0
)
"),33.62162162162162)</f>
        <v>33.62162162</v>
      </c>
      <c r="AC8" s="52">
        <f>IFERROR(__xludf.DUMMYFUNCTION("IFERROR(
  VLOOKUP(
    A8,
    IMPORTRANGE(
      ""1ZHMy3vVUd_0MrSduXTe1etBb1HNpAlGwQr006ljwMiM"",
      ""GSC最新!A:R""
    ),
    18,
    FALSE
  ),
  0
)
"),37.91851851851852)</f>
        <v>37.91851852</v>
      </c>
      <c r="AD8" s="52">
        <f t="shared" ref="AD8:AE8" si="35">Z8-AB8</f>
        <v>-29.0004095</v>
      </c>
      <c r="AE8" s="52">
        <f t="shared" si="35"/>
        <v>-32.93166706</v>
      </c>
      <c r="AF8" s="53">
        <f>IFERROR(__xludf.DUMMYFUNCTION("IFERROR(
  VLOOKUP(
    A8,
    IMPORTRANGE(
      ""1ZHMy3vVUd_0MrSduXTe1etBb1HNpAlGwQr006ljwMiM"",
      ""GSC最新!A:F""
    ),
    6,
    FALSE
  ),
  0
)
"),46081.0)</f>
        <v>46081</v>
      </c>
      <c r="AG8" s="54">
        <f>IFERROR(__xludf.DUMMYFUNCTION("IFERROR(
  VLOOKUP(
    A8,
    IMPORTRANGE(
      ""1SCYQd7_cobOYqT0r_F0IqD4tE4rYn5y8Eup4PJTH8es"",
      ""Snapshot!A:M""
    ),
    5,
    FALSE
  ),
  ""-""
)
"),4.0)</f>
        <v>4</v>
      </c>
      <c r="AH8" s="54">
        <f>IFERROR(__xludf.DUMMYFUNCTION("IFERROR(
  VLOOKUP(
    A8,
    IMPORTRANGE(
      ""1SCYQd7_cobOYqT0r_F0IqD4tE4rYn5y8Eup4PJTH8es"",
      ""Snapshot!A:M""
    ),
    6,
    FALSE
  ),
  0
)
"),3.0)</f>
        <v>3</v>
      </c>
      <c r="AI8" s="54">
        <f>IFERROR(__xludf.DUMMYFUNCTION("IFERROR(
  VLOOKUP(
    A8,
    IMPORTRANGE(
      ""1SCYQd7_cobOYqT0r_F0IqD4tE4rYn5y8Eup4PJTH8es"",
      ""Snapshot!A:M""
    ),
    7,
    FALSE
  ),
  0
)
"),2492.0)</f>
        <v>2492</v>
      </c>
      <c r="AJ8" s="54">
        <f>IFERROR(__xludf.DUMMYFUNCTION("IFERROR(
  VLOOKUP(
    A8,
    IMPORTRANGE(
      ""1SCYQd7_cobOYqT0r_F0IqD4tE4rYn5y8Eup4PJTH8es"",
      ""Snapshot!A:M""
    ),
    8,
    FALSE
  ),
  0
)
"),3.0)</f>
        <v>3</v>
      </c>
      <c r="AK8" s="54">
        <f>IFERROR(__xludf.DUMMYFUNCTION("IFERROR(
  VLOOKUP(
    A8,
    IMPORTRANGE(
      ""1SCYQd7_cobOYqT0r_F0IqD4tE4rYn5y8Eup4PJTH8es"",
      ""Snapshot!A:M""
    ),
    9,
    FALSE
  ),
  0
)
"),1.0)</f>
        <v>1</v>
      </c>
      <c r="AL8" s="54">
        <f>IFERROR(__xludf.DUMMYFUNCTION("IFERROR(
  VLOOKUP(
    A8,
    IMPORTRANGE(
      ""1SCYQd7_cobOYqT0r_F0IqD4tE4rYn5y8Eup4PJTH8es"",
      ""Snapshot!A:M""
    ),
    13,
    FALSE
  ),
  0
)
"),2.0)</f>
        <v>2</v>
      </c>
    </row>
    <row r="9">
      <c r="A9" s="3" t="s">
        <v>354</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"),"510-09 中学受験算数の旅人算を図で攻略──ダイヤグラムで速さ・時間・距離を一発理解 - 中学受験専門 夏井算数塾")</f>
        <v>510-09 中学受験算数の旅人算を図で攻略──ダイヤグラムで速さ・時間・距離を一発理解 - 中学受験専門 夏井算数塾</v>
      </c>
      <c r="D9" s="1" t="str">
        <f>IFERROR(__xludf.DUMMYFUNCTION("IFERROR(
  VLOOKUP(
    A9,
    IMPORTRANGE(
      ""1ZygntHC1J6IxzKbTidmOyf5nUyW4GCLurHCjexrLm_o        "",
      ""HTMLキャッシュ!A:F""
    ),
    6,
    FALSE
  ),
  0
)
"),"中学受験算数の定番「旅人算」を、ダイヤグラム（線分図）でわかりやすく解説。出会い・追いかけ・3人の旅人算まで、SPIにも通じる考え方と解き方のコツを丁寧に整理します。")</f>
        <v>中学受験算数の定番「旅人算」を、ダイヤグラム（線分図）でわかりやすく解説。出会い・追いかけ・3人の旅人算まで、SPIにも通じる考え方と解き方のコツを丁寧に整理します。</v>
      </c>
      <c r="E9" s="49">
        <f t="shared" ref="E9:F9" si="36">LEN(C9)</f>
        <v>59</v>
      </c>
      <c r="F9" s="49">
        <f t="shared" si="36"/>
        <v>83</v>
      </c>
      <c r="G9" s="32">
        <f>IFERROR(__xludf.DUMMYFUNCTION("IFERROR(
  VLOOKUP(
    A9,
    IMPORTRANGE(
      ""1ZygntHC1J6IxzKbTidmOyf5nUyW4GCLurHCjexrLm_o        "",
      ""HTMLキャッシュ!A:F""
    ),
    3,
    FALSE
  ),
  0
)
"),46046.78023148148)</f>
        <v>46046.78023</v>
      </c>
      <c r="H9" s="54">
        <f>IFERROR(__xludf.DUMMYFUNCTION("IFERROR(
  VLOOKUP(
    A9,
    IMPORTRANGE(
      ""1ZHMy3vVUd_0MrSduXTe1etBb1HNpAlGwQr006ljwMiM"",
      ""GSC最新!A:F""
    ),
    2,
    FALSE
  ),
  0
)
"),41.0)</f>
        <v>41</v>
      </c>
      <c r="I9" s="54">
        <f>IFERROR(__xludf.DUMMYFUNCTION("IFERROR(
  VLOOKUP(
    A9,
    IMPORTRANGE(
      ""1ZHMy3vVUd_0MrSduXTe1etBb1HNpAlGwQr006ljwMiM"",
      ""GSC最新!A:F""
    ),
    3,
    FALSE
  ),
  0
)
"),142.0)</f>
        <v>142</v>
      </c>
      <c r="J9" s="54">
        <f>IFERROR(__xludf.DUMMYFUNCTION("IFERROR(
  VLOOKUP(
    A9,
    IMPORTRANGE(
      ""1ZHMy3vVUd_0MrSduXTe1etBb1HNpAlGwQr006ljwMiM"",
      ""GSC最新!A:F""
    ),
    4,
    FALSE
  ),
  0
)
"),0.0)</f>
        <v>0</v>
      </c>
      <c r="K9" s="54">
        <f>IFERROR(__xludf.DUMMYFUNCTION("IFERROR(
  VLOOKUP(
    A9,
    IMPORTRANGE(
      ""1ZHMy3vVUd_0MrSduXTe1etBb1HNpAlGwQr006ljwMiM"",
      ""GSC最新!A:F""
    ),
    5,
    FALSE
  ),
  0
)
"),5.0)</f>
        <v>5</v>
      </c>
      <c r="L9" s="50" t="str">
        <f t="shared" ref="L9:M9" si="37">IFERROR(H9/J9,"-")</f>
        <v>-</v>
      </c>
      <c r="M9" s="50">
        <f t="shared" si="37"/>
        <v>28.4</v>
      </c>
      <c r="N9" s="59">
        <f>IFERROR(__xludf.DUMMYFUNCTION("IFERROR(
  VLOOKUP(
    A9,
    IMPORTRANGE(
      ""1ZHMy3vVUd_0MrSduXTe1etBb1HNpAlGwQr006ljwMiM"",
      ""GSC最新!A:R""
    ),
    7,
    FALSE
  ),
  0
)
"),1307.0)</f>
        <v>1307</v>
      </c>
      <c r="O9" s="59">
        <f>IFERROR(__xludf.DUMMYFUNCTION("IFERROR(
  VLOOKUP(
    A9,
    IMPORTRANGE(
      ""1ZHMy3vVUd_0MrSduXTe1etBb1HNpAlGwQr006ljwMiM"",
      ""GSC最新!A:R""
    ),
    10,
    FALSE
  ),
  0
)
"),3384.0)</f>
        <v>3384</v>
      </c>
      <c r="P9" s="59">
        <f>IFERROR(__xludf.DUMMYFUNCTION("IFERROR(
  VLOOKUP(
    A9,
    IMPORTRANGE(
      ""1ZHMy3vVUd_0MrSduXTe1etBb1HNpAlGwQr006ljwMiM"",
      ""GSC最新!A:R""
    ),
    13,
    FALSE
  ),
  0
)
"),7.0)</f>
        <v>7</v>
      </c>
      <c r="Q9" s="59">
        <f>IFERROR(__xludf.DUMMYFUNCTION("IFERROR(
  VLOOKUP(
    A9,
    IMPORTRANGE(
      ""1ZHMy3vVUd_0MrSduXTe1etBb1HNpAlGwQr006ljwMiM"",
      ""GSC最新!A:R""
    ),
    16,
    FALSE
  ),
  0
)
"),84.0)</f>
        <v>84</v>
      </c>
      <c r="R9" s="50">
        <f t="shared" ref="R9:S9" si="38">IFERROR(N9/P9,"-")</f>
        <v>186.7142857</v>
      </c>
      <c r="S9" s="50">
        <f t="shared" si="38"/>
        <v>40.28571429</v>
      </c>
      <c r="T9" s="60">
        <f>IFERROR(__xludf.DUMMYFUNCTION("IFERROR(
  VLOOKUP(
    A9,
    IMPORTRANGE(
      ""1ZHMy3vVUd_0MrSduXTe1etBb1HNpAlGwQr006ljwMiM"",
      ""GSC最新!A:R""
    ),
    8,
    FALSE
  ),
  0
)
"),0.03136954858454476)</f>
        <v>0.03136954858</v>
      </c>
      <c r="U9" s="60">
        <f>IFERROR(__xludf.DUMMYFUNCTION("IFERROR(
  VLOOKUP(
    A9,
    IMPORTRANGE(
      ""1ZHMy3vVUd_0MrSduXTe1etBb1HNpAlGwQr006ljwMiM"",
      ""GSC最新!A:R""
    ),
    11,
    FALSE
  ),
  0
)
"),0.04196217494089834)</f>
        <v>0.04196217494</v>
      </c>
      <c r="V9" s="60">
        <f>IFERROR(__xludf.DUMMYFUNCTION("IFERROR(
  VLOOKUP(
    A9,
    IMPORTRANGE(
      ""1ZHMy3vVUd_0MrSduXTe1etBb1HNpAlGwQr006ljwMiM"",
      ""GSC最新!A:R""
    ),
    14,
    FALSE
  ),
  0
)
"),0.0)</f>
        <v>0</v>
      </c>
      <c r="W9" s="60">
        <f>IFERROR(__xludf.DUMMYFUNCTION("IFERROR(
  VLOOKUP(
    A9,
    IMPORTRANGE(
      ""1ZHMy3vVUd_0MrSduXTe1etBb1HNpAlGwQr006ljwMiM"",
      ""GSC最新!A:R""
    ),
    17,
    FALSE
  ),
  0
)
"),0.05952380952380952)</f>
        <v>0.05952380952</v>
      </c>
      <c r="X9" s="60">
        <f t="shared" ref="X9:Y9" si="39">IFERROR(T9-V9,"-")</f>
        <v>0.03136954858</v>
      </c>
      <c r="Y9" s="60">
        <f t="shared" si="39"/>
        <v>-0.01756163458</v>
      </c>
      <c r="Z9" s="52">
        <f>IFERROR(__xludf.DUMMYFUNCTION("IFERROR(
  VLOOKUP(
    A9,
    IMPORTRANGE(
      ""1ZHMy3vVUd_0MrSduXTe1etBb1HNpAlGwQr006ljwMiM"",
      ""GSC最新!A:R""
    ),
    9,
    FALSE
  ),
  0
)
"),4.723029839326703)</f>
        <v>4.723029839</v>
      </c>
      <c r="AA9" s="52">
        <f>IFERROR(__xludf.DUMMYFUNCTION("IFERROR(
  VLOOKUP(
    A9,
    IMPORTRANGE(
      ""1ZHMy3vVUd_0MrSduXTe1etBb1HNpAlGwQr006ljwMiM"",
      ""GSC最新!A:R""
    ),
    12,
    FALSE
  ),
  0
)
"),5.37677304964539)</f>
        <v>5.37677305</v>
      </c>
      <c r="AB9" s="52">
        <f>IFERROR(__xludf.DUMMYFUNCTION("IFERROR(
  VLOOKUP(
    A9,
    IMPORTRANGE(
      ""1ZHMy3vVUd_0MrSduXTe1etBb1HNpAlGwQr006ljwMiM"",
      ""GSC最新!A:R""
    ),
    15,
    FALSE
  ),
  0
)
"),5.285714285714286)</f>
        <v>5.285714286</v>
      </c>
      <c r="AC9" s="52">
        <f>IFERROR(__xludf.DUMMYFUNCTION("IFERROR(
  VLOOKUP(
    A9,
    IMPORTRANGE(
      ""1ZHMy3vVUd_0MrSduXTe1etBb1HNpAlGwQr006ljwMiM"",
      ""GSC最新!A:R""
    ),
    18,
    FALSE
  ),
  0
)
"),28.452380952380953)</f>
        <v>28.45238095</v>
      </c>
      <c r="AD9" s="52">
        <f t="shared" ref="AD9:AE9" si="40">Z9-AB9</f>
        <v>-0.5626844464</v>
      </c>
      <c r="AE9" s="52">
        <f t="shared" si="40"/>
        <v>-23.0756079</v>
      </c>
      <c r="AF9" s="53">
        <f>IFERROR(__xludf.DUMMYFUNCTION("IFERROR(
  VLOOKUP(
    A9,
    IMPORTRANGE(
      ""1ZHMy3vVUd_0MrSduXTe1etBb1HNpAlGwQr006ljwMiM"",
      ""GSC最新!A:F""
    ),
    6,
    FALSE
  ),
  0
)
"),46081.0)</f>
        <v>46081</v>
      </c>
      <c r="AG9" s="54">
        <f>IFERROR(__xludf.DUMMYFUNCTION("IFERROR(
  VLOOKUP(
    A9,
    IMPORTRANGE(
      ""1SCYQd7_cobOYqT0r_F0IqD4tE4rYn5y8Eup4PJTH8es"",
      ""Snapshot!A:M""
    ),
    5,
    FALSE
  ),
  ""-""
)
"),8.0)</f>
        <v>8</v>
      </c>
      <c r="AH9" s="54">
        <f>IFERROR(__xludf.DUMMYFUNCTION("IFERROR(
  VLOOKUP(
    A9,
    IMPORTRANGE(
      ""1SCYQd7_cobOYqT0r_F0IqD4tE4rYn5y8Eup4PJTH8es"",
      ""Snapshot!A:M""
    ),
    6,
    FALSE
  ),
  0
)
"),11.0)</f>
        <v>11</v>
      </c>
      <c r="AI9" s="54">
        <f>IFERROR(__xludf.DUMMYFUNCTION("IFERROR(
  VLOOKUP(
    A9,
    IMPORTRANGE(
      ""1SCYQd7_cobOYqT0r_F0IqD4tE4rYn5y8Eup4PJTH8es"",
      ""Snapshot!A:M""
    ),
    7,
    FALSE
  ),
  0
)
"),3903.0)</f>
        <v>3903</v>
      </c>
      <c r="AJ9" s="54">
        <f>IFERROR(__xludf.DUMMYFUNCTION("IFERROR(
  VLOOKUP(
    A9,
    IMPORTRANGE(
      ""1SCYQd7_cobOYqT0r_F0IqD4tE4rYn5y8Eup4PJTH8es"",
      ""Snapshot!A:M""
    ),
    8,
    FALSE
  ),
  0
)
"),5.0)</f>
        <v>5</v>
      </c>
      <c r="AK9" s="54">
        <f>IFERROR(__xludf.DUMMYFUNCTION("IFERROR(
  VLOOKUP(
    A9,
    IMPORTRANGE(
      ""1SCYQd7_cobOYqT0r_F0IqD4tE4rYn5y8Eup4PJTH8es"",
      ""Snapshot!A:M""
    ),
    9,
    FALSE
  ),
  0
)
"),1.0)</f>
        <v>1</v>
      </c>
      <c r="AL9" s="54">
        <f>IFERROR(__xludf.DUMMYFUNCTION("IFERROR(
  VLOOKUP(
    A9,
    IMPORTRANGE(
      ""1SCYQd7_cobOYqT0r_F0IqD4tE4rYn5y8Eup4PJTH8es"",
      ""Snapshot!A:M""
    ),
    13,
    FALSE
  ),
  0
)
"),2.0)</f>
        <v>2</v>
      </c>
    </row>
    <row r="10">
      <c r="A10" s="3" t="s">
        <v>355</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"),"旅人算(1) 510-08 - 中学受験専門 夏井算数塾")</f>
        <v>旅人算(1) 510-08 - 中学受験専門 夏井算数塾</v>
      </c>
      <c r="D10" s="1" t="str">
        <f>IFERROR(__xludf.DUMMYFUNCTION("IFERROR(
  VLOOKUP(
    A10,
    IMPORTRANGE(
      ""1ZygntHC1J6IxzKbTidmOyf5nUyW4GCLurHCjexrLm_o        "",
      ""HTMLキャッシュ!A:F""
    ),
    6,
    FALSE
  ),
  0
)
"),"サピックス5年生のための「速さ・旅人算」基礎整理 速さの文章題や旅人算は、サピックス5年生の中でも「公式は知っ")</f>
        <v>サピックス5年生のための「速さ・旅人算」基礎整理 速さの文章題や旅人算は、サピックス5年生の中でも「公式は知っ</v>
      </c>
      <c r="E10" s="49">
        <f t="shared" ref="E10:F10" si="41">LEN(C10)</f>
        <v>28</v>
      </c>
      <c r="F10" s="49">
        <f t="shared" si="41"/>
        <v>55</v>
      </c>
      <c r="G10" s="32">
        <f>IFERROR(__xludf.DUMMYFUNCTION("IFERROR(
  VLOOKUP(
    A10,
    IMPORTRANGE(
      ""1ZygntHC1J6IxzKbTidmOyf5nUyW4GCLurHCjexrLm_o        "",
      ""HTMLキャッシュ!A:F""
    ),
    3,
    FALSE
  ),
  0
)
"),46067.733310185184)</f>
        <v>46067.73331</v>
      </c>
      <c r="H10" s="54">
        <f>IFERROR(__xludf.DUMMYFUNCTION("IFERROR(
  VLOOKUP(
    A10,
    IMPORTRANGE(
      ""1ZHMy3vVUd_0MrSduXTe1etBb1HNpAlGwQr006ljwMiM"",
      ""GSC最新!A:F""
    ),
    2,
    FALSE
  ),
  0
)
"),56.0)</f>
        <v>56</v>
      </c>
      <c r="I10" s="54">
        <f>IFERROR(__xludf.DUMMYFUNCTION("IFERROR(
  VLOOKUP(
    A10,
    IMPORTRANGE(
      ""1ZHMy3vVUd_0MrSduXTe1etBb1HNpAlGwQr006ljwMiM"",
      ""GSC最新!A:F""
    ),
    3,
    FALSE
  ),
  0
)
"),139.0)</f>
        <v>139</v>
      </c>
      <c r="J10" s="54">
        <f>IFERROR(__xludf.DUMMYFUNCTION("IFERROR(
  VLOOKUP(
    A10,
    IMPORTRANGE(
      ""1ZHMy3vVUd_0MrSduXTe1etBb1HNpAlGwQr006ljwMiM"",
      ""GSC最新!A:F""
    ),
    4,
    FALSE
  ),
  0
)
"),0.0)</f>
        <v>0</v>
      </c>
      <c r="K10" s="54">
        <f>IFERROR(__xludf.DUMMYFUNCTION("IFERROR(
  VLOOKUP(
    A10,
    IMPORTRANGE(
      ""1ZHMy3vVUd_0MrSduXTe1etBb1HNpAlGwQr006ljwMiM"",
      ""GSC最新!A:F""
    ),
    5,
    FALSE
  ),
  0
)
"),2.0)</f>
        <v>2</v>
      </c>
      <c r="L10" s="50" t="str">
        <f t="shared" ref="L10:M10" si="42">IFERROR(H10/J10,"-")</f>
        <v>-</v>
      </c>
      <c r="M10" s="50">
        <f t="shared" si="42"/>
        <v>69.5</v>
      </c>
      <c r="N10" s="59">
        <f>IFERROR(__xludf.DUMMYFUNCTION("IFERROR(
  VLOOKUP(
    A10,
    IMPORTRANGE(
      ""1ZHMy3vVUd_0MrSduXTe1etBb1HNpAlGwQr006ljwMiM"",
      ""GSC最新!A:R""
    ),
    7,
    FALSE
  ),
  0
)
"),11494.0)</f>
        <v>11494</v>
      </c>
      <c r="O10" s="59">
        <f>IFERROR(__xludf.DUMMYFUNCTION("IFERROR(
  VLOOKUP(
    A10,
    IMPORTRANGE(
      ""1ZHMy3vVUd_0MrSduXTe1etBb1HNpAlGwQr006ljwMiM"",
      ""GSC最新!A:R""
    ),
    10,
    FALSE
  ),
  0
)
"),25763.0)</f>
        <v>25763</v>
      </c>
      <c r="P10" s="59">
        <f>IFERROR(__xludf.DUMMYFUNCTION("IFERROR(
  VLOOKUP(
    A10,
    IMPORTRANGE(
      ""1ZHMy3vVUd_0MrSduXTe1etBb1HNpAlGwQr006ljwMiM"",
      ""GSC最新!A:R""
    ),
    13,
    FALSE
  ),
  0
)
"),121.0)</f>
        <v>121</v>
      </c>
      <c r="Q10" s="59">
        <f>IFERROR(__xludf.DUMMYFUNCTION("IFERROR(
  VLOOKUP(
    A10,
    IMPORTRANGE(
      ""1ZHMy3vVUd_0MrSduXTe1etBb1HNpAlGwQr006ljwMiM"",
      ""GSC最新!A:R""
    ),
    16,
    FALSE
  ),
  0
)
"),316.0)</f>
        <v>316</v>
      </c>
      <c r="R10" s="50">
        <f t="shared" ref="R10:S10" si="43">IFERROR(N10/P10,"-")</f>
        <v>94.99173554</v>
      </c>
      <c r="S10" s="50">
        <f t="shared" si="43"/>
        <v>81.52848101</v>
      </c>
      <c r="T10" s="60">
        <f>IFERROR(__xludf.DUMMYFUNCTION("IFERROR(
  VLOOKUP(
    A10,
    IMPORTRANGE(
      ""1ZHMy3vVUd_0MrSduXTe1etBb1HNpAlGwQr006ljwMiM"",
      ""GSC最新!A:R""
    ),
    8,
    FALSE
  ),
  0
)
"),0.0048721071863581)</f>
        <v>0.004872107186</v>
      </c>
      <c r="U10" s="60">
        <f>IFERROR(__xludf.DUMMYFUNCTION("IFERROR(
  VLOOKUP(
    A10,
    IMPORTRANGE(
      ""1ZHMy3vVUd_0MrSduXTe1etBb1HNpAlGwQr006ljwMiM"",
      ""GSC最新!A:R""
    ),
    11,
    FALSE
  ),
  0
)
"),0.0053953343942863795)</f>
        <v>0.005395334394</v>
      </c>
      <c r="V10" s="60">
        <f>IFERROR(__xludf.DUMMYFUNCTION("IFERROR(
  VLOOKUP(
    A10,
    IMPORTRANGE(
      ""1ZHMy3vVUd_0MrSduXTe1etBb1HNpAlGwQr006ljwMiM"",
      ""GSC最新!A:R""
    ),
    14,
    FALSE
  ),
  0
)
"),0.0)</f>
        <v>0</v>
      </c>
      <c r="W10" s="60">
        <f>IFERROR(__xludf.DUMMYFUNCTION("IFERROR(
  VLOOKUP(
    A10,
    IMPORTRANGE(
      ""1ZHMy3vVUd_0MrSduXTe1etBb1HNpAlGwQr006ljwMiM"",
      ""GSC最新!A:R""
    ),
    17,
    FALSE
  ),
  0
)
"),0.006329113924050633)</f>
        <v>0.006329113924</v>
      </c>
      <c r="X10" s="60">
        <f t="shared" ref="X10:Y10" si="44">IFERROR(T10-V10,"-")</f>
        <v>0.004872107186</v>
      </c>
      <c r="Y10" s="60">
        <f t="shared" si="44"/>
        <v>-0.0009337795298</v>
      </c>
      <c r="Z10" s="52">
        <f>IFERROR(__xludf.DUMMYFUNCTION("IFERROR(
  VLOOKUP(
    A10,
    IMPORTRANGE(
      ""1ZHMy3vVUd_0MrSduXTe1etBb1HNpAlGwQr006ljwMiM"",
      ""GSC最新!A:R""
    ),
    9,
    FALSE
  ),
  0
)
"),2.628588828954237)</f>
        <v>2.628588829</v>
      </c>
      <c r="AA10" s="52">
        <f>IFERROR(__xludf.DUMMYFUNCTION("IFERROR(
  VLOOKUP(
    A10,
    IMPORTRANGE(
      ""1ZHMy3vVUd_0MrSduXTe1etBb1HNpAlGwQr006ljwMiM"",
      ""GSC最新!A:R""
    ),
    12,
    FALSE
  ),
  0
)
"),2.62585878973722)</f>
        <v>2.62585879</v>
      </c>
      <c r="AB10" s="52">
        <f>IFERROR(__xludf.DUMMYFUNCTION("IFERROR(
  VLOOKUP(
    A10,
    IMPORTRANGE(
      ""1ZHMy3vVUd_0MrSduXTe1etBb1HNpAlGwQr006ljwMiM"",
      ""GSC最新!A:R""
    ),
    15,
    FALSE
  ),
  0
)
"),17.34710743801653)</f>
        <v>17.34710744</v>
      </c>
      <c r="AC10" s="52">
        <f>IFERROR(__xludf.DUMMYFUNCTION("IFERROR(
  VLOOKUP(
    A10,
    IMPORTRANGE(
      ""1ZHMy3vVUd_0MrSduXTe1etBb1HNpAlGwQr006ljwMiM"",
      ""GSC最新!A:R""
    ),
    18,
    FALSE
  ),
  0
)
"),31.00632911392405)</f>
        <v>31.00632911</v>
      </c>
      <c r="AD10" s="52">
        <f t="shared" ref="AD10:AE10" si="45">Z10-AB10</f>
        <v>-14.71851861</v>
      </c>
      <c r="AE10" s="52">
        <f t="shared" si="45"/>
        <v>-28.38047032</v>
      </c>
      <c r="AF10" s="53">
        <f>IFERROR(__xludf.DUMMYFUNCTION("IFERROR(
  VLOOKUP(
    A10,
    IMPORTRANGE(
      ""1ZHMy3vVUd_0MrSduXTe1etBb1HNpAlGwQr006ljwMiM"",
      ""GSC最新!A:F""
    ),
    6,
    FALSE
  ),
  0
)
"),46081.0)</f>
        <v>46081</v>
      </c>
      <c r="AG10" s="54">
        <f>IFERROR(__xludf.DUMMYFUNCTION("IFERROR(
  VLOOKUP(
    A10,
    IMPORTRANGE(
      ""1SCYQd7_cobOYqT0r_F0IqD4tE4rYn5y8Eup4PJTH8es"",
      ""Snapshot!A:M""
    ),
    5,
    FALSE
  ),
  ""-""
)
"),8.0)</f>
        <v>8</v>
      </c>
      <c r="AH10" s="54">
        <f>IFERROR(__xludf.DUMMYFUNCTION("IFERROR(
  VLOOKUP(
    A10,
    IMPORTRANGE(
      ""1SCYQd7_cobOYqT0r_F0IqD4tE4rYn5y8Eup4PJTH8es"",
      ""Snapshot!A:M""
    ),
    6,
    FALSE
  ),
  0
)
"),8.0)</f>
        <v>8</v>
      </c>
      <c r="AI10" s="54">
        <f>IFERROR(__xludf.DUMMYFUNCTION("IFERROR(
  VLOOKUP(
    A10,
    IMPORTRANGE(
      ""1SCYQd7_cobOYqT0r_F0IqD4tE4rYn5y8Eup4PJTH8es"",
      ""Snapshot!A:M""
    ),
    7,
    FALSE
  ),
  0
)
"),3521.0)</f>
        <v>3521</v>
      </c>
      <c r="AJ10" s="54">
        <f>IFERROR(__xludf.DUMMYFUNCTION("IFERROR(
  VLOOKUP(
    A10,
    IMPORTRANGE(
      ""1SCYQd7_cobOYqT0r_F0IqD4tE4rYn5y8Eup4PJTH8es"",
      ""Snapshot!A:M""
    ),
    8,
    FALSE
  ),
  0
)
"),6.0)</f>
        <v>6</v>
      </c>
      <c r="AK10" s="54">
        <f>IFERROR(__xludf.DUMMYFUNCTION("IFERROR(
  VLOOKUP(
    A10,
    IMPORTRANGE(
      ""1SCYQd7_cobOYqT0r_F0IqD4tE4rYn5y8Eup4PJTH8es"",
      ""Snapshot!A:M""
    ),
    9,
    FALSE
  ),
  0
)
"),2.0)</f>
        <v>2</v>
      </c>
      <c r="AL10" s="54">
        <f>IFERROR(__xludf.DUMMYFUNCTION("IFERROR(
  VLOOKUP(
    A10,
    IMPORTRANGE(
      ""1SCYQd7_cobOYqT0r_F0IqD4tE4rYn5y8Eup4PJTH8es"",
      ""Snapshot!A:M""
    ),
    13,
    FALSE
  ),
  0
)
"),2.0)</f>
        <v>2</v>
      </c>
    </row>
    <row r="11">
      <c r="A11" s="3" t="s">
        <v>356</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"),"面積の求め方と平面図形｜角度・等高図形も整理｜中学受験算数")</f>
        <v>面積の求め方と平面図形｜角度・等高図形も整理｜中学受験算数</v>
      </c>
      <c r="D11" s="1" t="str">
        <f>IFERROR(__xludf.DUMMYFUNCTION("IFERROR(
  VLOOKUP(
    A11,
    IMPORTRANGE(
      ""1ZygntHC1J6IxzKbTidmOyf5nUyW4GCLurHCjexrLm_o        "",
      ""HTMLキャッシュ!A:F""
    ),
    6,
    FALSE
  ),
  0
)
"),"面積の求め方を確認したい中学受験生向け。サピックス小5の平面図形で出る角度・面積・等高図形の2等分を要点整理。予習復習に使える動画解説です。")</f>
        <v>面積の求め方を確認したい中学受験生向け。サピックス小5の平面図形で出る角度・面積・等高図形の2等分を要点整理。予習復習に使える動画解説です。</v>
      </c>
      <c r="E11" s="49">
        <f t="shared" ref="E11:F11" si="46">LEN(C11)</f>
        <v>29</v>
      </c>
      <c r="F11" s="49">
        <f t="shared" si="46"/>
        <v>70</v>
      </c>
      <c r="G11" s="32">
        <f>IFERROR(__xludf.DUMMYFUNCTION("IFERROR(
  VLOOKUP(
    A11,
    IMPORTRANGE(
      ""1ZygntHC1J6IxzKbTidmOyf5nUyW4GCLurHCjexrLm_o        "",
      ""HTMLキャッシュ!A:F""
    ),
    3,
    FALSE
  ),
  0
)
"),46078.626238425924)</f>
        <v>46078.62624</v>
      </c>
      <c r="H11" s="54">
        <f>IFERROR(__xludf.DUMMYFUNCTION("IFERROR(
  VLOOKUP(
    A11,
    IMPORTRANGE(
      ""1ZHMy3vVUd_0MrSduXTe1etBb1HNpAlGwQr006ljwMiM"",
      ""GSC最新!A:F""
    ),
    2,
    FALSE
  ),
  0
)
"),56.0)</f>
        <v>56</v>
      </c>
      <c r="I11" s="54">
        <f>IFERROR(__xludf.DUMMYFUNCTION("IFERROR(
  VLOOKUP(
    A11,
    IMPORTRANGE(
      ""1ZHMy3vVUd_0MrSduXTe1etBb1HNpAlGwQr006ljwMiM"",
      ""GSC最新!A:F""
    ),
    3,
    FALSE
  ),
  0
)
"),136.0)</f>
        <v>136</v>
      </c>
      <c r="J11" s="54">
        <f>IFERROR(__xludf.DUMMYFUNCTION("IFERROR(
  VLOOKUP(
    A11,
    IMPORTRANGE(
      ""1ZHMy3vVUd_0MrSduXTe1etBb1HNpAlGwQr006ljwMiM"",
      ""GSC最新!A:F""
    ),
    4,
    FALSE
  ),
  0
)
"),6.0)</f>
        <v>6</v>
      </c>
      <c r="K11" s="54">
        <f>IFERROR(__xludf.DUMMYFUNCTION("IFERROR(
  VLOOKUP(
    A11,
    IMPORTRANGE(
      ""1ZHMy3vVUd_0MrSduXTe1etBb1HNpAlGwQr006ljwMiM"",
      ""GSC最新!A:F""
    ),
    5,
    FALSE
  ),
  0
)
"),6.0)</f>
        <v>6</v>
      </c>
      <c r="L11" s="50">
        <f t="shared" ref="L11:M11" si="47">IFERROR(H11/J11,"-")</f>
        <v>9.333333333</v>
      </c>
      <c r="M11" s="50">
        <f t="shared" si="47"/>
        <v>22.66666667</v>
      </c>
      <c r="N11" s="59">
        <f>IFERROR(__xludf.DUMMYFUNCTION("IFERROR(
  VLOOKUP(
    A11,
    IMPORTRANGE(
      ""1ZHMy3vVUd_0MrSduXTe1etBb1HNpAlGwQr006ljwMiM"",
      ""GSC最新!A:R""
    ),
    7,
    FALSE
  ),
  0
)
"),3569.0)</f>
        <v>3569</v>
      </c>
      <c r="O11" s="59">
        <f>IFERROR(__xludf.DUMMYFUNCTION("IFERROR(
  VLOOKUP(
    A11,
    IMPORTRANGE(
      ""1ZHMy3vVUd_0MrSduXTe1etBb1HNpAlGwQr006ljwMiM"",
      ""GSC最新!A:R""
    ),
    10,
    FALSE
  ),
  0
)
"),8732.0)</f>
        <v>8732</v>
      </c>
      <c r="P11" s="59">
        <f>IFERROR(__xludf.DUMMYFUNCTION("IFERROR(
  VLOOKUP(
    A11,
    IMPORTRANGE(
      ""1ZHMy3vVUd_0MrSduXTe1etBb1HNpAlGwQr006ljwMiM"",
      ""GSC最新!A:R""
    ),
    13,
    FALSE
  ),
  0
)
"),29.0)</f>
        <v>29</v>
      </c>
      <c r="Q11" s="59">
        <f>IFERROR(__xludf.DUMMYFUNCTION("IFERROR(
  VLOOKUP(
    A11,
    IMPORTRANGE(
      ""1ZHMy3vVUd_0MrSduXTe1etBb1HNpAlGwQr006ljwMiM"",
      ""GSC最新!A:R""
    ),
    16,
    FALSE
  ),
  0
)
"),88.0)</f>
        <v>88</v>
      </c>
      <c r="R11" s="50">
        <f t="shared" ref="R11:S11" si="48">IFERROR(N11/P11,"-")</f>
        <v>123.0689655</v>
      </c>
      <c r="S11" s="50">
        <f t="shared" si="48"/>
        <v>99.22727273</v>
      </c>
      <c r="T11" s="60">
        <f>IFERROR(__xludf.DUMMYFUNCTION("IFERROR(
  VLOOKUP(
    A11,
    IMPORTRANGE(
      ""1ZHMy3vVUd_0MrSduXTe1etBb1HNpAlGwQr006ljwMiM"",
      ""GSC最新!A:R""
    ),
    8,
    FALSE
  ),
  0
)
"),0.015690669655365648)</f>
        <v>0.01569066966</v>
      </c>
      <c r="U11" s="60">
        <f>IFERROR(__xludf.DUMMYFUNCTION("IFERROR(
  VLOOKUP(
    A11,
    IMPORTRANGE(
      ""1ZHMy3vVUd_0MrSduXTe1etBb1HNpAlGwQr006ljwMiM"",
      ""GSC最新!A:R""
    ),
    11,
    FALSE
  ),
  0
)
"),0.015574896930829134)</f>
        <v>0.01557489693</v>
      </c>
      <c r="V11" s="60">
        <f>IFERROR(__xludf.DUMMYFUNCTION("IFERROR(
  VLOOKUP(
    A11,
    IMPORTRANGE(
      ""1ZHMy3vVUd_0MrSduXTe1etBb1HNpAlGwQr006ljwMiM"",
      ""GSC最新!A:R""
    ),
    14,
    FALSE
  ),
  0
)
"),0.20689655172413793)</f>
        <v>0.2068965517</v>
      </c>
      <c r="W11" s="60">
        <f>IFERROR(__xludf.DUMMYFUNCTION("IFERROR(
  VLOOKUP(
    A11,
    IMPORTRANGE(
      ""1ZHMy3vVUd_0MrSduXTe1etBb1HNpAlGwQr006ljwMiM"",
      ""GSC最新!A:R""
    ),
    17,
    FALSE
  ),
  0
)
"),0.06818181818181818)</f>
        <v>0.06818181818</v>
      </c>
      <c r="X11" s="60">
        <f t="shared" ref="X11:Y11" si="49">IFERROR(T11-V11,"-")</f>
        <v>-0.1912058821</v>
      </c>
      <c r="Y11" s="60">
        <f t="shared" si="49"/>
        <v>-0.05260692125</v>
      </c>
      <c r="Z11" s="52">
        <f>IFERROR(__xludf.DUMMYFUNCTION("IFERROR(
  VLOOKUP(
    A11,
    IMPORTRANGE(
      ""1ZHMy3vVUd_0MrSduXTe1etBb1HNpAlGwQr006ljwMiM"",
      ""GSC最新!A:R""
    ),
    9,
    FALSE
  ),
  0
)
"),3.704398991314094)</f>
        <v>3.704398991</v>
      </c>
      <c r="AA11" s="52">
        <f>IFERROR(__xludf.DUMMYFUNCTION("IFERROR(
  VLOOKUP(
    A11,
    IMPORTRANGE(
      ""1ZHMy3vVUd_0MrSduXTe1etBb1HNpAlGwQr006ljwMiM"",
      ""GSC最新!A:R""
    ),
    12,
    FALSE
  ),
  0
)
"),4.463925790196976)</f>
        <v>4.46392579</v>
      </c>
      <c r="AB11" s="52">
        <f>IFERROR(__xludf.DUMMYFUNCTION("IFERROR(
  VLOOKUP(
    A11,
    IMPORTRANGE(
      ""1ZHMy3vVUd_0MrSduXTe1etBb1HNpAlGwQr006ljwMiM"",
      ""GSC最新!A:R""
    ),
    15,
    FALSE
  ),
  0
)
"),8.413793103448276)</f>
        <v>8.413793103</v>
      </c>
      <c r="AC11" s="52">
        <f>IFERROR(__xludf.DUMMYFUNCTION("IFERROR(
  VLOOKUP(
    A11,
    IMPORTRANGE(
      ""1ZHMy3vVUd_0MrSduXTe1etBb1HNpAlGwQr006ljwMiM"",
      ""GSC最新!A:R""
    ),
    18,
    FALSE
  ),
  0
)
"),19.363636363636363)</f>
        <v>19.36363636</v>
      </c>
      <c r="AD11" s="52">
        <f t="shared" ref="AD11:AE11" si="50">Z11-AB11</f>
        <v>-4.709394112</v>
      </c>
      <c r="AE11" s="52">
        <f t="shared" si="50"/>
        <v>-14.89971057</v>
      </c>
      <c r="AF11" s="53">
        <f>IFERROR(__xludf.DUMMYFUNCTION("IFERROR(
  VLOOKUP(
    A11,
    IMPORTRANGE(
      ""1ZHMy3vVUd_0MrSduXTe1etBb1HNpAlGwQr006ljwMiM"",
      ""GSC最新!A:F""
    ),
    6,
    FALSE
  ),
  0
)
"),46081.0)</f>
        <v>46081</v>
      </c>
      <c r="AG11" s="54">
        <f>IFERROR(__xludf.DUMMYFUNCTION("IFERROR(
  VLOOKUP(
    A11,
    IMPORTRANGE(
      ""1SCYQd7_cobOYqT0r_F0IqD4tE4rYn5y8Eup4PJTH8es"",
      ""Snapshot!A:M""
    ),
    5,
    FALSE
  ),
  ""-""
)
"),6.0)</f>
        <v>6</v>
      </c>
      <c r="AH11" s="54">
        <f>IFERROR(__xludf.DUMMYFUNCTION("IFERROR(
  VLOOKUP(
    A11,
    IMPORTRANGE(
      ""1SCYQd7_cobOYqT0r_F0IqD4tE4rYn5y8Eup4PJTH8es"",
      ""Snapshot!A:M""
    ),
    6,
    FALSE
  ),
  0
)
"),7.0)</f>
        <v>7</v>
      </c>
      <c r="AI11" s="54">
        <f>IFERROR(__xludf.DUMMYFUNCTION("IFERROR(
  VLOOKUP(
    A11,
    IMPORTRANGE(
      ""1SCYQd7_cobOYqT0r_F0IqD4tE4rYn5y8Eup4PJTH8es"",
      ""Snapshot!A:M""
    ),
    7,
    FALSE
  ),
  0
)
"),2885.0)</f>
        <v>2885</v>
      </c>
      <c r="AJ11" s="54">
        <f>IFERROR(__xludf.DUMMYFUNCTION("IFERROR(
  VLOOKUP(
    A11,
    IMPORTRANGE(
      ""1SCYQd7_cobOYqT0r_F0IqD4tE4rYn5y8Eup4PJTH8es"",
      ""Snapshot!A:M""
    ),
    8,
    FALSE
  ),
  0
)
"),6.0)</f>
        <v>6</v>
      </c>
      <c r="AK11" s="54">
        <f>IFERROR(__xludf.DUMMYFUNCTION("IFERROR(
  VLOOKUP(
    A11,
    IMPORTRANGE(
      ""1SCYQd7_cobOYqT0r_F0IqD4tE4rYn5y8Eup4PJTH8es"",
      ""Snapshot!A:M""
    ),
    9,
    FALSE
  ),
  0
)
"),1.0)</f>
        <v>1</v>
      </c>
      <c r="AL11" s="54">
        <f>IFERROR(__xludf.DUMMYFUNCTION("IFERROR(
  VLOOKUP(
    A11,
    IMPORTRANGE(
      ""1SCYQd7_cobOYqT0r_F0IqD4tE4rYn5y8Eup4PJTH8es"",
      ""Snapshot!A:M""
    ),
    13,
    FALSE
  ),
  0
)
"),2.0)</f>
        <v>2</v>
      </c>
    </row>
    <row r="12">
      <c r="A12" s="3" t="s">
        <v>357</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"),"510-02小6算数「複合図形と円」の面積攻略──3.14の使い方と周りの長さの求め方 - 中学受験専門 夏井算数塾")</f>
        <v>510-02小6算数「複合図形と円」の面積攻略──3.14の使い方と周りの長さの求め方 - 中学受験専門 夏井算数塾</v>
      </c>
      <c r="D12" s="1" t="str">
        <f>IFERROR(__xludf.DUMMYFUNCTION("IFERROR(
  VLOOKUP(
    A12,
    IMPORTRANGE(
      ""1ZygntHC1J6IxzKbTidmOyf5nUyW4GCLurHCjexrLm_o        "",
      ""HTMLキャッシュ!A:F""
    ),
    6,
    FALSE
  ),
  0
)
"),"小学6年生・中学受験向けに、複合図形と円の面積・周りの長さの求め方を丁寧に解説。3.14の使い方や公式の覚え方、ありがちなミスと対策まで整理し、図形問題の苦手克服をねらいます。")</f>
        <v>小学6年生・中学受験向けに、複合図形と円の面積・周りの長さの求め方を丁寧に解説。3.14の使い方や公式の覚え方、ありがちなミスと対策まで整理し、図形問題の苦手克服をねらいます。</v>
      </c>
      <c r="E12" s="49">
        <f t="shared" ref="E12:F12" si="51">LEN(C12)</f>
        <v>58</v>
      </c>
      <c r="F12" s="49">
        <f t="shared" si="51"/>
        <v>88</v>
      </c>
      <c r="G12" s="32">
        <f>IFERROR(__xludf.DUMMYFUNCTION("IFERROR(
  VLOOKUP(
    A12,
    IMPORTRANGE(
      ""1ZygntHC1J6IxzKbTidmOyf5nUyW4GCLurHCjexrLm_o        "",
      ""HTMLキャッシュ!A:F""
    ),
    3,
    FALSE
  ),
  0
)
"),46065.88693287037)</f>
        <v>46065.88693</v>
      </c>
      <c r="H12" s="54">
        <f>IFERROR(__xludf.DUMMYFUNCTION("IFERROR(
  VLOOKUP(
    A12,
    IMPORTRANGE(
      ""1ZHMy3vVUd_0MrSduXTe1etBb1HNpAlGwQr006ljwMiM"",
      ""GSC最新!A:F""
    ),
    2,
    FALSE
  ),
  0
)
"),49.0)</f>
        <v>49</v>
      </c>
      <c r="I12" s="54">
        <f>IFERROR(__xludf.DUMMYFUNCTION("IFERROR(
  VLOOKUP(
    A12,
    IMPORTRANGE(
      ""1ZHMy3vVUd_0MrSduXTe1etBb1HNpAlGwQr006ljwMiM"",
      ""GSC最新!A:F""
    ),
    3,
    FALSE
  ),
  0
)
"),84.0)</f>
        <v>84</v>
      </c>
      <c r="J12" s="54">
        <f>IFERROR(__xludf.DUMMYFUNCTION("IFERROR(
  VLOOKUP(
    A12,
    IMPORTRANGE(
      ""1ZHMy3vVUd_0MrSduXTe1etBb1HNpAlGwQr006ljwMiM"",
      ""GSC最新!A:F""
    ),
    4,
    FALSE
  ),
  0
)
"),4.0)</f>
        <v>4</v>
      </c>
      <c r="K12" s="54">
        <f>IFERROR(__xludf.DUMMYFUNCTION("IFERROR(
  VLOOKUP(
    A12,
    IMPORTRANGE(
      ""1ZHMy3vVUd_0MrSduXTe1etBb1HNpAlGwQr006ljwMiM"",
      ""GSC最新!A:F""
    ),
    5,
    FALSE
  ),
  0
)
"),6.0)</f>
        <v>6</v>
      </c>
      <c r="L12" s="50">
        <f t="shared" ref="L12:M12" si="52">IFERROR(H12/J12,"-")</f>
        <v>12.25</v>
      </c>
      <c r="M12" s="50">
        <f t="shared" si="52"/>
        <v>14</v>
      </c>
      <c r="N12" s="59">
        <f>IFERROR(__xludf.DUMMYFUNCTION("IFERROR(
  VLOOKUP(
    A12,
    IMPORTRANGE(
      ""1ZHMy3vVUd_0MrSduXTe1etBb1HNpAlGwQr006ljwMiM"",
      ""GSC最新!A:R""
    ),
    7,
    FALSE
  ),
  0
)
"),3872.0)</f>
        <v>3872</v>
      </c>
      <c r="O12" s="59">
        <f>IFERROR(__xludf.DUMMYFUNCTION("IFERROR(
  VLOOKUP(
    A12,
    IMPORTRANGE(
      ""1ZHMy3vVUd_0MrSduXTe1etBb1HNpAlGwQr006ljwMiM"",
      ""GSC最新!A:R""
    ),
    10,
    FALSE
  ),
  0
)
"),6995.0)</f>
        <v>6995</v>
      </c>
      <c r="P12" s="59">
        <f>IFERROR(__xludf.DUMMYFUNCTION("IFERROR(
  VLOOKUP(
    A12,
    IMPORTRANGE(
      ""1ZHMy3vVUd_0MrSduXTe1etBb1HNpAlGwQr006ljwMiM"",
      ""GSC最新!A:R""
    ),
    13,
    FALSE
  ),
  0
)
"),89.0)</f>
        <v>89</v>
      </c>
      <c r="Q12" s="59">
        <f>IFERROR(__xludf.DUMMYFUNCTION("IFERROR(
  VLOOKUP(
    A12,
    IMPORTRANGE(
      ""1ZHMy3vVUd_0MrSduXTe1etBb1HNpAlGwQr006ljwMiM"",
      ""GSC最新!A:R""
    ),
    16,
    FALSE
  ),
  0
)
"),212.0)</f>
        <v>212</v>
      </c>
      <c r="R12" s="50">
        <f t="shared" ref="R12:S12" si="53">IFERROR(N12/P12,"-")</f>
        <v>43.50561798</v>
      </c>
      <c r="S12" s="50">
        <f t="shared" si="53"/>
        <v>32.99528302</v>
      </c>
      <c r="T12" s="60">
        <f>IFERROR(__xludf.DUMMYFUNCTION("IFERROR(
  VLOOKUP(
    A12,
    IMPORTRANGE(
      ""1ZHMy3vVUd_0MrSduXTe1etBb1HNpAlGwQr006ljwMiM"",
      ""GSC最新!A:R""
    ),
    8,
    FALSE
  ),
  0
)
"),0.01265495867768595)</f>
        <v>0.01265495868</v>
      </c>
      <c r="U12" s="60">
        <f>IFERROR(__xludf.DUMMYFUNCTION("IFERROR(
  VLOOKUP(
    A12,
    IMPORTRANGE(
      ""1ZHMy3vVUd_0MrSduXTe1etBb1HNpAlGwQr006ljwMiM"",
      ""GSC最新!A:R""
    ),
    11,
    FALSE
  ),
  0
)
"),0.012008577555396712)</f>
        <v>0.01200857756</v>
      </c>
      <c r="V12" s="60">
        <f>IFERROR(__xludf.DUMMYFUNCTION("IFERROR(
  VLOOKUP(
    A12,
    IMPORTRANGE(
      ""1ZHMy3vVUd_0MrSduXTe1etBb1HNpAlGwQr006ljwMiM"",
      ""GSC最新!A:R""
    ),
    14,
    FALSE
  ),
  0
)
"),0.0449438202247191)</f>
        <v>0.04494382022</v>
      </c>
      <c r="W12" s="60">
        <f>IFERROR(__xludf.DUMMYFUNCTION("IFERROR(
  VLOOKUP(
    A12,
    IMPORTRANGE(
      ""1ZHMy3vVUd_0MrSduXTe1etBb1HNpAlGwQr006ljwMiM"",
      ""GSC最新!A:R""
    ),
    17,
    FALSE
  ),
  0
)
"),0.02830188679245283)</f>
        <v>0.02830188679</v>
      </c>
      <c r="X12" s="60">
        <f t="shared" ref="X12:Y12" si="54">IFERROR(T12-V12,"-")</f>
        <v>-0.03228886155</v>
      </c>
      <c r="Y12" s="60">
        <f t="shared" si="54"/>
        <v>-0.01629330924</v>
      </c>
      <c r="Z12" s="52">
        <f>IFERROR(__xludf.DUMMYFUNCTION("IFERROR(
  VLOOKUP(
    A12,
    IMPORTRANGE(
      ""1ZHMy3vVUd_0MrSduXTe1etBb1HNpAlGwQr006ljwMiM"",
      ""GSC最新!A:R""
    ),
    9,
    FALSE
  ),
  0
)
"),4.902892561983471)</f>
        <v>4.902892562</v>
      </c>
      <c r="AA12" s="52">
        <f>IFERROR(__xludf.DUMMYFUNCTION("IFERROR(
  VLOOKUP(
    A12,
    IMPORTRANGE(
      ""1ZHMy3vVUd_0MrSduXTe1etBb1HNpAlGwQr006ljwMiM"",
      ""GSC最新!A:R""
    ),
    12,
    FALSE
  ),
  0
)
"),5.148391708363117)</f>
        <v>5.148391708</v>
      </c>
      <c r="AB12" s="52">
        <f>IFERROR(__xludf.DUMMYFUNCTION("IFERROR(
  VLOOKUP(
    A12,
    IMPORTRANGE(
      ""1ZHMy3vVUd_0MrSduXTe1etBb1HNpAlGwQr006ljwMiM"",
      ""GSC最新!A:R""
    ),
    15,
    FALSE
  ),
  0
)
"),11.685393258426966)</f>
        <v>11.68539326</v>
      </c>
      <c r="AC12" s="52">
        <f>IFERROR(__xludf.DUMMYFUNCTION("IFERROR(
  VLOOKUP(
    A12,
    IMPORTRANGE(
      ""1ZHMy3vVUd_0MrSduXTe1etBb1HNpAlGwQr006ljwMiM"",
      ""GSC最新!A:R""
    ),
    18,
    FALSE
  ),
  0
)
"),13.70754716981132)</f>
        <v>13.70754717</v>
      </c>
      <c r="AD12" s="52">
        <f t="shared" ref="AD12:AE12" si="55">Z12-AB12</f>
        <v>-6.782500696</v>
      </c>
      <c r="AE12" s="52">
        <f t="shared" si="55"/>
        <v>-8.559155461</v>
      </c>
      <c r="AF12" s="53">
        <f>IFERROR(__xludf.DUMMYFUNCTION("IFERROR(
  VLOOKUP(
    A12,
    IMPORTRANGE(
      ""1ZHMy3vVUd_0MrSduXTe1etBb1HNpAlGwQr006ljwMiM"",
      ""GSC最新!A:F""
    ),
    6,
    FALSE
  ),
  0
)
"),46081.0)</f>
        <v>46081</v>
      </c>
      <c r="AG12" s="54">
        <f>IFERROR(__xludf.DUMMYFUNCTION("IFERROR(
  VLOOKUP(
    A12,
    IMPORTRANGE(
      ""1SCYQd7_cobOYqT0r_F0IqD4tE4rYn5y8Eup4PJTH8es"",
      ""Snapshot!A:M""
    ),
    5,
    FALSE
  ),
  ""-""
)
"),8.0)</f>
        <v>8</v>
      </c>
      <c r="AH12" s="54">
        <f>IFERROR(__xludf.DUMMYFUNCTION("IFERROR(
  VLOOKUP(
    A12,
    IMPORTRANGE(
      ""1SCYQd7_cobOYqT0r_F0IqD4tE4rYn5y8Eup4PJTH8es"",
      ""Snapshot!A:M""
    ),
    6,
    FALSE
  ),
  0
)
"),13.0)</f>
        <v>13</v>
      </c>
      <c r="AI12" s="54">
        <f>IFERROR(__xludf.DUMMYFUNCTION("IFERROR(
  VLOOKUP(
    A12,
    IMPORTRANGE(
      ""1SCYQd7_cobOYqT0r_F0IqD4tE4rYn5y8Eup4PJTH8es"",
      ""Snapshot!A:M""
    ),
    7,
    FALSE
  ),
  0
)
"),3388.0)</f>
        <v>3388</v>
      </c>
      <c r="AJ12" s="54">
        <f>IFERROR(__xludf.DUMMYFUNCTION("IFERROR(
  VLOOKUP(
    A12,
    IMPORTRANGE(
      ""1SCYQd7_cobOYqT0r_F0IqD4tE4rYn5y8Eup4PJTH8es"",
      ""Snapshot!A:M""
    ),
    8,
    FALSE
  ),
  0
)
"),7.0)</f>
        <v>7</v>
      </c>
      <c r="AK12" s="54">
        <f>IFERROR(__xludf.DUMMYFUNCTION("IFERROR(
  VLOOKUP(
    A12,
    IMPORTRANGE(
      ""1SCYQd7_cobOYqT0r_F0IqD4tE4rYn5y8Eup4PJTH8es"",
      ""Snapshot!A:M""
    ),
    9,
    FALSE
  ),
  0
)
"),2.0)</f>
        <v>2</v>
      </c>
      <c r="AL12" s="54">
        <f>IFERROR(__xludf.DUMMYFUNCTION("IFERROR(
  VLOOKUP(
    A12,
    IMPORTRANGE(
      ""1SCYQd7_cobOYqT0r_F0IqD4tE4rYn5y8Eup4PJTH8es"",
      ""Snapshot!A:M""
    ),
    13,
    FALSE
  ),
  0
)
"),2.0)</f>
        <v>2</v>
      </c>
    </row>
    <row r="13">
      <c r="A13" s="3" t="s">
        <v>358</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"),"規則性とは？小学5年生の算数でつまずかない考え方【中学受験】")</f>
        <v>規則性とは？小学5年生の算数でつまずかない考え方【中学受験】</v>
      </c>
      <c r="D13" s="1" t="str">
        <f>IFERROR(__xludf.DUMMYFUNCTION("IFERROR(
  VLOOKUP(
    A13,
    IMPORTRANGE(
      ""1ZygntHC1J6IxzKbTidmOyf5nUyW4GCLurHCjexrLm_o        "",
      ""HTMLキャッシュ!A:F""
    ),
    6,
    FALSE
  ),
  0
)
"),"算数の「規則性」とは何かを、小学5年生向けに分かりやすく解説。等差数列・群数列・数表に共通する考え方を整理し、中学受験で頻出の規則性問題を見抜くポイントを具体例とともに確認できます。")</f>
        <v>算数の「規則性」とは何かを、小学5年生向けに分かりやすく解説。等差数列・群数列・数表に共通する考え方を整理し、中学受験で頻出の規則性問題を見抜くポイントを具体例とともに確認できます。</v>
      </c>
      <c r="E13" s="49">
        <f t="shared" ref="E13:F13" si="56">LEN(C13)</f>
        <v>30</v>
      </c>
      <c r="F13" s="49">
        <f t="shared" si="56"/>
        <v>91</v>
      </c>
      <c r="G13" s="32">
        <f>IFERROR(__xludf.DUMMYFUNCTION("IFERROR(
  VLOOKUP(
    A13,
    IMPORTRANGE(
      ""1ZygntHC1J6IxzKbTidmOyf5nUyW4GCLurHCjexrLm_o        "",
      ""HTMLキャッシュ!A:F""
    ),
    3,
    FALSE
  ),
  0
)
"),46067.534317129626)</f>
        <v>46067.53432</v>
      </c>
      <c r="H13" s="54">
        <f>IFERROR(__xludf.DUMMYFUNCTION("IFERROR(
  VLOOKUP(
    A13,
    IMPORTRANGE(
      ""1ZHMy3vVUd_0MrSduXTe1etBb1HNpAlGwQr006ljwMiM"",
      ""GSC最新!A:F""
    ),
    2,
    FALSE
  ),
  0
)
"),37.0)</f>
        <v>37</v>
      </c>
      <c r="I13" s="54">
        <f>IFERROR(__xludf.DUMMYFUNCTION("IFERROR(
  VLOOKUP(
    A13,
    IMPORTRANGE(
      ""1ZHMy3vVUd_0MrSduXTe1etBb1HNpAlGwQr006ljwMiM"",
      ""GSC最新!A:F""
    ),
    3,
    FALSE
  ),
  0
)
"),66.0)</f>
        <v>66</v>
      </c>
      <c r="J13" s="54">
        <f>IFERROR(__xludf.DUMMYFUNCTION("IFERROR(
  VLOOKUP(
    A13,
    IMPORTRANGE(
      ""1ZHMy3vVUd_0MrSduXTe1etBb1HNpAlGwQr006ljwMiM"",
      ""GSC最新!A:F""
    ),
    4,
    FALSE
  ),
  0
)
"),1.0)</f>
        <v>1</v>
      </c>
      <c r="K13" s="54">
        <f>IFERROR(__xludf.DUMMYFUNCTION("IFERROR(
  VLOOKUP(
    A13,
    IMPORTRANGE(
      ""1ZHMy3vVUd_0MrSduXTe1etBb1HNpAlGwQr006ljwMiM"",
      ""GSC最新!A:F""
    ),
    5,
    FALSE
  ),
  0
)
"),5.0)</f>
        <v>5</v>
      </c>
      <c r="L13" s="50">
        <f t="shared" ref="L13:M13" si="57">IFERROR(H13/J13,"-")</f>
        <v>37</v>
      </c>
      <c r="M13" s="50">
        <f t="shared" si="57"/>
        <v>13.2</v>
      </c>
      <c r="N13" s="59">
        <f>IFERROR(__xludf.DUMMYFUNCTION("IFERROR(
  VLOOKUP(
    A13,
    IMPORTRANGE(
      ""1ZHMy3vVUd_0MrSduXTe1etBb1HNpAlGwQr006ljwMiM"",
      ""GSC最新!A:R""
    ),
    7,
    FALSE
  ),
  0
)
"),3829.0)</f>
        <v>3829</v>
      </c>
      <c r="O13" s="59">
        <f>IFERROR(__xludf.DUMMYFUNCTION("IFERROR(
  VLOOKUP(
    A13,
    IMPORTRANGE(
      ""1ZHMy3vVUd_0MrSduXTe1etBb1HNpAlGwQr006ljwMiM"",
      ""GSC最新!A:R""
    ),
    10,
    FALSE
  ),
  0
)
"),6794.0)</f>
        <v>6794</v>
      </c>
      <c r="P13" s="59">
        <f>IFERROR(__xludf.DUMMYFUNCTION("IFERROR(
  VLOOKUP(
    A13,
    IMPORTRANGE(
      ""1ZHMy3vVUd_0MrSduXTe1etBb1HNpAlGwQr006ljwMiM"",
      ""GSC最新!A:R""
    ),
    13,
    FALSE
  ),
  0
)
"),32.0)</f>
        <v>32</v>
      </c>
      <c r="Q13" s="59">
        <f>IFERROR(__xludf.DUMMYFUNCTION("IFERROR(
  VLOOKUP(
    A13,
    IMPORTRANGE(
      ""1ZHMy3vVUd_0MrSduXTe1etBb1HNpAlGwQr006ljwMiM"",
      ""GSC最新!A:R""
    ),
    16,
    FALSE
  ),
  0
)
"),167.0)</f>
        <v>167</v>
      </c>
      <c r="R13" s="50">
        <f t="shared" ref="R13:S13" si="58">IFERROR(N13/P13,"-")</f>
        <v>119.65625</v>
      </c>
      <c r="S13" s="50">
        <f t="shared" si="58"/>
        <v>40.68263473</v>
      </c>
      <c r="T13" s="60">
        <f>IFERROR(__xludf.DUMMYFUNCTION("IFERROR(
  VLOOKUP(
    A13,
    IMPORTRANGE(
      ""1ZHMy3vVUd_0MrSduXTe1etBb1HNpAlGwQr006ljwMiM"",
      ""GSC最新!A:R""
    ),
    8,
    FALSE
  ),
  0
)
"),0.00966309741446853)</f>
        <v>0.009663097414</v>
      </c>
      <c r="U13" s="60">
        <f>IFERROR(__xludf.DUMMYFUNCTION("IFERROR(
  VLOOKUP(
    A13,
    IMPORTRANGE(
      ""1ZHMy3vVUd_0MrSduXTe1etBb1HNpAlGwQr006ljwMiM"",
      ""GSC最新!A:R""
    ),
    11,
    FALSE
  ),
  0
)
"),0.00971445392993818)</f>
        <v>0.00971445393</v>
      </c>
      <c r="V13" s="60">
        <f>IFERROR(__xludf.DUMMYFUNCTION("IFERROR(
  VLOOKUP(
    A13,
    IMPORTRANGE(
      ""1ZHMy3vVUd_0MrSduXTe1etBb1HNpAlGwQr006ljwMiM"",
      ""GSC最新!A:R""
    ),
    14,
    FALSE
  ),
  0
)
"),0.03125)</f>
        <v>0.03125</v>
      </c>
      <c r="W13" s="60">
        <f>IFERROR(__xludf.DUMMYFUNCTION("IFERROR(
  VLOOKUP(
    A13,
    IMPORTRANGE(
      ""1ZHMy3vVUd_0MrSduXTe1etBb1HNpAlGwQr006ljwMiM"",
      ""GSC最新!A:R""
    ),
    17,
    FALSE
  ),
  0
)
"),0.029940119760479042)</f>
        <v>0.02994011976</v>
      </c>
      <c r="X13" s="60">
        <f t="shared" ref="X13:Y13" si="59">IFERROR(T13-V13,"-")</f>
        <v>-0.02158690259</v>
      </c>
      <c r="Y13" s="60">
        <f t="shared" si="59"/>
        <v>-0.02022566583</v>
      </c>
      <c r="Z13" s="52">
        <f>IFERROR(__xludf.DUMMYFUNCTION("IFERROR(
  VLOOKUP(
    A13,
    IMPORTRANGE(
      ""1ZHMy3vVUd_0MrSduXTe1etBb1HNpAlGwQr006ljwMiM"",
      ""GSC最新!A:R""
    ),
    9,
    FALSE
  ),
  0
)
"),3.6252285191956126)</f>
        <v>3.625228519</v>
      </c>
      <c r="AA13" s="52">
        <f>IFERROR(__xludf.DUMMYFUNCTION("IFERROR(
  VLOOKUP(
    A13,
    IMPORTRANGE(
      ""1ZHMy3vVUd_0MrSduXTe1etBb1HNpAlGwQr006ljwMiM"",
      ""GSC最新!A:R""
    ),
    12,
    FALSE
  ),
  0
)
"),4.7678834265528405)</f>
        <v>4.767883427</v>
      </c>
      <c r="AB13" s="52">
        <f>IFERROR(__xludf.DUMMYFUNCTION("IFERROR(
  VLOOKUP(
    A13,
    IMPORTRANGE(
      ""1ZHMy3vVUd_0MrSduXTe1etBb1HNpAlGwQr006ljwMiM"",
      ""GSC最新!A:R""
    ),
    15,
    FALSE
  ),
  0
)
"),17.96875)</f>
        <v>17.96875</v>
      </c>
      <c r="AC13" s="52">
        <f>IFERROR(__xludf.DUMMYFUNCTION("IFERROR(
  VLOOKUP(
    A13,
    IMPORTRANGE(
      ""1ZHMy3vVUd_0MrSduXTe1etBb1HNpAlGwQr006ljwMiM"",
      ""GSC最新!A:R""
    ),
    18,
    FALSE
  ),
  0
)
"),35.209580838323355)</f>
        <v>35.20958084</v>
      </c>
      <c r="AD13" s="52">
        <f t="shared" ref="AD13:AE13" si="60">Z13-AB13</f>
        <v>-14.34352148</v>
      </c>
      <c r="AE13" s="52">
        <f t="shared" si="60"/>
        <v>-30.44169741</v>
      </c>
      <c r="AF13" s="53">
        <f>IFERROR(__xludf.DUMMYFUNCTION("IFERROR(
  VLOOKUP(
    A13,
    IMPORTRANGE(
      ""1ZHMy3vVUd_0MrSduXTe1etBb1HNpAlGwQr006ljwMiM"",
      ""GSC最新!A:F""
    ),
    6,
    FALSE
  ),
  0
)
"),46081.0)</f>
        <v>46081</v>
      </c>
      <c r="AG13" s="54">
        <f>IFERROR(__xludf.DUMMYFUNCTION("IFERROR(
  VLOOKUP(
    A13,
    IMPORTRANGE(
      ""1SCYQd7_cobOYqT0r_F0IqD4tE4rYn5y8Eup4PJTH8es"",
      ""Snapshot!A:M""
    ),
    5,
    FALSE
  ),
  ""-""
)
"),7.0)</f>
        <v>7</v>
      </c>
      <c r="AH13" s="54">
        <f>IFERROR(__xludf.DUMMYFUNCTION("IFERROR(
  VLOOKUP(
    A13,
    IMPORTRANGE(
      ""1SCYQd7_cobOYqT0r_F0IqD4tE4rYn5y8Eup4PJTH8es"",
      ""Snapshot!A:M""
    ),
    6,
    FALSE
  ),
  0
)
"),10.0)</f>
        <v>10</v>
      </c>
      <c r="AI13" s="54">
        <f>IFERROR(__xludf.DUMMYFUNCTION("IFERROR(
  VLOOKUP(
    A13,
    IMPORTRANGE(
      ""1SCYQd7_cobOYqT0r_F0IqD4tE4rYn5y8Eup4PJTH8es"",
      ""Snapshot!A:M""
    ),
    7,
    FALSE
  ),
  0
)
"),3135.0)</f>
        <v>3135</v>
      </c>
      <c r="AJ13" s="54">
        <f>IFERROR(__xludf.DUMMYFUNCTION("IFERROR(
  VLOOKUP(
    A13,
    IMPORTRANGE(
      ""1SCYQd7_cobOYqT0r_F0IqD4tE4rYn5y8Eup4PJTH8es"",
      ""Snapshot!A:M""
    ),
    8,
    FALSE
  ),
  0
)
"),6.0)</f>
        <v>6</v>
      </c>
      <c r="AK13" s="54">
        <f>IFERROR(__xludf.DUMMYFUNCTION("IFERROR(
  VLOOKUP(
    A13,
    IMPORTRANGE(
      ""1SCYQd7_cobOYqT0r_F0IqD4tE4rYn5y8Eup4PJTH8es"",
      ""Snapshot!A:M""
    ),
    9,
    FALSE
  ),
  0
)
"),1.0)</f>
        <v>1</v>
      </c>
      <c r="AL13" s="54">
        <f>IFERROR(__xludf.DUMMYFUNCTION("IFERROR(
  VLOOKUP(
    A13,
    IMPORTRANGE(
      ""1SCYQd7_cobOYqT0r_F0IqD4tE4rYn5y8Eup4PJTH8es"",
      ""Snapshot!A:M""
    ),
    13,
    FALSE
  ),
  0
)
"),2.0)</f>
        <v>2</v>
      </c>
    </row>
    <row r="14">
      <c r="A14" s="3" t="s">
        <v>359</v>
      </c>
      <c r="B14" s="1" t="str">
        <f>IFERROR(__xludf.DUMMYFUNCTION("IFERROR(
  VLOOKUP(
    A14,
    IMPORTRANGE(
      ""1ZygntHC1J6IxzKbTidmOyf5nUyW4GCLurHCjexrLm_o"",
      ""HTMLキャッシュ!A:F""
    ),
    2,
    FALSE
  ),
  0
)
"),"MC")</f>
        <v>MC</v>
      </c>
      <c r="C14" s="1" t="str">
        <f>IFERROR(__xludf.DUMMYFUNCTION("IFERROR(
  VLOOKUP(
    A14,
    IMPORTRANGE(
      ""1ZygntHC1J6IxzKbTidmOyf5nUyW4GCLurHCjexrLm_o"",
      ""HTMLキャッシュ!A:F""
    ),
    5,
    FALSE
  ),
  0
)
"),"図形が苦手な小学生の3つの特徴と克服法｜中学受験算数の図形問題を得意にするコツ - 中学受験専門 夏井算数塾")</f>
        <v>図形が苦手な小学生の3つの特徴と克服法｜中学受験算数の図形問題を得意にするコツ - 中学受験専門 夏井算数塾</v>
      </c>
      <c r="D14" s="1" t="str">
        <f>IFERROR(__xludf.DUMMYFUNCTION("IFERROR(
  VLOOKUP(
    A14,
    IMPORTRANGE(
      ""1ZygntHC1J6IxzKbTidmOyf5nUyW4GCLurHCjexrLm_o        "",
      ""HTMLキャッシュ!A:F""
    ),
    6,
    FALSE
  ),
  0
)
"),"図形が苦手な小学生に多い特徴は、図を写さない・数値を書き込めない・定理や用語があいまい、の3つ。中学受験算数の図形問題で点を落としやすい原因を整理し、家庭でできる直し方（写す／書き込む／理解する）を具体的に解説します。")</f>
        <v>図形が苦手な小学生に多い特徴は、図を写さない・数値を書き込めない・定理や用語があいまい、の3つ。中学受験算数の図形問題で点を落としやすい原因を整理し、家庭でできる直し方（写す／書き込む／理解する）を具体的に解説します。</v>
      </c>
      <c r="E14" s="49">
        <f t="shared" ref="E14:F14" si="61">LEN(C14)</f>
        <v>54</v>
      </c>
      <c r="F14" s="49">
        <f t="shared" si="61"/>
        <v>109</v>
      </c>
      <c r="G14" s="32">
        <f>IFERROR(__xludf.DUMMYFUNCTION("IFERROR(
  VLOOKUP(
    A14,
    IMPORTRANGE(
      ""1ZygntHC1J6IxzKbTidmOyf5nUyW4GCLurHCjexrLm_o        "",
      ""HTMLキャッシュ!A:F""
    ),
    3,
    FALSE
  ),
  0
)
"),46048.668587962966)</f>
        <v>46048.66859</v>
      </c>
      <c r="H14" s="54">
        <f>IFERROR(__xludf.DUMMYFUNCTION("IFERROR(
  VLOOKUP(
    A14,
    IMPORTRANGE(
      ""1ZHMy3vVUd_0MrSduXTe1etBb1HNpAlGwQr006ljwMiM"",
      ""GSC最新!A:F""
    ),
    2,
    FALSE
  ),
  0
)
"),12.0)</f>
        <v>12</v>
      </c>
      <c r="I14" s="54">
        <f>IFERROR(__xludf.DUMMYFUNCTION("IFERROR(
  VLOOKUP(
    A14,
    IMPORTRANGE(
      ""1ZHMy3vVUd_0MrSduXTe1etBb1HNpAlGwQr006ljwMiM"",
      ""GSC最新!A:F""
    ),
    3,
    FALSE
  ),
  0
)
"),62.0)</f>
        <v>62</v>
      </c>
      <c r="J14" s="54">
        <f>IFERROR(__xludf.DUMMYFUNCTION("IFERROR(
  VLOOKUP(
    A14,
    IMPORTRANGE(
      ""1ZHMy3vVUd_0MrSduXTe1etBb1HNpAlGwQr006ljwMiM"",
      ""GSC最新!A:F""
    ),
    4,
    FALSE
  ),
  0
)
"),3.0)</f>
        <v>3</v>
      </c>
      <c r="K14" s="54">
        <f>IFERROR(__xludf.DUMMYFUNCTION("IFERROR(
  VLOOKUP(
    A14,
    IMPORTRANGE(
      ""1ZHMy3vVUd_0MrSduXTe1etBb1HNpAlGwQr006ljwMiM"",
      ""GSC最新!A:F""
    ),
    5,
    FALSE
  ),
  0
)
"),11.0)</f>
        <v>11</v>
      </c>
      <c r="L14" s="50">
        <f t="shared" ref="L14:M14" si="62">IFERROR(H14/J14,"-")</f>
        <v>4</v>
      </c>
      <c r="M14" s="50">
        <f t="shared" si="62"/>
        <v>5.636363636</v>
      </c>
      <c r="N14" s="59">
        <f>IFERROR(__xludf.DUMMYFUNCTION("IFERROR(
  VLOOKUP(
    A14,
    IMPORTRANGE(
      ""1ZHMy3vVUd_0MrSduXTe1etBb1HNpAlGwQr006ljwMiM"",
      ""GSC最新!A:R""
    ),
    7,
    FALSE
  ),
  0
)
"),1075.0)</f>
        <v>1075</v>
      </c>
      <c r="O14" s="59">
        <f>IFERROR(__xludf.DUMMYFUNCTION("IFERROR(
  VLOOKUP(
    A14,
    IMPORTRANGE(
      ""1ZHMy3vVUd_0MrSduXTe1etBb1HNpAlGwQr006ljwMiM"",
      ""GSC最新!A:R""
    ),
    10,
    FALSE
  ),
  0
)
"),2991.0)</f>
        <v>2991</v>
      </c>
      <c r="P14" s="59">
        <f>IFERROR(__xludf.DUMMYFUNCTION("IFERROR(
  VLOOKUP(
    A14,
    IMPORTRANGE(
      ""1ZHMy3vVUd_0MrSduXTe1etBb1HNpAlGwQr006ljwMiM"",
      ""GSC最新!A:R""
    ),
    13,
    FALSE
  ),
  0
)
"),150.0)</f>
        <v>150</v>
      </c>
      <c r="Q14" s="59">
        <f>IFERROR(__xludf.DUMMYFUNCTION("IFERROR(
  VLOOKUP(
    A14,
    IMPORTRANGE(
      ""1ZHMy3vVUd_0MrSduXTe1etBb1HNpAlGwQr006ljwMiM"",
      ""GSC最新!A:R""
    ),
    16,
    FALSE
  ),
  0
)
"),648.0)</f>
        <v>648</v>
      </c>
      <c r="R14" s="50">
        <f t="shared" ref="R14:S14" si="63">IFERROR(N14/P14,"-")</f>
        <v>7.166666667</v>
      </c>
      <c r="S14" s="50">
        <f t="shared" si="63"/>
        <v>4.615740741</v>
      </c>
      <c r="T14" s="60">
        <f>IFERROR(__xludf.DUMMYFUNCTION("IFERROR(
  VLOOKUP(
    A14,
    IMPORTRANGE(
      ""1ZHMy3vVUd_0MrSduXTe1etBb1HNpAlGwQr006ljwMiM"",
      ""GSC最新!A:R""
    ),
    8,
    FALSE
  ),
  0
)
"),0.011162790697674419)</f>
        <v>0.0111627907</v>
      </c>
      <c r="U14" s="60">
        <f>IFERROR(__xludf.DUMMYFUNCTION("IFERROR(
  VLOOKUP(
    A14,
    IMPORTRANGE(
      ""1ZHMy3vVUd_0MrSduXTe1etBb1HNpAlGwQr006ljwMiM"",
      ""GSC最新!A:R""
    ),
    11,
    FALSE
  ),
  0
)
"),0.020728853226345705)</f>
        <v>0.02072885323</v>
      </c>
      <c r="V14" s="60">
        <f>IFERROR(__xludf.DUMMYFUNCTION("IFERROR(
  VLOOKUP(
    A14,
    IMPORTRANGE(
      ""1ZHMy3vVUd_0MrSduXTe1etBb1HNpAlGwQr006ljwMiM"",
      ""GSC最新!A:R""
    ),
    14,
    FALSE
  ),
  0
)
"),0.02)</f>
        <v>0.02</v>
      </c>
      <c r="W14" s="60">
        <f>IFERROR(__xludf.DUMMYFUNCTION("IFERROR(
  VLOOKUP(
    A14,
    IMPORTRANGE(
      ""1ZHMy3vVUd_0MrSduXTe1etBb1HNpAlGwQr006ljwMiM"",
      ""GSC最新!A:R""
    ),
    17,
    FALSE
  ),
  0
)
"),0.016975308641975308)</f>
        <v>0.01697530864</v>
      </c>
      <c r="X14" s="60">
        <f t="shared" ref="X14:Y14" si="64">IFERROR(T14-V14,"-")</f>
        <v>-0.008837209302</v>
      </c>
      <c r="Y14" s="60">
        <f t="shared" si="64"/>
        <v>0.003753544584</v>
      </c>
      <c r="Z14" s="52">
        <f>IFERROR(__xludf.DUMMYFUNCTION("IFERROR(
  VLOOKUP(
    A14,
    IMPORTRANGE(
      ""1ZHMy3vVUd_0MrSduXTe1etBb1HNpAlGwQr006ljwMiM"",
      ""GSC最新!A:R""
    ),
    9,
    FALSE
  ),
  0
)
"),4.875348837209302)</f>
        <v>4.875348837</v>
      </c>
      <c r="AA14" s="52">
        <f>IFERROR(__xludf.DUMMYFUNCTION("IFERROR(
  VLOOKUP(
    A14,
    IMPORTRANGE(
      ""1ZHMy3vVUd_0MrSduXTe1etBb1HNpAlGwQr006ljwMiM"",
      ""GSC最新!A:R""
    ),
    12,
    FALSE
  ),
  0
)
"),5.239050484787697)</f>
        <v>5.239050485</v>
      </c>
      <c r="AB14" s="52">
        <f>IFERROR(__xludf.DUMMYFUNCTION("IFERROR(
  VLOOKUP(
    A14,
    IMPORTRANGE(
      ""1ZHMy3vVUd_0MrSduXTe1etBb1HNpAlGwQr006ljwMiM"",
      ""GSC最新!A:R""
    ),
    15,
    FALSE
  ),
  0
)
"),29.466666666666665)</f>
        <v>29.46666667</v>
      </c>
      <c r="AC14" s="52">
        <f>IFERROR(__xludf.DUMMYFUNCTION("IFERROR(
  VLOOKUP(
    A14,
    IMPORTRANGE(
      ""1ZHMy3vVUd_0MrSduXTe1etBb1HNpAlGwQr006ljwMiM"",
      ""GSC最新!A:R""
    ),
    18,
    FALSE
  ),
  0
)
"),26.558641975308642)</f>
        <v>26.55864198</v>
      </c>
      <c r="AD14" s="52">
        <f t="shared" ref="AD14:AE14" si="65">Z14-AB14</f>
        <v>-24.59131783</v>
      </c>
      <c r="AE14" s="52">
        <f t="shared" si="65"/>
        <v>-21.31959149</v>
      </c>
      <c r="AF14" s="53">
        <f>IFERROR(__xludf.DUMMYFUNCTION("IFERROR(
  VLOOKUP(
    A14,
    IMPORTRANGE(
      ""1ZHMy3vVUd_0MrSduXTe1etBb1HNpAlGwQr006ljwMiM"",
      ""GSC最新!A:F""
    ),
    6,
    FALSE
  ),
  0
)
"),46081.0)</f>
        <v>46081</v>
      </c>
      <c r="AG14" s="54">
        <f>IFERROR(__xludf.DUMMYFUNCTION("IFERROR(
  VLOOKUP(
    A14,
    IMPORTRANGE(
      ""1SCYQd7_cobOYqT0r_F0IqD4tE4rYn5y8Eup4PJTH8es"",
      ""Snapshot!A:M""
    ),
    5,
    FALSE
  ),
  ""-""
)
"),5.0)</f>
        <v>5</v>
      </c>
      <c r="AH14" s="54">
        <f>IFERROR(__xludf.DUMMYFUNCTION("IFERROR(
  VLOOKUP(
    A14,
    IMPORTRANGE(
      ""1SCYQd7_cobOYqT0r_F0IqD4tE4rYn5y8Eup4PJTH8es"",
      ""Snapshot!A:M""
    ),
    6,
    FALSE
  ),
  0
)
"),3.0)</f>
        <v>3</v>
      </c>
      <c r="AI14" s="54">
        <f>IFERROR(__xludf.DUMMYFUNCTION("IFERROR(
  VLOOKUP(
    A14,
    IMPORTRANGE(
      ""1SCYQd7_cobOYqT0r_F0IqD4tE4rYn5y8Eup4PJTH8es"",
      ""Snapshot!A:M""
    ),
    7,
    FALSE
  ),
  0
)
"),3140.0)</f>
        <v>3140</v>
      </c>
      <c r="AJ14" s="54">
        <f>IFERROR(__xludf.DUMMYFUNCTION("IFERROR(
  VLOOKUP(
    A14,
    IMPORTRANGE(
      ""1SCYQd7_cobOYqT0r_F0IqD4tE4rYn5y8Eup4PJTH8es"",
      ""Snapshot!A:M""
    ),
    8,
    FALSE
  ),
  0
)
"),8.0)</f>
        <v>8</v>
      </c>
      <c r="AK14" s="54">
        <f>IFERROR(__xludf.DUMMYFUNCTION("IFERROR(
  VLOOKUP(
    A14,
    IMPORTRANGE(
      ""1SCYQd7_cobOYqT0r_F0IqD4tE4rYn5y8Eup4PJTH8es"",
      ""Snapshot!A:M""
    ),
    9,
    FALSE
  ),
  0
)
"),1.0)</f>
        <v>1</v>
      </c>
      <c r="AL14" s="54">
        <f>IFERROR(__xludf.DUMMYFUNCTION("IFERROR(
  VLOOKUP(
    A14,
    IMPORTRANGE(
      ""1SCYQd7_cobOYqT0r_F0IqD4tE4rYn5y8Eup4PJTH8es"",
      ""Snapshot!A:M""
    ),
    13,
    FALSE
  ),
  0
)
"),2.0)</f>
        <v>2</v>
      </c>
    </row>
    <row r="15">
      <c r="A15" s="3" t="s">
        <v>360</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"),"数直線で学ぶ正負の数の基本｜大小・加減の考え方と使い方")</f>
        <v>数直線で学ぶ正負の数の基本｜大小・加減の考え方と使い方</v>
      </c>
      <c r="D15" s="1" t="str">
        <f>IFERROR(__xludf.DUMMYFUNCTION("IFERROR(
  VLOOKUP(
    A15,
    IMPORTRANGE(
      ""1ZygntHC1J6IxzKbTidmOyf5nUyW4GCLurHCjexrLm_o        "",
      ""HTMLキャッシュ!A:F""
    ),
    6,
    FALSE
  ),
  0
)
"),"約数・公約数・最大公約数が不安なサピックス5年生へ 「約数って何だっけ？」「最大公約数ってどうやって見つけるの")</f>
        <v>約数・公約数・最大公約数が不安なサピックス5年生へ 「約数って何だっけ？」「最大公約数ってどうやって見つけるの</v>
      </c>
      <c r="E15" s="49">
        <f t="shared" ref="E15:F15" si="66">LEN(C15)</f>
        <v>27</v>
      </c>
      <c r="F15" s="49">
        <f t="shared" si="66"/>
        <v>55</v>
      </c>
      <c r="G15" s="32">
        <f>IFERROR(__xludf.DUMMYFUNCTION("IFERROR(
  VLOOKUP(
    A15,
    IMPORTRANGE(
      ""1ZygntHC1J6IxzKbTidmOyf5nUyW4GCLurHCjexrLm_o        "",
      ""HTMLキャッシュ!A:F""
    ),
    3,
    FALSE
  ),
  0
)
"),46074.58837962963)</f>
        <v>46074.58838</v>
      </c>
      <c r="H15" s="54">
        <f>IFERROR(__xludf.DUMMYFUNCTION("IFERROR(
  VLOOKUP(
    A15,
    IMPORTRANGE(
      ""1ZHMy3vVUd_0MrSduXTe1etBb1HNpAlGwQr006ljwMiM"",
      ""GSC最新!A:F""
    ),
    2,
    FALSE
  ),
  0
)
"),30.0)</f>
        <v>30</v>
      </c>
      <c r="I15" s="54">
        <f>IFERROR(__xludf.DUMMYFUNCTION("IFERROR(
  VLOOKUP(
    A15,
    IMPORTRANGE(
      ""1ZHMy3vVUd_0MrSduXTe1etBb1HNpAlGwQr006ljwMiM"",
      ""GSC最新!A:F""
    ),
    3,
    FALSE
  ),
  0
)
"),64.0)</f>
        <v>64</v>
      </c>
      <c r="J15" s="54">
        <f>IFERROR(__xludf.DUMMYFUNCTION("IFERROR(
  VLOOKUP(
    A15,
    IMPORTRANGE(
      ""1ZHMy3vVUd_0MrSduXTe1etBb1HNpAlGwQr006ljwMiM"",
      ""GSC最新!A:F""
    ),
    4,
    FALSE
  ),
  0
)
"),9.0)</f>
        <v>9</v>
      </c>
      <c r="K15" s="54">
        <f>IFERROR(__xludf.DUMMYFUNCTION("IFERROR(
  VLOOKUP(
    A15,
    IMPORTRANGE(
      ""1ZHMy3vVUd_0MrSduXTe1etBb1HNpAlGwQr006ljwMiM"",
      ""GSC最新!A:F""
    ),
    5,
    FALSE
  ),
  0
)
"),9.0)</f>
        <v>9</v>
      </c>
      <c r="L15" s="50">
        <f t="shared" ref="L15:M15" si="67">IFERROR(H15/J15,"-")</f>
        <v>3.333333333</v>
      </c>
      <c r="M15" s="50">
        <f t="shared" si="67"/>
        <v>7.111111111</v>
      </c>
      <c r="N15" s="59">
        <f>IFERROR(__xludf.DUMMYFUNCTION("IFERROR(
  VLOOKUP(
    A15,
    IMPORTRANGE(
      ""1ZHMy3vVUd_0MrSduXTe1etBb1HNpAlGwQr006ljwMiM"",
      ""GSC最新!A:R""
    ),
    7,
    FALSE
  ),
  0
)
"),8117.0)</f>
        <v>8117</v>
      </c>
      <c r="O15" s="59">
        <f>IFERROR(__xludf.DUMMYFUNCTION("IFERROR(
  VLOOKUP(
    A15,
    IMPORTRANGE(
      ""1ZHMy3vVUd_0MrSduXTe1etBb1HNpAlGwQr006ljwMiM"",
      ""GSC最新!A:R""
    ),
    10,
    FALSE
  ),
  0
)
"),19040.0)</f>
        <v>19040</v>
      </c>
      <c r="P15" s="59">
        <f>IFERROR(__xludf.DUMMYFUNCTION("IFERROR(
  VLOOKUP(
    A15,
    IMPORTRANGE(
      ""1ZHMy3vVUd_0MrSduXTe1etBb1HNpAlGwQr006ljwMiM"",
      ""GSC最新!A:R""
    ),
    13,
    FALSE
  ),
  0
)
"),117.0)</f>
        <v>117</v>
      </c>
      <c r="Q15" s="59">
        <f>IFERROR(__xludf.DUMMYFUNCTION("IFERROR(
  VLOOKUP(
    A15,
    IMPORTRANGE(
      ""1ZHMy3vVUd_0MrSduXTe1etBb1HNpAlGwQr006ljwMiM"",
      ""GSC最新!A:R""
    ),
    16,
    FALSE
  ),
  0
)
"),379.0)</f>
        <v>379</v>
      </c>
      <c r="R15" s="50">
        <f t="shared" ref="R15:S15" si="68">IFERROR(N15/P15,"-")</f>
        <v>69.37606838</v>
      </c>
      <c r="S15" s="50">
        <f t="shared" si="68"/>
        <v>50.23746702</v>
      </c>
      <c r="T15" s="60">
        <f>IFERROR(__xludf.DUMMYFUNCTION("IFERROR(
  VLOOKUP(
    A15,
    IMPORTRANGE(
      ""1ZHMy3vVUd_0MrSduXTe1etBb1HNpAlGwQr006ljwMiM"",
      ""GSC最新!A:R""
    ),
    8,
    FALSE
  ),
  0
)
"),0.0036959467783663916)</f>
        <v>0.003695946778</v>
      </c>
      <c r="U15" s="60">
        <f>IFERROR(__xludf.DUMMYFUNCTION("IFERROR(
  VLOOKUP(
    A15,
    IMPORTRANGE(
      ""1ZHMy3vVUd_0MrSduXTe1etBb1HNpAlGwQr006ljwMiM"",
      ""GSC最新!A:R""
    ),
    11,
    FALSE
  ),
  0
)
"),0.0033613445378151263)</f>
        <v>0.003361344538</v>
      </c>
      <c r="V15" s="60">
        <f>IFERROR(__xludf.DUMMYFUNCTION("IFERROR(
  VLOOKUP(
    A15,
    IMPORTRANGE(
      ""1ZHMy3vVUd_0MrSduXTe1etBb1HNpAlGwQr006ljwMiM"",
      ""GSC最新!A:R""
    ),
    14,
    FALSE
  ),
  0
)
"),0.07692307692307693)</f>
        <v>0.07692307692</v>
      </c>
      <c r="W15" s="60">
        <f>IFERROR(__xludf.DUMMYFUNCTION("IFERROR(
  VLOOKUP(
    A15,
    IMPORTRANGE(
      ""1ZHMy3vVUd_0MrSduXTe1etBb1HNpAlGwQr006ljwMiM"",
      ""GSC最新!A:R""
    ),
    17,
    FALSE
  ),
  0
)
"),0.023746701846965697)</f>
        <v>0.02374670185</v>
      </c>
      <c r="X15" s="60">
        <f t="shared" ref="X15:Y15" si="69">IFERROR(T15-V15,"-")</f>
        <v>-0.07322713014</v>
      </c>
      <c r="Y15" s="60">
        <f t="shared" si="69"/>
        <v>-0.02038535731</v>
      </c>
      <c r="Z15" s="52">
        <f>IFERROR(__xludf.DUMMYFUNCTION("IFERROR(
  VLOOKUP(
    A15,
    IMPORTRANGE(
      ""1ZHMy3vVUd_0MrSduXTe1etBb1HNpAlGwQr006ljwMiM"",
      ""GSC最新!A:R""
    ),
    9,
    FALSE
  ),
  0
)
"),4.5346803006036716)</f>
        <v>4.534680301</v>
      </c>
      <c r="AA15" s="52">
        <f>IFERROR(__xludf.DUMMYFUNCTION("IFERROR(
  VLOOKUP(
    A15,
    IMPORTRANGE(
      ""1ZHMy3vVUd_0MrSduXTe1etBb1HNpAlGwQr006ljwMiM"",
      ""GSC最新!A:R""
    ),
    12,
    FALSE
  ),
  0
)
"),4.685241596638655)</f>
        <v>4.685241597</v>
      </c>
      <c r="AB15" s="52">
        <f>IFERROR(__xludf.DUMMYFUNCTION("IFERROR(
  VLOOKUP(
    A15,
    IMPORTRANGE(
      ""1ZHMy3vVUd_0MrSduXTe1etBb1HNpAlGwQr006ljwMiM"",
      ""GSC最新!A:R""
    ),
    15,
    FALSE
  ),
  0
)
"),7.683760683760684)</f>
        <v>7.683760684</v>
      </c>
      <c r="AC15" s="52">
        <f>IFERROR(__xludf.DUMMYFUNCTION("IFERROR(
  VLOOKUP(
    A15,
    IMPORTRANGE(
      ""1ZHMy3vVUd_0MrSduXTe1etBb1HNpAlGwQr006ljwMiM"",
      ""GSC最新!A:R""
    ),
    18,
    FALSE
  ),
  0
)
"),23.435356200527703)</f>
        <v>23.4353562</v>
      </c>
      <c r="AD15" s="52">
        <f t="shared" ref="AD15:AE15" si="70">Z15-AB15</f>
        <v>-3.149080383</v>
      </c>
      <c r="AE15" s="52">
        <f t="shared" si="70"/>
        <v>-18.7501146</v>
      </c>
      <c r="AF15" s="53">
        <f>IFERROR(__xludf.DUMMYFUNCTION("IFERROR(
  VLOOKUP(
    A15,
    IMPORTRANGE(
      ""1ZHMy3vVUd_0MrSduXTe1etBb1HNpAlGwQr006ljwMiM"",
      ""GSC最新!A:F""
    ),
    6,
    FALSE
  ),
  0
)
"),46081.0)</f>
        <v>46081</v>
      </c>
      <c r="AG15" s="54">
        <f>IFERROR(__xludf.DUMMYFUNCTION("IFERROR(
  VLOOKUP(
    A15,
    IMPORTRANGE(
      ""1SCYQd7_cobOYqT0r_F0IqD4tE4rYn5y8Eup4PJTH8es"",
      ""Snapshot!A:M""
    ),
    5,
    FALSE
  ),
  ""-""
)
"),8.0)</f>
        <v>8</v>
      </c>
      <c r="AH15" s="54">
        <f>IFERROR(__xludf.DUMMYFUNCTION("IFERROR(
  VLOOKUP(
    A15,
    IMPORTRANGE(
      ""1SCYQd7_cobOYqT0r_F0IqD4tE4rYn5y8Eup4PJTH8es"",
      ""Snapshot!A:M""
    ),
    6,
    FALSE
  ),
  0
)
"),9.0)</f>
        <v>9</v>
      </c>
      <c r="AI15" s="54">
        <f>IFERROR(__xludf.DUMMYFUNCTION("IFERROR(
  VLOOKUP(
    A15,
    IMPORTRANGE(
      ""1SCYQd7_cobOYqT0r_F0IqD4tE4rYn5y8Eup4PJTH8es"",
      ""Snapshot!A:M""
    ),
    7,
    FALSE
  ),
  0
)
"),3736.0)</f>
        <v>3736</v>
      </c>
      <c r="AJ15" s="54">
        <f>IFERROR(__xludf.DUMMYFUNCTION("IFERROR(
  VLOOKUP(
    A15,
    IMPORTRANGE(
      ""1SCYQd7_cobOYqT0r_F0IqD4tE4rYn5y8Eup4PJTH8es"",
      ""Snapshot!A:M""
    ),
    8,
    FALSE
  ),
  0
)
"),6.0)</f>
        <v>6</v>
      </c>
      <c r="AK15" s="54">
        <f>IFERROR(__xludf.DUMMYFUNCTION("IFERROR(
  VLOOKUP(
    A15,
    IMPORTRANGE(
      ""1SCYQd7_cobOYqT0r_F0IqD4tE4rYn5y8Eup4PJTH8es"",
      ""Snapshot!A:M""
    ),
    9,
    FALSE
  ),
  0
)
"),2.0)</f>
        <v>2</v>
      </c>
      <c r="AL15" s="54">
        <f>IFERROR(__xludf.DUMMYFUNCTION("IFERROR(
  VLOOKUP(
    A15,
    IMPORTRANGE(
      ""1SCYQd7_cobOYqT0r_F0IqD4tE4rYn5y8Eup4PJTH8es"",
      ""Snapshot!A:M""
    ),
    13,
    FALSE
  ),
  0
)
"),2.0)</f>
        <v>2</v>
      </c>
    </row>
    <row r="16">
      <c r="A16" s="48" t="s">
        <v>361</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"),"分数と小数 510-06 - 中学受験専門 夏井算数塾")</f>
        <v>分数と小数 510-06 - 中学受験専門 夏井算数塾</v>
      </c>
      <c r="D16" s="1" t="str">
        <f>IFERROR(__xludf.DUMMYFUNCTION("IFERROR(
  VLOOKUP(
    A16,
    IMPORTRANGE(
      ""1ZygntHC1J6IxzKbTidmOyf5nUyW4GCLurHCjexrLm_o        "",
      ""HTMLキャッシュ!A:F""
    ),
    6,
    FALSE
  ),
  0
)
"),"サピックス5年生のための「小数・分数」基礎整理 小数と分数の計算は、一見やさしそうに見えてミスが出やすい単元で")</f>
        <v>サピックス5年生のための「小数・分数」基礎整理 小数と分数の計算は、一見やさしそうに見えてミスが出やすい単元で</v>
      </c>
      <c r="E16" s="49">
        <f t="shared" ref="E16:F16" si="71">LEN(C16)</f>
        <v>27</v>
      </c>
      <c r="F16" s="49">
        <f t="shared" si="71"/>
        <v>55</v>
      </c>
      <c r="G16" s="32">
        <f>IFERROR(__xludf.DUMMYFUNCTION("IFERROR(
  VLOOKUP(
    A16,
    IMPORTRANGE(
      ""1ZygntHC1J6IxzKbTidmOyf5nUyW4GCLurHCjexrLm_o        "",
      ""HTMLキャッシュ!A:F""
    ),
    3,
    FALSE
  ),
  0
)
"),46067.53839120371)</f>
        <v>46067.53839</v>
      </c>
      <c r="H16" s="54">
        <f>IFERROR(__xludf.DUMMYFUNCTION("IFERROR(
  VLOOKUP(
    A16,
    IMPORTRANGE(
      ""1ZHMy3vVUd_0MrSduXTe1etBb1HNpAlGwQr006ljwMiM"",
      ""GSC最新!A:F""
    ),
    2,
    FALSE
  ),
  0
)
"),27.0)</f>
        <v>27</v>
      </c>
      <c r="I16" s="54">
        <f>IFERROR(__xludf.DUMMYFUNCTION("IFERROR(
  VLOOKUP(
    A16,
    IMPORTRANGE(
      ""1ZHMy3vVUd_0MrSduXTe1etBb1HNpAlGwQr006ljwMiM"",
      ""GSC最新!A:F""
    ),
    3,
    FALSE
  ),
  0
)
"),53.0)</f>
        <v>53</v>
      </c>
      <c r="J16" s="54">
        <f>IFERROR(__xludf.DUMMYFUNCTION("IFERROR(
  VLOOKUP(
    A16,
    IMPORTRANGE(
      ""1ZHMy3vVUd_0MrSduXTe1etBb1HNpAlGwQr006ljwMiM"",
      ""GSC最新!A:F""
    ),
    4,
    FALSE
  ),
  0
)
"),1.0)</f>
        <v>1</v>
      </c>
      <c r="K16" s="54">
        <f>IFERROR(__xludf.DUMMYFUNCTION("IFERROR(
  VLOOKUP(
    A16,
    IMPORTRANGE(
      ""1ZHMy3vVUd_0MrSduXTe1etBb1HNpAlGwQr006ljwMiM"",
      ""GSC最新!A:F""
    ),
    5,
    FALSE
  ),
  0
)
"),7.0)</f>
        <v>7</v>
      </c>
      <c r="L16" s="50">
        <f t="shared" ref="L16:M16" si="72">IFERROR(H16/J16,"-")</f>
        <v>27</v>
      </c>
      <c r="M16" s="50">
        <f t="shared" si="72"/>
        <v>7.571428571</v>
      </c>
      <c r="N16" s="59">
        <f>IFERROR(__xludf.DUMMYFUNCTION("IFERROR(
  VLOOKUP(
    A16,
    IMPORTRANGE(
      ""1ZHMy3vVUd_0MrSduXTe1etBb1HNpAlGwQr006ljwMiM"",
      ""GSC最新!A:R""
    ),
    7,
    FALSE
  ),
  0
)
"),6234.0)</f>
        <v>6234</v>
      </c>
      <c r="O16" s="59">
        <f>IFERROR(__xludf.DUMMYFUNCTION("IFERROR(
  VLOOKUP(
    A16,
    IMPORTRANGE(
      ""1ZHMy3vVUd_0MrSduXTe1etBb1HNpAlGwQr006ljwMiM"",
      ""GSC最新!A:R""
    ),
    10,
    FALSE
  ),
  0
)
"),13980.0)</f>
        <v>13980</v>
      </c>
      <c r="P16" s="59">
        <f>IFERROR(__xludf.DUMMYFUNCTION("IFERROR(
  VLOOKUP(
    A16,
    IMPORTRANGE(
      ""1ZHMy3vVUd_0MrSduXTe1etBb1HNpAlGwQr006ljwMiM"",
      ""GSC最新!A:R""
    ),
    13,
    FALSE
  ),
  0
)
"),183.0)</f>
        <v>183</v>
      </c>
      <c r="Q16" s="59">
        <f>IFERROR(__xludf.DUMMYFUNCTION("IFERROR(
  VLOOKUP(
    A16,
    IMPORTRANGE(
      ""1ZHMy3vVUd_0MrSduXTe1etBb1HNpAlGwQr006ljwMiM"",
      ""GSC最新!A:R""
    ),
    16,
    FALSE
  ),
  0
)
"),526.0)</f>
        <v>526</v>
      </c>
      <c r="R16" s="50">
        <f t="shared" ref="R16:S16" si="73">IFERROR(N16/P16,"-")</f>
        <v>34.06557377</v>
      </c>
      <c r="S16" s="50">
        <f t="shared" si="73"/>
        <v>26.57794677</v>
      </c>
      <c r="T16" s="60">
        <f>IFERROR(__xludf.DUMMYFUNCTION("IFERROR(
  VLOOKUP(
    A16,
    IMPORTRANGE(
      ""1ZHMy3vVUd_0MrSduXTe1etBb1HNpAlGwQr006ljwMiM"",
      ""GSC最新!A:R""
    ),
    8,
    FALSE
  ),
  0
)
"),0.004331087584215592)</f>
        <v>0.004331087584</v>
      </c>
      <c r="U16" s="60">
        <f>IFERROR(__xludf.DUMMYFUNCTION("IFERROR(
  VLOOKUP(
    A16,
    IMPORTRANGE(
      ""1ZHMy3vVUd_0MrSduXTe1etBb1HNpAlGwQr006ljwMiM"",
      ""GSC最新!A:R""
    ),
    11,
    FALSE
  ),
  0
)
"),0.003791130185979971)</f>
        <v>0.003791130186</v>
      </c>
      <c r="V16" s="60">
        <f>IFERROR(__xludf.DUMMYFUNCTION("IFERROR(
  VLOOKUP(
    A16,
    IMPORTRANGE(
      ""1ZHMy3vVUd_0MrSduXTe1etBb1HNpAlGwQr006ljwMiM"",
      ""GSC最新!A:R""
    ),
    14,
    FALSE
  ),
  0
)
"),0.00546448087431694)</f>
        <v>0.005464480874</v>
      </c>
      <c r="W16" s="60">
        <f>IFERROR(__xludf.DUMMYFUNCTION("IFERROR(
  VLOOKUP(
    A16,
    IMPORTRANGE(
      ""1ZHMy3vVUd_0MrSduXTe1etBb1HNpAlGwQr006ljwMiM"",
      ""GSC最新!A:R""
    ),
    17,
    FALSE
  ),
  0
)
"),0.013307984790874524)</f>
        <v>0.01330798479</v>
      </c>
      <c r="X16" s="60">
        <f t="shared" ref="X16:Y16" si="74">IFERROR(T16-V16,"-")</f>
        <v>-0.00113339329</v>
      </c>
      <c r="Y16" s="60">
        <f t="shared" si="74"/>
        <v>-0.009516854605</v>
      </c>
      <c r="Z16" s="52">
        <f>IFERROR(__xludf.DUMMYFUNCTION("IFERROR(
  VLOOKUP(
    A16,
    IMPORTRANGE(
      ""1ZHMy3vVUd_0MrSduXTe1etBb1HNpAlGwQr006ljwMiM"",
      ""GSC最新!A:R""
    ),
    9,
    FALSE
  ),
  0
)
"),4.9051973051010584)</f>
        <v>4.905197305</v>
      </c>
      <c r="AA16" s="52">
        <f>IFERROR(__xludf.DUMMYFUNCTION("IFERROR(
  VLOOKUP(
    A16,
    IMPORTRANGE(
      ""1ZHMy3vVUd_0MrSduXTe1etBb1HNpAlGwQr006ljwMiM"",
      ""GSC最新!A:R""
    ),
    12,
    FALSE
  ),
  0
)
"),5.38483547925608)</f>
        <v>5.384835479</v>
      </c>
      <c r="AB16" s="52">
        <f>IFERROR(__xludf.DUMMYFUNCTION("IFERROR(
  VLOOKUP(
    A16,
    IMPORTRANGE(
      ""1ZHMy3vVUd_0MrSduXTe1etBb1HNpAlGwQr006ljwMiM"",
      ""GSC最新!A:R""
    ),
    15,
    FALSE
  ),
  0
)
"),5.683060109289618)</f>
        <v>5.683060109</v>
      </c>
      <c r="AC16" s="52">
        <f>IFERROR(__xludf.DUMMYFUNCTION("IFERROR(
  VLOOKUP(
    A16,
    IMPORTRANGE(
      ""1ZHMy3vVUd_0MrSduXTe1etBb1HNpAlGwQr006ljwMiM"",
      ""GSC最新!A:R""
    ),
    18,
    FALSE
  ),
  0
)
"),10.123574144486692)</f>
        <v>10.12357414</v>
      </c>
      <c r="AD16" s="52">
        <f t="shared" ref="AD16:AE16" si="75">Z16-AB16</f>
        <v>-0.7778628042</v>
      </c>
      <c r="AE16" s="52">
        <f t="shared" si="75"/>
        <v>-4.738738665</v>
      </c>
      <c r="AF16" s="53">
        <f>IFERROR(__xludf.DUMMYFUNCTION("IFERROR(
  VLOOKUP(
    A16,
    IMPORTRANGE(
      ""1ZHMy3vVUd_0MrSduXTe1etBb1HNpAlGwQr006ljwMiM"",
      ""GSC最新!A:F""
    ),
    6,
    FALSE
  ),
  0
)
"),46081.0)</f>
        <v>46081</v>
      </c>
      <c r="AG16" s="54">
        <f>IFERROR(__xludf.DUMMYFUNCTION("IFERROR(
  VLOOKUP(
    A16,
    IMPORTRANGE(
      ""1SCYQd7_cobOYqT0r_F0IqD4tE4rYn5y8Eup4PJTH8es"",
      ""Snapshot!A:M""
    ),
    5,
    FALSE
  ),
  ""-""
)
"),8.0)</f>
        <v>8</v>
      </c>
      <c r="AH16" s="54">
        <f>IFERROR(__xludf.DUMMYFUNCTION("IFERROR(
  VLOOKUP(
    A16,
    IMPORTRANGE(
      ""1SCYQd7_cobOYqT0r_F0IqD4tE4rYn5y8Eup4PJTH8es"",
      ""Snapshot!A:M""
    ),
    6,
    FALSE
  ),
  0
)
"),12.0)</f>
        <v>12</v>
      </c>
      <c r="AI16" s="54">
        <f>IFERROR(__xludf.DUMMYFUNCTION("IFERROR(
  VLOOKUP(
    A16,
    IMPORTRANGE(
      ""1SCYQd7_cobOYqT0r_F0IqD4tE4rYn5y8Eup4PJTH8es"",
      ""Snapshot!A:M""
    ),
    7,
    FALSE
  ),
  0
)
"),4101.0)</f>
        <v>4101</v>
      </c>
      <c r="AJ16" s="54">
        <f>IFERROR(__xludf.DUMMYFUNCTION("IFERROR(
  VLOOKUP(
    A16,
    IMPORTRANGE(
      ""1SCYQd7_cobOYqT0r_F0IqD4tE4rYn5y8Eup4PJTH8es"",
      ""Snapshot!A:M""
    ),
    8,
    FALSE
  ),
  0
)
"),7.0)</f>
        <v>7</v>
      </c>
      <c r="AK16" s="54">
        <f>IFERROR(__xludf.DUMMYFUNCTION("IFERROR(
  VLOOKUP(
    A16,
    IMPORTRANGE(
      ""1SCYQd7_cobOYqT0r_F0IqD4tE4rYn5y8Eup4PJTH8es"",
      ""Snapshot!A:M""
    ),
    9,
    FALSE
  ),
  0
)
"),2.0)</f>
        <v>2</v>
      </c>
      <c r="AL16" s="54">
        <f>IFERROR(__xludf.DUMMYFUNCTION("IFERROR(
  VLOOKUP(
    A16,
    IMPORTRANGE(
      ""1SCYQd7_cobOYqT0r_F0IqD4tE4rYn5y8Eup4PJTH8es"",
      ""Snapshot!A:M""
    ),
    13,
    FALSE
  ),
  0
)
"),2.0)</f>
        <v>2</v>
      </c>
    </row>
    <row r="17">
      <c r="A17" s="3" t="s">
        <v>362</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"),"立体図形（柱体・すい体・水そう）｜底面と高さの見分け方・体積表面積の公式整理｜SAPIX小5算数（510-07）")</f>
        <v>立体図形（柱体・すい体・水そう）｜底面と高さの見分け方・体積表面積の公式整理｜SAPIX小5算数（510-07）</v>
      </c>
      <c r="D17" s="1" t="str">
        <f>IFERROR(__xludf.DUMMYFUNCTION("IFERROR(
  VLOOKUP(
    A17,
    IMPORTRANGE(
      ""1ZygntHC1J6IxzKbTidmOyf5nUyW4GCLurHCjexrLm_o        "",
      ""HTMLキャッシュ!A:F""
    ),
    6,
    FALSE
  ),
  0
)
"),"サピックス小5「立体図形(1)」の柱体・すい体・水そうを15分講義動画と連動して基礎整理。底面/高さの取り違え、表面積での数え漏れを防ぎ、体積（底面積×高さ／すい体は1/3）と表面積（底面×2＋周×高さ）を展開図イメージで確認。水そうは正面図に底面積・高さ・体積・時間を書き込み、増減と時間を式に落とす手順まで。")</f>
        <v>サピックス小5「立体図形(1)」の柱体・すい体・水そうを15分講義動画と連動して基礎整理。底面/高さの取り違え、表面積での数え漏れを防ぎ、体積（底面積×高さ／すい体は1/3）と表面積（底面×2＋周×高さ）を展開図イメージで確認。水そうは正面図に底面積・高さ・体積・時間を書き込み、増減と時間を式に落とす手順まで。</v>
      </c>
      <c r="E17" s="49">
        <f t="shared" ref="E17:F17" si="76">LEN(C17)</f>
        <v>56</v>
      </c>
      <c r="F17" s="49">
        <f t="shared" si="76"/>
        <v>156</v>
      </c>
      <c r="G17" s="32">
        <f>IFERROR(__xludf.DUMMYFUNCTION("IFERROR(
  VLOOKUP(
    A17,
    IMPORTRANGE(
      ""1ZygntHC1J6IxzKbTidmOyf5nUyW4GCLurHCjexrLm_o        "",
      ""HTMLキャッシュ!A:F""
    ),
    3,
    FALSE
  ),
  0
)
"),46076.734988425924)</f>
        <v>46076.73499</v>
      </c>
      <c r="H17" s="54">
        <f>IFERROR(__xludf.DUMMYFUNCTION("IFERROR(
  VLOOKUP(
    A17,
    IMPORTRANGE(
      ""1ZHMy3vVUd_0MrSduXTe1etBb1HNpAlGwQr006ljwMiM"",
      ""GSC最新!A:F""
    ),
    2,
    FALSE
  ),
  0
)
"),20.0)</f>
        <v>20</v>
      </c>
      <c r="I17" s="54">
        <f>IFERROR(__xludf.DUMMYFUNCTION("IFERROR(
  VLOOKUP(
    A17,
    IMPORTRANGE(
      ""1ZHMy3vVUd_0MrSduXTe1etBb1HNpAlGwQr006ljwMiM"",
      ""GSC最新!A:F""
    ),
    3,
    FALSE
  ),
  0
)
"),45.0)</f>
        <v>45</v>
      </c>
      <c r="J17" s="54">
        <f>IFERROR(__xludf.DUMMYFUNCTION("IFERROR(
  VLOOKUP(
    A17,
    IMPORTRANGE(
      ""1ZHMy3vVUd_0MrSduXTe1etBb1HNpAlGwQr006ljwMiM"",
      ""GSC最新!A:F""
    ),
    4,
    FALSE
  ),
  0
)
"),1.0)</f>
        <v>1</v>
      </c>
      <c r="K17" s="54">
        <f>IFERROR(__xludf.DUMMYFUNCTION("IFERROR(
  VLOOKUP(
    A17,
    IMPORTRANGE(
      ""1ZHMy3vVUd_0MrSduXTe1etBb1HNpAlGwQr006ljwMiM"",
      ""GSC最新!A:F""
    ),
    5,
    FALSE
  ),
  0
)
"),4.0)</f>
        <v>4</v>
      </c>
      <c r="L17" s="50">
        <f t="shared" ref="L17:M17" si="77">IFERROR(H17/J17,"-")</f>
        <v>20</v>
      </c>
      <c r="M17" s="50">
        <f t="shared" si="77"/>
        <v>11.25</v>
      </c>
      <c r="N17" s="59">
        <f>IFERROR(__xludf.DUMMYFUNCTION("IFERROR(
  VLOOKUP(
    A17,
    IMPORTRANGE(
      ""1ZHMy3vVUd_0MrSduXTe1etBb1HNpAlGwQr006ljwMiM"",
      ""GSC最新!A:R""
    ),
    7,
    FALSE
  ),
  0
)
"),9249.0)</f>
        <v>9249</v>
      </c>
      <c r="O17" s="59">
        <f>IFERROR(__xludf.DUMMYFUNCTION("IFERROR(
  VLOOKUP(
    A17,
    IMPORTRANGE(
      ""1ZHMy3vVUd_0MrSduXTe1etBb1HNpAlGwQr006ljwMiM"",
      ""GSC最新!A:R""
    ),
    10,
    FALSE
  ),
  0
)
"),12193.0)</f>
        <v>12193</v>
      </c>
      <c r="P17" s="59">
        <f>IFERROR(__xludf.DUMMYFUNCTION("IFERROR(
  VLOOKUP(
    A17,
    IMPORTRANGE(
      ""1ZHMy3vVUd_0MrSduXTe1etBb1HNpAlGwQr006ljwMiM"",
      ""GSC最新!A:R""
    ),
    13,
    FALSE
  ),
  0
)
"),9.0)</f>
        <v>9</v>
      </c>
      <c r="Q17" s="59">
        <f>IFERROR(__xludf.DUMMYFUNCTION("IFERROR(
  VLOOKUP(
    A17,
    IMPORTRANGE(
      ""1ZHMy3vVUd_0MrSduXTe1etBb1HNpAlGwQr006ljwMiM"",
      ""GSC最新!A:R""
    ),
    16,
    FALSE
  ),
  0
)
"),45.0)</f>
        <v>45</v>
      </c>
      <c r="R17" s="50">
        <f t="shared" ref="R17:S17" si="78">IFERROR(N17/P17,"-")</f>
        <v>1027.666667</v>
      </c>
      <c r="S17" s="50">
        <f t="shared" si="78"/>
        <v>270.9555556</v>
      </c>
      <c r="T17" s="60">
        <f>IFERROR(__xludf.DUMMYFUNCTION("IFERROR(
  VLOOKUP(
    A17,
    IMPORTRANGE(
      ""1ZHMy3vVUd_0MrSduXTe1etBb1HNpAlGwQr006ljwMiM"",
      ""GSC最新!A:R""
    ),
    8,
    FALSE
  ),
  0
)
"),0.0021623959346956426)</f>
        <v>0.002162395935</v>
      </c>
      <c r="U17" s="60">
        <f>IFERROR(__xludf.DUMMYFUNCTION("IFERROR(
  VLOOKUP(
    A17,
    IMPORTRANGE(
      ""1ZHMy3vVUd_0MrSduXTe1etBb1HNpAlGwQr006ljwMiM"",
      ""GSC最新!A:R""
    ),
    11,
    FALSE
  ),
  0
)
"),0.003690642171737882)</f>
        <v>0.003690642172</v>
      </c>
      <c r="V17" s="60">
        <f>IFERROR(__xludf.DUMMYFUNCTION("IFERROR(
  VLOOKUP(
    A17,
    IMPORTRANGE(
      ""1ZHMy3vVUd_0MrSduXTe1etBb1HNpAlGwQr006ljwMiM"",
      ""GSC最新!A:R""
    ),
    14,
    FALSE
  ),
  0
)
"),0.1111111111111111)</f>
        <v>0.1111111111</v>
      </c>
      <c r="W17" s="60">
        <f>IFERROR(__xludf.DUMMYFUNCTION("IFERROR(
  VLOOKUP(
    A17,
    IMPORTRANGE(
      ""1ZHMy3vVUd_0MrSduXTe1etBb1HNpAlGwQr006ljwMiM"",
      ""GSC最新!A:R""
    ),
    17,
    FALSE
  ),
  0
)
"),0.08888888888888889)</f>
        <v>0.08888888889</v>
      </c>
      <c r="X17" s="60">
        <f t="shared" ref="X17:Y17" si="79">IFERROR(T17-V17,"-")</f>
        <v>-0.1089487152</v>
      </c>
      <c r="Y17" s="60">
        <f t="shared" si="79"/>
        <v>-0.08519824672</v>
      </c>
      <c r="Z17" s="52">
        <f>IFERROR(__xludf.DUMMYFUNCTION("IFERROR(
  VLOOKUP(
    A17,
    IMPORTRANGE(
      ""1ZHMy3vVUd_0MrSduXTe1etBb1HNpAlGwQr006ljwMiM"",
      ""GSC最新!A:R""
    ),
    9,
    FALSE
  ),
  0
)
"),2.6510974159368583)</f>
        <v>2.651097416</v>
      </c>
      <c r="AA17" s="52">
        <f>IFERROR(__xludf.DUMMYFUNCTION("IFERROR(
  VLOOKUP(
    A17,
    IMPORTRANGE(
      ""1ZHMy3vVUd_0MrSduXTe1etBb1HNpAlGwQr006ljwMiM"",
      ""GSC最新!A:R""
    ),
    12,
    FALSE
  ),
  0
)
"),3.1080127942261955)</f>
        <v>3.108012794</v>
      </c>
      <c r="AB17" s="52">
        <f>IFERROR(__xludf.DUMMYFUNCTION("IFERROR(
  VLOOKUP(
    A17,
    IMPORTRANGE(
      ""1ZHMy3vVUd_0MrSduXTe1etBb1HNpAlGwQr006ljwMiM"",
      ""GSC最新!A:R""
    ),
    15,
    FALSE
  ),
  0
)
"),11.11111111111111)</f>
        <v>11.11111111</v>
      </c>
      <c r="AC17" s="52">
        <f>IFERROR(__xludf.DUMMYFUNCTION("IFERROR(
  VLOOKUP(
    A17,
    IMPORTRANGE(
      ""1ZHMy3vVUd_0MrSduXTe1etBb1HNpAlGwQr006ljwMiM"",
      ""GSC最新!A:R""
    ),
    18,
    FALSE
  ),
  0
)
"),19.044444444444444)</f>
        <v>19.04444444</v>
      </c>
      <c r="AD17" s="52">
        <f t="shared" ref="AD17:AE17" si="80">Z17-AB17</f>
        <v>-8.460013695</v>
      </c>
      <c r="AE17" s="52">
        <f t="shared" si="80"/>
        <v>-15.93643165</v>
      </c>
      <c r="AF17" s="53">
        <f>IFERROR(__xludf.DUMMYFUNCTION("IFERROR(
  VLOOKUP(
    A17,
    IMPORTRANGE(
      ""1ZHMy3vVUd_0MrSduXTe1etBb1HNpAlGwQr006ljwMiM"",
      ""GSC最新!A:F""
    ),
    6,
    FALSE
  ),
  0
)
"),46081.0)</f>
        <v>46081</v>
      </c>
      <c r="AG17" s="54">
        <f>IFERROR(__xludf.DUMMYFUNCTION("IFERROR(
  VLOOKUP(
    A17,
    IMPORTRANGE(
      ""1SCYQd7_cobOYqT0r_F0IqD4tE4rYn5y8Eup4PJTH8es"",
      ""Snapshot!A:M""
    ),
    5,
    FALSE
  ),
  ""-""
)
"),8.0)</f>
        <v>8</v>
      </c>
      <c r="AH17" s="54">
        <f>IFERROR(__xludf.DUMMYFUNCTION("IFERROR(
  VLOOKUP(
    A17,
    IMPORTRANGE(
      ""1SCYQd7_cobOYqT0r_F0IqD4tE4rYn5y8Eup4PJTH8es"",
      ""Snapshot!A:M""
    ),
    6,
    FALSE
  ),
  0
)
"),10.0)</f>
        <v>10</v>
      </c>
      <c r="AI17" s="54">
        <f>IFERROR(__xludf.DUMMYFUNCTION("IFERROR(
  VLOOKUP(
    A17,
    IMPORTRANGE(
      ""1SCYQd7_cobOYqT0r_F0IqD4tE4rYn5y8Eup4PJTH8es"",
      ""Snapshot!A:M""
    ),
    7,
    FALSE
  ),
  0
)
"),3643.0)</f>
        <v>3643</v>
      </c>
      <c r="AJ17" s="54">
        <f>IFERROR(__xludf.DUMMYFUNCTION("IFERROR(
  VLOOKUP(
    A17,
    IMPORTRANGE(
      ""1SCYQd7_cobOYqT0r_F0IqD4tE4rYn5y8Eup4PJTH8es"",
      ""Snapshot!A:M""
    ),
    8,
    FALSE
  ),
  0
)
"),7.0)</f>
        <v>7</v>
      </c>
      <c r="AK17" s="54">
        <f>IFERROR(__xludf.DUMMYFUNCTION("IFERROR(
  VLOOKUP(
    A17,
    IMPORTRANGE(
      ""1SCYQd7_cobOYqT0r_F0IqD4tE4rYn5y8Eup4PJTH8es"",
      ""Snapshot!A:M""
    ),
    9,
    FALSE
  ),
  0
)
"),4.0)</f>
        <v>4</v>
      </c>
      <c r="AL17" s="54">
        <f>IFERROR(__xludf.DUMMYFUNCTION("IFERROR(
  VLOOKUP(
    A17,
    IMPORTRANGE(
      ""1SCYQd7_cobOYqT0r_F0IqD4tE4rYn5y8Eup4PJTH8es"",
      ""Snapshot!A:M""
    ),
    13,
    FALSE
  ),
  0
)
"),2.0)</f>
        <v>2</v>
      </c>
    </row>
    <row r="18">
      <c r="A18" s="3" t="s">
        <v>363</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"),"日能研 算数フォロー｜テスト直し渋滞を解消する週テンプレ｜小4〜小6 中学受験")</f>
        <v>日能研 算数フォロー｜テスト直し渋滞を解消する週テンプレ｜小4〜小6 中学受験</v>
      </c>
      <c r="D18" s="1" t="str">
        <f>IFERROR(__xludf.DUMMYFUNCTION("IFERROR(
  VLOOKUP(
    A18,
    IMPORTRANGE(
      ""1ZygntHC1J6IxzKbTidmOyf5nUyW4GCLurHCjexrLm_o        "",
      ""HTMLキャッシュ!A:F""
    ),
    6,
    FALSE
  ),
  0
)
"),"日能研に通っているのに算数のテスト直しが回らない家庭向け。ステージ制・スパイラル、カリテ/公開、日特の役割を整理しつつ、授業当日〜テスト後48時間までの「週の回し方テンプレ」と直しの優先順位を具体化します。算数だけ個別を入れる判断基準も確認。")</f>
        <v>日能研に通っているのに算数のテスト直しが回らない家庭向け。ステージ制・スパイラル、カリテ/公開、日特の役割を整理しつつ、授業当日〜テスト後48時間までの「週の回し方テンプレ」と直しの優先順位を具体化します。算数だけ個別を入れる判断基準も確認。</v>
      </c>
      <c r="E18" s="49">
        <f t="shared" ref="E18:F18" si="81">LEN(C18)</f>
        <v>39</v>
      </c>
      <c r="F18" s="49">
        <f t="shared" si="81"/>
        <v>121</v>
      </c>
      <c r="G18" s="32">
        <f>IFERROR(__xludf.DUMMYFUNCTION("IFERROR(
  VLOOKUP(
    A18,
    IMPORTRANGE(
      ""1ZygntHC1J6IxzKbTidmOyf5nUyW4GCLurHCjexrLm_o        "",
      ""HTMLキャッシュ!A:F""
    ),
    3,
    FALSE
  ),
  0
)
"),46069.78616898148)</f>
        <v>46069.78617</v>
      </c>
      <c r="H18" s="54">
        <f>IFERROR(__xludf.DUMMYFUNCTION("IFERROR(
  VLOOKUP(
    A18,
    IMPORTRANGE(
      ""1ZHMy3vVUd_0MrSduXTe1etBb1HNpAlGwQr006ljwMiM"",
      ""GSC最新!A:F""
    ),
    2,
    FALSE
  ),
  0
)
"),29.0)</f>
        <v>29</v>
      </c>
      <c r="I18" s="54">
        <f>IFERROR(__xludf.DUMMYFUNCTION("IFERROR(
  VLOOKUP(
    A18,
    IMPORTRANGE(
      ""1ZHMy3vVUd_0MrSduXTe1etBb1HNpAlGwQr006ljwMiM"",
      ""GSC最新!A:F""
    ),
    3,
    FALSE
  ),
  0
)
"),40.0)</f>
        <v>40</v>
      </c>
      <c r="J18" s="54">
        <f>IFERROR(__xludf.DUMMYFUNCTION("IFERROR(
  VLOOKUP(
    A18,
    IMPORTRANGE(
      ""1ZHMy3vVUd_0MrSduXTe1etBb1HNpAlGwQr006ljwMiM"",
      ""GSC最新!A:F""
    ),
    4,
    FALSE
  ),
  0
)
"),3.0)</f>
        <v>3</v>
      </c>
      <c r="K18" s="54">
        <f>IFERROR(__xludf.DUMMYFUNCTION("IFERROR(
  VLOOKUP(
    A18,
    IMPORTRANGE(
      ""1ZHMy3vVUd_0MrSduXTe1etBb1HNpAlGwQr006ljwMiM"",
      ""GSC最新!A:F""
    ),
    5,
    FALSE
  ),
  0
)
"),6.0)</f>
        <v>6</v>
      </c>
      <c r="L18" s="50">
        <f t="shared" ref="L18:M18" si="82">IFERROR(H18/J18,"-")</f>
        <v>9.666666667</v>
      </c>
      <c r="M18" s="50">
        <f t="shared" si="82"/>
        <v>6.666666667</v>
      </c>
      <c r="N18" s="59">
        <f>IFERROR(__xludf.DUMMYFUNCTION("IFERROR(
  VLOOKUP(
    A18,
    IMPORTRANGE(
      ""1ZHMy3vVUd_0MrSduXTe1etBb1HNpAlGwQr006ljwMiM"",
      ""GSC最新!A:R""
    ),
    7,
    FALSE
  ),
  0
)
"),1007.0)</f>
        <v>1007</v>
      </c>
      <c r="O18" s="59">
        <f>IFERROR(__xludf.DUMMYFUNCTION("IFERROR(
  VLOOKUP(
    A18,
    IMPORTRANGE(
      ""1ZHMy3vVUd_0MrSduXTe1etBb1HNpAlGwQr006ljwMiM"",
      ""GSC最新!A:R""
    ),
    10,
    FALSE
  ),
  0
)
"),1915.0)</f>
        <v>1915</v>
      </c>
      <c r="P18" s="59">
        <f>IFERROR(__xludf.DUMMYFUNCTION("IFERROR(
  VLOOKUP(
    A18,
    IMPORTRANGE(
      ""1ZHMy3vVUd_0MrSduXTe1etBb1HNpAlGwQr006ljwMiM"",
      ""GSC最新!A:R""
    ),
    13,
    FALSE
  ),
  0
)
"),234.0)</f>
        <v>234</v>
      </c>
      <c r="Q18" s="59">
        <f>IFERROR(__xludf.DUMMYFUNCTION("IFERROR(
  VLOOKUP(
    A18,
    IMPORTRANGE(
      ""1ZHMy3vVUd_0MrSduXTe1etBb1HNpAlGwQr006ljwMiM"",
      ""GSC最新!A:R""
    ),
    16,
    FALSE
  ),
  0
)
"),748.0)</f>
        <v>748</v>
      </c>
      <c r="R18" s="50">
        <f t="shared" ref="R18:S18" si="83">IFERROR(N18/P18,"-")</f>
        <v>4.303418803</v>
      </c>
      <c r="S18" s="50">
        <f t="shared" si="83"/>
        <v>2.560160428</v>
      </c>
      <c r="T18" s="60">
        <f>IFERROR(__xludf.DUMMYFUNCTION("IFERROR(
  VLOOKUP(
    A18,
    IMPORTRANGE(
      ""1ZHMy3vVUd_0MrSduXTe1etBb1HNpAlGwQr006ljwMiM"",
      ""GSC最新!A:R""
    ),
    8,
    FALSE
  ),
  0
)
"),0.028798411122144985)</f>
        <v>0.02879841112</v>
      </c>
      <c r="U18" s="60">
        <f>IFERROR(__xludf.DUMMYFUNCTION("IFERROR(
  VLOOKUP(
    A18,
    IMPORTRANGE(
      ""1ZHMy3vVUd_0MrSduXTe1etBb1HNpAlGwQr006ljwMiM"",
      ""GSC最新!A:R""
    ),
    11,
    FALSE
  ),
  0
)
"),0.020887728459530026)</f>
        <v>0.02088772846</v>
      </c>
      <c r="V18" s="60">
        <f>IFERROR(__xludf.DUMMYFUNCTION("IFERROR(
  VLOOKUP(
    A18,
    IMPORTRANGE(
      ""1ZHMy3vVUd_0MrSduXTe1etBb1HNpAlGwQr006ljwMiM"",
      ""GSC最新!A:R""
    ),
    14,
    FALSE
  ),
  0
)
"),0.01282051282051282)</f>
        <v>0.01282051282</v>
      </c>
      <c r="W18" s="60">
        <f>IFERROR(__xludf.DUMMYFUNCTION("IFERROR(
  VLOOKUP(
    A18,
    IMPORTRANGE(
      ""1ZHMy3vVUd_0MrSduXTe1etBb1HNpAlGwQr006ljwMiM"",
      ""GSC最新!A:R""
    ),
    17,
    FALSE
  ),
  0
)
"),0.008021390374331552)</f>
        <v>0.008021390374</v>
      </c>
      <c r="X18" s="60">
        <f t="shared" ref="X18:Y18" si="84">IFERROR(T18-V18,"-")</f>
        <v>0.0159778983</v>
      </c>
      <c r="Y18" s="60">
        <f t="shared" si="84"/>
        <v>0.01286633809</v>
      </c>
      <c r="Z18" s="52">
        <f>IFERROR(__xludf.DUMMYFUNCTION("IFERROR(
  VLOOKUP(
    A18,
    IMPORTRANGE(
      ""1ZHMy3vVUd_0MrSduXTe1etBb1HNpAlGwQr006ljwMiM"",
      ""GSC最新!A:R""
    ),
    9,
    FALSE
  ),
  0
)
"),7.208540218470705)</f>
        <v>7.208540218</v>
      </c>
      <c r="AA18" s="52">
        <f>IFERROR(__xludf.DUMMYFUNCTION("IFERROR(
  VLOOKUP(
    A18,
    IMPORTRANGE(
      ""1ZHMy3vVUd_0MrSduXTe1etBb1HNpAlGwQr006ljwMiM"",
      ""GSC最新!A:R""
    ),
    12,
    FALSE
  ),
  0
)
"),8.132114882506528)</f>
        <v>8.132114883</v>
      </c>
      <c r="AB18" s="52">
        <f>IFERROR(__xludf.DUMMYFUNCTION("IFERROR(
  VLOOKUP(
    A18,
    IMPORTRANGE(
      ""1ZHMy3vVUd_0MrSduXTe1etBb1HNpAlGwQr006ljwMiM"",
      ""GSC最新!A:R""
    ),
    15,
    FALSE
  ),
  0
)
"),32.67094017094017)</f>
        <v>32.67094017</v>
      </c>
      <c r="AC18" s="52">
        <f>IFERROR(__xludf.DUMMYFUNCTION("IFERROR(
  VLOOKUP(
    A18,
    IMPORTRANGE(
      ""1ZHMy3vVUd_0MrSduXTe1etBb1HNpAlGwQr006ljwMiM"",
      ""GSC最新!A:R""
    ),
    18,
    FALSE
  ),
  0
)
"),35.463903743315505)</f>
        <v>35.46390374</v>
      </c>
      <c r="AD18" s="52">
        <f t="shared" ref="AD18:AE18" si="85">Z18-AB18</f>
        <v>-25.46239995</v>
      </c>
      <c r="AE18" s="52">
        <f t="shared" si="85"/>
        <v>-27.33178886</v>
      </c>
      <c r="AF18" s="53">
        <f>IFERROR(__xludf.DUMMYFUNCTION("IFERROR(
  VLOOKUP(
    A18,
    IMPORTRANGE(
      ""1ZHMy3vVUd_0MrSduXTe1etBb1HNpAlGwQr006ljwMiM"",
      ""GSC最新!A:F""
    ),
    6,
    FALSE
  ),
  0
)
"),46081.0)</f>
        <v>46081</v>
      </c>
      <c r="AG18" s="54">
        <f>IFERROR(__xludf.DUMMYFUNCTION("IFERROR(
  VLOOKUP(
    A18,
    IMPORTRANGE(
      ""1SCYQd7_cobOYqT0r_F0IqD4tE4rYn5y8Eup4PJTH8es"",
      ""Snapshot!A:M""
    ),
    5,
    FALSE
  ),
  ""-""
)
"),8.0)</f>
        <v>8</v>
      </c>
      <c r="AH18" s="54">
        <f>IFERROR(__xludf.DUMMYFUNCTION("IFERROR(
  VLOOKUP(
    A18,
    IMPORTRANGE(
      ""1SCYQd7_cobOYqT0r_F0IqD4tE4rYn5y8Eup4PJTH8es"",
      ""Snapshot!A:M""
    ),
    6,
    FALSE
  ),
  0
)
"),16.0)</f>
        <v>16</v>
      </c>
      <c r="AI18" s="54">
        <f>IFERROR(__xludf.DUMMYFUNCTION("IFERROR(
  VLOOKUP(
    A18,
    IMPORTRANGE(
      ""1SCYQd7_cobOYqT0r_F0IqD4tE4rYn5y8Eup4PJTH8es"",
      ""Snapshot!A:M""
    ),
    7,
    FALSE
  ),
  0
)
"),5638.0)</f>
        <v>5638</v>
      </c>
      <c r="AJ18" s="54">
        <f>IFERROR(__xludf.DUMMYFUNCTION("IFERROR(
  VLOOKUP(
    A18,
    IMPORTRANGE(
      ""1SCYQd7_cobOYqT0r_F0IqD4tE4rYn5y8Eup4PJTH8es"",
      ""Snapshot!A:M""
    ),
    8,
    FALSE
  ),
  0
)
"),5.0)</f>
        <v>5</v>
      </c>
      <c r="AK18" s="54">
        <f>IFERROR(__xludf.DUMMYFUNCTION("IFERROR(
  VLOOKUP(
    A18,
    IMPORTRANGE(
      ""1SCYQd7_cobOYqT0r_F0IqD4tE4rYn5y8Eup4PJTH8es"",
      ""Snapshot!A:M""
    ),
    9,
    FALSE
  ),
  0
)
"),2.0)</f>
        <v>2</v>
      </c>
      <c r="AL18" s="54">
        <f>IFERROR(__xludf.DUMMYFUNCTION("IFERROR(
  VLOOKUP(
    A18,
    IMPORTRANGE(
      ""1SCYQd7_cobOYqT0r_F0IqD4tE4rYn5y8Eup4PJTH8es"",
      ""Snapshot!A:M""
    ),
    13,
    FALSE
  ),
  0
)
"),1.0)</f>
        <v>1</v>
      </c>
    </row>
    <row r="19">
      <c r="A19" s="3" t="s">
        <v>364</v>
      </c>
      <c r="B19" s="1" t="str">
        <f>IFERROR(__xludf.DUMMYFUNCTION("IFERROR(
  VLOOKUP(
    A19,
    IMPORTRANGE(
      ""1ZygntHC1J6IxzKbTidmOyf5nUyW4GCLurHCjexrLm_o"",
      ""HTMLキャッシュ!A:F""
    ),
    2,
    FALSE
  ),
  0
)
"),"SC")</f>
        <v>SC</v>
      </c>
      <c r="C19" s="1" t="str">
        <f>IFERROR(__xludf.DUMMYFUNCTION("IFERROR(
  VLOOKUP(
    A19,
    IMPORTRANGE(
      ""1ZygntHC1J6IxzKbTidmOyf5nUyW4GCLurHCjexrLm_o"",
      ""HTMLキャッシュ!A:F""
    ),
    5,
    FALSE
  ),
  0
)
"),"比の文章題の解き方｜式の立て方・線分図と表｜中学受験算数")</f>
        <v>比の文章題の解き方｜式の立て方・線分図と表｜中学受験算数</v>
      </c>
      <c r="D19" s="1" t="str">
        <f>IFERROR(__xludf.DUMMYFUNCTION("IFERROR(
  VLOOKUP(
    A19,
    IMPORTRANGE(
      ""1ZygntHC1J6IxzKbTidmOyf5nUyW4GCLurHCjexrLm_o        "",
      ""HTMLキャッシュ!A:F""
    ),
    6,
    FALSE
  ),
  0
)
"),"比の文章題で式が立たない子向け。数字を抜き出し、何と何の比かを読み取り、線分図・表で式につなげる考え方を例つきで解説。中学受験算数。")</f>
        <v>比の文章題で式が立たない子向け。数字を抜き出し、何と何の比かを読み取り、線分図・表で式につなげる考え方を例つきで解説。中学受験算数。</v>
      </c>
      <c r="E19" s="49">
        <f t="shared" ref="E19:F19" si="86">LEN(C19)</f>
        <v>28</v>
      </c>
      <c r="F19" s="49">
        <f t="shared" si="86"/>
        <v>66</v>
      </c>
      <c r="G19" s="32">
        <f>IFERROR(__xludf.DUMMYFUNCTION("IFERROR(
  VLOOKUP(
    A19,
    IMPORTRANGE(
      ""1ZygntHC1J6IxzKbTidmOyf5nUyW4GCLurHCjexrLm_o        "",
      ""HTMLキャッシュ!A:F""
    ),
    3,
    FALSE
  ),
  0
)
"),46078.63046296296)</f>
        <v>46078.63046</v>
      </c>
      <c r="H19" s="54">
        <f>IFERROR(__xludf.DUMMYFUNCTION("IFERROR(
  VLOOKUP(
    A19,
    IMPORTRANGE(
      ""1ZHMy3vVUd_0MrSduXTe1etBb1HNpAlGwQr006ljwMiM"",
      ""GSC最新!A:F""
    ),
    2,
    FALSE
  ),
  0
)
"),14.0)</f>
        <v>14</v>
      </c>
      <c r="I19" s="54">
        <f>IFERROR(__xludf.DUMMYFUNCTION("IFERROR(
  VLOOKUP(
    A19,
    IMPORTRANGE(
      ""1ZHMy3vVUd_0MrSduXTe1etBb1HNpAlGwQr006ljwMiM"",
      ""GSC最新!A:F""
    ),
    3,
    FALSE
  ),
  0
)
"),37.0)</f>
        <v>37</v>
      </c>
      <c r="J19" s="54">
        <f>IFERROR(__xludf.DUMMYFUNCTION("IFERROR(
  VLOOKUP(
    A19,
    IMPORTRANGE(
      ""1ZHMy3vVUd_0MrSduXTe1etBb1HNpAlGwQr006ljwMiM"",
      ""GSC最新!A:F""
    ),
    4,
    FALSE
  ),
  0
)
"),4.0)</f>
        <v>4</v>
      </c>
      <c r="K19" s="54">
        <f>IFERROR(__xludf.DUMMYFUNCTION("IFERROR(
  VLOOKUP(
    A19,
    IMPORTRANGE(
      ""1ZHMy3vVUd_0MrSduXTe1etBb1HNpAlGwQr006ljwMiM"",
      ""GSC最新!A:F""
    ),
    5,
    FALSE
  ),
  0
)
"),6.0)</f>
        <v>6</v>
      </c>
      <c r="L19" s="50">
        <f t="shared" ref="L19:M19" si="87">IFERROR(H19/J19,"-")</f>
        <v>3.5</v>
      </c>
      <c r="M19" s="50">
        <f t="shared" si="87"/>
        <v>6.166666667</v>
      </c>
      <c r="N19" s="59">
        <f>IFERROR(__xludf.DUMMYFUNCTION("IFERROR(
  VLOOKUP(
    A19,
    IMPORTRANGE(
      ""1ZHMy3vVUd_0MrSduXTe1etBb1HNpAlGwQr006ljwMiM"",
      ""GSC最新!A:R""
    ),
    7,
    FALSE
  ),
  0
)
"),1074.0)</f>
        <v>1074</v>
      </c>
      <c r="O19" s="59">
        <f>IFERROR(__xludf.DUMMYFUNCTION("IFERROR(
  VLOOKUP(
    A19,
    IMPORTRANGE(
      ""1ZHMy3vVUd_0MrSduXTe1etBb1HNpAlGwQr006ljwMiM"",
      ""GSC最新!A:R""
    ),
    10,
    FALSE
  ),
  0
)
"),2543.0)</f>
        <v>2543</v>
      </c>
      <c r="P19" s="59">
        <f>IFERROR(__xludf.DUMMYFUNCTION("IFERROR(
  VLOOKUP(
    A19,
    IMPORTRANGE(
      ""1ZHMy3vVUd_0MrSduXTe1etBb1HNpAlGwQr006ljwMiM"",
      ""GSC最新!A:R""
    ),
    13,
    FALSE
  ),
  0
)
"),39.0)</f>
        <v>39</v>
      </c>
      <c r="Q19" s="59">
        <f>IFERROR(__xludf.DUMMYFUNCTION("IFERROR(
  VLOOKUP(
    A19,
    IMPORTRANGE(
      ""1ZHMy3vVUd_0MrSduXTe1etBb1HNpAlGwQr006ljwMiM"",
      ""GSC最新!A:R""
    ),
    16,
    FALSE
  ),
  0
)
"),141.0)</f>
        <v>141</v>
      </c>
      <c r="R19" s="50">
        <f t="shared" ref="R19:S19" si="88">IFERROR(N19/P19,"-")</f>
        <v>27.53846154</v>
      </c>
      <c r="S19" s="50">
        <f t="shared" si="88"/>
        <v>18.03546099</v>
      </c>
      <c r="T19" s="60">
        <f>IFERROR(__xludf.DUMMYFUNCTION("IFERROR(
  VLOOKUP(
    A19,
    IMPORTRANGE(
      ""1ZHMy3vVUd_0MrSduXTe1etBb1HNpAlGwQr006ljwMiM"",
      ""GSC最新!A:R""
    ),
    8,
    FALSE
  ),
  0
)
"),0.01303538175046555)</f>
        <v>0.01303538175</v>
      </c>
      <c r="U19" s="60">
        <f>IFERROR(__xludf.DUMMYFUNCTION("IFERROR(
  VLOOKUP(
    A19,
    IMPORTRANGE(
      ""1ZHMy3vVUd_0MrSduXTe1etBb1HNpAlGwQr006ljwMiM"",
      ""GSC最新!A:R""
    ),
    11,
    FALSE
  ),
  0
)
"),0.014549744396382226)</f>
        <v>0.0145497444</v>
      </c>
      <c r="V19" s="60">
        <f>IFERROR(__xludf.DUMMYFUNCTION("IFERROR(
  VLOOKUP(
    A19,
    IMPORTRANGE(
      ""1ZHMy3vVUd_0MrSduXTe1etBb1HNpAlGwQr006ljwMiM"",
      ""GSC最新!A:R""
    ),
    14,
    FALSE
  ),
  0
)
"),0.10256410256410256)</f>
        <v>0.1025641026</v>
      </c>
      <c r="W19" s="60">
        <f>IFERROR(__xludf.DUMMYFUNCTION("IFERROR(
  VLOOKUP(
    A19,
    IMPORTRANGE(
      ""1ZHMy3vVUd_0MrSduXTe1etBb1HNpAlGwQr006ljwMiM"",
      ""GSC最新!A:R""
    ),
    17,
    FALSE
  ),
  0
)
"),0.0425531914893617)</f>
        <v>0.04255319149</v>
      </c>
      <c r="X19" s="60">
        <f t="shared" ref="X19:Y19" si="89">IFERROR(T19-V19,"-")</f>
        <v>-0.08952872081</v>
      </c>
      <c r="Y19" s="60">
        <f t="shared" si="89"/>
        <v>-0.02800344709</v>
      </c>
      <c r="Z19" s="52">
        <f>IFERROR(__xludf.DUMMYFUNCTION("IFERROR(
  VLOOKUP(
    A19,
    IMPORTRANGE(
      ""1ZHMy3vVUd_0MrSduXTe1etBb1HNpAlGwQr006ljwMiM"",
      ""GSC最新!A:R""
    ),
    9,
    FALSE
  ),
  0
)
"),4.822160148975792)</f>
        <v>4.822160149</v>
      </c>
      <c r="AA19" s="52">
        <f>IFERROR(__xludf.DUMMYFUNCTION("IFERROR(
  VLOOKUP(
    A19,
    IMPORTRANGE(
      ""1ZHMy3vVUd_0MrSduXTe1etBb1HNpAlGwQr006ljwMiM"",
      ""GSC最新!A:R""
    ),
    12,
    FALSE
  ),
  0
)
"),4.936295713723949)</f>
        <v>4.936295714</v>
      </c>
      <c r="AB19" s="52">
        <f>IFERROR(__xludf.DUMMYFUNCTION("IFERROR(
  VLOOKUP(
    A19,
    IMPORTRANGE(
      ""1ZHMy3vVUd_0MrSduXTe1etBb1HNpAlGwQr006ljwMiM"",
      ""GSC最新!A:R""
    ),
    15,
    FALSE
  ),
  0
)
"),19.794871794871796)</f>
        <v>19.79487179</v>
      </c>
      <c r="AC19" s="52">
        <f>IFERROR(__xludf.DUMMYFUNCTION("IFERROR(
  VLOOKUP(
    A19,
    IMPORTRANGE(
      ""1ZHMy3vVUd_0MrSduXTe1etBb1HNpAlGwQr006ljwMiM"",
      ""GSC最新!A:R""
    ),
    18,
    FALSE
  ),
  0
)
"),23.085106382978722)</f>
        <v>23.08510638</v>
      </c>
      <c r="AD19" s="52">
        <f t="shared" ref="AD19:AE19" si="90">Z19-AB19</f>
        <v>-14.97271165</v>
      </c>
      <c r="AE19" s="52">
        <f t="shared" si="90"/>
        <v>-18.14881067</v>
      </c>
      <c r="AF19" s="53">
        <f>IFERROR(__xludf.DUMMYFUNCTION("IFERROR(
  VLOOKUP(
    A19,
    IMPORTRANGE(
      ""1ZHMy3vVUd_0MrSduXTe1etBb1HNpAlGwQr006ljwMiM"",
      ""GSC最新!A:F""
    ),
    6,
    FALSE
  ),
  0
)
"),46081.0)</f>
        <v>46081</v>
      </c>
      <c r="AG19" s="54">
        <f>IFERROR(__xludf.DUMMYFUNCTION("IFERROR(
  VLOOKUP(
    A19,
    IMPORTRANGE(
      ""1SCYQd7_cobOYqT0r_F0IqD4tE4rYn5y8Eup4PJTH8es"",
      ""Snapshot!A:M""
    ),
    5,
    FALSE
  ),
  ""-""
)
"),7.0)</f>
        <v>7</v>
      </c>
      <c r="AH19" s="54">
        <f>IFERROR(__xludf.DUMMYFUNCTION("IFERROR(
  VLOOKUP(
    A19,
    IMPORTRANGE(
      ""1SCYQd7_cobOYqT0r_F0IqD4tE4rYn5y8Eup4PJTH8es"",
      ""Snapshot!A:M""
    ),
    6,
    FALSE
  ),
  0
)
"),6.0)</f>
        <v>6</v>
      </c>
      <c r="AI19" s="54">
        <f>IFERROR(__xludf.DUMMYFUNCTION("IFERROR(
  VLOOKUP(
    A19,
    IMPORTRANGE(
      ""1SCYQd7_cobOYqT0r_F0IqD4tE4rYn5y8Eup4PJTH8es"",
      ""Snapshot!A:M""
    ),
    7,
    FALSE
  ),
  0
)
"),2607.0)</f>
        <v>2607</v>
      </c>
      <c r="AJ19" s="54">
        <f>IFERROR(__xludf.DUMMYFUNCTION("IFERROR(
  VLOOKUP(
    A19,
    IMPORTRANGE(
      ""1SCYQd7_cobOYqT0r_F0IqD4tE4rYn5y8Eup4PJTH8es"",
      ""Snapshot!A:M""
    ),
    8,
    FALSE
  ),
  0
)
"),7.0)</f>
        <v>7</v>
      </c>
      <c r="AK19" s="54">
        <f>IFERROR(__xludf.DUMMYFUNCTION("IFERROR(
  VLOOKUP(
    A19,
    IMPORTRANGE(
      ""1SCYQd7_cobOYqT0r_F0IqD4tE4rYn5y8Eup4PJTH8es"",
      ""Snapshot!A:M""
    ),
    9,
    FALSE
  ),
  0
)
"),1.0)</f>
        <v>1</v>
      </c>
      <c r="AL19" s="54">
        <f>IFERROR(__xludf.DUMMYFUNCTION("IFERROR(
  VLOOKUP(
    A19,
    IMPORTRANGE(
      ""1SCYQd7_cobOYqT0r_F0IqD4tE4rYn5y8Eup4PJTH8es"",
      ""Snapshot!A:M""
    ),
    13,
    FALSE
  ),
  0
)
"),2.0)</f>
        <v>2</v>
      </c>
    </row>
    <row r="20">
      <c r="A20" s="3" t="s">
        <v>365</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"),"サピックス小5「倍数・公倍数」｜最小公倍数と余り条件の整理法")</f>
        <v>サピックス小5「倍数・公倍数」｜最小公倍数と余り条件の整理法</v>
      </c>
      <c r="D20" s="1" t="str">
        <f>IFERROR(__xludf.DUMMYFUNCTION("IFERROR(
  VLOOKUP(
    A20,
    IMPORTRANGE(
      ""1ZygntHC1J6IxzKbTidmOyf5nUyW4GCLurHCjexrLm_o        "",
      ""HTMLキャッシュ!A:F""
    ),
    6,
    FALSE
  ),
  0
)
"),"サピックス5年生の「倍数・公倍数」が不安な方へ 「最小公倍数の出し方がごちゃごちゃする」「ベン図を使う問題で条")</f>
        <v>サピックス5年生の「倍数・公倍数」が不安な方へ 「最小公倍数の出し方がごちゃごちゃする」「ベン図を使う問題で条</v>
      </c>
      <c r="E20" s="49">
        <f t="shared" ref="E20:F20" si="91">LEN(C20)</f>
        <v>30</v>
      </c>
      <c r="F20" s="49">
        <f t="shared" si="91"/>
        <v>55</v>
      </c>
      <c r="G20" s="32">
        <f>IFERROR(__xludf.DUMMYFUNCTION("IFERROR(
  VLOOKUP(
    A20,
    IMPORTRANGE(
      ""1ZygntHC1J6IxzKbTidmOyf5nUyW4GCLurHCjexrLm_o        "",
      ""HTMLキャッシュ!A:F""
    ),
    3,
    FALSE
  ),
  0
)
"),46074.589467592596)</f>
        <v>46074.58947</v>
      </c>
      <c r="H20" s="54">
        <f>IFERROR(__xludf.DUMMYFUNCTION("IFERROR(
  VLOOKUP(
    A20,
    IMPORTRANGE(
      ""1ZHMy3vVUd_0MrSduXTe1etBb1HNpAlGwQr006ljwMiM"",
      ""GSC最新!A:F""
    ),
    2,
    FALSE
  ),
  0
)
"),14.0)</f>
        <v>14</v>
      </c>
      <c r="I20" s="54">
        <f>IFERROR(__xludf.DUMMYFUNCTION("IFERROR(
  VLOOKUP(
    A20,
    IMPORTRANGE(
      ""1ZHMy3vVUd_0MrSduXTe1etBb1HNpAlGwQr006ljwMiM"",
      ""GSC最新!A:F""
    ),
    3,
    FALSE
  ),
  0
)
"),35.0)</f>
        <v>35</v>
      </c>
      <c r="J20" s="54">
        <f>IFERROR(__xludf.DUMMYFUNCTION("IFERROR(
  VLOOKUP(
    A20,
    IMPORTRANGE(
      ""1ZHMy3vVUd_0MrSduXTe1etBb1HNpAlGwQr006ljwMiM"",
      ""GSC最新!A:F""
    ),
    4,
    FALSE
  ),
  0
)
"),0.0)</f>
        <v>0</v>
      </c>
      <c r="K20" s="54">
        <f>IFERROR(__xludf.DUMMYFUNCTION("IFERROR(
  VLOOKUP(
    A20,
    IMPORTRANGE(
      ""1ZHMy3vVUd_0MrSduXTe1etBb1HNpAlGwQr006ljwMiM"",
      ""GSC最新!A:F""
    ),
    5,
    FALSE
  ),
  0
)
"),0.0)</f>
        <v>0</v>
      </c>
      <c r="L20" s="50" t="str">
        <f t="shared" ref="L20:M20" si="92">IFERROR(H20/J20,"-")</f>
        <v>-</v>
      </c>
      <c r="M20" s="50" t="str">
        <f t="shared" si="92"/>
        <v>-</v>
      </c>
      <c r="N20" s="59">
        <f>IFERROR(__xludf.DUMMYFUNCTION("IFERROR(
  VLOOKUP(
    A20,
    IMPORTRANGE(
      ""1ZHMy3vVUd_0MrSduXTe1etBb1HNpAlGwQr006ljwMiM"",
      ""GSC最新!A:R""
    ),
    7,
    FALSE
  ),
  0
)
"),2909.0)</f>
        <v>2909</v>
      </c>
      <c r="O20" s="59">
        <f>IFERROR(__xludf.DUMMYFUNCTION("IFERROR(
  VLOOKUP(
    A20,
    IMPORTRANGE(
      ""1ZHMy3vVUd_0MrSduXTe1etBb1HNpAlGwQr006ljwMiM"",
      ""GSC最新!A:R""
    ),
    10,
    FALSE
  ),
  0
)
"),4619.0)</f>
        <v>4619</v>
      </c>
      <c r="P20" s="59">
        <f>IFERROR(__xludf.DUMMYFUNCTION("IFERROR(
  VLOOKUP(
    A20,
    IMPORTRANGE(
      ""1ZHMy3vVUd_0MrSduXTe1etBb1HNpAlGwQr006ljwMiM"",
      ""GSC最新!A:R""
    ),
    13,
    FALSE
  ),
  0
)
"),7.0)</f>
        <v>7</v>
      </c>
      <c r="Q20" s="59">
        <f>IFERROR(__xludf.DUMMYFUNCTION("IFERROR(
  VLOOKUP(
    A20,
    IMPORTRANGE(
      ""1ZHMy3vVUd_0MrSduXTe1etBb1HNpAlGwQr006ljwMiM"",
      ""GSC最新!A:R""
    ),
    16,
    FALSE
  ),
  0
)
"),18.0)</f>
        <v>18</v>
      </c>
      <c r="R20" s="50">
        <f t="shared" ref="R20:S20" si="93">IFERROR(N20/P20,"-")</f>
        <v>415.5714286</v>
      </c>
      <c r="S20" s="50">
        <f t="shared" si="93"/>
        <v>256.6111111</v>
      </c>
      <c r="T20" s="60">
        <f>IFERROR(__xludf.DUMMYFUNCTION("IFERROR(
  VLOOKUP(
    A20,
    IMPORTRANGE(
      ""1ZHMy3vVUd_0MrSduXTe1etBb1HNpAlGwQr006ljwMiM"",
      ""GSC最新!A:R""
    ),
    8,
    FALSE
  ),
  0
)
"),0.0048126503953248535)</f>
        <v>0.004812650395</v>
      </c>
      <c r="U20" s="60">
        <f>IFERROR(__xludf.DUMMYFUNCTION("IFERROR(
  VLOOKUP(
    A20,
    IMPORTRANGE(
      ""1ZHMy3vVUd_0MrSduXTe1etBb1HNpAlGwQr006ljwMiM"",
      ""GSC最新!A:R""
    ),
    11,
    FALSE
  ),
  0
)
"),0.007577397705130981)</f>
        <v>0.007577397705</v>
      </c>
      <c r="V20" s="60">
        <f>IFERROR(__xludf.DUMMYFUNCTION("IFERROR(
  VLOOKUP(
    A20,
    IMPORTRANGE(
      ""1ZHMy3vVUd_0MrSduXTe1etBb1HNpAlGwQr006ljwMiM"",
      ""GSC最新!A:R""
    ),
    14,
    FALSE
  ),
  0
)
"),0.0)</f>
        <v>0</v>
      </c>
      <c r="W20" s="60">
        <f>IFERROR(__xludf.DUMMYFUNCTION("IFERROR(
  VLOOKUP(
    A20,
    IMPORTRANGE(
      ""1ZHMy3vVUd_0MrSduXTe1etBb1HNpAlGwQr006ljwMiM"",
      ""GSC最新!A:R""
    ),
    17,
    FALSE
  ),
  0
)
"),0.0)</f>
        <v>0</v>
      </c>
      <c r="X20" s="60">
        <f t="shared" ref="X20:Y20" si="94">IFERROR(T20-V20,"-")</f>
        <v>0.004812650395</v>
      </c>
      <c r="Y20" s="60">
        <f t="shared" si="94"/>
        <v>0.007577397705</v>
      </c>
      <c r="Z20" s="52">
        <f>IFERROR(__xludf.DUMMYFUNCTION("IFERROR(
  VLOOKUP(
    A20,
    IMPORTRANGE(
      ""1ZHMy3vVUd_0MrSduXTe1etBb1HNpAlGwQr006ljwMiM"",
      ""GSC最新!A:R""
    ),
    9,
    FALSE
  ),
  0
)
"),3.485733929185287)</f>
        <v>3.485733929</v>
      </c>
      <c r="AA20" s="52">
        <f>IFERROR(__xludf.DUMMYFUNCTION("IFERROR(
  VLOOKUP(
    A20,
    IMPORTRANGE(
      ""1ZHMy3vVUd_0MrSduXTe1etBb1HNpAlGwQr006ljwMiM"",
      ""GSC最新!A:R""
    ),
    12,
    FALSE
  ),
  0
)
"),4.626542541675688)</f>
        <v>4.626542542</v>
      </c>
      <c r="AB20" s="52">
        <f>IFERROR(__xludf.DUMMYFUNCTION("IFERROR(
  VLOOKUP(
    A20,
    IMPORTRANGE(
      ""1ZHMy3vVUd_0MrSduXTe1etBb1HNpAlGwQr006ljwMiM"",
      ""GSC最新!A:R""
    ),
    15,
    FALSE
  ),
  0
)
"),27.857142857142858)</f>
        <v>27.85714286</v>
      </c>
      <c r="AC20" s="52">
        <f>IFERROR(__xludf.DUMMYFUNCTION("IFERROR(
  VLOOKUP(
    A20,
    IMPORTRANGE(
      ""1ZHMy3vVUd_0MrSduXTe1etBb1HNpAlGwQr006ljwMiM"",
      ""GSC最新!A:R""
    ),
    18,
    FALSE
  ),
  0
)
"),21.88888888888889)</f>
        <v>21.88888889</v>
      </c>
      <c r="AD20" s="52">
        <f t="shared" ref="AD20:AE20" si="95">Z20-AB20</f>
        <v>-24.37140893</v>
      </c>
      <c r="AE20" s="52">
        <f t="shared" si="95"/>
        <v>-17.26234635</v>
      </c>
      <c r="AF20" s="53">
        <f>IFERROR(__xludf.DUMMYFUNCTION("IFERROR(
  VLOOKUP(
    A20,
    IMPORTRANGE(
      ""1ZHMy3vVUd_0MrSduXTe1etBb1HNpAlGwQr006ljwMiM"",
      ""GSC最新!A:F""
    ),
    6,
    FALSE
  ),
  0
)
"),46081.0)</f>
        <v>46081</v>
      </c>
      <c r="AG20" s="54">
        <f>IFERROR(__xludf.DUMMYFUNCTION("IFERROR(
  VLOOKUP(
    A20,
    IMPORTRANGE(
      ""1SCYQd7_cobOYqT0r_F0IqD4tE4rYn5y8Eup4PJTH8es"",
      ""Snapshot!A:M""
    ),
    5,
    FALSE
  ),
  ""-""
)
"),8.0)</f>
        <v>8</v>
      </c>
      <c r="AH20" s="54">
        <f>IFERROR(__xludf.DUMMYFUNCTION("IFERROR(
  VLOOKUP(
    A20,
    IMPORTRANGE(
      ""1SCYQd7_cobOYqT0r_F0IqD4tE4rYn5y8Eup4PJTH8es"",
      ""Snapshot!A:M""
    ),
    6,
    FALSE
  ),
  0
)
"),12.0)</f>
        <v>12</v>
      </c>
      <c r="AI20" s="54">
        <f>IFERROR(__xludf.DUMMYFUNCTION("IFERROR(
  VLOOKUP(
    A20,
    IMPORTRANGE(
      ""1SCYQd7_cobOYqT0r_F0IqD4tE4rYn5y8Eup4PJTH8es"",
      ""Snapshot!A:M""
    ),
    7,
    FALSE
  ),
  0
)
"),4249.0)</f>
        <v>4249</v>
      </c>
      <c r="AJ20" s="54">
        <f>IFERROR(__xludf.DUMMYFUNCTION("IFERROR(
  VLOOKUP(
    A20,
    IMPORTRANGE(
      ""1SCYQd7_cobOYqT0r_F0IqD4tE4rYn5y8Eup4PJTH8es"",
      ""Snapshot!A:M""
    ),
    8,
    FALSE
  ),
  0
)
"),7.0)</f>
        <v>7</v>
      </c>
      <c r="AK20" s="54">
        <f>IFERROR(__xludf.DUMMYFUNCTION("IFERROR(
  VLOOKUP(
    A20,
    IMPORTRANGE(
      ""1SCYQd7_cobOYqT0r_F0IqD4tE4rYn5y8Eup4PJTH8es"",
      ""Snapshot!A:M""
    ),
    9,
    FALSE
  ),
  0
)
"),2.0)</f>
        <v>2</v>
      </c>
      <c r="AL20" s="54">
        <f>IFERROR(__xludf.DUMMYFUNCTION("IFERROR(
  VLOOKUP(
    A20,
    IMPORTRANGE(
      ""1SCYQd7_cobOYqT0r_F0IqD4tE4rYn5y8Eup4PJTH8es"",
      ""Snapshot!A:M""
    ),
    13,
    FALSE
  ),
  0
)
"),2.0)</f>
        <v>2</v>
      </c>
    </row>
    <row r="21">
      <c r="A21" s="3" t="s">
        <v>366</v>
      </c>
      <c r="B21" s="1" t="str">
        <f>IFERROR(__xludf.DUMMYFUNCTION("IFERROR(
  VLOOKUP(
    A21,
    IMPORTRANGE(
      ""1ZygntHC1J6IxzKbTidmOyf5nUyW4GCLurHCjexrLm_o"",
      ""HTMLキャッシュ!A:F""
    ),
    2,
    FALSE
  ),
  0
)
"),"SC")</f>
        <v>SC</v>
      </c>
      <c r="C21" s="1" t="str">
        <f>IFERROR(__xludf.DUMMYFUNCTION("IFERROR(
  VLOOKUP(
    A21,
    IMPORTRANGE(
      ""1ZygntHC1J6IxzKbTidmOyf5nUyW4GCLurHCjexrLm_o"",
      ""HTMLキャッシュ!A:F""
    ),
    5,
    FALSE
  ),
  0
)
"),"中学受験算数の文章題対策｜配布プリントで式の立て方を固める反復手順｜夏井算数塾")</f>
        <v>中学受験算数の文章題対策｜配布プリントで式の立て方を固める反復手順｜夏井算数塾</v>
      </c>
      <c r="D21" s="1" t="str">
        <f>IFERROR(__xludf.DUMMYFUNCTION("IFERROR(
  VLOOKUP(
    A21,
    IMPORTRANGE(
      ""1ZygntHC1J6IxzKbTidmOyf5nUyW4GCLurHCjexrLm_o        "",
      ""HTMLキャッシュ!A:F""
    ),
    6,
    FALSE
  ),
  0
)
"),"中学受験算数で「計算はできるのに文章題になると止まる」原因は、計算力ではなく文章を式に直す力にあることが多いです。学校・塾の配布プリントや問題集を解き直し前提で回し、どの文がどの式につながるかを確認。毎日1〜2題で式変換の型を定着させます。")</f>
        <v>中学受験算数で「計算はできるのに文章題になると止まる」原因は、計算力ではなく文章を式に直す力にあることが多いです。学校・塾の配布プリントや問題集を解き直し前提で回し、どの文がどの式につながるかを確認。毎日1〜2題で式変換の型を定着させます。</v>
      </c>
      <c r="E21" s="49">
        <f t="shared" ref="E21:F21" si="96">LEN(C21)</f>
        <v>39</v>
      </c>
      <c r="F21" s="49">
        <f t="shared" si="96"/>
        <v>120</v>
      </c>
      <c r="G21" s="32">
        <f>IFERROR(__xludf.DUMMYFUNCTION("IFERROR(
  VLOOKUP(
    A21,
    IMPORTRANGE(
      ""1ZygntHC1J6IxzKbTidmOyf5nUyW4GCLurHCjexrLm_o        "",
      ""HTMLキャッシュ!A:F""
    ),
    3,
    FALSE
  ),
  0
)
"),46071.63790509259)</f>
        <v>46071.63791</v>
      </c>
      <c r="H21" s="54">
        <f>IFERROR(__xludf.DUMMYFUNCTION("IFERROR(
  VLOOKUP(
    A21,
    IMPORTRANGE(
      ""1ZHMy3vVUd_0MrSduXTe1etBb1HNpAlGwQr006ljwMiM"",
      ""GSC最新!A:F""
    ),
    2,
    FALSE
  ),
  0
)
"),2.0)</f>
        <v>2</v>
      </c>
      <c r="I21" s="54">
        <f>IFERROR(__xludf.DUMMYFUNCTION("IFERROR(
  VLOOKUP(
    A21,
    IMPORTRANGE(
      ""1ZHMy3vVUd_0MrSduXTe1etBb1HNpAlGwQr006ljwMiM"",
      ""GSC最新!A:F""
    ),
    3,
    FALSE
  ),
  0
)
"),33.0)</f>
        <v>33</v>
      </c>
      <c r="J21" s="54">
        <f>IFERROR(__xludf.DUMMYFUNCTION("IFERROR(
  VLOOKUP(
    A21,
    IMPORTRANGE(
      ""1ZHMy3vVUd_0MrSduXTe1etBb1HNpAlGwQr006ljwMiM"",
      ""GSC最新!A:F""
    ),
    4,
    FALSE
  ),
  0
)
"),0.0)</f>
        <v>0</v>
      </c>
      <c r="K21" s="54">
        <f>IFERROR(__xludf.DUMMYFUNCTION("IFERROR(
  VLOOKUP(
    A21,
    IMPORTRANGE(
      ""1ZHMy3vVUd_0MrSduXTe1etBb1HNpAlGwQr006ljwMiM"",
      ""GSC最新!A:F""
    ),
    5,
    FALSE
  ),
  0
)
"),0.0)</f>
        <v>0</v>
      </c>
      <c r="L21" s="50" t="str">
        <f t="shared" ref="L21:M21" si="97">IFERROR(H21/J21,"-")</f>
        <v>-</v>
      </c>
      <c r="M21" s="50" t="str">
        <f t="shared" si="97"/>
        <v>-</v>
      </c>
      <c r="N21" s="59">
        <f>IFERROR(__xludf.DUMMYFUNCTION("IFERROR(
  VLOOKUP(
    A21,
    IMPORTRANGE(
      ""1ZHMy3vVUd_0MrSduXTe1etBb1HNpAlGwQr006ljwMiM"",
      ""GSC最新!A:R""
    ),
    7,
    FALSE
  ),
  0
)
"),142.0)</f>
        <v>142</v>
      </c>
      <c r="O21" s="59">
        <f>IFERROR(__xludf.DUMMYFUNCTION("IFERROR(
  VLOOKUP(
    A21,
    IMPORTRANGE(
      ""1ZHMy3vVUd_0MrSduXTe1etBb1HNpAlGwQr006ljwMiM"",
      ""GSC最新!A:R""
    ),
    10,
    FALSE
  ),
  0
)
"),978.0)</f>
        <v>978</v>
      </c>
      <c r="P21" s="59">
        <f>IFERROR(__xludf.DUMMYFUNCTION("IFERROR(
  VLOOKUP(
    A21,
    IMPORTRANGE(
      ""1ZHMy3vVUd_0MrSduXTe1etBb1HNpAlGwQr006ljwMiM"",
      ""GSC最新!A:R""
    ),
    13,
    FALSE
  ),
  0
)
"),1.0)</f>
        <v>1</v>
      </c>
      <c r="Q21" s="59">
        <f>IFERROR(__xludf.DUMMYFUNCTION("IFERROR(
  VLOOKUP(
    A21,
    IMPORTRANGE(
      ""1ZHMy3vVUd_0MrSduXTe1etBb1HNpAlGwQr006ljwMiM"",
      ""GSC最新!A:R""
    ),
    16,
    FALSE
  ),
  0
)
"),3.0)</f>
        <v>3</v>
      </c>
      <c r="R21" s="50">
        <f t="shared" ref="R21:S21" si="98">IFERROR(N21/P21,"-")</f>
        <v>142</v>
      </c>
      <c r="S21" s="50">
        <f t="shared" si="98"/>
        <v>326</v>
      </c>
      <c r="T21" s="60">
        <f>IFERROR(__xludf.DUMMYFUNCTION("IFERROR(
  VLOOKUP(
    A21,
    IMPORTRANGE(
      ""1ZHMy3vVUd_0MrSduXTe1etBb1HNpAlGwQr006ljwMiM"",
      ""GSC最新!A:R""
    ),
    8,
    FALSE
  ),
  0
)
"),0.014084507042253521)</f>
        <v>0.01408450704</v>
      </c>
      <c r="U21" s="60">
        <f>IFERROR(__xludf.DUMMYFUNCTION("IFERROR(
  VLOOKUP(
    A21,
    IMPORTRANGE(
      ""1ZHMy3vVUd_0MrSduXTe1etBb1HNpAlGwQr006ljwMiM"",
      ""GSC最新!A:R""
    ),
    11,
    FALSE
  ),
  0
)
"),0.03374233128834356)</f>
        <v>0.03374233129</v>
      </c>
      <c r="V21" s="60">
        <f>IFERROR(__xludf.DUMMYFUNCTION("IFERROR(
  VLOOKUP(
    A21,
    IMPORTRANGE(
      ""1ZHMy3vVUd_0MrSduXTe1etBb1HNpAlGwQr006ljwMiM"",
      ""GSC最新!A:R""
    ),
    14,
    FALSE
  ),
  0
)
"),0.0)</f>
        <v>0</v>
      </c>
      <c r="W21" s="60">
        <f>IFERROR(__xludf.DUMMYFUNCTION("IFERROR(
  VLOOKUP(
    A21,
    IMPORTRANGE(
      ""1ZHMy3vVUd_0MrSduXTe1etBb1HNpAlGwQr006ljwMiM"",
      ""GSC最新!A:R""
    ),
    17,
    FALSE
  ),
  0
)
"),0.0)</f>
        <v>0</v>
      </c>
      <c r="X21" s="60">
        <f t="shared" ref="X21:Y21" si="99">IFERROR(T21-V21,"-")</f>
        <v>0.01408450704</v>
      </c>
      <c r="Y21" s="60">
        <f t="shared" si="99"/>
        <v>0.03374233129</v>
      </c>
      <c r="Z21" s="52">
        <f>IFERROR(__xludf.DUMMYFUNCTION("IFERROR(
  VLOOKUP(
    A21,
    IMPORTRANGE(
      ""1ZHMy3vVUd_0MrSduXTe1etBb1HNpAlGwQr006ljwMiM"",
      ""GSC最新!A:R""
    ),
    9,
    FALSE
  ),
  0
)
"),7.112676056338028)</f>
        <v>7.112676056</v>
      </c>
      <c r="AA21" s="52">
        <f>IFERROR(__xludf.DUMMYFUNCTION("IFERROR(
  VLOOKUP(
    A21,
    IMPORTRANGE(
      ""1ZHMy3vVUd_0MrSduXTe1etBb1HNpAlGwQr006ljwMiM"",
      ""GSC最新!A:R""
    ),
    12,
    FALSE
  ),
  0
)
"),7.069529652351738)</f>
        <v>7.069529652</v>
      </c>
      <c r="AB21" s="52">
        <f>IFERROR(__xludf.DUMMYFUNCTION("IFERROR(
  VLOOKUP(
    A21,
    IMPORTRANGE(
      ""1ZHMy3vVUd_0MrSduXTe1etBb1HNpAlGwQr006ljwMiM"",
      ""GSC最新!A:R""
    ),
    15,
    FALSE
  ),
  0
)
"),32.0)</f>
        <v>32</v>
      </c>
      <c r="AC21" s="52">
        <f>IFERROR(__xludf.DUMMYFUNCTION("IFERROR(
  VLOOKUP(
    A21,
    IMPORTRANGE(
      ""1ZHMy3vVUd_0MrSduXTe1etBb1HNpAlGwQr006ljwMiM"",
      ""GSC最新!A:R""
    ),
    18,
    FALSE
  ),
  0
)
"),16.666666666666664)</f>
        <v>16.66666667</v>
      </c>
      <c r="AD21" s="52">
        <f t="shared" ref="AD21:AE21" si="100">Z21-AB21</f>
        <v>-24.88732394</v>
      </c>
      <c r="AE21" s="52">
        <f t="shared" si="100"/>
        <v>-9.597137014</v>
      </c>
      <c r="AF21" s="53">
        <f>IFERROR(__xludf.DUMMYFUNCTION("IFERROR(
  VLOOKUP(
    A21,
    IMPORTRANGE(
      ""1ZHMy3vVUd_0MrSduXTe1etBb1HNpAlGwQr006ljwMiM"",
      ""GSC最新!A:F""
    ),
    6,
    FALSE
  ),
  0
)
"),46081.0)</f>
        <v>46081</v>
      </c>
      <c r="AG21" s="54">
        <f>IFERROR(__xludf.DUMMYFUNCTION("IFERROR(
  VLOOKUP(
    A21,
    IMPORTRANGE(
      ""1SCYQd7_cobOYqT0r_F0IqD4tE4rYn5y8Eup4PJTH8es"",
      ""Snapshot!A:M""
    ),
    5,
    FALSE
  ),
  ""-""
)
"),3.0)</f>
        <v>3</v>
      </c>
      <c r="AH21" s="54">
        <f>IFERROR(__xludf.DUMMYFUNCTION("IFERROR(
  VLOOKUP(
    A21,
    IMPORTRANGE(
      ""1SCYQd7_cobOYqT0r_F0IqD4tE4rYn5y8Eup4PJTH8es"",
      ""Snapshot!A:M""
    ),
    6,
    FALSE
  ),
  0
)
"),5.0)</f>
        <v>5</v>
      </c>
      <c r="AI21" s="54">
        <f>IFERROR(__xludf.DUMMYFUNCTION("IFERROR(
  VLOOKUP(
    A21,
    IMPORTRANGE(
      ""1SCYQd7_cobOYqT0r_F0IqD4tE4rYn5y8Eup4PJTH8es"",
      ""Snapshot!A:M""
    ),
    7,
    FALSE
  ),
  0
)
"),2189.0)</f>
        <v>2189</v>
      </c>
      <c r="AJ21" s="54">
        <f>IFERROR(__xludf.DUMMYFUNCTION("IFERROR(
  VLOOKUP(
    A21,
    IMPORTRANGE(
      ""1SCYQd7_cobOYqT0r_F0IqD4tE4rYn5y8Eup4PJTH8es"",
      ""Snapshot!A:M""
    ),
    8,
    FALSE
  ),
  0
)
"),4.0)</f>
        <v>4</v>
      </c>
      <c r="AK21" s="54">
        <f>IFERROR(__xludf.DUMMYFUNCTION("IFERROR(
  VLOOKUP(
    A21,
    IMPORTRANGE(
      ""1SCYQd7_cobOYqT0r_F0IqD4tE4rYn5y8Eup4PJTH8es"",
      ""Snapshot!A:M""
    ),
    9,
    FALSE
  ),
  0
)
"),1.0)</f>
        <v>1</v>
      </c>
      <c r="AL21" s="54">
        <f>IFERROR(__xludf.DUMMYFUNCTION("IFERROR(
  VLOOKUP(
    A21,
    IMPORTRANGE(
      ""1SCYQd7_cobOYqT0r_F0IqD4tE4rYn5y8Eup4PJTH8es"",
      ""Snapshot!A:M""
    ),
    13,
    FALSE
  ),
  0
)
"),2.0)</f>
        <v>2</v>
      </c>
    </row>
    <row r="22">
      <c r="A22" s="3" t="s">
        <v>367</v>
      </c>
      <c r="B22" s="1" t="str">
        <f>IFERROR(__xludf.DUMMYFUNCTION("IFERROR(
  VLOOKUP(
    A22,
    IMPORTRANGE(
      ""1ZygntHC1J6IxzKbTidmOyf5nUyW4GCLurHCjexrLm_o"",
      ""HTMLキャッシュ!A:F""
    ),
    2,
    FALSE
  ),
  0
)
"),"ST")</f>
        <v>ST</v>
      </c>
      <c r="C22" s="1" t="str">
        <f>IFERROR(__xludf.DUMMYFUNCTION("IFERROR(
  VLOOKUP(
    A22,
    IMPORTRANGE(
      ""1ZygntHC1J6IxzKbTidmOyf5nUyW4GCLurHCjexrLm_o"",
      ""HTMLキャッシュ!A:F""
    ),
    5,
    FALSE
  ),
  0
)
"),"夏井算数塾のアクセス｜四ツ谷駅2分・装美ビル301")</f>
        <v>夏井算数塾のアクセス｜四ツ谷駅2分・装美ビル301</v>
      </c>
      <c r="D22" s="1" t="str">
        <f>IFERROR(__xludf.DUMMYFUNCTION("IFERROR(
  VLOOKUP(
    A22,
    IMPORTRANGE(
      ""1ZygntHC1J6IxzKbTidmOyf5nUyW4GCLurHCjexrLm_o        "",
      ""HTMLキャッシュ!A:F""
    ),
    6,
    FALSE
  ),
  0
)
"),"中学受験算数の完全1対1個別指導「夏井算数塾」（四谷教室）のアクセス案内。四ツ谷駅（四ツ谷口）から徒歩2分、装美ビル301。写真付きの道順・地図・迷った時の確認ポイント（胡桃屋／串八珍）を掲載。")</f>
        <v>中学受験算数の完全1対1個別指導「夏井算数塾」（四谷教室）のアクセス案内。四ツ谷駅（四ツ谷口）から徒歩2分、装美ビル301。写真付きの道順・地図・迷った時の確認ポイント（胡桃屋／串八珍）を掲載。</v>
      </c>
      <c r="E22" s="49">
        <f t="shared" ref="E22:F22" si="101">LEN(C22)</f>
        <v>25</v>
      </c>
      <c r="F22" s="49">
        <f t="shared" si="101"/>
        <v>97</v>
      </c>
      <c r="G22" s="32">
        <f>IFERROR(__xludf.DUMMYFUNCTION("IFERROR(
  VLOOKUP(
    A22,
    IMPORTRANGE(
      ""1ZygntHC1J6IxzKbTidmOyf5nUyW4GCLurHCjexrLm_o        "",
      ""HTMLキャッシュ!A:F""
    ),
    3,
    FALSE
  ),
  0
)
"),46017.77884259259)</f>
        <v>46017.77884</v>
      </c>
      <c r="H22" s="54">
        <f>IFERROR(__xludf.DUMMYFUNCTION("IFERROR(
  VLOOKUP(
    A22,
    IMPORTRANGE(
      ""1ZHMy3vVUd_0MrSduXTe1etBb1HNpAlGwQr006ljwMiM"",
      ""GSC最新!A:F""
    ),
    2,
    FALSE
  ),
  0
)
"),13.0)</f>
        <v>13</v>
      </c>
      <c r="I22" s="54">
        <f>IFERROR(__xludf.DUMMYFUNCTION("IFERROR(
  VLOOKUP(
    A22,
    IMPORTRANGE(
      ""1ZHMy3vVUd_0MrSduXTe1etBb1HNpAlGwQr006ljwMiM"",
      ""GSC最新!A:F""
    ),
    3,
    FALSE
  ),
  0
)
"),26.0)</f>
        <v>26</v>
      </c>
      <c r="J22" s="54">
        <f>IFERROR(__xludf.DUMMYFUNCTION("IFERROR(
  VLOOKUP(
    A22,
    IMPORTRANGE(
      ""1ZHMy3vVUd_0MrSduXTe1etBb1HNpAlGwQr006ljwMiM"",
      ""GSC最新!A:F""
    ),
    4,
    FALSE
  ),
  0
)
"),15.0)</f>
        <v>15</v>
      </c>
      <c r="K22" s="54">
        <f>IFERROR(__xludf.DUMMYFUNCTION("IFERROR(
  VLOOKUP(
    A22,
    IMPORTRANGE(
      ""1ZHMy3vVUd_0MrSduXTe1etBb1HNpAlGwQr006ljwMiM"",
      ""GSC最新!A:F""
    ),
    5,
    FALSE
  ),
  0
)
"),38.0)</f>
        <v>38</v>
      </c>
      <c r="L22" s="50">
        <f t="shared" ref="L22:M22" si="102">IFERROR(H22/J22,"-")</f>
        <v>0.8666666667</v>
      </c>
      <c r="M22" s="50">
        <f t="shared" si="102"/>
        <v>0.6842105263</v>
      </c>
      <c r="N22" s="59">
        <f>IFERROR(__xludf.DUMMYFUNCTION("IFERROR(
  VLOOKUP(
    A22,
    IMPORTRANGE(
      ""1ZHMy3vVUd_0MrSduXTe1etBb1HNpAlGwQr006ljwMiM"",
      ""GSC最新!A:R""
    ),
    7,
    FALSE
  ),
  0
)
"),148.0)</f>
        <v>148</v>
      </c>
      <c r="O22" s="59">
        <f>IFERROR(__xludf.DUMMYFUNCTION("IFERROR(
  VLOOKUP(
    A22,
    IMPORTRANGE(
      ""1ZHMy3vVUd_0MrSduXTe1etBb1HNpAlGwQr006ljwMiM"",
      ""GSC最新!A:R""
    ),
    10,
    FALSE
  ),
  0
)
"),367.0)</f>
        <v>367</v>
      </c>
      <c r="P22" s="59">
        <f>IFERROR(__xludf.DUMMYFUNCTION("IFERROR(
  VLOOKUP(
    A22,
    IMPORTRANGE(
      ""1ZHMy3vVUd_0MrSduXTe1etBb1HNpAlGwQr006ljwMiM"",
      ""GSC最新!A:R""
    ),
    13,
    FALSE
  ),
  0
)
"),2729.0)</f>
        <v>2729</v>
      </c>
      <c r="Q22" s="59">
        <f>IFERROR(__xludf.DUMMYFUNCTION("IFERROR(
  VLOOKUP(
    A22,
    IMPORTRANGE(
      ""1ZHMy3vVUd_0MrSduXTe1etBb1HNpAlGwQr006ljwMiM"",
      ""GSC最新!A:R""
    ),
    16,
    FALSE
  ),
  0
)
"),8117.0)</f>
        <v>8117</v>
      </c>
      <c r="R22" s="50">
        <f t="shared" ref="R22:S22" si="103">IFERROR(N22/P22,"-")</f>
        <v>0.05423231953</v>
      </c>
      <c r="S22" s="50">
        <f t="shared" si="103"/>
        <v>0.04521374892</v>
      </c>
      <c r="T22" s="60">
        <f>IFERROR(__xludf.DUMMYFUNCTION("IFERROR(
  VLOOKUP(
    A22,
    IMPORTRANGE(
      ""1ZHMy3vVUd_0MrSduXTe1etBb1HNpAlGwQr006ljwMiM"",
      ""GSC最新!A:R""
    ),
    8,
    FALSE
  ),
  0
)
"),0.08783783783783784)</f>
        <v>0.08783783784</v>
      </c>
      <c r="U22" s="60">
        <f>IFERROR(__xludf.DUMMYFUNCTION("IFERROR(
  VLOOKUP(
    A22,
    IMPORTRANGE(
      ""1ZHMy3vVUd_0MrSduXTe1etBb1HNpAlGwQr006ljwMiM"",
      ""GSC最新!A:R""
    ),
    11,
    FALSE
  ),
  0
)
"),0.07084468664850137)</f>
        <v>0.07084468665</v>
      </c>
      <c r="V22" s="60">
        <f>IFERROR(__xludf.DUMMYFUNCTION("IFERROR(
  VLOOKUP(
    A22,
    IMPORTRANGE(
      ""1ZHMy3vVUd_0MrSduXTe1etBb1HNpAlGwQr006ljwMiM"",
      ""GSC最新!A:R""
    ),
    14,
    FALSE
  ),
  0
)
"),0.005496518871381458)</f>
        <v>0.005496518871</v>
      </c>
      <c r="W22" s="60">
        <f>IFERROR(__xludf.DUMMYFUNCTION("IFERROR(
  VLOOKUP(
    A22,
    IMPORTRANGE(
      ""1ZHMy3vVUd_0MrSduXTe1etBb1HNpAlGwQr006ljwMiM"",
      ""GSC最新!A:R""
    ),
    17,
    FALSE
  ),
  0
)
"),0.004681532585930763)</f>
        <v>0.004681532586</v>
      </c>
      <c r="X22" s="60">
        <f t="shared" ref="X22:Y22" si="104">IFERROR(T22-V22,"-")</f>
        <v>0.08234131897</v>
      </c>
      <c r="Y22" s="60">
        <f t="shared" si="104"/>
        <v>0.06616315406</v>
      </c>
      <c r="Z22" s="52">
        <f>IFERROR(__xludf.DUMMYFUNCTION("IFERROR(
  VLOOKUP(
    A22,
    IMPORTRANGE(
      ""1ZHMy3vVUd_0MrSduXTe1etBb1HNpAlGwQr006ljwMiM"",
      ""GSC最新!A:R""
    ),
    9,
    FALSE
  ),
  0
)
"),5.155405405405405)</f>
        <v>5.155405405</v>
      </c>
      <c r="AA22" s="52">
        <f>IFERROR(__xludf.DUMMYFUNCTION("IFERROR(
  VLOOKUP(
    A22,
    IMPORTRANGE(
      ""1ZHMy3vVUd_0MrSduXTe1etBb1HNpAlGwQr006ljwMiM"",
      ""GSC最新!A:R""
    ),
    12,
    FALSE
  ),
  0
)
"),3.9700272479564034)</f>
        <v>3.970027248</v>
      </c>
      <c r="AB22" s="52">
        <f>IFERROR(__xludf.DUMMYFUNCTION("IFERROR(
  VLOOKUP(
    A22,
    IMPORTRANGE(
      ""1ZHMy3vVUd_0MrSduXTe1etBb1HNpAlGwQr006ljwMiM"",
      ""GSC最新!A:R""
    ),
    15,
    FALSE
  ),
  0
)
"),12.354342249908392)</f>
        <v>12.35434225</v>
      </c>
      <c r="AC22" s="52">
        <f>IFERROR(__xludf.DUMMYFUNCTION("IFERROR(
  VLOOKUP(
    A22,
    IMPORTRANGE(
      ""1ZHMy3vVUd_0MrSduXTe1etBb1HNpAlGwQr006ljwMiM"",
      ""GSC最新!A:R""
    ),
    18,
    FALSE
  ),
  0
)
"),13.360478009116669)</f>
        <v>13.36047801</v>
      </c>
      <c r="AD22" s="52">
        <f t="shared" ref="AD22:AE22" si="105">Z22-AB22</f>
        <v>-7.198936845</v>
      </c>
      <c r="AE22" s="52">
        <f t="shared" si="105"/>
        <v>-9.390450761</v>
      </c>
      <c r="AF22" s="53">
        <f>IFERROR(__xludf.DUMMYFUNCTION("IFERROR(
  VLOOKUP(
    A22,
    IMPORTRANGE(
      ""1ZHMy3vVUd_0MrSduXTe1etBb1HNpAlGwQr006ljwMiM"",
      ""GSC最新!A:F""
    ),
    6,
    FALSE
  ),
  0
)
"),46081.0)</f>
        <v>46081</v>
      </c>
      <c r="AG22" s="54">
        <f>IFERROR(__xludf.DUMMYFUNCTION("IFERROR(
  VLOOKUP(
    A22,
    IMPORTRANGE(
      ""1SCYQd7_cobOYqT0r_F0IqD4tE4rYn5y8Eup4PJTH8es"",
      ""Snapshot!A:M""
    ),
    5,
    FALSE
  ),
  ""-""
)
"),0.0)</f>
        <v>0</v>
      </c>
      <c r="AH22" s="54">
        <f>IFERROR(__xludf.DUMMYFUNCTION("IFERROR(
  VLOOKUP(
    A22,
    IMPORTRANGE(
      ""1SCYQd7_cobOYqT0r_F0IqD4tE4rYn5y8Eup4PJTH8es"",
      ""Snapshot!A:M""
    ),
    6,
    FALSE
  ),
  0
)
"),7.0)</f>
        <v>7</v>
      </c>
      <c r="AI22" s="54">
        <f>IFERROR(__xludf.DUMMYFUNCTION("IFERROR(
  VLOOKUP(
    A22,
    IMPORTRANGE(
      ""1SCYQd7_cobOYqT0r_F0IqD4tE4rYn5y8Eup4PJTH8es"",
      ""Snapshot!A:M""
    ),
    7,
    FALSE
  ),
  0
)
"),736.0)</f>
        <v>736</v>
      </c>
      <c r="AJ22" s="54">
        <f>IFERROR(__xludf.DUMMYFUNCTION("IFERROR(
  VLOOKUP(
    A22,
    IMPORTRANGE(
      ""1SCYQd7_cobOYqT0r_F0IqD4tE4rYn5y8Eup4PJTH8es"",
      ""Snapshot!A:M""
    ),
    8,
    FALSE
  ),
  0
)
"),0.0)</f>
        <v>0</v>
      </c>
      <c r="AK22" s="54">
        <f>IFERROR(__xludf.DUMMYFUNCTION("IFERROR(
  VLOOKUP(
    A22,
    IMPORTRANGE(
      ""1SCYQd7_cobOYqT0r_F0IqD4tE4rYn5y8Eup4PJTH8es"",
      ""Snapshot!A:M""
    ),
    9,
    FALSE
  ),
  0
)
"),1.0)</f>
        <v>1</v>
      </c>
      <c r="AL22" s="54">
        <f>IFERROR(__xludf.DUMMYFUNCTION("IFERROR(
  VLOOKUP(
    A22,
    IMPORTRANGE(
      ""1SCYQd7_cobOYqT0r_F0IqD4tE4rYn5y8Eup4PJTH8es"",
      ""Snapshot!A:M""
    ),
    13,
    FALSE
  ),
  0
)
"),1.0)</f>
        <v>1</v>
      </c>
    </row>
    <row r="23">
      <c r="A23" s="3" t="s">
        <v>287</v>
      </c>
      <c r="B23" s="1" t="str">
        <f>IFERROR(__xludf.DUMMYFUNCTION("IFERROR(
  VLOOKUP(
    A23,
    IMPORTRANGE(
      ""1ZygntHC1J6IxzKbTidmOyf5nUyW4GCLurHCjexrLm_o"",
      ""HTMLキャッシュ!A:F""
    ),
    2,
    FALSE
  ),
  0
)
"),"SP")</f>
        <v>SP</v>
      </c>
      <c r="C23" s="1" t="str">
        <f>IFERROR(__xludf.DUMMYFUNCTION("IFERROR(
  VLOOKUP(
    A23,
    IMPORTRANGE(
      ""1ZygntHC1J6IxzKbTidmOyf5nUyW4GCLurHCjexrLm_o"",
      ""HTMLキャッシュ!A:F""
    ),
    5,
    FALSE
  ),
  0
)
"),"中学受験算数 家庭教師オンライン｜1対1個別｜小4〜小6")</f>
        <v>中学受験算数 家庭教師オンライン｜1対1個別｜小4〜小6</v>
      </c>
      <c r="D23" s="1" t="str">
        <f>IFERROR(__xludf.DUMMYFUNCTION("IFERROR(
  VLOOKUP(
    A23,
    IMPORTRANGE(
      ""1ZygntHC1J6IxzKbTidmOyf5nUyW4GCLurHCjexrLm_o        "",
      ""HTMLキャッシュ!A:F""
    ),
    6,
    FALSE
  ),
  0
)
"),"中学受験算数専門のオンライン家庭教師。手元と表情を見ながら1対1で弱点を把握。併用/算数単科に対応。小4〜小6、全国。トライアルあり。")</f>
        <v>中学受験算数専門のオンライン家庭教師。手元と表情を見ながら1対1で弱点を把握。併用/算数単科に対応。小4〜小6、全国。トライアルあり。</v>
      </c>
      <c r="E23" s="49">
        <f t="shared" ref="E23:F23" si="106">LEN(C23)</f>
        <v>28</v>
      </c>
      <c r="F23" s="49">
        <f t="shared" si="106"/>
        <v>67</v>
      </c>
      <c r="G23" s="32">
        <f>IFERROR(__xludf.DUMMYFUNCTION("IFERROR(
  VLOOKUP(
    A23,
    IMPORTRANGE(
      ""1ZygntHC1J6IxzKbTidmOyf5nUyW4GCLurHCjexrLm_o        "",
      ""HTMLキャッシュ!A:F""
    ),
    3,
    FALSE
  ),
  0
)
"),46078.87752314815)</f>
        <v>46078.87752</v>
      </c>
      <c r="H23" s="54">
        <f>IFERROR(__xludf.DUMMYFUNCTION("IFERROR(
  VLOOKUP(
    A23,
    IMPORTRANGE(
      ""1ZHMy3vVUd_0MrSduXTe1etBb1HNpAlGwQr006ljwMiM"",
      ""GSC最新!A:F""
    ),
    2,
    FALSE
  ),
  0
)
"),17.0)</f>
        <v>17</v>
      </c>
      <c r="I23" s="54">
        <f>IFERROR(__xludf.DUMMYFUNCTION("IFERROR(
  VLOOKUP(
    A23,
    IMPORTRANGE(
      ""1ZHMy3vVUd_0MrSduXTe1etBb1HNpAlGwQr006ljwMiM"",
      ""GSC最新!A:F""
    ),
    3,
    FALSE
  ),
  0
)
"),29.0)</f>
        <v>29</v>
      </c>
      <c r="J23" s="54">
        <f>IFERROR(__xludf.DUMMYFUNCTION("IFERROR(
  VLOOKUP(
    A23,
    IMPORTRANGE(
      ""1ZHMy3vVUd_0MrSduXTe1etBb1HNpAlGwQr006ljwMiM"",
      ""GSC最新!A:F""
    ),
    4,
    FALSE
  ),
  0
)
"),22.0)</f>
        <v>22</v>
      </c>
      <c r="K23" s="54">
        <f>IFERROR(__xludf.DUMMYFUNCTION("IFERROR(
  VLOOKUP(
    A23,
    IMPORTRANGE(
      ""1ZHMy3vVUd_0MrSduXTe1etBb1HNpAlGwQr006ljwMiM"",
      ""GSC最新!A:F""
    ),
    5,
    FALSE
  ),
  0
)
"),64.0)</f>
        <v>64</v>
      </c>
      <c r="L23" s="50">
        <f t="shared" ref="L23:M23" si="107">IFERROR(H23/J23,"-")</f>
        <v>0.7727272727</v>
      </c>
      <c r="M23" s="50">
        <f t="shared" si="107"/>
        <v>0.453125</v>
      </c>
      <c r="N23" s="59">
        <f>IFERROR(__xludf.DUMMYFUNCTION("IFERROR(
  VLOOKUP(
    A23,
    IMPORTRANGE(
      ""1ZHMy3vVUd_0MrSduXTe1etBb1HNpAlGwQr006ljwMiM"",
      ""GSC最新!A:R""
    ),
    7,
    FALSE
  ),
  0
)
"),657.0)</f>
        <v>657</v>
      </c>
      <c r="O23" s="59">
        <f>IFERROR(__xludf.DUMMYFUNCTION("IFERROR(
  VLOOKUP(
    A23,
    IMPORTRANGE(
      ""1ZHMy3vVUd_0MrSduXTe1etBb1HNpAlGwQr006ljwMiM"",
      ""GSC最新!A:R""
    ),
    10,
    FALSE
  ),
  0
)
"),1085.0)</f>
        <v>1085</v>
      </c>
      <c r="P23" s="59">
        <f>IFERROR(__xludf.DUMMYFUNCTION("IFERROR(
  VLOOKUP(
    A23,
    IMPORTRANGE(
      ""1ZHMy3vVUd_0MrSduXTe1etBb1HNpAlGwQr006ljwMiM"",
      ""GSC最新!A:R""
    ),
    13,
    FALSE
  ),
  0
)
"),3594.0)</f>
        <v>3594</v>
      </c>
      <c r="Q23" s="59">
        <f>IFERROR(__xludf.DUMMYFUNCTION("IFERROR(
  VLOOKUP(
    A23,
    IMPORTRANGE(
      ""1ZHMy3vVUd_0MrSduXTe1etBb1HNpAlGwQr006ljwMiM"",
      ""GSC最新!A:R""
    ),
    16,
    FALSE
  ),
  0
)
"),11080.0)</f>
        <v>11080</v>
      </c>
      <c r="R23" s="50">
        <f t="shared" ref="R23:S23" si="108">IFERROR(N23/P23,"-")</f>
        <v>0.1828046745</v>
      </c>
      <c r="S23" s="50">
        <f t="shared" si="108"/>
        <v>0.09792418773</v>
      </c>
      <c r="T23" s="60">
        <f>IFERROR(__xludf.DUMMYFUNCTION("IFERROR(
  VLOOKUP(
    A23,
    IMPORTRANGE(
      ""1ZHMy3vVUd_0MrSduXTe1etBb1HNpAlGwQr006ljwMiM"",
      ""GSC最新!A:R""
    ),
    8,
    FALSE
  ),
  0
)
"),0.0258751902587519)</f>
        <v>0.02587519026</v>
      </c>
      <c r="U23" s="60">
        <f>IFERROR(__xludf.DUMMYFUNCTION("IFERROR(
  VLOOKUP(
    A23,
    IMPORTRANGE(
      ""1ZHMy3vVUd_0MrSduXTe1etBb1HNpAlGwQr006ljwMiM"",
      ""GSC最新!A:R""
    ),
    11,
    FALSE
  ),
  0
)
"),0.026728110599078342)</f>
        <v>0.0267281106</v>
      </c>
      <c r="V23" s="60">
        <f>IFERROR(__xludf.DUMMYFUNCTION("IFERROR(
  VLOOKUP(
    A23,
    IMPORTRANGE(
      ""1ZHMy3vVUd_0MrSduXTe1etBb1HNpAlGwQr006ljwMiM"",
      ""GSC最新!A:R""
    ),
    14,
    FALSE
  ),
  0
)
"),0.006121313299944352)</f>
        <v>0.0061213133</v>
      </c>
      <c r="W23" s="60">
        <f>IFERROR(__xludf.DUMMYFUNCTION("IFERROR(
  VLOOKUP(
    A23,
    IMPORTRANGE(
      ""1ZHMy3vVUd_0MrSduXTe1etBb1HNpAlGwQr006ljwMiM"",
      ""GSC最新!A:R""
    ),
    17,
    FALSE
  ),
  0
)
"),0.005776173285198556)</f>
        <v>0.005776173285</v>
      </c>
      <c r="X23" s="60">
        <f t="shared" ref="X23:Y23" si="109">IFERROR(T23-V23,"-")</f>
        <v>0.01975387696</v>
      </c>
      <c r="Y23" s="60">
        <f t="shared" si="109"/>
        <v>0.02095193731</v>
      </c>
      <c r="Z23" s="52">
        <f>IFERROR(__xludf.DUMMYFUNCTION("IFERROR(
  VLOOKUP(
    A23,
    IMPORTRANGE(
      ""1ZHMy3vVUd_0MrSduXTe1etBb1HNpAlGwQr006ljwMiM"",
      ""GSC最新!A:R""
    ),
    9,
    FALSE
  ),
  0
)
"),12.71689497716895)</f>
        <v>12.71689498</v>
      </c>
      <c r="AA23" s="52">
        <f>IFERROR(__xludf.DUMMYFUNCTION("IFERROR(
  VLOOKUP(
    A23,
    IMPORTRANGE(
      ""1ZHMy3vVUd_0MrSduXTe1etBb1HNpAlGwQr006ljwMiM"",
      ""GSC最新!A:R""
    ),
    12,
    FALSE
  ),
  0
)
"),13.557603686635945)</f>
        <v>13.55760369</v>
      </c>
      <c r="AB23" s="52">
        <f>IFERROR(__xludf.DUMMYFUNCTION("IFERROR(
  VLOOKUP(
    A23,
    IMPORTRANGE(
      ""1ZHMy3vVUd_0MrSduXTe1etBb1HNpAlGwQr006ljwMiM"",
      ""GSC最新!A:R""
    ),
    15,
    FALSE
  ),
  0
)
"),14.76265998887034)</f>
        <v>14.76265999</v>
      </c>
      <c r="AC23" s="52">
        <f>IFERROR(__xludf.DUMMYFUNCTION("IFERROR(
  VLOOKUP(
    A23,
    IMPORTRANGE(
      ""1ZHMy3vVUd_0MrSduXTe1etBb1HNpAlGwQr006ljwMiM"",
      ""GSC最新!A:R""
    ),
    18,
    FALSE
  ),
  0
)
"),13.834747292418772)</f>
        <v>13.83474729</v>
      </c>
      <c r="AD23" s="52">
        <f t="shared" ref="AD23:AE23" si="110">Z23-AB23</f>
        <v>-2.045765012</v>
      </c>
      <c r="AE23" s="52">
        <f t="shared" si="110"/>
        <v>-0.2771436058</v>
      </c>
      <c r="AF23" s="53">
        <f>IFERROR(__xludf.DUMMYFUNCTION("IFERROR(
  VLOOKUP(
    A23,
    IMPORTRANGE(
      ""1ZHMy3vVUd_0MrSduXTe1etBb1HNpAlGwQr006ljwMiM"",
      ""GSC最新!A:F""
    ),
    6,
    FALSE
  ),
  0
)
"),46081.0)</f>
        <v>46081</v>
      </c>
      <c r="AG23" s="54">
        <f>IFERROR(__xludf.DUMMYFUNCTION("IFERROR(
  VLOOKUP(
    A23,
    IMPORTRANGE(
      ""1SCYQd7_cobOYqT0r_F0IqD4tE4rYn5y8Eup4PJTH8es"",
      ""Snapshot!A:M""
    ),
    5,
    FALSE
  ),
  ""-""
)
"),16.0)</f>
        <v>16</v>
      </c>
      <c r="AH23" s="54">
        <f>IFERROR(__xludf.DUMMYFUNCTION("IFERROR(
  VLOOKUP(
    A23,
    IMPORTRANGE(
      ""1SCYQd7_cobOYqT0r_F0IqD4tE4rYn5y8Eup4PJTH8es"",
      ""Snapshot!A:M""
    ),
    6,
    FALSE
  ),
  0
)
"),17.0)</f>
        <v>17</v>
      </c>
      <c r="AI23" s="54">
        <f>IFERROR(__xludf.DUMMYFUNCTION("IFERROR(
  VLOOKUP(
    A23,
    IMPORTRANGE(
      ""1SCYQd7_cobOYqT0r_F0IqD4tE4rYn5y8Eup4PJTH8es"",
      ""Snapshot!A:M""
    ),
    7,
    FALSE
  ),
  0
)
"),7233.0)</f>
        <v>7233</v>
      </c>
      <c r="AJ23" s="54">
        <f>IFERROR(__xludf.DUMMYFUNCTION("IFERROR(
  VLOOKUP(
    A23,
    IMPORTRANGE(
      ""1SCYQd7_cobOYqT0r_F0IqD4tE4rYn5y8Eup4PJTH8es"",
      ""Snapshot!A:M""
    ),
    8,
    FALSE
  ),
  0
)
"),15.0)</f>
        <v>15</v>
      </c>
      <c r="AK23" s="54">
        <f>IFERROR(__xludf.DUMMYFUNCTION("IFERROR(
  VLOOKUP(
    A23,
    IMPORTRANGE(
      ""1SCYQd7_cobOYqT0r_F0IqD4tE4rYn5y8Eup4PJTH8es"",
      ""Snapshot!A:M""
    ),
    9,
    FALSE
  ),
  0
)
"),1.0)</f>
        <v>1</v>
      </c>
      <c r="AL23" s="54">
        <f>IFERROR(__xludf.DUMMYFUNCTION("IFERROR(
  VLOOKUP(
    A23,
    IMPORTRANGE(
      ""1SCYQd7_cobOYqT0r_F0IqD4tE4rYn5y8Eup4PJTH8es"",
      ""Snapshot!A:M""
    ),
    13,
    FALSE
  ),
  0
)
"),1.0)</f>
        <v>1</v>
      </c>
    </row>
    <row r="24">
      <c r="A24" s="3" t="s">
        <v>368</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"),"510-12 点の移動 - 中学受験専門 夏井算数塾")</f>
        <v>510-12 点の移動 - 中学受験専門 夏井算数塾</v>
      </c>
      <c r="D24" s="1" t="str">
        <f>IFERROR(__xludf.DUMMYFUNCTION("IFERROR(
  VLOOKUP(
    A24,
    IMPORTRANGE(
      ""1ZygntHC1J6IxzKbTidmOyf5nUyW4GCLurHCjexrLm_o        "",
      ""HTMLキャッシュ!A:F""
    ),
    6,
    FALSE
  ),
  0
)
"),"サピックス5年生のための「点の移動と三角形の面積」基礎整理 点の移動と三角形の面積は、サピックス5年生の算数で")</f>
        <v>サピックス5年生のための「点の移動と三角形の面積」基礎整理 点の移動と三角形の面積は、サピックス5年生の算数で</v>
      </c>
      <c r="E24" s="49">
        <f t="shared" ref="E24:F24" si="111">LEN(C24)</f>
        <v>26</v>
      </c>
      <c r="F24" s="49">
        <f t="shared" si="111"/>
        <v>55</v>
      </c>
      <c r="G24" s="32">
        <f>IFERROR(__xludf.DUMMYFUNCTION("IFERROR(
  VLOOKUP(
    A24,
    IMPORTRANGE(
      ""1ZygntHC1J6IxzKbTidmOyf5nUyW4GCLurHCjexrLm_o        "",
      ""HTMLキャッシュ!A:F""
    ),
    3,
    FALSE
  ),
  0
)
"),46046.79017361111)</f>
        <v>46046.79017</v>
      </c>
      <c r="H24" s="54">
        <f>IFERROR(__xludf.DUMMYFUNCTION("IFERROR(
  VLOOKUP(
    A24,
    IMPORTRANGE(
      ""1ZHMy3vVUd_0MrSduXTe1etBb1HNpAlGwQr006ljwMiM"",
      ""GSC最新!A:F""
    ),
    2,
    FALSE
  ),
  0
)
"),3.0)</f>
        <v>3</v>
      </c>
      <c r="I24" s="54">
        <f>IFERROR(__xludf.DUMMYFUNCTION("IFERROR(
  VLOOKUP(
    A24,
    IMPORTRANGE(
      ""1ZHMy3vVUd_0MrSduXTe1etBb1HNpAlGwQr006ljwMiM"",
      ""GSC最新!A:F""
    ),
    3,
    FALSE
  ),
  0
)
"),24.0)</f>
        <v>24</v>
      </c>
      <c r="J24" s="54">
        <f>IFERROR(__xludf.DUMMYFUNCTION("IFERROR(
  VLOOKUP(
    A24,
    IMPORTRANGE(
      ""1ZHMy3vVUd_0MrSduXTe1etBb1HNpAlGwQr006ljwMiM"",
      ""GSC最新!A:F""
    ),
    4,
    FALSE
  ),
  0
)
"),1.0)</f>
        <v>1</v>
      </c>
      <c r="K24" s="54">
        <f>IFERROR(__xludf.DUMMYFUNCTION("IFERROR(
  VLOOKUP(
    A24,
    IMPORTRANGE(
      ""1ZHMy3vVUd_0MrSduXTe1etBb1HNpAlGwQr006ljwMiM"",
      ""GSC最新!A:F""
    ),
    5,
    FALSE
  ),
  0
)
"),1.0)</f>
        <v>1</v>
      </c>
      <c r="L24" s="50">
        <f t="shared" ref="L24:M24" si="112">IFERROR(H24/J24,"-")</f>
        <v>3</v>
      </c>
      <c r="M24" s="50">
        <f t="shared" si="112"/>
        <v>24</v>
      </c>
      <c r="N24" s="59">
        <f>IFERROR(__xludf.DUMMYFUNCTION("IFERROR(
  VLOOKUP(
    A24,
    IMPORTRANGE(
      ""1ZHMy3vVUd_0MrSduXTe1etBb1HNpAlGwQr006ljwMiM"",
      ""GSC最新!A:R""
    ),
    7,
    FALSE
  ),
  0
)
"),798.0)</f>
        <v>798</v>
      </c>
      <c r="O24" s="59">
        <f>IFERROR(__xludf.DUMMYFUNCTION("IFERROR(
  VLOOKUP(
    A24,
    IMPORTRANGE(
      ""1ZHMy3vVUd_0MrSduXTe1etBb1HNpAlGwQr006ljwMiM"",
      ""GSC最新!A:R""
    ),
    10,
    FALSE
  ),
  0
)
"),2081.0)</f>
        <v>2081</v>
      </c>
      <c r="P24" s="59">
        <f>IFERROR(__xludf.DUMMYFUNCTION("IFERROR(
  VLOOKUP(
    A24,
    IMPORTRANGE(
      ""1ZHMy3vVUd_0MrSduXTe1etBb1HNpAlGwQr006ljwMiM"",
      ""GSC最新!A:R""
    ),
    13,
    FALSE
  ),
  0
)
"),21.0)</f>
        <v>21</v>
      </c>
      <c r="Q24" s="59">
        <f>IFERROR(__xludf.DUMMYFUNCTION("IFERROR(
  VLOOKUP(
    A24,
    IMPORTRANGE(
      ""1ZHMy3vVUd_0MrSduXTe1etBb1HNpAlGwQr006ljwMiM"",
      ""GSC最新!A:R""
    ),
    16,
    FALSE
  ),
  0
)
"),123.0)</f>
        <v>123</v>
      </c>
      <c r="R24" s="50">
        <f t="shared" ref="R24:S24" si="113">IFERROR(N24/P24,"-")</f>
        <v>38</v>
      </c>
      <c r="S24" s="50">
        <f t="shared" si="113"/>
        <v>16.91869919</v>
      </c>
      <c r="T24" s="60">
        <f>IFERROR(__xludf.DUMMYFUNCTION("IFERROR(
  VLOOKUP(
    A24,
    IMPORTRANGE(
      ""1ZHMy3vVUd_0MrSduXTe1etBb1HNpAlGwQr006ljwMiM"",
      ""GSC最新!A:R""
    ),
    8,
    FALSE
  ),
  0
)
"),0.0037593984962406013)</f>
        <v>0.003759398496</v>
      </c>
      <c r="U24" s="60">
        <f>IFERROR(__xludf.DUMMYFUNCTION("IFERROR(
  VLOOKUP(
    A24,
    IMPORTRANGE(
      ""1ZHMy3vVUd_0MrSduXTe1etBb1HNpAlGwQr006ljwMiM"",
      ""GSC最新!A:R""
    ),
    11,
    FALSE
  ),
  0
)
"),0.011532916866890917)</f>
        <v>0.01153291687</v>
      </c>
      <c r="V24" s="60">
        <f>IFERROR(__xludf.DUMMYFUNCTION("IFERROR(
  VLOOKUP(
    A24,
    IMPORTRANGE(
      ""1ZHMy3vVUd_0MrSduXTe1etBb1HNpAlGwQr006ljwMiM"",
      ""GSC最新!A:R""
    ),
    14,
    FALSE
  ),
  0
)
"),0.047619047619047616)</f>
        <v>0.04761904762</v>
      </c>
      <c r="W24" s="60">
        <f>IFERROR(__xludf.DUMMYFUNCTION("IFERROR(
  VLOOKUP(
    A24,
    IMPORTRANGE(
      ""1ZHMy3vVUd_0MrSduXTe1etBb1HNpAlGwQr006ljwMiM"",
      ""GSC最新!A:R""
    ),
    17,
    FALSE
  ),
  0
)
"),0.008130081300813009)</f>
        <v>0.008130081301</v>
      </c>
      <c r="X24" s="60">
        <f t="shared" ref="X24:Y24" si="114">IFERROR(T24-V24,"-")</f>
        <v>-0.04385964912</v>
      </c>
      <c r="Y24" s="60">
        <f t="shared" si="114"/>
        <v>0.003402835566</v>
      </c>
      <c r="Z24" s="52">
        <f>IFERROR(__xludf.DUMMYFUNCTION("IFERROR(
  VLOOKUP(
    A24,
    IMPORTRANGE(
      ""1ZHMy3vVUd_0MrSduXTe1etBb1HNpAlGwQr006ljwMiM"",
      ""GSC最新!A:R""
    ),
    9,
    FALSE
  ),
  0
)
"),2.545112781954887)</f>
        <v>2.545112782</v>
      </c>
      <c r="AA24" s="52">
        <f>IFERROR(__xludf.DUMMYFUNCTION("IFERROR(
  VLOOKUP(
    A24,
    IMPORTRANGE(
      ""1ZHMy3vVUd_0MrSduXTe1etBb1HNpAlGwQr006ljwMiM"",
      ""GSC最新!A:R""
    ),
    12,
    FALSE
  ),
  0
)
"),3.913022585295531)</f>
        <v>3.913022585</v>
      </c>
      <c r="AB24" s="52">
        <f>IFERROR(__xludf.DUMMYFUNCTION("IFERROR(
  VLOOKUP(
    A24,
    IMPORTRANGE(
      ""1ZHMy3vVUd_0MrSduXTe1etBb1HNpAlGwQr006ljwMiM"",
      ""GSC最新!A:R""
    ),
    15,
    FALSE
  ),
  0
)
"),9.714285714285714)</f>
        <v>9.714285714</v>
      </c>
      <c r="AC24" s="52">
        <f>IFERROR(__xludf.DUMMYFUNCTION("IFERROR(
  VLOOKUP(
    A24,
    IMPORTRANGE(
      ""1ZHMy3vVUd_0MrSduXTe1etBb1HNpAlGwQr006ljwMiM"",
      ""GSC最新!A:R""
    ),
    18,
    FALSE
  ),
  0
)
"),25.414634146341463)</f>
        <v>25.41463415</v>
      </c>
      <c r="AD24" s="52">
        <f t="shared" ref="AD24:AE24" si="115">Z24-AB24</f>
        <v>-7.169172932</v>
      </c>
      <c r="AE24" s="52">
        <f t="shared" si="115"/>
        <v>-21.50161156</v>
      </c>
      <c r="AF24" s="53">
        <f>IFERROR(__xludf.DUMMYFUNCTION("IFERROR(
  VLOOKUP(
    A24,
    IMPORTRANGE(
      ""1ZHMy3vVUd_0MrSduXTe1etBb1HNpAlGwQr006ljwMiM"",
      ""GSC最新!A:F""
    ),
    6,
    FALSE
  ),
  0
)
"),46081.0)</f>
        <v>46081</v>
      </c>
      <c r="AG24" s="54">
        <f>IFERROR(__xludf.DUMMYFUNCTION("IFERROR(
  VLOOKUP(
    A24,
    IMPORTRANGE(
      ""1SCYQd7_cobOYqT0r_F0IqD4tE4rYn5y8Eup4PJTH8es"",
      ""Snapshot!A:M""
    ),
    5,
    FALSE
  ),
  ""-""
)
"),7.0)</f>
        <v>7</v>
      </c>
      <c r="AH24" s="54">
        <f>IFERROR(__xludf.DUMMYFUNCTION("IFERROR(
  VLOOKUP(
    A24,
    IMPORTRANGE(
      ""1SCYQd7_cobOYqT0r_F0IqD4tE4rYn5y8Eup4PJTH8es"",
      ""Snapshot!A:M""
    ),
    6,
    FALSE
  ),
  0
)
"),8.0)</f>
        <v>8</v>
      </c>
      <c r="AI24" s="54">
        <f>IFERROR(__xludf.DUMMYFUNCTION("IFERROR(
  VLOOKUP(
    A24,
    IMPORTRANGE(
      ""1SCYQd7_cobOYqT0r_F0IqD4tE4rYn5y8Eup4PJTH8es"",
      ""Snapshot!A:M""
    ),
    7,
    FALSE
  ),
  0
)
"),3376.0)</f>
        <v>3376</v>
      </c>
      <c r="AJ24" s="54">
        <f>IFERROR(__xludf.DUMMYFUNCTION("IFERROR(
  VLOOKUP(
    A24,
    IMPORTRANGE(
      ""1SCYQd7_cobOYqT0r_F0IqD4tE4rYn5y8Eup4PJTH8es"",
      ""Snapshot!A:M""
    ),
    8,
    FALSE
  ),
  0
)
"),5.0)</f>
        <v>5</v>
      </c>
      <c r="AK24" s="54">
        <f>IFERROR(__xludf.DUMMYFUNCTION("IFERROR(
  VLOOKUP(
    A24,
    IMPORTRANGE(
      ""1SCYQd7_cobOYqT0r_F0IqD4tE4rYn5y8Eup4PJTH8es"",
      ""Snapshot!A:M""
    ),
    9,
    FALSE
  ),
  0
)
"),1.0)</f>
        <v>1</v>
      </c>
      <c r="AL24" s="54">
        <f>IFERROR(__xludf.DUMMYFUNCTION("IFERROR(
  VLOOKUP(
    A24,
    IMPORTRANGE(
      ""1SCYQd7_cobOYqT0r_F0IqD4tE4rYn5y8Eup4PJTH8es"",
      ""Snapshot!A:M""
    ),
    13,
    FALSE
  ),
  0
)
"),2.0)</f>
        <v>2</v>
      </c>
    </row>
    <row r="25">
      <c r="A25" s="3" t="s">
        <v>369</v>
      </c>
      <c r="B25" s="1" t="str">
        <f>IFERROR(__xludf.DUMMYFUNCTION("IFERROR(
  VLOOKUP(
    A25,
    IMPORTRANGE(
      ""1ZygntHC1J6IxzKbTidmOyf5nUyW4GCLurHCjexrLm_o"",
      ""HTMLキャッシュ!A:F""
    ),
    2,
    FALSE
  ),
  0
)
"),"SC")</f>
        <v>SC</v>
      </c>
      <c r="C25" s="1" t="str">
        <f>IFERROR(__xludf.DUMMYFUNCTION("IFERROR(
  VLOOKUP(
    A25,
    IMPORTRANGE(
      ""1ZygntHC1J6IxzKbTidmOyf5nUyW4GCLurHCjexrLm_o"",
      ""HTMLキャッシュ!A:F""
    ),
    5,
    FALSE
  ),
  0
)
"),"中学受験の算数オンライン個別指導｜塾より伸びる4メリット｜小4〜小6")</f>
        <v>中学受験の算数オンライン個別指導｜塾より伸びる4メリット｜小4〜小6</v>
      </c>
      <c r="D25" s="1" t="str">
        <f>IFERROR(__xludf.DUMMYFUNCTION("IFERROR(
  VLOOKUP(
    A25,
    IMPORTRANGE(
      ""1ZygntHC1J6IxzKbTidmOyf5nUyW4GCLurHCjexrLm_o        "",
      ""HTMLキャッシュ!A:F""
    ),
    6,
    FALSE
  ),
  0
)
"),"中学受験（小4〜小6）で算数が不安なご家庭向け。通塾型の塾と比べて、オンライン個別指導が強い理由を4つ（苦手単元しぼり／方針転換の柔軟さ／レベル最適化／きめ細かな対応）で整理。併用・在宅・短期集中の使い方と、習慣化のコツもまとめます。")</f>
        <v>中学受験（小4〜小6）で算数が不安なご家庭向け。通塾型の塾と比べて、オンライン個別指導が強い理由を4つ（苦手単元しぼり／方針転換の柔軟さ／レベル最適化／きめ細かな対応）で整理。併用・在宅・短期集中の使い方と、習慣化のコツもまとめます。</v>
      </c>
      <c r="E25" s="49">
        <f t="shared" ref="E25:F25" si="116">LEN(C25)</f>
        <v>34</v>
      </c>
      <c r="F25" s="49">
        <f t="shared" si="116"/>
        <v>117</v>
      </c>
      <c r="G25" s="32">
        <f>IFERROR(__xludf.DUMMYFUNCTION("IFERROR(
  VLOOKUP(
    A25,
    IMPORTRANGE(
      ""1ZygntHC1J6IxzKbTidmOyf5nUyW4GCLurHCjexrLm_o        "",
      ""HTMLキャッシュ!A:F""
    ),
    3,
    FALSE
  ),
  0
)
"),46084.585231481484)</f>
        <v>46084.58523</v>
      </c>
      <c r="H25" s="54">
        <f>IFERROR(__xludf.DUMMYFUNCTION("IFERROR(
  VLOOKUP(
    A25,
    IMPORTRANGE(
      ""1ZHMy3vVUd_0MrSduXTe1etBb1HNpAlGwQr006ljwMiM"",
      ""GSC最新!A:F""
    ),
    2,
    FALSE
  ),
  0
)
"),9.0)</f>
        <v>9</v>
      </c>
      <c r="I25" s="54">
        <f>IFERROR(__xludf.DUMMYFUNCTION("IFERROR(
  VLOOKUP(
    A25,
    IMPORTRANGE(
      ""1ZHMy3vVUd_0MrSduXTe1etBb1HNpAlGwQr006ljwMiM"",
      ""GSC最新!A:F""
    ),
    3,
    FALSE
  ),
  0
)
"),21.0)</f>
        <v>21</v>
      </c>
      <c r="J25" s="54">
        <f>IFERROR(__xludf.DUMMYFUNCTION("IFERROR(
  VLOOKUP(
    A25,
    IMPORTRANGE(
      ""1ZHMy3vVUd_0MrSduXTe1etBb1HNpAlGwQr006ljwMiM"",
      ""GSC最新!A:F""
    ),
    4,
    FALSE
  ),
  0
)
"),1.0)</f>
        <v>1</v>
      </c>
      <c r="K25" s="54">
        <f>IFERROR(__xludf.DUMMYFUNCTION("IFERROR(
  VLOOKUP(
    A25,
    IMPORTRANGE(
      ""1ZHMy3vVUd_0MrSduXTe1etBb1HNpAlGwQr006ljwMiM"",
      ""GSC最新!A:F""
    ),
    5,
    FALSE
  ),
  0
)
"),1.0)</f>
        <v>1</v>
      </c>
      <c r="L25" s="50">
        <f t="shared" ref="L25:M25" si="117">IFERROR(H25/J25,"-")</f>
        <v>9</v>
      </c>
      <c r="M25" s="50">
        <f t="shared" si="117"/>
        <v>21</v>
      </c>
      <c r="N25" s="59">
        <f>IFERROR(__xludf.DUMMYFUNCTION("IFERROR(
  VLOOKUP(
    A25,
    IMPORTRANGE(
      ""1ZHMy3vVUd_0MrSduXTe1etBb1HNpAlGwQr006ljwMiM"",
      ""GSC最新!A:R""
    ),
    7,
    FALSE
  ),
  0
)
"),690.0)</f>
        <v>690</v>
      </c>
      <c r="O25" s="59">
        <f>IFERROR(__xludf.DUMMYFUNCTION("IFERROR(
  VLOOKUP(
    A25,
    IMPORTRANGE(
      ""1ZHMy3vVUd_0MrSduXTe1etBb1HNpAlGwQr006ljwMiM"",
      ""GSC最新!A:R""
    ),
    10,
    FALSE
  ),
  0
)
"),1340.0)</f>
        <v>1340</v>
      </c>
      <c r="P25" s="59">
        <f>IFERROR(__xludf.DUMMYFUNCTION("IFERROR(
  VLOOKUP(
    A25,
    IMPORTRANGE(
      ""1ZHMy3vVUd_0MrSduXTe1etBb1HNpAlGwQr006ljwMiM"",
      ""GSC最新!A:R""
    ),
    13,
    FALSE
  ),
  0
)
"),526.0)</f>
        <v>526</v>
      </c>
      <c r="Q25" s="59">
        <f>IFERROR(__xludf.DUMMYFUNCTION("IFERROR(
  VLOOKUP(
    A25,
    IMPORTRANGE(
      ""1ZHMy3vVUd_0MrSduXTe1etBb1HNpAlGwQr006ljwMiM"",
      ""GSC最新!A:R""
    ),
    16,
    FALSE
  ),
  0
)
"),1281.0)</f>
        <v>1281</v>
      </c>
      <c r="R25" s="50">
        <f t="shared" ref="R25:S25" si="118">IFERROR(N25/P25,"-")</f>
        <v>1.311787072</v>
      </c>
      <c r="S25" s="50">
        <f t="shared" si="118"/>
        <v>1.046057767</v>
      </c>
      <c r="T25" s="60">
        <f>IFERROR(__xludf.DUMMYFUNCTION("IFERROR(
  VLOOKUP(
    A25,
    IMPORTRANGE(
      ""1ZHMy3vVUd_0MrSduXTe1etBb1HNpAlGwQr006ljwMiM"",
      ""GSC最新!A:R""
    ),
    8,
    FALSE
  ),
  0
)
"),0.013043478260869565)</f>
        <v>0.01304347826</v>
      </c>
      <c r="U25" s="60">
        <f>IFERROR(__xludf.DUMMYFUNCTION("IFERROR(
  VLOOKUP(
    A25,
    IMPORTRANGE(
      ""1ZHMy3vVUd_0MrSduXTe1etBb1HNpAlGwQr006ljwMiM"",
      ""GSC最新!A:R""
    ),
    11,
    FALSE
  ),
  0
)
"),0.015671641791044775)</f>
        <v>0.01567164179</v>
      </c>
      <c r="V25" s="60">
        <f>IFERROR(__xludf.DUMMYFUNCTION("IFERROR(
  VLOOKUP(
    A25,
    IMPORTRANGE(
      ""1ZHMy3vVUd_0MrSduXTe1etBb1HNpAlGwQr006ljwMiM"",
      ""GSC最新!A:R""
    ),
    14,
    FALSE
  ),
  0
)
"),0.0019011406844106464)</f>
        <v>0.001901140684</v>
      </c>
      <c r="W25" s="60">
        <f>IFERROR(__xludf.DUMMYFUNCTION("IFERROR(
  VLOOKUP(
    A25,
    IMPORTRANGE(
      ""1ZHMy3vVUd_0MrSduXTe1etBb1HNpAlGwQr006ljwMiM"",
      ""GSC最新!A:R""
    ),
    17,
    FALSE
  ),
  0
)
"),7.8064012490242E-4)</f>
        <v>0.0007806401249</v>
      </c>
      <c r="X25" s="60">
        <f t="shared" ref="X25:Y25" si="119">IFERROR(T25-V25,"-")</f>
        <v>0.01114233758</v>
      </c>
      <c r="Y25" s="60">
        <f t="shared" si="119"/>
        <v>0.01489100167</v>
      </c>
      <c r="Z25" s="52">
        <f>IFERROR(__xludf.DUMMYFUNCTION("IFERROR(
  VLOOKUP(
    A25,
    IMPORTRANGE(
      ""1ZHMy3vVUd_0MrSduXTe1etBb1HNpAlGwQr006ljwMiM"",
      ""GSC最新!A:R""
    ),
    9,
    FALSE
  ),
  0
)
"),16.67101449275362)</f>
        <v>16.67101449</v>
      </c>
      <c r="AA25" s="52">
        <f>IFERROR(__xludf.DUMMYFUNCTION("IFERROR(
  VLOOKUP(
    A25,
    IMPORTRANGE(
      ""1ZHMy3vVUd_0MrSduXTe1etBb1HNpAlGwQr006ljwMiM"",
      ""GSC最新!A:R""
    ),
    12,
    FALSE
  ),
  0
)
"),20.440298507462686)</f>
        <v>20.44029851</v>
      </c>
      <c r="AB25" s="52">
        <f>IFERROR(__xludf.DUMMYFUNCTION("IFERROR(
  VLOOKUP(
    A25,
    IMPORTRANGE(
      ""1ZHMy3vVUd_0MrSduXTe1etBb1HNpAlGwQr006ljwMiM"",
      ""GSC最新!A:R""
    ),
    15,
    FALSE
  ),
  0
)
"),65.22243346007605)</f>
        <v>65.22243346</v>
      </c>
      <c r="AC25" s="52">
        <f>IFERROR(__xludf.DUMMYFUNCTION("IFERROR(
  VLOOKUP(
    A25,
    IMPORTRANGE(
      ""1ZHMy3vVUd_0MrSduXTe1etBb1HNpAlGwQr006ljwMiM"",
      ""GSC最新!A:R""
    ),
    18,
    FALSE
  ),
  0
)
"),67.65807962529274)</f>
        <v>67.65807963</v>
      </c>
      <c r="AD25" s="52">
        <f t="shared" ref="AD25:AE25" si="120">Z25-AB25</f>
        <v>-48.55141897</v>
      </c>
      <c r="AE25" s="52">
        <f t="shared" si="120"/>
        <v>-47.21778112</v>
      </c>
      <c r="AF25" s="53">
        <f>IFERROR(__xludf.DUMMYFUNCTION("IFERROR(
  VLOOKUP(
    A25,
    IMPORTRANGE(
      ""1ZHMy3vVUd_0MrSduXTe1etBb1HNpAlGwQr006ljwMiM"",
      ""GSC最新!A:F""
    ),
    6,
    FALSE
  ),
  0
)
"),46081.0)</f>
        <v>46081</v>
      </c>
      <c r="AG25" s="54">
        <f>IFERROR(__xludf.DUMMYFUNCTION("IFERROR(
  VLOOKUP(
    A25,
    IMPORTRANGE(
      ""1SCYQd7_cobOYqT0r_F0IqD4tE4rYn5y8Eup4PJTH8es"",
      ""Snapshot!A:M""
    ),
    5,
    FALSE
  ),
  ""-""
)
"),8.0)</f>
        <v>8</v>
      </c>
      <c r="AH25" s="54">
        <f>IFERROR(__xludf.DUMMYFUNCTION("IFERROR(
  VLOOKUP(
    A25,
    IMPORTRANGE(
      ""1SCYQd7_cobOYqT0r_F0IqD4tE4rYn5y8Eup4PJTH8es"",
      ""Snapshot!A:M""
    ),
    6,
    FALSE
  ),
  0
)
"),10.0)</f>
        <v>10</v>
      </c>
      <c r="AI25" s="54">
        <f>IFERROR(__xludf.DUMMYFUNCTION("IFERROR(
  VLOOKUP(
    A25,
    IMPORTRANGE(
      ""1SCYQd7_cobOYqT0r_F0IqD4tE4rYn5y8Eup4PJTH8es"",
      ""Snapshot!A:M""
    ),
    7,
    FALSE
  ),
  0
)
"),5572.0)</f>
        <v>5572</v>
      </c>
      <c r="AJ25" s="54">
        <f>IFERROR(__xludf.DUMMYFUNCTION("IFERROR(
  VLOOKUP(
    A25,
    IMPORTRANGE(
      ""1SCYQd7_cobOYqT0r_F0IqD4tE4rYn5y8Eup4PJTH8es"",
      ""Snapshot!A:M""
    ),
    8,
    FALSE
  ),
  0
)
"),4.0)</f>
        <v>4</v>
      </c>
      <c r="AK25" s="54">
        <f>IFERROR(__xludf.DUMMYFUNCTION("IFERROR(
  VLOOKUP(
    A25,
    IMPORTRANGE(
      ""1SCYQd7_cobOYqT0r_F0IqD4tE4rYn5y8Eup4PJTH8es"",
      ""Snapshot!A:M""
    ),
    9,
    FALSE
  ),
  0
)
"),2.0)</f>
        <v>2</v>
      </c>
      <c r="AL25" s="54">
        <f>IFERROR(__xludf.DUMMYFUNCTION("IFERROR(
  VLOOKUP(
    A25,
    IMPORTRANGE(
      ""1SCYQd7_cobOYqT0r_F0IqD4tE4rYn5y8Eup4PJTH8es"",
      ""Snapshot!A:M""
    ),
    13,
    FALSE
  ),
  0
)
"),3.0)</f>
        <v>3</v>
      </c>
    </row>
    <row r="26">
      <c r="A26" s="3" t="s">
        <v>370</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"),"H51-02 和と差に関する問題 - 中学受験専門 夏井算数塾")</f>
        <v>H51-02 和と差に関する問題 - 中学受験専門 夏井算数塾</v>
      </c>
      <c r="D26" s="1" t="str">
        <f>IFERROR(__xludf.DUMMYFUNCTION("IFERROR(
  VLOOKUP(
    A26,
    IMPORTRANGE(
      ""1ZygntHC1J6IxzKbTidmOyf5nUyW4GCLurHCjexrLm_o        "",
      ""HTMLキャッシュ!A:F""
    ),
    6,
    FALSE
  ),
  0
)
"),"この動画では、中学受験算数で頻出の「和差算・消去算・過不足算・つるかめ算」について、サピックスに通う小学５年生")</f>
        <v>この動画では、中学受験算数で頻出の「和差算・消去算・過不足算・つるかめ算」について、サピックスに通う小学５年生</v>
      </c>
      <c r="E26" s="49">
        <f t="shared" ref="E26:F26" si="121">LEN(C26)</f>
        <v>31</v>
      </c>
      <c r="F26" s="49">
        <f t="shared" si="121"/>
        <v>55</v>
      </c>
      <c r="G26" s="32">
        <f>IFERROR(__xludf.DUMMYFUNCTION("IFERROR(
  VLOOKUP(
    A26,
    IMPORTRANGE(
      ""1ZygntHC1J6IxzKbTidmOyf5nUyW4GCLurHCjexrLm_o        "",
      ""HTMLキャッシュ!A:F""
    ),
    3,
    FALSE
  ),
  0
)
"),46065.88737268518)</f>
        <v>46065.88737</v>
      </c>
      <c r="H26" s="54">
        <f>IFERROR(__xludf.DUMMYFUNCTION("IFERROR(
  VLOOKUP(
    A26,
    IMPORTRANGE(
      ""1ZHMy3vVUd_0MrSduXTe1etBb1HNpAlGwQr006ljwMiM"",
      ""GSC最新!A:F""
    ),
    2,
    FALSE
  ),
  0
)
"),12.0)</f>
        <v>12</v>
      </c>
      <c r="I26" s="54">
        <f>IFERROR(__xludf.DUMMYFUNCTION("IFERROR(
  VLOOKUP(
    A26,
    IMPORTRANGE(
      ""1ZHMy3vVUd_0MrSduXTe1etBb1HNpAlGwQr006ljwMiM"",
      ""GSC最新!A:F""
    ),
    3,
    FALSE
  ),
  0
)
"),21.0)</f>
        <v>21</v>
      </c>
      <c r="J26" s="54">
        <f>IFERROR(__xludf.DUMMYFUNCTION("IFERROR(
  VLOOKUP(
    A26,
    IMPORTRANGE(
      ""1ZHMy3vVUd_0MrSduXTe1etBb1HNpAlGwQr006ljwMiM"",
      ""GSC最新!A:F""
    ),
    4,
    FALSE
  ),
  0
)
"),3.0)</f>
        <v>3</v>
      </c>
      <c r="K26" s="54">
        <f>IFERROR(__xludf.DUMMYFUNCTION("IFERROR(
  VLOOKUP(
    A26,
    IMPORTRANGE(
      ""1ZHMy3vVUd_0MrSduXTe1etBb1HNpAlGwQr006ljwMiM"",
      ""GSC最新!A:F""
    ),
    5,
    FALSE
  ),
  0
)
"),4.0)</f>
        <v>4</v>
      </c>
      <c r="L26" s="50">
        <f t="shared" ref="L26:M26" si="122">IFERROR(H26/J26,"-")</f>
        <v>4</v>
      </c>
      <c r="M26" s="50">
        <f t="shared" si="122"/>
        <v>5.25</v>
      </c>
      <c r="N26" s="59">
        <f>IFERROR(__xludf.DUMMYFUNCTION("IFERROR(
  VLOOKUP(
    A26,
    IMPORTRANGE(
      ""1ZHMy3vVUd_0MrSduXTe1etBb1HNpAlGwQr006ljwMiM"",
      ""GSC最新!A:R""
    ),
    7,
    FALSE
  ),
  0
)
"),2198.0)</f>
        <v>2198</v>
      </c>
      <c r="O26" s="59">
        <f>IFERROR(__xludf.DUMMYFUNCTION("IFERROR(
  VLOOKUP(
    A26,
    IMPORTRANGE(
      ""1ZHMy3vVUd_0MrSduXTe1etBb1HNpAlGwQr006ljwMiM"",
      ""GSC最新!A:R""
    ),
    10,
    FALSE
  ),
  0
)
"),3482.0)</f>
        <v>3482</v>
      </c>
      <c r="P26" s="59">
        <f>IFERROR(__xludf.DUMMYFUNCTION("IFERROR(
  VLOOKUP(
    A26,
    IMPORTRANGE(
      ""1ZHMy3vVUd_0MrSduXTe1etBb1HNpAlGwQr006ljwMiM"",
      ""GSC最新!A:R""
    ),
    13,
    FALSE
  ),
  0
)
"),106.0)</f>
        <v>106</v>
      </c>
      <c r="Q26" s="59">
        <f>IFERROR(__xludf.DUMMYFUNCTION("IFERROR(
  VLOOKUP(
    A26,
    IMPORTRANGE(
      ""1ZHMy3vVUd_0MrSduXTe1etBb1HNpAlGwQr006ljwMiM"",
      ""GSC最新!A:R""
    ),
    16,
    FALSE
  ),
  0
)
"),394.0)</f>
        <v>394</v>
      </c>
      <c r="R26" s="50">
        <f t="shared" ref="R26:S26" si="123">IFERROR(N26/P26,"-")</f>
        <v>20.73584906</v>
      </c>
      <c r="S26" s="50">
        <f t="shared" si="123"/>
        <v>8.837563452</v>
      </c>
      <c r="T26" s="60">
        <f>IFERROR(__xludf.DUMMYFUNCTION("IFERROR(
  VLOOKUP(
    A26,
    IMPORTRANGE(
      ""1ZHMy3vVUd_0MrSduXTe1etBb1HNpAlGwQr006ljwMiM"",
      ""GSC最新!A:R""
    ),
    8,
    FALSE
  ),
  0
)
"),0.00545950864422202)</f>
        <v>0.005459508644</v>
      </c>
      <c r="U26" s="60">
        <f>IFERROR(__xludf.DUMMYFUNCTION("IFERROR(
  VLOOKUP(
    A26,
    IMPORTRANGE(
      ""1ZHMy3vVUd_0MrSduXTe1etBb1HNpAlGwQr006ljwMiM"",
      ""GSC最新!A:R""
    ),
    11,
    FALSE
  ),
  0
)
"),0.0060310166570936245)</f>
        <v>0.006031016657</v>
      </c>
      <c r="V26" s="60">
        <f>IFERROR(__xludf.DUMMYFUNCTION("IFERROR(
  VLOOKUP(
    A26,
    IMPORTRANGE(
      ""1ZHMy3vVUd_0MrSduXTe1etBb1HNpAlGwQr006ljwMiM"",
      ""GSC最新!A:R""
    ),
    14,
    FALSE
  ),
  0
)
"),0.02830188679245283)</f>
        <v>0.02830188679</v>
      </c>
      <c r="W26" s="60">
        <f>IFERROR(__xludf.DUMMYFUNCTION("IFERROR(
  VLOOKUP(
    A26,
    IMPORTRANGE(
      ""1ZHMy3vVUd_0MrSduXTe1etBb1HNpAlGwQr006ljwMiM"",
      ""GSC最新!A:R""
    ),
    17,
    FALSE
  ),
  0
)
"),0.01015228426395939)</f>
        <v>0.01015228426</v>
      </c>
      <c r="X26" s="60">
        <f t="shared" ref="X26:Y26" si="124">IFERROR(T26-V26,"-")</f>
        <v>-0.02284237815</v>
      </c>
      <c r="Y26" s="60">
        <f t="shared" si="124"/>
        <v>-0.004121267607</v>
      </c>
      <c r="Z26" s="52">
        <f>IFERROR(__xludf.DUMMYFUNCTION("IFERROR(
  VLOOKUP(
    A26,
    IMPORTRANGE(
      ""1ZHMy3vVUd_0MrSduXTe1etBb1HNpAlGwQr006ljwMiM"",
      ""GSC最新!A:R""
    ),
    9,
    FALSE
  ),
  0
)
"),2.1883530482256597)</f>
        <v>2.188353048</v>
      </c>
      <c r="AA26" s="52">
        <f>IFERROR(__xludf.DUMMYFUNCTION("IFERROR(
  VLOOKUP(
    A26,
    IMPORTRANGE(
      ""1ZHMy3vVUd_0MrSduXTe1etBb1HNpAlGwQr006ljwMiM"",
      ""GSC最新!A:R""
    ),
    12,
    FALSE
  ),
  0
)
"),2.550545663411832)</f>
        <v>2.550545663</v>
      </c>
      <c r="AB26" s="52">
        <f>IFERROR(__xludf.DUMMYFUNCTION("IFERROR(
  VLOOKUP(
    A26,
    IMPORTRANGE(
      ""1ZHMy3vVUd_0MrSduXTe1etBb1HNpAlGwQr006ljwMiM"",
      ""GSC最新!A:R""
    ),
    15,
    FALSE
  ),
  0
)
"),20.08490566037736)</f>
        <v>20.08490566</v>
      </c>
      <c r="AC26" s="52">
        <f>IFERROR(__xludf.DUMMYFUNCTION("IFERROR(
  VLOOKUP(
    A26,
    IMPORTRANGE(
      ""1ZHMy3vVUd_0MrSduXTe1etBb1HNpAlGwQr006ljwMiM"",
      ""GSC最新!A:R""
    ),
    18,
    FALSE
  ),
  0
)
"),17.426395939086294)</f>
        <v>17.42639594</v>
      </c>
      <c r="AD26" s="52">
        <f t="shared" ref="AD26:AE26" si="125">Z26-AB26</f>
        <v>-17.89655261</v>
      </c>
      <c r="AE26" s="52">
        <f t="shared" si="125"/>
        <v>-14.87585028</v>
      </c>
      <c r="AF26" s="53">
        <f>IFERROR(__xludf.DUMMYFUNCTION("IFERROR(
  VLOOKUP(
    A26,
    IMPORTRANGE(
      ""1ZHMy3vVUd_0MrSduXTe1etBb1HNpAlGwQr006ljwMiM"",
      ""GSC最新!A:F""
    ),
    6,
    FALSE
  ),
  0
)
"),46081.0)</f>
        <v>46081</v>
      </c>
      <c r="AG26" s="54">
        <f>IFERROR(__xludf.DUMMYFUNCTION("IFERROR(
  VLOOKUP(
    A26,
    IMPORTRANGE(
      ""1SCYQd7_cobOYqT0r_F0IqD4tE4rYn5y8Eup4PJTH8es"",
      ""Snapshot!A:M""
    ),
    5,
    FALSE
  ),
  ""-""
)
"),7.0)</f>
        <v>7</v>
      </c>
      <c r="AH26" s="54">
        <f>IFERROR(__xludf.DUMMYFUNCTION("IFERROR(
  VLOOKUP(
    A26,
    IMPORTRANGE(
      ""1SCYQd7_cobOYqT0r_F0IqD4tE4rYn5y8Eup4PJTH8es"",
      ""Snapshot!A:M""
    ),
    6,
    FALSE
  ),
  0
)
"),12.0)</f>
        <v>12</v>
      </c>
      <c r="AI26" s="54">
        <f>IFERROR(__xludf.DUMMYFUNCTION("IFERROR(
  VLOOKUP(
    A26,
    IMPORTRANGE(
      ""1SCYQd7_cobOYqT0r_F0IqD4tE4rYn5y8Eup4PJTH8es"",
      ""Snapshot!A:M""
    ),
    7,
    FALSE
  ),
  0
)
"),3100.0)</f>
        <v>3100</v>
      </c>
      <c r="AJ26" s="54">
        <f>IFERROR(__xludf.DUMMYFUNCTION("IFERROR(
  VLOOKUP(
    A26,
    IMPORTRANGE(
      ""1SCYQd7_cobOYqT0r_F0IqD4tE4rYn5y8Eup4PJTH8es"",
      ""Snapshot!A:M""
    ),
    8,
    FALSE
  ),
  0
)
"),7.0)</f>
        <v>7</v>
      </c>
      <c r="AK26" s="54">
        <f>IFERROR(__xludf.DUMMYFUNCTION("IFERROR(
  VLOOKUP(
    A26,
    IMPORTRANGE(
      ""1SCYQd7_cobOYqT0r_F0IqD4tE4rYn5y8Eup4PJTH8es"",
      ""Snapshot!A:M""
    ),
    9,
    FALSE
  ),
  0
)
"),2.0)</f>
        <v>2</v>
      </c>
      <c r="AL26" s="54">
        <f>IFERROR(__xludf.DUMMYFUNCTION("IFERROR(
  VLOOKUP(
    A26,
    IMPORTRANGE(
      ""1SCYQd7_cobOYqT0r_F0IqD4tE4rYn5y8Eup4PJTH8es"",
      ""Snapshot!A:M""
    ),
    13,
    FALSE
  ),
  0
)
"),2.0)</f>
        <v>2</v>
      </c>
    </row>
    <row r="27">
      <c r="A27" s="3" t="s">
        <v>66</v>
      </c>
      <c r="B27" s="1" t="str">
        <f>IFERROR(__xludf.DUMMYFUNCTION("IFERROR(
  VLOOKUP(
    A27,
    IMPORTRANGE(
      ""1ZygntHC1J6IxzKbTidmOyf5nUyW4GCLurHCjexrLm_o"",
      ""HTMLキャッシュ!A:F""
    ),
    2,
    FALSE
  ),
  0
)
"),"-")</f>
        <v>-</v>
      </c>
      <c r="C27" s="1" t="str">
        <f>IFERROR(__xludf.DUMMYFUNCTION("IFERROR(
  VLOOKUP(
    A27,
    IMPORTRANGE(
      ""1ZygntHC1J6IxzKbTidmOyf5nUyW4GCLurHCjexrLm_o"",
      ""HTMLキャッシュ!A:F""
    ),
    5,
    FALSE
  ),
  0
)
"),"サピックスの算数を15分で講義してみた｜小5頻出単元をサクッと復習できる動画・解説まとめ - 中学受験専門 夏井算数塾")</f>
        <v>サピックスの算数を15分で講義してみた｜小5頻出単元をサクッと復習できる動画・解説まとめ - 中学受験専門 夏井算数塾</v>
      </c>
      <c r="D27" s="1" t="str">
        <f>IFERROR(__xludf.DUMMYFUNCTION("IFERROR(
  VLOOKUP(
    A27,
    IMPORTRANGE(
      ""1ZygntHC1J6IxzKbTidmOyf5nUyW4GCLurHCjexrLm_o        "",
      ""HTMLキャッシュ!A:F""
    ),
    6,
    FALSE
  ),
  0
)
"),"中学受験の算数は、「解き方を知っているかどうか」よりも 考え方の“型”をどれだけ身につけているか が勝負を分けます。 そこで、サピックスの頻出単元を 15分で要点だけシンプルに整理 しました。 まずは、全体の流れと押さえるべき視点を掴んでください。")</f>
        <v>中学受験の算数は、「解き方を知っているかどうか」よりも 考え方の“型”をどれだけ身につけているか が勝負を分けます。 そこで、サピックスの頻出単元を 15分で要点だけシンプルに整理 しました。 まずは、全体の流れと押さえるべき視点を掴んでください。</v>
      </c>
      <c r="E27" s="49">
        <f t="shared" ref="E27:F27" si="126">LEN(C27)</f>
        <v>59</v>
      </c>
      <c r="F27" s="49">
        <f t="shared" si="126"/>
        <v>124</v>
      </c>
      <c r="G27" s="32">
        <f>IFERROR(__xludf.DUMMYFUNCTION("IFERROR(
  VLOOKUP(
    A27,
    IMPORTRANGE(
      ""1ZygntHC1J6IxzKbTidmOyf5nUyW4GCLurHCjexrLm_o        "",
      ""HTMLキャッシュ!A:F""
    ),
    3,
    FALSE
  ),
  0
)
"),25569.375)</f>
        <v>25569.375</v>
      </c>
      <c r="H27" s="54">
        <f>IFERROR(__xludf.DUMMYFUNCTION("IFERROR(
  VLOOKUP(
    A27,
    IMPORTRANGE(
      ""1ZHMy3vVUd_0MrSduXTe1etBb1HNpAlGwQr006ljwMiM"",
      ""GSC最新!A:F""
    ),
    2,
    FALSE
  ),
  0
)
"),7.0)</f>
        <v>7</v>
      </c>
      <c r="I27" s="54">
        <f>IFERROR(__xludf.DUMMYFUNCTION("IFERROR(
  VLOOKUP(
    A27,
    IMPORTRANGE(
      ""1ZHMy3vVUd_0MrSduXTe1etBb1HNpAlGwQr006ljwMiM"",
      ""GSC最新!A:F""
    ),
    3,
    FALSE
  ),
  0
)
"),20.0)</f>
        <v>20</v>
      </c>
      <c r="J27" s="54">
        <f>IFERROR(__xludf.DUMMYFUNCTION("IFERROR(
  VLOOKUP(
    A27,
    IMPORTRANGE(
      ""1ZHMy3vVUd_0MrSduXTe1etBb1HNpAlGwQr006ljwMiM"",
      ""GSC最新!A:F""
    ),
    4,
    FALSE
  ),
  0
)
"),7.0)</f>
        <v>7</v>
      </c>
      <c r="K27" s="54">
        <f>IFERROR(__xludf.DUMMYFUNCTION("IFERROR(
  VLOOKUP(
    A27,
    IMPORTRANGE(
      ""1ZHMy3vVUd_0MrSduXTe1etBb1HNpAlGwQr006ljwMiM"",
      ""GSC最新!A:F""
    ),
    5,
    FALSE
  ),
  0
)
"),18.0)</f>
        <v>18</v>
      </c>
      <c r="L27" s="50">
        <f t="shared" ref="L27:M27" si="127">IFERROR(H27/J27,"-")</f>
        <v>1</v>
      </c>
      <c r="M27" s="50">
        <f t="shared" si="127"/>
        <v>1.111111111</v>
      </c>
      <c r="N27" s="59">
        <f>IFERROR(__xludf.DUMMYFUNCTION("IFERROR(
  VLOOKUP(
    A27,
    IMPORTRANGE(
      ""1ZHMy3vVUd_0MrSduXTe1etBb1HNpAlGwQr006ljwMiM"",
      ""GSC最新!A:R""
    ),
    7,
    FALSE
  ),
  0
)
"),337.0)</f>
        <v>337</v>
      </c>
      <c r="O27" s="59">
        <f>IFERROR(__xludf.DUMMYFUNCTION("IFERROR(
  VLOOKUP(
    A27,
    IMPORTRANGE(
      ""1ZHMy3vVUd_0MrSduXTe1etBb1HNpAlGwQr006ljwMiM"",
      ""GSC最新!A:R""
    ),
    10,
    FALSE
  ),
  0
)
"),889.0)</f>
        <v>889</v>
      </c>
      <c r="P27" s="59">
        <f>IFERROR(__xludf.DUMMYFUNCTION("IFERROR(
  VLOOKUP(
    A27,
    IMPORTRANGE(
      ""1ZHMy3vVUd_0MrSduXTe1etBb1HNpAlGwQr006ljwMiM"",
      ""GSC最新!A:R""
    ),
    13,
    FALSE
  ),
  0
)
"),147.0)</f>
        <v>147</v>
      </c>
      <c r="Q27" s="59">
        <f>IFERROR(__xludf.DUMMYFUNCTION("IFERROR(
  VLOOKUP(
    A27,
    IMPORTRANGE(
      ""1ZHMy3vVUd_0MrSduXTe1etBb1HNpAlGwQr006ljwMiM"",
      ""GSC最新!A:R""
    ),
    16,
    FALSE
  ),
  0
)
"),669.0)</f>
        <v>669</v>
      </c>
      <c r="R27" s="50">
        <f t="shared" ref="R27:S27" si="128">IFERROR(N27/P27,"-")</f>
        <v>2.292517007</v>
      </c>
      <c r="S27" s="50">
        <f t="shared" si="128"/>
        <v>1.328849028</v>
      </c>
      <c r="T27" s="60">
        <f>IFERROR(__xludf.DUMMYFUNCTION("IFERROR(
  VLOOKUP(
    A27,
    IMPORTRANGE(
      ""1ZHMy3vVUd_0MrSduXTe1etBb1HNpAlGwQr006ljwMiM"",
      ""GSC最新!A:R""
    ),
    8,
    FALSE
  ),
  0
)
"),0.020771513353115726)</f>
        <v>0.02077151335</v>
      </c>
      <c r="U27" s="60">
        <f>IFERROR(__xludf.DUMMYFUNCTION("IFERROR(
  VLOOKUP(
    A27,
    IMPORTRANGE(
      ""1ZHMy3vVUd_0MrSduXTe1etBb1HNpAlGwQr006ljwMiM"",
      ""GSC最新!A:R""
    ),
    11,
    FALSE
  ),
  0
)
"),0.02249718785151856)</f>
        <v>0.02249718785</v>
      </c>
      <c r="V27" s="60">
        <f>IFERROR(__xludf.DUMMYFUNCTION("IFERROR(
  VLOOKUP(
    A27,
    IMPORTRANGE(
      ""1ZHMy3vVUd_0MrSduXTe1etBb1HNpAlGwQr006ljwMiM"",
      ""GSC最新!A:R""
    ),
    14,
    FALSE
  ),
  0
)
"),0.047619047619047616)</f>
        <v>0.04761904762</v>
      </c>
      <c r="W27" s="60">
        <f>IFERROR(__xludf.DUMMYFUNCTION("IFERROR(
  VLOOKUP(
    A27,
    IMPORTRANGE(
      ""1ZHMy3vVUd_0MrSduXTe1etBb1HNpAlGwQr006ljwMiM"",
      ""GSC最新!A:R""
    ),
    17,
    FALSE
  ),
  0
)
"),0.026905829596412557)</f>
        <v>0.0269058296</v>
      </c>
      <c r="X27" s="60">
        <f t="shared" ref="X27:Y27" si="129">IFERROR(T27-V27,"-")</f>
        <v>-0.02684753427</v>
      </c>
      <c r="Y27" s="60">
        <f t="shared" si="129"/>
        <v>-0.004408641745</v>
      </c>
      <c r="Z27" s="52">
        <f>IFERROR(__xludf.DUMMYFUNCTION("IFERROR(
  VLOOKUP(
    A27,
    IMPORTRANGE(
      ""1ZHMy3vVUd_0MrSduXTe1etBb1HNpAlGwQr006ljwMiM"",
      ""GSC最新!A:R""
    ),
    9,
    FALSE
  ),
  0
)
"),8.44213649851632)</f>
        <v>8.442136499</v>
      </c>
      <c r="AA27" s="52">
        <f>IFERROR(__xludf.DUMMYFUNCTION("IFERROR(
  VLOOKUP(
    A27,
    IMPORTRANGE(
      ""1ZHMy3vVUd_0MrSduXTe1etBb1HNpAlGwQr006ljwMiM"",
      ""GSC最新!A:R""
    ),
    12,
    FALSE
  ),
  0
)
"),8.895388076490438)</f>
        <v>8.895388076</v>
      </c>
      <c r="AB27" s="52">
        <f>IFERROR(__xludf.DUMMYFUNCTION("IFERROR(
  VLOOKUP(
    A27,
    IMPORTRANGE(
      ""1ZHMy3vVUd_0MrSduXTe1etBb1HNpAlGwQr006ljwMiM"",
      ""GSC最新!A:R""
    ),
    15,
    FALSE
  ),
  0
)
"),11.578231292517007)</f>
        <v>11.57823129</v>
      </c>
      <c r="AC27" s="52">
        <f>IFERROR(__xludf.DUMMYFUNCTION("IFERROR(
  VLOOKUP(
    A27,
    IMPORTRANGE(
      ""1ZHMy3vVUd_0MrSduXTe1etBb1HNpAlGwQr006ljwMiM"",
      ""GSC最新!A:R""
    ),
    18,
    FALSE
  ),
  0
)
"),26.083707025411062)</f>
        <v>26.08370703</v>
      </c>
      <c r="AD27" s="52">
        <f t="shared" ref="AD27:AE27" si="130">Z27-AB27</f>
        <v>-3.136094794</v>
      </c>
      <c r="AE27" s="52">
        <f t="shared" si="130"/>
        <v>-17.18831895</v>
      </c>
      <c r="AF27" s="53">
        <f>IFERROR(__xludf.DUMMYFUNCTION("IFERROR(
  VLOOKUP(
    A27,
    IMPORTRANGE(
      ""1ZHMy3vVUd_0MrSduXTe1etBb1HNpAlGwQr006ljwMiM"",
      ""GSC最新!A:F""
    ),
    6,
    FALSE
  ),
  0
)
"),46081.0)</f>
        <v>46081</v>
      </c>
      <c r="AG27" s="54">
        <f>IFERROR(__xludf.DUMMYFUNCTION("IFERROR(
  VLOOKUP(
    A27,
    IMPORTRANGE(
      ""1SCYQd7_cobOYqT0r_F0IqD4tE4rYn5y8Eup4PJTH8es"",
      ""Snapshot!A:M""
    ),
    5,
    FALSE
  ),
  ""-""
)
"),0.0)</f>
        <v>0</v>
      </c>
      <c r="AH27" s="54">
        <f>IFERROR(__xludf.DUMMYFUNCTION("IFERROR(
  VLOOKUP(
    A27,
    IMPORTRANGE(
      ""1SCYQd7_cobOYqT0r_F0IqD4tE4rYn5y8Eup4PJTH8es"",
      ""Snapshot!A:M""
    ),
    6,
    FALSE
  ),
  0
)
"),0.0)</f>
        <v>0</v>
      </c>
      <c r="AI27" s="54">
        <f>IFERROR(__xludf.DUMMYFUNCTION("IFERROR(
  VLOOKUP(
    A27,
    IMPORTRANGE(
      ""1SCYQd7_cobOYqT0r_F0IqD4tE4rYn5y8Eup4PJTH8es"",
      ""Snapshot!A:M""
    ),
    7,
    FALSE
  ),
  0
)
"),0.0)</f>
        <v>0</v>
      </c>
      <c r="AJ27" s="54">
        <f>IFERROR(__xludf.DUMMYFUNCTION("IFERROR(
  VLOOKUP(
    A27,
    IMPORTRANGE(
      ""1SCYQd7_cobOYqT0r_F0IqD4tE4rYn5y8Eup4PJTH8es"",
      ""Snapshot!A:M""
    ),
    8,
    FALSE
  ),
  0
)
"),0.0)</f>
        <v>0</v>
      </c>
      <c r="AK27" s="54">
        <f>IFERROR(__xludf.DUMMYFUNCTION("IFERROR(
  VLOOKUP(
    A27,
    IMPORTRANGE(
      ""1SCYQd7_cobOYqT0r_F0IqD4tE4rYn5y8Eup4PJTH8es"",
      ""Snapshot!A:M""
    ),
    9,
    FALSE
  ),
  0
)
"),0.0)</f>
        <v>0</v>
      </c>
      <c r="AL27" s="54">
        <f>IFERROR(__xludf.DUMMYFUNCTION("IFERROR(
  VLOOKUP(
    A27,
    IMPORTRANGE(
      ""1SCYQd7_cobOYqT0r_F0IqD4tE4rYn5y8Eup4PJTH8es"",
      ""Snapshot!A:M""
    ),
    13,
    FALSE
  ),
  0
)
"),1.0)</f>
        <v>1</v>
      </c>
    </row>
    <row r="28">
      <c r="A28" s="48" t="s">
        <v>371</v>
      </c>
      <c r="B28" s="1" t="str">
        <f>IFERROR(__xludf.DUMMYFUNCTION("IFERROR(
  VLOOKUP(
    A28,
    IMPORTRANGE(
      ""1ZygntHC1J6IxzKbTidmOyf5nUyW4GCLurHCjexrLm_o"",
      ""HTMLキャッシュ!A:F""
    ),
    2,
    FALSE
  ),
  0
)
"),"ST")</f>
        <v>ST</v>
      </c>
      <c r="C28" s="1" t="str">
        <f>IFERROR(__xludf.DUMMYFUNCTION("IFERROR(
  VLOOKUP(
    A28,
    IMPORTRANGE(
      ""1ZygntHC1J6IxzKbTidmOyf5nUyW4GCLurHCjexrLm_o"",
      ""HTMLキャッシュ!A:F""
    ),
    5,
    FALSE
  ),
  0
)
"),"オンライン算数個別指導の空き枠・時間割（中学受験）｜夏井算数塾")</f>
        <v>オンライン算数個別指導の空き枠・時間割（中学受験）｜夏井算数塾</v>
      </c>
      <c r="D28" s="1" t="str">
        <f>IFERROR(__xludf.DUMMYFUNCTION("IFERROR(
  VLOOKUP(
    A28,
    IMPORTRANGE(
      ""1ZygntHC1J6IxzKbTidmOyf5nUyW4GCLurHCjexrLm_o        "",
      ""HTMLキャッシュ!A:F""
    ),
    6,
    FALSE
  ),
  0
)
"),"夏井算数塾の中学受験向けオンライン個別指導（1対1）の空き枠を、曜日・時間帯で絞り込んで確認できます。受講内容は「ウィズ・ユー」、相談・申込みはお問い合わせへ。")</f>
        <v>夏井算数塾の中学受験向けオンライン個別指導（1対1）の空き枠を、曜日・時間帯で絞り込んで確認できます。受講内容は「ウィズ・ユー」、相談・申込みはお問い合わせへ。</v>
      </c>
      <c r="E28" s="49">
        <f t="shared" ref="E28:F28" si="131">LEN(C28)</f>
        <v>31</v>
      </c>
      <c r="F28" s="49">
        <f t="shared" si="131"/>
        <v>80</v>
      </c>
      <c r="G28" s="32">
        <f>IFERROR(__xludf.DUMMYFUNCTION("IFERROR(
  VLOOKUP(
    A28,
    IMPORTRANGE(
      ""1ZygntHC1J6IxzKbTidmOyf5nUyW4GCLurHCjexrLm_o        "",
      ""HTMLキャッシュ!A:F""
    ),
    3,
    FALSE
  ),
  0
)
"),46080.82717592592)</f>
        <v>46080.82718</v>
      </c>
      <c r="H28" s="54">
        <f>IFERROR(__xludf.DUMMYFUNCTION("IFERROR(
  VLOOKUP(
    A28,
    IMPORTRANGE(
      ""1ZHMy3vVUd_0MrSduXTe1etBb1HNpAlGwQr006ljwMiM"",
      ""GSC最新!A:F""
    ),
    2,
    FALSE
  ),
  0
)
"),9.0)</f>
        <v>9</v>
      </c>
      <c r="I28" s="54">
        <f>IFERROR(__xludf.DUMMYFUNCTION("IFERROR(
  VLOOKUP(
    A28,
    IMPORTRANGE(
      ""1ZHMy3vVUd_0MrSduXTe1etBb1HNpAlGwQr006ljwMiM"",
      ""GSC最新!A:F""
    ),
    3,
    FALSE
  ),
  0
)
"),17.0)</f>
        <v>17</v>
      </c>
      <c r="J28" s="54">
        <f>IFERROR(__xludf.DUMMYFUNCTION("IFERROR(
  VLOOKUP(
    A28,
    IMPORTRANGE(
      ""1ZHMy3vVUd_0MrSduXTe1etBb1HNpAlGwQr006ljwMiM"",
      ""GSC最新!A:F""
    ),
    4,
    FALSE
  ),
  0
)
"),10.0)</f>
        <v>10</v>
      </c>
      <c r="K28" s="54">
        <f>IFERROR(__xludf.DUMMYFUNCTION("IFERROR(
  VLOOKUP(
    A28,
    IMPORTRANGE(
      ""1ZHMy3vVUd_0MrSduXTe1etBb1HNpAlGwQr006ljwMiM"",
      ""GSC最新!A:F""
    ),
    5,
    FALSE
  ),
  0
)
"),24.0)</f>
        <v>24</v>
      </c>
      <c r="L28" s="50">
        <f t="shared" ref="L28:M28" si="132">IFERROR(H28/J28,"-")</f>
        <v>0.9</v>
      </c>
      <c r="M28" s="50">
        <f t="shared" si="132"/>
        <v>0.7083333333</v>
      </c>
      <c r="N28" s="59">
        <f>IFERROR(__xludf.DUMMYFUNCTION("IFERROR(
  VLOOKUP(
    A28,
    IMPORTRANGE(
      ""1ZHMy3vVUd_0MrSduXTe1etBb1HNpAlGwQr006ljwMiM"",
      ""GSC最新!A:R""
    ),
    7,
    FALSE
  ),
  0
)
"),83.0)</f>
        <v>83</v>
      </c>
      <c r="O28" s="59">
        <f>IFERROR(__xludf.DUMMYFUNCTION("IFERROR(
  VLOOKUP(
    A28,
    IMPORTRANGE(
      ""1ZHMy3vVUd_0MrSduXTe1etBb1HNpAlGwQr006ljwMiM"",
      ""GSC最新!A:R""
    ),
    10,
    FALSE
  ),
  0
)
"),257.0)</f>
        <v>257</v>
      </c>
      <c r="P28" s="59">
        <f>IFERROR(__xludf.DUMMYFUNCTION("IFERROR(
  VLOOKUP(
    A28,
    IMPORTRANGE(
      ""1ZHMy3vVUd_0MrSduXTe1etBb1HNpAlGwQr006ljwMiM"",
      ""GSC最新!A:R""
    ),
    13,
    FALSE
  ),
  0
)
"),2256.0)</f>
        <v>2256</v>
      </c>
      <c r="Q28" s="59">
        <f>IFERROR(__xludf.DUMMYFUNCTION("IFERROR(
  VLOOKUP(
    A28,
    IMPORTRANGE(
      ""1ZHMy3vVUd_0MrSduXTe1etBb1HNpAlGwQr006ljwMiM"",
      ""GSC最新!A:R""
    ),
    16,
    FALSE
  ),
  0
)
"),6743.0)</f>
        <v>6743</v>
      </c>
      <c r="R28" s="50">
        <f t="shared" ref="R28:S28" si="133">IFERROR(N28/P28,"-")</f>
        <v>0.03679078014</v>
      </c>
      <c r="S28" s="50">
        <f t="shared" si="133"/>
        <v>0.03811359929</v>
      </c>
      <c r="T28" s="60">
        <f>IFERROR(__xludf.DUMMYFUNCTION("IFERROR(
  VLOOKUP(
    A28,
    IMPORTRANGE(
      ""1ZHMy3vVUd_0MrSduXTe1etBb1HNpAlGwQr006ljwMiM"",
      ""GSC最新!A:R""
    ),
    8,
    FALSE
  ),
  0
)
"),0.10843373493975904)</f>
        <v>0.1084337349</v>
      </c>
      <c r="U28" s="60">
        <f>IFERROR(__xludf.DUMMYFUNCTION("IFERROR(
  VLOOKUP(
    A28,
    IMPORTRANGE(
      ""1ZHMy3vVUd_0MrSduXTe1etBb1HNpAlGwQr006ljwMiM"",
      ""GSC最新!A:R""
    ),
    11,
    FALSE
  ),
  0
)
"),0.06614785992217899)</f>
        <v>0.06614785992</v>
      </c>
      <c r="V28" s="60">
        <f>IFERROR(__xludf.DUMMYFUNCTION("IFERROR(
  VLOOKUP(
    A28,
    IMPORTRANGE(
      ""1ZHMy3vVUd_0MrSduXTe1etBb1HNpAlGwQr006ljwMiM"",
      ""GSC最新!A:R""
    ),
    14,
    FALSE
  ),
  0
)
"),0.004432624113475178)</f>
        <v>0.004432624113</v>
      </c>
      <c r="W28" s="60">
        <f>IFERROR(__xludf.DUMMYFUNCTION("IFERROR(
  VLOOKUP(
    A28,
    IMPORTRANGE(
      ""1ZHMy3vVUd_0MrSduXTe1etBb1HNpAlGwQr006ljwMiM"",
      ""GSC最新!A:R""
    ),
    17,
    FALSE
  ),
  0
)
"),0.0035592466261308024)</f>
        <v>0.003559246626</v>
      </c>
      <c r="X28" s="60">
        <f t="shared" ref="X28:Y28" si="134">IFERROR(T28-V28,"-")</f>
        <v>0.1040011108</v>
      </c>
      <c r="Y28" s="60">
        <f t="shared" si="134"/>
        <v>0.0625886133</v>
      </c>
      <c r="Z28" s="52">
        <f>IFERROR(__xludf.DUMMYFUNCTION("IFERROR(
  VLOOKUP(
    A28,
    IMPORTRANGE(
      ""1ZHMy3vVUd_0MrSduXTe1etBb1HNpAlGwQr006ljwMiM"",
      ""GSC最新!A:R""
    ),
    9,
    FALSE
  ),
  0
)
"),3.0602409638554215)</f>
        <v>3.060240964</v>
      </c>
      <c r="AA28" s="52">
        <f>IFERROR(__xludf.DUMMYFUNCTION("IFERROR(
  VLOOKUP(
    A28,
    IMPORTRANGE(
      ""1ZHMy3vVUd_0MrSduXTe1etBb1HNpAlGwQr006ljwMiM"",
      ""GSC最新!A:R""
    ),
    12,
    FALSE
  ),
  0
)
"),3.2334630350194553)</f>
        <v>3.233463035</v>
      </c>
      <c r="AB28" s="52">
        <f>IFERROR(__xludf.DUMMYFUNCTION("IFERROR(
  VLOOKUP(
    A28,
    IMPORTRANGE(
      ""1ZHMy3vVUd_0MrSduXTe1etBb1HNpAlGwQr006ljwMiM"",
      ""GSC最新!A:R""
    ),
    15,
    FALSE
  ),
  0
)
"),5.666666666666667)</f>
        <v>5.666666667</v>
      </c>
      <c r="AC28" s="52">
        <f>IFERROR(__xludf.DUMMYFUNCTION("IFERROR(
  VLOOKUP(
    A28,
    IMPORTRANGE(
      ""1ZHMy3vVUd_0MrSduXTe1etBb1HNpAlGwQr006ljwMiM"",
      ""GSC最新!A:R""
    ),
    18,
    FALSE
  ),
  0
)
"),6.528399822037668)</f>
        <v>6.528399822</v>
      </c>
      <c r="AD28" s="52">
        <f t="shared" ref="AD28:AE28" si="135">Z28-AB28</f>
        <v>-2.606425703</v>
      </c>
      <c r="AE28" s="52">
        <f t="shared" si="135"/>
        <v>-3.294936787</v>
      </c>
      <c r="AF28" s="53">
        <f>IFERROR(__xludf.DUMMYFUNCTION("IFERROR(
  VLOOKUP(
    A28,
    IMPORTRANGE(
      ""1ZHMy3vVUd_0MrSduXTe1etBb1HNpAlGwQr006ljwMiM"",
      ""GSC最新!A:F""
    ),
    6,
    FALSE
  ),
  0
)
"),46081.0)</f>
        <v>46081</v>
      </c>
      <c r="AG28" s="54">
        <f>IFERROR(__xludf.DUMMYFUNCTION("IFERROR(
  VLOOKUP(
    A28,
    IMPORTRANGE(
      ""1SCYQd7_cobOYqT0r_F0IqD4tE4rYn5y8Eup4PJTH8es"",
      ""Snapshot!A:M""
    ),
    5,
    FALSE
  ),
  ""-""
)
"),4.0)</f>
        <v>4</v>
      </c>
      <c r="AH28" s="54">
        <f>IFERROR(__xludf.DUMMYFUNCTION("IFERROR(
  VLOOKUP(
    A28,
    IMPORTRANGE(
      ""1SCYQd7_cobOYqT0r_F0IqD4tE4rYn5y8Eup4PJTH8es"",
      ""Snapshot!A:M""
    ),
    6,
    FALSE
  ),
  0
)
"),7.0)</f>
        <v>7</v>
      </c>
      <c r="AI28" s="54">
        <f>IFERROR(__xludf.DUMMYFUNCTION("IFERROR(
  VLOOKUP(
    A28,
    IMPORTRANGE(
      ""1SCYQd7_cobOYqT0r_F0IqD4tE4rYn5y8Eup4PJTH8es"",
      ""Snapshot!A:M""
    ),
    7,
    FALSE
  ),
  0
)
"),1269.0)</f>
        <v>1269</v>
      </c>
      <c r="AJ28" s="54">
        <f>IFERROR(__xludf.DUMMYFUNCTION("IFERROR(
  VLOOKUP(
    A28,
    IMPORTRANGE(
      ""1SCYQd7_cobOYqT0r_F0IqD4tE4rYn5y8Eup4PJTH8es"",
      ""Snapshot!A:M""
    ),
    8,
    FALSE
  ),
  0
)
"),2.0)</f>
        <v>2</v>
      </c>
      <c r="AK28" s="54">
        <f>IFERROR(__xludf.DUMMYFUNCTION("IFERROR(
  VLOOKUP(
    A28,
    IMPORTRANGE(
      ""1SCYQd7_cobOYqT0r_F0IqD4tE4rYn5y8Eup4PJTH8es"",
      ""Snapshot!A:M""
    ),
    9,
    FALSE
  ),
  0
)
"),1.0)</f>
        <v>1</v>
      </c>
      <c r="AL28" s="54">
        <f>IFERROR(__xludf.DUMMYFUNCTION("IFERROR(
  VLOOKUP(
    A28,
    IMPORTRANGE(
      ""1SCYQd7_cobOYqT0r_F0IqD4tE4rYn5y8Eup4PJTH8es"",
      ""Snapshot!A:M""
    ),
    13,
    FALSE
  ),
  0
)
"),1.0)</f>
        <v>1</v>
      </c>
    </row>
    <row r="29">
      <c r="A29" s="3" t="s">
        <v>372</v>
      </c>
      <c r="B29" s="1" t="str">
        <f>IFERROR(__xludf.DUMMYFUNCTION("IFERROR(
  VLOOKUP(
    A29,
    IMPORTRANGE(
      ""1ZygntHC1J6IxzKbTidmOyf5nUyW4GCLurHCjexrLm_o"",
      ""HTMLキャッシュ!A:F""
    ),
    2,
    FALSE
  ),
  0
)
"),"MC")</f>
        <v>MC</v>
      </c>
      <c r="C29" s="1" t="str">
        <f>IFERROR(__xludf.DUMMYFUNCTION("IFERROR(
  VLOOKUP(
    A29,
    IMPORTRANGE(
      ""1ZygntHC1J6IxzKbTidmOyf5nUyW4GCLurHCjexrLm_o"",
      ""HTMLキャッシュ!A:F""
    ),
    5,
    FALSE
  ),
  0
)
"),"小4中学受験算数｜授業が翌日に残らない時の対策｜保護者向け")</f>
        <v>小4中学受験算数｜授業が翌日に残らない時の対策｜保護者向け</v>
      </c>
      <c r="D29" s="1" t="str">
        <f>IFERROR(__xludf.DUMMYFUNCTION("IFERROR(
  VLOOKUP(
    A29,
    IMPORTRANGE(
      ""1ZygntHC1J6IxzKbTidmOyf5nUyW4GCLurHCjexrLm_o        "",
      ""HTMLキャッシュ!A:F""
    ),
    6,
    FALSE
  ),
  0
)
"),"小4は授業密度が上がり復習時間が不足しがち。翌日に残らない、計算で消耗して文章題が落ちる等の3つの典型状況と対策を整理。")</f>
        <v>小4は授業密度が上がり復習時間が不足しがち。翌日に残らない、計算で消耗して文章題が落ちる等の3つの典型状況と対策を整理。</v>
      </c>
      <c r="E29" s="49">
        <f t="shared" ref="E29:F29" si="136">LEN(C29)</f>
        <v>29</v>
      </c>
      <c r="F29" s="49">
        <f t="shared" si="136"/>
        <v>60</v>
      </c>
      <c r="G29" s="32">
        <f>IFERROR(__xludf.DUMMYFUNCTION("IFERROR(
  VLOOKUP(
    A29,
    IMPORTRANGE(
      ""1ZygntHC1J6IxzKbTidmOyf5nUyW4GCLurHCjexrLm_o        "",
      ""HTMLキャッシュ!A:F""
    ),
    3,
    FALSE
  ),
  0
)
"),46078.603993055556)</f>
        <v>46078.60399</v>
      </c>
      <c r="H29" s="54">
        <f>IFERROR(__xludf.DUMMYFUNCTION("IFERROR(
  VLOOKUP(
    A29,
    IMPORTRANGE(
      ""1ZHMy3vVUd_0MrSduXTe1etBb1HNpAlGwQr006ljwMiM"",
      ""GSC最新!A:F""
    ),
    2,
    FALSE
  ),
  0
)
"),5.0)</f>
        <v>5</v>
      </c>
      <c r="I29" s="54">
        <f>IFERROR(__xludf.DUMMYFUNCTION("IFERROR(
  VLOOKUP(
    A29,
    IMPORTRANGE(
      ""1ZHMy3vVUd_0MrSduXTe1etBb1HNpAlGwQr006ljwMiM"",
      ""GSC最新!A:F""
    ),
    3,
    FALSE
  ),
  0
)
"),16.0)</f>
        <v>16</v>
      </c>
      <c r="J29" s="54">
        <f>IFERROR(__xludf.DUMMYFUNCTION("IFERROR(
  VLOOKUP(
    A29,
    IMPORTRANGE(
      ""1ZHMy3vVUd_0MrSduXTe1etBb1HNpAlGwQr006ljwMiM"",
      ""GSC最新!A:F""
    ),
    4,
    FALSE
  ),
  0
)
"),1.0)</f>
        <v>1</v>
      </c>
      <c r="K29" s="54">
        <f>IFERROR(__xludf.DUMMYFUNCTION("IFERROR(
  VLOOKUP(
    A29,
    IMPORTRANGE(
      ""1ZHMy3vVUd_0MrSduXTe1etBb1HNpAlGwQr006ljwMiM"",
      ""GSC最新!A:F""
    ),
    5,
    FALSE
  ),
  0
)
"),3.0)</f>
        <v>3</v>
      </c>
      <c r="L29" s="50">
        <f t="shared" ref="L29:M29" si="137">IFERROR(H29/J29,"-")</f>
        <v>5</v>
      </c>
      <c r="M29" s="50">
        <f t="shared" si="137"/>
        <v>5.333333333</v>
      </c>
      <c r="N29" s="59">
        <f>IFERROR(__xludf.DUMMYFUNCTION("IFERROR(
  VLOOKUP(
    A29,
    IMPORTRANGE(
      ""1ZHMy3vVUd_0MrSduXTe1etBb1HNpAlGwQr006ljwMiM"",
      ""GSC最新!A:R""
    ),
    7,
    FALSE
  ),
  0
)
"),296.0)</f>
        <v>296</v>
      </c>
      <c r="O29" s="59">
        <f>IFERROR(__xludf.DUMMYFUNCTION("IFERROR(
  VLOOKUP(
    A29,
    IMPORTRANGE(
      ""1ZHMy3vVUd_0MrSduXTe1etBb1HNpAlGwQr006ljwMiM"",
      ""GSC最新!A:R""
    ),
    10,
    FALSE
  ),
  0
)
"),724.0)</f>
        <v>724</v>
      </c>
      <c r="P29" s="59">
        <f>IFERROR(__xludf.DUMMYFUNCTION("IFERROR(
  VLOOKUP(
    A29,
    IMPORTRANGE(
      ""1ZHMy3vVUd_0MrSduXTe1etBb1HNpAlGwQr006ljwMiM"",
      ""GSC最新!A:R""
    ),
    13,
    FALSE
  ),
  0
)
"),19.0)</f>
        <v>19</v>
      </c>
      <c r="Q29" s="59">
        <f>IFERROR(__xludf.DUMMYFUNCTION("IFERROR(
  VLOOKUP(
    A29,
    IMPORTRANGE(
      ""1ZHMy3vVUd_0MrSduXTe1etBb1HNpAlGwQr006ljwMiM"",
      ""GSC最新!A:R""
    ),
    16,
    FALSE
  ),
  0
)
"),65.0)</f>
        <v>65</v>
      </c>
      <c r="R29" s="50">
        <f t="shared" ref="R29:S29" si="138">IFERROR(N29/P29,"-")</f>
        <v>15.57894737</v>
      </c>
      <c r="S29" s="50">
        <f t="shared" si="138"/>
        <v>11.13846154</v>
      </c>
      <c r="T29" s="60">
        <f>IFERROR(__xludf.DUMMYFUNCTION("IFERROR(
  VLOOKUP(
    A29,
    IMPORTRANGE(
      ""1ZHMy3vVUd_0MrSduXTe1etBb1HNpAlGwQr006ljwMiM"",
      ""GSC最新!A:R""
    ),
    8,
    FALSE
  ),
  0
)
"),0.016891891891891893)</f>
        <v>0.01689189189</v>
      </c>
      <c r="U29" s="60">
        <f>IFERROR(__xludf.DUMMYFUNCTION("IFERROR(
  VLOOKUP(
    A29,
    IMPORTRANGE(
      ""1ZHMy3vVUd_0MrSduXTe1etBb1HNpAlGwQr006ljwMiM"",
      ""GSC最新!A:R""
    ),
    11,
    FALSE
  ),
  0
)
"),0.022099447513812154)</f>
        <v>0.02209944751</v>
      </c>
      <c r="V29" s="60">
        <f>IFERROR(__xludf.DUMMYFUNCTION("IFERROR(
  VLOOKUP(
    A29,
    IMPORTRANGE(
      ""1ZHMy3vVUd_0MrSduXTe1etBb1HNpAlGwQr006ljwMiM"",
      ""GSC最新!A:R""
    ),
    14,
    FALSE
  ),
  0
)
"),0.05263157894736842)</f>
        <v>0.05263157895</v>
      </c>
      <c r="W29" s="60">
        <f>IFERROR(__xludf.DUMMYFUNCTION("IFERROR(
  VLOOKUP(
    A29,
    IMPORTRANGE(
      ""1ZHMy3vVUd_0MrSduXTe1etBb1HNpAlGwQr006ljwMiM"",
      ""GSC最新!A:R""
    ),
    17,
    FALSE
  ),
  0
)
"),0.046153846153846156)</f>
        <v>0.04615384615</v>
      </c>
      <c r="X29" s="60">
        <f t="shared" ref="X29:Y29" si="139">IFERROR(T29-V29,"-")</f>
        <v>-0.03573968706</v>
      </c>
      <c r="Y29" s="60">
        <f t="shared" si="139"/>
        <v>-0.02405439864</v>
      </c>
      <c r="Z29" s="52">
        <f>IFERROR(__xludf.DUMMYFUNCTION("IFERROR(
  VLOOKUP(
    A29,
    IMPORTRANGE(
      ""1ZHMy3vVUd_0MrSduXTe1etBb1HNpAlGwQr006ljwMiM"",
      ""GSC最新!A:R""
    ),
    9,
    FALSE
  ),
  0
)
"),7.087837837837838)</f>
        <v>7.087837838</v>
      </c>
      <c r="AA29" s="52">
        <f>IFERROR(__xludf.DUMMYFUNCTION("IFERROR(
  VLOOKUP(
    A29,
    IMPORTRANGE(
      ""1ZHMy3vVUd_0MrSduXTe1etBb1HNpAlGwQr006ljwMiM"",
      ""GSC最新!A:R""
    ),
    12,
    FALSE
  ),
  0
)
"),7.319060773480663)</f>
        <v>7.319060773</v>
      </c>
      <c r="AB29" s="52">
        <f>IFERROR(__xludf.DUMMYFUNCTION("IFERROR(
  VLOOKUP(
    A29,
    IMPORTRANGE(
      ""1ZHMy3vVUd_0MrSduXTe1etBb1HNpAlGwQr006ljwMiM"",
      ""GSC最新!A:R""
    ),
    15,
    FALSE
  ),
  0
)
"),30.05263157894737)</f>
        <v>30.05263158</v>
      </c>
      <c r="AC29" s="52">
        <f>IFERROR(__xludf.DUMMYFUNCTION("IFERROR(
  VLOOKUP(
    A29,
    IMPORTRANGE(
      ""1ZHMy3vVUd_0MrSduXTe1etBb1HNpAlGwQr006ljwMiM"",
      ""GSC最新!A:R""
    ),
    18,
    FALSE
  ),
  0
)
"),30.046153846153846)</f>
        <v>30.04615385</v>
      </c>
      <c r="AD29" s="52">
        <f t="shared" ref="AD29:AE29" si="140">Z29-AB29</f>
        <v>-22.96479374</v>
      </c>
      <c r="AE29" s="52">
        <f t="shared" si="140"/>
        <v>-22.72709307</v>
      </c>
      <c r="AF29" s="53">
        <f>IFERROR(__xludf.DUMMYFUNCTION("IFERROR(
  VLOOKUP(
    A29,
    IMPORTRANGE(
      ""1ZHMy3vVUd_0MrSduXTe1etBb1HNpAlGwQr006ljwMiM"",
      ""GSC最新!A:F""
    ),
    6,
    FALSE
  ),
  0
)
"),46081.0)</f>
        <v>46081</v>
      </c>
      <c r="AG29" s="54">
        <f>IFERROR(__xludf.DUMMYFUNCTION("IFERROR(
  VLOOKUP(
    A29,
    IMPORTRANGE(
      ""1SCYQd7_cobOYqT0r_F0IqD4tE4rYn5y8Eup4PJTH8es"",
      ""Snapshot!A:M""
    ),
    5,
    FALSE
  ),
  ""-""
)
"),3.0)</f>
        <v>3</v>
      </c>
      <c r="AH29" s="54">
        <f>IFERROR(__xludf.DUMMYFUNCTION("IFERROR(
  VLOOKUP(
    A29,
    IMPORTRANGE(
      ""1SCYQd7_cobOYqT0r_F0IqD4tE4rYn5y8Eup4PJTH8es"",
      ""Snapshot!A:M""
    ),
    6,
    FALSE
  ),
  0
)
"),7.0)</f>
        <v>7</v>
      </c>
      <c r="AI29" s="54">
        <f>IFERROR(__xludf.DUMMYFUNCTION("IFERROR(
  VLOOKUP(
    A29,
    IMPORTRANGE(
      ""1SCYQd7_cobOYqT0r_F0IqD4tE4rYn5y8Eup4PJTH8es"",
      ""Snapshot!A:M""
    ),
    7,
    FALSE
  ),
  0
)
"),3871.0)</f>
        <v>3871</v>
      </c>
      <c r="AJ29" s="54">
        <f>IFERROR(__xludf.DUMMYFUNCTION("IFERROR(
  VLOOKUP(
    A29,
    IMPORTRANGE(
      ""1SCYQd7_cobOYqT0r_F0IqD4tE4rYn5y8Eup4PJTH8es"",
      ""Snapshot!A:M""
    ),
    8,
    FALSE
  ),
  0
)
"),3.0)</f>
        <v>3</v>
      </c>
      <c r="AK29" s="54">
        <f>IFERROR(__xludf.DUMMYFUNCTION("IFERROR(
  VLOOKUP(
    A29,
    IMPORTRANGE(
      ""1SCYQd7_cobOYqT0r_F0IqD4tE4rYn5y8Eup4PJTH8es"",
      ""Snapshot!A:M""
    ),
    9,
    FALSE
  ),
  0
)
"),1.0)</f>
        <v>1</v>
      </c>
      <c r="AL29" s="54">
        <f>IFERROR(__xludf.DUMMYFUNCTION("IFERROR(
  VLOOKUP(
    A29,
    IMPORTRANGE(
      ""1SCYQd7_cobOYqT0r_F0IqD4tE4rYn5y8Eup4PJTH8es"",
      ""Snapshot!A:M""
    ),
    13,
    FALSE
  ),
  0
)
"),1.0)</f>
        <v>1</v>
      </c>
    </row>
    <row r="30">
      <c r="A30" s="56" t="s">
        <v>373</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"),"中学受験算数｜文章題の解き方まとめ - 中学受験専門 夏井算数塾")</f>
        <v>中学受験算数｜文章題の解き方まとめ - 中学受験専門 夏井算数塾</v>
      </c>
      <c r="D30" s="1" t="str">
        <f>IFERROR(__xludf.DUMMYFUNCTION("IFERROR(
  VLOOKUP(
    A30,
    IMPORTRANGE(
      ""1ZygntHC1J6IxzKbTidmOyf5nUyW4GCLurHCjexrLm_o        "",
      ""HTMLキャッシュ!A:F""
    ),
    6,
    FALSE
  ),
  0
)
"),"計算はできるのに文章題で止まる原因を整理。読み方・図表化・式化の型と、比・割合までの記事を悩み別に案内。")</f>
        <v>計算はできるのに文章題で止まる原因を整理。読み方・図表化・式化の型と、比・割合までの記事を悩み別に案内。</v>
      </c>
      <c r="E30" s="49">
        <f t="shared" ref="E30:F30" si="141">LEN(C30)</f>
        <v>32</v>
      </c>
      <c r="F30" s="49">
        <f t="shared" si="141"/>
        <v>52</v>
      </c>
      <c r="G30" s="32">
        <f>IFERROR(__xludf.DUMMYFUNCTION("IFERROR(
  VLOOKUP(
    A30,
    IMPORTRANGE(
      ""1ZygntHC1J6IxzKbTidmOyf5nUyW4GCLurHCjexrLm_o        "",
      ""HTMLキャッシュ!A:F""
    ),
    3,
    FALSE
  ),
  0
)
"),46052.61152777778)</f>
        <v>46052.61153</v>
      </c>
      <c r="H30" s="54">
        <f>IFERROR(__xludf.DUMMYFUNCTION("IFERROR(
  VLOOKUP(
    A30,
    IMPORTRANGE(
      ""1ZHMy3vVUd_0MrSduXTe1etBb1HNpAlGwQr006ljwMiM"",
      ""GSC最新!A:F""
    ),
    2,
    FALSE
  ),
  0
)
"),10.0)</f>
        <v>10</v>
      </c>
      <c r="I30" s="54">
        <f>IFERROR(__xludf.DUMMYFUNCTION("IFERROR(
  VLOOKUP(
    A30,
    IMPORTRANGE(
      ""1ZHMy3vVUd_0MrSduXTe1etBb1HNpAlGwQr006ljwMiM"",
      ""GSC最新!A:F""
    ),
    3,
    FALSE
  ),
  0
)
"),16.0)</f>
        <v>16</v>
      </c>
      <c r="J30" s="54">
        <f>IFERROR(__xludf.DUMMYFUNCTION("IFERROR(
  VLOOKUP(
    A30,
    IMPORTRANGE(
      ""1ZHMy3vVUd_0MrSduXTe1etBb1HNpAlGwQr006ljwMiM"",
      ""GSC最新!A:F""
    ),
    4,
    FALSE
  ),
  0
)
"),0.0)</f>
        <v>0</v>
      </c>
      <c r="K30" s="54">
        <f>IFERROR(__xludf.DUMMYFUNCTION("IFERROR(
  VLOOKUP(
    A30,
    IMPORTRANGE(
      ""1ZHMy3vVUd_0MrSduXTe1etBb1HNpAlGwQr006ljwMiM"",
      ""GSC最新!A:F""
    ),
    5,
    FALSE
  ),
  0
)
"),0.0)</f>
        <v>0</v>
      </c>
      <c r="L30" s="50" t="str">
        <f t="shared" ref="L30:M30" si="142">IFERROR(H30/J30,"-")</f>
        <v>-</v>
      </c>
      <c r="M30" s="50" t="str">
        <f t="shared" si="142"/>
        <v>-</v>
      </c>
      <c r="N30" s="59">
        <f>IFERROR(__xludf.DUMMYFUNCTION("IFERROR(
  VLOOKUP(
    A30,
    IMPORTRANGE(
      ""1ZHMy3vVUd_0MrSduXTe1etBb1HNpAlGwQr006ljwMiM"",
      ""GSC最新!A:R""
    ),
    7,
    FALSE
  ),
  0
)
"),485.0)</f>
        <v>485</v>
      </c>
      <c r="O30" s="59">
        <f>IFERROR(__xludf.DUMMYFUNCTION("IFERROR(
  VLOOKUP(
    A30,
    IMPORTRANGE(
      ""1ZHMy3vVUd_0MrSduXTe1etBb1HNpAlGwQr006ljwMiM"",
      ""GSC最新!A:R""
    ),
    10,
    FALSE
  ),
  0
)
"),702.0)</f>
        <v>702</v>
      </c>
      <c r="P30" s="59">
        <f>IFERROR(__xludf.DUMMYFUNCTION("IFERROR(
  VLOOKUP(
    A30,
    IMPORTRANGE(
      ""1ZHMy3vVUd_0MrSduXTe1etBb1HNpAlGwQr006ljwMiM"",
      ""GSC最新!A:R""
    ),
    13,
    FALSE
  ),
  0
)
"),0.0)</f>
        <v>0</v>
      </c>
      <c r="Q30" s="59">
        <f>IFERROR(__xludf.DUMMYFUNCTION("IFERROR(
  VLOOKUP(
    A30,
    IMPORTRANGE(
      ""1ZHMy3vVUd_0MrSduXTe1etBb1HNpAlGwQr006ljwMiM"",
      ""GSC最新!A:R""
    ),
    16,
    FALSE
  ),
  0
)
"),0.0)</f>
        <v>0</v>
      </c>
      <c r="R30" s="50" t="str">
        <f t="shared" ref="R30:S30" si="143">IFERROR(N30/P30,"-")</f>
        <v>-</v>
      </c>
      <c r="S30" s="50" t="str">
        <f t="shared" si="143"/>
        <v>-</v>
      </c>
      <c r="T30" s="60">
        <f>IFERROR(__xludf.DUMMYFUNCTION("IFERROR(
  VLOOKUP(
    A30,
    IMPORTRANGE(
      ""1ZHMy3vVUd_0MrSduXTe1etBb1HNpAlGwQr006ljwMiM"",
      ""GSC最新!A:R""
    ),
    8,
    FALSE
  ),
  0
)
"),0.020618556701030927)</f>
        <v>0.0206185567</v>
      </c>
      <c r="U30" s="60">
        <f>IFERROR(__xludf.DUMMYFUNCTION("IFERROR(
  VLOOKUP(
    A30,
    IMPORTRANGE(
      ""1ZHMy3vVUd_0MrSduXTe1etBb1HNpAlGwQr006ljwMiM"",
      ""GSC最新!A:R""
    ),
    11,
    FALSE
  ),
  0
)
"),0.022792022792022793)</f>
        <v>0.02279202279</v>
      </c>
      <c r="V30" s="60">
        <f>IFERROR(__xludf.DUMMYFUNCTION("IFERROR(
  VLOOKUP(
    A30,
    IMPORTRANGE(
      ""1ZHMy3vVUd_0MrSduXTe1etBb1HNpAlGwQr006ljwMiM"",
      ""GSC最新!A:R""
    ),
    14,
    FALSE
  ),
  0
)
"),0.0)</f>
        <v>0</v>
      </c>
      <c r="W30" s="60">
        <f>IFERROR(__xludf.DUMMYFUNCTION("IFERROR(
  VLOOKUP(
    A30,
    IMPORTRANGE(
      ""1ZHMy3vVUd_0MrSduXTe1etBb1HNpAlGwQr006ljwMiM"",
      ""GSC最新!A:R""
    ),
    17,
    FALSE
  ),
  0
)
"),0.0)</f>
        <v>0</v>
      </c>
      <c r="X30" s="60">
        <f t="shared" ref="X30:Y30" si="144">IFERROR(T30-V30,"-")</f>
        <v>0.0206185567</v>
      </c>
      <c r="Y30" s="60">
        <f t="shared" si="144"/>
        <v>0.02279202279</v>
      </c>
      <c r="Z30" s="52">
        <f>IFERROR(__xludf.DUMMYFUNCTION("IFERROR(
  VLOOKUP(
    A30,
    IMPORTRANGE(
      ""1ZHMy3vVUd_0MrSduXTe1etBb1HNpAlGwQr006ljwMiM"",
      ""GSC最新!A:R""
    ),
    9,
    FALSE
  ),
  0
)
"),4.717525773195876)</f>
        <v>4.717525773</v>
      </c>
      <c r="AA30" s="52">
        <f>IFERROR(__xludf.DUMMYFUNCTION("IFERROR(
  VLOOKUP(
    A30,
    IMPORTRANGE(
      ""1ZHMy3vVUd_0MrSduXTe1etBb1HNpAlGwQr006ljwMiM"",
      ""GSC最新!A:R""
    ),
    12,
    FALSE
  ),
  0
)
"),5.354700854700854)</f>
        <v>5.354700855</v>
      </c>
      <c r="AB30" s="52" t="str">
        <f>IFERROR(__xludf.DUMMYFUNCTION("IFERROR(
  VLOOKUP(
    A30,
    IMPORTRANGE(
      ""1ZHMy3vVUd_0MrSduXTe1etBb1HNpAlGwQr006ljwMiM"",
      ""GSC最新!A:R""
    ),
    15,
    FALSE
  ),
  0
)
"),"")</f>
        <v/>
      </c>
      <c r="AC30" s="52" t="str">
        <f>IFERROR(__xludf.DUMMYFUNCTION("IFERROR(
  VLOOKUP(
    A30,
    IMPORTRANGE(
      ""1ZHMy3vVUd_0MrSduXTe1etBb1HNpAlGwQr006ljwMiM"",
      ""GSC最新!A:R""
    ),
    18,
    FALSE
  ),
  0
)
"),"")</f>
        <v/>
      </c>
      <c r="AD30" s="52">
        <f t="shared" ref="AD30:AE30" si="145">Z30-AB30</f>
        <v>4.717525773</v>
      </c>
      <c r="AE30" s="52">
        <f t="shared" si="145"/>
        <v>5.354700855</v>
      </c>
      <c r="AF30" s="53">
        <f>IFERROR(__xludf.DUMMYFUNCTION("IFERROR(
  VLOOKUP(
    A30,
    IMPORTRANGE(
      ""1ZHMy3vVUd_0MrSduXTe1etBb1HNpAlGwQr006ljwMiM"",
      ""GSC最新!A:F""
    ),
    6,
    FALSE
  ),
  0
)
"),46081.0)</f>
        <v>46081</v>
      </c>
      <c r="AG30" s="54">
        <f>IFERROR(__xludf.DUMMYFUNCTION("IFERROR(
  VLOOKUP(
    A30,
    IMPORTRANGE(
      ""1SCYQd7_cobOYqT0r_F0IqD4tE4rYn5y8Eup4PJTH8es"",
      ""Snapshot!A:M""
    ),
    5,
    FALSE
  ),
  ""-""
)
"),6.0)</f>
        <v>6</v>
      </c>
      <c r="AH30" s="54">
        <f>IFERROR(__xludf.DUMMYFUNCTION("IFERROR(
  VLOOKUP(
    A30,
    IMPORTRANGE(
      ""1SCYQd7_cobOYqT0r_F0IqD4tE4rYn5y8Eup4PJTH8es"",
      ""Snapshot!A:M""
    ),
    6,
    FALSE
  ),
  0
)
"),14.0)</f>
        <v>14</v>
      </c>
      <c r="AI30" s="54">
        <f>IFERROR(__xludf.DUMMYFUNCTION("IFERROR(
  VLOOKUP(
    A30,
    IMPORTRANGE(
      ""1SCYQd7_cobOYqT0r_F0IqD4tE4rYn5y8Eup4PJTH8es"",
      ""Snapshot!A:M""
    ),
    7,
    FALSE
  ),
  0
)
"),4089.0)</f>
        <v>4089</v>
      </c>
      <c r="AJ30" s="54">
        <f>IFERROR(__xludf.DUMMYFUNCTION("IFERROR(
  VLOOKUP(
    A30,
    IMPORTRANGE(
      ""1SCYQd7_cobOYqT0r_F0IqD4tE4rYn5y8Eup4PJTH8es"",
      ""Snapshot!A:M""
    ),
    8,
    FALSE
  ),
  0
)
"),13.0)</f>
        <v>13</v>
      </c>
      <c r="AK30" s="54">
        <f>IFERROR(__xludf.DUMMYFUNCTION("IFERROR(
  VLOOKUP(
    A30,
    IMPORTRANGE(
      ""1SCYQd7_cobOYqT0r_F0IqD4tE4rYn5y8Eup4PJTH8es"",
      ""Snapshot!A:M""
    ),
    9,
    FALSE
  ),
  0
)
"),3.0)</f>
        <v>3</v>
      </c>
      <c r="AL30" s="54">
        <f>IFERROR(__xludf.DUMMYFUNCTION("IFERROR(
  VLOOKUP(
    A30,
    IMPORTRANGE(
      ""1SCYQd7_cobOYqT0r_F0IqD4tE4rYn5y8Eup4PJTH8es"",
      ""Snapshot!A:M""
    ),
    13,
    FALSE
  ),
  0
)
"),2.0)</f>
        <v>2</v>
      </c>
    </row>
    <row r="31">
      <c r="A31" s="3" t="s">
        <v>374</v>
      </c>
      <c r="B31" s="1" t="str">
        <f>IFERROR(__xludf.DUMMYFUNCTION("IFERROR(
  VLOOKUP(
    A31,
    IMPORTRANGE(
      ""1ZygntHC1J6IxzKbTidmOyf5nUyW4GCLurHCjexrLm_o"",
      ""HTMLキャッシュ!A:F""
    ),
    2,
    FALSE
  ),
  0
)
"),"MC")</f>
        <v>MC</v>
      </c>
      <c r="C31" s="1" t="str">
        <f>IFERROR(__xludf.DUMMYFUNCTION("IFERROR(
  VLOOKUP(
    A31,
    IMPORTRANGE(
      ""1ZygntHC1J6IxzKbTidmOyf5nUyW4GCLurHCjexrLm_o"",
      ""HTMLキャッシュ!A:F""
    ),
    5,
    FALSE
  ),
  0
)
"),"SAPIX算数の立て直し｜未消化・復習管理を改善｜中学受験")</f>
        <v>SAPIX算数の立て直し｜未消化・復習管理を改善｜中学受験</v>
      </c>
      <c r="D31" s="1" t="str">
        <f>IFERROR(__xludf.DUMMYFUNCTION("IFERROR(
  VLOOKUP(
    A31,
    IMPORTRANGE(
      ""1ZygntHC1J6IxzKbTidmOyf5nUyW4GCLurHCjexrLm_o        "",
      ""HTMLキャッシュ!A:F""
    ),
    6,
    FALSE
  ),
  0
)
"),"SAPIX算数で多い悩みは、授業未消化、問題の偏り、膨大なプリント管理。3ケース別に原因を整理し、解説動画・事前演習・弱点のPDF管理で立て直す方法をまとめます。")</f>
        <v>SAPIX算数で多い悩みは、授業未消化、問題の偏り、膨大なプリント管理。3ケース別に原因を整理し、解説動画・事前演習・弱点のPDF管理で立て直す方法をまとめます。</v>
      </c>
      <c r="E31" s="49">
        <f t="shared" ref="E31:F31" si="146">LEN(C31)</f>
        <v>29</v>
      </c>
      <c r="F31" s="49">
        <f t="shared" si="146"/>
        <v>81</v>
      </c>
      <c r="G31" s="32">
        <f>IFERROR(__xludf.DUMMYFUNCTION("IFERROR(
  VLOOKUP(
    A31,
    IMPORTRANGE(
      ""1ZygntHC1J6IxzKbTidmOyf5nUyW4GCLurHCjexrLm_o        "",
      ""HTMLキャッシュ!A:F""
    ),
    3,
    FALSE
  ),
  0
)
"),46048.68782407408)</f>
        <v>46048.68782</v>
      </c>
      <c r="H31" s="54">
        <f>IFERROR(__xludf.DUMMYFUNCTION("IFERROR(
  VLOOKUP(
    A31,
    IMPORTRANGE(
      ""1ZHMy3vVUd_0MrSduXTe1etBb1HNpAlGwQr006ljwMiM"",
      ""GSC最新!A:F""
    ),
    2,
    FALSE
  ),
  0
)
"),8.0)</f>
        <v>8</v>
      </c>
      <c r="I31" s="54">
        <f>IFERROR(__xludf.DUMMYFUNCTION("IFERROR(
  VLOOKUP(
    A31,
    IMPORTRANGE(
      ""1ZHMy3vVUd_0MrSduXTe1etBb1HNpAlGwQr006ljwMiM"",
      ""GSC最新!A:F""
    ),
    3,
    FALSE
  ),
  0
)
"),14.0)</f>
        <v>14</v>
      </c>
      <c r="J31" s="54">
        <f>IFERROR(__xludf.DUMMYFUNCTION("IFERROR(
  VLOOKUP(
    A31,
    IMPORTRANGE(
      ""1ZHMy3vVUd_0MrSduXTe1etBb1HNpAlGwQr006ljwMiM"",
      ""GSC最新!A:F""
    ),
    4,
    FALSE
  ),
  0
)
"),1.0)</f>
        <v>1</v>
      </c>
      <c r="K31" s="54">
        <f>IFERROR(__xludf.DUMMYFUNCTION("IFERROR(
  VLOOKUP(
    A31,
    IMPORTRANGE(
      ""1ZHMy3vVUd_0MrSduXTe1etBb1HNpAlGwQr006ljwMiM"",
      ""GSC最新!A:F""
    ),
    5,
    FALSE
  ),
  0
)
"),4.0)</f>
        <v>4</v>
      </c>
      <c r="L31" s="50">
        <f t="shared" ref="L31:M31" si="147">IFERROR(H31/J31,"-")</f>
        <v>8</v>
      </c>
      <c r="M31" s="50">
        <f t="shared" si="147"/>
        <v>3.5</v>
      </c>
      <c r="N31" s="59">
        <f>IFERROR(__xludf.DUMMYFUNCTION("IFERROR(
  VLOOKUP(
    A31,
    IMPORTRANGE(
      ""1ZHMy3vVUd_0MrSduXTe1etBb1HNpAlGwQr006ljwMiM"",
      ""GSC最新!A:R""
    ),
    7,
    FALSE
  ),
  0
)
"),470.0)</f>
        <v>470</v>
      </c>
      <c r="O31" s="59">
        <f>IFERROR(__xludf.DUMMYFUNCTION("IFERROR(
  VLOOKUP(
    A31,
    IMPORTRANGE(
      ""1ZHMy3vVUd_0MrSduXTe1etBb1HNpAlGwQr006ljwMiM"",
      ""GSC最新!A:R""
    ),
    10,
    FALSE
  ),
  0
)
"),1114.0)</f>
        <v>1114</v>
      </c>
      <c r="P31" s="59">
        <f>IFERROR(__xludf.DUMMYFUNCTION("IFERROR(
  VLOOKUP(
    A31,
    IMPORTRANGE(
      ""1ZHMy3vVUd_0MrSduXTe1etBb1HNpAlGwQr006ljwMiM"",
      ""GSC最新!A:R""
    ),
    13,
    FALSE
  ),
  0
)
"),201.0)</f>
        <v>201</v>
      </c>
      <c r="Q31" s="59">
        <f>IFERROR(__xludf.DUMMYFUNCTION("IFERROR(
  VLOOKUP(
    A31,
    IMPORTRANGE(
      ""1ZHMy3vVUd_0MrSduXTe1etBb1HNpAlGwQr006ljwMiM"",
      ""GSC最新!A:R""
    ),
    16,
    FALSE
  ),
  0
)
"),1503.0)</f>
        <v>1503</v>
      </c>
      <c r="R31" s="50">
        <f t="shared" ref="R31:S31" si="148">IFERROR(N31/P31,"-")</f>
        <v>2.338308458</v>
      </c>
      <c r="S31" s="50">
        <f t="shared" si="148"/>
        <v>0.7411842981</v>
      </c>
      <c r="T31" s="60">
        <f>IFERROR(__xludf.DUMMYFUNCTION("IFERROR(
  VLOOKUP(
    A31,
    IMPORTRANGE(
      ""1ZHMy3vVUd_0MrSduXTe1etBb1HNpAlGwQr006ljwMiM"",
      ""GSC最新!A:R""
    ),
    8,
    FALSE
  ),
  0
)
"),0.01702127659574468)</f>
        <v>0.0170212766</v>
      </c>
      <c r="U31" s="60">
        <f>IFERROR(__xludf.DUMMYFUNCTION("IFERROR(
  VLOOKUP(
    A31,
    IMPORTRANGE(
      ""1ZHMy3vVUd_0MrSduXTe1etBb1HNpAlGwQr006ljwMiM"",
      ""GSC最新!A:R""
    ),
    11,
    FALSE
  ),
  0
)
"),0.012567324955116697)</f>
        <v>0.01256732496</v>
      </c>
      <c r="V31" s="60">
        <f>IFERROR(__xludf.DUMMYFUNCTION("IFERROR(
  VLOOKUP(
    A31,
    IMPORTRANGE(
      ""1ZHMy3vVUd_0MrSduXTe1etBb1HNpAlGwQr006ljwMiM"",
      ""GSC最新!A:R""
    ),
    14,
    FALSE
  ),
  0
)
"),0.004975124378109453)</f>
        <v>0.004975124378</v>
      </c>
      <c r="W31" s="60">
        <f>IFERROR(__xludf.DUMMYFUNCTION("IFERROR(
  VLOOKUP(
    A31,
    IMPORTRANGE(
      ""1ZHMy3vVUd_0MrSduXTe1etBb1HNpAlGwQr006ljwMiM"",
      ""GSC最新!A:R""
    ),
    17,
    FALSE
  ),
  0
)
"),0.0026613439787092482)</f>
        <v>0.002661343979</v>
      </c>
      <c r="X31" s="60">
        <f t="shared" ref="X31:Y31" si="149">IFERROR(T31-V31,"-")</f>
        <v>0.01204615222</v>
      </c>
      <c r="Y31" s="60">
        <f t="shared" si="149"/>
        <v>0.009905980976</v>
      </c>
      <c r="Z31" s="52">
        <f>IFERROR(__xludf.DUMMYFUNCTION("IFERROR(
  VLOOKUP(
    A31,
    IMPORTRANGE(
      ""1ZHMy3vVUd_0MrSduXTe1etBb1HNpAlGwQr006ljwMiM"",
      ""GSC最新!A:R""
    ),
    9,
    FALSE
  ),
  0
)
"),7.023404255319149)</f>
        <v>7.023404255</v>
      </c>
      <c r="AA31" s="52">
        <f>IFERROR(__xludf.DUMMYFUNCTION("IFERROR(
  VLOOKUP(
    A31,
    IMPORTRANGE(
      ""1ZHMy3vVUd_0MrSduXTe1etBb1HNpAlGwQr006ljwMiM"",
      ""GSC最新!A:R""
    ),
    12,
    FALSE
  ),
  0
)
"),10.196588868940754)</f>
        <v>10.19658887</v>
      </c>
      <c r="AB31" s="52">
        <f>IFERROR(__xludf.DUMMYFUNCTION("IFERROR(
  VLOOKUP(
    A31,
    IMPORTRANGE(
      ""1ZHMy3vVUd_0MrSduXTe1etBb1HNpAlGwQr006ljwMiM"",
      ""GSC最新!A:R""
    ),
    15,
    FALSE
  ),
  0
)
"),20.915422885572138)</f>
        <v>20.91542289</v>
      </c>
      <c r="AC31" s="52">
        <f>IFERROR(__xludf.DUMMYFUNCTION("IFERROR(
  VLOOKUP(
    A31,
    IMPORTRANGE(
      ""1ZHMy3vVUd_0MrSduXTe1etBb1HNpAlGwQr006ljwMiM"",
      ""GSC最新!A:R""
    ),
    18,
    FALSE
  ),
  0
)
"),23.665335994677314)</f>
        <v>23.66533599</v>
      </c>
      <c r="AD31" s="52">
        <f t="shared" ref="AD31:AE31" si="150">Z31-AB31</f>
        <v>-13.89201863</v>
      </c>
      <c r="AE31" s="52">
        <f t="shared" si="150"/>
        <v>-13.46874713</v>
      </c>
      <c r="AF31" s="53">
        <f>IFERROR(__xludf.DUMMYFUNCTION("IFERROR(
  VLOOKUP(
    A31,
    IMPORTRANGE(
      ""1ZHMy3vVUd_0MrSduXTe1etBb1HNpAlGwQr006ljwMiM"",
      ""GSC最新!A:F""
    ),
    6,
    FALSE
  ),
  0
)
"),46081.0)</f>
        <v>46081</v>
      </c>
      <c r="AG31" s="54">
        <f>IFERROR(__xludf.DUMMYFUNCTION("IFERROR(
  VLOOKUP(
    A31,
    IMPORTRANGE(
      ""1SCYQd7_cobOYqT0r_F0IqD4tE4rYn5y8Eup4PJTH8es"",
      ""Snapshot!A:M""
    ),
    5,
    FALSE
  ),
  ""-""
)
"),3.0)</f>
        <v>3</v>
      </c>
      <c r="AH31" s="54">
        <f>IFERROR(__xludf.DUMMYFUNCTION("IFERROR(
  VLOOKUP(
    A31,
    IMPORTRANGE(
      ""1SCYQd7_cobOYqT0r_F0IqD4tE4rYn5y8Eup4PJTH8es"",
      ""Snapshot!A:M""
    ),
    6,
    FALSE
  ),
  0
)
"),6.0)</f>
        <v>6</v>
      </c>
      <c r="AI31" s="54">
        <f>IFERROR(__xludf.DUMMYFUNCTION("IFERROR(
  VLOOKUP(
    A31,
    IMPORTRANGE(
      ""1SCYQd7_cobOYqT0r_F0IqD4tE4rYn5y8Eup4PJTH8es"",
      ""Snapshot!A:M""
    ),
    7,
    FALSE
  ),
  0
)
"),3604.0)</f>
        <v>3604</v>
      </c>
      <c r="AJ31" s="54">
        <f>IFERROR(__xludf.DUMMYFUNCTION("IFERROR(
  VLOOKUP(
    A31,
    IMPORTRANGE(
      ""1SCYQd7_cobOYqT0r_F0IqD4tE4rYn5y8Eup4PJTH8es"",
      ""Snapshot!A:M""
    ),
    8,
    FALSE
  ),
  0
)
"),6.0)</f>
        <v>6</v>
      </c>
      <c r="AK31" s="54">
        <f>IFERROR(__xludf.DUMMYFUNCTION("IFERROR(
  VLOOKUP(
    A31,
    IMPORTRANGE(
      ""1SCYQd7_cobOYqT0r_F0IqD4tE4rYn5y8Eup4PJTH8es"",
      ""Snapshot!A:M""
    ),
    9,
    FALSE
  ),
  0
)
"),2.0)</f>
        <v>2</v>
      </c>
      <c r="AL31" s="54">
        <f>IFERROR(__xludf.DUMMYFUNCTION("IFERROR(
  VLOOKUP(
    A31,
    IMPORTRANGE(
      ""1SCYQd7_cobOYqT0r_F0IqD4tE4rYn5y8Eup4PJTH8es"",
      ""Snapshot!A:M""
    ),
    13,
    FALSE
  ),
  0
)
"),1.0)</f>
        <v>1</v>
      </c>
    </row>
    <row r="32">
      <c r="A32" s="3" t="s">
        <v>375</v>
      </c>
      <c r="B32" s="1" t="str">
        <f>IFERROR(__xludf.DUMMYFUNCTION("IFERROR(
  VLOOKUP(
    A32,
    IMPORTRANGE(
      ""1ZygntHC1J6IxzKbTidmOyf5nUyW4GCLurHCjexrLm_o"",
      ""HTMLキャッシュ!A:F""
    ),
    2,
    FALSE
  ),
  0
)
"),"MC")</f>
        <v>MC</v>
      </c>
      <c r="C32" s="1" t="str">
        <f>IFERROR(__xludf.DUMMYFUNCTION("IFERROR(
  VLOOKUP(
    A32,
    IMPORTRANGE(
      ""1ZygntHC1J6IxzKbTidmOyf5nUyW4GCLurHCjexrLm_o"",
      ""HTMLキャッシュ!A:F""
    ),
    5,
    FALSE
  ),
  0
)
"),"早稲田アカデミー中学受験｜宿題量・コース整理と家庭教師検討")</f>
        <v>早稲田アカデミー中学受験｜宿題量・コース整理と家庭教師検討</v>
      </c>
      <c r="D32" s="1" t="str">
        <f>IFERROR(__xludf.DUMMYFUNCTION("IFERROR(
  VLOOKUP(
    A32,
    IMPORTRANGE(
      ""1ZygntHC1J6IxzKbTidmOyf5nUyW4GCLurHCjexrLm_o        "",
      ""HTMLキャッシュ!A:F""
    ),
    6,
    FALSE
  ),
  0
)
"),"早稲田アカデミーの中学受験情報を保護者向けに整理。中高一貫校コース、NN、教材・宿題量に加え、家庭教師や個別を考える際の見どころも確認できます。")</f>
        <v>早稲田アカデミーの中学受験情報を保護者向けに整理。中高一貫校コース、NN、教材・宿題量に加え、家庭教師や個別を考える際の見どころも確認できます。</v>
      </c>
      <c r="E32" s="49">
        <f t="shared" ref="E32:F32" si="151">LEN(C32)</f>
        <v>29</v>
      </c>
      <c r="F32" s="49">
        <f t="shared" si="151"/>
        <v>72</v>
      </c>
      <c r="G32" s="32">
        <f>IFERROR(__xludf.DUMMYFUNCTION("IFERROR(
  VLOOKUP(
    A32,
    IMPORTRANGE(
      ""1ZygntHC1J6IxzKbTidmOyf5nUyW4GCLurHCjexrLm_o        "",
      ""HTMLキャッシュ!A:F""
    ),
    3,
    FALSE
  ),
  0
)
"),46078.6303125)</f>
        <v>46078.63031</v>
      </c>
      <c r="H32" s="54">
        <f>IFERROR(__xludf.DUMMYFUNCTION("IFERROR(
  VLOOKUP(
    A32,
    IMPORTRANGE(
      ""1ZHMy3vVUd_0MrSduXTe1etBb1HNpAlGwQr006ljwMiM"",
      ""GSC最新!A:F""
    ),
    2,
    FALSE
  ),
  0
)
"),8.0)</f>
        <v>8</v>
      </c>
      <c r="I32" s="54">
        <f>IFERROR(__xludf.DUMMYFUNCTION("IFERROR(
  VLOOKUP(
    A32,
    IMPORTRANGE(
      ""1ZHMy3vVUd_0MrSduXTe1etBb1HNpAlGwQr006ljwMiM"",
      ""GSC最新!A:F""
    ),
    3,
    FALSE
  ),
  0
)
"),14.0)</f>
        <v>14</v>
      </c>
      <c r="J32" s="54">
        <f>IFERROR(__xludf.DUMMYFUNCTION("IFERROR(
  VLOOKUP(
    A32,
    IMPORTRANGE(
      ""1ZHMy3vVUd_0MrSduXTe1etBb1HNpAlGwQr006ljwMiM"",
      ""GSC最新!A:F""
    ),
    4,
    FALSE
  ),
  0
)
"),10.0)</f>
        <v>10</v>
      </c>
      <c r="K32" s="54">
        <f>IFERROR(__xludf.DUMMYFUNCTION("IFERROR(
  VLOOKUP(
    A32,
    IMPORTRANGE(
      ""1ZHMy3vVUd_0MrSduXTe1etBb1HNpAlGwQr006ljwMiM"",
      ""GSC最新!A:F""
    ),
    5,
    FALSE
  ),
  0
)
"),15.0)</f>
        <v>15</v>
      </c>
      <c r="L32" s="50">
        <f t="shared" ref="L32:M32" si="152">IFERROR(H32/J32,"-")</f>
        <v>0.8</v>
      </c>
      <c r="M32" s="50">
        <f t="shared" si="152"/>
        <v>0.9333333333</v>
      </c>
      <c r="N32" s="59">
        <f>IFERROR(__xludf.DUMMYFUNCTION("IFERROR(
  VLOOKUP(
    A32,
    IMPORTRANGE(
      ""1ZHMy3vVUd_0MrSduXTe1etBb1HNpAlGwQr006ljwMiM"",
      ""GSC最新!A:R""
    ),
    7,
    FALSE
  ),
  0
)
"),715.0)</f>
        <v>715</v>
      </c>
      <c r="O32" s="59">
        <f>IFERROR(__xludf.DUMMYFUNCTION("IFERROR(
  VLOOKUP(
    A32,
    IMPORTRANGE(
      ""1ZHMy3vVUd_0MrSduXTe1etBb1HNpAlGwQr006ljwMiM"",
      ""GSC最新!A:R""
    ),
    10,
    FALSE
  ),
  0
)
"),1045.0)</f>
        <v>1045</v>
      </c>
      <c r="P32" s="59">
        <f>IFERROR(__xludf.DUMMYFUNCTION("IFERROR(
  VLOOKUP(
    A32,
    IMPORTRANGE(
      ""1ZHMy3vVUd_0MrSduXTe1etBb1HNpAlGwQr006ljwMiM"",
      ""GSC最新!A:R""
    ),
    13,
    FALSE
  ),
  0
)
"),261.0)</f>
        <v>261</v>
      </c>
      <c r="Q32" s="59">
        <f>IFERROR(__xludf.DUMMYFUNCTION("IFERROR(
  VLOOKUP(
    A32,
    IMPORTRANGE(
      ""1ZHMy3vVUd_0MrSduXTe1etBb1HNpAlGwQr006ljwMiM"",
      ""GSC最新!A:R""
    ),
    16,
    FALSE
  ),
  0
)
"),1022.0)</f>
        <v>1022</v>
      </c>
      <c r="R32" s="50">
        <f t="shared" ref="R32:S32" si="153">IFERROR(N32/P32,"-")</f>
        <v>2.739463602</v>
      </c>
      <c r="S32" s="50">
        <f t="shared" si="153"/>
        <v>1.022504892</v>
      </c>
      <c r="T32" s="60">
        <f>IFERROR(__xludf.DUMMYFUNCTION("IFERROR(
  VLOOKUP(
    A32,
    IMPORTRANGE(
      ""1ZHMy3vVUd_0MrSduXTe1etBb1HNpAlGwQr006ljwMiM"",
      ""GSC最新!A:R""
    ),
    8,
    FALSE
  ),
  0
)
"),0.011188811188811189)</f>
        <v>0.01118881119</v>
      </c>
      <c r="U32" s="60">
        <f>IFERROR(__xludf.DUMMYFUNCTION("IFERROR(
  VLOOKUP(
    A32,
    IMPORTRANGE(
      ""1ZHMy3vVUd_0MrSduXTe1etBb1HNpAlGwQr006ljwMiM"",
      ""GSC最新!A:R""
    ),
    11,
    FALSE
  ),
  0
)
"),0.013397129186602871)</f>
        <v>0.01339712919</v>
      </c>
      <c r="V32" s="60">
        <f>IFERROR(__xludf.DUMMYFUNCTION("IFERROR(
  VLOOKUP(
    A32,
    IMPORTRANGE(
      ""1ZHMy3vVUd_0MrSduXTe1etBb1HNpAlGwQr006ljwMiM"",
      ""GSC最新!A:R""
    ),
    14,
    FALSE
  ),
  0
)
"),0.038314176245210725)</f>
        <v>0.03831417625</v>
      </c>
      <c r="W32" s="60">
        <f>IFERROR(__xludf.DUMMYFUNCTION("IFERROR(
  VLOOKUP(
    A32,
    IMPORTRANGE(
      ""1ZHMy3vVUd_0MrSduXTe1etBb1HNpAlGwQr006ljwMiM"",
      ""GSC最新!A:R""
    ),
    17,
    FALSE
  ),
  0
)
"),0.014677103718199608)</f>
        <v>0.01467710372</v>
      </c>
      <c r="X32" s="60">
        <f t="shared" ref="X32:Y32" si="154">IFERROR(T32-V32,"-")</f>
        <v>-0.02712536506</v>
      </c>
      <c r="Y32" s="60">
        <f t="shared" si="154"/>
        <v>-0.001279974532</v>
      </c>
      <c r="Z32" s="52">
        <f>IFERROR(__xludf.DUMMYFUNCTION("IFERROR(
  VLOOKUP(
    A32,
    IMPORTRANGE(
      ""1ZHMy3vVUd_0MrSduXTe1etBb1HNpAlGwQr006ljwMiM"",
      ""GSC最新!A:R""
    ),
    9,
    FALSE
  ),
  0
)
"),12.22937062937063)</f>
        <v>12.22937063</v>
      </c>
      <c r="AA32" s="52">
        <f>IFERROR(__xludf.DUMMYFUNCTION("IFERROR(
  VLOOKUP(
    A32,
    IMPORTRANGE(
      ""1ZHMy3vVUd_0MrSduXTe1etBb1HNpAlGwQr006ljwMiM"",
      ""GSC最新!A:R""
    ),
    12,
    FALSE
  ),
  0
)
"),14.838277511961723)</f>
        <v>14.83827751</v>
      </c>
      <c r="AB32" s="52">
        <f>IFERROR(__xludf.DUMMYFUNCTION("IFERROR(
  VLOOKUP(
    A32,
    IMPORTRANGE(
      ""1ZHMy3vVUd_0MrSduXTe1etBb1HNpAlGwQr006ljwMiM"",
      ""GSC最新!A:R""
    ),
    15,
    FALSE
  ),
  0
)
"),27.18773946360153)</f>
        <v>27.18773946</v>
      </c>
      <c r="AC32" s="52">
        <f>IFERROR(__xludf.DUMMYFUNCTION("IFERROR(
  VLOOKUP(
    A32,
    IMPORTRANGE(
      ""1ZHMy3vVUd_0MrSduXTe1etBb1HNpAlGwQr006ljwMiM"",
      ""GSC最新!A:R""
    ),
    18,
    FALSE
  ),
  0
)
"),30.791585127201564)</f>
        <v>30.79158513</v>
      </c>
      <c r="AD32" s="52">
        <f t="shared" ref="AD32:AE32" si="155">Z32-AB32</f>
        <v>-14.95836883</v>
      </c>
      <c r="AE32" s="52">
        <f t="shared" si="155"/>
        <v>-15.95330762</v>
      </c>
      <c r="AF32" s="53">
        <f>IFERROR(__xludf.DUMMYFUNCTION("IFERROR(
  VLOOKUP(
    A32,
    IMPORTRANGE(
      ""1ZHMy3vVUd_0MrSduXTe1etBb1HNpAlGwQr006ljwMiM"",
      ""GSC最新!A:F""
    ),
    6,
    FALSE
  ),
  0
)
"),46081.0)</f>
        <v>46081</v>
      </c>
      <c r="AG32" s="54">
        <f>IFERROR(__xludf.DUMMYFUNCTION("IFERROR(
  VLOOKUP(
    A32,
    IMPORTRANGE(
      ""1SCYQd7_cobOYqT0r_F0IqD4tE4rYn5y8Eup4PJTH8es"",
      ""Snapshot!A:M""
    ),
    5,
    FALSE
  ),
  ""-""
)
"),6.0)</f>
        <v>6</v>
      </c>
      <c r="AH32" s="54">
        <f>IFERROR(__xludf.DUMMYFUNCTION("IFERROR(
  VLOOKUP(
    A32,
    IMPORTRANGE(
      ""1SCYQd7_cobOYqT0r_F0IqD4tE4rYn5y8Eup4PJTH8es"",
      ""Snapshot!A:M""
    ),
    6,
    FALSE
  ),
  0
)
"),16.0)</f>
        <v>16</v>
      </c>
      <c r="AI32" s="54">
        <f>IFERROR(__xludf.DUMMYFUNCTION("IFERROR(
  VLOOKUP(
    A32,
    IMPORTRANGE(
      ""1SCYQd7_cobOYqT0r_F0IqD4tE4rYn5y8Eup4PJTH8es"",
      ""Snapshot!A:M""
    ),
    7,
    FALSE
  ),
  0
)
"),5013.0)</f>
        <v>5013</v>
      </c>
      <c r="AJ32" s="54">
        <f>IFERROR(__xludf.DUMMYFUNCTION("IFERROR(
  VLOOKUP(
    A32,
    IMPORTRANGE(
      ""1SCYQd7_cobOYqT0r_F0IqD4tE4rYn5y8Eup4PJTH8es"",
      ""Snapshot!A:M""
    ),
    8,
    FALSE
  ),
  0
)
"),4.0)</f>
        <v>4</v>
      </c>
      <c r="AK32" s="54">
        <f>IFERROR(__xludf.DUMMYFUNCTION("IFERROR(
  VLOOKUP(
    A32,
    IMPORTRANGE(
      ""1SCYQd7_cobOYqT0r_F0IqD4tE4rYn5y8Eup4PJTH8es"",
      ""Snapshot!A:M""
    ),
    9,
    FALSE
  ),
  0
)
"),2.0)</f>
        <v>2</v>
      </c>
      <c r="AL32" s="54">
        <f>IFERROR(__xludf.DUMMYFUNCTION("IFERROR(
  VLOOKUP(
    A32,
    IMPORTRANGE(
      ""1SCYQd7_cobOYqT0r_F0IqD4tE4rYn5y8Eup4PJTH8es"",
      ""Snapshot!A:M""
    ),
    13,
    FALSE
  ),
  0
)
"),1.0)</f>
        <v>1</v>
      </c>
    </row>
    <row r="33">
      <c r="A33" s="3" t="s">
        <v>376</v>
      </c>
      <c r="B33" s="1" t="str">
        <f>IFERROR(__xludf.DUMMYFUNCTION("IFERROR(
  VLOOKUP(
    A33,
    IMPORTRANGE(
      ""1ZygntHC1J6IxzKbTidmOyf5nUyW4GCLurHCjexrLm_o"",
      ""HTMLキャッシュ!A:F""
    ),
    2,
    FALSE
  ),
  0
)
"),"ST")</f>
        <v>ST</v>
      </c>
      <c r="C33" s="1" t="str">
        <f>IFERROR(__xludf.DUMMYFUNCTION("IFERROR(
  VLOOKUP(
    A33,
    IMPORTRANGE(
      ""1ZygntHC1J6IxzKbTidmOyf5nUyW4GCLurHCjexrLm_o"",
      ""HTMLキャッシュ!A:F""
    ),
    5,
    FALSE
  ),
  0
)
"),"中学受験算数専門・夏井算数塾 代表プロフィール｜指導理念と合格サポート - 中学受験専門 夏井算数塾")</f>
        <v>中学受験算数専門・夏井算数塾 代表プロフィール｜指導理念と合格サポート - 中学受験専門 夏井算数塾</v>
      </c>
      <c r="D33" s="1" t="str">
        <f>IFERROR(__xludf.DUMMYFUNCTION("IFERROR(
  VLOOKUP(
    A33,
    IMPORTRANGE(
      ""1ZygntHC1J6IxzKbTidmOyf5nUyW4GCLurHCjexrLm_o        "",
      ""HTMLキャッシュ!A:F""
    ),
    6,
    FALSE
  ),
  0
)
"),"中学受験算数専門「夏井算数塾」の代表プロフィールページです。指導歴やこれまでの合格実績、算数への考え方、授業づくりの方針を紹介し、塾選びの不安や疑問を解消します。")</f>
        <v>中学受験算数専門「夏井算数塾」の代表プロフィールページです。指導歴やこれまでの合格実績、算数への考え方、授業づくりの方針を紹介し、塾選びの不安や疑問を解消します。</v>
      </c>
      <c r="E33" s="49">
        <f t="shared" ref="E33:F33" si="156">LEN(C33)</f>
        <v>50</v>
      </c>
      <c r="F33" s="49">
        <f t="shared" si="156"/>
        <v>81</v>
      </c>
      <c r="G33" s="32">
        <f>IFERROR(__xludf.DUMMYFUNCTION("IFERROR(
  VLOOKUP(
    A33,
    IMPORTRANGE(
      ""1ZygntHC1J6IxzKbTidmOyf5nUyW4GCLurHCjexrLm_o        "",
      ""HTMLキャッシュ!A:F""
    ),
    3,
    FALSE
  ),
  0
)
"),46059.92576388889)</f>
        <v>46059.92576</v>
      </c>
      <c r="H33" s="54">
        <f>IFERROR(__xludf.DUMMYFUNCTION("IFERROR(
  VLOOKUP(
    A33,
    IMPORTRANGE(
      ""1ZHMy3vVUd_0MrSduXTe1etBb1HNpAlGwQr006ljwMiM"",
      ""GSC最新!A:F""
    ),
    2,
    FALSE
  ),
  0
)
"),6.0)</f>
        <v>6</v>
      </c>
      <c r="I33" s="54">
        <f>IFERROR(__xludf.DUMMYFUNCTION("IFERROR(
  VLOOKUP(
    A33,
    IMPORTRANGE(
      ""1ZHMy3vVUd_0MrSduXTe1etBb1HNpAlGwQr006ljwMiM"",
      ""GSC最新!A:F""
    ),
    3,
    FALSE
  ),
  0
)
"),14.0)</f>
        <v>14</v>
      </c>
      <c r="J33" s="54">
        <f>IFERROR(__xludf.DUMMYFUNCTION("IFERROR(
  VLOOKUP(
    A33,
    IMPORTRANGE(
      ""1ZHMy3vVUd_0MrSduXTe1etBb1HNpAlGwQr006ljwMiM"",
      ""GSC最新!A:F""
    ),
    4,
    FALSE
  ),
  0
)
"),2.0)</f>
        <v>2</v>
      </c>
      <c r="K33" s="54">
        <f>IFERROR(__xludf.DUMMYFUNCTION("IFERROR(
  VLOOKUP(
    A33,
    IMPORTRANGE(
      ""1ZHMy3vVUd_0MrSduXTe1etBb1HNpAlGwQr006ljwMiM"",
      ""GSC最新!A:F""
    ),
    5,
    FALSE
  ),
  0
)
"),12.0)</f>
        <v>12</v>
      </c>
      <c r="L33" s="50">
        <f t="shared" ref="L33:M33" si="157">IFERROR(H33/J33,"-")</f>
        <v>3</v>
      </c>
      <c r="M33" s="50">
        <f t="shared" si="157"/>
        <v>1.166666667</v>
      </c>
      <c r="N33" s="59">
        <f>IFERROR(__xludf.DUMMYFUNCTION("IFERROR(
  VLOOKUP(
    A33,
    IMPORTRANGE(
      ""1ZHMy3vVUd_0MrSduXTe1etBb1HNpAlGwQr006ljwMiM"",
      ""GSC最新!A:R""
    ),
    7,
    FALSE
  ),
  0
)
"),82.0)</f>
        <v>82</v>
      </c>
      <c r="O33" s="59">
        <f>IFERROR(__xludf.DUMMYFUNCTION("IFERROR(
  VLOOKUP(
    A33,
    IMPORTRANGE(
      ""1ZHMy3vVUd_0MrSduXTe1etBb1HNpAlGwQr006ljwMiM"",
      ""GSC最新!A:R""
    ),
    10,
    FALSE
  ),
  0
)
"),295.0)</f>
        <v>295</v>
      </c>
      <c r="P33" s="59">
        <f>IFERROR(__xludf.DUMMYFUNCTION("IFERROR(
  VLOOKUP(
    A33,
    IMPORTRANGE(
      ""1ZHMy3vVUd_0MrSduXTe1etBb1HNpAlGwQr006ljwMiM"",
      ""GSC最新!A:R""
    ),
    13,
    FALSE
  ),
  0
)
"),167.0)</f>
        <v>167</v>
      </c>
      <c r="Q33" s="59">
        <f>IFERROR(__xludf.DUMMYFUNCTION("IFERROR(
  VLOOKUP(
    A33,
    IMPORTRANGE(
      ""1ZHMy3vVUd_0MrSduXTe1etBb1HNpAlGwQr006ljwMiM"",
      ""GSC最新!A:R""
    ),
    16,
    FALSE
  ),
  0
)
"),559.0)</f>
        <v>559</v>
      </c>
      <c r="R33" s="50">
        <f t="shared" ref="R33:S33" si="158">IFERROR(N33/P33,"-")</f>
        <v>0.4910179641</v>
      </c>
      <c r="S33" s="50">
        <f t="shared" si="158"/>
        <v>0.5277280859</v>
      </c>
      <c r="T33" s="60">
        <f>IFERROR(__xludf.DUMMYFUNCTION("IFERROR(
  VLOOKUP(
    A33,
    IMPORTRANGE(
      ""1ZHMy3vVUd_0MrSduXTe1etBb1HNpAlGwQr006ljwMiM"",
      ""GSC最新!A:R""
    ),
    8,
    FALSE
  ),
  0
)
"),0.07317073170731707)</f>
        <v>0.07317073171</v>
      </c>
      <c r="U33" s="60">
        <f>IFERROR(__xludf.DUMMYFUNCTION("IFERROR(
  VLOOKUP(
    A33,
    IMPORTRANGE(
      ""1ZHMy3vVUd_0MrSduXTe1etBb1HNpAlGwQr006ljwMiM"",
      ""GSC最新!A:R""
    ),
    11,
    FALSE
  ),
  0
)
"),0.04745762711864407)</f>
        <v>0.04745762712</v>
      </c>
      <c r="V33" s="60">
        <f>IFERROR(__xludf.DUMMYFUNCTION("IFERROR(
  VLOOKUP(
    A33,
    IMPORTRANGE(
      ""1ZHMy3vVUd_0MrSduXTe1etBb1HNpAlGwQr006ljwMiM"",
      ""GSC最新!A:R""
    ),
    14,
    FALSE
  ),
  0
)
"),0.011976047904191617)</f>
        <v>0.0119760479</v>
      </c>
      <c r="W33" s="60">
        <f>IFERROR(__xludf.DUMMYFUNCTION("IFERROR(
  VLOOKUP(
    A33,
    IMPORTRANGE(
      ""1ZHMy3vVUd_0MrSduXTe1etBb1HNpAlGwQr006ljwMiM"",
      ""GSC最新!A:R""
    ),
    17,
    FALSE
  ),
  0
)
"),0.02146690518783542)</f>
        <v>0.02146690519</v>
      </c>
      <c r="X33" s="60">
        <f t="shared" ref="X33:Y33" si="159">IFERROR(T33-V33,"-")</f>
        <v>0.0611946838</v>
      </c>
      <c r="Y33" s="60">
        <f t="shared" si="159"/>
        <v>0.02599072193</v>
      </c>
      <c r="Z33" s="52">
        <f>IFERROR(__xludf.DUMMYFUNCTION("IFERROR(
  VLOOKUP(
    A33,
    IMPORTRANGE(
      ""1ZHMy3vVUd_0MrSduXTe1etBb1HNpAlGwQr006ljwMiM"",
      ""GSC最新!A:R""
    ),
    9,
    FALSE
  ),
  0
)
"),3.0121951219512195)</f>
        <v>3.012195122</v>
      </c>
      <c r="AA33" s="52">
        <f>IFERROR(__xludf.DUMMYFUNCTION("IFERROR(
  VLOOKUP(
    A33,
    IMPORTRANGE(
      ""1ZHMy3vVUd_0MrSduXTe1etBb1HNpAlGwQr006ljwMiM"",
      ""GSC最新!A:R""
    ),
    12,
    FALSE
  ),
  0
)
"),3.3389830508474576)</f>
        <v>3.338983051</v>
      </c>
      <c r="AB33" s="52">
        <f>IFERROR(__xludf.DUMMYFUNCTION("IFERROR(
  VLOOKUP(
    A33,
    IMPORTRANGE(
      ""1ZHMy3vVUd_0MrSduXTe1etBb1HNpAlGwQr006ljwMiM"",
      ""GSC最新!A:R""
    ),
    15,
    FALSE
  ),
  0
)
"),39.383233532934135)</f>
        <v>39.38323353</v>
      </c>
      <c r="AC33" s="52">
        <f>IFERROR(__xludf.DUMMYFUNCTION("IFERROR(
  VLOOKUP(
    A33,
    IMPORTRANGE(
      ""1ZHMy3vVUd_0MrSduXTe1etBb1HNpAlGwQr006ljwMiM"",
      ""GSC最新!A:R""
    ),
    18,
    FALSE
  ),
  0
)
"),41.07155635062612)</f>
        <v>41.07155635</v>
      </c>
      <c r="AD33" s="52">
        <f t="shared" ref="AD33:AE33" si="160">Z33-AB33</f>
        <v>-36.37103841</v>
      </c>
      <c r="AE33" s="52">
        <f t="shared" si="160"/>
        <v>-37.7325733</v>
      </c>
      <c r="AF33" s="53">
        <f>IFERROR(__xludf.DUMMYFUNCTION("IFERROR(
  VLOOKUP(
    A33,
    IMPORTRANGE(
      ""1ZHMy3vVUd_0MrSduXTe1etBb1HNpAlGwQr006ljwMiM"",
      ""GSC最新!A:F""
    ),
    6,
    FALSE
  ),
  0
)
"),46081.0)</f>
        <v>46081</v>
      </c>
      <c r="AG33" s="54">
        <f>IFERROR(__xludf.DUMMYFUNCTION("IFERROR(
  VLOOKUP(
    A33,
    IMPORTRANGE(
      ""1SCYQd7_cobOYqT0r_F0IqD4tE4rYn5y8Eup4PJTH8es"",
      ""Snapshot!A:M""
    ),
    5,
    FALSE
  ),
  ""-""
)
"),4.0)</f>
        <v>4</v>
      </c>
      <c r="AH33" s="54">
        <f>IFERROR(__xludf.DUMMYFUNCTION("IFERROR(
  VLOOKUP(
    A33,
    IMPORTRANGE(
      ""1SCYQd7_cobOYqT0r_F0IqD4tE4rYn5y8Eup4PJTH8es"",
      ""Snapshot!A:M""
    ),
    6,
    FALSE
  ),
  0
)
"),1.0)</f>
        <v>1</v>
      </c>
      <c r="AI33" s="54">
        <f>IFERROR(__xludf.DUMMYFUNCTION("IFERROR(
  VLOOKUP(
    A33,
    IMPORTRANGE(
      ""1SCYQd7_cobOYqT0r_F0IqD4tE4rYn5y8Eup4PJTH8es"",
      ""Snapshot!A:M""
    ),
    7,
    FALSE
  ),
  0
)
"),1104.0)</f>
        <v>1104</v>
      </c>
      <c r="AJ33" s="54">
        <f>IFERROR(__xludf.DUMMYFUNCTION("IFERROR(
  VLOOKUP(
    A33,
    IMPORTRANGE(
      ""1SCYQd7_cobOYqT0r_F0IqD4tE4rYn5y8Eup4PJTH8es"",
      ""Snapshot!A:M""
    ),
    8,
    FALSE
  ),
  0
)
"),4.0)</f>
        <v>4</v>
      </c>
      <c r="AK33" s="54">
        <f>IFERROR(__xludf.DUMMYFUNCTION("IFERROR(
  VLOOKUP(
    A33,
    IMPORTRANGE(
      ""1SCYQd7_cobOYqT0r_F0IqD4tE4rYn5y8Eup4PJTH8es"",
      ""Snapshot!A:M""
    ),
    9,
    FALSE
  ),
  0
)
"),2.0)</f>
        <v>2</v>
      </c>
      <c r="AL33" s="54">
        <f>IFERROR(__xludf.DUMMYFUNCTION("IFERROR(
  VLOOKUP(
    A33,
    IMPORTRANGE(
      ""1SCYQd7_cobOYqT0r_F0IqD4tE4rYn5y8Eup4PJTH8es"",
      ""Snapshot!A:M""
    ),
    13,
    FALSE
  ),
  0
)
"),1.0)</f>
        <v>1</v>
      </c>
    </row>
    <row r="34">
      <c r="A34" s="3" t="s">
        <v>377</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"),"中学受験算数 日能研 過去問傾向と得点力を上げる解法ポイント")</f>
        <v>中学受験算数 日能研 過去問傾向と得点力を上げる解法ポイント</v>
      </c>
      <c r="D34" s="1" t="str">
        <f>IFERROR(__xludf.DUMMYFUNCTION("IFERROR(
  VLOOKUP(
    A34,
    IMPORTRANGE(
      ""1ZygntHC1J6IxzKbTidmOyf5nUyW4GCLurHCjexrLm_o        "",
      ""HTMLキャッシュ!A:F""
    ),
    6,
    FALSE
  ),
  0
)
"),"日能研は、中学受験を目指すご家庭にとって、四谷大塚と並ぶ代表的な大手進学塾の一つです。長い歴史と豊富な情報量・")</f>
        <v>日能研は、中学受験を目指すご家庭にとって、四谷大塚と並ぶ代表的な大手進学塾の一つです。長い歴史と豊富な情報量・</v>
      </c>
      <c r="E34" s="49">
        <f t="shared" ref="E34:F34" si="161">LEN(C34)</f>
        <v>30</v>
      </c>
      <c r="F34" s="49">
        <f t="shared" si="161"/>
        <v>55</v>
      </c>
      <c r="G34" s="32">
        <f>IFERROR(__xludf.DUMMYFUNCTION("IFERROR(
  VLOOKUP(
    A34,
    IMPORTRANGE(
      ""1ZygntHC1J6IxzKbTidmOyf5nUyW4GCLurHCjexrLm_o        "",
      ""HTMLキャッシュ!A:F""
    ),
    3,
    FALSE
  ),
  0
)
"),46073.841319444444)</f>
        <v>46073.84132</v>
      </c>
      <c r="H34" s="54">
        <f>IFERROR(__xludf.DUMMYFUNCTION("IFERROR(
  VLOOKUP(
    A34,
    IMPORTRANGE(
      ""1ZHMy3vVUd_0MrSduXTe1etBb1HNpAlGwQr006ljwMiM"",
      ""GSC最新!A:F""
    ),
    2,
    FALSE
  ),
  0
)
"),8.0)</f>
        <v>8</v>
      </c>
      <c r="I34" s="54">
        <f>IFERROR(__xludf.DUMMYFUNCTION("IFERROR(
  VLOOKUP(
    A34,
    IMPORTRANGE(
      ""1ZHMy3vVUd_0MrSduXTe1etBb1HNpAlGwQr006ljwMiM"",
      ""GSC最新!A:F""
    ),
    3,
    FALSE
  ),
  0
)
"),15.0)</f>
        <v>15</v>
      </c>
      <c r="J34" s="54">
        <f>IFERROR(__xludf.DUMMYFUNCTION("IFERROR(
  VLOOKUP(
    A34,
    IMPORTRANGE(
      ""1ZHMy3vVUd_0MrSduXTe1etBb1HNpAlGwQr006ljwMiM"",
      ""GSC最新!A:F""
    ),
    4,
    FALSE
  ),
  0
)
"),0.0)</f>
        <v>0</v>
      </c>
      <c r="K34" s="54">
        <f>IFERROR(__xludf.DUMMYFUNCTION("IFERROR(
  VLOOKUP(
    A34,
    IMPORTRANGE(
      ""1ZHMy3vVUd_0MrSduXTe1etBb1HNpAlGwQr006ljwMiM"",
      ""GSC最新!A:F""
    ),
    5,
    FALSE
  ),
  0
)
"),0.0)</f>
        <v>0</v>
      </c>
      <c r="L34" s="50" t="str">
        <f t="shared" ref="L34:M34" si="162">IFERROR(H34/J34,"-")</f>
        <v>-</v>
      </c>
      <c r="M34" s="50" t="str">
        <f t="shared" si="162"/>
        <v>-</v>
      </c>
      <c r="N34" s="59">
        <f>IFERROR(__xludf.DUMMYFUNCTION("IFERROR(
  VLOOKUP(
    A34,
    IMPORTRANGE(
      ""1ZHMy3vVUd_0MrSduXTe1etBb1HNpAlGwQr006ljwMiM"",
      ""GSC最新!A:R""
    ),
    7,
    FALSE
  ),
  0
)
"),503.0)</f>
        <v>503</v>
      </c>
      <c r="O34" s="59">
        <f>IFERROR(__xludf.DUMMYFUNCTION("IFERROR(
  VLOOKUP(
    A34,
    IMPORTRANGE(
      ""1ZHMy3vVUd_0MrSduXTe1etBb1HNpAlGwQr006ljwMiM"",
      ""GSC最新!A:R""
    ),
    10,
    FALSE
  ),
  0
)
"),1280.0)</f>
        <v>1280</v>
      </c>
      <c r="P34" s="59">
        <f>IFERROR(__xludf.DUMMYFUNCTION("IFERROR(
  VLOOKUP(
    A34,
    IMPORTRANGE(
      ""1ZHMy3vVUd_0MrSduXTe1etBb1HNpAlGwQr006ljwMiM"",
      ""GSC最新!A:R""
    ),
    13,
    FALSE
  ),
  0
)
"),146.0)</f>
        <v>146</v>
      </c>
      <c r="Q34" s="59">
        <f>IFERROR(__xludf.DUMMYFUNCTION("IFERROR(
  VLOOKUP(
    A34,
    IMPORTRANGE(
      ""1ZHMy3vVUd_0MrSduXTe1etBb1HNpAlGwQr006ljwMiM"",
      ""GSC最新!A:R""
    ),
    16,
    FALSE
  ),
  0
)
"),417.0)</f>
        <v>417</v>
      </c>
      <c r="R34" s="50">
        <f t="shared" ref="R34:S34" si="163">IFERROR(N34/P34,"-")</f>
        <v>3.445205479</v>
      </c>
      <c r="S34" s="50">
        <f t="shared" si="163"/>
        <v>3.069544365</v>
      </c>
      <c r="T34" s="60">
        <f>IFERROR(__xludf.DUMMYFUNCTION("IFERROR(
  VLOOKUP(
    A34,
    IMPORTRANGE(
      ""1ZHMy3vVUd_0MrSduXTe1etBb1HNpAlGwQr006ljwMiM"",
      ""GSC最新!A:R""
    ),
    8,
    FALSE
  ),
  0
)
"),0.015904572564612324)</f>
        <v>0.01590457256</v>
      </c>
      <c r="U34" s="60">
        <f>IFERROR(__xludf.DUMMYFUNCTION("IFERROR(
  VLOOKUP(
    A34,
    IMPORTRANGE(
      ""1ZHMy3vVUd_0MrSduXTe1etBb1HNpAlGwQr006ljwMiM"",
      ""GSC最新!A:R""
    ),
    11,
    FALSE
  ),
  0
)
"),0.01171875)</f>
        <v>0.01171875</v>
      </c>
      <c r="V34" s="60">
        <f>IFERROR(__xludf.DUMMYFUNCTION("IFERROR(
  VLOOKUP(
    A34,
    IMPORTRANGE(
      ""1ZHMy3vVUd_0MrSduXTe1etBb1HNpAlGwQr006ljwMiM"",
      ""GSC最新!A:R""
    ),
    14,
    FALSE
  ),
  0
)
"),0.0)</f>
        <v>0</v>
      </c>
      <c r="W34" s="60">
        <f>IFERROR(__xludf.DUMMYFUNCTION("IFERROR(
  VLOOKUP(
    A34,
    IMPORTRANGE(
      ""1ZHMy3vVUd_0MrSduXTe1etBb1HNpAlGwQr006ljwMiM"",
      ""GSC最新!A:R""
    ),
    17,
    FALSE
  ),
  0
)
"),0.0)</f>
        <v>0</v>
      </c>
      <c r="X34" s="60">
        <f t="shared" ref="X34:Y34" si="164">IFERROR(T34-V34,"-")</f>
        <v>0.01590457256</v>
      </c>
      <c r="Y34" s="60">
        <f t="shared" si="164"/>
        <v>0.01171875</v>
      </c>
      <c r="Z34" s="52">
        <f>IFERROR(__xludf.DUMMYFUNCTION("IFERROR(
  VLOOKUP(
    A34,
    IMPORTRANGE(
      ""1ZHMy3vVUd_0MrSduXTe1etBb1HNpAlGwQr006ljwMiM"",
      ""GSC最新!A:R""
    ),
    9,
    FALSE
  ),
  0
)
"),9.252485089463221)</f>
        <v>9.252485089</v>
      </c>
      <c r="AA34" s="52">
        <f>IFERROR(__xludf.DUMMYFUNCTION("IFERROR(
  VLOOKUP(
    A34,
    IMPORTRANGE(
      ""1ZHMy3vVUd_0MrSduXTe1etBb1HNpAlGwQr006ljwMiM"",
      ""GSC最新!A:R""
    ),
    12,
    FALSE
  ),
  0
)
"),8.9140625)</f>
        <v>8.9140625</v>
      </c>
      <c r="AB34" s="52">
        <f>IFERROR(__xludf.DUMMYFUNCTION("IFERROR(
  VLOOKUP(
    A34,
    IMPORTRANGE(
      ""1ZHMy3vVUd_0MrSduXTe1etBb1HNpAlGwQr006ljwMiM"",
      ""GSC最新!A:R""
    ),
    15,
    FALSE
  ),
  0
)
"),36.07534246575342)</f>
        <v>36.07534247</v>
      </c>
      <c r="AC34" s="52">
        <f>IFERROR(__xludf.DUMMYFUNCTION("IFERROR(
  VLOOKUP(
    A34,
    IMPORTRANGE(
      ""1ZHMy3vVUd_0MrSduXTe1etBb1HNpAlGwQr006ljwMiM"",
      ""GSC最新!A:R""
    ),
    18,
    FALSE
  ),
  0
)
"),35.016786570743406)</f>
        <v>35.01678657</v>
      </c>
      <c r="AD34" s="52">
        <f t="shared" ref="AD34:AE34" si="165">Z34-AB34</f>
        <v>-26.82285738</v>
      </c>
      <c r="AE34" s="52">
        <f t="shared" si="165"/>
        <v>-26.10272407</v>
      </c>
      <c r="AF34" s="53">
        <f>IFERROR(__xludf.DUMMYFUNCTION("IFERROR(
  VLOOKUP(
    A34,
    IMPORTRANGE(
      ""1ZHMy3vVUd_0MrSduXTe1etBb1HNpAlGwQr006ljwMiM"",
      ""GSC最新!A:F""
    ),
    6,
    FALSE
  ),
  0
)
"),46081.0)</f>
        <v>46081</v>
      </c>
      <c r="AG34" s="54">
        <f>IFERROR(__xludf.DUMMYFUNCTION("IFERROR(
  VLOOKUP(
    A34,
    IMPORTRANGE(
      ""1SCYQd7_cobOYqT0r_F0IqD4tE4rYn5y8Eup4PJTH8es"",
      ""Snapshot!A:M""
    ),
    5,
    FALSE
  ),
  ""-""
)
"),3.0)</f>
        <v>3</v>
      </c>
      <c r="AH34" s="54">
        <f>IFERROR(__xludf.DUMMYFUNCTION("IFERROR(
  VLOOKUP(
    A34,
    IMPORTRANGE(
      ""1SCYQd7_cobOYqT0r_F0IqD4tE4rYn5y8Eup4PJTH8es"",
      ""Snapshot!A:M""
    ),
    6,
    FALSE
  ),
  0
)
"),4.0)</f>
        <v>4</v>
      </c>
      <c r="AI34" s="54">
        <f>IFERROR(__xludf.DUMMYFUNCTION("IFERROR(
  VLOOKUP(
    A34,
    IMPORTRANGE(
      ""1SCYQd7_cobOYqT0r_F0IqD4tE4rYn5y8Eup4PJTH8es"",
      ""Snapshot!A:M""
    ),
    7,
    FALSE
  ),
  0
)
"),3121.0)</f>
        <v>3121</v>
      </c>
      <c r="AJ34" s="54">
        <f>IFERROR(__xludf.DUMMYFUNCTION("IFERROR(
  VLOOKUP(
    A34,
    IMPORTRANGE(
      ""1SCYQd7_cobOYqT0r_F0IqD4tE4rYn5y8Eup4PJTH8es"",
      ""Snapshot!A:M""
    ),
    8,
    FALSE
  ),
  0
)
"),5.0)</f>
        <v>5</v>
      </c>
      <c r="AK34" s="54">
        <f>IFERROR(__xludf.DUMMYFUNCTION("IFERROR(
  VLOOKUP(
    A34,
    IMPORTRANGE(
      ""1SCYQd7_cobOYqT0r_F0IqD4tE4rYn5y8Eup4PJTH8es"",
      ""Snapshot!A:M""
    ),
    9,
    FALSE
  ),
  0
)
"),1.0)</f>
        <v>1</v>
      </c>
      <c r="AL34" s="54">
        <f>IFERROR(__xludf.DUMMYFUNCTION("IFERROR(
  VLOOKUP(
    A34,
    IMPORTRANGE(
      ""1SCYQd7_cobOYqT0r_F0IqD4tE4rYn5y8Eup4PJTH8es"",
      ""Snapshot!A:M""
    ),
    13,
    FALSE
  ),
  0
)
"),2.0)</f>
        <v>2</v>
      </c>
    </row>
    <row r="35">
      <c r="A35" s="3" t="s">
        <v>291</v>
      </c>
      <c r="B35" s="1" t="str">
        <f>IFERROR(__xludf.DUMMYFUNCTION("IFERROR(
  VLOOKUP(
    A35,
    IMPORTRANGE(
      ""1ZygntHC1J6IxzKbTidmOyf5nUyW4GCLurHCjexrLm_o"",
      ""HTMLキャッシュ!A:F""
    ),
    2,
    FALSE
  ),
  0
)
"),"SP")</f>
        <v>SP</v>
      </c>
      <c r="C35" s="1" t="str">
        <f>IFERROR(__xludf.DUMMYFUNCTION("IFERROR(
  VLOOKUP(
    A35,
    IMPORTRANGE(
      ""1ZygntHC1J6IxzKbTidmOyf5nUyW4GCLurHCjexrLm_o"",
      ""HTMLキャッシュ!A:F""
    ),
    5,
    FALSE
  ),
  0
)
"),"中学受験算数WEB授業｜SAPIX小5対応｜夏井算数塾")</f>
        <v>中学受験算数WEB授業｜SAPIX小5対応｜夏井算数塾</v>
      </c>
      <c r="D35" s="1" t="str">
        <f>IFERROR(__xludf.DUMMYFUNCTION("IFERROR(
  VLOOKUP(
    A35,
    IMPORTRANGE(
      ""1ZygntHC1J6IxzKbTidmOyf5nUyW4GCLurHCjexrLm_o        "",
      ""HTMLキャッシュ!A:F""
    ),
    6,
    FALSE
  ),
  0
)
"),"夏井算数塾の中学受験向けWEB算数講座一覧。SAPIX小5の日々・マンスリー対策を動画で補強し、自宅学習を支援。")</f>
        <v>夏井算数塾の中学受験向けWEB算数講座一覧。SAPIX小5の日々・マンスリー対策を動画で補強し、自宅学習を支援。</v>
      </c>
      <c r="E35" s="49">
        <f t="shared" ref="E35:F35" si="166">LEN(C35)</f>
        <v>27</v>
      </c>
      <c r="F35" s="49">
        <f t="shared" si="166"/>
        <v>56</v>
      </c>
      <c r="G35" s="32">
        <f>IFERROR(__xludf.DUMMYFUNCTION("IFERROR(
  VLOOKUP(
    A35,
    IMPORTRANGE(
      ""1ZygntHC1J6IxzKbTidmOyf5nUyW4GCLurHCjexrLm_o        "",
      ""HTMLキャッシュ!A:F""
    ),
    3,
    FALSE
  ),
  0
)
"),46084.65114583333)</f>
        <v>46084.65115</v>
      </c>
      <c r="H35" s="54">
        <f>IFERROR(__xludf.DUMMYFUNCTION("IFERROR(
  VLOOKUP(
    A35,
    IMPORTRANGE(
      ""1ZHMy3vVUd_0MrSduXTe1etBb1HNpAlGwQr006ljwMiM"",
      ""GSC最新!A:F""
    ),
    2,
    FALSE
  ),
  0
)
"),7.0)</f>
        <v>7</v>
      </c>
      <c r="I35" s="54">
        <f>IFERROR(__xludf.DUMMYFUNCTION("IFERROR(
  VLOOKUP(
    A35,
    IMPORTRANGE(
      ""1ZHMy3vVUd_0MrSduXTe1etBb1HNpAlGwQr006ljwMiM"",
      ""GSC最新!A:F""
    ),
    3,
    FALSE
  ),
  0
)
"),13.0)</f>
        <v>13</v>
      </c>
      <c r="J35" s="54">
        <f>IFERROR(__xludf.DUMMYFUNCTION("IFERROR(
  VLOOKUP(
    A35,
    IMPORTRANGE(
      ""1ZHMy3vVUd_0MrSduXTe1etBb1HNpAlGwQr006ljwMiM"",
      ""GSC最新!A:F""
    ),
    4,
    FALSE
  ),
  0
)
"),0.0)</f>
        <v>0</v>
      </c>
      <c r="K35" s="54">
        <f>IFERROR(__xludf.DUMMYFUNCTION("IFERROR(
  VLOOKUP(
    A35,
    IMPORTRANGE(
      ""1ZHMy3vVUd_0MrSduXTe1etBb1HNpAlGwQr006ljwMiM"",
      ""GSC最新!A:F""
    ),
    5,
    FALSE
  ),
  0
)
"),4.0)</f>
        <v>4</v>
      </c>
      <c r="L35" s="50" t="str">
        <f t="shared" ref="L35:M35" si="167">IFERROR(H35/J35,"-")</f>
        <v>-</v>
      </c>
      <c r="M35" s="50">
        <f t="shared" si="167"/>
        <v>3.25</v>
      </c>
      <c r="N35" s="59">
        <f>IFERROR(__xludf.DUMMYFUNCTION("IFERROR(
  VLOOKUP(
    A35,
    IMPORTRANGE(
      ""1ZHMy3vVUd_0MrSduXTe1etBb1HNpAlGwQr006ljwMiM"",
      ""GSC最新!A:R""
    ),
    7,
    FALSE
  ),
  0
)
"),223.0)</f>
        <v>223</v>
      </c>
      <c r="O35" s="59">
        <f>IFERROR(__xludf.DUMMYFUNCTION("IFERROR(
  VLOOKUP(
    A35,
    IMPORTRANGE(
      ""1ZHMy3vVUd_0MrSduXTe1etBb1HNpAlGwQr006ljwMiM"",
      ""GSC最新!A:R""
    ),
    10,
    FALSE
  ),
  0
)
"),508.0)</f>
        <v>508</v>
      </c>
      <c r="P35" s="59">
        <f>IFERROR(__xludf.DUMMYFUNCTION("IFERROR(
  VLOOKUP(
    A35,
    IMPORTRANGE(
      ""1ZHMy3vVUd_0MrSduXTe1etBb1HNpAlGwQr006ljwMiM"",
      ""GSC最新!A:R""
    ),
    13,
    FALSE
  ),
  0
)
"),141.0)</f>
        <v>141</v>
      </c>
      <c r="Q35" s="59">
        <f>IFERROR(__xludf.DUMMYFUNCTION("IFERROR(
  VLOOKUP(
    A35,
    IMPORTRANGE(
      ""1ZHMy3vVUd_0MrSduXTe1etBb1HNpAlGwQr006ljwMiM"",
      ""GSC最新!A:R""
    ),
    16,
    FALSE
  ),
  0
)
"),334.0)</f>
        <v>334</v>
      </c>
      <c r="R35" s="50">
        <f t="shared" ref="R35:S35" si="168">IFERROR(N35/P35,"-")</f>
        <v>1.581560284</v>
      </c>
      <c r="S35" s="50">
        <f t="shared" si="168"/>
        <v>1.520958084</v>
      </c>
      <c r="T35" s="60">
        <f>IFERROR(__xludf.DUMMYFUNCTION("IFERROR(
  VLOOKUP(
    A35,
    IMPORTRANGE(
      ""1ZHMy3vVUd_0MrSduXTe1etBb1HNpAlGwQr006ljwMiM"",
      ""GSC最新!A:R""
    ),
    8,
    FALSE
  ),
  0
)
"),0.03139013452914798)</f>
        <v>0.03139013453</v>
      </c>
      <c r="U35" s="60">
        <f>IFERROR(__xludf.DUMMYFUNCTION("IFERROR(
  VLOOKUP(
    A35,
    IMPORTRANGE(
      ""1ZHMy3vVUd_0MrSduXTe1etBb1HNpAlGwQr006ljwMiM"",
      ""GSC最新!A:R""
    ),
    11,
    FALSE
  ),
  0
)
"),0.025590551181102362)</f>
        <v>0.02559055118</v>
      </c>
      <c r="V35" s="60">
        <f>IFERROR(__xludf.DUMMYFUNCTION("IFERROR(
  VLOOKUP(
    A35,
    IMPORTRANGE(
      ""1ZHMy3vVUd_0MrSduXTe1etBb1HNpAlGwQr006ljwMiM"",
      ""GSC最新!A:R""
    ),
    14,
    FALSE
  ),
  0
)
"),0.0)</f>
        <v>0</v>
      </c>
      <c r="W35" s="60">
        <f>IFERROR(__xludf.DUMMYFUNCTION("IFERROR(
  VLOOKUP(
    A35,
    IMPORTRANGE(
      ""1ZHMy3vVUd_0MrSduXTe1etBb1HNpAlGwQr006ljwMiM"",
      ""GSC最新!A:R""
    ),
    17,
    FALSE
  ),
  0
)
"),0.011976047904191617)</f>
        <v>0.0119760479</v>
      </c>
      <c r="X35" s="60">
        <f t="shared" ref="X35:Y35" si="169">IFERROR(T35-V35,"-")</f>
        <v>0.03139013453</v>
      </c>
      <c r="Y35" s="60">
        <f t="shared" si="169"/>
        <v>0.01361450328</v>
      </c>
      <c r="Z35" s="52">
        <f>IFERROR(__xludf.DUMMYFUNCTION("IFERROR(
  VLOOKUP(
    A35,
    IMPORTRANGE(
      ""1ZHMy3vVUd_0MrSduXTe1etBb1HNpAlGwQr006ljwMiM"",
      ""GSC最新!A:R""
    ),
    9,
    FALSE
  ),
  0
)
"),8.547085201793722)</f>
        <v>8.547085202</v>
      </c>
      <c r="AA35" s="52">
        <f>IFERROR(__xludf.DUMMYFUNCTION("IFERROR(
  VLOOKUP(
    A35,
    IMPORTRANGE(
      ""1ZHMy3vVUd_0MrSduXTe1etBb1HNpAlGwQr006ljwMiM"",
      ""GSC最新!A:R""
    ),
    12,
    FALSE
  ),
  0
)
"),6.755905511811024)</f>
        <v>6.755905512</v>
      </c>
      <c r="AB35" s="52">
        <f>IFERROR(__xludf.DUMMYFUNCTION("IFERROR(
  VLOOKUP(
    A35,
    IMPORTRANGE(
      ""1ZHMy3vVUd_0MrSduXTe1etBb1HNpAlGwQr006ljwMiM"",
      ""GSC最新!A:R""
    ),
    15,
    FALSE
  ),
  0
)
"),9.205673758865249)</f>
        <v>9.205673759</v>
      </c>
      <c r="AC35" s="52">
        <f>IFERROR(__xludf.DUMMYFUNCTION("IFERROR(
  VLOOKUP(
    A35,
    IMPORTRANGE(
      ""1ZHMy3vVUd_0MrSduXTe1etBb1HNpAlGwQr006ljwMiM"",
      ""GSC最新!A:R""
    ),
    18,
    FALSE
  ),
  0
)
"),16.146706586826348)</f>
        <v>16.14670659</v>
      </c>
      <c r="AD35" s="52">
        <f t="shared" ref="AD35:AE35" si="170">Z35-AB35</f>
        <v>-0.6585885571</v>
      </c>
      <c r="AE35" s="52">
        <f t="shared" si="170"/>
        <v>-9.390801075</v>
      </c>
      <c r="AF35" s="53">
        <f>IFERROR(__xludf.DUMMYFUNCTION("IFERROR(
  VLOOKUP(
    A35,
    IMPORTRANGE(
      ""1ZHMy3vVUd_0MrSduXTe1etBb1HNpAlGwQr006ljwMiM"",
      ""GSC最新!A:F""
    ),
    6,
    FALSE
  ),
  0
)
"),46081.0)</f>
        <v>46081</v>
      </c>
      <c r="AG35" s="54">
        <f>IFERROR(__xludf.DUMMYFUNCTION("IFERROR(
  VLOOKUP(
    A35,
    IMPORTRANGE(
      ""1SCYQd7_cobOYqT0r_F0IqD4tE4rYn5y8Eup4PJTH8es"",
      ""Snapshot!A:M""
    ),
    5,
    FALSE
  ),
  ""-""
)
"),3.0)</f>
        <v>3</v>
      </c>
      <c r="AH35" s="54">
        <f>IFERROR(__xludf.DUMMYFUNCTION("IFERROR(
  VLOOKUP(
    A35,
    IMPORTRANGE(
      ""1SCYQd7_cobOYqT0r_F0IqD4tE4rYn5y8Eup4PJTH8es"",
      ""Snapshot!A:M""
    ),
    6,
    FALSE
  ),
  0
)
"),1.0)</f>
        <v>1</v>
      </c>
      <c r="AI35" s="54">
        <f>IFERROR(__xludf.DUMMYFUNCTION("IFERROR(
  VLOOKUP(
    A35,
    IMPORTRANGE(
      ""1SCYQd7_cobOYqT0r_F0IqD4tE4rYn5y8Eup4PJTH8es"",
      ""Snapshot!A:M""
    ),
    7,
    FALSE
  ),
  0
)
"),1141.0)</f>
        <v>1141</v>
      </c>
      <c r="AJ35" s="54">
        <f>IFERROR(__xludf.DUMMYFUNCTION("IFERROR(
  VLOOKUP(
    A35,
    IMPORTRANGE(
      ""1SCYQd7_cobOYqT0r_F0IqD4tE4rYn5y8Eup4PJTH8es"",
      ""Snapshot!A:M""
    ),
    8,
    FALSE
  ),
  0
)
"),3.0)</f>
        <v>3</v>
      </c>
      <c r="AK35" s="54">
        <f>IFERROR(__xludf.DUMMYFUNCTION("IFERROR(
  VLOOKUP(
    A35,
    IMPORTRANGE(
      ""1SCYQd7_cobOYqT0r_F0IqD4tE4rYn5y8Eup4PJTH8es"",
      ""Snapshot!A:M""
    ),
    9,
    FALSE
  ),
  0
)
"),1.0)</f>
        <v>1</v>
      </c>
      <c r="AL35" s="54">
        <f>IFERROR(__xludf.DUMMYFUNCTION("IFERROR(
  VLOOKUP(
    A35,
    IMPORTRANGE(
      ""1SCYQd7_cobOYqT0r_F0IqD4tE4rYn5y8Eup4PJTH8es"",
      ""Snapshot!A:M""
    ),
    13,
    FALSE
  ),
  0
)
"),1.0)</f>
        <v>1</v>
      </c>
    </row>
    <row r="36">
      <c r="A36" s="3" t="s">
        <v>378</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"),"ワセアカ｜特徴と算数宿題が回る｜小4〜小6（予習シリーズ）")</f>
        <v>ワセアカ｜特徴と算数宿題が回る｜小4〜小6（予習シリーズ）</v>
      </c>
      <c r="D36" s="1" t="str">
        <f>IFERROR(__xludf.DUMMYFUNCTION("IFERROR(
  VLOOKUP(
    A36,
    IMPORTRANGE(
      ""1ZygntHC1J6IxzKbTidmOyf5nUyW4GCLurHCjexrLm_o        "",
      ""HTMLキャッシュ!A:F""
    ),
    6,
    FALSE
  ),
  0
)
"),"ワセアカ算数は講師ごとの差で理解が抜け、宿題と直しが自力になりがち。動画予習で穴を補い、組分けテストに合わせて復習を回す考え方をまとめました。")</f>
        <v>ワセアカ算数は講師ごとの差で理解が抜け、宿題と直しが自力になりがち。動画予習で穴を補い、組分けテストに合わせて復習を回す考え方をまとめました。</v>
      </c>
      <c r="E36" s="49">
        <f t="shared" ref="E36:F36" si="171">LEN(C36)</f>
        <v>29</v>
      </c>
      <c r="F36" s="49">
        <f t="shared" si="171"/>
        <v>71</v>
      </c>
      <c r="G36" s="32">
        <f>IFERROR(__xludf.DUMMYFUNCTION("IFERROR(
  VLOOKUP(
    A36,
    IMPORTRANGE(
      ""1ZygntHC1J6IxzKbTidmOyf5nUyW4GCLurHCjexrLm_o        "",
      ""HTMLキャッシュ!A:F""
    ),
    3,
    FALSE
  ),
  0
)
"),46071.81537037037)</f>
        <v>46071.81537</v>
      </c>
      <c r="H36" s="54">
        <f>IFERROR(__xludf.DUMMYFUNCTION("IFERROR(
  VLOOKUP(
    A36,
    IMPORTRANGE(
      ""1ZHMy3vVUd_0MrSduXTe1etBb1HNpAlGwQr006ljwMiM"",
      ""GSC最新!A:F""
    ),
    2,
    FALSE
  ),
  0
)
"),5.0)</f>
        <v>5</v>
      </c>
      <c r="I36" s="54">
        <f>IFERROR(__xludf.DUMMYFUNCTION("IFERROR(
  VLOOKUP(
    A36,
    IMPORTRANGE(
      ""1ZHMy3vVUd_0MrSduXTe1etBb1HNpAlGwQr006ljwMiM"",
      ""GSC最新!A:F""
    ),
    3,
    FALSE
  ),
  0
)
"),10.0)</f>
        <v>10</v>
      </c>
      <c r="J36" s="54">
        <f>IFERROR(__xludf.DUMMYFUNCTION("IFERROR(
  VLOOKUP(
    A36,
    IMPORTRANGE(
      ""1ZHMy3vVUd_0MrSduXTe1etBb1HNpAlGwQr006ljwMiM"",
      ""GSC最新!A:F""
    ),
    4,
    FALSE
  ),
  0
)
"),0.0)</f>
        <v>0</v>
      </c>
      <c r="K36" s="54">
        <f>IFERROR(__xludf.DUMMYFUNCTION("IFERROR(
  VLOOKUP(
    A36,
    IMPORTRANGE(
      ""1ZHMy3vVUd_0MrSduXTe1etBb1HNpAlGwQr006ljwMiM"",
      ""GSC最新!A:F""
    ),
    5,
    FALSE
  ),
  0
)
"),0.0)</f>
        <v>0</v>
      </c>
      <c r="L36" s="50" t="str">
        <f t="shared" ref="L36:M36" si="172">IFERROR(H36/J36,"-")</f>
        <v>-</v>
      </c>
      <c r="M36" s="50" t="str">
        <f t="shared" si="172"/>
        <v>-</v>
      </c>
      <c r="N36" s="59">
        <f>IFERROR(__xludf.DUMMYFUNCTION("IFERROR(
  VLOOKUP(
    A36,
    IMPORTRANGE(
      ""1ZHMy3vVUd_0MrSduXTe1etBb1HNpAlGwQr006ljwMiM"",
      ""GSC最新!A:R""
    ),
    7,
    FALSE
  ),
  0
)
"),150.0)</f>
        <v>150</v>
      </c>
      <c r="O36" s="59">
        <f>IFERROR(__xludf.DUMMYFUNCTION("IFERROR(
  VLOOKUP(
    A36,
    IMPORTRANGE(
      ""1ZHMy3vVUd_0MrSduXTe1etBb1HNpAlGwQr006ljwMiM"",
      ""GSC最新!A:R""
    ),
    10,
    FALSE
  ),
  0
)
"),287.0)</f>
        <v>287</v>
      </c>
      <c r="P36" s="59">
        <f>IFERROR(__xludf.DUMMYFUNCTION("IFERROR(
  VLOOKUP(
    A36,
    IMPORTRANGE(
      ""1ZHMy3vVUd_0MrSduXTe1etBb1HNpAlGwQr006ljwMiM"",
      ""GSC最新!A:R""
    ),
    13,
    FALSE
  ),
  0
)
"),42.0)</f>
        <v>42</v>
      </c>
      <c r="Q36" s="59">
        <f>IFERROR(__xludf.DUMMYFUNCTION("IFERROR(
  VLOOKUP(
    A36,
    IMPORTRANGE(
      ""1ZHMy3vVUd_0MrSduXTe1etBb1HNpAlGwQr006ljwMiM"",
      ""GSC最新!A:R""
    ),
    16,
    FALSE
  ),
  0
)
"),195.0)</f>
        <v>195</v>
      </c>
      <c r="R36" s="50">
        <f t="shared" ref="R36:S36" si="173">IFERROR(N36/P36,"-")</f>
        <v>3.571428571</v>
      </c>
      <c r="S36" s="50">
        <f t="shared" si="173"/>
        <v>1.471794872</v>
      </c>
      <c r="T36" s="60">
        <f>IFERROR(__xludf.DUMMYFUNCTION("IFERROR(
  VLOOKUP(
    A36,
    IMPORTRANGE(
      ""1ZHMy3vVUd_0MrSduXTe1etBb1HNpAlGwQr006ljwMiM"",
      ""GSC最新!A:R""
    ),
    8,
    FALSE
  ),
  0
)
"),0.03333333333333333)</f>
        <v>0.03333333333</v>
      </c>
      <c r="U36" s="60">
        <f>IFERROR(__xludf.DUMMYFUNCTION("IFERROR(
  VLOOKUP(
    A36,
    IMPORTRANGE(
      ""1ZHMy3vVUd_0MrSduXTe1etBb1HNpAlGwQr006ljwMiM"",
      ""GSC最新!A:R""
    ),
    11,
    FALSE
  ),
  0
)
"),0.03484320557491289)</f>
        <v>0.03484320557</v>
      </c>
      <c r="V36" s="60">
        <f>IFERROR(__xludf.DUMMYFUNCTION("IFERROR(
  VLOOKUP(
    A36,
    IMPORTRANGE(
      ""1ZHMy3vVUd_0MrSduXTe1etBb1HNpAlGwQr006ljwMiM"",
      ""GSC最新!A:R""
    ),
    14,
    FALSE
  ),
  0
)
"),0.0)</f>
        <v>0</v>
      </c>
      <c r="W36" s="60">
        <f>IFERROR(__xludf.DUMMYFUNCTION("IFERROR(
  VLOOKUP(
    A36,
    IMPORTRANGE(
      ""1ZHMy3vVUd_0MrSduXTe1etBb1HNpAlGwQr006ljwMiM"",
      ""GSC最新!A:R""
    ),
    17,
    FALSE
  ),
  0
)
"),0.0)</f>
        <v>0</v>
      </c>
      <c r="X36" s="60">
        <f t="shared" ref="X36:Y36" si="174">IFERROR(T36-V36,"-")</f>
        <v>0.03333333333</v>
      </c>
      <c r="Y36" s="60">
        <f t="shared" si="174"/>
        <v>0.03484320557</v>
      </c>
      <c r="Z36" s="52">
        <f>IFERROR(__xludf.DUMMYFUNCTION("IFERROR(
  VLOOKUP(
    A36,
    IMPORTRANGE(
      ""1ZHMy3vVUd_0MrSduXTe1etBb1HNpAlGwQr006ljwMiM"",
      ""GSC最新!A:R""
    ),
    9,
    FALSE
  ),
  0
)
"),13.36)</f>
        <v>13.36</v>
      </c>
      <c r="AA36" s="52">
        <f>IFERROR(__xludf.DUMMYFUNCTION("IFERROR(
  VLOOKUP(
    A36,
    IMPORTRANGE(
      ""1ZHMy3vVUd_0MrSduXTe1etBb1HNpAlGwQr006ljwMiM"",
      ""GSC最新!A:R""
    ),
    12,
    FALSE
  ),
  0
)
"),14.177700348432056)</f>
        <v>14.17770035</v>
      </c>
      <c r="AB36" s="52">
        <f>IFERROR(__xludf.DUMMYFUNCTION("IFERROR(
  VLOOKUP(
    A36,
    IMPORTRANGE(
      ""1ZHMy3vVUd_0MrSduXTe1etBb1HNpAlGwQr006ljwMiM"",
      ""GSC最新!A:R""
    ),
    15,
    FALSE
  ),
  0
)
"),39.30952380952381)</f>
        <v>39.30952381</v>
      </c>
      <c r="AC36" s="52">
        <f>IFERROR(__xludf.DUMMYFUNCTION("IFERROR(
  VLOOKUP(
    A36,
    IMPORTRANGE(
      ""1ZHMy3vVUd_0MrSduXTe1etBb1HNpAlGwQr006ljwMiM"",
      ""GSC最新!A:R""
    ),
    18,
    FALSE
  ),
  0
)
"),38.85641025641026)</f>
        <v>38.85641026</v>
      </c>
      <c r="AD36" s="52">
        <f t="shared" ref="AD36:AE36" si="175">Z36-AB36</f>
        <v>-25.94952381</v>
      </c>
      <c r="AE36" s="52">
        <f t="shared" si="175"/>
        <v>-24.67870991</v>
      </c>
      <c r="AF36" s="53">
        <f>IFERROR(__xludf.DUMMYFUNCTION("IFERROR(
  VLOOKUP(
    A36,
    IMPORTRANGE(
      ""1ZHMy3vVUd_0MrSduXTe1etBb1HNpAlGwQr006ljwMiM"",
      ""GSC最新!A:F""
    ),
    6,
    FALSE
  ),
  0
)
"),46081.0)</f>
        <v>46081</v>
      </c>
      <c r="AG36" s="54">
        <f>IFERROR(__xludf.DUMMYFUNCTION("IFERROR(
  VLOOKUP(
    A36,
    IMPORTRANGE(
      ""1SCYQd7_cobOYqT0r_F0IqD4tE4rYn5y8Eup4PJTH8es"",
      ""Snapshot!A:M""
    ),
    5,
    FALSE
  ),
  ""-""
)
"),2.0)</f>
        <v>2</v>
      </c>
      <c r="AH36" s="54">
        <f>IFERROR(__xludf.DUMMYFUNCTION("IFERROR(
  VLOOKUP(
    A36,
    IMPORTRANGE(
      ""1SCYQd7_cobOYqT0r_F0IqD4tE4rYn5y8Eup4PJTH8es"",
      ""Snapshot!A:M""
    ),
    6,
    FALSE
  ),
  0
)
"),0.0)</f>
        <v>0</v>
      </c>
      <c r="AI36" s="54">
        <f>IFERROR(__xludf.DUMMYFUNCTION("IFERROR(
  VLOOKUP(
    A36,
    IMPORTRANGE(
      ""1SCYQd7_cobOYqT0r_F0IqD4tE4rYn5y8Eup4PJTH8es"",
      ""Snapshot!A:M""
    ),
    7,
    FALSE
  ),
  0
)
"),1409.0)</f>
        <v>1409</v>
      </c>
      <c r="AJ36" s="54">
        <f>IFERROR(__xludf.DUMMYFUNCTION("IFERROR(
  VLOOKUP(
    A36,
    IMPORTRANGE(
      ""1SCYQd7_cobOYqT0r_F0IqD4tE4rYn5y8Eup4PJTH8es"",
      ""Snapshot!A:M""
    ),
    8,
    FALSE
  ),
  0
)
"),4.0)</f>
        <v>4</v>
      </c>
      <c r="AK36" s="54">
        <f>IFERROR(__xludf.DUMMYFUNCTION("IFERROR(
  VLOOKUP(
    A36,
    IMPORTRANGE(
      ""1SCYQd7_cobOYqT0r_F0IqD4tE4rYn5y8Eup4PJTH8es"",
      ""Snapshot!A:M""
    ),
    9,
    FALSE
  ),
  0
)
"),1.0)</f>
        <v>1</v>
      </c>
      <c r="AL36" s="54">
        <f>IFERROR(__xludf.DUMMYFUNCTION("IFERROR(
  VLOOKUP(
    A36,
    IMPORTRANGE(
      ""1SCYQd7_cobOYqT0r_F0IqD4tE4rYn5y8Eup4PJTH8es"",
      ""Snapshot!A:M""
    ),
    13,
    FALSE
  ),
  0
)
"),1.0)</f>
        <v>1</v>
      </c>
    </row>
    <row r="37">
      <c r="A37" s="56" t="s">
        <v>379</v>
      </c>
      <c r="B37" s="1" t="str">
        <f>IFERROR(__xludf.DUMMYFUNCTION("IFERROR(
  VLOOKUP(
    A37,
    IMPORTRANGE(
      ""1ZygntHC1J6IxzKbTidmOyf5nUyW4GCLurHCjexrLm_o"",
      ""HTMLキャッシュ!A:F""
    ),
    2,
    FALSE
  ),
  0
)
"),"MC")</f>
        <v>MC</v>
      </c>
      <c r="C37" s="1" t="str">
        <f>IFERROR(__xludf.DUMMYFUNCTION("IFERROR(
  VLOOKUP(
    A37,
    IMPORTRANGE(
      ""1ZygntHC1J6IxzKbTidmOyf5nUyW4GCLurHCjexrLm_o"",
      ""HTMLキャッシュ!A:F""
    ),
    5,
    FALSE
  ),
  0
)
"),"中学受験算数｜図形・速さ・場合の数 - 中学受験専門 夏井算数塾")</f>
        <v>中学受験算数｜図形・速さ・場合の数 - 中学受験専門 夏井算数塾</v>
      </c>
      <c r="D37" s="1" t="str">
        <f>IFERROR(__xludf.DUMMYFUNCTION("IFERROR(
  VLOOKUP(
    A37,
    IMPORTRANGE(
      ""1ZygntHC1J6IxzKbTidmOyf5nUyW4GCLurHCjexrLm_o        "",
      ""HTMLキャッシュ!A:F""
    ),
    6,
    FALSE
  ),
  0
)
"),"図形・速さ・場合の数が苦手な小4〜小6向け。描く・単位・場合分けの型と読む順番を整理。計算ルーティンも確認。")</f>
        <v>図形・速さ・場合の数が苦手な小4〜小6向け。描く・単位・場合分けの型と読む順番を整理。計算ルーティンも確認。</v>
      </c>
      <c r="E37" s="49">
        <f t="shared" ref="E37:F37" si="176">LEN(C37)</f>
        <v>32</v>
      </c>
      <c r="F37" s="49">
        <f t="shared" si="176"/>
        <v>54</v>
      </c>
      <c r="G37" s="32">
        <f>IFERROR(__xludf.DUMMYFUNCTION("IFERROR(
  VLOOKUP(
    A37,
    IMPORTRANGE(
      ""1ZygntHC1J6IxzKbTidmOyf5nUyW4GCLurHCjexrLm_o        "",
      ""HTMLキャッシュ!A:F""
    ),
    3,
    FALSE
  ),
  0
)
"),46052.68497685185)</f>
        <v>46052.68498</v>
      </c>
      <c r="H37" s="54">
        <f>IFERROR(__xludf.DUMMYFUNCTION("IFERROR(
  VLOOKUP(
    A37,
    IMPORTRANGE(
      ""1ZHMy3vVUd_0MrSduXTe1etBb1HNpAlGwQr006ljwMiM"",
      ""GSC最新!A:F""
    ),
    2,
    FALSE
  ),
  0
)
"),4.0)</f>
        <v>4</v>
      </c>
      <c r="I37" s="54">
        <f>IFERROR(__xludf.DUMMYFUNCTION("IFERROR(
  VLOOKUP(
    A37,
    IMPORTRANGE(
      ""1ZHMy3vVUd_0MrSduXTe1etBb1HNpAlGwQr006ljwMiM"",
      ""GSC最新!A:F""
    ),
    3,
    FALSE
  ),
  0
)
"),11.0)</f>
        <v>11</v>
      </c>
      <c r="J37" s="54">
        <f>IFERROR(__xludf.DUMMYFUNCTION("IFERROR(
  VLOOKUP(
    A37,
    IMPORTRANGE(
      ""1ZHMy3vVUd_0MrSduXTe1etBb1HNpAlGwQr006ljwMiM"",
      ""GSC最新!A:F""
    ),
    4,
    FALSE
  ),
  0
)
"),0.0)</f>
        <v>0</v>
      </c>
      <c r="K37" s="54">
        <f>IFERROR(__xludf.DUMMYFUNCTION("IFERROR(
  VLOOKUP(
    A37,
    IMPORTRANGE(
      ""1ZHMy3vVUd_0MrSduXTe1etBb1HNpAlGwQr006ljwMiM"",
      ""GSC最新!A:F""
    ),
    5,
    FALSE
  ),
  0
)
"),0.0)</f>
        <v>0</v>
      </c>
      <c r="L37" s="50" t="str">
        <f t="shared" ref="L37:M37" si="177">IFERROR(H37/J37,"-")</f>
        <v>-</v>
      </c>
      <c r="M37" s="50" t="str">
        <f t="shared" si="177"/>
        <v>-</v>
      </c>
      <c r="N37" s="59">
        <f>IFERROR(__xludf.DUMMYFUNCTION("IFERROR(
  VLOOKUP(
    A37,
    IMPORTRANGE(
      ""1ZHMy3vVUd_0MrSduXTe1etBb1HNpAlGwQr006ljwMiM"",
      ""GSC最新!A:R""
    ),
    7,
    FALSE
  ),
  0
)
"),161.0)</f>
        <v>161</v>
      </c>
      <c r="O37" s="59">
        <f>IFERROR(__xludf.DUMMYFUNCTION("IFERROR(
  VLOOKUP(
    A37,
    IMPORTRANGE(
      ""1ZHMy3vVUd_0MrSduXTe1etBb1HNpAlGwQr006ljwMiM"",
      ""GSC最新!A:R""
    ),
    10,
    FALSE
  ),
  0
)
"),246.0)</f>
        <v>246</v>
      </c>
      <c r="P37" s="59">
        <f>IFERROR(__xludf.DUMMYFUNCTION("IFERROR(
  VLOOKUP(
    A37,
    IMPORTRANGE(
      ""1ZHMy3vVUd_0MrSduXTe1etBb1HNpAlGwQr006ljwMiM"",
      ""GSC最新!A:R""
    ),
    13,
    FALSE
  ),
  0
)
"),0.0)</f>
        <v>0</v>
      </c>
      <c r="Q37" s="59">
        <f>IFERROR(__xludf.DUMMYFUNCTION("IFERROR(
  VLOOKUP(
    A37,
    IMPORTRANGE(
      ""1ZHMy3vVUd_0MrSduXTe1etBb1HNpAlGwQr006ljwMiM"",
      ""GSC最新!A:R""
    ),
    16,
    FALSE
  ),
  0
)
"),0.0)</f>
        <v>0</v>
      </c>
      <c r="R37" s="50" t="str">
        <f t="shared" ref="R37:S37" si="178">IFERROR(N37/P37,"-")</f>
        <v>-</v>
      </c>
      <c r="S37" s="50" t="str">
        <f t="shared" si="178"/>
        <v>-</v>
      </c>
      <c r="T37" s="60">
        <f>IFERROR(__xludf.DUMMYFUNCTION("IFERROR(
  VLOOKUP(
    A37,
    IMPORTRANGE(
      ""1ZHMy3vVUd_0MrSduXTe1etBb1HNpAlGwQr006ljwMiM"",
      ""GSC最新!A:R""
    ),
    8,
    FALSE
  ),
  0
)
"),0.024844720496894408)</f>
        <v>0.0248447205</v>
      </c>
      <c r="U37" s="60">
        <f>IFERROR(__xludf.DUMMYFUNCTION("IFERROR(
  VLOOKUP(
    A37,
    IMPORTRANGE(
      ""1ZHMy3vVUd_0MrSduXTe1etBb1HNpAlGwQr006ljwMiM"",
      ""GSC最新!A:R""
    ),
    11,
    FALSE
  ),
  0
)
"),0.044715447154471545)</f>
        <v>0.04471544715</v>
      </c>
      <c r="V37" s="60">
        <f>IFERROR(__xludf.DUMMYFUNCTION("IFERROR(
  VLOOKUP(
    A37,
    IMPORTRANGE(
      ""1ZHMy3vVUd_0MrSduXTe1etBb1HNpAlGwQr006ljwMiM"",
      ""GSC最新!A:R""
    ),
    14,
    FALSE
  ),
  0
)
"),0.0)</f>
        <v>0</v>
      </c>
      <c r="W37" s="60">
        <f>IFERROR(__xludf.DUMMYFUNCTION("IFERROR(
  VLOOKUP(
    A37,
    IMPORTRANGE(
      ""1ZHMy3vVUd_0MrSduXTe1etBb1HNpAlGwQr006ljwMiM"",
      ""GSC最新!A:R""
    ),
    17,
    FALSE
  ),
  0
)
"),0.0)</f>
        <v>0</v>
      </c>
      <c r="X37" s="60">
        <f t="shared" ref="X37:Y37" si="179">IFERROR(T37-V37,"-")</f>
        <v>0.0248447205</v>
      </c>
      <c r="Y37" s="60">
        <f t="shared" si="179"/>
        <v>0.04471544715</v>
      </c>
      <c r="Z37" s="52">
        <f>IFERROR(__xludf.DUMMYFUNCTION("IFERROR(
  VLOOKUP(
    A37,
    IMPORTRANGE(
      ""1ZHMy3vVUd_0MrSduXTe1etBb1HNpAlGwQr006ljwMiM"",
      ""GSC最新!A:R""
    ),
    9,
    FALSE
  ),
  0
)
"),6.559006211180124)</f>
        <v>6.559006211</v>
      </c>
      <c r="AA37" s="52">
        <f>IFERROR(__xludf.DUMMYFUNCTION("IFERROR(
  VLOOKUP(
    A37,
    IMPORTRANGE(
      ""1ZHMy3vVUd_0MrSduXTe1etBb1HNpAlGwQr006ljwMiM"",
      ""GSC最新!A:R""
    ),
    12,
    FALSE
  ),
  0
)
"),6.4227642276422765)</f>
        <v>6.422764228</v>
      </c>
      <c r="AB37" s="52" t="str">
        <f>IFERROR(__xludf.DUMMYFUNCTION("IFERROR(
  VLOOKUP(
    A37,
    IMPORTRANGE(
      ""1ZHMy3vVUd_0MrSduXTe1etBb1HNpAlGwQr006ljwMiM"",
      ""GSC最新!A:R""
    ),
    15,
    FALSE
  ),
  0
)
"),"")</f>
        <v/>
      </c>
      <c r="AC37" s="52" t="str">
        <f>IFERROR(__xludf.DUMMYFUNCTION("IFERROR(
  VLOOKUP(
    A37,
    IMPORTRANGE(
      ""1ZHMy3vVUd_0MrSduXTe1etBb1HNpAlGwQr006ljwMiM"",
      ""GSC最新!A:R""
    ),
    18,
    FALSE
  ),
  0
)
"),"")</f>
        <v/>
      </c>
      <c r="AD37" s="52">
        <f t="shared" ref="AD37:AE37" si="180">Z37-AB37</f>
        <v>6.559006211</v>
      </c>
      <c r="AE37" s="52">
        <f t="shared" si="180"/>
        <v>6.422764228</v>
      </c>
      <c r="AF37" s="53">
        <f>IFERROR(__xludf.DUMMYFUNCTION("IFERROR(
  VLOOKUP(
    A37,
    IMPORTRANGE(
      ""1ZHMy3vVUd_0MrSduXTe1etBb1HNpAlGwQr006ljwMiM"",
      ""GSC最新!A:F""
    ),
    6,
    FALSE
  ),
  0
)
"),46081.0)</f>
        <v>46081</v>
      </c>
      <c r="AG37" s="54">
        <f>IFERROR(__xludf.DUMMYFUNCTION("IFERROR(
  VLOOKUP(
    A37,
    IMPORTRANGE(
      ""1SCYQd7_cobOYqT0r_F0IqD4tE4rYn5y8Eup4PJTH8es"",
      ""Snapshot!A:M""
    ),
    5,
    FALSE
  ),
  ""-""
)
"),5.0)</f>
        <v>5</v>
      </c>
      <c r="AH37" s="54">
        <f>IFERROR(__xludf.DUMMYFUNCTION("IFERROR(
  VLOOKUP(
    A37,
    IMPORTRANGE(
      ""1SCYQd7_cobOYqT0r_F0IqD4tE4rYn5y8Eup4PJTH8es"",
      ""Snapshot!A:M""
    ),
    6,
    FALSE
  ),
  0
)
"),7.0)</f>
        <v>7</v>
      </c>
      <c r="AI37" s="54">
        <f>IFERROR(__xludf.DUMMYFUNCTION("IFERROR(
  VLOOKUP(
    A37,
    IMPORTRANGE(
      ""1SCYQd7_cobOYqT0r_F0IqD4tE4rYn5y8Eup4PJTH8es"",
      ""Snapshot!A:M""
    ),
    7,
    FALSE
  ),
  0
)
"),2993.0)</f>
        <v>2993</v>
      </c>
      <c r="AJ37" s="54">
        <f>IFERROR(__xludf.DUMMYFUNCTION("IFERROR(
  VLOOKUP(
    A37,
    IMPORTRANGE(
      ""1SCYQd7_cobOYqT0r_F0IqD4tE4rYn5y8Eup4PJTH8es"",
      ""Snapshot!A:M""
    ),
    8,
    FALSE
  ),
  0
)
"),12.0)</f>
        <v>12</v>
      </c>
      <c r="AK37" s="54">
        <f>IFERROR(__xludf.DUMMYFUNCTION("IFERROR(
  VLOOKUP(
    A37,
    IMPORTRANGE(
      ""1SCYQd7_cobOYqT0r_F0IqD4tE4rYn5y8Eup4PJTH8es"",
      ""Snapshot!A:M""
    ),
    9,
    FALSE
  ),
  0
)
"),3.0)</f>
        <v>3</v>
      </c>
      <c r="AL37" s="54">
        <f>IFERROR(__xludf.DUMMYFUNCTION("IFERROR(
  VLOOKUP(
    A37,
    IMPORTRANGE(
      ""1SCYQd7_cobOYqT0r_F0IqD4tE4rYn5y8Eup4PJTH8es"",
      ""Snapshot!A:M""
    ),
    13,
    FALSE
  ),
  0
)
"),2.0)</f>
        <v>2</v>
      </c>
    </row>
    <row r="38">
      <c r="A38" s="3" t="s">
        <v>380</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"),"開成中 算数 過去問解説動画｜2020大問1〜4｜小6復習")</f>
        <v>開成中 算数 過去問解説動画｜2020大問1〜4｜小6復習</v>
      </c>
      <c r="D38" s="1" t="str">
        <f>IFERROR(__xludf.DUMMYFUNCTION("IFERROR(
  VLOOKUP(
    A38,
    IMPORTRANGE(
      ""1ZygntHC1J6IxzKbTidmOyf5nUyW4GCLurHCjexrLm_o        "",
      ""HTMLキャッシュ!A:F""
    ),
    6,
    FALSE
  ),
  0
)
"),"開成中2020（令和2）算数の大問1〜4を動画で解説。解き直し・復習用に大問別で整理。問題文は外部入手前提、全問解説の更新先も案内。")</f>
        <v>開成中2020（令和2）算数の大問1〜4を動画で解説。解き直し・復習用に大問別で整理。問題文は外部入手前提、全問解説の更新先も案内。</v>
      </c>
      <c r="E38" s="49">
        <f t="shared" ref="E38:F38" si="181">LEN(C38)</f>
        <v>29</v>
      </c>
      <c r="F38" s="49">
        <f t="shared" si="181"/>
        <v>66</v>
      </c>
      <c r="G38" s="32">
        <f>IFERROR(__xludf.DUMMYFUNCTION("IFERROR(
  VLOOKUP(
    A38,
    IMPORTRANGE(
      ""1ZygntHC1J6IxzKbTidmOyf5nUyW4GCLurHCjexrLm_o        "",
      ""HTMLキャッシュ!A:F""
    ),
    3,
    FALSE
  ),
  0
)
"),46062.64263888889)</f>
        <v>46062.64264</v>
      </c>
      <c r="H38" s="54">
        <f>IFERROR(__xludf.DUMMYFUNCTION("IFERROR(
  VLOOKUP(
    A38,
    IMPORTRANGE(
      ""1ZHMy3vVUd_0MrSduXTe1etBb1HNpAlGwQr006ljwMiM"",
      ""GSC最新!A:F""
    ),
    2,
    FALSE
  ),
  0
)
"),0.0)</f>
        <v>0</v>
      </c>
      <c r="I38" s="54">
        <f>IFERROR(__xludf.DUMMYFUNCTION("IFERROR(
  VLOOKUP(
    A38,
    IMPORTRANGE(
      ""1ZHMy3vVUd_0MrSduXTe1etBb1HNpAlGwQr006ljwMiM"",
      ""GSC最新!A:F""
    ),
    3,
    FALSE
  ),
  0
)
"),10.0)</f>
        <v>10</v>
      </c>
      <c r="J38" s="54">
        <f>IFERROR(__xludf.DUMMYFUNCTION("IFERROR(
  VLOOKUP(
    A38,
    IMPORTRANGE(
      ""1ZHMy3vVUd_0MrSduXTe1etBb1HNpAlGwQr006ljwMiM"",
      ""GSC最新!A:F""
    ),
    4,
    FALSE
  ),
  0
)
"),0.0)</f>
        <v>0</v>
      </c>
      <c r="K38" s="54">
        <f>IFERROR(__xludf.DUMMYFUNCTION("IFERROR(
  VLOOKUP(
    A38,
    IMPORTRANGE(
      ""1ZHMy3vVUd_0MrSduXTe1etBb1HNpAlGwQr006ljwMiM"",
      ""GSC最新!A:F""
    ),
    5,
    FALSE
  ),
  0
)
"),0.0)</f>
        <v>0</v>
      </c>
      <c r="L38" s="50" t="str">
        <f t="shared" ref="L38:M38" si="182">IFERROR(H38/J38,"-")</f>
        <v>-</v>
      </c>
      <c r="M38" s="50" t="str">
        <f t="shared" si="182"/>
        <v>-</v>
      </c>
      <c r="N38" s="59">
        <f>IFERROR(__xludf.DUMMYFUNCTION("IFERROR(
  VLOOKUP(
    A38,
    IMPORTRANGE(
      ""1ZHMy3vVUd_0MrSduXTe1etBb1HNpAlGwQr006ljwMiM"",
      ""GSC最新!A:R""
    ),
    7,
    FALSE
  ),
  0
)
"),46.0)</f>
        <v>46</v>
      </c>
      <c r="O38" s="59">
        <f>IFERROR(__xludf.DUMMYFUNCTION("IFERROR(
  VLOOKUP(
    A38,
    IMPORTRANGE(
      ""1ZHMy3vVUd_0MrSduXTe1etBb1HNpAlGwQr006ljwMiM"",
      ""GSC最新!A:R""
    ),
    10,
    FALSE
  ),
  0
)
"),207.0)</f>
        <v>207</v>
      </c>
      <c r="P38" s="59">
        <f>IFERROR(__xludf.DUMMYFUNCTION("IFERROR(
  VLOOKUP(
    A38,
    IMPORTRANGE(
      ""1ZHMy3vVUd_0MrSduXTe1etBb1HNpAlGwQr006ljwMiM"",
      ""GSC最新!A:R""
    ),
    13,
    FALSE
  ),
  0
)
"),58.0)</f>
        <v>58</v>
      </c>
      <c r="Q38" s="59">
        <f>IFERROR(__xludf.DUMMYFUNCTION("IFERROR(
  VLOOKUP(
    A38,
    IMPORTRANGE(
      ""1ZHMy3vVUd_0MrSduXTe1etBb1HNpAlGwQr006ljwMiM"",
      ""GSC最新!A:R""
    ),
    16,
    FALSE
  ),
  0
)
"),133.0)</f>
        <v>133</v>
      </c>
      <c r="R38" s="50">
        <f t="shared" ref="R38:S38" si="183">IFERROR(N38/P38,"-")</f>
        <v>0.7931034483</v>
      </c>
      <c r="S38" s="50">
        <f t="shared" si="183"/>
        <v>1.556390977</v>
      </c>
      <c r="T38" s="60">
        <f>IFERROR(__xludf.DUMMYFUNCTION("IFERROR(
  VLOOKUP(
    A38,
    IMPORTRANGE(
      ""1ZHMy3vVUd_0MrSduXTe1etBb1HNpAlGwQr006ljwMiM"",
      ""GSC最新!A:R""
    ),
    8,
    FALSE
  ),
  0
)
"),0.0)</f>
        <v>0</v>
      </c>
      <c r="U38" s="60">
        <f>IFERROR(__xludf.DUMMYFUNCTION("IFERROR(
  VLOOKUP(
    A38,
    IMPORTRANGE(
      ""1ZHMy3vVUd_0MrSduXTe1etBb1HNpAlGwQr006ljwMiM"",
      ""GSC最新!A:R""
    ),
    11,
    FALSE
  ),
  0
)
"),0.04830917874396135)</f>
        <v>0.04830917874</v>
      </c>
      <c r="V38" s="60">
        <f>IFERROR(__xludf.DUMMYFUNCTION("IFERROR(
  VLOOKUP(
    A38,
    IMPORTRANGE(
      ""1ZHMy3vVUd_0MrSduXTe1etBb1HNpAlGwQr006ljwMiM"",
      ""GSC最新!A:R""
    ),
    14,
    FALSE
  ),
  0
)
"),0.0)</f>
        <v>0</v>
      </c>
      <c r="W38" s="60">
        <f>IFERROR(__xludf.DUMMYFUNCTION("IFERROR(
  VLOOKUP(
    A38,
    IMPORTRANGE(
      ""1ZHMy3vVUd_0MrSduXTe1etBb1HNpAlGwQr006ljwMiM"",
      ""GSC最新!A:R""
    ),
    17,
    FALSE
  ),
  0
)
"),0.0)</f>
        <v>0</v>
      </c>
      <c r="X38" s="60">
        <f t="shared" ref="X38:Y38" si="184">IFERROR(T38-V38,"-")</f>
        <v>0</v>
      </c>
      <c r="Y38" s="60">
        <f t="shared" si="184"/>
        <v>0.04830917874</v>
      </c>
      <c r="Z38" s="52">
        <f>IFERROR(__xludf.DUMMYFUNCTION("IFERROR(
  VLOOKUP(
    A38,
    IMPORTRANGE(
      ""1ZHMy3vVUd_0MrSduXTe1etBb1HNpAlGwQr006ljwMiM"",
      ""GSC最新!A:R""
    ),
    9,
    FALSE
  ),
  0
)
"),12.76086956521739)</f>
        <v>12.76086957</v>
      </c>
      <c r="AA38" s="52">
        <f>IFERROR(__xludf.DUMMYFUNCTION("IFERROR(
  VLOOKUP(
    A38,
    IMPORTRANGE(
      ""1ZHMy3vVUd_0MrSduXTe1etBb1HNpAlGwQr006ljwMiM"",
      ""GSC最新!A:R""
    ),
    12,
    FALSE
  ),
  0
)
"),15.140096618357488)</f>
        <v>15.14009662</v>
      </c>
      <c r="AB38" s="52">
        <f>IFERROR(__xludf.DUMMYFUNCTION("IFERROR(
  VLOOKUP(
    A38,
    IMPORTRANGE(
      ""1ZHMy3vVUd_0MrSduXTe1etBb1HNpAlGwQr006ljwMiM"",
      ""GSC最新!A:R""
    ),
    15,
    FALSE
  ),
  0
)
"),52.87931034482759)</f>
        <v>52.87931034</v>
      </c>
      <c r="AC38" s="52">
        <f>IFERROR(__xludf.DUMMYFUNCTION("IFERROR(
  VLOOKUP(
    A38,
    IMPORTRANGE(
      ""1ZHMy3vVUd_0MrSduXTe1etBb1HNpAlGwQr006ljwMiM"",
      ""GSC最新!A:R""
    ),
    18,
    FALSE
  ),
  0
)
"),55.225563909774436)</f>
        <v>55.22556391</v>
      </c>
      <c r="AD38" s="52">
        <f t="shared" ref="AD38:AE38" si="185">Z38-AB38</f>
        <v>-40.11844078</v>
      </c>
      <c r="AE38" s="52">
        <f t="shared" si="185"/>
        <v>-40.08546729</v>
      </c>
      <c r="AF38" s="53">
        <f>IFERROR(__xludf.DUMMYFUNCTION("IFERROR(
  VLOOKUP(
    A38,
    IMPORTRANGE(
      ""1ZHMy3vVUd_0MrSduXTe1etBb1HNpAlGwQr006ljwMiM"",
      ""GSC最新!A:F""
    ),
    6,
    FALSE
  ),
  0
)
"),46081.0)</f>
        <v>46081</v>
      </c>
      <c r="AG38" s="54">
        <f>IFERROR(__xludf.DUMMYFUNCTION("IFERROR(
  VLOOKUP(
    A38,
    IMPORTRANGE(
      ""1SCYQd7_cobOYqT0r_F0IqD4tE4rYn5y8Eup4PJTH8es"",
      ""Snapshot!A:M""
    ),
    5,
    FALSE
  ),
  ""-""
)
"),2.0)</f>
        <v>2</v>
      </c>
      <c r="AH38" s="54">
        <f>IFERROR(__xludf.DUMMYFUNCTION("IFERROR(
  VLOOKUP(
    A38,
    IMPORTRANGE(
      ""1SCYQd7_cobOYqT0r_F0IqD4tE4rYn5y8Eup4PJTH8es"",
      ""Snapshot!A:M""
    ),
    6,
    FALSE
  ),
  0
)
"),4.0)</f>
        <v>4</v>
      </c>
      <c r="AI38" s="54">
        <f>IFERROR(__xludf.DUMMYFUNCTION("IFERROR(
  VLOOKUP(
    A38,
    IMPORTRANGE(
      ""1SCYQd7_cobOYqT0r_F0IqD4tE4rYn5y8Eup4PJTH8es"",
      ""Snapshot!A:M""
    ),
    7,
    FALSE
  ),
  0
)
"),464.0)</f>
        <v>464</v>
      </c>
      <c r="AJ38" s="54">
        <f>IFERROR(__xludf.DUMMYFUNCTION("IFERROR(
  VLOOKUP(
    A38,
    IMPORTRANGE(
      ""1SCYQd7_cobOYqT0r_F0IqD4tE4rYn5y8Eup4PJTH8es"",
      ""Snapshot!A:M""
    ),
    8,
    FALSE
  ),
  0
)
"),3.0)</f>
        <v>3</v>
      </c>
      <c r="AK38" s="54">
        <f>IFERROR(__xludf.DUMMYFUNCTION("IFERROR(
  VLOOKUP(
    A38,
    IMPORTRANGE(
      ""1SCYQd7_cobOYqT0r_F0IqD4tE4rYn5y8Eup4PJTH8es"",
      ""Snapshot!A:M""
    ),
    9,
    FALSE
  ),
  0
)
"),1.0)</f>
        <v>1</v>
      </c>
      <c r="AL38" s="54">
        <f>IFERROR(__xludf.DUMMYFUNCTION("IFERROR(
  VLOOKUP(
    A38,
    IMPORTRANGE(
      ""1SCYQd7_cobOYqT0r_F0IqD4tE4rYn5y8Eup4PJTH8es"",
      ""Snapshot!A:M""
    ),
    13,
    FALSE
  ),
  0
)
"),2.0)</f>
        <v>2</v>
      </c>
    </row>
    <row r="39">
      <c r="A39" s="3" t="s">
        <v>381</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"),"予習シリーズ中心のカリキュラムと中学受験算数の位置づけ")</f>
        <v>予習シリーズ中心のカリキュラムと中学受験算数の位置づけ</v>
      </c>
      <c r="D39" s="1" t="str">
        <f>IFERROR(__xludf.DUMMYFUNCTION("IFERROR(
  VLOOKUP(
    A39,
    IMPORTRANGE(
      ""1ZygntHC1J6IxzKbTidmOyf5nUyW4GCLurHCjexrLm_o        "",
      ""HTMLキャッシュ!A:F""
    ),
    6,
    FALSE
  ),
  0
)
"),"四谷大塚の学習が回らない原因になりやすい「予習→授業→復習→週テスト」を整理。らせん型と予習シリーズの狙い、予習ナビ/復習ナビの使いどころもまとめます。")</f>
        <v>四谷大塚の学習が回らない原因になりやすい「予習→授業→復習→週テスト」を整理。らせん型と予習シリーズの狙い、予習ナビ/復習ナビの使いどころもまとめます。</v>
      </c>
      <c r="E39" s="49">
        <f t="shared" ref="E39:F39" si="186">LEN(C39)</f>
        <v>27</v>
      </c>
      <c r="F39" s="49">
        <f t="shared" si="186"/>
        <v>76</v>
      </c>
      <c r="G39" s="32">
        <f>IFERROR(__xludf.DUMMYFUNCTION("IFERROR(
  VLOOKUP(
    A39,
    IMPORTRANGE(
      ""1ZygntHC1J6IxzKbTidmOyf5nUyW4GCLurHCjexrLm_o        "",
      ""HTMLキャッシュ!A:F""
    ),
    3,
    FALSE
  ),
  0
)
"),46074.59270833333)</f>
        <v>46074.59271</v>
      </c>
      <c r="H39" s="54">
        <f>IFERROR(__xludf.DUMMYFUNCTION("IFERROR(
  VLOOKUP(
    A39,
    IMPORTRANGE(
      ""1ZHMy3vVUd_0MrSduXTe1etBb1HNpAlGwQr006ljwMiM"",
      ""GSC最新!A:F""
    ),
    2,
    FALSE
  ),
  0
)
"),7.0)</f>
        <v>7</v>
      </c>
      <c r="I39" s="54">
        <f>IFERROR(__xludf.DUMMYFUNCTION("IFERROR(
  VLOOKUP(
    A39,
    IMPORTRANGE(
      ""1ZHMy3vVUd_0MrSduXTe1etBb1HNpAlGwQr006ljwMiM"",
      ""GSC最新!A:F""
    ),
    3,
    FALSE
  ),
  0
)
"),9.0)</f>
        <v>9</v>
      </c>
      <c r="J39" s="54">
        <f>IFERROR(__xludf.DUMMYFUNCTION("IFERROR(
  VLOOKUP(
    A39,
    IMPORTRANGE(
      ""1ZHMy3vVUd_0MrSduXTe1etBb1HNpAlGwQr006ljwMiM"",
      ""GSC最新!A:F""
    ),
    4,
    FALSE
  ),
  0
)
"),0.0)</f>
        <v>0</v>
      </c>
      <c r="K39" s="54">
        <f>IFERROR(__xludf.DUMMYFUNCTION("IFERROR(
  VLOOKUP(
    A39,
    IMPORTRANGE(
      ""1ZHMy3vVUd_0MrSduXTe1etBb1HNpAlGwQr006ljwMiM"",
      ""GSC最新!A:F""
    ),
    5,
    FALSE
  ),
  0
)
"),0.0)</f>
        <v>0</v>
      </c>
      <c r="L39" s="50" t="str">
        <f t="shared" ref="L39:M39" si="187">IFERROR(H39/J39,"-")</f>
        <v>-</v>
      </c>
      <c r="M39" s="50" t="str">
        <f t="shared" si="187"/>
        <v>-</v>
      </c>
      <c r="N39" s="59">
        <f>IFERROR(__xludf.DUMMYFUNCTION("IFERROR(
  VLOOKUP(
    A39,
    IMPORTRANGE(
      ""1ZHMy3vVUd_0MrSduXTe1etBb1HNpAlGwQr006ljwMiM"",
      ""GSC最新!A:R""
    ),
    7,
    FALSE
  ),
  0
)
"),501.0)</f>
        <v>501</v>
      </c>
      <c r="O39" s="59">
        <f>IFERROR(__xludf.DUMMYFUNCTION("IFERROR(
  VLOOKUP(
    A39,
    IMPORTRANGE(
      ""1ZHMy3vVUd_0MrSduXTe1etBb1HNpAlGwQr006ljwMiM"",
      ""GSC最新!A:R""
    ),
    10,
    FALSE
  ),
  0
)
"),744.0)</f>
        <v>744</v>
      </c>
      <c r="P39" s="59">
        <f>IFERROR(__xludf.DUMMYFUNCTION("IFERROR(
  VLOOKUP(
    A39,
    IMPORTRANGE(
      ""1ZHMy3vVUd_0MrSduXTe1etBb1HNpAlGwQr006ljwMiM"",
      ""GSC最新!A:R""
    ),
    13,
    FALSE
  ),
  0
)
"),0.0)</f>
        <v>0</v>
      </c>
      <c r="Q39" s="59">
        <f>IFERROR(__xludf.DUMMYFUNCTION("IFERROR(
  VLOOKUP(
    A39,
    IMPORTRANGE(
      ""1ZHMy3vVUd_0MrSduXTe1etBb1HNpAlGwQr006ljwMiM"",
      ""GSC最新!A:R""
    ),
    16,
    FALSE
  ),
  0
)
"),1.0)</f>
        <v>1</v>
      </c>
      <c r="R39" s="50" t="str">
        <f t="shared" ref="R39:S39" si="188">IFERROR(N39/P39,"-")</f>
        <v>-</v>
      </c>
      <c r="S39" s="50">
        <f t="shared" si="188"/>
        <v>744</v>
      </c>
      <c r="T39" s="60">
        <f>IFERROR(__xludf.DUMMYFUNCTION("IFERROR(
  VLOOKUP(
    A39,
    IMPORTRANGE(
      ""1ZHMy3vVUd_0MrSduXTe1etBb1HNpAlGwQr006ljwMiM"",
      ""GSC最新!A:R""
    ),
    8,
    FALSE
  ),
  0
)
"),0.013972055888223553)</f>
        <v>0.01397205589</v>
      </c>
      <c r="U39" s="60">
        <f>IFERROR(__xludf.DUMMYFUNCTION("IFERROR(
  VLOOKUP(
    A39,
    IMPORTRANGE(
      ""1ZHMy3vVUd_0MrSduXTe1etBb1HNpAlGwQr006ljwMiM"",
      ""GSC最新!A:R""
    ),
    11,
    FALSE
  ),
  0
)
"),0.012096774193548387)</f>
        <v>0.01209677419</v>
      </c>
      <c r="V39" s="60">
        <f>IFERROR(__xludf.DUMMYFUNCTION("IFERROR(
  VLOOKUP(
    A39,
    IMPORTRANGE(
      ""1ZHMy3vVUd_0MrSduXTe1etBb1HNpAlGwQr006ljwMiM"",
      ""GSC最新!A:R""
    ),
    14,
    FALSE
  ),
  0
)
"),0.0)</f>
        <v>0</v>
      </c>
      <c r="W39" s="60">
        <f>IFERROR(__xludf.DUMMYFUNCTION("IFERROR(
  VLOOKUP(
    A39,
    IMPORTRANGE(
      ""1ZHMy3vVUd_0MrSduXTe1etBb1HNpAlGwQr006ljwMiM"",
      ""GSC最新!A:R""
    ),
    17,
    FALSE
  ),
  0
)
"),0.0)</f>
        <v>0</v>
      </c>
      <c r="X39" s="60">
        <f t="shared" ref="X39:Y39" si="189">IFERROR(T39-V39,"-")</f>
        <v>0.01397205589</v>
      </c>
      <c r="Y39" s="60">
        <f t="shared" si="189"/>
        <v>0.01209677419</v>
      </c>
      <c r="Z39" s="52">
        <f>IFERROR(__xludf.DUMMYFUNCTION("IFERROR(
  VLOOKUP(
    A39,
    IMPORTRANGE(
      ""1ZHMy3vVUd_0MrSduXTe1etBb1HNpAlGwQr006ljwMiM"",
      ""GSC最新!A:R""
    ),
    9,
    FALSE
  ),
  0
)
"),9.489021956087825)</f>
        <v>9.489021956</v>
      </c>
      <c r="AA39" s="52">
        <f>IFERROR(__xludf.DUMMYFUNCTION("IFERROR(
  VLOOKUP(
    A39,
    IMPORTRANGE(
      ""1ZHMy3vVUd_0MrSduXTe1etBb1HNpAlGwQr006ljwMiM"",
      ""GSC最新!A:R""
    ),
    12,
    FALSE
  ),
  0
)
"),10.799731182795698)</f>
        <v>10.79973118</v>
      </c>
      <c r="AB39" s="52" t="str">
        <f>IFERROR(__xludf.DUMMYFUNCTION("IFERROR(
  VLOOKUP(
    A39,
    IMPORTRANGE(
      ""1ZHMy3vVUd_0MrSduXTe1etBb1HNpAlGwQr006ljwMiM"",
      ""GSC最新!A:R""
    ),
    15,
    FALSE
  ),
  0
)
"),"")</f>
        <v/>
      </c>
      <c r="AC39" s="52">
        <f>IFERROR(__xludf.DUMMYFUNCTION("IFERROR(
  VLOOKUP(
    A39,
    IMPORTRANGE(
      ""1ZHMy3vVUd_0MrSduXTe1etBb1HNpAlGwQr006ljwMiM"",
      ""GSC最新!A:R""
    ),
    18,
    FALSE
  ),
  0
)
"),11.0)</f>
        <v>11</v>
      </c>
      <c r="AD39" s="52">
        <f t="shared" ref="AD39:AE39" si="190">Z39-AB39</f>
        <v>9.489021956</v>
      </c>
      <c r="AE39" s="52">
        <f t="shared" si="190"/>
        <v>-0.2002688172</v>
      </c>
      <c r="AF39" s="53">
        <f>IFERROR(__xludf.DUMMYFUNCTION("IFERROR(
  VLOOKUP(
    A39,
    IMPORTRANGE(
      ""1ZHMy3vVUd_0MrSduXTe1etBb1HNpAlGwQr006ljwMiM"",
      ""GSC最新!A:F""
    ),
    6,
    FALSE
  ),
  0
)
"),46081.0)</f>
        <v>46081</v>
      </c>
      <c r="AG39" s="54">
        <f>IFERROR(__xludf.DUMMYFUNCTION("IFERROR(
  VLOOKUP(
    A39,
    IMPORTRANGE(
      ""1SCYQd7_cobOYqT0r_F0IqD4tE4rYn5y8Eup4PJTH8es"",
      ""Snapshot!A:M""
    ),
    5,
    FALSE
  ),
  ""-""
)
"),1.0)</f>
        <v>1</v>
      </c>
      <c r="AH39" s="54">
        <f>IFERROR(__xludf.DUMMYFUNCTION("IFERROR(
  VLOOKUP(
    A39,
    IMPORTRANGE(
      ""1SCYQd7_cobOYqT0r_F0IqD4tE4rYn5y8Eup4PJTH8es"",
      ""Snapshot!A:M""
    ),
    6,
    FALSE
  ),
  0
)
"),2.0)</f>
        <v>2</v>
      </c>
      <c r="AI39" s="54">
        <f>IFERROR(__xludf.DUMMYFUNCTION("IFERROR(
  VLOOKUP(
    A39,
    IMPORTRANGE(
      ""1SCYQd7_cobOYqT0r_F0IqD4tE4rYn5y8Eup4PJTH8es"",
      ""Snapshot!A:M""
    ),
    7,
    FALSE
  ),
  0
)
"),719.0)</f>
        <v>719</v>
      </c>
      <c r="AJ39" s="54">
        <f>IFERROR(__xludf.DUMMYFUNCTION("IFERROR(
  VLOOKUP(
    A39,
    IMPORTRANGE(
      ""1SCYQd7_cobOYqT0r_F0IqD4tE4rYn5y8Eup4PJTH8es"",
      ""Snapshot!A:M""
    ),
    8,
    FALSE
  ),
  0
)
"),2.0)</f>
        <v>2</v>
      </c>
      <c r="AK39" s="54">
        <f>IFERROR(__xludf.DUMMYFUNCTION("IFERROR(
  VLOOKUP(
    A39,
    IMPORTRANGE(
      ""1SCYQd7_cobOYqT0r_F0IqD4tE4rYn5y8Eup4PJTH8es"",
      ""Snapshot!A:M""
    ),
    9,
    FALSE
  ),
  0
)
"),1.0)</f>
        <v>1</v>
      </c>
      <c r="AL39" s="54">
        <f>IFERROR(__xludf.DUMMYFUNCTION("IFERROR(
  VLOOKUP(
    A39,
    IMPORTRANGE(
      ""1SCYQd7_cobOYqT0r_F0IqD4tE4rYn5y8Eup4PJTH8es"",
      ""Snapshot!A:M""
    ),
    13,
    FALSE
  ),
  0
)
"),1.0)</f>
        <v>1</v>
      </c>
    </row>
    <row r="40">
      <c r="A40" s="56" t="s">
        <v>382</v>
      </c>
      <c r="B40" s="1" t="str">
        <f>IFERROR(__xludf.DUMMYFUNCTION("IFERROR(
  VLOOKUP(
    A40,
    IMPORTRANGE(
      ""1ZygntHC1J6IxzKbTidmOyf5nUyW4GCLurHCjexrLm_o"",
      ""HTMLキャッシュ!A:F""
    ),
    2,
    FALSE
  ),
  0
)
"),"MC")</f>
        <v>MC</v>
      </c>
      <c r="C40" s="1" t="str">
        <f>IFERROR(__xludf.DUMMYFUNCTION("IFERROR(
  VLOOKUP(
    A40,
    IMPORTRANGE(
      ""1ZygntHC1J6IxzKbTidmOyf5nUyW4GCLurHCjexrLm_o"",
      ""HTMLキャッシュ!A:F""
    ),
    5,
    FALSE
  ),
  0
)
"),"中学受験算数｜塾別対策リンク集｜日能研SAPIX早稲アカ四谷")</f>
        <v>中学受験算数｜塾別対策リンク集｜日能研SAPIX早稲アカ四谷</v>
      </c>
      <c r="D40" s="1" t="str">
        <f>IFERROR(__xludf.DUMMYFUNCTION("IFERROR(
  VLOOKUP(
    A40,
    IMPORTRANGE(
      ""1ZygntHC1J6IxzKbTidmOyf5nUyW4GCLurHCjexrLm_o        "",
      ""HTMLキャッシュ!A:F""
    ),
    6,
    FALSE
  ),
  0
)
"),"日能研／SAPIX／早稲アカ／四谷大塚で算数の詰まり方は変わる。宿題・教材管理・テスト対策の要点を塾別に整理し、詳しい対策記事へまとめて案内。")</f>
        <v>日能研／SAPIX／早稲アカ／四谷大塚で算数の詰まり方は変わる。宿題・教材管理・テスト対策の要点を塾別に整理し、詳しい対策記事へまとめて案内。</v>
      </c>
      <c r="E40" s="49">
        <f t="shared" ref="E40:F40" si="191">LEN(C40)</f>
        <v>30</v>
      </c>
      <c r="F40" s="49">
        <f t="shared" si="191"/>
        <v>71</v>
      </c>
      <c r="G40" s="32">
        <f>IFERROR(__xludf.DUMMYFUNCTION("IFERROR(
  VLOOKUP(
    A40,
    IMPORTRANGE(
      ""1ZygntHC1J6IxzKbTidmOyf5nUyW4GCLurHCjexrLm_o        "",
      ""HTMLキャッシュ!A:F""
    ),
    3,
    FALSE
  ),
  0
)
"),46076.720821759256)</f>
        <v>46076.72082</v>
      </c>
      <c r="H40" s="54">
        <f>IFERROR(__xludf.DUMMYFUNCTION("IFERROR(
  VLOOKUP(
    A40,
    IMPORTRANGE(
      ""1ZHMy3vVUd_0MrSduXTe1etBb1HNpAlGwQr006ljwMiM"",
      ""GSC最新!A:F""
    ),
    2,
    FALSE
  ),
  0
)
"),3.0)</f>
        <v>3</v>
      </c>
      <c r="I40" s="54">
        <f>IFERROR(__xludf.DUMMYFUNCTION("IFERROR(
  VLOOKUP(
    A40,
    IMPORTRANGE(
      ""1ZHMy3vVUd_0MrSduXTe1etBb1HNpAlGwQr006ljwMiM"",
      ""GSC最新!A:F""
    ),
    3,
    FALSE
  ),
  0
)
"),9.0)</f>
        <v>9</v>
      </c>
      <c r="J40" s="54">
        <f>IFERROR(__xludf.DUMMYFUNCTION("IFERROR(
  VLOOKUP(
    A40,
    IMPORTRANGE(
      ""1ZHMy3vVUd_0MrSduXTe1etBb1HNpAlGwQr006ljwMiM"",
      ""GSC最新!A:F""
    ),
    4,
    FALSE
  ),
  0
)
"),0.0)</f>
        <v>0</v>
      </c>
      <c r="K40" s="54">
        <f>IFERROR(__xludf.DUMMYFUNCTION("IFERROR(
  VLOOKUP(
    A40,
    IMPORTRANGE(
      ""1ZHMy3vVUd_0MrSduXTe1etBb1HNpAlGwQr006ljwMiM"",
      ""GSC最新!A:F""
    ),
    5,
    FALSE
  ),
  0
)
"),0.0)</f>
        <v>0</v>
      </c>
      <c r="L40" s="50" t="str">
        <f t="shared" ref="L40:M40" si="192">IFERROR(H40/J40,"-")</f>
        <v>-</v>
      </c>
      <c r="M40" s="50" t="str">
        <f t="shared" si="192"/>
        <v>-</v>
      </c>
      <c r="N40" s="59">
        <f>IFERROR(__xludf.DUMMYFUNCTION("IFERROR(
  VLOOKUP(
    A40,
    IMPORTRANGE(
      ""1ZHMy3vVUd_0MrSduXTe1etBb1HNpAlGwQr006ljwMiM"",
      ""GSC最新!A:R""
    ),
    7,
    FALSE
  ),
  0
)
"),331.0)</f>
        <v>331</v>
      </c>
      <c r="O40" s="59">
        <f>IFERROR(__xludf.DUMMYFUNCTION("IFERROR(
  VLOOKUP(
    A40,
    IMPORTRANGE(
      ""1ZHMy3vVUd_0MrSduXTe1etBb1HNpAlGwQr006ljwMiM"",
      ""GSC最新!A:R""
    ),
    10,
    FALSE
  ),
  0
)
"),423.0)</f>
        <v>423</v>
      </c>
      <c r="P40" s="59">
        <f>IFERROR(__xludf.DUMMYFUNCTION("IFERROR(
  VLOOKUP(
    A40,
    IMPORTRANGE(
      ""1ZHMy3vVUd_0MrSduXTe1etBb1HNpAlGwQr006ljwMiM"",
      ""GSC最新!A:R""
    ),
    13,
    FALSE
  ),
  0
)
"),0.0)</f>
        <v>0</v>
      </c>
      <c r="Q40" s="59">
        <f>IFERROR(__xludf.DUMMYFUNCTION("IFERROR(
  VLOOKUP(
    A40,
    IMPORTRANGE(
      ""1ZHMy3vVUd_0MrSduXTe1etBb1HNpAlGwQr006ljwMiM"",
      ""GSC最新!A:R""
    ),
    16,
    FALSE
  ),
  0
)
"),0.0)</f>
        <v>0</v>
      </c>
      <c r="R40" s="50" t="str">
        <f t="shared" ref="R40:S40" si="193">IFERROR(N40/P40,"-")</f>
        <v>-</v>
      </c>
      <c r="S40" s="50" t="str">
        <f t="shared" si="193"/>
        <v>-</v>
      </c>
      <c r="T40" s="60">
        <f>IFERROR(__xludf.DUMMYFUNCTION("IFERROR(
  VLOOKUP(
    A40,
    IMPORTRANGE(
      ""1ZHMy3vVUd_0MrSduXTe1etBb1HNpAlGwQr006ljwMiM"",
      ""GSC最新!A:R""
    ),
    8,
    FALSE
  ),
  0
)
"),0.00906344410876133)</f>
        <v>0.009063444109</v>
      </c>
      <c r="U40" s="60">
        <f>IFERROR(__xludf.DUMMYFUNCTION("IFERROR(
  VLOOKUP(
    A40,
    IMPORTRANGE(
      ""1ZHMy3vVUd_0MrSduXTe1etBb1HNpAlGwQr006ljwMiM"",
      ""GSC最新!A:R""
    ),
    11,
    FALSE
  ),
  0
)
"),0.02127659574468085)</f>
        <v>0.02127659574</v>
      </c>
      <c r="V40" s="60">
        <f>IFERROR(__xludf.DUMMYFUNCTION("IFERROR(
  VLOOKUP(
    A40,
    IMPORTRANGE(
      ""1ZHMy3vVUd_0MrSduXTe1etBb1HNpAlGwQr006ljwMiM"",
      ""GSC最新!A:R""
    ),
    14,
    FALSE
  ),
  0
)
"),0.0)</f>
        <v>0</v>
      </c>
      <c r="W40" s="60">
        <f>IFERROR(__xludf.DUMMYFUNCTION("IFERROR(
  VLOOKUP(
    A40,
    IMPORTRANGE(
      ""1ZHMy3vVUd_0MrSduXTe1etBb1HNpAlGwQr006ljwMiM"",
      ""GSC最新!A:R""
    ),
    17,
    FALSE
  ),
  0
)
"),0.0)</f>
        <v>0</v>
      </c>
      <c r="X40" s="60">
        <f t="shared" ref="X40:Y40" si="194">IFERROR(T40-V40,"-")</f>
        <v>0.009063444109</v>
      </c>
      <c r="Y40" s="60">
        <f t="shared" si="194"/>
        <v>0.02127659574</v>
      </c>
      <c r="Z40" s="52">
        <f>IFERROR(__xludf.DUMMYFUNCTION("IFERROR(
  VLOOKUP(
    A40,
    IMPORTRANGE(
      ""1ZHMy3vVUd_0MrSduXTe1etBb1HNpAlGwQr006ljwMiM"",
      ""GSC最新!A:R""
    ),
    9,
    FALSE
  ),
  0
)
"),9.906344410876132)</f>
        <v>9.906344411</v>
      </c>
      <c r="AA40" s="52">
        <f>IFERROR(__xludf.DUMMYFUNCTION("IFERROR(
  VLOOKUP(
    A40,
    IMPORTRANGE(
      ""1ZHMy3vVUd_0MrSduXTe1etBb1HNpAlGwQr006ljwMiM"",
      ""GSC最新!A:R""
    ),
    12,
    FALSE
  ),
  0
)
"),10.23404255319149)</f>
        <v>10.23404255</v>
      </c>
      <c r="AB40" s="52" t="str">
        <f>IFERROR(__xludf.DUMMYFUNCTION("IFERROR(
  VLOOKUP(
    A40,
    IMPORTRANGE(
      ""1ZHMy3vVUd_0MrSduXTe1etBb1HNpAlGwQr006ljwMiM"",
      ""GSC最新!A:R""
    ),
    15,
    FALSE
  ),
  0
)
"),"")</f>
        <v/>
      </c>
      <c r="AC40" s="52" t="str">
        <f>IFERROR(__xludf.DUMMYFUNCTION("IFERROR(
  VLOOKUP(
    A40,
    IMPORTRANGE(
      ""1ZHMy3vVUd_0MrSduXTe1etBb1HNpAlGwQr006ljwMiM"",
      ""GSC最新!A:R""
    ),
    18,
    FALSE
  ),
  0
)
"),"")</f>
        <v/>
      </c>
      <c r="AD40" s="52">
        <f t="shared" ref="AD40:AE40" si="195">Z40-AB40</f>
        <v>9.906344411</v>
      </c>
      <c r="AE40" s="52">
        <f t="shared" si="195"/>
        <v>10.23404255</v>
      </c>
      <c r="AF40" s="53">
        <f>IFERROR(__xludf.DUMMYFUNCTION("IFERROR(
  VLOOKUP(
    A40,
    IMPORTRANGE(
      ""1ZHMy3vVUd_0MrSduXTe1etBb1HNpAlGwQr006ljwMiM"",
      ""GSC最新!A:F""
    ),
    6,
    FALSE
  ),
  0
)
"),46081.0)</f>
        <v>46081</v>
      </c>
      <c r="AG40" s="54">
        <f>IFERROR(__xludf.DUMMYFUNCTION("IFERROR(
  VLOOKUP(
    A40,
    IMPORTRANGE(
      ""1SCYQd7_cobOYqT0r_F0IqD4tE4rYn5y8Eup4PJTH8es"",
      ""Snapshot!A:M""
    ),
    5,
    FALSE
  ),
  ""-""
)
"),6.0)</f>
        <v>6</v>
      </c>
      <c r="AH40" s="54">
        <f>IFERROR(__xludf.DUMMYFUNCTION("IFERROR(
  VLOOKUP(
    A40,
    IMPORTRANGE(
      ""1SCYQd7_cobOYqT0r_F0IqD4tE4rYn5y8Eup4PJTH8es"",
      ""Snapshot!A:M""
    ),
    6,
    FALSE
  ),
  0
)
"),12.0)</f>
        <v>12</v>
      </c>
      <c r="AI40" s="54">
        <f>IFERROR(__xludf.DUMMYFUNCTION("IFERROR(
  VLOOKUP(
    A40,
    IMPORTRANGE(
      ""1SCYQd7_cobOYqT0r_F0IqD4tE4rYn5y8Eup4PJTH8es"",
      ""Snapshot!A:M""
    ),
    7,
    FALSE
  ),
  0
)
"),2651.0)</f>
        <v>2651</v>
      </c>
      <c r="AJ40" s="54">
        <f>IFERROR(__xludf.DUMMYFUNCTION("IFERROR(
  VLOOKUP(
    A40,
    IMPORTRANGE(
      ""1SCYQd7_cobOYqT0r_F0IqD4tE4rYn5y8Eup4PJTH8es"",
      ""Snapshot!A:M""
    ),
    8,
    FALSE
  ),
  0
)
"),10.0)</f>
        <v>10</v>
      </c>
      <c r="AK40" s="54">
        <f>IFERROR(__xludf.DUMMYFUNCTION("IFERROR(
  VLOOKUP(
    A40,
    IMPORTRANGE(
      ""1SCYQd7_cobOYqT0r_F0IqD4tE4rYn5y8Eup4PJTH8es"",
      ""Snapshot!A:M""
    ),
    9,
    FALSE
  ),
  0
)
"),2.0)</f>
        <v>2</v>
      </c>
      <c r="AL40" s="54">
        <f>IFERROR(__xludf.DUMMYFUNCTION("IFERROR(
  VLOOKUP(
    A40,
    IMPORTRANGE(
      ""1SCYQd7_cobOYqT0r_F0IqD4tE4rYn5y8Eup4PJTH8es"",
      ""Snapshot!A:M""
    ),
    13,
    FALSE
  ),
  0
)
"),2.0)</f>
        <v>2</v>
      </c>
    </row>
    <row r="41">
      <c r="A41" s="3" t="s">
        <v>383</v>
      </c>
      <c r="B41" s="1" t="str">
        <f>IFERROR(__xludf.DUMMYFUNCTION("IFERROR(
  VLOOKUP(
    A41,
    IMPORTRANGE(
      ""1ZygntHC1J6IxzKbTidmOyf5nUyW4GCLurHCjexrLm_o"",
      ""HTMLキャッシュ!A:F""
    ),
    2,
    FALSE
  ),
  0
)
"),"MC")</f>
        <v>MC</v>
      </c>
      <c r="C41" s="1" t="str">
        <f>IFERROR(__xludf.DUMMYFUNCTION("IFERROR(
  VLOOKUP(
    A41,
    IMPORTRANGE(
      ""1ZygntHC1J6IxzKbTidmOyf5nUyW4GCLurHCjexrLm_o"",
      ""HTMLキャッシュ!A:F""
    ),
    5,
    FALSE
  ),
  0
)
"),"水そうとグラフ・容器をかたむける｜折れ線の理由と平均の高さ")</f>
        <v>水そうとグラフ・容器をかたむける｜折れ線の理由と平均の高さ</v>
      </c>
      <c r="D41" s="1" t="str">
        <f>IFERROR(__xludf.DUMMYFUNCTION("IFERROR(
  VLOOKUP(
    A41,
    IMPORTRANGE(
      ""1ZygntHC1J6IxzKbTidmOyf5nUyW4GCLurHCjexrLm_o        "",
      ""HTMLキャッシュ!A:F""
    ),
    6,
    FALSE
  ),
  0
)
"),"サピックス小5算数の水そうとグラフ・容器をかたむけるのポイントを整理。折れ線の意味、正面図に書く情報、何分で何cmの読み方、平均の高さを分かりやすく解説します。")</f>
        <v>サピックス小5算数の水そうとグラフ・容器をかたむけるのポイントを整理。折れ線の意味、正面図に書く情報、何分で何cmの読み方、平均の高さを分かりやすく解説します。</v>
      </c>
      <c r="E41" s="49">
        <f t="shared" ref="E41:F41" si="196">LEN(C41)</f>
        <v>29</v>
      </c>
      <c r="F41" s="49">
        <f t="shared" si="196"/>
        <v>80</v>
      </c>
      <c r="G41" s="32">
        <f>IFERROR(__xludf.DUMMYFUNCTION("IFERROR(
  VLOOKUP(
    A41,
    IMPORTRANGE(
      ""1ZygntHC1J6IxzKbTidmOyf5nUyW4GCLurHCjexrLm_o        "",
      ""HTMLキャッシュ!A:F""
    ),
    3,
    FALSE
  ),
  0
)
"),46078.63425925926)</f>
        <v>46078.63426</v>
      </c>
      <c r="H41" s="54">
        <f>IFERROR(__xludf.DUMMYFUNCTION("IFERROR(
  VLOOKUP(
    A41,
    IMPORTRANGE(
      ""1ZHMy3vVUd_0MrSduXTe1etBb1HNpAlGwQr006ljwMiM"",
      ""GSC最新!A:F""
    ),
    2,
    FALSE
  ),
  0
)
"),7.0)</f>
        <v>7</v>
      </c>
      <c r="I41" s="54">
        <f>IFERROR(__xludf.DUMMYFUNCTION("IFERROR(
  VLOOKUP(
    A41,
    IMPORTRANGE(
      ""1ZHMy3vVUd_0MrSduXTe1etBb1HNpAlGwQr006ljwMiM"",
      ""GSC最新!A:F""
    ),
    3,
    FALSE
  ),
  0
)
"),9.0)</f>
        <v>9</v>
      </c>
      <c r="J41" s="54">
        <f>IFERROR(__xludf.DUMMYFUNCTION("IFERROR(
  VLOOKUP(
    A41,
    IMPORTRANGE(
      ""1ZHMy3vVUd_0MrSduXTe1etBb1HNpAlGwQr006ljwMiM"",
      ""GSC最新!A:F""
    ),
    4,
    FALSE
  ),
  0
)
"),1.0)</f>
        <v>1</v>
      </c>
      <c r="K41" s="54">
        <f>IFERROR(__xludf.DUMMYFUNCTION("IFERROR(
  VLOOKUP(
    A41,
    IMPORTRANGE(
      ""1ZHMy3vVUd_0MrSduXTe1etBb1HNpAlGwQr006ljwMiM"",
      ""GSC最新!A:F""
    ),
    5,
    FALSE
  ),
  0
)
"),1.0)</f>
        <v>1</v>
      </c>
      <c r="L41" s="50">
        <f t="shared" ref="L41:M41" si="197">IFERROR(H41/J41,"-")</f>
        <v>7</v>
      </c>
      <c r="M41" s="50">
        <f t="shared" si="197"/>
        <v>9</v>
      </c>
      <c r="N41" s="59">
        <f>IFERROR(__xludf.DUMMYFUNCTION("IFERROR(
  VLOOKUP(
    A41,
    IMPORTRANGE(
      ""1ZHMy3vVUd_0MrSduXTe1etBb1HNpAlGwQr006ljwMiM"",
      ""GSC最新!A:R""
    ),
    7,
    FALSE
  ),
  0
)
"),234.0)</f>
        <v>234</v>
      </c>
      <c r="O41" s="59">
        <f>IFERROR(__xludf.DUMMYFUNCTION("IFERROR(
  VLOOKUP(
    A41,
    IMPORTRANGE(
      ""1ZHMy3vVUd_0MrSduXTe1etBb1HNpAlGwQr006ljwMiM"",
      ""GSC最新!A:R""
    ),
    10,
    FALSE
  ),
  0
)
"),426.0)</f>
        <v>426</v>
      </c>
      <c r="P41" s="59">
        <f>IFERROR(__xludf.DUMMYFUNCTION("IFERROR(
  VLOOKUP(
    A41,
    IMPORTRANGE(
      ""1ZHMy3vVUd_0MrSduXTe1etBb1HNpAlGwQr006ljwMiM"",
      ""GSC最新!A:R""
    ),
    13,
    FALSE
  ),
  0
)
"),4.0)</f>
        <v>4</v>
      </c>
      <c r="Q41" s="59">
        <f>IFERROR(__xludf.DUMMYFUNCTION("IFERROR(
  VLOOKUP(
    A41,
    IMPORTRANGE(
      ""1ZHMy3vVUd_0MrSduXTe1etBb1HNpAlGwQr006ljwMiM"",
      ""GSC最新!A:R""
    ),
    16,
    FALSE
  ),
  0
)
"),35.0)</f>
        <v>35</v>
      </c>
      <c r="R41" s="50">
        <f t="shared" ref="R41:S41" si="198">IFERROR(N41/P41,"-")</f>
        <v>58.5</v>
      </c>
      <c r="S41" s="50">
        <f t="shared" si="198"/>
        <v>12.17142857</v>
      </c>
      <c r="T41" s="60">
        <f>IFERROR(__xludf.DUMMYFUNCTION("IFERROR(
  VLOOKUP(
    A41,
    IMPORTRANGE(
      ""1ZHMy3vVUd_0MrSduXTe1etBb1HNpAlGwQr006ljwMiM"",
      ""GSC最新!A:R""
    ),
    8,
    FALSE
  ),
  0
)
"),0.029914529914529916)</f>
        <v>0.02991452991</v>
      </c>
      <c r="U41" s="60">
        <f>IFERROR(__xludf.DUMMYFUNCTION("IFERROR(
  VLOOKUP(
    A41,
    IMPORTRANGE(
      ""1ZHMy3vVUd_0MrSduXTe1etBb1HNpAlGwQr006ljwMiM"",
      ""GSC最新!A:R""
    ),
    11,
    FALSE
  ),
  0
)
"),0.02112676056338028)</f>
        <v>0.02112676056</v>
      </c>
      <c r="V41" s="60">
        <f>IFERROR(__xludf.DUMMYFUNCTION("IFERROR(
  VLOOKUP(
    A41,
    IMPORTRANGE(
      ""1ZHMy3vVUd_0MrSduXTe1etBb1HNpAlGwQr006ljwMiM"",
      ""GSC最新!A:R""
    ),
    14,
    FALSE
  ),
  0
)
"),0.25)</f>
        <v>0.25</v>
      </c>
      <c r="W41" s="60">
        <f>IFERROR(__xludf.DUMMYFUNCTION("IFERROR(
  VLOOKUP(
    A41,
    IMPORTRANGE(
      ""1ZHMy3vVUd_0MrSduXTe1etBb1HNpAlGwQr006ljwMiM"",
      ""GSC最新!A:R""
    ),
    17,
    FALSE
  ),
  0
)
"),0.02857142857142857)</f>
        <v>0.02857142857</v>
      </c>
      <c r="X41" s="60">
        <f t="shared" ref="X41:Y41" si="199">IFERROR(T41-V41,"-")</f>
        <v>-0.2200854701</v>
      </c>
      <c r="Y41" s="60">
        <f t="shared" si="199"/>
        <v>-0.007444668008</v>
      </c>
      <c r="Z41" s="52">
        <f>IFERROR(__xludf.DUMMYFUNCTION("IFERROR(
  VLOOKUP(
    A41,
    IMPORTRANGE(
      ""1ZHMy3vVUd_0MrSduXTe1etBb1HNpAlGwQr006ljwMiM"",
      ""GSC最新!A:R""
    ),
    9,
    FALSE
  ),
  0
)
"),6.286324786324786)</f>
        <v>6.286324786</v>
      </c>
      <c r="AA41" s="52">
        <f>IFERROR(__xludf.DUMMYFUNCTION("IFERROR(
  VLOOKUP(
    A41,
    IMPORTRANGE(
      ""1ZHMy3vVUd_0MrSduXTe1etBb1HNpAlGwQr006ljwMiM"",
      ""GSC最新!A:R""
    ),
    12,
    FALSE
  ),
  0
)
"),7.251173708920188)</f>
        <v>7.251173709</v>
      </c>
      <c r="AB41" s="52">
        <f>IFERROR(__xludf.DUMMYFUNCTION("IFERROR(
  VLOOKUP(
    A41,
    IMPORTRANGE(
      ""1ZHMy3vVUd_0MrSduXTe1etBb1HNpAlGwQr006ljwMiM"",
      ""GSC最新!A:R""
    ),
    15,
    FALSE
  ),
  0
)
"),17.75)</f>
        <v>17.75</v>
      </c>
      <c r="AC41" s="52">
        <f>IFERROR(__xludf.DUMMYFUNCTION("IFERROR(
  VLOOKUP(
    A41,
    IMPORTRANGE(
      ""1ZHMy3vVUd_0MrSduXTe1etBb1HNpAlGwQr006ljwMiM"",
      ""GSC最新!A:R""
    ),
    18,
    FALSE
  ),
  0
)
"),28.542857142857144)</f>
        <v>28.54285714</v>
      </c>
      <c r="AD41" s="52">
        <f t="shared" ref="AD41:AE41" si="200">Z41-AB41</f>
        <v>-11.46367521</v>
      </c>
      <c r="AE41" s="52">
        <f t="shared" si="200"/>
        <v>-21.29168343</v>
      </c>
      <c r="AF41" s="53">
        <f>IFERROR(__xludf.DUMMYFUNCTION("IFERROR(
  VLOOKUP(
    A41,
    IMPORTRANGE(
      ""1ZHMy3vVUd_0MrSduXTe1etBb1HNpAlGwQr006ljwMiM"",
      ""GSC最新!A:F""
    ),
    6,
    FALSE
  ),
  0
)
"),46081.0)</f>
        <v>46081</v>
      </c>
      <c r="AG41" s="54">
        <f>IFERROR(__xludf.DUMMYFUNCTION("IFERROR(
  VLOOKUP(
    A41,
    IMPORTRANGE(
      ""1SCYQd7_cobOYqT0r_F0IqD4tE4rYn5y8Eup4PJTH8es"",
      ""Snapshot!A:M""
    ),
    5,
    FALSE
  ),
  ""-""
)
"),8.0)</f>
        <v>8</v>
      </c>
      <c r="AH41" s="54">
        <f>IFERROR(__xludf.DUMMYFUNCTION("IFERROR(
  VLOOKUP(
    A41,
    IMPORTRANGE(
      ""1SCYQd7_cobOYqT0r_F0IqD4tE4rYn5y8Eup4PJTH8es"",
      ""Snapshot!A:M""
    ),
    6,
    FALSE
  ),
  0
)
"),10.0)</f>
        <v>10</v>
      </c>
      <c r="AI41" s="54">
        <f>IFERROR(__xludf.DUMMYFUNCTION("IFERROR(
  VLOOKUP(
    A41,
    IMPORTRANGE(
      ""1SCYQd7_cobOYqT0r_F0IqD4tE4rYn5y8Eup4PJTH8es"",
      ""Snapshot!A:M""
    ),
    7,
    FALSE
  ),
  0
)
"),3922.0)</f>
        <v>3922</v>
      </c>
      <c r="AJ41" s="54">
        <f>IFERROR(__xludf.DUMMYFUNCTION("IFERROR(
  VLOOKUP(
    A41,
    IMPORTRANGE(
      ""1SCYQd7_cobOYqT0r_F0IqD4tE4rYn5y8Eup4PJTH8es"",
      ""Snapshot!A:M""
    ),
    8,
    FALSE
  ),
  0
)
"),5.0)</f>
        <v>5</v>
      </c>
      <c r="AK41" s="54">
        <f>IFERROR(__xludf.DUMMYFUNCTION("IFERROR(
  VLOOKUP(
    A41,
    IMPORTRANGE(
      ""1SCYQd7_cobOYqT0r_F0IqD4tE4rYn5y8Eup4PJTH8es"",
      ""Snapshot!A:M""
    ),
    9,
    FALSE
  ),
  0
)
"),1.0)</f>
        <v>1</v>
      </c>
      <c r="AL41" s="54">
        <f>IFERROR(__xludf.DUMMYFUNCTION("IFERROR(
  VLOOKUP(
    A41,
    IMPORTRANGE(
      ""1SCYQd7_cobOYqT0r_F0IqD4tE4rYn5y8Eup4PJTH8es"",
      ""Snapshot!A:M""
    ),
    13,
    FALSE
  ),
  0
)
"),2.0)</f>
        <v>2</v>
      </c>
    </row>
    <row r="42">
      <c r="A42" s="3" t="s">
        <v>384</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"),"中学入試難問の扱い｜見抜き方と時間配分｜中学受験算数")</f>
        <v>中学入試難問の扱い｜見抜き方と時間配分｜中学受験算数</v>
      </c>
      <c r="D42" s="1" t="str">
        <f>IFERROR(__xludf.DUMMYFUNCTION("IFERROR(
  VLOOKUP(
    A42,
    IMPORTRANGE(
      ""1ZygntHC1J6IxzKbTidmOyf5nUyW4GCLurHCjexrLm_o        "",
      ""HTMLキャッシュ!A:F""
    ),
    6,
    FALSE
  ),
  0
)
"),"難問を追い過ぎず合格点に届く考え方。1問上限、途中点の拾い方、後半の易問確保を過去問で組み立てる。")</f>
        <v>難問を追い過ぎず合格点に届く考え方。1問上限、途中点の拾い方、後半の易問確保を過去問で組み立てる。</v>
      </c>
      <c r="E42" s="49">
        <f t="shared" ref="E42:F42" si="201">LEN(C42)</f>
        <v>26</v>
      </c>
      <c r="F42" s="49">
        <f t="shared" si="201"/>
        <v>49</v>
      </c>
      <c r="G42" s="32">
        <f>IFERROR(__xludf.DUMMYFUNCTION("IFERROR(
  VLOOKUP(
    A42,
    IMPORTRANGE(
      ""1ZygntHC1J6IxzKbTidmOyf5nUyW4GCLurHCjexrLm_o        "",
      ""HTMLキャッシュ!A:F""
    ),
    3,
    FALSE
  ),
  0
)
"),46077.735810185186)</f>
        <v>46077.73581</v>
      </c>
      <c r="H42" s="54">
        <f>IFERROR(__xludf.DUMMYFUNCTION("IFERROR(
  VLOOKUP(
    A42,
    IMPORTRANGE(
      ""1ZHMy3vVUd_0MrSduXTe1etBb1HNpAlGwQr006ljwMiM"",
      ""GSC最新!A:F""
    ),
    2,
    FALSE
  ),
  0
)
"),0.0)</f>
        <v>0</v>
      </c>
      <c r="I42" s="54">
        <f>IFERROR(__xludf.DUMMYFUNCTION("IFERROR(
  VLOOKUP(
    A42,
    IMPORTRANGE(
      ""1ZHMy3vVUd_0MrSduXTe1etBb1HNpAlGwQr006ljwMiM"",
      ""GSC最新!A:F""
    ),
    3,
    FALSE
  ),
  0
)
"),8.0)</f>
        <v>8</v>
      </c>
      <c r="J42" s="54">
        <f>IFERROR(__xludf.DUMMYFUNCTION("IFERROR(
  VLOOKUP(
    A42,
    IMPORTRANGE(
      ""1ZHMy3vVUd_0MrSduXTe1etBb1HNpAlGwQr006ljwMiM"",
      ""GSC最新!A:F""
    ),
    4,
    FALSE
  ),
  0
)
"),0.0)</f>
        <v>0</v>
      </c>
      <c r="K42" s="54">
        <f>IFERROR(__xludf.DUMMYFUNCTION("IFERROR(
  VLOOKUP(
    A42,
    IMPORTRANGE(
      ""1ZHMy3vVUd_0MrSduXTe1etBb1HNpAlGwQr006ljwMiM"",
      ""GSC最新!A:F""
    ),
    5,
    FALSE
  ),
  0
)
"),1.0)</f>
        <v>1</v>
      </c>
      <c r="L42" s="50" t="str">
        <f t="shared" ref="L42:M42" si="202">IFERROR(H42/J42,"-")</f>
        <v>-</v>
      </c>
      <c r="M42" s="50">
        <f t="shared" si="202"/>
        <v>8</v>
      </c>
      <c r="N42" s="59">
        <f>IFERROR(__xludf.DUMMYFUNCTION("IFERROR(
  VLOOKUP(
    A42,
    IMPORTRANGE(
      ""1ZHMy3vVUd_0MrSduXTe1etBb1HNpAlGwQr006ljwMiM"",
      ""GSC最新!A:R""
    ),
    7,
    FALSE
  ),
  0
)
"),120.0)</f>
        <v>120</v>
      </c>
      <c r="O42" s="59">
        <f>IFERROR(__xludf.DUMMYFUNCTION("IFERROR(
  VLOOKUP(
    A42,
    IMPORTRANGE(
      ""1ZHMy3vVUd_0MrSduXTe1etBb1HNpAlGwQr006ljwMiM"",
      ""GSC最新!A:R""
    ),
    10,
    FALSE
  ),
  0
)
"),481.0)</f>
        <v>481</v>
      </c>
      <c r="P42" s="59">
        <f>IFERROR(__xludf.DUMMYFUNCTION("IFERROR(
  VLOOKUP(
    A42,
    IMPORTRANGE(
      ""1ZHMy3vVUd_0MrSduXTe1etBb1HNpAlGwQr006ljwMiM"",
      ""GSC最新!A:R""
    ),
    13,
    FALSE
  ),
  0
)
"),15.0)</f>
        <v>15</v>
      </c>
      <c r="Q42" s="59">
        <f>IFERROR(__xludf.DUMMYFUNCTION("IFERROR(
  VLOOKUP(
    A42,
    IMPORTRANGE(
      ""1ZHMy3vVUd_0MrSduXTe1etBb1HNpAlGwQr006ljwMiM"",
      ""GSC最新!A:R""
    ),
    16,
    FALSE
  ),
  0
)
"),37.0)</f>
        <v>37</v>
      </c>
      <c r="R42" s="50">
        <f t="shared" ref="R42:S42" si="203">IFERROR(N42/P42,"-")</f>
        <v>8</v>
      </c>
      <c r="S42" s="50">
        <f t="shared" si="203"/>
        <v>13</v>
      </c>
      <c r="T42" s="60">
        <f>IFERROR(__xludf.DUMMYFUNCTION("IFERROR(
  VLOOKUP(
    A42,
    IMPORTRANGE(
      ""1ZHMy3vVUd_0MrSduXTe1etBb1HNpAlGwQr006ljwMiM"",
      ""GSC最新!A:R""
    ),
    8,
    FALSE
  ),
  0
)
"),0.0)</f>
        <v>0</v>
      </c>
      <c r="U42" s="60">
        <f>IFERROR(__xludf.DUMMYFUNCTION("IFERROR(
  VLOOKUP(
    A42,
    IMPORTRANGE(
      ""1ZHMy3vVUd_0MrSduXTe1etBb1HNpAlGwQr006ljwMiM"",
      ""GSC最新!A:R""
    ),
    11,
    FALSE
  ),
  0
)
"),0.016632016632016633)</f>
        <v>0.01663201663</v>
      </c>
      <c r="V42" s="60">
        <f>IFERROR(__xludf.DUMMYFUNCTION("IFERROR(
  VLOOKUP(
    A42,
    IMPORTRANGE(
      ""1ZHMy3vVUd_0MrSduXTe1etBb1HNpAlGwQr006ljwMiM"",
      ""GSC最新!A:R""
    ),
    14,
    FALSE
  ),
  0
)
"),0.0)</f>
        <v>0</v>
      </c>
      <c r="W42" s="60">
        <f>IFERROR(__xludf.DUMMYFUNCTION("IFERROR(
  VLOOKUP(
    A42,
    IMPORTRANGE(
      ""1ZHMy3vVUd_0MrSduXTe1etBb1HNpAlGwQr006ljwMiM"",
      ""GSC最新!A:R""
    ),
    17,
    FALSE
  ),
  0
)
"),0.02702702702702703)</f>
        <v>0.02702702703</v>
      </c>
      <c r="X42" s="60">
        <f t="shared" ref="X42:Y42" si="204">IFERROR(T42-V42,"-")</f>
        <v>0</v>
      </c>
      <c r="Y42" s="60">
        <f t="shared" si="204"/>
        <v>-0.0103950104</v>
      </c>
      <c r="Z42" s="52">
        <f>IFERROR(__xludf.DUMMYFUNCTION("IFERROR(
  VLOOKUP(
    A42,
    IMPORTRANGE(
      ""1ZHMy3vVUd_0MrSduXTe1etBb1HNpAlGwQr006ljwMiM"",
      ""GSC最新!A:R""
    ),
    9,
    FALSE
  ),
  0
)
"),6.516666666666667)</f>
        <v>6.516666667</v>
      </c>
      <c r="AA42" s="52">
        <f>IFERROR(__xludf.DUMMYFUNCTION("IFERROR(
  VLOOKUP(
    A42,
    IMPORTRANGE(
      ""1ZHMy3vVUd_0MrSduXTe1etBb1HNpAlGwQr006ljwMiM"",
      ""GSC最新!A:R""
    ),
    12,
    FALSE
  ),
  0
)
"),7.051975051975052)</f>
        <v>7.051975052</v>
      </c>
      <c r="AB42" s="52">
        <f>IFERROR(__xludf.DUMMYFUNCTION("IFERROR(
  VLOOKUP(
    A42,
    IMPORTRANGE(
      ""1ZHMy3vVUd_0MrSduXTe1etBb1HNpAlGwQr006ljwMiM"",
      ""GSC最新!A:R""
    ),
    15,
    FALSE
  ),
  0
)
"),36.93333333333333)</f>
        <v>36.93333333</v>
      </c>
      <c r="AC42" s="52">
        <f>IFERROR(__xludf.DUMMYFUNCTION("IFERROR(
  VLOOKUP(
    A42,
    IMPORTRANGE(
      ""1ZHMy3vVUd_0MrSduXTe1etBb1HNpAlGwQr006ljwMiM"",
      ""GSC最新!A:R""
    ),
    18,
    FALSE
  ),
  0
)
"),38.75675675675676)</f>
        <v>38.75675676</v>
      </c>
      <c r="AD42" s="52">
        <f t="shared" ref="AD42:AE42" si="205">Z42-AB42</f>
        <v>-30.41666667</v>
      </c>
      <c r="AE42" s="52">
        <f t="shared" si="205"/>
        <v>-31.7047817</v>
      </c>
      <c r="AF42" s="53">
        <f>IFERROR(__xludf.DUMMYFUNCTION("IFERROR(
  VLOOKUP(
    A42,
    IMPORTRANGE(
      ""1ZHMy3vVUd_0MrSduXTe1etBb1HNpAlGwQr006ljwMiM"",
      ""GSC最新!A:F""
    ),
    6,
    FALSE
  ),
  0
)
"),46081.0)</f>
        <v>46081</v>
      </c>
      <c r="AG42" s="54">
        <f>IFERROR(__xludf.DUMMYFUNCTION("IFERROR(
  VLOOKUP(
    A42,
    IMPORTRANGE(
      ""1SCYQd7_cobOYqT0r_F0IqD4tE4rYn5y8Eup4PJTH8es"",
      ""Snapshot!A:M""
    ),
    5,
    FALSE
  ),
  ""-""
)
"),1.0)</f>
        <v>1</v>
      </c>
      <c r="AH42" s="54">
        <f>IFERROR(__xludf.DUMMYFUNCTION("IFERROR(
  VLOOKUP(
    A42,
    IMPORTRANGE(
      ""1SCYQd7_cobOYqT0r_F0IqD4tE4rYn5y8Eup4PJTH8es"",
      ""Snapshot!A:M""
    ),
    6,
    FALSE
  ),
  0
)
"),0.0)</f>
        <v>0</v>
      </c>
      <c r="AI42" s="54">
        <f>IFERROR(__xludf.DUMMYFUNCTION("IFERROR(
  VLOOKUP(
    A42,
    IMPORTRANGE(
      ""1SCYQd7_cobOYqT0r_F0IqD4tE4rYn5y8Eup4PJTH8es"",
      ""Snapshot!A:M""
    ),
    7,
    FALSE
  ),
  0
)
"),1971.0)</f>
        <v>1971</v>
      </c>
      <c r="AJ42" s="54">
        <f>IFERROR(__xludf.DUMMYFUNCTION("IFERROR(
  VLOOKUP(
    A42,
    IMPORTRANGE(
      ""1SCYQd7_cobOYqT0r_F0IqD4tE4rYn5y8Eup4PJTH8es"",
      ""Snapshot!A:M""
    ),
    8,
    FALSE
  ),
  0
)
"),6.0)</f>
        <v>6</v>
      </c>
      <c r="AK42" s="54">
        <f>IFERROR(__xludf.DUMMYFUNCTION("IFERROR(
  VLOOKUP(
    A42,
    IMPORTRANGE(
      ""1SCYQd7_cobOYqT0r_F0IqD4tE4rYn5y8Eup4PJTH8es"",
      ""Snapshot!A:M""
    ),
    9,
    FALSE
  ),
  0
)
"),1.0)</f>
        <v>1</v>
      </c>
      <c r="AL42" s="54">
        <f>IFERROR(__xludf.DUMMYFUNCTION("IFERROR(
  VLOOKUP(
    A42,
    IMPORTRANGE(
      ""1SCYQd7_cobOYqT0r_F0IqD4tE4rYn5y8Eup4PJTH8es"",
      ""Snapshot!A:M""
    ),
    13,
    FALSE
  ),
  0
)
"),2.0)</f>
        <v>2</v>
      </c>
    </row>
    <row r="43">
      <c r="A43" s="3" t="s">
        <v>385</v>
      </c>
      <c r="B43" s="1" t="str">
        <f>IFERROR(__xludf.DUMMYFUNCTION("IFERROR(
  VLOOKUP(
    A43,
    IMPORTRANGE(
      ""1ZygntHC1J6IxzKbTidmOyf5nUyW4GCLurHCjexrLm_o"",
      ""HTMLキャッシュ!A:F""
    ),
    2,
    FALSE
  ),
  0
)
"),"MC")</f>
        <v>MC</v>
      </c>
      <c r="C43" s="1" t="str">
        <f>IFERROR(__xludf.DUMMYFUNCTION("IFERROR(
  VLOOKUP(
    A43,
    IMPORTRANGE(
      ""1ZygntHC1J6IxzKbTidmOyf5nUyW4GCLurHCjexrLm_o"",
      ""HTMLキャッシュ!A:F""
    ),
    5,
    FALSE
  ),
  0
)
"),"早稲田中学校令和2年度算数過去問解説｜大問別思考と攻略法")</f>
        <v>早稲田中学校令和2年度算数過去問解説｜大問別思考と攻略法</v>
      </c>
      <c r="D43" s="1" t="str">
        <f>IFERROR(__xludf.DUMMYFUNCTION("IFERROR(
  VLOOKUP(
    A43,
    IMPORTRANGE(
      ""1ZygntHC1J6IxzKbTidmOyf5nUyW4GCLurHCjexrLm_o        "",
      ""HTMLキャッシュ!A:F""
    ),
    6,
    FALSE
  ),
  0
)
"),"早稲田中学校 令和2年度算数の過去問から、大問1〜3を動画で解説。解答の流れや考え方を確認したい小6向け。")</f>
        <v>早稲田中学校 令和2年度算数の過去問から、大問1〜3を動画で解説。解答の流れや考え方を確認したい小6向け。</v>
      </c>
      <c r="E43" s="49">
        <f t="shared" ref="E43:F43" si="206">LEN(C43)</f>
        <v>28</v>
      </c>
      <c r="F43" s="49">
        <f t="shared" si="206"/>
        <v>53</v>
      </c>
      <c r="G43" s="32">
        <f>IFERROR(__xludf.DUMMYFUNCTION("IFERROR(
  VLOOKUP(
    A43,
    IMPORTRANGE(
      ""1ZygntHC1J6IxzKbTidmOyf5nUyW4GCLurHCjexrLm_o        "",
      ""HTMLキャッシュ!A:F""
    ),
    3,
    FALSE
  ),
  0
)
"),46074.55207175926)</f>
        <v>46074.55207</v>
      </c>
      <c r="H43" s="54">
        <f>IFERROR(__xludf.DUMMYFUNCTION("IFERROR(
  VLOOKUP(
    A43,
    IMPORTRANGE(
      ""1ZHMy3vVUd_0MrSduXTe1etBb1HNpAlGwQr006ljwMiM"",
      ""GSC最新!A:F""
    ),
    2,
    FALSE
  ),
  0
)
"),4.0)</f>
        <v>4</v>
      </c>
      <c r="I43" s="54">
        <f>IFERROR(__xludf.DUMMYFUNCTION("IFERROR(
  VLOOKUP(
    A43,
    IMPORTRANGE(
      ""1ZHMy3vVUd_0MrSduXTe1etBb1HNpAlGwQr006ljwMiM"",
      ""GSC最新!A:F""
    ),
    3,
    FALSE
  ),
  0
)
"),9.0)</f>
        <v>9</v>
      </c>
      <c r="J43" s="54">
        <f>IFERROR(__xludf.DUMMYFUNCTION("IFERROR(
  VLOOKUP(
    A43,
    IMPORTRANGE(
      ""1ZHMy3vVUd_0MrSduXTe1etBb1HNpAlGwQr006ljwMiM"",
      ""GSC最新!A:F""
    ),
    4,
    FALSE
  ),
  0
)
"),0.0)</f>
        <v>0</v>
      </c>
      <c r="K43" s="54">
        <f>IFERROR(__xludf.DUMMYFUNCTION("IFERROR(
  VLOOKUP(
    A43,
    IMPORTRANGE(
      ""1ZHMy3vVUd_0MrSduXTe1etBb1HNpAlGwQr006ljwMiM"",
      ""GSC最新!A:F""
    ),
    5,
    FALSE
  ),
  0
)
"),0.0)</f>
        <v>0</v>
      </c>
      <c r="L43" s="50" t="str">
        <f t="shared" ref="L43:M43" si="207">IFERROR(H43/J43,"-")</f>
        <v>-</v>
      </c>
      <c r="M43" s="50" t="str">
        <f t="shared" si="207"/>
        <v>-</v>
      </c>
      <c r="N43" s="59">
        <f>IFERROR(__xludf.DUMMYFUNCTION("IFERROR(
  VLOOKUP(
    A43,
    IMPORTRANGE(
      ""1ZHMy3vVUd_0MrSduXTe1etBb1HNpAlGwQr006ljwMiM"",
      ""GSC最新!A:R""
    ),
    7,
    FALSE
  ),
  0
)
"),158.0)</f>
        <v>158</v>
      </c>
      <c r="O43" s="59">
        <f>IFERROR(__xludf.DUMMYFUNCTION("IFERROR(
  VLOOKUP(
    A43,
    IMPORTRANGE(
      ""1ZHMy3vVUd_0MrSduXTe1etBb1HNpAlGwQr006ljwMiM"",
      ""GSC最新!A:R""
    ),
    10,
    FALSE
  ),
  0
)
"),344.0)</f>
        <v>344</v>
      </c>
      <c r="P43" s="59">
        <f>IFERROR(__xludf.DUMMYFUNCTION("IFERROR(
  VLOOKUP(
    A43,
    IMPORTRANGE(
      ""1ZHMy3vVUd_0MrSduXTe1etBb1HNpAlGwQr006ljwMiM"",
      ""GSC最新!A:R""
    ),
    13,
    FALSE
  ),
  0
)
"),10.0)</f>
        <v>10</v>
      </c>
      <c r="Q43" s="59">
        <f>IFERROR(__xludf.DUMMYFUNCTION("IFERROR(
  VLOOKUP(
    A43,
    IMPORTRANGE(
      ""1ZHMy3vVUd_0MrSduXTe1etBb1HNpAlGwQr006ljwMiM"",
      ""GSC最新!A:R""
    ),
    16,
    FALSE
  ),
  0
)
"),299.0)</f>
        <v>299</v>
      </c>
      <c r="R43" s="50">
        <f t="shared" ref="R43:S43" si="208">IFERROR(N43/P43,"-")</f>
        <v>15.8</v>
      </c>
      <c r="S43" s="50">
        <f t="shared" si="208"/>
        <v>1.150501672</v>
      </c>
      <c r="T43" s="60">
        <f>IFERROR(__xludf.DUMMYFUNCTION("IFERROR(
  VLOOKUP(
    A43,
    IMPORTRANGE(
      ""1ZHMy3vVUd_0MrSduXTe1etBb1HNpAlGwQr006ljwMiM"",
      ""GSC最新!A:R""
    ),
    8,
    FALSE
  ),
  0
)
"),0.02531645569620253)</f>
        <v>0.0253164557</v>
      </c>
      <c r="U43" s="60">
        <f>IFERROR(__xludf.DUMMYFUNCTION("IFERROR(
  VLOOKUP(
    A43,
    IMPORTRANGE(
      ""1ZHMy3vVUd_0MrSduXTe1etBb1HNpAlGwQr006ljwMiM"",
      ""GSC最新!A:R""
    ),
    11,
    FALSE
  ),
  0
)
"),0.02616279069767442)</f>
        <v>0.0261627907</v>
      </c>
      <c r="V43" s="60">
        <f>IFERROR(__xludf.DUMMYFUNCTION("IFERROR(
  VLOOKUP(
    A43,
    IMPORTRANGE(
      ""1ZHMy3vVUd_0MrSduXTe1etBb1HNpAlGwQr006ljwMiM"",
      ""GSC最新!A:R""
    ),
    14,
    FALSE
  ),
  0
)
"),0.0)</f>
        <v>0</v>
      </c>
      <c r="W43" s="60">
        <f>IFERROR(__xludf.DUMMYFUNCTION("IFERROR(
  VLOOKUP(
    A43,
    IMPORTRANGE(
      ""1ZHMy3vVUd_0MrSduXTe1etBb1HNpAlGwQr006ljwMiM"",
      ""GSC最新!A:R""
    ),
    17,
    FALSE
  ),
  0
)
"),0.0)</f>
        <v>0</v>
      </c>
      <c r="X43" s="60">
        <f t="shared" ref="X43:Y43" si="209">IFERROR(T43-V43,"-")</f>
        <v>0.0253164557</v>
      </c>
      <c r="Y43" s="60">
        <f t="shared" si="209"/>
        <v>0.0261627907</v>
      </c>
      <c r="Z43" s="52">
        <f>IFERROR(__xludf.DUMMYFUNCTION("IFERROR(
  VLOOKUP(
    A43,
    IMPORTRANGE(
      ""1ZHMy3vVUd_0MrSduXTe1etBb1HNpAlGwQr006ljwMiM"",
      ""GSC最新!A:R""
    ),
    9,
    FALSE
  ),
  0
)
"),9.386075949367088)</f>
        <v>9.386075949</v>
      </c>
      <c r="AA43" s="52">
        <f>IFERROR(__xludf.DUMMYFUNCTION("IFERROR(
  VLOOKUP(
    A43,
    IMPORTRANGE(
      ""1ZHMy3vVUd_0MrSduXTe1etBb1HNpAlGwQr006ljwMiM"",
      ""GSC最新!A:R""
    ),
    12,
    FALSE
  ),
  0
)
"),10.005813953488373)</f>
        <v>10.00581395</v>
      </c>
      <c r="AB43" s="52">
        <f>IFERROR(__xludf.DUMMYFUNCTION("IFERROR(
  VLOOKUP(
    A43,
    IMPORTRANGE(
      ""1ZHMy3vVUd_0MrSduXTe1etBb1HNpAlGwQr006ljwMiM"",
      ""GSC最新!A:R""
    ),
    15,
    FALSE
  ),
  0
)
"),71.6)</f>
        <v>71.6</v>
      </c>
      <c r="AC43" s="52">
        <f>IFERROR(__xludf.DUMMYFUNCTION("IFERROR(
  VLOOKUP(
    A43,
    IMPORTRANGE(
      ""1ZHMy3vVUd_0MrSduXTe1etBb1HNpAlGwQr006ljwMiM"",
      ""GSC最新!A:R""
    ),
    18,
    FALSE
  ),
  0
)
"),60.12709030100334)</f>
        <v>60.1270903</v>
      </c>
      <c r="AD43" s="52">
        <f t="shared" ref="AD43:AE43" si="210">Z43-AB43</f>
        <v>-62.21392405</v>
      </c>
      <c r="AE43" s="52">
        <f t="shared" si="210"/>
        <v>-50.12127635</v>
      </c>
      <c r="AF43" s="53">
        <f>IFERROR(__xludf.DUMMYFUNCTION("IFERROR(
  VLOOKUP(
    A43,
    IMPORTRANGE(
      ""1ZHMy3vVUd_0MrSduXTe1etBb1HNpAlGwQr006ljwMiM"",
      ""GSC最新!A:F""
    ),
    6,
    FALSE
  ),
  0
)
"),46081.0)</f>
        <v>46081</v>
      </c>
      <c r="AG43" s="54">
        <f>IFERROR(__xludf.DUMMYFUNCTION("IFERROR(
  VLOOKUP(
    A43,
    IMPORTRANGE(
      ""1SCYQd7_cobOYqT0r_F0IqD4tE4rYn5y8Eup4PJTH8es"",
      ""Snapshot!A:M""
    ),
    5,
    FALSE
  ),
  ""-""
)
"),8.0)</f>
        <v>8</v>
      </c>
      <c r="AH43" s="54">
        <f>IFERROR(__xludf.DUMMYFUNCTION("IFERROR(
  VLOOKUP(
    A43,
    IMPORTRANGE(
      ""1SCYQd7_cobOYqT0r_F0IqD4tE4rYn5y8Eup4PJTH8es"",
      ""Snapshot!A:M""
    ),
    6,
    FALSE
  ),
  0
)
"),3.0)</f>
        <v>3</v>
      </c>
      <c r="AI43" s="54">
        <f>IFERROR(__xludf.DUMMYFUNCTION("IFERROR(
  VLOOKUP(
    A43,
    IMPORTRANGE(
      ""1SCYQd7_cobOYqT0r_F0IqD4tE4rYn5y8Eup4PJTH8es"",
      ""Snapshot!A:M""
    ),
    7,
    FALSE
  ),
  0
)
"),1218.0)</f>
        <v>1218</v>
      </c>
      <c r="AJ43" s="54">
        <f>IFERROR(__xludf.DUMMYFUNCTION("IFERROR(
  VLOOKUP(
    A43,
    IMPORTRANGE(
      ""1SCYQd7_cobOYqT0r_F0IqD4tE4rYn5y8Eup4PJTH8es"",
      ""Snapshot!A:M""
    ),
    8,
    FALSE
  ),
  0
)
"),3.0)</f>
        <v>3</v>
      </c>
      <c r="AK43" s="54">
        <f>IFERROR(__xludf.DUMMYFUNCTION("IFERROR(
  VLOOKUP(
    A43,
    IMPORTRANGE(
      ""1SCYQd7_cobOYqT0r_F0IqD4tE4rYn5y8Eup4PJTH8es"",
      ""Snapshot!A:M""
    ),
    9,
    FALSE
  ),
  0
)
"),1.0)</f>
        <v>1</v>
      </c>
      <c r="AL43" s="54">
        <f>IFERROR(__xludf.DUMMYFUNCTION("IFERROR(
  VLOOKUP(
    A43,
    IMPORTRANGE(
      ""1SCYQd7_cobOYqT0r_F0IqD4tE4rYn5y8Eup4PJTH8es"",
      ""Snapshot!A:M""
    ),
    13,
    FALSE
  ),
  0
)
"),2.0)</f>
        <v>2</v>
      </c>
    </row>
    <row r="44">
      <c r="A44" s="48" t="s">
        <v>386</v>
      </c>
      <c r="B44" s="1" t="str">
        <f>IFERROR(__xludf.DUMMYFUNCTION("IFERROR(
  VLOOKUP(
    A44,
    IMPORTRANGE(
      ""1ZygntHC1J6IxzKbTidmOyf5nUyW4GCLurHCjexrLm_o"",
      ""HTMLキャッシュ!A:F""
    ),
    2,
    FALSE
  ),
  0
)
"),"SC")</f>
        <v>SC</v>
      </c>
      <c r="C44" s="1" t="str">
        <f>IFERROR(__xludf.DUMMYFUNCTION("IFERROR(
  VLOOKUP(
    A44,
    IMPORTRANGE(
      ""1ZygntHC1J6IxzKbTidmOyf5nUyW4GCLurHCjexrLm_o"",
      ""HTMLキャッシュ!A:F""
    ),
    5,
    FALSE
  ),
  0
)
"),"小学生の算数オンライン個別｜質問できないを解消｜算数が苦手")</f>
        <v>小学生の算数オンライン個別｜質問できないを解消｜算数が苦手</v>
      </c>
      <c r="D44" s="1" t="str">
        <f>IFERROR(__xludf.DUMMYFUNCTION("IFERROR(
  VLOOKUP(
    A44,
    IMPORTRANGE(
      ""1ZygntHC1J6IxzKbTidmOyf5nUyW4GCLurHCjexrLm_o        "",
      ""HTMLキャッシュ!A:F""
    ),
    6,
    FALSE
  ),
  0
)
"),"「ついていけない」「分からないが言えない」を減らすオンライン個別の考え方。小4〜小6の基礎固めから受験頻出単元まで、学び方の目安を提示します。")</f>
        <v>「ついていけない」「分からないが言えない」を減らすオンライン個別の考え方。小4〜小6の基礎固めから受験頻出単元まで、学び方の目安を提示します。</v>
      </c>
      <c r="E44" s="49">
        <f t="shared" ref="E44:F44" si="211">LEN(C44)</f>
        <v>29</v>
      </c>
      <c r="F44" s="49">
        <f t="shared" si="211"/>
        <v>71</v>
      </c>
      <c r="G44" s="32">
        <f>IFERROR(__xludf.DUMMYFUNCTION("IFERROR(
  VLOOKUP(
    A44,
    IMPORTRANGE(
      ""1ZygntHC1J6IxzKbTidmOyf5nUyW4GCLurHCjexrLm_o        "",
      ""HTMLキャッシュ!A:F""
    ),
    3,
    FALSE
  ),
  0
)
"),46084.64635416667)</f>
        <v>46084.64635</v>
      </c>
      <c r="H44" s="54">
        <f>IFERROR(__xludf.DUMMYFUNCTION("IFERROR(
  VLOOKUP(
    A44,
    IMPORTRANGE(
      ""1ZHMy3vVUd_0MrSduXTe1etBb1HNpAlGwQr006ljwMiM"",
      ""GSC最新!A:F""
    ),
    2,
    FALSE
  ),
  0
)
"),2.0)</f>
        <v>2</v>
      </c>
      <c r="I44" s="54">
        <f>IFERROR(__xludf.DUMMYFUNCTION("IFERROR(
  VLOOKUP(
    A44,
    IMPORTRANGE(
      ""1ZHMy3vVUd_0MrSduXTe1etBb1HNpAlGwQr006ljwMiM"",
      ""GSC最新!A:F""
    ),
    3,
    FALSE
  ),
  0
)
"),8.0)</f>
        <v>8</v>
      </c>
      <c r="J44" s="54">
        <f>IFERROR(__xludf.DUMMYFUNCTION("IFERROR(
  VLOOKUP(
    A44,
    IMPORTRANGE(
      ""1ZHMy3vVUd_0MrSduXTe1etBb1HNpAlGwQr006ljwMiM"",
      ""GSC最新!A:F""
    ),
    4,
    FALSE
  ),
  0
)
"),0.0)</f>
        <v>0</v>
      </c>
      <c r="K44" s="54">
        <f>IFERROR(__xludf.DUMMYFUNCTION("IFERROR(
  VLOOKUP(
    A44,
    IMPORTRANGE(
      ""1ZHMy3vVUd_0MrSduXTe1etBb1HNpAlGwQr006ljwMiM"",
      ""GSC最新!A:F""
    ),
    5,
    FALSE
  ),
  0
)
"),1.0)</f>
        <v>1</v>
      </c>
      <c r="L44" s="50" t="str">
        <f t="shared" ref="L44:M44" si="212">IFERROR(H44/J44,"-")</f>
        <v>-</v>
      </c>
      <c r="M44" s="50">
        <f t="shared" si="212"/>
        <v>8</v>
      </c>
      <c r="N44" s="59">
        <f>IFERROR(__xludf.DUMMYFUNCTION("IFERROR(
  VLOOKUP(
    A44,
    IMPORTRANGE(
      ""1ZHMy3vVUd_0MrSduXTe1etBb1HNpAlGwQr006ljwMiM"",
      ""GSC最新!A:R""
    ),
    7,
    FALSE
  ),
  0
)
"),63.0)</f>
        <v>63</v>
      </c>
      <c r="O44" s="59">
        <f>IFERROR(__xludf.DUMMYFUNCTION("IFERROR(
  VLOOKUP(
    A44,
    IMPORTRANGE(
      ""1ZHMy3vVUd_0MrSduXTe1etBb1HNpAlGwQr006ljwMiM"",
      ""GSC最新!A:R""
    ),
    10,
    FALSE
  ),
  0
)
"),197.0)</f>
        <v>197</v>
      </c>
      <c r="P44" s="59">
        <f>IFERROR(__xludf.DUMMYFUNCTION("IFERROR(
  VLOOKUP(
    A44,
    IMPORTRANGE(
      ""1ZHMy3vVUd_0MrSduXTe1etBb1HNpAlGwQr006ljwMiM"",
      ""GSC最新!A:R""
    ),
    13,
    FALSE
  ),
  0
)
"),493.0)</f>
        <v>493</v>
      </c>
      <c r="Q44" s="59">
        <f>IFERROR(__xludf.DUMMYFUNCTION("IFERROR(
  VLOOKUP(
    A44,
    IMPORTRANGE(
      ""1ZHMy3vVUd_0MrSduXTe1etBb1HNpAlGwQr006ljwMiM"",
      ""GSC最新!A:R""
    ),
    16,
    FALSE
  ),
  0
)
"),969.0)</f>
        <v>969</v>
      </c>
      <c r="R44" s="50">
        <f t="shared" ref="R44:S44" si="213">IFERROR(N44/P44,"-")</f>
        <v>0.1277890467</v>
      </c>
      <c r="S44" s="50">
        <f t="shared" si="213"/>
        <v>0.2033023736</v>
      </c>
      <c r="T44" s="60">
        <f>IFERROR(__xludf.DUMMYFUNCTION("IFERROR(
  VLOOKUP(
    A44,
    IMPORTRANGE(
      ""1ZHMy3vVUd_0MrSduXTe1etBb1HNpAlGwQr006ljwMiM"",
      ""GSC最新!A:R""
    ),
    8,
    FALSE
  ),
  0
)
"),0.031746031746031744)</f>
        <v>0.03174603175</v>
      </c>
      <c r="U44" s="60">
        <f>IFERROR(__xludf.DUMMYFUNCTION("IFERROR(
  VLOOKUP(
    A44,
    IMPORTRANGE(
      ""1ZHMy3vVUd_0MrSduXTe1etBb1HNpAlGwQr006ljwMiM"",
      ""GSC最新!A:R""
    ),
    11,
    FALSE
  ),
  0
)
"),0.04060913705583756)</f>
        <v>0.04060913706</v>
      </c>
      <c r="V44" s="60">
        <f>IFERROR(__xludf.DUMMYFUNCTION("IFERROR(
  VLOOKUP(
    A44,
    IMPORTRANGE(
      ""1ZHMy3vVUd_0MrSduXTe1etBb1HNpAlGwQr006ljwMiM"",
      ""GSC最新!A:R""
    ),
    14,
    FALSE
  ),
  0
)
"),0.0)</f>
        <v>0</v>
      </c>
      <c r="W44" s="60">
        <f>IFERROR(__xludf.DUMMYFUNCTION("IFERROR(
  VLOOKUP(
    A44,
    IMPORTRANGE(
      ""1ZHMy3vVUd_0MrSduXTe1etBb1HNpAlGwQr006ljwMiM"",
      ""GSC最新!A:R""
    ),
    17,
    FALSE
  ),
  0
)
"),0.0010319917440660474)</f>
        <v>0.001031991744</v>
      </c>
      <c r="X44" s="60">
        <f t="shared" ref="X44:Y44" si="214">IFERROR(T44-V44,"-")</f>
        <v>0.03174603175</v>
      </c>
      <c r="Y44" s="60">
        <f t="shared" si="214"/>
        <v>0.03957714531</v>
      </c>
      <c r="Z44" s="52">
        <f>IFERROR(__xludf.DUMMYFUNCTION("IFERROR(
  VLOOKUP(
    A44,
    IMPORTRANGE(
      ""1ZHMy3vVUd_0MrSduXTe1etBb1HNpAlGwQr006ljwMiM"",
      ""GSC最新!A:R""
    ),
    9,
    FALSE
  ),
  0
)
"),30.11111111111111)</f>
        <v>30.11111111</v>
      </c>
      <c r="AA44" s="52">
        <f>IFERROR(__xludf.DUMMYFUNCTION("IFERROR(
  VLOOKUP(
    A44,
    IMPORTRANGE(
      ""1ZHMy3vVUd_0MrSduXTe1etBb1HNpAlGwQr006ljwMiM"",
      ""GSC最新!A:R""
    ),
    12,
    FALSE
  ),
  0
)
"),21.64467005076142)</f>
        <v>21.64467005</v>
      </c>
      <c r="AB44" s="52">
        <f>IFERROR(__xludf.DUMMYFUNCTION("IFERROR(
  VLOOKUP(
    A44,
    IMPORTRANGE(
      ""1ZHMy3vVUd_0MrSduXTe1etBb1HNpAlGwQr006ljwMiM"",
      ""GSC最新!A:R""
    ),
    15,
    FALSE
  ),
  0
)
"),95.3184584178499)</f>
        <v>95.31845842</v>
      </c>
      <c r="AC44" s="52">
        <f>IFERROR(__xludf.DUMMYFUNCTION("IFERROR(
  VLOOKUP(
    A44,
    IMPORTRANGE(
      ""1ZHMy3vVUd_0MrSduXTe1etBb1HNpAlGwQr006ljwMiM"",
      ""GSC最新!A:R""
    ),
    18,
    FALSE
  ),
  0
)
"),89.13725490196079)</f>
        <v>89.1372549</v>
      </c>
      <c r="AD44" s="52">
        <f t="shared" ref="AD44:AE44" si="215">Z44-AB44</f>
        <v>-65.20734731</v>
      </c>
      <c r="AE44" s="52">
        <f t="shared" si="215"/>
        <v>-67.49258485</v>
      </c>
      <c r="AF44" s="53">
        <f>IFERROR(__xludf.DUMMYFUNCTION("IFERROR(
  VLOOKUP(
    A44,
    IMPORTRANGE(
      ""1ZHMy3vVUd_0MrSduXTe1etBb1HNpAlGwQr006ljwMiM"",
      ""GSC最新!A:F""
    ),
    6,
    FALSE
  ),
  0
)
"),46081.0)</f>
        <v>46081</v>
      </c>
      <c r="AG44" s="54">
        <f>IFERROR(__xludf.DUMMYFUNCTION("IFERROR(
  VLOOKUP(
    A44,
    IMPORTRANGE(
      ""1SCYQd7_cobOYqT0r_F0IqD4tE4rYn5y8Eup4PJTH8es"",
      ""Snapshot!A:M""
    ),
    5,
    FALSE
  ),
  ""-""
)
"),9.0)</f>
        <v>9</v>
      </c>
      <c r="AH44" s="54">
        <f>IFERROR(__xludf.DUMMYFUNCTION("IFERROR(
  VLOOKUP(
    A44,
    IMPORTRANGE(
      ""1SCYQd7_cobOYqT0r_F0IqD4tE4rYn5y8Eup4PJTH8es"",
      ""Snapshot!A:M""
    ),
    6,
    FALSE
  ),
  0
)
"),11.0)</f>
        <v>11</v>
      </c>
      <c r="AI44" s="54">
        <f>IFERROR(__xludf.DUMMYFUNCTION("IFERROR(
  VLOOKUP(
    A44,
    IMPORTRANGE(
      ""1SCYQd7_cobOYqT0r_F0IqD4tE4rYn5y8Eup4PJTH8es"",
      ""Snapshot!A:M""
    ),
    7,
    FALSE
  ),
  0
)
"),5543.0)</f>
        <v>5543</v>
      </c>
      <c r="AJ44" s="54">
        <f>IFERROR(__xludf.DUMMYFUNCTION("IFERROR(
  VLOOKUP(
    A44,
    IMPORTRANGE(
      ""1SCYQd7_cobOYqT0r_F0IqD4tE4rYn5y8Eup4PJTH8es"",
      ""Snapshot!A:M""
    ),
    8,
    FALSE
  ),
  0
)
"),4.0)</f>
        <v>4</v>
      </c>
      <c r="AK44" s="54">
        <f>IFERROR(__xludf.DUMMYFUNCTION("IFERROR(
  VLOOKUP(
    A44,
    IMPORTRANGE(
      ""1SCYQd7_cobOYqT0r_F0IqD4tE4rYn5y8Eup4PJTH8es"",
      ""Snapshot!A:M""
    ),
    9,
    FALSE
  ),
  0
)
"),2.0)</f>
        <v>2</v>
      </c>
      <c r="AL44" s="54">
        <f>IFERROR(__xludf.DUMMYFUNCTION("IFERROR(
  VLOOKUP(
    A44,
    IMPORTRANGE(
      ""1SCYQd7_cobOYqT0r_F0IqD4tE4rYn5y8Eup4PJTH8es"",
      ""Snapshot!A:M""
    ),
    13,
    FALSE
  ),
  0
)
"),2.0)</f>
        <v>2</v>
      </c>
    </row>
    <row r="45">
      <c r="A45" s="3" t="s">
        <v>387</v>
      </c>
      <c r="B45" s="1" t="str">
        <f>IFERROR(__xludf.DUMMYFUNCTION("IFERROR(
  VLOOKUP(
    A45,
    IMPORTRANGE(
      ""1ZygntHC1J6IxzKbTidmOyf5nUyW4GCLurHCjexrLm_o"",
      ""HTMLキャッシュ!A:F""
    ),
    2,
    FALSE
  ),
  0
)
"),"SC")</f>
        <v>SC</v>
      </c>
      <c r="C45" s="1" t="str">
        <f>IFERROR(__xludf.DUMMYFUNCTION("IFERROR(
  VLOOKUP(
    A45,
    IMPORTRANGE(
      ""1ZygntHC1J6IxzKbTidmOyf5nUyW4GCLurHCjexrLm_o"",
      ""HTMLキャッシュ!A:F""
    ),
    5,
    FALSE
  ),
  0
)
"),"中学受験算数の文章題対策──「読めない・解けない」を抜け出す読み方と考え方 - 中学受験専門 夏井算数塾")</f>
        <v>中学受験算数の文章題対策──「読めない・解けない」を抜け出す読み方と考え方 - 中学受験専門 夏井算数塾</v>
      </c>
      <c r="D45" s="1" t="str">
        <f>IFERROR(__xludf.DUMMYFUNCTION("IFERROR(
  VLOOKUP(
    A45,
    IMPORTRANGE(
      ""1ZygntHC1J6IxzKbTidmOyf5nUyW4GCLurHCjexrLm_o        "",
      ""HTMLキャッシュ!A:F""
    ),
    6,
    FALSE
  ),
  0
)
"),"中学受験の算数文章題が文章の時点でつまずく…という小４〜小６向けに、図・式への書き換え方、条件整理のコツ、家庭でできる練習法までを具体例付きで解説。「読めない・解けない」を抜け出し、標準〜応用問題の得点源にするための対策ガイド。")</f>
        <v>中学受験の算数文章題が文章の時点でつまずく…という小４〜小６向けに、図・式への書き換え方、条件整理のコツ、家庭でできる練習法までを具体例付きで解説。「読めない・解けない」を抜け出し、標準〜応用問題の得点源にするための対策ガイド。</v>
      </c>
      <c r="E45" s="49">
        <f t="shared" ref="E45:F45" si="216">LEN(C45)</f>
        <v>52</v>
      </c>
      <c r="F45" s="49">
        <f t="shared" si="216"/>
        <v>114</v>
      </c>
      <c r="G45" s="32">
        <f>IFERROR(__xludf.DUMMYFUNCTION("IFERROR(
  VLOOKUP(
    A45,
    IMPORTRANGE(
      ""1ZygntHC1J6IxzKbTidmOyf5nUyW4GCLurHCjexrLm_o        "",
      ""HTMLキャッシュ!A:F""
    ),
    3,
    FALSE
  ),
  0
)
"),46048.66800925926)</f>
        <v>46048.66801</v>
      </c>
      <c r="H45" s="54">
        <f>IFERROR(__xludf.DUMMYFUNCTION("IFERROR(
  VLOOKUP(
    A45,
    IMPORTRANGE(
      ""1ZHMy3vVUd_0MrSduXTe1etBb1HNpAlGwQr006ljwMiM"",
      ""GSC最新!A:F""
    ),
    2,
    FALSE
  ),
  0
)
"),2.0)</f>
        <v>2</v>
      </c>
      <c r="I45" s="54">
        <f>IFERROR(__xludf.DUMMYFUNCTION("IFERROR(
  VLOOKUP(
    A45,
    IMPORTRANGE(
      ""1ZHMy3vVUd_0MrSduXTe1etBb1HNpAlGwQr006ljwMiM"",
      ""GSC最新!A:F""
    ),
    3,
    FALSE
  ),
  0
)
"),8.0)</f>
        <v>8</v>
      </c>
      <c r="J45" s="54">
        <f>IFERROR(__xludf.DUMMYFUNCTION("IFERROR(
  VLOOKUP(
    A45,
    IMPORTRANGE(
      ""1ZHMy3vVUd_0MrSduXTe1etBb1HNpAlGwQr006ljwMiM"",
      ""GSC最新!A:F""
    ),
    4,
    FALSE
  ),
  0
)
"),0.0)</f>
        <v>0</v>
      </c>
      <c r="K45" s="54">
        <f>IFERROR(__xludf.DUMMYFUNCTION("IFERROR(
  VLOOKUP(
    A45,
    IMPORTRANGE(
      ""1ZHMy3vVUd_0MrSduXTe1etBb1HNpAlGwQr006ljwMiM"",
      ""GSC最新!A:F""
    ),
    5,
    FALSE
  ),
  0
)
"),1.0)</f>
        <v>1</v>
      </c>
      <c r="L45" s="50" t="str">
        <f t="shared" ref="L45:M45" si="217">IFERROR(H45/J45,"-")</f>
        <v>-</v>
      </c>
      <c r="M45" s="50">
        <f t="shared" si="217"/>
        <v>8</v>
      </c>
      <c r="N45" s="59">
        <f>IFERROR(__xludf.DUMMYFUNCTION("IFERROR(
  VLOOKUP(
    A45,
    IMPORTRANGE(
      ""1ZHMy3vVUd_0MrSduXTe1etBb1HNpAlGwQr006ljwMiM"",
      ""GSC最新!A:R""
    ),
    7,
    FALSE
  ),
  0
)
"),61.0)</f>
        <v>61</v>
      </c>
      <c r="O45" s="59">
        <f>IFERROR(__xludf.DUMMYFUNCTION("IFERROR(
  VLOOKUP(
    A45,
    IMPORTRANGE(
      ""1ZHMy3vVUd_0MrSduXTe1etBb1HNpAlGwQr006ljwMiM"",
      ""GSC最新!A:R""
    ),
    10,
    FALSE
  ),
  0
)
"),156.0)</f>
        <v>156</v>
      </c>
      <c r="P45" s="59">
        <f>IFERROR(__xludf.DUMMYFUNCTION("IFERROR(
  VLOOKUP(
    A45,
    IMPORTRANGE(
      ""1ZHMy3vVUd_0MrSduXTe1etBb1HNpAlGwQr006ljwMiM"",
      ""GSC最新!A:R""
    ),
    13,
    FALSE
  ),
  0
)
"),13.0)</f>
        <v>13</v>
      </c>
      <c r="Q45" s="59">
        <f>IFERROR(__xludf.DUMMYFUNCTION("IFERROR(
  VLOOKUP(
    A45,
    IMPORTRANGE(
      ""1ZHMy3vVUd_0MrSduXTe1etBb1HNpAlGwQr006ljwMiM"",
      ""GSC最新!A:R""
    ),
    16,
    FALSE
  ),
  0
)
"),78.0)</f>
        <v>78</v>
      </c>
      <c r="R45" s="50">
        <f t="shared" ref="R45:S45" si="218">IFERROR(N45/P45,"-")</f>
        <v>4.692307692</v>
      </c>
      <c r="S45" s="50">
        <f t="shared" si="218"/>
        <v>2</v>
      </c>
      <c r="T45" s="60">
        <f>IFERROR(__xludf.DUMMYFUNCTION("IFERROR(
  VLOOKUP(
    A45,
    IMPORTRANGE(
      ""1ZHMy3vVUd_0MrSduXTe1etBb1HNpAlGwQr006ljwMiM"",
      ""GSC最新!A:R""
    ),
    8,
    FALSE
  ),
  0
)
"),0.03278688524590164)</f>
        <v>0.03278688525</v>
      </c>
      <c r="U45" s="60">
        <f>IFERROR(__xludf.DUMMYFUNCTION("IFERROR(
  VLOOKUP(
    A45,
    IMPORTRANGE(
      ""1ZHMy3vVUd_0MrSduXTe1etBb1HNpAlGwQr006ljwMiM"",
      ""GSC最新!A:R""
    ),
    11,
    FALSE
  ),
  0
)
"),0.05128205128205128)</f>
        <v>0.05128205128</v>
      </c>
      <c r="V45" s="60">
        <f>IFERROR(__xludf.DUMMYFUNCTION("IFERROR(
  VLOOKUP(
    A45,
    IMPORTRANGE(
      ""1ZHMy3vVUd_0MrSduXTe1etBb1HNpAlGwQr006ljwMiM"",
      ""GSC最新!A:R""
    ),
    14,
    FALSE
  ),
  0
)
"),0.0)</f>
        <v>0</v>
      </c>
      <c r="W45" s="60">
        <f>IFERROR(__xludf.DUMMYFUNCTION("IFERROR(
  VLOOKUP(
    A45,
    IMPORTRANGE(
      ""1ZHMy3vVUd_0MrSduXTe1etBb1HNpAlGwQr006ljwMiM"",
      ""GSC最新!A:R""
    ),
    17,
    FALSE
  ),
  0
)
"),0.01282051282051282)</f>
        <v>0.01282051282</v>
      </c>
      <c r="X45" s="60">
        <f t="shared" ref="X45:Y45" si="219">IFERROR(T45-V45,"-")</f>
        <v>0.03278688525</v>
      </c>
      <c r="Y45" s="60">
        <f t="shared" si="219"/>
        <v>0.03846153846</v>
      </c>
      <c r="Z45" s="52">
        <f>IFERROR(__xludf.DUMMYFUNCTION("IFERROR(
  VLOOKUP(
    A45,
    IMPORTRANGE(
      ""1ZHMy3vVUd_0MrSduXTe1etBb1HNpAlGwQr006ljwMiM"",
      ""GSC最新!A:R""
    ),
    9,
    FALSE
  ),
  0
)
"),11.737704918032787)</f>
        <v>11.73770492</v>
      </c>
      <c r="AA45" s="52">
        <f>IFERROR(__xludf.DUMMYFUNCTION("IFERROR(
  VLOOKUP(
    A45,
    IMPORTRANGE(
      ""1ZHMy3vVUd_0MrSduXTe1etBb1HNpAlGwQr006ljwMiM"",
      ""GSC最新!A:R""
    ),
    12,
    FALSE
  ),
  0
)
"),11.961538461538462)</f>
        <v>11.96153846</v>
      </c>
      <c r="AB45" s="52">
        <f>IFERROR(__xludf.DUMMYFUNCTION("IFERROR(
  VLOOKUP(
    A45,
    IMPORTRANGE(
      ""1ZHMy3vVUd_0MrSduXTe1etBb1HNpAlGwQr006ljwMiM"",
      ""GSC最新!A:R""
    ),
    15,
    FALSE
  ),
  0
)
"),23.384615384615383)</f>
        <v>23.38461538</v>
      </c>
      <c r="AC45" s="52">
        <f>IFERROR(__xludf.DUMMYFUNCTION("IFERROR(
  VLOOKUP(
    A45,
    IMPORTRANGE(
      ""1ZHMy3vVUd_0MrSduXTe1etBb1HNpAlGwQr006ljwMiM"",
      ""GSC最新!A:R""
    ),
    18,
    FALSE
  ),
  0
)
"),15.435897435897436)</f>
        <v>15.43589744</v>
      </c>
      <c r="AD45" s="52">
        <f t="shared" ref="AD45:AE45" si="220">Z45-AB45</f>
        <v>-11.64691047</v>
      </c>
      <c r="AE45" s="52">
        <f t="shared" si="220"/>
        <v>-3.474358974</v>
      </c>
      <c r="AF45" s="53">
        <f>IFERROR(__xludf.DUMMYFUNCTION("IFERROR(
  VLOOKUP(
    A45,
    IMPORTRANGE(
      ""1ZHMy3vVUd_0MrSduXTe1etBb1HNpAlGwQr006ljwMiM"",
      ""GSC最新!A:F""
    ),
    6,
    FALSE
  ),
  0
)
"),46081.0)</f>
        <v>46081</v>
      </c>
      <c r="AG45" s="54">
        <f>IFERROR(__xludf.DUMMYFUNCTION("IFERROR(
  VLOOKUP(
    A45,
    IMPORTRANGE(
      ""1SCYQd7_cobOYqT0r_F0IqD4tE4rYn5y8Eup4PJTH8es"",
      ""Snapshot!A:M""
    ),
    5,
    FALSE
  ),
  ""-""
)
"),2.0)</f>
        <v>2</v>
      </c>
      <c r="AH45" s="54">
        <f>IFERROR(__xludf.DUMMYFUNCTION("IFERROR(
  VLOOKUP(
    A45,
    IMPORTRANGE(
      ""1SCYQd7_cobOYqT0r_F0IqD4tE4rYn5y8Eup4PJTH8es"",
      ""Snapshot!A:M""
    ),
    6,
    FALSE
  ),
  0
)
"),4.0)</f>
        <v>4</v>
      </c>
      <c r="AI45" s="54">
        <f>IFERROR(__xludf.DUMMYFUNCTION("IFERROR(
  VLOOKUP(
    A45,
    IMPORTRANGE(
      ""1SCYQd7_cobOYqT0r_F0IqD4tE4rYn5y8Eup4PJTH8es"",
      ""Snapshot!A:M""
    ),
    7,
    FALSE
  ),
  0
)
"),2214.0)</f>
        <v>2214</v>
      </c>
      <c r="AJ45" s="54">
        <f>IFERROR(__xludf.DUMMYFUNCTION("IFERROR(
  VLOOKUP(
    A45,
    IMPORTRANGE(
      ""1SCYQd7_cobOYqT0r_F0IqD4tE4rYn5y8Eup4PJTH8es"",
      ""Snapshot!A:M""
    ),
    8,
    FALSE
  ),
  0
)
"),4.0)</f>
        <v>4</v>
      </c>
      <c r="AK45" s="54">
        <f>IFERROR(__xludf.DUMMYFUNCTION("IFERROR(
  VLOOKUP(
    A45,
    IMPORTRANGE(
      ""1SCYQd7_cobOYqT0r_F0IqD4tE4rYn5y8Eup4PJTH8es"",
      ""Snapshot!A:M""
    ),
    9,
    FALSE
  ),
  0
)
"),1.0)</f>
        <v>1</v>
      </c>
      <c r="AL45" s="54">
        <f>IFERROR(__xludf.DUMMYFUNCTION("IFERROR(
  VLOOKUP(
    A45,
    IMPORTRANGE(
      ""1SCYQd7_cobOYqT0r_F0IqD4tE4rYn5y8Eup4PJTH8es"",
      ""Snapshot!A:M""
    ),
    13,
    FALSE
  ),
  0
)
"),2.0)</f>
        <v>2</v>
      </c>
    </row>
    <row r="46">
      <c r="A46" s="48" t="s">
        <v>388</v>
      </c>
      <c r="B46" s="1" t="str">
        <f>IFERROR(__xludf.DUMMYFUNCTION("IFERROR(
  VLOOKUP(
    A46,
    IMPORTRANGE(
      ""1ZygntHC1J6IxzKbTidmOyf5nUyW4GCLurHCjexrLm_o"",
      ""HTMLキャッシュ!A:F""
    ),
    2,
    FALSE
  ),
  0
)
"),"ST")</f>
        <v>ST</v>
      </c>
      <c r="C46" s="1" t="str">
        <f>IFERROR(__xludf.DUMMYFUNCTION("IFERROR(
  VLOOKUP(
    A46,
    IMPORTRANGE(
      ""1ZygntHC1J6IxzKbTidmOyf5nUyW4GCLurHCjexrLm_o"",
      ""HTMLキャッシュ!A:F""
    ),
    5,
    FALSE
  ),
  0
)
"),"夏井算数塾の運営法人・所在地について｜会社概要ページ")</f>
        <v>夏井算数塾の運営法人・所在地について｜会社概要ページ</v>
      </c>
      <c r="D46" s="1" t="str">
        <f>IFERROR(__xludf.DUMMYFUNCTION("IFERROR(
  VLOOKUP(
    A46,
    IMPORTRANGE(
      ""1ZygntHC1J6IxzKbTidmOyf5nUyW4GCLurHCjexrLm_o        "",
      ""HTMLキャッシュ!A:F""
    ),
    6,
    FALSE
  ),
  0
)
"),"本ページは夏井算数塾の運営法人・所在地・沿革などをまとめた会社概要ページです。指導内容や受講案内ではなく、塾の基本情報・運営体制を確認したい方向けの情報を掲載しています。")</f>
        <v>本ページは夏井算数塾の運営法人・所在地・沿革などをまとめた会社概要ページです。指導内容や受講案内ではなく、塾の基本情報・運営体制を確認したい方向けの情報を掲載しています。</v>
      </c>
      <c r="E46" s="49">
        <f t="shared" ref="E46:F46" si="221">LEN(C46)</f>
        <v>26</v>
      </c>
      <c r="F46" s="49">
        <f t="shared" si="221"/>
        <v>85</v>
      </c>
      <c r="G46" s="32">
        <f>IFERROR(__xludf.DUMMYFUNCTION("IFERROR(
  VLOOKUP(
    A46,
    IMPORTRANGE(
      ""1ZygntHC1J6IxzKbTidmOyf5nUyW4GCLurHCjexrLm_o        "",
      ""HTMLキャッシュ!A:F""
    ),
    3,
    FALSE
  ),
  0
)
"),46013.5643287037)</f>
        <v>46013.56433</v>
      </c>
      <c r="H46" s="54">
        <f>IFERROR(__xludf.DUMMYFUNCTION("IFERROR(
  VLOOKUP(
    A46,
    IMPORTRANGE(
      ""1ZHMy3vVUd_0MrSduXTe1etBb1HNpAlGwQr006ljwMiM"",
      ""GSC最新!A:F""
    ),
    2,
    FALSE
  ),
  0
)
"),1.0)</f>
        <v>1</v>
      </c>
      <c r="I46" s="54">
        <f>IFERROR(__xludf.DUMMYFUNCTION("IFERROR(
  VLOOKUP(
    A46,
    IMPORTRANGE(
      ""1ZHMy3vVUd_0MrSduXTe1etBb1HNpAlGwQr006ljwMiM"",
      ""GSC最新!A:F""
    ),
    3,
    FALSE
  ),
  0
)
"),6.0)</f>
        <v>6</v>
      </c>
      <c r="J46" s="54">
        <f>IFERROR(__xludf.DUMMYFUNCTION("IFERROR(
  VLOOKUP(
    A46,
    IMPORTRANGE(
      ""1ZHMy3vVUd_0MrSduXTe1etBb1HNpAlGwQr006ljwMiM"",
      ""GSC最新!A:F""
    ),
    4,
    FALSE
  ),
  0
)
"),0.0)</f>
        <v>0</v>
      </c>
      <c r="K46" s="54">
        <f>IFERROR(__xludf.DUMMYFUNCTION("IFERROR(
  VLOOKUP(
    A46,
    IMPORTRANGE(
      ""1ZHMy3vVUd_0MrSduXTe1etBb1HNpAlGwQr006ljwMiM"",
      ""GSC最新!A:F""
    ),
    5,
    FALSE
  ),
  0
)
"),0.0)</f>
        <v>0</v>
      </c>
      <c r="L46" s="50" t="str">
        <f t="shared" ref="L46:M46" si="222">IFERROR(H46/J46,"-")</f>
        <v>-</v>
      </c>
      <c r="M46" s="50" t="str">
        <f t="shared" si="222"/>
        <v>-</v>
      </c>
      <c r="N46" s="59">
        <f>IFERROR(__xludf.DUMMYFUNCTION("IFERROR(
  VLOOKUP(
    A46,
    IMPORTRANGE(
      ""1ZHMy3vVUd_0MrSduXTe1etBb1HNpAlGwQr006ljwMiM"",
      ""GSC最新!A:R""
    ),
    7,
    FALSE
  ),
  0
)
"),161.0)</f>
        <v>161</v>
      </c>
      <c r="O46" s="59">
        <f>IFERROR(__xludf.DUMMYFUNCTION("IFERROR(
  VLOOKUP(
    A46,
    IMPORTRANGE(
      ""1ZHMy3vVUd_0MrSduXTe1etBb1HNpAlGwQr006ljwMiM"",
      ""GSC最新!A:R""
    ),
    10,
    FALSE
  ),
  0
)
"),429.0)</f>
        <v>429</v>
      </c>
      <c r="P46" s="59">
        <f>IFERROR(__xludf.DUMMYFUNCTION("IFERROR(
  VLOOKUP(
    A46,
    IMPORTRANGE(
      ""1ZHMy3vVUd_0MrSduXTe1etBb1HNpAlGwQr006ljwMiM"",
      ""GSC最新!A:R""
    ),
    13,
    FALSE
  ),
  0
)
"),155.0)</f>
        <v>155</v>
      </c>
      <c r="Q46" s="59">
        <f>IFERROR(__xludf.DUMMYFUNCTION("IFERROR(
  VLOOKUP(
    A46,
    IMPORTRANGE(
      ""1ZHMy3vVUd_0MrSduXTe1etBb1HNpAlGwQr006ljwMiM"",
      ""GSC最新!A:R""
    ),
    16,
    FALSE
  ),
  0
)
"),481.0)</f>
        <v>481</v>
      </c>
      <c r="R46" s="50">
        <f t="shared" ref="R46:S46" si="223">IFERROR(N46/P46,"-")</f>
        <v>1.038709677</v>
      </c>
      <c r="S46" s="50">
        <f t="shared" si="223"/>
        <v>0.8918918919</v>
      </c>
      <c r="T46" s="60">
        <f>IFERROR(__xludf.DUMMYFUNCTION("IFERROR(
  VLOOKUP(
    A46,
    IMPORTRANGE(
      ""1ZHMy3vVUd_0MrSduXTe1etBb1HNpAlGwQr006ljwMiM"",
      ""GSC最新!A:R""
    ),
    8,
    FALSE
  ),
  0
)
"),0.006211180124223602)</f>
        <v>0.006211180124</v>
      </c>
      <c r="U46" s="60">
        <f>IFERROR(__xludf.DUMMYFUNCTION("IFERROR(
  VLOOKUP(
    A46,
    IMPORTRANGE(
      ""1ZHMy3vVUd_0MrSduXTe1etBb1HNpAlGwQr006ljwMiM"",
      ""GSC最新!A:R""
    ),
    11,
    FALSE
  ),
  0
)
"),0.013986013986013986)</f>
        <v>0.01398601399</v>
      </c>
      <c r="V46" s="60">
        <f>IFERROR(__xludf.DUMMYFUNCTION("IFERROR(
  VLOOKUP(
    A46,
    IMPORTRANGE(
      ""1ZHMy3vVUd_0MrSduXTe1etBb1HNpAlGwQr006ljwMiM"",
      ""GSC最新!A:R""
    ),
    14,
    FALSE
  ),
  0
)
"),0.0)</f>
        <v>0</v>
      </c>
      <c r="W46" s="60">
        <f>IFERROR(__xludf.DUMMYFUNCTION("IFERROR(
  VLOOKUP(
    A46,
    IMPORTRANGE(
      ""1ZHMy3vVUd_0MrSduXTe1etBb1HNpAlGwQr006ljwMiM"",
      ""GSC最新!A:R""
    ),
    17,
    FALSE
  ),
  0
)
"),0.0)</f>
        <v>0</v>
      </c>
      <c r="X46" s="60">
        <f t="shared" ref="X46:Y46" si="224">IFERROR(T46-V46,"-")</f>
        <v>0.006211180124</v>
      </c>
      <c r="Y46" s="60">
        <f t="shared" si="224"/>
        <v>0.01398601399</v>
      </c>
      <c r="Z46" s="52">
        <f>IFERROR(__xludf.DUMMYFUNCTION("IFERROR(
  VLOOKUP(
    A46,
    IMPORTRANGE(
      ""1ZHMy3vVUd_0MrSduXTe1etBb1HNpAlGwQr006ljwMiM"",
      ""GSC最新!A:R""
    ),
    9,
    FALSE
  ),
  0
)
"),5.701863354037267)</f>
        <v>5.701863354</v>
      </c>
      <c r="AA46" s="52">
        <f>IFERROR(__xludf.DUMMYFUNCTION("IFERROR(
  VLOOKUP(
    A46,
    IMPORTRANGE(
      ""1ZHMy3vVUd_0MrSduXTe1etBb1HNpAlGwQr006ljwMiM"",
      ""GSC最新!A:R""
    ),
    12,
    FALSE
  ),
  0
)
"),5.144522144522145)</f>
        <v>5.144522145</v>
      </c>
      <c r="AB46" s="52">
        <f>IFERROR(__xludf.DUMMYFUNCTION("IFERROR(
  VLOOKUP(
    A46,
    IMPORTRANGE(
      ""1ZHMy3vVUd_0MrSduXTe1etBb1HNpAlGwQr006ljwMiM"",
      ""GSC最新!A:R""
    ),
    15,
    FALSE
  ),
  0
)
"),38.69032258064516)</f>
        <v>38.69032258</v>
      </c>
      <c r="AC46" s="52">
        <f>IFERROR(__xludf.DUMMYFUNCTION("IFERROR(
  VLOOKUP(
    A46,
    IMPORTRANGE(
      ""1ZHMy3vVUd_0MrSduXTe1etBb1HNpAlGwQr006ljwMiM"",
      ""GSC最新!A:R""
    ),
    18,
    FALSE
  ),
  0
)
"),37.08731808731809)</f>
        <v>37.08731809</v>
      </c>
      <c r="AD46" s="52">
        <f t="shared" ref="AD46:AE46" si="225">Z46-AB46</f>
        <v>-32.98845923</v>
      </c>
      <c r="AE46" s="52">
        <f t="shared" si="225"/>
        <v>-31.94279594</v>
      </c>
      <c r="AF46" s="53">
        <f>IFERROR(__xludf.DUMMYFUNCTION("IFERROR(
  VLOOKUP(
    A46,
    IMPORTRANGE(
      ""1ZHMy3vVUd_0MrSduXTe1etBb1HNpAlGwQr006ljwMiM"",
      ""GSC最新!A:F""
    ),
    6,
    FALSE
  ),
  0
)
"),46081.0)</f>
        <v>46081</v>
      </c>
      <c r="AG46" s="54">
        <f>IFERROR(__xludf.DUMMYFUNCTION("IFERROR(
  VLOOKUP(
    A46,
    IMPORTRANGE(
      ""1SCYQd7_cobOYqT0r_F0IqD4tE4rYn5y8Eup4PJTH8es"",
      ""Snapshot!A:M""
    ),
    5,
    FALSE
  ),
  ""-""
)
"),1.0)</f>
        <v>1</v>
      </c>
      <c r="AH46" s="54">
        <f>IFERROR(__xludf.DUMMYFUNCTION("IFERROR(
  VLOOKUP(
    A46,
    IMPORTRANGE(
      ""1SCYQd7_cobOYqT0r_F0IqD4tE4rYn5y8Eup4PJTH8es"",
      ""Snapshot!A:M""
    ),
    6,
    FALSE
  ),
  0
)
"),6.0)</f>
        <v>6</v>
      </c>
      <c r="AI46" s="54">
        <f>IFERROR(__xludf.DUMMYFUNCTION("IFERROR(
  VLOOKUP(
    A46,
    IMPORTRANGE(
      ""1SCYQd7_cobOYqT0r_F0IqD4tE4rYn5y8Eup4PJTH8es"",
      ""Snapshot!A:M""
    ),
    7,
    FALSE
  ),
  0
)
"),672.0)</f>
        <v>672</v>
      </c>
      <c r="AJ46" s="54">
        <f>IFERROR(__xludf.DUMMYFUNCTION("IFERROR(
  VLOOKUP(
    A46,
    IMPORTRANGE(
      ""1SCYQd7_cobOYqT0r_F0IqD4tE4rYn5y8Eup4PJTH8es"",
      ""Snapshot!A:M""
    ),
    8,
    FALSE
  ),
  0
)
"),1.0)</f>
        <v>1</v>
      </c>
      <c r="AK46" s="54">
        <f>IFERROR(__xludf.DUMMYFUNCTION("IFERROR(
  VLOOKUP(
    A46,
    IMPORTRANGE(
      ""1SCYQd7_cobOYqT0r_F0IqD4tE4rYn5y8Eup4PJTH8es"",
      ""Snapshot!A:M""
    ),
    9,
    FALSE
  ),
  0
)
"),1.0)</f>
        <v>1</v>
      </c>
      <c r="AL46" s="54">
        <f>IFERROR(__xludf.DUMMYFUNCTION("IFERROR(
  VLOOKUP(
    A46,
    IMPORTRANGE(
      ""1SCYQd7_cobOYqT0r_F0IqD4tE4rYn5y8Eup4PJTH8es"",
      ""Snapshot!A:M""
    ),
    13,
    FALSE
  ),
  0
)
"),1.0)</f>
        <v>1</v>
      </c>
    </row>
    <row r="47">
      <c r="A47" s="3" t="s">
        <v>389</v>
      </c>
      <c r="B47" s="1" t="str">
        <f>IFERROR(__xludf.DUMMYFUNCTION("IFERROR(
  VLOOKUP(
    A47,
    IMPORTRANGE(
      ""1ZygntHC1J6IxzKbTidmOyf5nUyW4GCLurHCjexrLm_o"",
      ""HTMLキャッシュ!A:F""
    ),
    2,
    FALSE
  ),
  0
)
"),"MC")</f>
        <v>MC</v>
      </c>
      <c r="C47" s="1" t="str">
        <f>IFERROR(__xludf.DUMMYFUNCTION("IFERROR(
  VLOOKUP(
    A47,
    IMPORTRANGE(
      ""1ZygntHC1J6IxzKbTidmOyf5nUyW4GCLurHCjexrLm_o"",
      ""HTMLキャッシュ!A:F""
    ),
    5,
    FALSE
  ),
  0
)
"),"SAPIXとの付き合い方15 受験算数で失敗しない関わり術")</f>
        <v>SAPIXとの付き合い方15 受験算数で失敗しない関わり術</v>
      </c>
      <c r="D47" s="1" t="str">
        <f>IFERROR(__xludf.DUMMYFUNCTION("IFERROR(
  VLOOKUP(
    A47,
    IMPORTRANGE(
      ""1ZygntHC1J6IxzKbTidmOyf5nUyW4GCLurHCjexrLm_o        "",
      ""HTMLキャッシュ!A:F""
    ),
    6,
    FALSE
  ),
  0
)
"),"サピックス小5算数の頻出単元を15分動画で予習復習。図形・数・速さ・立体・規則性を悩み別に整理。")</f>
        <v>サピックス小5算数の頻出単元を15分動画で予習復習。図形・数・速さ・立体・規則性を悩み別に整理。</v>
      </c>
      <c r="E47" s="49">
        <f t="shared" ref="E47:F47" si="226">LEN(C47)</f>
        <v>29</v>
      </c>
      <c r="F47" s="49">
        <f t="shared" si="226"/>
        <v>48</v>
      </c>
      <c r="G47" s="32">
        <f>IFERROR(__xludf.DUMMYFUNCTION("IFERROR(
  VLOOKUP(
    A47,
    IMPORTRANGE(
      ""1ZygntHC1J6IxzKbTidmOyf5nUyW4GCLurHCjexrLm_o        "",
      ""HTMLキャッシュ!A:F""
    ),
    3,
    FALSE
  ),
  0
)
"),46073.573969907404)</f>
        <v>46073.57397</v>
      </c>
      <c r="H47" s="54">
        <f>IFERROR(__xludf.DUMMYFUNCTION("IFERROR(
  VLOOKUP(
    A47,
    IMPORTRANGE(
      ""1ZHMy3vVUd_0MrSduXTe1etBb1HNpAlGwQr006ljwMiM"",
      ""GSC最新!A:F""
    ),
    2,
    FALSE
  ),
  0
)
"),5.0)</f>
        <v>5</v>
      </c>
      <c r="I47" s="54">
        <f>IFERROR(__xludf.DUMMYFUNCTION("IFERROR(
  VLOOKUP(
    A47,
    IMPORTRANGE(
      ""1ZHMy3vVUd_0MrSduXTe1etBb1HNpAlGwQr006ljwMiM"",
      ""GSC最新!A:F""
    ),
    3,
    FALSE
  ),
  0
)
"),6.0)</f>
        <v>6</v>
      </c>
      <c r="J47" s="54">
        <f>IFERROR(__xludf.DUMMYFUNCTION("IFERROR(
  VLOOKUP(
    A47,
    IMPORTRANGE(
      ""1ZHMy3vVUd_0MrSduXTe1etBb1HNpAlGwQr006ljwMiM"",
      ""GSC最新!A:F""
    ),
    4,
    FALSE
  ),
  0
)
"),0.0)</f>
        <v>0</v>
      </c>
      <c r="K47" s="54">
        <f>IFERROR(__xludf.DUMMYFUNCTION("IFERROR(
  VLOOKUP(
    A47,
    IMPORTRANGE(
      ""1ZHMy3vVUd_0MrSduXTe1etBb1HNpAlGwQr006ljwMiM"",
      ""GSC最新!A:F""
    ),
    5,
    FALSE
  ),
  0
)
"),0.0)</f>
        <v>0</v>
      </c>
      <c r="L47" s="50" t="str">
        <f t="shared" ref="L47:M47" si="227">IFERROR(H47/J47,"-")</f>
        <v>-</v>
      </c>
      <c r="M47" s="50" t="str">
        <f t="shared" si="227"/>
        <v>-</v>
      </c>
      <c r="N47" s="59">
        <f>IFERROR(__xludf.DUMMYFUNCTION("IFERROR(
  VLOOKUP(
    A47,
    IMPORTRANGE(
      ""1ZHMy3vVUd_0MrSduXTe1etBb1HNpAlGwQr006ljwMiM"",
      ""GSC最新!A:R""
    ),
    7,
    FALSE
  ),
  0
)
"),109.0)</f>
        <v>109</v>
      </c>
      <c r="O47" s="59">
        <f>IFERROR(__xludf.DUMMYFUNCTION("IFERROR(
  VLOOKUP(
    A47,
    IMPORTRANGE(
      ""1ZHMy3vVUd_0MrSduXTe1etBb1HNpAlGwQr006ljwMiM"",
      ""GSC最新!A:R""
    ),
    10,
    FALSE
  ),
  0
)
"),164.0)</f>
        <v>164</v>
      </c>
      <c r="P47" s="59">
        <f>IFERROR(__xludf.DUMMYFUNCTION("IFERROR(
  VLOOKUP(
    A47,
    IMPORTRANGE(
      ""1ZHMy3vVUd_0MrSduXTe1etBb1HNpAlGwQr006ljwMiM"",
      ""GSC最新!A:R""
    ),
    13,
    FALSE
  ),
  0
)
"),0.0)</f>
        <v>0</v>
      </c>
      <c r="Q47" s="59">
        <f>IFERROR(__xludf.DUMMYFUNCTION("IFERROR(
  VLOOKUP(
    A47,
    IMPORTRANGE(
      ""1ZHMy3vVUd_0MrSduXTe1etBb1HNpAlGwQr006ljwMiM"",
      ""GSC最新!A:R""
    ),
    16,
    FALSE
  ),
  0
)
"),0.0)</f>
        <v>0</v>
      </c>
      <c r="R47" s="50" t="str">
        <f t="shared" ref="R47:S47" si="228">IFERROR(N47/P47,"-")</f>
        <v>-</v>
      </c>
      <c r="S47" s="50" t="str">
        <f t="shared" si="228"/>
        <v>-</v>
      </c>
      <c r="T47" s="60">
        <f>IFERROR(__xludf.DUMMYFUNCTION("IFERROR(
  VLOOKUP(
    A47,
    IMPORTRANGE(
      ""1ZHMy3vVUd_0MrSduXTe1etBb1HNpAlGwQr006ljwMiM"",
      ""GSC最新!A:R""
    ),
    8,
    FALSE
  ),
  0
)
"),0.045871559633027525)</f>
        <v>0.04587155963</v>
      </c>
      <c r="U47" s="60">
        <f>IFERROR(__xludf.DUMMYFUNCTION("IFERROR(
  VLOOKUP(
    A47,
    IMPORTRANGE(
      ""1ZHMy3vVUd_0MrSduXTe1etBb1HNpAlGwQr006ljwMiM"",
      ""GSC最新!A:R""
    ),
    11,
    FALSE
  ),
  0
)
"),0.036585365853658534)</f>
        <v>0.03658536585</v>
      </c>
      <c r="V47" s="60">
        <f>IFERROR(__xludf.DUMMYFUNCTION("IFERROR(
  VLOOKUP(
    A47,
    IMPORTRANGE(
      ""1ZHMy3vVUd_0MrSduXTe1etBb1HNpAlGwQr006ljwMiM"",
      ""GSC最新!A:R""
    ),
    14,
    FALSE
  ),
  0
)
"),0.0)</f>
        <v>0</v>
      </c>
      <c r="W47" s="60">
        <f>IFERROR(__xludf.DUMMYFUNCTION("IFERROR(
  VLOOKUP(
    A47,
    IMPORTRANGE(
      ""1ZHMy3vVUd_0MrSduXTe1etBb1HNpAlGwQr006ljwMiM"",
      ""GSC最新!A:R""
    ),
    17,
    FALSE
  ),
  0
)
"),0.0)</f>
        <v>0</v>
      </c>
      <c r="X47" s="60">
        <f t="shared" ref="X47:Y47" si="229">IFERROR(T47-V47,"-")</f>
        <v>0.04587155963</v>
      </c>
      <c r="Y47" s="60">
        <f t="shared" si="229"/>
        <v>0.03658536585</v>
      </c>
      <c r="Z47" s="52">
        <f>IFERROR(__xludf.DUMMYFUNCTION("IFERROR(
  VLOOKUP(
    A47,
    IMPORTRANGE(
      ""1ZHMy3vVUd_0MrSduXTe1etBb1HNpAlGwQr006ljwMiM"",
      ""GSC最新!A:R""
    ),
    9,
    FALSE
  ),
  0
)
"),8.0)</f>
        <v>8</v>
      </c>
      <c r="AA47" s="52">
        <f>IFERROR(__xludf.DUMMYFUNCTION("IFERROR(
  VLOOKUP(
    A47,
    IMPORTRANGE(
      ""1ZHMy3vVUd_0MrSduXTe1etBb1HNpAlGwQr006ljwMiM"",
      ""GSC最新!A:R""
    ),
    12,
    FALSE
  ),
  0
)
"),7.5060975609756095)</f>
        <v>7.506097561</v>
      </c>
      <c r="AB47" s="52" t="str">
        <f>IFERROR(__xludf.DUMMYFUNCTION("IFERROR(
  VLOOKUP(
    A47,
    IMPORTRANGE(
      ""1ZHMy3vVUd_0MrSduXTe1etBb1HNpAlGwQr006ljwMiM"",
      ""GSC最新!A:R""
    ),
    15,
    FALSE
  ),
  0
)
"),"")</f>
        <v/>
      </c>
      <c r="AC47" s="52" t="str">
        <f>IFERROR(__xludf.DUMMYFUNCTION("IFERROR(
  VLOOKUP(
    A47,
    IMPORTRANGE(
      ""1ZHMy3vVUd_0MrSduXTe1etBb1HNpAlGwQr006ljwMiM"",
      ""GSC最新!A:R""
    ),
    18,
    FALSE
  ),
  0
)
"),"")</f>
        <v/>
      </c>
      <c r="AD47" s="52">
        <f t="shared" ref="AD47:AE47" si="230">Z47-AB47</f>
        <v>8</v>
      </c>
      <c r="AE47" s="52">
        <f t="shared" si="230"/>
        <v>7.506097561</v>
      </c>
      <c r="AF47" s="53">
        <f>IFERROR(__xludf.DUMMYFUNCTION("IFERROR(
  VLOOKUP(
    A47,
    IMPORTRANGE(
      ""1ZHMy3vVUd_0MrSduXTe1etBb1HNpAlGwQr006ljwMiM"",
      ""GSC最新!A:F""
    ),
    6,
    FALSE
  ),
  0
)
"),46081.0)</f>
        <v>46081</v>
      </c>
      <c r="AG47" s="54">
        <f>IFERROR(__xludf.DUMMYFUNCTION("IFERROR(
  VLOOKUP(
    A47,
    IMPORTRANGE(
      ""1SCYQd7_cobOYqT0r_F0IqD4tE4rYn5y8Eup4PJTH8es"",
      ""Snapshot!A:M""
    ),
    5,
    FALSE
  ),
  ""-""
)
"),4.0)</f>
        <v>4</v>
      </c>
      <c r="AH47" s="54">
        <f>IFERROR(__xludf.DUMMYFUNCTION("IFERROR(
  VLOOKUP(
    A47,
    IMPORTRANGE(
      ""1SCYQd7_cobOYqT0r_F0IqD4tE4rYn5y8Eup4PJTH8es"",
      ""Snapshot!A:M""
    ),
    6,
    FALSE
  ),
  0
)
"),6.0)</f>
        <v>6</v>
      </c>
      <c r="AI47" s="54">
        <f>IFERROR(__xludf.DUMMYFUNCTION("IFERROR(
  VLOOKUP(
    A47,
    IMPORTRANGE(
      ""1SCYQd7_cobOYqT0r_F0IqD4tE4rYn5y8Eup4PJTH8es"",
      ""Snapshot!A:M""
    ),
    7,
    FALSE
  ),
  0
)
"),2198.0)</f>
        <v>2198</v>
      </c>
      <c r="AJ47" s="54">
        <f>IFERROR(__xludf.DUMMYFUNCTION("IFERROR(
  VLOOKUP(
    A47,
    IMPORTRANGE(
      ""1SCYQd7_cobOYqT0r_F0IqD4tE4rYn5y8Eup4PJTH8es"",
      ""Snapshot!A:M""
    ),
    8,
    FALSE
  ),
  0
)
"),17.0)</f>
        <v>17</v>
      </c>
      <c r="AK47" s="54">
        <f>IFERROR(__xludf.DUMMYFUNCTION("IFERROR(
  VLOOKUP(
    A47,
    IMPORTRANGE(
      ""1SCYQd7_cobOYqT0r_F0IqD4tE4rYn5y8Eup4PJTH8es"",
      ""Snapshot!A:M""
    ),
    9,
    FALSE
  ),
  0
)
"),2.0)</f>
        <v>2</v>
      </c>
      <c r="AL47" s="54">
        <f>IFERROR(__xludf.DUMMYFUNCTION("IFERROR(
  VLOOKUP(
    A47,
    IMPORTRANGE(
      ""1SCYQd7_cobOYqT0r_F0IqD4tE4rYn5y8Eup4PJTH8es"",
      ""Snapshot!A:M""
    ),
    13,
    FALSE
  ),
  0
)
"),2.0)</f>
        <v>2</v>
      </c>
    </row>
    <row r="48">
      <c r="A48" s="3" t="s">
        <v>390</v>
      </c>
      <c r="B48" s="1" t="str">
        <f>IFERROR(__xludf.DUMMYFUNCTION("IFERROR(
  VLOOKUP(
    A48,
    IMPORTRANGE(
      ""1ZygntHC1J6IxzKbTidmOyf5nUyW4GCLurHCjexrLm_o"",
      ""HTMLキャッシュ!A:F""
    ),
    2,
    FALSE
  ),
  0
)
"),"NW")</f>
        <v>NW</v>
      </c>
      <c r="C48" s="1" t="str">
        <f>IFERROR(__xludf.DUMMYFUNCTION("IFERROR(
  VLOOKUP(
    A48,
    IMPORTRANGE(
      ""1ZygntHC1J6IxzKbTidmOyf5nUyW4GCLurHCjexrLm_o"",
      ""HTMLキャッシュ!A:F""
    ),
    5,
    FALSE
  ),
  0
)
"),"四谷教室の新住所｜移転先（六番町）・地図・外観｜夏井算数塾")</f>
        <v>四谷教室の新住所｜移転先（六番町）・地図・外観｜夏井算数塾</v>
      </c>
      <c r="D48" s="1" t="str">
        <f>IFERROR(__xludf.DUMMYFUNCTION("IFERROR(
  VLOOKUP(
    A48,
    IMPORTRANGE(
      ""1ZygntHC1J6IxzKbTidmOyf5nUyW4GCLurHCjexrLm_o        "",
      ""HTMLキャッシュ!A:F""
    ),
    6,
    FALSE
  ),
  0
)
"),"夏井算数塾 四谷教室はビル取り壊しに伴い移転しました。2018年7月30日より新教室で授業開始。新住所：〒102-0085 東京都千代田区六番町6-4 LH番町スクエア5F（四ッ谷ビジネスラウンジ）。電話番号・時間割等は変更ありません。")</f>
        <v>夏井算数塾 四谷教室はビル取り壊しに伴い移転しました。2018年7月30日より新教室で授業開始。新住所：〒102-0085 東京都千代田区六番町6-4 LH番町スクエア5F（四ッ谷ビジネスラウンジ）。電話番号・時間割等は変更ありません。</v>
      </c>
      <c r="E48" s="49">
        <f t="shared" ref="E48:F48" si="231">LEN(C48)</f>
        <v>29</v>
      </c>
      <c r="F48" s="49">
        <f t="shared" si="231"/>
        <v>118</v>
      </c>
      <c r="G48" s="32">
        <f>IFERROR(__xludf.DUMMYFUNCTION("IFERROR(
  VLOOKUP(
    A48,
    IMPORTRANGE(
      ""1ZygntHC1J6IxzKbTidmOyf5nUyW4GCLurHCjexrLm_o        "",
      ""HTMLキャッシュ!A:F""
    ),
    3,
    FALSE
  ),
  0
)
"),46027.75759259259)</f>
        <v>46027.75759</v>
      </c>
      <c r="H48" s="54">
        <f>IFERROR(__xludf.DUMMYFUNCTION("IFERROR(
  VLOOKUP(
    A48,
    IMPORTRANGE(
      ""1ZHMy3vVUd_0MrSduXTe1etBb1HNpAlGwQr006ljwMiM"",
      ""GSC最新!A:F""
    ),
    2,
    FALSE
  ),
  0
)
"),2.0)</f>
        <v>2</v>
      </c>
      <c r="I48" s="54">
        <f>IFERROR(__xludf.DUMMYFUNCTION("IFERROR(
  VLOOKUP(
    A48,
    IMPORTRANGE(
      ""1ZHMy3vVUd_0MrSduXTe1etBb1HNpAlGwQr006ljwMiM"",
      ""GSC最新!A:F""
    ),
    3,
    FALSE
  ),
  0
)
"),4.0)</f>
        <v>4</v>
      </c>
      <c r="J48" s="54">
        <f>IFERROR(__xludf.DUMMYFUNCTION("IFERROR(
  VLOOKUP(
    A48,
    IMPORTRANGE(
      ""1ZHMy3vVUd_0MrSduXTe1etBb1HNpAlGwQr006ljwMiM"",
      ""GSC最新!A:F""
    ),
    4,
    FALSE
  ),
  0
)
"),1.0)</f>
        <v>1</v>
      </c>
      <c r="K48" s="54">
        <f>IFERROR(__xludf.DUMMYFUNCTION("IFERROR(
  VLOOKUP(
    A48,
    IMPORTRANGE(
      ""1ZHMy3vVUd_0MrSduXTe1etBb1HNpAlGwQr006ljwMiM"",
      ""GSC最新!A:F""
    ),
    5,
    FALSE
  ),
  0
)
"),3.0)</f>
        <v>3</v>
      </c>
      <c r="L48" s="50">
        <f t="shared" ref="L48:M48" si="232">IFERROR(H48/J48,"-")</f>
        <v>2</v>
      </c>
      <c r="M48" s="50">
        <f t="shared" si="232"/>
        <v>1.333333333</v>
      </c>
      <c r="N48" s="59">
        <f>IFERROR(__xludf.DUMMYFUNCTION("IFERROR(
  VLOOKUP(
    A48,
    IMPORTRANGE(
      ""1ZHMy3vVUd_0MrSduXTe1etBb1HNpAlGwQr006ljwMiM"",
      ""GSC最新!A:R""
    ),
    7,
    FALSE
  ),
  0
)
"),32.0)</f>
        <v>32</v>
      </c>
      <c r="O48" s="59">
        <f>IFERROR(__xludf.DUMMYFUNCTION("IFERROR(
  VLOOKUP(
    A48,
    IMPORTRANGE(
      ""1ZHMy3vVUd_0MrSduXTe1etBb1HNpAlGwQr006ljwMiM"",
      ""GSC最新!A:R""
    ),
    10,
    FALSE
  ),
  0
)
"),96.0)</f>
        <v>96</v>
      </c>
      <c r="P48" s="59">
        <f>IFERROR(__xludf.DUMMYFUNCTION("IFERROR(
  VLOOKUP(
    A48,
    IMPORTRANGE(
      ""1ZHMy3vVUd_0MrSduXTe1etBb1HNpAlGwQr006ljwMiM"",
      ""GSC最新!A:R""
    ),
    13,
    FALSE
  ),
  0
)
"),4.0)</f>
        <v>4</v>
      </c>
      <c r="Q48" s="59">
        <f>IFERROR(__xludf.DUMMYFUNCTION("IFERROR(
  VLOOKUP(
    A48,
    IMPORTRANGE(
      ""1ZHMy3vVUd_0MrSduXTe1etBb1HNpAlGwQr006ljwMiM"",
      ""GSC最新!A:R""
    ),
    16,
    FALSE
  ),
  0
)
"),14.0)</f>
        <v>14</v>
      </c>
      <c r="R48" s="50">
        <f t="shared" ref="R48:S48" si="233">IFERROR(N48/P48,"-")</f>
        <v>8</v>
      </c>
      <c r="S48" s="50">
        <f t="shared" si="233"/>
        <v>6.857142857</v>
      </c>
      <c r="T48" s="60">
        <f>IFERROR(__xludf.DUMMYFUNCTION("IFERROR(
  VLOOKUP(
    A48,
    IMPORTRANGE(
      ""1ZHMy3vVUd_0MrSduXTe1etBb1HNpAlGwQr006ljwMiM"",
      ""GSC最新!A:R""
    ),
    8,
    FALSE
  ),
  0
)
"),0.0625)</f>
        <v>0.0625</v>
      </c>
      <c r="U48" s="60">
        <f>IFERROR(__xludf.DUMMYFUNCTION("IFERROR(
  VLOOKUP(
    A48,
    IMPORTRANGE(
      ""1ZHMy3vVUd_0MrSduXTe1etBb1HNpAlGwQr006ljwMiM"",
      ""GSC最新!A:R""
    ),
    11,
    FALSE
  ),
  0
)
"),0.041666666666666664)</f>
        <v>0.04166666667</v>
      </c>
      <c r="V48" s="60">
        <f>IFERROR(__xludf.DUMMYFUNCTION("IFERROR(
  VLOOKUP(
    A48,
    IMPORTRANGE(
      ""1ZHMy3vVUd_0MrSduXTe1etBb1HNpAlGwQr006ljwMiM"",
      ""GSC最新!A:R""
    ),
    14,
    FALSE
  ),
  0
)
"),0.25)</f>
        <v>0.25</v>
      </c>
      <c r="W48" s="60">
        <f>IFERROR(__xludf.DUMMYFUNCTION("IFERROR(
  VLOOKUP(
    A48,
    IMPORTRANGE(
      ""1ZHMy3vVUd_0MrSduXTe1etBb1HNpAlGwQr006ljwMiM"",
      ""GSC最新!A:R""
    ),
    17,
    FALSE
  ),
  0
)
"),0.21428571428571427)</f>
        <v>0.2142857143</v>
      </c>
      <c r="X48" s="60">
        <f t="shared" ref="X48:Y48" si="234">IFERROR(T48-V48,"-")</f>
        <v>-0.1875</v>
      </c>
      <c r="Y48" s="60">
        <f t="shared" si="234"/>
        <v>-0.1726190476</v>
      </c>
      <c r="Z48" s="52">
        <f>IFERROR(__xludf.DUMMYFUNCTION("IFERROR(
  VLOOKUP(
    A48,
    IMPORTRANGE(
      ""1ZHMy3vVUd_0MrSduXTe1etBb1HNpAlGwQr006ljwMiM"",
      ""GSC最新!A:R""
    ),
    9,
    FALSE
  ),
  0
)
"),4.5625)</f>
        <v>4.5625</v>
      </c>
      <c r="AA48" s="52">
        <f>IFERROR(__xludf.DUMMYFUNCTION("IFERROR(
  VLOOKUP(
    A48,
    IMPORTRANGE(
      ""1ZHMy3vVUd_0MrSduXTe1etBb1HNpAlGwQr006ljwMiM"",
      ""GSC最新!A:R""
    ),
    12,
    FALSE
  ),
  0
)
"),3.75)</f>
        <v>3.75</v>
      </c>
      <c r="AB48" s="52">
        <f>IFERROR(__xludf.DUMMYFUNCTION("IFERROR(
  VLOOKUP(
    A48,
    IMPORTRANGE(
      ""1ZHMy3vVUd_0MrSduXTe1etBb1HNpAlGwQr006ljwMiM"",
      ""GSC最新!A:R""
    ),
    15,
    FALSE
  ),
  0
)
"),1.0)</f>
        <v>1</v>
      </c>
      <c r="AC48" s="52">
        <f>IFERROR(__xludf.DUMMYFUNCTION("IFERROR(
  VLOOKUP(
    A48,
    IMPORTRANGE(
      ""1ZHMy3vVUd_0MrSduXTe1etBb1HNpAlGwQr006ljwMiM"",
      ""GSC最新!A:R""
    ),
    18,
    FALSE
  ),
  0
)
"),7.0)</f>
        <v>7</v>
      </c>
      <c r="AD48" s="52">
        <f t="shared" ref="AD48:AE48" si="235">Z48-AB48</f>
        <v>3.5625</v>
      </c>
      <c r="AE48" s="52">
        <f t="shared" si="235"/>
        <v>-3.25</v>
      </c>
      <c r="AF48" s="53">
        <f>IFERROR(__xludf.DUMMYFUNCTION("IFERROR(
  VLOOKUP(
    A48,
    IMPORTRANGE(
      ""1ZHMy3vVUd_0MrSduXTe1etBb1HNpAlGwQr006ljwMiM"",
      ""GSC最新!A:F""
    ),
    6,
    FALSE
  ),
  0
)
"),46081.0)</f>
        <v>46081</v>
      </c>
      <c r="AG48" s="54">
        <f>IFERROR(__xludf.DUMMYFUNCTION("IFERROR(
  VLOOKUP(
    A48,
    IMPORTRANGE(
      ""1SCYQd7_cobOYqT0r_F0IqD4tE4rYn5y8Eup4PJTH8es"",
      ""Snapshot!A:M""
    ),
    5,
    FALSE
  ),
  ""-""
)
"),0.0)</f>
        <v>0</v>
      </c>
      <c r="AH48" s="54">
        <f>IFERROR(__xludf.DUMMYFUNCTION("IFERROR(
  VLOOKUP(
    A48,
    IMPORTRANGE(
      ""1SCYQd7_cobOYqT0r_F0IqD4tE4rYn5y8Eup4PJTH8es"",
      ""Snapshot!A:M""
    ),
    6,
    FALSE
  ),
  0
)
"),3.0)</f>
        <v>3</v>
      </c>
      <c r="AI48" s="54">
        <f>IFERROR(__xludf.DUMMYFUNCTION("IFERROR(
  VLOOKUP(
    A48,
    IMPORTRANGE(
      ""1SCYQd7_cobOYqT0r_F0IqD4tE4rYn5y8Eup4PJTH8es"",
      ""Snapshot!A:M""
    ),
    7,
    FALSE
  ),
  0
)
"),290.0)</f>
        <v>290</v>
      </c>
      <c r="AJ48" s="54">
        <f>IFERROR(__xludf.DUMMYFUNCTION("IFERROR(
  VLOOKUP(
    A48,
    IMPORTRANGE(
      ""1SCYQd7_cobOYqT0r_F0IqD4tE4rYn5y8Eup4PJTH8es"",
      ""Snapshot!A:M""
    ),
    8,
    FALSE
  ),
  0
)
"),0.0)</f>
        <v>0</v>
      </c>
      <c r="AK48" s="54">
        <f>IFERROR(__xludf.DUMMYFUNCTION("IFERROR(
  VLOOKUP(
    A48,
    IMPORTRANGE(
      ""1SCYQd7_cobOYqT0r_F0IqD4tE4rYn5y8Eup4PJTH8es"",
      ""Snapshot!A:M""
    ),
    9,
    FALSE
  ),
  0
)
"),1.0)</f>
        <v>1</v>
      </c>
      <c r="AL48" s="54">
        <f>IFERROR(__xludf.DUMMYFUNCTION("IFERROR(
  VLOOKUP(
    A48,
    IMPORTRANGE(
      ""1SCYQd7_cobOYqT0r_F0IqD4tE4rYn5y8Eup4PJTH8es"",
      ""Snapshot!A:M""
    ),
    13,
    FALSE
  ),
  0
)
"),2.0)</f>
        <v>2</v>
      </c>
    </row>
    <row r="49">
      <c r="A49" s="3" t="s">
        <v>391</v>
      </c>
      <c r="B49" s="1" t="str">
        <f>IFERROR(__xludf.DUMMYFUNCTION("IFERROR(
  VLOOKUP(
    A49,
    IMPORTRANGE(
      ""1ZygntHC1J6IxzKbTidmOyf5nUyW4GCLurHCjexrLm_o"",
      ""HTMLキャッシュ!A:F""
    ),
    2,
    FALSE
  ),
  0
)
"),"SC")</f>
        <v>SC</v>
      </c>
      <c r="C49" s="1" t="str">
        <f>IFERROR(__xludf.DUMMYFUNCTION("IFERROR(
  VLOOKUP(
    A49,
    IMPORTRANGE(
      ""1ZygntHC1J6IxzKbTidmOyf5nUyW4GCLurHCjexrLm_o"",
      ""HTMLキャッシュ!A:F""
    ),
    5,
    FALSE
  ),
  0
)
"),"立体図形が苦手な子のためのオンライン算数個別指導で克服する法")</f>
        <v>立体図形が苦手な子のためのオンライン算数個別指導で克服する法</v>
      </c>
      <c r="D49" s="1" t="str">
        <f>IFERROR(__xludf.DUMMYFUNCTION("IFERROR(
  VLOOKUP(
    A49,
    IMPORTRANGE(
      ""1ZygntHC1J6IxzKbTidmOyf5nUyW4GCLurHCjexrLm_o        "",
      ""HTMLキャッシュ!A:F""
    ),
    6,
    FALSE
  ),
  0
)
"),"立体図形で「これどうやってやるの」が出る原因を整理。実物×画面で見える化し、図の描き直しの型→パターン整理の3手順で克服。")</f>
        <v>立体図形で「これどうやってやるの」が出る原因を整理。実物×画面で見える化し、図の描き直しの型→パターン整理の3手順で克服。</v>
      </c>
      <c r="E49" s="49">
        <f t="shared" ref="E49:F49" si="236">LEN(C49)</f>
        <v>30</v>
      </c>
      <c r="F49" s="49">
        <f t="shared" si="236"/>
        <v>61</v>
      </c>
      <c r="G49" s="32">
        <f>IFERROR(__xludf.DUMMYFUNCTION("IFERROR(
  VLOOKUP(
    A49,
    IMPORTRANGE(
      ""1ZygntHC1J6IxzKbTidmOyf5nUyW4GCLurHCjexrLm_o        "",
      ""HTMLキャッシュ!A:F""
    ),
    3,
    FALSE
  ),
  0
)
"),46074.58770833333)</f>
        <v>46074.58771</v>
      </c>
      <c r="H49" s="54">
        <f>IFERROR(__xludf.DUMMYFUNCTION("IFERROR(
  VLOOKUP(
    A49,
    IMPORTRANGE(
      ""1ZHMy3vVUd_0MrSduXTe1etBb1HNpAlGwQr006ljwMiM"",
      ""GSC最新!A:F""
    ),
    2,
    FALSE
  ),
  0
)
"),2.0)</f>
        <v>2</v>
      </c>
      <c r="I49" s="54">
        <f>IFERROR(__xludf.DUMMYFUNCTION("IFERROR(
  VLOOKUP(
    A49,
    IMPORTRANGE(
      ""1ZHMy3vVUd_0MrSduXTe1etBb1HNpAlGwQr006ljwMiM"",
      ""GSC最新!A:F""
    ),
    3,
    FALSE
  ),
  0
)
"),6.0)</f>
        <v>6</v>
      </c>
      <c r="J49" s="54">
        <f>IFERROR(__xludf.DUMMYFUNCTION("IFERROR(
  VLOOKUP(
    A49,
    IMPORTRANGE(
      ""1ZHMy3vVUd_0MrSduXTe1etBb1HNpAlGwQr006ljwMiM"",
      ""GSC最新!A:F""
    ),
    4,
    FALSE
  ),
  0
)
"),0.0)</f>
        <v>0</v>
      </c>
      <c r="K49" s="54">
        <f>IFERROR(__xludf.DUMMYFUNCTION("IFERROR(
  VLOOKUP(
    A49,
    IMPORTRANGE(
      ""1ZHMy3vVUd_0MrSduXTe1etBb1HNpAlGwQr006ljwMiM"",
      ""GSC最新!A:F""
    ),
    5,
    FALSE
  ),
  0
)
"),0.0)</f>
        <v>0</v>
      </c>
      <c r="L49" s="50" t="str">
        <f t="shared" ref="L49:M49" si="237">IFERROR(H49/J49,"-")</f>
        <v>-</v>
      </c>
      <c r="M49" s="50" t="str">
        <f t="shared" si="237"/>
        <v>-</v>
      </c>
      <c r="N49" s="59">
        <f>IFERROR(__xludf.DUMMYFUNCTION("IFERROR(
  VLOOKUP(
    A49,
    IMPORTRANGE(
      ""1ZHMy3vVUd_0MrSduXTe1etBb1HNpAlGwQr006ljwMiM"",
      ""GSC最新!A:R""
    ),
    7,
    FALSE
  ),
  0
)
"),66.0)</f>
        <v>66</v>
      </c>
      <c r="O49" s="59">
        <f>IFERROR(__xludf.DUMMYFUNCTION("IFERROR(
  VLOOKUP(
    A49,
    IMPORTRANGE(
      ""1ZHMy3vVUd_0MrSduXTe1etBb1HNpAlGwQr006ljwMiM"",
      ""GSC最新!A:R""
    ),
    10,
    FALSE
  ),
  0
)
"),321.0)</f>
        <v>321</v>
      </c>
      <c r="P49" s="59">
        <f>IFERROR(__xludf.DUMMYFUNCTION("IFERROR(
  VLOOKUP(
    A49,
    IMPORTRANGE(
      ""1ZHMy3vVUd_0MrSduXTe1etBb1HNpAlGwQr006ljwMiM"",
      ""GSC最新!A:R""
    ),
    13,
    FALSE
  ),
  0
)
"),0.0)</f>
        <v>0</v>
      </c>
      <c r="Q49" s="59">
        <f>IFERROR(__xludf.DUMMYFUNCTION("IFERROR(
  VLOOKUP(
    A49,
    IMPORTRANGE(
      ""1ZHMy3vVUd_0MrSduXTe1etBb1HNpAlGwQr006ljwMiM"",
      ""GSC最新!A:R""
    ),
    16,
    FALSE
  ),
  0
)
"),0.0)</f>
        <v>0</v>
      </c>
      <c r="R49" s="50" t="str">
        <f t="shared" ref="R49:S49" si="238">IFERROR(N49/P49,"-")</f>
        <v>-</v>
      </c>
      <c r="S49" s="50" t="str">
        <f t="shared" si="238"/>
        <v>-</v>
      </c>
      <c r="T49" s="60">
        <f>IFERROR(__xludf.DUMMYFUNCTION("IFERROR(
  VLOOKUP(
    A49,
    IMPORTRANGE(
      ""1ZHMy3vVUd_0MrSduXTe1etBb1HNpAlGwQr006ljwMiM"",
      ""GSC最新!A:R""
    ),
    8,
    FALSE
  ),
  0
)
"),0.030303030303030304)</f>
        <v>0.0303030303</v>
      </c>
      <c r="U49" s="60">
        <f>IFERROR(__xludf.DUMMYFUNCTION("IFERROR(
  VLOOKUP(
    A49,
    IMPORTRANGE(
      ""1ZHMy3vVUd_0MrSduXTe1etBb1HNpAlGwQr006ljwMiM"",
      ""GSC最新!A:R""
    ),
    11,
    FALSE
  ),
  0
)
"),0.018691588785046728)</f>
        <v>0.01869158879</v>
      </c>
      <c r="V49" s="60">
        <f>IFERROR(__xludf.DUMMYFUNCTION("IFERROR(
  VLOOKUP(
    A49,
    IMPORTRANGE(
      ""1ZHMy3vVUd_0MrSduXTe1etBb1HNpAlGwQr006ljwMiM"",
      ""GSC最新!A:R""
    ),
    14,
    FALSE
  ),
  0
)
"),0.0)</f>
        <v>0</v>
      </c>
      <c r="W49" s="60">
        <f>IFERROR(__xludf.DUMMYFUNCTION("IFERROR(
  VLOOKUP(
    A49,
    IMPORTRANGE(
      ""1ZHMy3vVUd_0MrSduXTe1etBb1HNpAlGwQr006ljwMiM"",
      ""GSC最新!A:R""
    ),
    17,
    FALSE
  ),
  0
)
"),0.0)</f>
        <v>0</v>
      </c>
      <c r="X49" s="60">
        <f t="shared" ref="X49:Y49" si="239">IFERROR(T49-V49,"-")</f>
        <v>0.0303030303</v>
      </c>
      <c r="Y49" s="60">
        <f t="shared" si="239"/>
        <v>0.01869158879</v>
      </c>
      <c r="Z49" s="52">
        <f>IFERROR(__xludf.DUMMYFUNCTION("IFERROR(
  VLOOKUP(
    A49,
    IMPORTRANGE(
      ""1ZHMy3vVUd_0MrSduXTe1etBb1HNpAlGwQr006ljwMiM"",
      ""GSC最新!A:R""
    ),
    9,
    FALSE
  ),
  0
)
"),6.606060606060606)</f>
        <v>6.606060606</v>
      </c>
      <c r="AA49" s="52">
        <f>IFERROR(__xludf.DUMMYFUNCTION("IFERROR(
  VLOOKUP(
    A49,
    IMPORTRANGE(
      ""1ZHMy3vVUd_0MrSduXTe1etBb1HNpAlGwQr006ljwMiM"",
      ""GSC最新!A:R""
    ),
    12,
    FALSE
  ),
  0
)
"),6.327102803738318)</f>
        <v>6.327102804</v>
      </c>
      <c r="AB49" s="52" t="str">
        <f>IFERROR(__xludf.DUMMYFUNCTION("IFERROR(
  VLOOKUP(
    A49,
    IMPORTRANGE(
      ""1ZHMy3vVUd_0MrSduXTe1etBb1HNpAlGwQr006ljwMiM"",
      ""GSC最新!A:R""
    ),
    15,
    FALSE
  ),
  0
)
"),"")</f>
        <v/>
      </c>
      <c r="AC49" s="52" t="str">
        <f>IFERROR(__xludf.DUMMYFUNCTION("IFERROR(
  VLOOKUP(
    A49,
    IMPORTRANGE(
      ""1ZHMy3vVUd_0MrSduXTe1etBb1HNpAlGwQr006ljwMiM"",
      ""GSC最新!A:R""
    ),
    18,
    FALSE
  ),
  0
)
"),"")</f>
        <v/>
      </c>
      <c r="AD49" s="52">
        <f t="shared" ref="AD49:AE49" si="240">Z49-AB49</f>
        <v>6.606060606</v>
      </c>
      <c r="AE49" s="52">
        <f t="shared" si="240"/>
        <v>6.327102804</v>
      </c>
      <c r="AF49" s="53">
        <f>IFERROR(__xludf.DUMMYFUNCTION("IFERROR(
  VLOOKUP(
    A49,
    IMPORTRANGE(
      ""1ZHMy3vVUd_0MrSduXTe1etBb1HNpAlGwQr006ljwMiM"",
      ""GSC最新!A:F""
    ),
    6,
    FALSE
  ),
  0
)
"),46081.0)</f>
        <v>46081</v>
      </c>
      <c r="AG49" s="54">
        <f>IFERROR(__xludf.DUMMYFUNCTION("IFERROR(
  VLOOKUP(
    A49,
    IMPORTRANGE(
      ""1SCYQd7_cobOYqT0r_F0IqD4tE4rYn5y8Eup4PJTH8es"",
      ""Snapshot!A:M""
    ),
    5,
    FALSE
  ),
  ""-""
)
"),7.0)</f>
        <v>7</v>
      </c>
      <c r="AH49" s="54">
        <f>IFERROR(__xludf.DUMMYFUNCTION("IFERROR(
  VLOOKUP(
    A49,
    IMPORTRANGE(
      ""1SCYQd7_cobOYqT0r_F0IqD4tE4rYn5y8Eup4PJTH8es"",
      ""Snapshot!A:M""
    ),
    6,
    FALSE
  ),
  0
)
"),18.0)</f>
        <v>18</v>
      </c>
      <c r="AI49" s="54">
        <f>IFERROR(__xludf.DUMMYFUNCTION("IFERROR(
  VLOOKUP(
    A49,
    IMPORTRANGE(
      ""1SCYQd7_cobOYqT0r_F0IqD4tE4rYn5y8Eup4PJTH8es"",
      ""Snapshot!A:M""
    ),
    7,
    FALSE
  ),
  0
)
"),6262.0)</f>
        <v>6262</v>
      </c>
      <c r="AJ49" s="54">
        <f>IFERROR(__xludf.DUMMYFUNCTION("IFERROR(
  VLOOKUP(
    A49,
    IMPORTRANGE(
      ""1SCYQd7_cobOYqT0r_F0IqD4tE4rYn5y8Eup4PJTH8es"",
      ""Snapshot!A:M""
    ),
    8,
    FALSE
  ),
  0
)
"),2.0)</f>
        <v>2</v>
      </c>
      <c r="AK49" s="54">
        <f>IFERROR(__xludf.DUMMYFUNCTION("IFERROR(
  VLOOKUP(
    A49,
    IMPORTRANGE(
      ""1SCYQd7_cobOYqT0r_F0IqD4tE4rYn5y8Eup4PJTH8es"",
      ""Snapshot!A:M""
    ),
    9,
    FALSE
  ),
  0
)
"),2.0)</f>
        <v>2</v>
      </c>
      <c r="AL49" s="54">
        <f>IFERROR(__xludf.DUMMYFUNCTION("IFERROR(
  VLOOKUP(
    A49,
    IMPORTRANGE(
      ""1SCYQd7_cobOYqT0r_F0IqD4tE4rYn5y8Eup4PJTH8es"",
      ""Snapshot!A:M""
    ),
    13,
    FALSE
  ),
  0
)
"),2.0)</f>
        <v>2</v>
      </c>
    </row>
    <row r="50">
      <c r="A50" s="3" t="s">
        <v>392</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"),"サピックス対応 塾｜算数の未消化・初見対応・プリント管理を立て直す｜中学受験（夏井算数塾）")</f>
        <v>サピックス対応 塾｜算数の未消化・初見対応・プリント管理を立て直す｜中学受験（夏井算数塾）</v>
      </c>
      <c r="D50" s="1" t="str">
        <f>IFERROR(__xludf.DUMMYFUNCTION("IFERROR(
  VLOOKUP(
    A50,
    IMPORTRANGE(
      ""1ZygntHC1J6IxzKbTidmOyf5nUyW4GCLurHCjexrLm_o        "",
      ""HTMLキャッシュ!A:F""
    ),
    6,
    FALSE
  ),
  0
)
"),"サピックス対応の塾を探しているご家庭向け。授業スピードで未消化が残る、問題の偏りで初見に弱い、膨大なプリントで復習が回らない――SAPIX生が詰まりやすい3課題を整理し、解説動画・事前演習・類題補正・PDF管理で立て直す方法を紹介。")</f>
        <v>サピックス対応の塾を探しているご家庭向け。授業スピードで未消化が残る、問題の偏りで初見に弱い、膨大なプリントで復習が回らない――SAPIX生が詰まりやすい3課題を整理し、解説動画・事前演習・類題補正・PDF管理で立て直す方法を紹介。</v>
      </c>
      <c r="E50" s="49">
        <f t="shared" ref="E50:F50" si="241">LEN(C50)</f>
        <v>45</v>
      </c>
      <c r="F50" s="49">
        <f t="shared" si="241"/>
        <v>116</v>
      </c>
      <c r="G50" s="32">
        <f>IFERROR(__xludf.DUMMYFUNCTION("IFERROR(
  VLOOKUP(
    A50,
    IMPORTRANGE(
      ""1ZygntHC1J6IxzKbTidmOyf5nUyW4GCLurHCjexrLm_o        "",
      ""HTMLキャッシュ!A:F""
    ),
    3,
    FALSE
  ),
  0
)
"),46069.85365740741)</f>
        <v>46069.85366</v>
      </c>
      <c r="H50" s="54">
        <f>IFERROR(__xludf.DUMMYFUNCTION("IFERROR(
  VLOOKUP(
    A50,
    IMPORTRANGE(
      ""1ZHMy3vVUd_0MrSduXTe1etBb1HNpAlGwQr006ljwMiM"",
      ""GSC最新!A:F""
    ),
    2,
    FALSE
  ),
  0
)
"),2.0)</f>
        <v>2</v>
      </c>
      <c r="I50" s="54">
        <f>IFERROR(__xludf.DUMMYFUNCTION("IFERROR(
  VLOOKUP(
    A50,
    IMPORTRANGE(
      ""1ZHMy3vVUd_0MrSduXTe1etBb1HNpAlGwQr006ljwMiM"",
      ""GSC最新!A:F""
    ),
    3,
    FALSE
  ),
  0
)
"),4.0)</f>
        <v>4</v>
      </c>
      <c r="J50" s="54">
        <f>IFERROR(__xludf.DUMMYFUNCTION("IFERROR(
  VLOOKUP(
    A50,
    IMPORTRANGE(
      ""1ZHMy3vVUd_0MrSduXTe1etBb1HNpAlGwQr006ljwMiM"",
      ""GSC最新!A:F""
    ),
    4,
    FALSE
  ),
  0
)
"),0.0)</f>
        <v>0</v>
      </c>
      <c r="K50" s="54">
        <f>IFERROR(__xludf.DUMMYFUNCTION("IFERROR(
  VLOOKUP(
    A50,
    IMPORTRANGE(
      ""1ZHMy3vVUd_0MrSduXTe1etBb1HNpAlGwQr006ljwMiM"",
      ""GSC最新!A:F""
    ),
    5,
    FALSE
  ),
  0
)
"),1.0)</f>
        <v>1</v>
      </c>
      <c r="L50" s="50" t="str">
        <f t="shared" ref="L50:M50" si="242">IFERROR(H50/J50,"-")</f>
        <v>-</v>
      </c>
      <c r="M50" s="50">
        <f t="shared" si="242"/>
        <v>4</v>
      </c>
      <c r="N50" s="59">
        <f>IFERROR(__xludf.DUMMYFUNCTION("IFERROR(
  VLOOKUP(
    A50,
    IMPORTRANGE(
      ""1ZHMy3vVUd_0MrSduXTe1etBb1HNpAlGwQr006ljwMiM"",
      ""GSC最新!A:R""
    ),
    7,
    FALSE
  ),
  0
)
"),279.0)</f>
        <v>279</v>
      </c>
      <c r="O50" s="59">
        <f>IFERROR(__xludf.DUMMYFUNCTION("IFERROR(
  VLOOKUP(
    A50,
    IMPORTRANGE(
      ""1ZHMy3vVUd_0MrSduXTe1etBb1HNpAlGwQr006ljwMiM"",
      ""GSC最新!A:R""
    ),
    10,
    FALSE
  ),
  0
)
"),1090.0)</f>
        <v>1090</v>
      </c>
      <c r="P50" s="59">
        <f>IFERROR(__xludf.DUMMYFUNCTION("IFERROR(
  VLOOKUP(
    A50,
    IMPORTRANGE(
      ""1ZHMy3vVUd_0MrSduXTe1etBb1HNpAlGwQr006ljwMiM"",
      ""GSC最新!A:R""
    ),
    13,
    FALSE
  ),
  0
)
"),71.0)</f>
        <v>71</v>
      </c>
      <c r="Q50" s="59">
        <f>IFERROR(__xludf.DUMMYFUNCTION("IFERROR(
  VLOOKUP(
    A50,
    IMPORTRANGE(
      ""1ZHMy3vVUd_0MrSduXTe1etBb1HNpAlGwQr006ljwMiM"",
      ""GSC最新!A:R""
    ),
    16,
    FALSE
  ),
  0
)
"),311.0)</f>
        <v>311</v>
      </c>
      <c r="R50" s="50">
        <f t="shared" ref="R50:S50" si="243">IFERROR(N50/P50,"-")</f>
        <v>3.929577465</v>
      </c>
      <c r="S50" s="50">
        <f t="shared" si="243"/>
        <v>3.504823151</v>
      </c>
      <c r="T50" s="60">
        <f>IFERROR(__xludf.DUMMYFUNCTION("IFERROR(
  VLOOKUP(
    A50,
    IMPORTRANGE(
      ""1ZHMy3vVUd_0MrSduXTe1etBb1HNpAlGwQr006ljwMiM"",
      ""GSC最新!A:R""
    ),
    8,
    FALSE
  ),
  0
)
"),0.007168458781362007)</f>
        <v>0.007168458781</v>
      </c>
      <c r="U50" s="60">
        <f>IFERROR(__xludf.DUMMYFUNCTION("IFERROR(
  VLOOKUP(
    A50,
    IMPORTRANGE(
      ""1ZHMy3vVUd_0MrSduXTe1etBb1HNpAlGwQr006ljwMiM"",
      ""GSC最新!A:R""
    ),
    11,
    FALSE
  ),
  0
)
"),0.003669724770642202)</f>
        <v>0.003669724771</v>
      </c>
      <c r="V50" s="60">
        <f>IFERROR(__xludf.DUMMYFUNCTION("IFERROR(
  VLOOKUP(
    A50,
    IMPORTRANGE(
      ""1ZHMy3vVUd_0MrSduXTe1etBb1HNpAlGwQr006ljwMiM"",
      ""GSC最新!A:R""
    ),
    14,
    FALSE
  ),
  0
)
"),0.0)</f>
        <v>0</v>
      </c>
      <c r="W50" s="60">
        <f>IFERROR(__xludf.DUMMYFUNCTION("IFERROR(
  VLOOKUP(
    A50,
    IMPORTRANGE(
      ""1ZHMy3vVUd_0MrSduXTe1etBb1HNpAlGwQr006ljwMiM"",
      ""GSC最新!A:R""
    ),
    17,
    FALSE
  ),
  0
)
"),0.003215434083601286)</f>
        <v>0.003215434084</v>
      </c>
      <c r="X50" s="60">
        <f t="shared" ref="X50:Y50" si="244">IFERROR(T50-V50,"-")</f>
        <v>0.007168458781</v>
      </c>
      <c r="Y50" s="60">
        <f t="shared" si="244"/>
        <v>0.000454290687</v>
      </c>
      <c r="Z50" s="52">
        <f>IFERROR(__xludf.DUMMYFUNCTION("IFERROR(
  VLOOKUP(
    A50,
    IMPORTRANGE(
      ""1ZHMy3vVUd_0MrSduXTe1etBb1HNpAlGwQr006ljwMiM"",
      ""GSC最新!A:R""
    ),
    9,
    FALSE
  ),
  0
)
"),8.856630824372761)</f>
        <v>8.856630824</v>
      </c>
      <c r="AA50" s="52">
        <f>IFERROR(__xludf.DUMMYFUNCTION("IFERROR(
  VLOOKUP(
    A50,
    IMPORTRANGE(
      ""1ZHMy3vVUd_0MrSduXTe1etBb1HNpAlGwQr006ljwMiM"",
      ""GSC最新!A:R""
    ),
    12,
    FALSE
  ),
  0
)
"),7.870642201834863)</f>
        <v>7.870642202</v>
      </c>
      <c r="AB50" s="52">
        <f>IFERROR(__xludf.DUMMYFUNCTION("IFERROR(
  VLOOKUP(
    A50,
    IMPORTRANGE(
      ""1ZHMy3vVUd_0MrSduXTe1etBb1HNpAlGwQr006ljwMiM"",
      ""GSC最新!A:R""
    ),
    15,
    FALSE
  ),
  0
)
"),42.859154929577464)</f>
        <v>42.85915493</v>
      </c>
      <c r="AC50" s="52">
        <f>IFERROR(__xludf.DUMMYFUNCTION("IFERROR(
  VLOOKUP(
    A50,
    IMPORTRANGE(
      ""1ZHMy3vVUd_0MrSduXTe1etBb1HNpAlGwQr006ljwMiM"",
      ""GSC最新!A:R""
    ),
    18,
    FALSE
  ),
  0
)
"),36.60771704180064)</f>
        <v>36.60771704</v>
      </c>
      <c r="AD50" s="52">
        <f t="shared" ref="AD50:AE50" si="245">Z50-AB50</f>
        <v>-34.00252411</v>
      </c>
      <c r="AE50" s="52">
        <f t="shared" si="245"/>
        <v>-28.73707484</v>
      </c>
      <c r="AF50" s="53">
        <f>IFERROR(__xludf.DUMMYFUNCTION("IFERROR(
  VLOOKUP(
    A50,
    IMPORTRANGE(
      ""1ZHMy3vVUd_0MrSduXTe1etBb1HNpAlGwQr006ljwMiM"",
      ""GSC最新!A:F""
    ),
    6,
    FALSE
  ),
  0
)
"),46081.0)</f>
        <v>46081</v>
      </c>
      <c r="AG50" s="54">
        <f>IFERROR(__xludf.DUMMYFUNCTION("IFERROR(
  VLOOKUP(
    A50,
    IMPORTRANGE(
      ""1SCYQd7_cobOYqT0r_F0IqD4tE4rYn5y8Eup4PJTH8es"",
      ""Snapshot!A:M""
    ),
    5,
    FALSE
  ),
  ""-""
)
"),3.0)</f>
        <v>3</v>
      </c>
      <c r="AH50" s="54">
        <f>IFERROR(__xludf.DUMMYFUNCTION("IFERROR(
  VLOOKUP(
    A50,
    IMPORTRANGE(
      ""1SCYQd7_cobOYqT0r_F0IqD4tE4rYn5y8Eup4PJTH8es"",
      ""Snapshot!A:M""
    ),
    6,
    FALSE
  ),
  0
)
"),5.0)</f>
        <v>5</v>
      </c>
      <c r="AI50" s="54">
        <f>IFERROR(__xludf.DUMMYFUNCTION("IFERROR(
  VLOOKUP(
    A50,
    IMPORTRANGE(
      ""1SCYQd7_cobOYqT0r_F0IqD4tE4rYn5y8Eup4PJTH8es"",
      ""Snapshot!A:M""
    ),
    7,
    FALSE
  ),
  0
)
"),3713.0)</f>
        <v>3713</v>
      </c>
      <c r="AJ50" s="54">
        <f>IFERROR(__xludf.DUMMYFUNCTION("IFERROR(
  VLOOKUP(
    A50,
    IMPORTRANGE(
      ""1SCYQd7_cobOYqT0r_F0IqD4tE4rYn5y8Eup4PJTH8es"",
      ""Snapshot!A:M""
    ),
    8,
    FALSE
  ),
  0
)
"),6.0)</f>
        <v>6</v>
      </c>
      <c r="AK50" s="54">
        <f>IFERROR(__xludf.DUMMYFUNCTION("IFERROR(
  VLOOKUP(
    A50,
    IMPORTRANGE(
      ""1SCYQd7_cobOYqT0r_F0IqD4tE4rYn5y8Eup4PJTH8es"",
      ""Snapshot!A:M""
    ),
    9,
    FALSE
  ),
  0
)
"),2.0)</f>
        <v>2</v>
      </c>
      <c r="AL50" s="54">
        <f>IFERROR(__xludf.DUMMYFUNCTION("IFERROR(
  VLOOKUP(
    A50,
    IMPORTRANGE(
      ""1SCYQd7_cobOYqT0r_F0IqD4tE4rYn5y8Eup4PJTH8es"",
      ""Snapshot!A:M""
    ),
    13,
    FALSE
  ),
  0
)
"),2.0)</f>
        <v>2</v>
      </c>
    </row>
    <row r="51">
      <c r="A51" s="3" t="s">
        <v>393</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"),"2月2日直前の判断｜学校を休む基準と午後入試｜中学受験算数")</f>
        <v>2月2日直前の判断｜学校を休む基準と午後入試｜中学受験算数</v>
      </c>
      <c r="D51" s="1" t="str">
        <f>IFERROR(__xludf.DUMMYFUNCTION("IFERROR(
  VLOOKUP(
    A51,
    IMPORTRANGE(
      ""1ZygntHC1J6IxzKbTidmOyf5nUyW4GCLurHCjexrLm_o        "",
      ""HTMLキャッシュ!A:F""
    ),
    6,
    FALSE
  ),
  0
)
"),"2月2日が近い直前期に増える判断をQ&amp;amp;Aで整理。学校を休む基準、午後入試の考え方、苦手科目の上げ方と戻る範囲までまとめます。")</f>
        <v>2月2日が近い直前期に増える判断をQ&amp;amp;Aで整理。学校を休む基準、午後入試の考え方、苦手科目の上げ方と戻る範囲までまとめます。</v>
      </c>
      <c r="E51" s="49">
        <f t="shared" ref="E51:F51" si="246">LEN(C51)</f>
        <v>29</v>
      </c>
      <c r="F51" s="49">
        <f t="shared" si="246"/>
        <v>66</v>
      </c>
      <c r="G51" s="32">
        <f>IFERROR(__xludf.DUMMYFUNCTION("IFERROR(
  VLOOKUP(
    A51,
    IMPORTRANGE(
      ""1ZygntHC1J6IxzKbTidmOyf5nUyW4GCLurHCjexrLm_o        "",
      ""HTMLキャッシュ!A:F""
    ),
    3,
    FALSE
  ),
  0
)
"),46078.60596064815)</f>
        <v>46078.60596</v>
      </c>
      <c r="H51" s="54">
        <f>IFERROR(__xludf.DUMMYFUNCTION("IFERROR(
  VLOOKUP(
    A51,
    IMPORTRANGE(
      ""1ZHMy3vVUd_0MrSduXTe1etBb1HNpAlGwQr006ljwMiM"",
      ""GSC最新!A:F""
    ),
    2,
    FALSE
  ),
  0
)
"),1.0)</f>
        <v>1</v>
      </c>
      <c r="I51" s="54">
        <f>IFERROR(__xludf.DUMMYFUNCTION("IFERROR(
  VLOOKUP(
    A51,
    IMPORTRANGE(
      ""1ZHMy3vVUd_0MrSduXTe1etBb1HNpAlGwQr006ljwMiM"",
      ""GSC最新!A:F""
    ),
    3,
    FALSE
  ),
  0
)
"),4.0)</f>
        <v>4</v>
      </c>
      <c r="J51" s="54">
        <f>IFERROR(__xludf.DUMMYFUNCTION("IFERROR(
  VLOOKUP(
    A51,
    IMPORTRANGE(
      ""1ZHMy3vVUd_0MrSduXTe1etBb1HNpAlGwQr006ljwMiM"",
      ""GSC最新!A:F""
    ),
    4,
    FALSE
  ),
  0
)
"),0.0)</f>
        <v>0</v>
      </c>
      <c r="K51" s="54">
        <f>IFERROR(__xludf.DUMMYFUNCTION("IFERROR(
  VLOOKUP(
    A51,
    IMPORTRANGE(
      ""1ZHMy3vVUd_0MrSduXTe1etBb1HNpAlGwQr006ljwMiM"",
      ""GSC最新!A:F""
    ),
    5,
    FALSE
  ),
  0
)
"),0.0)</f>
        <v>0</v>
      </c>
      <c r="L51" s="50" t="str">
        <f t="shared" ref="L51:M51" si="247">IFERROR(H51/J51,"-")</f>
        <v>-</v>
      </c>
      <c r="M51" s="50" t="str">
        <f t="shared" si="247"/>
        <v>-</v>
      </c>
      <c r="N51" s="59">
        <f>IFERROR(__xludf.DUMMYFUNCTION("IFERROR(
  VLOOKUP(
    A51,
    IMPORTRANGE(
      ""1ZHMy3vVUd_0MrSduXTe1etBb1HNpAlGwQr006ljwMiM"",
      ""GSC最新!A:R""
    ),
    7,
    FALSE
  ),
  0
)
"),51.0)</f>
        <v>51</v>
      </c>
      <c r="O51" s="59">
        <f>IFERROR(__xludf.DUMMYFUNCTION("IFERROR(
  VLOOKUP(
    A51,
    IMPORTRANGE(
      ""1ZHMy3vVUd_0MrSduXTe1etBb1HNpAlGwQr006ljwMiM"",
      ""GSC最新!A:R""
    ),
    10,
    FALSE
  ),
  0
)
"),120.0)</f>
        <v>120</v>
      </c>
      <c r="P51" s="59">
        <f>IFERROR(__xludf.DUMMYFUNCTION("IFERROR(
  VLOOKUP(
    A51,
    IMPORTRANGE(
      ""1ZHMy3vVUd_0MrSduXTe1etBb1HNpAlGwQr006ljwMiM"",
      ""GSC最新!A:R""
    ),
    13,
    FALSE
  ),
  0
)
"),0.0)</f>
        <v>0</v>
      </c>
      <c r="Q51" s="59">
        <f>IFERROR(__xludf.DUMMYFUNCTION("IFERROR(
  VLOOKUP(
    A51,
    IMPORTRANGE(
      ""1ZHMy3vVUd_0MrSduXTe1etBb1HNpAlGwQr006ljwMiM"",
      ""GSC最新!A:R""
    ),
    16,
    FALSE
  ),
  0
)
"),0.0)</f>
        <v>0</v>
      </c>
      <c r="R51" s="50" t="str">
        <f t="shared" ref="R51:S51" si="248">IFERROR(N51/P51,"-")</f>
        <v>-</v>
      </c>
      <c r="S51" s="50" t="str">
        <f t="shared" si="248"/>
        <v>-</v>
      </c>
      <c r="T51" s="60">
        <f>IFERROR(__xludf.DUMMYFUNCTION("IFERROR(
  VLOOKUP(
    A51,
    IMPORTRANGE(
      ""1ZHMy3vVUd_0MrSduXTe1etBb1HNpAlGwQr006ljwMiM"",
      ""GSC最新!A:R""
    ),
    8,
    FALSE
  ),
  0
)
"),0.0196078431372549)</f>
        <v>0.01960784314</v>
      </c>
      <c r="U51" s="60">
        <f>IFERROR(__xludf.DUMMYFUNCTION("IFERROR(
  VLOOKUP(
    A51,
    IMPORTRANGE(
      ""1ZHMy3vVUd_0MrSduXTe1etBb1HNpAlGwQr006ljwMiM"",
      ""GSC最新!A:R""
    ),
    11,
    FALSE
  ),
  0
)
"),0.03333333333333333)</f>
        <v>0.03333333333</v>
      </c>
      <c r="V51" s="60">
        <f>IFERROR(__xludf.DUMMYFUNCTION("IFERROR(
  VLOOKUP(
    A51,
    IMPORTRANGE(
      ""1ZHMy3vVUd_0MrSduXTe1etBb1HNpAlGwQr006ljwMiM"",
      ""GSC最新!A:R""
    ),
    14,
    FALSE
  ),
  0
)
"),0.0)</f>
        <v>0</v>
      </c>
      <c r="W51" s="60">
        <f>IFERROR(__xludf.DUMMYFUNCTION("IFERROR(
  VLOOKUP(
    A51,
    IMPORTRANGE(
      ""1ZHMy3vVUd_0MrSduXTe1etBb1HNpAlGwQr006ljwMiM"",
      ""GSC最新!A:R""
    ),
    17,
    FALSE
  ),
  0
)
"),0.0)</f>
        <v>0</v>
      </c>
      <c r="X51" s="60">
        <f t="shared" ref="X51:Y51" si="249">IFERROR(T51-V51,"-")</f>
        <v>0.01960784314</v>
      </c>
      <c r="Y51" s="60">
        <f t="shared" si="249"/>
        <v>0.03333333333</v>
      </c>
      <c r="Z51" s="52">
        <f>IFERROR(__xludf.DUMMYFUNCTION("IFERROR(
  VLOOKUP(
    A51,
    IMPORTRANGE(
      ""1ZHMy3vVUd_0MrSduXTe1etBb1HNpAlGwQr006ljwMiM"",
      ""GSC最新!A:R""
    ),
    9,
    FALSE
  ),
  0
)
"),11.03921568627451)</f>
        <v>11.03921569</v>
      </c>
      <c r="AA51" s="52">
        <f>IFERROR(__xludf.DUMMYFUNCTION("IFERROR(
  VLOOKUP(
    A51,
    IMPORTRANGE(
      ""1ZHMy3vVUd_0MrSduXTe1etBb1HNpAlGwQr006ljwMiM"",
      ""GSC最新!A:R""
    ),
    12,
    FALSE
  ),
  0
)
"),9.333333333333334)</f>
        <v>9.333333333</v>
      </c>
      <c r="AB51" s="52" t="str">
        <f>IFERROR(__xludf.DUMMYFUNCTION("IFERROR(
  VLOOKUP(
    A51,
    IMPORTRANGE(
      ""1ZHMy3vVUd_0MrSduXTe1etBb1HNpAlGwQr006ljwMiM"",
      ""GSC最新!A:R""
    ),
    15,
    FALSE
  ),
  0
)
"),"")</f>
        <v/>
      </c>
      <c r="AC51" s="52" t="str">
        <f>IFERROR(__xludf.DUMMYFUNCTION("IFERROR(
  VLOOKUP(
    A51,
    IMPORTRANGE(
      ""1ZHMy3vVUd_0MrSduXTe1etBb1HNpAlGwQr006ljwMiM"",
      ""GSC最新!A:R""
    ),
    18,
    FALSE
  ),
  0
)
"),"")</f>
        <v/>
      </c>
      <c r="AD51" s="52">
        <f t="shared" ref="AD51:AE51" si="250">Z51-AB51</f>
        <v>11.03921569</v>
      </c>
      <c r="AE51" s="52">
        <f t="shared" si="250"/>
        <v>9.333333333</v>
      </c>
      <c r="AF51" s="53">
        <f>IFERROR(__xludf.DUMMYFUNCTION("IFERROR(
  VLOOKUP(
    A51,
    IMPORTRANGE(
      ""1ZHMy3vVUd_0MrSduXTe1etBb1HNpAlGwQr006ljwMiM"",
      ""GSC最新!A:F""
    ),
    6,
    FALSE
  ),
  0
)
"),46081.0)</f>
        <v>46081</v>
      </c>
      <c r="AG51" s="54">
        <f>IFERROR(__xludf.DUMMYFUNCTION("IFERROR(
  VLOOKUP(
    A51,
    IMPORTRANGE(
      ""1SCYQd7_cobOYqT0r_F0IqD4tE4rYn5y8Eup4PJTH8es"",
      ""Snapshot!A:M""
    ),
    5,
    FALSE
  ),
  ""-""
)
"),8.0)</f>
        <v>8</v>
      </c>
      <c r="AH51" s="54">
        <f>IFERROR(__xludf.DUMMYFUNCTION("IFERROR(
  VLOOKUP(
    A51,
    IMPORTRANGE(
      ""1SCYQd7_cobOYqT0r_F0IqD4tE4rYn5y8Eup4PJTH8es"",
      ""Snapshot!A:M""
    ),
    6,
    FALSE
  ),
  0
)
"),0.0)</f>
        <v>0</v>
      </c>
      <c r="AI51" s="54">
        <f>IFERROR(__xludf.DUMMYFUNCTION("IFERROR(
  VLOOKUP(
    A51,
    IMPORTRANGE(
      ""1SCYQd7_cobOYqT0r_F0IqD4tE4rYn5y8Eup4PJTH8es"",
      ""Snapshot!A:M""
    ),
    7,
    FALSE
  ),
  0
)
"),5202.0)</f>
        <v>5202</v>
      </c>
      <c r="AJ51" s="54">
        <f>IFERROR(__xludf.DUMMYFUNCTION("IFERROR(
  VLOOKUP(
    A51,
    IMPORTRANGE(
      ""1SCYQd7_cobOYqT0r_F0IqD4tE4rYn5y8Eup4PJTH8es"",
      ""Snapshot!A:M""
    ),
    8,
    FALSE
  ),
  0
)
"),3.0)</f>
        <v>3</v>
      </c>
      <c r="AK51" s="54">
        <f>IFERROR(__xludf.DUMMYFUNCTION("IFERROR(
  VLOOKUP(
    A51,
    IMPORTRANGE(
      ""1SCYQd7_cobOYqT0r_F0IqD4tE4rYn5y8Eup4PJTH8es"",
      ""Snapshot!A:M""
    ),
    9,
    FALSE
  ),
  0
)
"),1.0)</f>
        <v>1</v>
      </c>
      <c r="AL51" s="54">
        <f>IFERROR(__xludf.DUMMYFUNCTION("IFERROR(
  VLOOKUP(
    A51,
    IMPORTRANGE(
      ""1SCYQd7_cobOYqT0r_F0IqD4tE4rYn5y8Eup4PJTH8es"",
      ""Snapshot!A:M""
    ),
    13,
    FALSE
  ),
  0
)
"),2.0)</f>
        <v>2</v>
      </c>
    </row>
    <row r="52">
      <c r="A52" s="3" t="s">
        <v>394</v>
      </c>
      <c r="B52" s="1" t="str">
        <f>IFERROR(__xludf.DUMMYFUNCTION("IFERROR(
  VLOOKUP(
    A52,
    IMPORTRANGE(
      ""1ZygntHC1J6IxzKbTidmOyf5nUyW4GCLurHCjexrLm_o"",
      ""HTMLキャッシュ!A:F""
    ),
    2,
    FALSE
  ),
  0
)
"),"SC")</f>
        <v>SC</v>
      </c>
      <c r="C52" s="1" t="str">
        <f>IFERROR(__xludf.DUMMYFUNCTION("IFERROR(
  VLOOKUP(
    A52,
    IMPORTRANGE(
      ""1ZygntHC1J6IxzKbTidmOyf5nUyW4GCLurHCjexrLm_o"",
      ""HTMLキャッシュ!A:F""
    ),
    5,
    FALSE
  ),
  0
)
"),"勉強しているのに算数が伸びない理由をオンラインで可視化する方法 - 中学受験専門 夏井算数塾")</f>
        <v>勉強しているのに算数が伸びない理由をオンラインで可視化する方法 - 中学受験専門 夏井算数塾</v>
      </c>
      <c r="D52" s="1" t="str">
        <f>IFERROR(__xludf.DUMMYFUNCTION("IFERROR(
  VLOOKUP(
    A52,
    IMPORTRANGE(
      ""1ZygntHC1J6IxzKbTidmOyf5nUyW4GCLurHCjexrLm_o        "",
      ""HTMLキャッシュ!A:F""
    ),
    6,
    FALSE
  ),
  0
)
"),"中学受験に向けて勉強しているのに算数だけ伸びない、と感じているご家庭向けのオンライン算数個別指導ガイド。手元カメラや画面共有で途中式や視線の動きを可視化し、読み取り・図や表・計算と検算のどこに弱点があるのかを特定。三つのステップでの改善方法と、家庭でのフォローや教室の選び方まで具体的に解説します。")</f>
        <v>中学受験に向けて勉強しているのに算数だけ伸びない、と感じているご家庭向けのオンライン算数個別指導ガイド。手元カメラや画面共有で途中式や視線の動きを可視化し、読み取り・図や表・計算と検算のどこに弱点があるのかを特定。三つのステップでの改善方法と、家庭でのフォローや教室の選び方まで具体的に解説します。</v>
      </c>
      <c r="E52" s="49">
        <f t="shared" ref="E52:F52" si="251">LEN(C52)</f>
        <v>46</v>
      </c>
      <c r="F52" s="49">
        <f t="shared" si="251"/>
        <v>149</v>
      </c>
      <c r="G52" s="32">
        <f>IFERROR(__xludf.DUMMYFUNCTION("IFERROR(
  VLOOKUP(
    A52,
    IMPORTRANGE(
      ""1ZygntHC1J6IxzKbTidmOyf5nUyW4GCLurHCjexrLm_o        "",
      ""HTMLキャッシュ!A:F""
    ),
    3,
    FALSE
  ),
  0
)
"),46069.70744212963)</f>
        <v>46069.70744</v>
      </c>
      <c r="H52" s="54">
        <f>IFERROR(__xludf.DUMMYFUNCTION("IFERROR(
  VLOOKUP(
    A52,
    IMPORTRANGE(
      ""1ZHMy3vVUd_0MrSduXTe1etBb1HNpAlGwQr006ljwMiM"",
      ""GSC最新!A:F""
    ),
    2,
    FALSE
  ),
  0
)
"),0.0)</f>
        <v>0</v>
      </c>
      <c r="I52" s="54">
        <f>IFERROR(__xludf.DUMMYFUNCTION("IFERROR(
  VLOOKUP(
    A52,
    IMPORTRANGE(
      ""1ZHMy3vVUd_0MrSduXTe1etBb1HNpAlGwQr006ljwMiM"",
      ""GSC最新!A:F""
    ),
    3,
    FALSE
  ),
  0
)
"),4.0)</f>
        <v>4</v>
      </c>
      <c r="J52" s="54">
        <f>IFERROR(__xludf.DUMMYFUNCTION("IFERROR(
  VLOOKUP(
    A52,
    IMPORTRANGE(
      ""1ZHMy3vVUd_0MrSduXTe1etBb1HNpAlGwQr006ljwMiM"",
      ""GSC最新!A:F""
    ),
    4,
    FALSE
  ),
  0
)
"),0.0)</f>
        <v>0</v>
      </c>
      <c r="K52" s="54">
        <f>IFERROR(__xludf.DUMMYFUNCTION("IFERROR(
  VLOOKUP(
    A52,
    IMPORTRANGE(
      ""1ZHMy3vVUd_0MrSduXTe1etBb1HNpAlGwQr006ljwMiM"",
      ""GSC最新!A:F""
    ),
    5,
    FALSE
  ),
  0
)
"),0.0)</f>
        <v>0</v>
      </c>
      <c r="L52" s="50" t="str">
        <f t="shared" ref="L52:M52" si="252">IFERROR(H52/J52,"-")</f>
        <v>-</v>
      </c>
      <c r="M52" s="50" t="str">
        <f t="shared" si="252"/>
        <v>-</v>
      </c>
      <c r="N52" s="59">
        <f>IFERROR(__xludf.DUMMYFUNCTION("IFERROR(
  VLOOKUP(
    A52,
    IMPORTRANGE(
      ""1ZHMy3vVUd_0MrSduXTe1etBb1HNpAlGwQr006ljwMiM"",
      ""GSC最新!A:R""
    ),
    7,
    FALSE
  ),
  0
)
"),5.0)</f>
        <v>5</v>
      </c>
      <c r="O52" s="59">
        <f>IFERROR(__xludf.DUMMYFUNCTION("IFERROR(
  VLOOKUP(
    A52,
    IMPORTRANGE(
      ""1ZHMy3vVUd_0MrSduXTe1etBb1HNpAlGwQr006ljwMiM"",
      ""GSC最新!A:R""
    ),
    10,
    FALSE
  ),
  0
)
"),65.0)</f>
        <v>65</v>
      </c>
      <c r="P52" s="59">
        <f>IFERROR(__xludf.DUMMYFUNCTION("IFERROR(
  VLOOKUP(
    A52,
    IMPORTRANGE(
      ""1ZHMy3vVUd_0MrSduXTe1etBb1HNpAlGwQr006ljwMiM"",
      ""GSC最新!A:R""
    ),
    13,
    FALSE
  ),
  0
)
"),0.0)</f>
        <v>0</v>
      </c>
      <c r="Q52" s="59">
        <f>IFERROR(__xludf.DUMMYFUNCTION("IFERROR(
  VLOOKUP(
    A52,
    IMPORTRANGE(
      ""1ZHMy3vVUd_0MrSduXTe1etBb1HNpAlGwQr006ljwMiM"",
      ""GSC最新!A:R""
    ),
    16,
    FALSE
  ),
  0
)
"),0.0)</f>
        <v>0</v>
      </c>
      <c r="R52" s="50" t="str">
        <f t="shared" ref="R52:S52" si="253">IFERROR(N52/P52,"-")</f>
        <v>-</v>
      </c>
      <c r="S52" s="50" t="str">
        <f t="shared" si="253"/>
        <v>-</v>
      </c>
      <c r="T52" s="60">
        <f>IFERROR(__xludf.DUMMYFUNCTION("IFERROR(
  VLOOKUP(
    A52,
    IMPORTRANGE(
      ""1ZHMy3vVUd_0MrSduXTe1etBb1HNpAlGwQr006ljwMiM"",
      ""GSC最新!A:R""
    ),
    8,
    FALSE
  ),
  0
)
"),0.0)</f>
        <v>0</v>
      </c>
      <c r="U52" s="60">
        <f>IFERROR(__xludf.DUMMYFUNCTION("IFERROR(
  VLOOKUP(
    A52,
    IMPORTRANGE(
      ""1ZHMy3vVUd_0MrSduXTe1etBb1HNpAlGwQr006ljwMiM"",
      ""GSC最新!A:R""
    ),
    11,
    FALSE
  ),
  0
)
"),0.06153846153846154)</f>
        <v>0.06153846154</v>
      </c>
      <c r="V52" s="60">
        <f>IFERROR(__xludf.DUMMYFUNCTION("IFERROR(
  VLOOKUP(
    A52,
    IMPORTRANGE(
      ""1ZHMy3vVUd_0MrSduXTe1etBb1HNpAlGwQr006ljwMiM"",
      ""GSC最新!A:R""
    ),
    14,
    FALSE
  ),
  0
)
"),0.0)</f>
        <v>0</v>
      </c>
      <c r="W52" s="60">
        <f>IFERROR(__xludf.DUMMYFUNCTION("IFERROR(
  VLOOKUP(
    A52,
    IMPORTRANGE(
      ""1ZHMy3vVUd_0MrSduXTe1etBb1HNpAlGwQr006ljwMiM"",
      ""GSC最新!A:R""
    ),
    17,
    FALSE
  ),
  0
)
"),0.0)</f>
        <v>0</v>
      </c>
      <c r="X52" s="60">
        <f t="shared" ref="X52:Y52" si="254">IFERROR(T52-V52,"-")</f>
        <v>0</v>
      </c>
      <c r="Y52" s="60">
        <f t="shared" si="254"/>
        <v>0.06153846154</v>
      </c>
      <c r="Z52" s="52">
        <f>IFERROR(__xludf.DUMMYFUNCTION("IFERROR(
  VLOOKUP(
    A52,
    IMPORTRANGE(
      ""1ZHMy3vVUd_0MrSduXTe1etBb1HNpAlGwQr006ljwMiM"",
      ""GSC最新!A:R""
    ),
    9,
    FALSE
  ),
  0
)
"),4.0)</f>
        <v>4</v>
      </c>
      <c r="AA52" s="52">
        <f>IFERROR(__xludf.DUMMYFUNCTION("IFERROR(
  VLOOKUP(
    A52,
    IMPORTRANGE(
      ""1ZHMy3vVUd_0MrSduXTe1etBb1HNpAlGwQr006ljwMiM"",
      ""GSC最新!A:R""
    ),
    12,
    FALSE
  ),
  0
)
"),7.753846153846154)</f>
        <v>7.753846154</v>
      </c>
      <c r="AB52" s="52" t="str">
        <f>IFERROR(__xludf.DUMMYFUNCTION("IFERROR(
  VLOOKUP(
    A52,
    IMPORTRANGE(
      ""1ZHMy3vVUd_0MrSduXTe1etBb1HNpAlGwQr006ljwMiM"",
      ""GSC最新!A:R""
    ),
    15,
    FALSE
  ),
  0
)
"),"")</f>
        <v/>
      </c>
      <c r="AC52" s="52" t="str">
        <f>IFERROR(__xludf.DUMMYFUNCTION("IFERROR(
  VLOOKUP(
    A52,
    IMPORTRANGE(
      ""1ZHMy3vVUd_0MrSduXTe1etBb1HNpAlGwQr006ljwMiM"",
      ""GSC最新!A:R""
    ),
    18,
    FALSE
  ),
  0
)
"),"")</f>
        <v/>
      </c>
      <c r="AD52" s="52">
        <f t="shared" ref="AD52:AE52" si="255">Z52-AB52</f>
        <v>4</v>
      </c>
      <c r="AE52" s="52">
        <f t="shared" si="255"/>
        <v>7.753846154</v>
      </c>
      <c r="AF52" s="53">
        <f>IFERROR(__xludf.DUMMYFUNCTION("IFERROR(
  VLOOKUP(
    A52,
    IMPORTRANGE(
      ""1ZHMy3vVUd_0MrSduXTe1etBb1HNpAlGwQr006ljwMiM"",
      ""GSC最新!A:F""
    ),
    6,
    FALSE
  ),
  0
)
"),46081.0)</f>
        <v>46081</v>
      </c>
      <c r="AG52" s="54">
        <f>IFERROR(__xludf.DUMMYFUNCTION("IFERROR(
  VLOOKUP(
    A52,
    IMPORTRANGE(
      ""1SCYQd7_cobOYqT0r_F0IqD4tE4rYn5y8Eup4PJTH8es"",
      ""Snapshot!A:M""
    ),
    5,
    FALSE
  ),
  ""-""
)
"),11.0)</f>
        <v>11</v>
      </c>
      <c r="AH52" s="54">
        <f>IFERROR(__xludf.DUMMYFUNCTION("IFERROR(
  VLOOKUP(
    A52,
    IMPORTRANGE(
      ""1SCYQd7_cobOYqT0r_F0IqD4tE4rYn5y8Eup4PJTH8es"",
      ""Snapshot!A:M""
    ),
    6,
    FALSE
  ),
  0
)
"),22.0)</f>
        <v>22</v>
      </c>
      <c r="AI52" s="54">
        <f>IFERROR(__xludf.DUMMYFUNCTION("IFERROR(
  VLOOKUP(
    A52,
    IMPORTRANGE(
      ""1SCYQd7_cobOYqT0r_F0IqD4tE4rYn5y8Eup4PJTH8es"",
      ""Snapshot!A:M""
    ),
    7,
    FALSE
  ),
  0
)
"),8507.0)</f>
        <v>8507</v>
      </c>
      <c r="AJ52" s="54">
        <f>IFERROR(__xludf.DUMMYFUNCTION("IFERROR(
  VLOOKUP(
    A52,
    IMPORTRANGE(
      ""1SCYQd7_cobOYqT0r_F0IqD4tE4rYn5y8Eup4PJTH8es"",
      ""Snapshot!A:M""
    ),
    8,
    FALSE
  ),
  0
)
"),3.0)</f>
        <v>3</v>
      </c>
      <c r="AK52" s="54">
        <f>IFERROR(__xludf.DUMMYFUNCTION("IFERROR(
  VLOOKUP(
    A52,
    IMPORTRANGE(
      ""1SCYQd7_cobOYqT0r_F0IqD4tE4rYn5y8Eup4PJTH8es"",
      ""Snapshot!A:M""
    ),
    9,
    FALSE
  ),
  0
)
"),4.0)</f>
        <v>4</v>
      </c>
      <c r="AL52" s="54">
        <f>IFERROR(__xludf.DUMMYFUNCTION("IFERROR(
  VLOOKUP(
    A52,
    IMPORTRANGE(
      ""1SCYQd7_cobOYqT0r_F0IqD4tE4rYn5y8Eup4PJTH8es"",
      ""Snapshot!A:M""
    ),
    13,
    FALSE
  ),
  0
)
"),2.0)</f>
        <v>2</v>
      </c>
    </row>
    <row r="53">
      <c r="A53" s="3" t="s">
        <v>395</v>
      </c>
      <c r="B53" s="1" t="str">
        <f>IFERROR(__xludf.DUMMYFUNCTION("IFERROR(
  VLOOKUP(
    A53,
    IMPORTRANGE(
      ""1ZygntHC1J6IxzKbTidmOyf5nUyW4GCLurHCjexrLm_o"",
      ""HTMLキャッシュ!A:F""
    ),
    2,
    FALSE
  ),
  0
)
"),"SC")</f>
        <v>SC</v>
      </c>
      <c r="C53" s="1" t="str">
        <f>IFERROR(__xludf.DUMMYFUNCTION("IFERROR(
  VLOOKUP(
    A53,
    IMPORTRANGE(
      ""1ZygntHC1J6IxzKbTidmOyf5nUyW4GCLurHCjexrLm_o"",
      ""HTMLキャッシュ!A:F""
    ),
    5,
    FALSE
  ),
  0
)
"),"場合の数がわからない子を立て直す｜書き出しの癖・場合分け・抜けダブり確認をオンライン個別で矯正する3ステップ｜中学受験小学生")</f>
        <v>場合の数がわからない子を立て直す｜書き出しの癖・場合分け・抜けダブり確認をオンライン個別で矯正する3ステップ｜中学受験小学生</v>
      </c>
      <c r="D53" s="1" t="str">
        <f>IFERROR(__xludf.DUMMYFUNCTION("IFERROR(
  VLOOKUP(
    A53,
    IMPORTRANGE(
      ""1ZygntHC1J6IxzKbTidmOyf5nUyW4GCLurHCjexrLm_o        "",
      ""HTMLキャッシュ!A:F""
    ),
    6,
    FALSE
  ),
  0
)
"),"中学受験算数の「場合の数」で手が止まる原因は、思考整理と書き出しの型不足です。抜けダブりを減らす手順と、オンライン個別での矯正ポイントをまとめます。")</f>
        <v>中学受験算数の「場合の数」で手が止まる原因は、思考整理と書き出しの型不足です。抜けダブりを減らす手順と、オンライン個別での矯正ポイントをまとめます。</v>
      </c>
      <c r="E53" s="49">
        <f t="shared" ref="E53:F53" si="256">LEN(C53)</f>
        <v>62</v>
      </c>
      <c r="F53" s="49">
        <f t="shared" si="256"/>
        <v>74</v>
      </c>
      <c r="G53" s="32">
        <f>IFERROR(__xludf.DUMMYFUNCTION("IFERROR(
  VLOOKUP(
    A53,
    IMPORTRANGE(
      ""1ZygntHC1J6IxzKbTidmOyf5nUyW4GCLurHCjexrLm_o        "",
      ""HTMLキャッシュ!A:F""
    ),
    3,
    FALSE
  ),
  0
)
"),46052.665659722225)</f>
        <v>46052.66566</v>
      </c>
      <c r="H53" s="54">
        <f>IFERROR(__xludf.DUMMYFUNCTION("IFERROR(
  VLOOKUP(
    A53,
    IMPORTRANGE(
      ""1ZHMy3vVUd_0MrSduXTe1etBb1HNpAlGwQr006ljwMiM"",
      ""GSC最新!A:F""
    ),
    2,
    FALSE
  ),
  0
)
"),0.0)</f>
        <v>0</v>
      </c>
      <c r="I53" s="54">
        <f>IFERROR(__xludf.DUMMYFUNCTION("IFERROR(
  VLOOKUP(
    A53,
    IMPORTRANGE(
      ""1ZHMy3vVUd_0MrSduXTe1etBb1HNpAlGwQr006ljwMiM"",
      ""GSC最新!A:F""
    ),
    3,
    FALSE
  ),
  0
)
"),4.0)</f>
        <v>4</v>
      </c>
      <c r="J53" s="54">
        <f>IFERROR(__xludf.DUMMYFUNCTION("IFERROR(
  VLOOKUP(
    A53,
    IMPORTRANGE(
      ""1ZHMy3vVUd_0MrSduXTe1etBb1HNpAlGwQr006ljwMiM"",
      ""GSC最新!A:F""
    ),
    4,
    FALSE
  ),
  0
)
"),0.0)</f>
        <v>0</v>
      </c>
      <c r="K53" s="54">
        <f>IFERROR(__xludf.DUMMYFUNCTION("IFERROR(
  VLOOKUP(
    A53,
    IMPORTRANGE(
      ""1ZHMy3vVUd_0MrSduXTe1etBb1HNpAlGwQr006ljwMiM"",
      ""GSC最新!A:F""
    ),
    5,
    FALSE
  ),
  0
)
"),0.0)</f>
        <v>0</v>
      </c>
      <c r="L53" s="50" t="str">
        <f t="shared" ref="L53:M53" si="257">IFERROR(H53/J53,"-")</f>
        <v>-</v>
      </c>
      <c r="M53" s="50" t="str">
        <f t="shared" si="257"/>
        <v>-</v>
      </c>
      <c r="N53" s="59">
        <f>IFERROR(__xludf.DUMMYFUNCTION("IFERROR(
  VLOOKUP(
    A53,
    IMPORTRANGE(
      ""1ZHMy3vVUd_0MrSduXTe1etBb1HNpAlGwQr006ljwMiM"",
      ""GSC最新!A:R""
    ),
    7,
    FALSE
  ),
  0
)
"),3.0)</f>
        <v>3</v>
      </c>
      <c r="O53" s="59">
        <f>IFERROR(__xludf.DUMMYFUNCTION("IFERROR(
  VLOOKUP(
    A53,
    IMPORTRANGE(
      ""1ZHMy3vVUd_0MrSduXTe1etBb1HNpAlGwQr006ljwMiM"",
      ""GSC最新!A:R""
    ),
    10,
    FALSE
  ),
  0
)
"),40.0)</f>
        <v>40</v>
      </c>
      <c r="P53" s="59">
        <f>IFERROR(__xludf.DUMMYFUNCTION("IFERROR(
  VLOOKUP(
    A53,
    IMPORTRANGE(
      ""1ZHMy3vVUd_0MrSduXTe1etBb1HNpAlGwQr006ljwMiM"",
      ""GSC最新!A:R""
    ),
    13,
    FALSE
  ),
  0
)
"),0.0)</f>
        <v>0</v>
      </c>
      <c r="Q53" s="59">
        <f>IFERROR(__xludf.DUMMYFUNCTION("IFERROR(
  VLOOKUP(
    A53,
    IMPORTRANGE(
      ""1ZHMy3vVUd_0MrSduXTe1etBb1HNpAlGwQr006ljwMiM"",
      ""GSC最新!A:R""
    ),
    16,
    FALSE
  ),
  0
)
"),0.0)</f>
        <v>0</v>
      </c>
      <c r="R53" s="50" t="str">
        <f t="shared" ref="R53:S53" si="258">IFERROR(N53/P53,"-")</f>
        <v>-</v>
      </c>
      <c r="S53" s="50" t="str">
        <f t="shared" si="258"/>
        <v>-</v>
      </c>
      <c r="T53" s="60">
        <f>IFERROR(__xludf.DUMMYFUNCTION("IFERROR(
  VLOOKUP(
    A53,
    IMPORTRANGE(
      ""1ZHMy3vVUd_0MrSduXTe1etBb1HNpAlGwQr006ljwMiM"",
      ""GSC最新!A:R""
    ),
    8,
    FALSE
  ),
  0
)
"),0.0)</f>
        <v>0</v>
      </c>
      <c r="U53" s="60">
        <f>IFERROR(__xludf.DUMMYFUNCTION("IFERROR(
  VLOOKUP(
    A53,
    IMPORTRANGE(
      ""1ZHMy3vVUd_0MrSduXTe1etBb1HNpAlGwQr006ljwMiM"",
      ""GSC最新!A:R""
    ),
    11,
    FALSE
  ),
  0
)
"),0.1)</f>
        <v>0.1</v>
      </c>
      <c r="V53" s="60">
        <f>IFERROR(__xludf.DUMMYFUNCTION("IFERROR(
  VLOOKUP(
    A53,
    IMPORTRANGE(
      ""1ZHMy3vVUd_0MrSduXTe1etBb1HNpAlGwQr006ljwMiM"",
      ""GSC最新!A:R""
    ),
    14,
    FALSE
  ),
  0
)
"),0.0)</f>
        <v>0</v>
      </c>
      <c r="W53" s="60">
        <f>IFERROR(__xludf.DUMMYFUNCTION("IFERROR(
  VLOOKUP(
    A53,
    IMPORTRANGE(
      ""1ZHMy3vVUd_0MrSduXTe1etBb1HNpAlGwQr006ljwMiM"",
      ""GSC最新!A:R""
    ),
    17,
    FALSE
  ),
  0
)
"),0.0)</f>
        <v>0</v>
      </c>
      <c r="X53" s="60">
        <f t="shared" ref="X53:Y53" si="259">IFERROR(T53-V53,"-")</f>
        <v>0</v>
      </c>
      <c r="Y53" s="60">
        <f t="shared" si="259"/>
        <v>0.1</v>
      </c>
      <c r="Z53" s="52">
        <f>IFERROR(__xludf.DUMMYFUNCTION("IFERROR(
  VLOOKUP(
    A53,
    IMPORTRANGE(
      ""1ZHMy3vVUd_0MrSduXTe1etBb1HNpAlGwQr006ljwMiM"",
      ""GSC最新!A:R""
    ),
    9,
    FALSE
  ),
  0
)
"),7.0)</f>
        <v>7</v>
      </c>
      <c r="AA53" s="52">
        <f>IFERROR(__xludf.DUMMYFUNCTION("IFERROR(
  VLOOKUP(
    A53,
    IMPORTRANGE(
      ""1ZHMy3vVUd_0MrSduXTe1etBb1HNpAlGwQr006ljwMiM"",
      ""GSC最新!A:R""
    ),
    12,
    FALSE
  ),
  0
)
"),7.975)</f>
        <v>7.975</v>
      </c>
      <c r="AB53" s="52" t="str">
        <f>IFERROR(__xludf.DUMMYFUNCTION("IFERROR(
  VLOOKUP(
    A53,
    IMPORTRANGE(
      ""1ZHMy3vVUd_0MrSduXTe1etBb1HNpAlGwQr006ljwMiM"",
      ""GSC最新!A:R""
    ),
    15,
    FALSE
  ),
  0
)
"),"")</f>
        <v/>
      </c>
      <c r="AC53" s="52" t="str">
        <f>IFERROR(__xludf.DUMMYFUNCTION("IFERROR(
  VLOOKUP(
    A53,
    IMPORTRANGE(
      ""1ZHMy3vVUd_0MrSduXTe1etBb1HNpAlGwQr006ljwMiM"",
      ""GSC最新!A:R""
    ),
    18,
    FALSE
  ),
  0
)
"),"")</f>
        <v/>
      </c>
      <c r="AD53" s="52">
        <f t="shared" ref="AD53:AE53" si="260">Z53-AB53</f>
        <v>7</v>
      </c>
      <c r="AE53" s="52">
        <f t="shared" si="260"/>
        <v>7.975</v>
      </c>
      <c r="AF53" s="53">
        <f>IFERROR(__xludf.DUMMYFUNCTION("IFERROR(
  VLOOKUP(
    A53,
    IMPORTRANGE(
      ""1ZHMy3vVUd_0MrSduXTe1etBb1HNpAlGwQr006ljwMiM"",
      ""GSC最新!A:F""
    ),
    6,
    FALSE
  ),
  0
)
"),46081.0)</f>
        <v>46081</v>
      </c>
      <c r="AG53" s="54">
        <f>IFERROR(__xludf.DUMMYFUNCTION("IFERROR(
  VLOOKUP(
    A53,
    IMPORTRANGE(
      ""1SCYQd7_cobOYqT0r_F0IqD4tE4rYn5y8Eup4PJTH8es"",
      ""Snapshot!A:M""
    ),
    5,
    FALSE
  ),
  ""-""
)
"),7.0)</f>
        <v>7</v>
      </c>
      <c r="AH53" s="54">
        <f>IFERROR(__xludf.DUMMYFUNCTION("IFERROR(
  VLOOKUP(
    A53,
    IMPORTRANGE(
      ""1SCYQd7_cobOYqT0r_F0IqD4tE4rYn5y8Eup4PJTH8es"",
      ""Snapshot!A:M""
    ),
    6,
    FALSE
  ),
  0
)
"),18.0)</f>
        <v>18</v>
      </c>
      <c r="AI53" s="54">
        <f>IFERROR(__xludf.DUMMYFUNCTION("IFERROR(
  VLOOKUP(
    A53,
    IMPORTRANGE(
      ""1SCYQd7_cobOYqT0r_F0IqD4tE4rYn5y8Eup4PJTH8es"",
      ""Snapshot!A:M""
    ),
    7,
    FALSE
  ),
  0
)
"),7222.0)</f>
        <v>7222</v>
      </c>
      <c r="AJ53" s="54">
        <f>IFERROR(__xludf.DUMMYFUNCTION("IFERROR(
  VLOOKUP(
    A53,
    IMPORTRANGE(
      ""1SCYQd7_cobOYqT0r_F0IqD4tE4rYn5y8Eup4PJTH8es"",
      ""Snapshot!A:M""
    ),
    8,
    FALSE
  ),
  0
)
"),2.0)</f>
        <v>2</v>
      </c>
      <c r="AK53" s="54">
        <f>IFERROR(__xludf.DUMMYFUNCTION("IFERROR(
  VLOOKUP(
    A53,
    IMPORTRANGE(
      ""1SCYQd7_cobOYqT0r_F0IqD4tE4rYn5y8Eup4PJTH8es"",
      ""Snapshot!A:M""
    ),
    9,
    FALSE
  ),
  0
)
"),1.0)</f>
        <v>1</v>
      </c>
      <c r="AL53" s="54">
        <f>IFERROR(__xludf.DUMMYFUNCTION("IFERROR(
  VLOOKUP(
    A53,
    IMPORTRANGE(
      ""1SCYQd7_cobOYqT0r_F0IqD4tE4rYn5y8Eup4PJTH8es"",
      ""Snapshot!A:M""
    ),
    13,
    FALSE
  ),
  0
)
"),2.0)</f>
        <v>2</v>
      </c>
    </row>
    <row r="54">
      <c r="A54" s="3" t="s">
        <v>396</v>
      </c>
      <c r="B54" s="1" t="str">
        <f>IFERROR(__xludf.DUMMYFUNCTION("IFERROR(
  VLOOKUP(
    A54,
    IMPORTRANGE(
      ""1ZygntHC1J6IxzKbTidmOyf5nUyW4GCLurHCjexrLm_o"",
      ""HTMLキャッシュ!A:F""
    ),
    2,
    FALSE
  ),
  0
)
"),"MC")</f>
        <v>MC</v>
      </c>
      <c r="C54" s="1" t="str">
        <f>IFERROR(__xludf.DUMMYFUNCTION("IFERROR(
  VLOOKUP(
    A54,
    IMPORTRANGE(
      ""1ZygntHC1J6IxzKbTidmOyf5nUyW4GCLurHCjexrLm_o"",
      ""HTMLキャッシュ!A:F""
    ),
    5,
    FALSE
  ),
  0
)
"),"中学受験 学校見学 いつから｜学年別目安・説明会の見る点")</f>
        <v>中学受験 学校見学 いつから｜学年別目安・説明会の見る点</v>
      </c>
      <c r="D54" s="1" t="str">
        <f>IFERROR(__xludf.DUMMYFUNCTION("IFERROR(
  VLOOKUP(
    A54,
    IMPORTRANGE(
      ""1ZygntHC1J6IxzKbTidmOyf5nUyW4GCLurHCjexrLm_o        "",
      ""HTMLキャッシュ!A:F""
    ),
    6,
    FALSE
  ),
  0
)
"),"中学受験の学校見学はいつから動くかを学年別に整理。小4〜5は雰囲気確認、小6は受験校選び。説明会の見る点と当日メモ欄も掲載。")</f>
        <v>中学受験の学校見学はいつから動くかを学年別に整理。小4〜5は雰囲気確認、小6は受験校選び。説明会の見る点と当日メモ欄も掲載。</v>
      </c>
      <c r="E54" s="49">
        <f t="shared" ref="E54:F54" si="261">LEN(C54)</f>
        <v>28</v>
      </c>
      <c r="F54" s="49">
        <f t="shared" si="261"/>
        <v>62</v>
      </c>
      <c r="G54" s="32">
        <f>IFERROR(__xludf.DUMMYFUNCTION("IFERROR(
  VLOOKUP(
    A54,
    IMPORTRANGE(
      ""1ZygntHC1J6IxzKbTidmOyf5nUyW4GCLurHCjexrLm_o        "",
      ""HTMLキャッシュ!A:F""
    ),
    3,
    FALSE
  ),
  0
)
"),46078.633576388886)</f>
        <v>46078.63358</v>
      </c>
      <c r="H54" s="54">
        <f>IFERROR(__xludf.DUMMYFUNCTION("IFERROR(
  VLOOKUP(
    A54,
    IMPORTRANGE(
      ""1ZHMy3vVUd_0MrSduXTe1etBb1HNpAlGwQr006ljwMiM"",
      ""GSC最新!A:F""
    ),
    2,
    FALSE
  ),
  0
)
"),4.0)</f>
        <v>4</v>
      </c>
      <c r="I54" s="54">
        <f>IFERROR(__xludf.DUMMYFUNCTION("IFERROR(
  VLOOKUP(
    A54,
    IMPORTRANGE(
      ""1ZHMy3vVUd_0MrSduXTe1etBb1HNpAlGwQr006ljwMiM"",
      ""GSC最新!A:F""
    ),
    3,
    FALSE
  ),
  0
)
"),4.0)</f>
        <v>4</v>
      </c>
      <c r="J54" s="54">
        <f>IFERROR(__xludf.DUMMYFUNCTION("IFERROR(
  VLOOKUP(
    A54,
    IMPORTRANGE(
      ""1ZHMy3vVUd_0MrSduXTe1etBb1HNpAlGwQr006ljwMiM"",
      ""GSC最新!A:F""
    ),
    4,
    FALSE
  ),
  0
)
"),1.0)</f>
        <v>1</v>
      </c>
      <c r="K54" s="54">
        <f>IFERROR(__xludf.DUMMYFUNCTION("IFERROR(
  VLOOKUP(
    A54,
    IMPORTRANGE(
      ""1ZHMy3vVUd_0MrSduXTe1etBb1HNpAlGwQr006ljwMiM"",
      ""GSC最新!A:F""
    ),
    5,
    FALSE
  ),
  0
)
"),1.0)</f>
        <v>1</v>
      </c>
      <c r="L54" s="50">
        <f t="shared" ref="L54:M54" si="262">IFERROR(H54/J54,"-")</f>
        <v>4</v>
      </c>
      <c r="M54" s="50">
        <f t="shared" si="262"/>
        <v>4</v>
      </c>
      <c r="N54" s="59">
        <f>IFERROR(__xludf.DUMMYFUNCTION("IFERROR(
  VLOOKUP(
    A54,
    IMPORTRANGE(
      ""1ZHMy3vVUd_0MrSduXTe1etBb1HNpAlGwQr006ljwMiM"",
      ""GSC最新!A:R""
    ),
    7,
    FALSE
  ),
  0
)
"),340.0)</f>
        <v>340</v>
      </c>
      <c r="O54" s="59">
        <f>IFERROR(__xludf.DUMMYFUNCTION("IFERROR(
  VLOOKUP(
    A54,
    IMPORTRANGE(
      ""1ZHMy3vVUd_0MrSduXTe1etBb1HNpAlGwQr006ljwMiM"",
      ""GSC最新!A:R""
    ),
    10,
    FALSE
  ),
  0
)
"),419.0)</f>
        <v>419</v>
      </c>
      <c r="P54" s="59">
        <f>IFERROR(__xludf.DUMMYFUNCTION("IFERROR(
  VLOOKUP(
    A54,
    IMPORTRANGE(
      ""1ZHMy3vVUd_0MrSduXTe1etBb1HNpAlGwQr006ljwMiM"",
      ""GSC最新!A:R""
    ),
    13,
    FALSE
  ),
  0
)
"),1.0)</f>
        <v>1</v>
      </c>
      <c r="Q54" s="59">
        <f>IFERROR(__xludf.DUMMYFUNCTION("IFERROR(
  VLOOKUP(
    A54,
    IMPORTRANGE(
      ""1ZHMy3vVUd_0MrSduXTe1etBb1HNpAlGwQr006ljwMiM"",
      ""GSC最新!A:R""
    ),
    16,
    FALSE
  ),
  0
)
"),33.0)</f>
        <v>33</v>
      </c>
      <c r="R54" s="50">
        <f t="shared" ref="R54:S54" si="263">IFERROR(N54/P54,"-")</f>
        <v>340</v>
      </c>
      <c r="S54" s="50">
        <f t="shared" si="263"/>
        <v>12.6969697</v>
      </c>
      <c r="T54" s="60">
        <f>IFERROR(__xludf.DUMMYFUNCTION("IFERROR(
  VLOOKUP(
    A54,
    IMPORTRANGE(
      ""1ZHMy3vVUd_0MrSduXTe1etBb1HNpAlGwQr006ljwMiM"",
      ""GSC最新!A:R""
    ),
    8,
    FALSE
  ),
  0
)
"),0.011764705882352941)</f>
        <v>0.01176470588</v>
      </c>
      <c r="U54" s="60">
        <f>IFERROR(__xludf.DUMMYFUNCTION("IFERROR(
  VLOOKUP(
    A54,
    IMPORTRANGE(
      ""1ZHMy3vVUd_0MrSduXTe1etBb1HNpAlGwQr006ljwMiM"",
      ""GSC最新!A:R""
    ),
    11,
    FALSE
  ),
  0
)
"),0.00954653937947494)</f>
        <v>0.009546539379</v>
      </c>
      <c r="V54" s="60">
        <f>IFERROR(__xludf.DUMMYFUNCTION("IFERROR(
  VLOOKUP(
    A54,
    IMPORTRANGE(
      ""1ZHMy3vVUd_0MrSduXTe1etBb1HNpAlGwQr006ljwMiM"",
      ""GSC最新!A:R""
    ),
    14,
    FALSE
  ),
  0
)
"),1.0)</f>
        <v>1</v>
      </c>
      <c r="W54" s="60">
        <f>IFERROR(__xludf.DUMMYFUNCTION("IFERROR(
  VLOOKUP(
    A54,
    IMPORTRANGE(
      ""1ZHMy3vVUd_0MrSduXTe1etBb1HNpAlGwQr006ljwMiM"",
      ""GSC最新!A:R""
    ),
    17,
    FALSE
  ),
  0
)
"),0.030303030303030304)</f>
        <v>0.0303030303</v>
      </c>
      <c r="X54" s="60">
        <f t="shared" ref="X54:Y54" si="264">IFERROR(T54-V54,"-")</f>
        <v>-0.9882352941</v>
      </c>
      <c r="Y54" s="60">
        <f t="shared" si="264"/>
        <v>-0.02075649092</v>
      </c>
      <c r="Z54" s="52">
        <f>IFERROR(__xludf.DUMMYFUNCTION("IFERROR(
  VLOOKUP(
    A54,
    IMPORTRANGE(
      ""1ZHMy3vVUd_0MrSduXTe1etBb1HNpAlGwQr006ljwMiM"",
      ""GSC最新!A:R""
    ),
    9,
    FALSE
  ),
  0
)
"),5.358823529411764)</f>
        <v>5.358823529</v>
      </c>
      <c r="AA54" s="52">
        <f>IFERROR(__xludf.DUMMYFUNCTION("IFERROR(
  VLOOKUP(
    A54,
    IMPORTRANGE(
      ""1ZHMy3vVUd_0MrSduXTe1etBb1HNpAlGwQr006ljwMiM"",
      ""GSC最新!A:R""
    ),
    12,
    FALSE
  ),
  0
)
"),5.62291169451074)</f>
        <v>5.622911695</v>
      </c>
      <c r="AB54" s="52">
        <f>IFERROR(__xludf.DUMMYFUNCTION("IFERROR(
  VLOOKUP(
    A54,
    IMPORTRANGE(
      ""1ZHMy3vVUd_0MrSduXTe1etBb1HNpAlGwQr006ljwMiM"",
      ""GSC最新!A:R""
    ),
    15,
    FALSE
  ),
  0
)
"),7.0)</f>
        <v>7</v>
      </c>
      <c r="AC54" s="52">
        <f>IFERROR(__xludf.DUMMYFUNCTION("IFERROR(
  VLOOKUP(
    A54,
    IMPORTRANGE(
      ""1ZHMy3vVUd_0MrSduXTe1etBb1HNpAlGwQr006ljwMiM"",
      ""GSC最新!A:R""
    ),
    18,
    FALSE
  ),
  0
)
"),61.09090909090909)</f>
        <v>61.09090909</v>
      </c>
      <c r="AD54" s="52">
        <f t="shared" ref="AD54:AE54" si="265">Z54-AB54</f>
        <v>-1.641176471</v>
      </c>
      <c r="AE54" s="52">
        <f t="shared" si="265"/>
        <v>-55.4679974</v>
      </c>
      <c r="AF54" s="53">
        <f>IFERROR(__xludf.DUMMYFUNCTION("IFERROR(
  VLOOKUP(
    A54,
    IMPORTRANGE(
      ""1ZHMy3vVUd_0MrSduXTe1etBb1HNpAlGwQr006ljwMiM"",
      ""GSC最新!A:F""
    ),
    6,
    FALSE
  ),
  0
)
"),46081.0)</f>
        <v>46081</v>
      </c>
      <c r="AG54" s="54">
        <f>IFERROR(__xludf.DUMMYFUNCTION("IFERROR(
  VLOOKUP(
    A54,
    IMPORTRANGE(
      ""1SCYQd7_cobOYqT0r_F0IqD4tE4rYn5y8Eup4PJTH8es"",
      ""Snapshot!A:M""
    ),
    5,
    FALSE
  ),
  ""-""
)
"),12.0)</f>
        <v>12</v>
      </c>
      <c r="AH54" s="54">
        <f>IFERROR(__xludf.DUMMYFUNCTION("IFERROR(
  VLOOKUP(
    A54,
    IMPORTRANGE(
      ""1SCYQd7_cobOYqT0r_F0IqD4tE4rYn5y8Eup4PJTH8es"",
      ""Snapshot!A:M""
    ),
    6,
    FALSE
  ),
  0
)
"),11.0)</f>
        <v>11</v>
      </c>
      <c r="AI54" s="54">
        <f>IFERROR(__xludf.DUMMYFUNCTION("IFERROR(
  VLOOKUP(
    A54,
    IMPORTRANGE(
      ""1SCYQd7_cobOYqT0r_F0IqD4tE4rYn5y8Eup4PJTH8es"",
      ""Snapshot!A:M""
    ),
    7,
    FALSE
  ),
  0
)
"),3600.0)</f>
        <v>3600</v>
      </c>
      <c r="AJ54" s="54">
        <f>IFERROR(__xludf.DUMMYFUNCTION("IFERROR(
  VLOOKUP(
    A54,
    IMPORTRANGE(
      ""1SCYQd7_cobOYqT0r_F0IqD4tE4rYn5y8Eup4PJTH8es"",
      ""Snapshot!A:M""
    ),
    8,
    FALSE
  ),
  0
)
"),3.0)</f>
        <v>3</v>
      </c>
      <c r="AK54" s="54">
        <f>IFERROR(__xludf.DUMMYFUNCTION("IFERROR(
  VLOOKUP(
    A54,
    IMPORTRANGE(
      ""1SCYQd7_cobOYqT0r_F0IqD4tE4rYn5y8Eup4PJTH8es"",
      ""Snapshot!A:M""
    ),
    9,
    FALSE
  ),
  0
)
"),3.0)</f>
        <v>3</v>
      </c>
      <c r="AL54" s="54">
        <f>IFERROR(__xludf.DUMMYFUNCTION("IFERROR(
  VLOOKUP(
    A54,
    IMPORTRANGE(
      ""1SCYQd7_cobOYqT0r_F0IqD4tE4rYn5y8Eup4PJTH8es"",
      ""Snapshot!A:M""
    ),
    13,
    FALSE
  ),
  0
)
"),2.0)</f>
        <v>2</v>
      </c>
    </row>
    <row r="55">
      <c r="A55" s="3" t="s">
        <v>397</v>
      </c>
      <c r="B55" s="1" t="str">
        <f>IFERROR(__xludf.DUMMYFUNCTION("IFERROR(
  VLOOKUP(
    A55,
    IMPORTRANGE(
      ""1ZygntHC1J6IxzKbTidmOyf5nUyW4GCLurHCjexrLm_o"",
      ""HTMLキャッシュ!A:F""
    ),
    2,
    FALSE
  ),
  0
)
"),"MC")</f>
        <v>MC</v>
      </c>
      <c r="C55" s="1" t="str">
        <f>IFERROR(__xludf.DUMMYFUNCTION("IFERROR(
  VLOOKUP(
    A55,
    IMPORTRANGE(
      ""1ZygntHC1J6IxzKbTidmOyf5nUyW4GCLurHCjexrLm_o"",
      ""HTMLキャッシュ!A:F""
    ),
    5,
    FALSE
  ),
  0
)
"),"女子学院中学校 算数対策｜令和2年度の過去問を大問別に動画解説｜中学受験算数")</f>
        <v>女子学院中学校 算数対策｜令和2年度の過去問を大問別に動画解説｜中学受験算数</v>
      </c>
      <c r="D55" s="1" t="str">
        <f>IFERROR(__xludf.DUMMYFUNCTION("IFERROR(
  VLOOKUP(
    A55,
    IMPORTRANGE(
      ""1ZygntHC1J6IxzKbTidmOyf5nUyW4GCLurHCjexrLm_o        "",
      ""HTMLキャッシュ!A:F""
    ),
    6,
    FALSE
  ),
  0
)
"),"女子学院中学校・令和2年度の算数入試問題を、大問別（大問1／2・3／4・5／6）に動画で解説。過去問演習で止まりやすいポイントを確認し、解説を見ながら解き直し・復習に活用できます。問題文は各種サイト等でご入手ください。個別指導の案内も掲載。")</f>
        <v>女子学院中学校・令和2年度の算数入試問題を、大問別（大問1／2・3／4・5／6）に動画で解説。過去問演習で止まりやすいポイントを確認し、解説を見ながら解き直し・復習に活用できます。問題文は各種サイト等でご入手ください。個別指導の案内も掲載。</v>
      </c>
      <c r="E55" s="49">
        <f t="shared" ref="E55:F55" si="266">LEN(C55)</f>
        <v>38</v>
      </c>
      <c r="F55" s="49">
        <f t="shared" si="266"/>
        <v>120</v>
      </c>
      <c r="G55" s="32">
        <f>IFERROR(__xludf.DUMMYFUNCTION("IFERROR(
  VLOOKUP(
    A55,
    IMPORTRANGE(
      ""1ZygntHC1J6IxzKbTidmOyf5nUyW4GCLurHCjexrLm_o        "",
      ""HTMLキャッシュ!A:F""
    ),
    3,
    FALSE
  ),
  0
)
"),46053.69453703704)</f>
        <v>46053.69454</v>
      </c>
      <c r="H55" s="54">
        <f>IFERROR(__xludf.DUMMYFUNCTION("IFERROR(
  VLOOKUP(
    A55,
    IMPORTRANGE(
      ""1ZHMy3vVUd_0MrSduXTe1etBb1HNpAlGwQr006ljwMiM"",
      ""GSC最新!A:F""
    ),
    2,
    FALSE
  ),
  0
)
"),2.0)</f>
        <v>2</v>
      </c>
      <c r="I55" s="54">
        <f>IFERROR(__xludf.DUMMYFUNCTION("IFERROR(
  VLOOKUP(
    A55,
    IMPORTRANGE(
      ""1ZHMy3vVUd_0MrSduXTe1etBb1HNpAlGwQr006ljwMiM"",
      ""GSC最新!A:F""
    ),
    3,
    FALSE
  ),
  0
)
"),3.0)</f>
        <v>3</v>
      </c>
      <c r="J55" s="54">
        <f>IFERROR(__xludf.DUMMYFUNCTION("IFERROR(
  VLOOKUP(
    A55,
    IMPORTRANGE(
      ""1ZHMy3vVUd_0MrSduXTe1etBb1HNpAlGwQr006ljwMiM"",
      ""GSC最新!A:F""
    ),
    4,
    FALSE
  ),
  0
)
"),0.0)</f>
        <v>0</v>
      </c>
      <c r="K55" s="54">
        <f>IFERROR(__xludf.DUMMYFUNCTION("IFERROR(
  VLOOKUP(
    A55,
    IMPORTRANGE(
      ""1ZHMy3vVUd_0MrSduXTe1etBb1HNpAlGwQr006ljwMiM"",
      ""GSC最新!A:F""
    ),
    5,
    FALSE
  ),
  0
)
"),0.0)</f>
        <v>0</v>
      </c>
      <c r="L55" s="50" t="str">
        <f t="shared" ref="L55:M55" si="267">IFERROR(H55/J55,"-")</f>
        <v>-</v>
      </c>
      <c r="M55" s="50" t="str">
        <f t="shared" si="267"/>
        <v>-</v>
      </c>
      <c r="N55" s="59">
        <f>IFERROR(__xludf.DUMMYFUNCTION("IFERROR(
  VLOOKUP(
    A55,
    IMPORTRANGE(
      ""1ZHMy3vVUd_0MrSduXTe1etBb1HNpAlGwQr006ljwMiM"",
      ""GSC最新!A:R""
    ),
    7,
    FALSE
  ),
  0
)
"),174.0)</f>
        <v>174</v>
      </c>
      <c r="O55" s="59">
        <f>IFERROR(__xludf.DUMMYFUNCTION("IFERROR(
  VLOOKUP(
    A55,
    IMPORTRANGE(
      ""1ZHMy3vVUd_0MrSduXTe1etBb1HNpAlGwQr006ljwMiM"",
      ""GSC最新!A:R""
    ),
    10,
    FALSE
  ),
  0
)
"),376.0)</f>
        <v>376</v>
      </c>
      <c r="P55" s="59">
        <f>IFERROR(__xludf.DUMMYFUNCTION("IFERROR(
  VLOOKUP(
    A55,
    IMPORTRANGE(
      ""1ZHMy3vVUd_0MrSduXTe1etBb1HNpAlGwQr006ljwMiM"",
      ""GSC最新!A:R""
    ),
    13,
    FALSE
  ),
  0
)
"),9.0)</f>
        <v>9</v>
      </c>
      <c r="Q55" s="59">
        <f>IFERROR(__xludf.DUMMYFUNCTION("IFERROR(
  VLOOKUP(
    A55,
    IMPORTRANGE(
      ""1ZHMy3vVUd_0MrSduXTe1etBb1HNpAlGwQr006ljwMiM"",
      ""GSC最新!A:R""
    ),
    16,
    FALSE
  ),
  0
)
"),88.0)</f>
        <v>88</v>
      </c>
      <c r="R55" s="50">
        <f t="shared" ref="R55:S55" si="268">IFERROR(N55/P55,"-")</f>
        <v>19.33333333</v>
      </c>
      <c r="S55" s="50">
        <f t="shared" si="268"/>
        <v>4.272727273</v>
      </c>
      <c r="T55" s="60">
        <f>IFERROR(__xludf.DUMMYFUNCTION("IFERROR(
  VLOOKUP(
    A55,
    IMPORTRANGE(
      ""1ZHMy3vVUd_0MrSduXTe1etBb1HNpAlGwQr006ljwMiM"",
      ""GSC最新!A:R""
    ),
    8,
    FALSE
  ),
  0
)
"),0.011494252873563218)</f>
        <v>0.01149425287</v>
      </c>
      <c r="U55" s="60">
        <f>IFERROR(__xludf.DUMMYFUNCTION("IFERROR(
  VLOOKUP(
    A55,
    IMPORTRANGE(
      ""1ZHMy3vVUd_0MrSduXTe1etBb1HNpAlGwQr006ljwMiM"",
      ""GSC最新!A:R""
    ),
    11,
    FALSE
  ),
  0
)
"),0.007978723404255319)</f>
        <v>0.007978723404</v>
      </c>
      <c r="V55" s="60">
        <f>IFERROR(__xludf.DUMMYFUNCTION("IFERROR(
  VLOOKUP(
    A55,
    IMPORTRANGE(
      ""1ZHMy3vVUd_0MrSduXTe1etBb1HNpAlGwQr006ljwMiM"",
      ""GSC最新!A:R""
    ),
    14,
    FALSE
  ),
  0
)
"),0.0)</f>
        <v>0</v>
      </c>
      <c r="W55" s="60">
        <f>IFERROR(__xludf.DUMMYFUNCTION("IFERROR(
  VLOOKUP(
    A55,
    IMPORTRANGE(
      ""1ZHMy3vVUd_0MrSduXTe1etBb1HNpAlGwQr006ljwMiM"",
      ""GSC最新!A:R""
    ),
    17,
    FALSE
  ),
  0
)
"),0.0)</f>
        <v>0</v>
      </c>
      <c r="X55" s="60">
        <f t="shared" ref="X55:Y55" si="269">IFERROR(T55-V55,"-")</f>
        <v>0.01149425287</v>
      </c>
      <c r="Y55" s="60">
        <f t="shared" si="269"/>
        <v>0.007978723404</v>
      </c>
      <c r="Z55" s="52">
        <f>IFERROR(__xludf.DUMMYFUNCTION("IFERROR(
  VLOOKUP(
    A55,
    IMPORTRANGE(
      ""1ZHMy3vVUd_0MrSduXTe1etBb1HNpAlGwQr006ljwMiM"",
      ""GSC最新!A:R""
    ),
    9,
    FALSE
  ),
  0
)
"),20.563218390804597)</f>
        <v>20.56321839</v>
      </c>
      <c r="AA55" s="52">
        <f>IFERROR(__xludf.DUMMYFUNCTION("IFERROR(
  VLOOKUP(
    A55,
    IMPORTRANGE(
      ""1ZHMy3vVUd_0MrSduXTe1etBb1HNpAlGwQr006ljwMiM"",
      ""GSC最新!A:R""
    ),
    12,
    FALSE
  ),
  0
)
"),21.726063829787233)</f>
        <v>21.72606383</v>
      </c>
      <c r="AB55" s="52">
        <f>IFERROR(__xludf.DUMMYFUNCTION("IFERROR(
  VLOOKUP(
    A55,
    IMPORTRANGE(
      ""1ZHMy3vVUd_0MrSduXTe1etBb1HNpAlGwQr006ljwMiM"",
      ""GSC最新!A:R""
    ),
    15,
    FALSE
  ),
  0
)
"),60.888888888888886)</f>
        <v>60.88888889</v>
      </c>
      <c r="AC55" s="52">
        <f>IFERROR(__xludf.DUMMYFUNCTION("IFERROR(
  VLOOKUP(
    A55,
    IMPORTRANGE(
      ""1ZHMy3vVUd_0MrSduXTe1etBb1HNpAlGwQr006ljwMiM"",
      ""GSC最新!A:R""
    ),
    18,
    FALSE
  ),
  0
)
"),47.375)</f>
        <v>47.375</v>
      </c>
      <c r="AD55" s="52">
        <f t="shared" ref="AD55:AE55" si="270">Z55-AB55</f>
        <v>-40.3256705</v>
      </c>
      <c r="AE55" s="52">
        <f t="shared" si="270"/>
        <v>-25.64893617</v>
      </c>
      <c r="AF55" s="53">
        <f>IFERROR(__xludf.DUMMYFUNCTION("IFERROR(
  VLOOKUP(
    A55,
    IMPORTRANGE(
      ""1ZHMy3vVUd_0MrSduXTe1etBb1HNpAlGwQr006ljwMiM"",
      ""GSC最新!A:F""
    ),
    6,
    FALSE
  ),
  0
)
"),46081.0)</f>
        <v>46081</v>
      </c>
      <c r="AG55" s="54">
        <f>IFERROR(__xludf.DUMMYFUNCTION("IFERROR(
  VLOOKUP(
    A55,
    IMPORTRANGE(
      ""1SCYQd7_cobOYqT0r_F0IqD4tE4rYn5y8Eup4PJTH8es"",
      ""Snapshot!A:M""
    ),
    5,
    FALSE
  ),
  ""-""
)
"),2.0)</f>
        <v>2</v>
      </c>
      <c r="AH55" s="54">
        <f>IFERROR(__xludf.DUMMYFUNCTION("IFERROR(
  VLOOKUP(
    A55,
    IMPORTRANGE(
      ""1SCYQd7_cobOYqT0r_F0IqD4tE4rYn5y8Eup4PJTH8es"",
      ""Snapshot!A:M""
    ),
    6,
    FALSE
  ),
  0
)
"),7.0)</f>
        <v>7</v>
      </c>
      <c r="AI55" s="54">
        <f>IFERROR(__xludf.DUMMYFUNCTION("IFERROR(
  VLOOKUP(
    A55,
    IMPORTRANGE(
      ""1SCYQd7_cobOYqT0r_F0IqD4tE4rYn5y8Eup4PJTH8es"",
      ""Snapshot!A:M""
    ),
    7,
    FALSE
  ),
  0
)
"),782.0)</f>
        <v>782</v>
      </c>
      <c r="AJ55" s="54">
        <f>IFERROR(__xludf.DUMMYFUNCTION("IFERROR(
  VLOOKUP(
    A55,
    IMPORTRANGE(
      ""1SCYQd7_cobOYqT0r_F0IqD4tE4rYn5y8Eup4PJTH8es"",
      ""Snapshot!A:M""
    ),
    8,
    FALSE
  ),
  0
)
"),3.0)</f>
        <v>3</v>
      </c>
      <c r="AK55" s="54">
        <f>IFERROR(__xludf.DUMMYFUNCTION("IFERROR(
  VLOOKUP(
    A55,
    IMPORTRANGE(
      ""1SCYQd7_cobOYqT0r_F0IqD4tE4rYn5y8Eup4PJTH8es"",
      ""Snapshot!A:M""
    ),
    9,
    FALSE
  ),
  0
)
"),1.0)</f>
        <v>1</v>
      </c>
      <c r="AL55" s="54">
        <f>IFERROR(__xludf.DUMMYFUNCTION("IFERROR(
  VLOOKUP(
    A55,
    IMPORTRANGE(
      ""1SCYQd7_cobOYqT0r_F0IqD4tE4rYn5y8Eup4PJTH8es"",
      ""Snapshot!A:M""
    ),
    13,
    FALSE
  ),
  0
)
"),2.0)</f>
        <v>2</v>
      </c>
    </row>
    <row r="56">
      <c r="A56" s="3" t="s">
        <v>398</v>
      </c>
      <c r="B56" s="1" t="str">
        <f>IFERROR(__xludf.DUMMYFUNCTION("IFERROR(
  VLOOKUP(
    A56,
    IMPORTRANGE(
      ""1ZygntHC1J6IxzKbTidmOyf5nUyW4GCLurHCjexrLm_o"",
      ""HTMLキャッシュ!A:F""
    ),
    2,
    FALSE
  ),
  0
)
"),"MC")</f>
        <v>MC</v>
      </c>
      <c r="C56" s="1" t="str">
        <f>IFERROR(__xludf.DUMMYFUNCTION("IFERROR(
  VLOOKUP(
    A56,
    IMPORTRANGE(
      ""1ZygntHC1J6IxzKbTidmOyf5nUyW4GCLurHCjexrLm_o"",
      ""HTMLキャッシュ!A:F""
    ),
    5,
    FALSE
  ),
  0
)
"),"6年生から中学受験｜学校見学と直前期Q&amp;amp;A")</f>
        <v>6年生から中学受験｜学校見学と直前期Q&amp;amp;A</v>
      </c>
      <c r="D56" s="1" t="str">
        <f>IFERROR(__xludf.DUMMYFUNCTION("IFERROR(
  VLOOKUP(
    A56,
    IMPORTRANGE(
      ""1ZygntHC1J6IxzKbTidmOyf5nUyW4GCLurHCjexrLm_o        "",
      ""HTMLキャッシュ!A:F""
    ),
    6,
    FALSE
  ),
  0
)
"),"6年生から中学受験の不安に。学校見学の時期、直前期の過ごし方、志望校の決め方をQ&amp;amp;Aで整理。")</f>
        <v>6年生から中学受験の不安に。学校見学の時期、直前期の過ごし方、志望校の決め方をQ&amp;amp;Aで整理。</v>
      </c>
      <c r="E56" s="49">
        <f t="shared" ref="E56:F56" si="271">LEN(C56)</f>
        <v>25</v>
      </c>
      <c r="F56" s="49">
        <f t="shared" si="271"/>
        <v>50</v>
      </c>
      <c r="G56" s="32">
        <f>IFERROR(__xludf.DUMMYFUNCTION("IFERROR(
  VLOOKUP(
    A56,
    IMPORTRANGE(
      ""1ZygntHC1J6IxzKbTidmOyf5nUyW4GCLurHCjexrLm_o        "",
      ""HTMLキャッシュ!A:F""
    ),
    3,
    FALSE
  ),
  0
)
"),46077.7465625)</f>
        <v>46077.74656</v>
      </c>
      <c r="H56" s="54">
        <f>IFERROR(__xludf.DUMMYFUNCTION("IFERROR(
  VLOOKUP(
    A56,
    IMPORTRANGE(
      ""1ZHMy3vVUd_0MrSduXTe1etBb1HNpAlGwQr006ljwMiM"",
      ""GSC最新!A:F""
    ),
    2,
    FALSE
  ),
  0
)
"),1.0)</f>
        <v>1</v>
      </c>
      <c r="I56" s="54">
        <f>IFERROR(__xludf.DUMMYFUNCTION("IFERROR(
  VLOOKUP(
    A56,
    IMPORTRANGE(
      ""1ZHMy3vVUd_0MrSduXTe1etBb1HNpAlGwQr006ljwMiM"",
      ""GSC最新!A:F""
    ),
    3,
    FALSE
  ),
  0
)
"),3.0)</f>
        <v>3</v>
      </c>
      <c r="J56" s="54">
        <f>IFERROR(__xludf.DUMMYFUNCTION("IFERROR(
  VLOOKUP(
    A56,
    IMPORTRANGE(
      ""1ZHMy3vVUd_0MrSduXTe1etBb1HNpAlGwQr006ljwMiM"",
      ""GSC最新!A:F""
    ),
    4,
    FALSE
  ),
  0
)
"),0.0)</f>
        <v>0</v>
      </c>
      <c r="K56" s="54">
        <f>IFERROR(__xludf.DUMMYFUNCTION("IFERROR(
  VLOOKUP(
    A56,
    IMPORTRANGE(
      ""1ZHMy3vVUd_0MrSduXTe1etBb1HNpAlGwQr006ljwMiM"",
      ""GSC最新!A:F""
    ),
    5,
    FALSE
  ),
  0
)
"),0.0)</f>
        <v>0</v>
      </c>
      <c r="L56" s="50" t="str">
        <f t="shared" ref="L56:M56" si="272">IFERROR(H56/J56,"-")</f>
        <v>-</v>
      </c>
      <c r="M56" s="50" t="str">
        <f t="shared" si="272"/>
        <v>-</v>
      </c>
      <c r="N56" s="59">
        <f>IFERROR(__xludf.DUMMYFUNCTION("IFERROR(
  VLOOKUP(
    A56,
    IMPORTRANGE(
      ""1ZHMy3vVUd_0MrSduXTe1etBb1HNpAlGwQr006ljwMiM"",
      ""GSC最新!A:R""
    ),
    7,
    FALSE
  ),
  0
)
"),158.0)</f>
        <v>158</v>
      </c>
      <c r="O56" s="59">
        <f>IFERROR(__xludf.DUMMYFUNCTION("IFERROR(
  VLOOKUP(
    A56,
    IMPORTRANGE(
      ""1ZHMy3vVUd_0MrSduXTe1etBb1HNpAlGwQr006ljwMiM"",
      ""GSC最新!A:R""
    ),
    10,
    FALSE
  ),
  0
)
"),296.0)</f>
        <v>296</v>
      </c>
      <c r="P56" s="59">
        <f>IFERROR(__xludf.DUMMYFUNCTION("IFERROR(
  VLOOKUP(
    A56,
    IMPORTRANGE(
      ""1ZHMy3vVUd_0MrSduXTe1etBb1HNpAlGwQr006ljwMiM"",
      ""GSC最新!A:R""
    ),
    13,
    FALSE
  ),
  0
)
"),0.0)</f>
        <v>0</v>
      </c>
      <c r="Q56" s="59">
        <f>IFERROR(__xludf.DUMMYFUNCTION("IFERROR(
  VLOOKUP(
    A56,
    IMPORTRANGE(
      ""1ZHMy3vVUd_0MrSduXTe1etBb1HNpAlGwQr006ljwMiM"",
      ""GSC最新!A:R""
    ),
    16,
    FALSE
  ),
  0
)
"),0.0)</f>
        <v>0</v>
      </c>
      <c r="R56" s="50" t="str">
        <f t="shared" ref="R56:S56" si="273">IFERROR(N56/P56,"-")</f>
        <v>-</v>
      </c>
      <c r="S56" s="50" t="str">
        <f t="shared" si="273"/>
        <v>-</v>
      </c>
      <c r="T56" s="60">
        <f>IFERROR(__xludf.DUMMYFUNCTION("IFERROR(
  VLOOKUP(
    A56,
    IMPORTRANGE(
      ""1ZHMy3vVUd_0MrSduXTe1etBb1HNpAlGwQr006ljwMiM"",
      ""GSC最新!A:R""
    ),
    8,
    FALSE
  ),
  0
)
"),0.006329113924050633)</f>
        <v>0.006329113924</v>
      </c>
      <c r="U56" s="60">
        <f>IFERROR(__xludf.DUMMYFUNCTION("IFERROR(
  VLOOKUP(
    A56,
    IMPORTRANGE(
      ""1ZHMy3vVUd_0MrSduXTe1etBb1HNpAlGwQr006ljwMiM"",
      ""GSC最新!A:R""
    ),
    11,
    FALSE
  ),
  0
)
"),0.010135135135135136)</f>
        <v>0.01013513514</v>
      </c>
      <c r="V56" s="60">
        <f>IFERROR(__xludf.DUMMYFUNCTION("IFERROR(
  VLOOKUP(
    A56,
    IMPORTRANGE(
      ""1ZHMy3vVUd_0MrSduXTe1etBb1HNpAlGwQr006ljwMiM"",
      ""GSC最新!A:R""
    ),
    14,
    FALSE
  ),
  0
)
"),0.0)</f>
        <v>0</v>
      </c>
      <c r="W56" s="60">
        <f>IFERROR(__xludf.DUMMYFUNCTION("IFERROR(
  VLOOKUP(
    A56,
    IMPORTRANGE(
      ""1ZHMy3vVUd_0MrSduXTe1etBb1HNpAlGwQr006ljwMiM"",
      ""GSC最新!A:R""
    ),
    17,
    FALSE
  ),
  0
)
"),0.0)</f>
        <v>0</v>
      </c>
      <c r="X56" s="60">
        <f t="shared" ref="X56:Y56" si="274">IFERROR(T56-V56,"-")</f>
        <v>0.006329113924</v>
      </c>
      <c r="Y56" s="60">
        <f t="shared" si="274"/>
        <v>0.01013513514</v>
      </c>
      <c r="Z56" s="52">
        <f>IFERROR(__xludf.DUMMYFUNCTION("IFERROR(
  VLOOKUP(
    A56,
    IMPORTRANGE(
      ""1ZHMy3vVUd_0MrSduXTe1etBb1HNpAlGwQr006ljwMiM"",
      ""GSC最新!A:R""
    ),
    9,
    FALSE
  ),
  0
)
"),15.525316455696203)</f>
        <v>15.52531646</v>
      </c>
      <c r="AA56" s="52">
        <f>IFERROR(__xludf.DUMMYFUNCTION("IFERROR(
  VLOOKUP(
    A56,
    IMPORTRANGE(
      ""1ZHMy3vVUd_0MrSduXTe1etBb1HNpAlGwQr006ljwMiM"",
      ""GSC最新!A:R""
    ),
    12,
    FALSE
  ),
  0
)
"),11.925675675675675)</f>
        <v>11.92567568</v>
      </c>
      <c r="AB56" s="52" t="str">
        <f>IFERROR(__xludf.DUMMYFUNCTION("IFERROR(
  VLOOKUP(
    A56,
    IMPORTRANGE(
      ""1ZHMy3vVUd_0MrSduXTe1etBb1HNpAlGwQr006ljwMiM"",
      ""GSC最新!A:R""
    ),
    15,
    FALSE
  ),
  0
)
"),"")</f>
        <v/>
      </c>
      <c r="AC56" s="52" t="str">
        <f>IFERROR(__xludf.DUMMYFUNCTION("IFERROR(
  VLOOKUP(
    A56,
    IMPORTRANGE(
      ""1ZHMy3vVUd_0MrSduXTe1etBb1HNpAlGwQr006ljwMiM"",
      ""GSC最新!A:R""
    ),
    18,
    FALSE
  ),
  0
)
"),"")</f>
        <v/>
      </c>
      <c r="AD56" s="52">
        <f t="shared" ref="AD56:AE56" si="275">Z56-AB56</f>
        <v>15.52531646</v>
      </c>
      <c r="AE56" s="52">
        <f t="shared" si="275"/>
        <v>11.92567568</v>
      </c>
      <c r="AF56" s="53">
        <f>IFERROR(__xludf.DUMMYFUNCTION("IFERROR(
  VLOOKUP(
    A56,
    IMPORTRANGE(
      ""1ZHMy3vVUd_0MrSduXTe1etBb1HNpAlGwQr006ljwMiM"",
      ""GSC最新!A:F""
    ),
    6,
    FALSE
  ),
  0
)
"),46081.0)</f>
        <v>46081</v>
      </c>
      <c r="AG56" s="54">
        <f>IFERROR(__xludf.DUMMYFUNCTION("IFERROR(
  VLOOKUP(
    A56,
    IMPORTRANGE(
      ""1SCYQd7_cobOYqT0r_F0IqD4tE4rYn5y8Eup4PJTH8es"",
      ""Snapshot!A:M""
    ),
    5,
    FALSE
  ),
  ""-""
)
"),3.0)</f>
        <v>3</v>
      </c>
      <c r="AH56" s="54">
        <f>IFERROR(__xludf.DUMMYFUNCTION("IFERROR(
  VLOOKUP(
    A56,
    IMPORTRANGE(
      ""1SCYQd7_cobOYqT0r_F0IqD4tE4rYn5y8Eup4PJTH8es"",
      ""Snapshot!A:M""
    ),
    6,
    FALSE
  ),
  0
)
"),7.0)</f>
        <v>7</v>
      </c>
      <c r="AI56" s="54">
        <f>IFERROR(__xludf.DUMMYFUNCTION("IFERROR(
  VLOOKUP(
    A56,
    IMPORTRANGE(
      ""1SCYQd7_cobOYqT0r_F0IqD4tE4rYn5y8Eup4PJTH8es"",
      ""Snapshot!A:M""
    ),
    7,
    FALSE
  ),
  0
)
"),4529.0)</f>
        <v>4529</v>
      </c>
      <c r="AJ56" s="54">
        <f>IFERROR(__xludf.DUMMYFUNCTION("IFERROR(
  VLOOKUP(
    A56,
    IMPORTRANGE(
      ""1SCYQd7_cobOYqT0r_F0IqD4tE4rYn5y8Eup4PJTH8es"",
      ""Snapshot!A:M""
    ),
    8,
    FALSE
  ),
  0
)
"),3.0)</f>
        <v>3</v>
      </c>
      <c r="AK56" s="54">
        <f>IFERROR(__xludf.DUMMYFUNCTION("IFERROR(
  VLOOKUP(
    A56,
    IMPORTRANGE(
      ""1SCYQd7_cobOYqT0r_F0IqD4tE4rYn5y8Eup4PJTH8es"",
      ""Snapshot!A:M""
    ),
    9,
    FALSE
  ),
  0
)
"),1.0)</f>
        <v>1</v>
      </c>
      <c r="AL56" s="54">
        <f>IFERROR(__xludf.DUMMYFUNCTION("IFERROR(
  VLOOKUP(
    A56,
    IMPORTRANGE(
      ""1SCYQd7_cobOYqT0r_F0IqD4tE4rYn5y8Eup4PJTH8es"",
      ""Snapshot!A:M""
    ),
    13,
    FALSE
  ),
  0
)
"),2.0)</f>
        <v>2</v>
      </c>
    </row>
    <row r="57">
      <c r="A57" s="3" t="s">
        <v>298</v>
      </c>
      <c r="B57" s="1" t="str">
        <f>IFERROR(__xludf.DUMMYFUNCTION("IFERROR(
  VLOOKUP(
    A57,
    IMPORTRANGE(
      ""1ZygntHC1J6IxzKbTidmOyf5nUyW4GCLurHCjexrLm_o"",
      ""HTMLキャッシュ!A:F""
    ),
    2,
    FALSE
  ),
  0
)
"),"SP")</f>
        <v>SP</v>
      </c>
      <c r="C57" s="1" t="str">
        <f>IFERROR(__xludf.DUMMYFUNCTION("IFERROR(
  VLOOKUP(
    A57,
    IMPORTRANGE(
      ""1ZygntHC1J6IxzKbTidmOyf5nUyW4GCLurHCjexrLm_o"",
      ""HTMLキャッシュ!A:F""
    ),
    5,
    FALSE
  ),
  0
)
"),"小5算数苦手克服個別指導講座｜1か月総復習オンライン塾")</f>
        <v>小5算数苦手克服個別指導講座｜1か月総復習オンライン塾</v>
      </c>
      <c r="D57" s="1" t="str">
        <f>IFERROR(__xludf.DUMMYFUNCTION("IFERROR(
  VLOOKUP(
    A57,
    IMPORTRANGE(
      ""1ZygntHC1J6IxzKbTidmOyf5nUyW4GCLurHCjexrLm_o        "",
      ""HTMLキャッシュ!A:F""
    ),
    6,
    FALSE
  ),
  0
)
"),"小5後半の苦手を1か月で総復習。図形・場合の数・速さ比を個別指導で徹底定着。全4回オンライン対応、今すぐ相談受付中")</f>
        <v>小5後半の苦手を1か月で総復習。図形・場合の数・速さ比を個別指導で徹底定着。全4回オンライン対応、今すぐ相談受付中</v>
      </c>
      <c r="E57" s="49">
        <f t="shared" ref="E57:F57" si="276">LEN(C57)</f>
        <v>27</v>
      </c>
      <c r="F57" s="49">
        <f t="shared" si="276"/>
        <v>57</v>
      </c>
      <c r="G57" s="32">
        <f>IFERROR(__xludf.DUMMYFUNCTION("IFERROR(
  VLOOKUP(
    A57,
    IMPORTRANGE(
      ""1ZygntHC1J6IxzKbTidmOyf5nUyW4GCLurHCjexrLm_o        "",
      ""HTMLキャッシュ!A:F""
    ),
    3,
    FALSE
  ),
  0
)
"),46076.79806712963)</f>
        <v>46076.79807</v>
      </c>
      <c r="H57" s="54">
        <f>IFERROR(__xludf.DUMMYFUNCTION("IFERROR(
  VLOOKUP(
    A57,
    IMPORTRANGE(
      ""1ZHMy3vVUd_0MrSduXTe1etBb1HNpAlGwQr006ljwMiM"",
      ""GSC最新!A:F""
    ),
    2,
    FALSE
  ),
  0
)
"),0.0)</f>
        <v>0</v>
      </c>
      <c r="I57" s="54">
        <f>IFERROR(__xludf.DUMMYFUNCTION("IFERROR(
  VLOOKUP(
    A57,
    IMPORTRANGE(
      ""1ZHMy3vVUd_0MrSduXTe1etBb1HNpAlGwQr006ljwMiM"",
      ""GSC最新!A:F""
    ),
    3,
    FALSE
  ),
  0
)
"),3.0)</f>
        <v>3</v>
      </c>
      <c r="J57" s="54">
        <f>IFERROR(__xludf.DUMMYFUNCTION("IFERROR(
  VLOOKUP(
    A57,
    IMPORTRANGE(
      ""1ZHMy3vVUd_0MrSduXTe1etBb1HNpAlGwQr006ljwMiM"",
      ""GSC最新!A:F""
    ),
    4,
    FALSE
  ),
  0
)
"),0.0)</f>
        <v>0</v>
      </c>
      <c r="K57" s="54">
        <f>IFERROR(__xludf.DUMMYFUNCTION("IFERROR(
  VLOOKUP(
    A57,
    IMPORTRANGE(
      ""1ZHMy3vVUd_0MrSduXTe1etBb1HNpAlGwQr006ljwMiM"",
      ""GSC最新!A:F""
    ),
    5,
    FALSE
  ),
  0
)
"),0.0)</f>
        <v>0</v>
      </c>
      <c r="L57" s="50" t="str">
        <f t="shared" ref="L57:M57" si="277">IFERROR(H57/J57,"-")</f>
        <v>-</v>
      </c>
      <c r="M57" s="50" t="str">
        <f t="shared" si="277"/>
        <v>-</v>
      </c>
      <c r="N57" s="59">
        <f>IFERROR(__xludf.DUMMYFUNCTION("IFERROR(
  VLOOKUP(
    A57,
    IMPORTRANGE(
      ""1ZHMy3vVUd_0MrSduXTe1etBb1HNpAlGwQr006ljwMiM"",
      ""GSC最新!A:R""
    ),
    7,
    FALSE
  ),
  0
)
"),29.0)</f>
        <v>29</v>
      </c>
      <c r="O57" s="59">
        <f>IFERROR(__xludf.DUMMYFUNCTION("IFERROR(
  VLOOKUP(
    A57,
    IMPORTRANGE(
      ""1ZHMy3vVUd_0MrSduXTe1etBb1HNpAlGwQr006ljwMiM"",
      ""GSC最新!A:R""
    ),
    10,
    FALSE
  ),
  0
)
"),242.0)</f>
        <v>242</v>
      </c>
      <c r="P57" s="59">
        <f>IFERROR(__xludf.DUMMYFUNCTION("IFERROR(
  VLOOKUP(
    A57,
    IMPORTRANGE(
      ""1ZHMy3vVUd_0MrSduXTe1etBb1HNpAlGwQr006ljwMiM"",
      ""GSC最新!A:R""
    ),
    13,
    FALSE
  ),
  0
)
"),8.0)</f>
        <v>8</v>
      </c>
      <c r="Q57" s="59">
        <f>IFERROR(__xludf.DUMMYFUNCTION("IFERROR(
  VLOOKUP(
    A57,
    IMPORTRANGE(
      ""1ZHMy3vVUd_0MrSduXTe1etBb1HNpAlGwQr006ljwMiM"",
      ""GSC最新!A:R""
    ),
    16,
    FALSE
  ),
  0
)
"),25.0)</f>
        <v>25</v>
      </c>
      <c r="R57" s="50">
        <f t="shared" ref="R57:S57" si="278">IFERROR(N57/P57,"-")</f>
        <v>3.625</v>
      </c>
      <c r="S57" s="50">
        <f t="shared" si="278"/>
        <v>9.68</v>
      </c>
      <c r="T57" s="60">
        <f>IFERROR(__xludf.DUMMYFUNCTION("IFERROR(
  VLOOKUP(
    A57,
    IMPORTRANGE(
      ""1ZHMy3vVUd_0MrSduXTe1etBb1HNpAlGwQr006ljwMiM"",
      ""GSC最新!A:R""
    ),
    8,
    FALSE
  ),
  0
)
"),0.0)</f>
        <v>0</v>
      </c>
      <c r="U57" s="60">
        <f>IFERROR(__xludf.DUMMYFUNCTION("IFERROR(
  VLOOKUP(
    A57,
    IMPORTRANGE(
      ""1ZHMy3vVUd_0MrSduXTe1etBb1HNpAlGwQr006ljwMiM"",
      ""GSC最新!A:R""
    ),
    11,
    FALSE
  ),
  0
)
"),0.012396694214876033)</f>
        <v>0.01239669421</v>
      </c>
      <c r="V57" s="60">
        <f>IFERROR(__xludf.DUMMYFUNCTION("IFERROR(
  VLOOKUP(
    A57,
    IMPORTRANGE(
      ""1ZHMy3vVUd_0MrSduXTe1etBb1HNpAlGwQr006ljwMiM"",
      ""GSC最新!A:R""
    ),
    14,
    FALSE
  ),
  0
)
"),0.0)</f>
        <v>0</v>
      </c>
      <c r="W57" s="60">
        <f>IFERROR(__xludf.DUMMYFUNCTION("IFERROR(
  VLOOKUP(
    A57,
    IMPORTRANGE(
      ""1ZHMy3vVUd_0MrSduXTe1etBb1HNpAlGwQr006ljwMiM"",
      ""GSC最新!A:R""
    ),
    17,
    FALSE
  ),
  0
)
"),0.0)</f>
        <v>0</v>
      </c>
      <c r="X57" s="60">
        <f t="shared" ref="X57:Y57" si="279">IFERROR(T57-V57,"-")</f>
        <v>0</v>
      </c>
      <c r="Y57" s="60">
        <f t="shared" si="279"/>
        <v>0.01239669421</v>
      </c>
      <c r="Z57" s="52">
        <f>IFERROR(__xludf.DUMMYFUNCTION("IFERROR(
  VLOOKUP(
    A57,
    IMPORTRANGE(
      ""1ZHMy3vVUd_0MrSduXTe1etBb1HNpAlGwQr006ljwMiM"",
      ""GSC最新!A:R""
    ),
    9,
    FALSE
  ),
  0
)
"),8.0)</f>
        <v>8</v>
      </c>
      <c r="AA57" s="52">
        <f>IFERROR(__xludf.DUMMYFUNCTION("IFERROR(
  VLOOKUP(
    A57,
    IMPORTRANGE(
      ""1ZHMy3vVUd_0MrSduXTe1etBb1HNpAlGwQr006ljwMiM"",
      ""GSC最新!A:R""
    ),
    12,
    FALSE
  ),
  0
)
"),8.330578512396695)</f>
        <v>8.330578512</v>
      </c>
      <c r="AB57" s="52">
        <f>IFERROR(__xludf.DUMMYFUNCTION("IFERROR(
  VLOOKUP(
    A57,
    IMPORTRANGE(
      ""1ZHMy3vVUd_0MrSduXTe1etBb1HNpAlGwQr006ljwMiM"",
      ""GSC最新!A:R""
    ),
    15,
    FALSE
  ),
  0
)
"),6.625)</f>
        <v>6.625</v>
      </c>
      <c r="AC57" s="52">
        <f>IFERROR(__xludf.DUMMYFUNCTION("IFERROR(
  VLOOKUP(
    A57,
    IMPORTRANGE(
      ""1ZHMy3vVUd_0MrSduXTe1etBb1HNpAlGwQr006ljwMiM"",
      ""GSC最新!A:R""
    ),
    18,
    FALSE
  ),
  0
)
"),18.52)</f>
        <v>18.52</v>
      </c>
      <c r="AD57" s="52">
        <f t="shared" ref="AD57:AE57" si="280">Z57-AB57</f>
        <v>1.375</v>
      </c>
      <c r="AE57" s="52">
        <f t="shared" si="280"/>
        <v>-10.18942149</v>
      </c>
      <c r="AF57" s="53">
        <f>IFERROR(__xludf.DUMMYFUNCTION("IFERROR(
  VLOOKUP(
    A57,
    IMPORTRANGE(
      ""1ZHMy3vVUd_0MrSduXTe1etBb1HNpAlGwQr006ljwMiM"",
      ""GSC最新!A:F""
    ),
    6,
    FALSE
  ),
  0
)
"),46081.0)</f>
        <v>46081</v>
      </c>
      <c r="AG57" s="54">
        <f>IFERROR(__xludf.DUMMYFUNCTION("IFERROR(
  VLOOKUP(
    A57,
    IMPORTRANGE(
      ""1SCYQd7_cobOYqT0r_F0IqD4tE4rYn5y8Eup4PJTH8es"",
      ""Snapshot!A:M""
    ),
    5,
    FALSE
  ),
  ""-""
)
"),3.0)</f>
        <v>3</v>
      </c>
      <c r="AH57" s="54">
        <f>IFERROR(__xludf.DUMMYFUNCTION("IFERROR(
  VLOOKUP(
    A57,
    IMPORTRANGE(
      ""1SCYQd7_cobOYqT0r_F0IqD4tE4rYn5y8Eup4PJTH8es"",
      ""Snapshot!A:M""
    ),
    6,
    FALSE
  ),
  0
)
"),13.0)</f>
        <v>13</v>
      </c>
      <c r="AI57" s="54">
        <f>IFERROR(__xludf.DUMMYFUNCTION("IFERROR(
  VLOOKUP(
    A57,
    IMPORTRANGE(
      ""1SCYQd7_cobOYqT0r_F0IqD4tE4rYn5y8Eup4PJTH8es"",
      ""Snapshot!A:M""
    ),
    7,
    FALSE
  ),
  0
)
"),1812.0)</f>
        <v>1812</v>
      </c>
      <c r="AJ57" s="54">
        <f>IFERROR(__xludf.DUMMYFUNCTION("IFERROR(
  VLOOKUP(
    A57,
    IMPORTRANGE(
      ""1SCYQd7_cobOYqT0r_F0IqD4tE4rYn5y8Eup4PJTH8es"",
      ""Snapshot!A:M""
    ),
    8,
    FALSE
  ),
  0
)
"),1.0)</f>
        <v>1</v>
      </c>
      <c r="AK57" s="54">
        <f>IFERROR(__xludf.DUMMYFUNCTION("IFERROR(
  VLOOKUP(
    A57,
    IMPORTRANGE(
      ""1SCYQd7_cobOYqT0r_F0IqD4tE4rYn5y8Eup4PJTH8es"",
      ""Snapshot!A:M""
    ),
    9,
    FALSE
  ),
  0
)
"),1.0)</f>
        <v>1</v>
      </c>
      <c r="AL57" s="54">
        <f>IFERROR(__xludf.DUMMYFUNCTION("IFERROR(
  VLOOKUP(
    A57,
    IMPORTRANGE(
      ""1SCYQd7_cobOYqT0r_F0IqD4tE4rYn5y8Eup4PJTH8es"",
      ""Snapshot!A:M""
    ),
    13,
    FALSE
  ),
  0
)
"),1.0)</f>
        <v>1</v>
      </c>
    </row>
    <row r="58">
      <c r="A58" s="3" t="s">
        <v>307</v>
      </c>
      <c r="B58" s="1" t="str">
        <f>IFERROR(__xludf.DUMMYFUNCTION("IFERROR(
  VLOOKUP(
    A58,
    IMPORTRANGE(
      ""1ZygntHC1J6IxzKbTidmOyf5nUyW4GCLurHCjexrLm_o"",
      ""HTMLキャッシュ!A:F""
    ),
    2,
    FALSE
  ),
  0
)
"),"SP")</f>
        <v>SP</v>
      </c>
      <c r="C58" s="1" t="str">
        <f>IFERROR(__xludf.DUMMYFUNCTION("IFERROR(
  VLOOKUP(
    A58,
    IMPORTRANGE(
      ""1ZygntHC1J6IxzKbTidmOyf5nUyW4GCLurHCjexrLm_o"",
      ""HTMLキャッシュ!A:F""
    ),
    5,
    FALSE
  ),
  0
)
"),"中学受験 算数塾｜完全1対1個別指導｜教室・オンライン")</f>
        <v>中学受験 算数塾｜完全1対1個別指導｜教室・オンライン</v>
      </c>
      <c r="D58" s="1" t="str">
        <f>IFERROR(__xludf.DUMMYFUNCTION("IFERROR(
  VLOOKUP(
    A58,
    IMPORTRANGE(
      ""1ZygntHC1J6IxzKbTidmOyf5nUyW4GCLurHCjexrLm_o        "",
      ""HTMLキャッシュ!A:F""
    ),
    6,
    FALSE
  ),
  0
)
"),"中学受験算数の完全1対1個別指導。入試問題をデータベース管理し、今の弱点に必要な問題で学習。電子黒板で板書も復習しやすい。教室・オンライン対応。")</f>
        <v>中学受験算数の完全1対1個別指導。入試問題をデータベース管理し、今の弱点に必要な問題で学習。電子黒板で板書も復習しやすい。教室・オンライン対応。</v>
      </c>
      <c r="E58" s="49">
        <f t="shared" ref="E58:F58" si="281">LEN(C58)</f>
        <v>27</v>
      </c>
      <c r="F58" s="49">
        <f t="shared" si="281"/>
        <v>72</v>
      </c>
      <c r="G58" s="32">
        <f>IFERROR(__xludf.DUMMYFUNCTION("IFERROR(
  VLOOKUP(
    A58,
    IMPORTRANGE(
      ""1ZygntHC1J6IxzKbTidmOyf5nUyW4GCLurHCjexrLm_o        "",
      ""HTMLキャッシュ!A:F""
    ),
    3,
    FALSE
  ),
  0
)
"),46081.77943287037)</f>
        <v>46081.77943</v>
      </c>
      <c r="H58" s="54">
        <f>IFERROR(__xludf.DUMMYFUNCTION("IFERROR(
  VLOOKUP(
    A58,
    IMPORTRANGE(
      ""1ZHMy3vVUd_0MrSduXTe1etBb1HNpAlGwQr006ljwMiM"",
      ""GSC最新!A:F""
    ),
    2,
    FALSE
  ),
  0
)
"),3.0)</f>
        <v>3</v>
      </c>
      <c r="I58" s="54">
        <f>IFERROR(__xludf.DUMMYFUNCTION("IFERROR(
  VLOOKUP(
    A58,
    IMPORTRANGE(
      ""1ZHMy3vVUd_0MrSduXTe1etBb1HNpAlGwQr006ljwMiM"",
      ""GSC最新!A:F""
    ),
    3,
    FALSE
  ),
  0
)
"),3.0)</f>
        <v>3</v>
      </c>
      <c r="J58" s="54">
        <f>IFERROR(__xludf.DUMMYFUNCTION("IFERROR(
  VLOOKUP(
    A58,
    IMPORTRANGE(
      ""1ZHMy3vVUd_0MrSduXTe1etBb1HNpAlGwQr006ljwMiM"",
      ""GSC最新!A:F""
    ),
    4,
    FALSE
  ),
  0
)
"),0.0)</f>
        <v>0</v>
      </c>
      <c r="K58" s="54">
        <f>IFERROR(__xludf.DUMMYFUNCTION("IFERROR(
  VLOOKUP(
    A58,
    IMPORTRANGE(
      ""1ZHMy3vVUd_0MrSduXTe1etBb1HNpAlGwQr006ljwMiM"",
      ""GSC最新!A:F""
    ),
    5,
    FALSE
  ),
  0
)
"),2.0)</f>
        <v>2</v>
      </c>
      <c r="L58" s="50" t="str">
        <f t="shared" ref="L58:M58" si="282">IFERROR(H58/J58,"-")</f>
        <v>-</v>
      </c>
      <c r="M58" s="50">
        <f t="shared" si="282"/>
        <v>1.5</v>
      </c>
      <c r="N58" s="59">
        <f>IFERROR(__xludf.DUMMYFUNCTION("IFERROR(
  VLOOKUP(
    A58,
    IMPORTRANGE(
      ""1ZHMy3vVUd_0MrSduXTe1etBb1HNpAlGwQr006ljwMiM"",
      ""GSC最新!A:R""
    ),
    7,
    FALSE
  ),
  0
)
"),59.0)</f>
        <v>59</v>
      </c>
      <c r="O58" s="59">
        <f>IFERROR(__xludf.DUMMYFUNCTION("IFERROR(
  VLOOKUP(
    A58,
    IMPORTRANGE(
      ""1ZHMy3vVUd_0MrSduXTe1etBb1HNpAlGwQr006ljwMiM"",
      ""GSC最新!A:R""
    ),
    10,
    FALSE
  ),
  0
)
"),131.0)</f>
        <v>131</v>
      </c>
      <c r="P58" s="59">
        <f>IFERROR(__xludf.DUMMYFUNCTION("IFERROR(
  VLOOKUP(
    A58,
    IMPORTRANGE(
      ""1ZHMy3vVUd_0MrSduXTe1etBb1HNpAlGwQr006ljwMiM"",
      ""GSC最新!A:R""
    ),
    13,
    FALSE
  ),
  0
)
"),2014.0)</f>
        <v>2014</v>
      </c>
      <c r="Q58" s="59">
        <f>IFERROR(__xludf.DUMMYFUNCTION("IFERROR(
  VLOOKUP(
    A58,
    IMPORTRANGE(
      ""1ZHMy3vVUd_0MrSduXTe1etBb1HNpAlGwQr006ljwMiM"",
      ""GSC最新!A:R""
    ),
    16,
    FALSE
  ),
  0
)
"),4963.0)</f>
        <v>4963</v>
      </c>
      <c r="R58" s="50">
        <f t="shared" ref="R58:S58" si="283">IFERROR(N58/P58,"-")</f>
        <v>0.02929493545</v>
      </c>
      <c r="S58" s="50">
        <f t="shared" si="283"/>
        <v>0.02639532541</v>
      </c>
      <c r="T58" s="60">
        <f>IFERROR(__xludf.DUMMYFUNCTION("IFERROR(
  VLOOKUP(
    A58,
    IMPORTRANGE(
      ""1ZHMy3vVUd_0MrSduXTe1etBb1HNpAlGwQr006ljwMiM"",
      ""GSC最新!A:R""
    ),
    8,
    FALSE
  ),
  0
)
"),0.05084745762711865)</f>
        <v>0.05084745763</v>
      </c>
      <c r="U58" s="60">
        <f>IFERROR(__xludf.DUMMYFUNCTION("IFERROR(
  VLOOKUP(
    A58,
    IMPORTRANGE(
      ""1ZHMy3vVUd_0MrSduXTe1etBb1HNpAlGwQr006ljwMiM"",
      ""GSC最新!A:R""
    ),
    11,
    FALSE
  ),
  0
)
"),0.022900763358778626)</f>
        <v>0.02290076336</v>
      </c>
      <c r="V58" s="60">
        <f>IFERROR(__xludf.DUMMYFUNCTION("IFERROR(
  VLOOKUP(
    A58,
    IMPORTRANGE(
      ""1ZHMy3vVUd_0MrSduXTe1etBb1HNpAlGwQr006ljwMiM"",
      ""GSC最新!A:R""
    ),
    14,
    FALSE
  ),
  0
)
"),0.0)</f>
        <v>0</v>
      </c>
      <c r="W58" s="60">
        <f>IFERROR(__xludf.DUMMYFUNCTION("IFERROR(
  VLOOKUP(
    A58,
    IMPORTRANGE(
      ""1ZHMy3vVUd_0MrSduXTe1etBb1HNpAlGwQr006ljwMiM"",
      ""GSC最新!A:R""
    ),
    17,
    FALSE
  ),
  0
)
"),4.0298206729800525E-4)</f>
        <v>0.0004029820673</v>
      </c>
      <c r="X58" s="60">
        <f t="shared" ref="X58:Y58" si="284">IFERROR(T58-V58,"-")</f>
        <v>0.05084745763</v>
      </c>
      <c r="Y58" s="60">
        <f t="shared" si="284"/>
        <v>0.02249778129</v>
      </c>
      <c r="Z58" s="52">
        <f>IFERROR(__xludf.DUMMYFUNCTION("IFERROR(
  VLOOKUP(
    A58,
    IMPORTRANGE(
      ""1ZHMy3vVUd_0MrSduXTe1etBb1HNpAlGwQr006ljwMiM"",
      ""GSC最新!A:R""
    ),
    9,
    FALSE
  ),
  0
)
"),32.08474576271186)</f>
        <v>32.08474576</v>
      </c>
      <c r="AA58" s="52">
        <f>IFERROR(__xludf.DUMMYFUNCTION("IFERROR(
  VLOOKUP(
    A58,
    IMPORTRANGE(
      ""1ZHMy3vVUd_0MrSduXTe1etBb1HNpAlGwQr006ljwMiM"",
      ""GSC最新!A:R""
    ),
    12,
    FALSE
  ),
  0
)
"),21.30534351145038)</f>
        <v>21.30534351</v>
      </c>
      <c r="AB58" s="52">
        <f>IFERROR(__xludf.DUMMYFUNCTION("IFERROR(
  VLOOKUP(
    A58,
    IMPORTRANGE(
      ""1ZHMy3vVUd_0MrSduXTe1etBb1HNpAlGwQr006ljwMiM"",
      ""GSC最新!A:R""
    ),
    15,
    FALSE
  ),
  0
)
"),5.572989076464747)</f>
        <v>5.572989076</v>
      </c>
      <c r="AC58" s="52">
        <f>IFERROR(__xludf.DUMMYFUNCTION("IFERROR(
  VLOOKUP(
    A58,
    IMPORTRANGE(
      ""1ZHMy3vVUd_0MrSduXTe1etBb1HNpAlGwQr006ljwMiM"",
      ""GSC最新!A:R""
    ),
    18,
    FALSE
  ),
  0
)
"),6.2077372556921215)</f>
        <v>6.207737256</v>
      </c>
      <c r="AD58" s="52">
        <f t="shared" ref="AD58:AE58" si="285">Z58-AB58</f>
        <v>26.51175669</v>
      </c>
      <c r="AE58" s="52">
        <f t="shared" si="285"/>
        <v>15.09760626</v>
      </c>
      <c r="AF58" s="53">
        <f>IFERROR(__xludf.DUMMYFUNCTION("IFERROR(
  VLOOKUP(
    A58,
    IMPORTRANGE(
      ""1ZHMy3vVUd_0MrSduXTe1etBb1HNpAlGwQr006ljwMiM"",
      ""GSC最新!A:F""
    ),
    6,
    FALSE
  ),
  0
)
"),46081.0)</f>
        <v>46081</v>
      </c>
      <c r="AG58" s="54">
        <f>IFERROR(__xludf.DUMMYFUNCTION("IFERROR(
  VLOOKUP(
    A58,
    IMPORTRANGE(
      ""1SCYQd7_cobOYqT0r_F0IqD4tE4rYn5y8Eup4PJTH8es"",
      ""Snapshot!A:M""
    ),
    5,
    FALSE
  ),
  ""-""
)
"),7.0)</f>
        <v>7</v>
      </c>
      <c r="AH58" s="54">
        <f>IFERROR(__xludf.DUMMYFUNCTION("IFERROR(
  VLOOKUP(
    A58,
    IMPORTRANGE(
      ""1SCYQd7_cobOYqT0r_F0IqD4tE4rYn5y8Eup4PJTH8es"",
      ""Snapshot!A:M""
    ),
    6,
    FALSE
  ),
  0
)
"),5.0)</f>
        <v>5</v>
      </c>
      <c r="AI58" s="54">
        <f>IFERROR(__xludf.DUMMYFUNCTION("IFERROR(
  VLOOKUP(
    A58,
    IMPORTRANGE(
      ""1SCYQd7_cobOYqT0r_F0IqD4tE4rYn5y8Eup4PJTH8es"",
      ""Snapshot!A:M""
    ),
    7,
    FALSE
  ),
  0
)
"),3710.0)</f>
        <v>3710</v>
      </c>
      <c r="AJ58" s="54">
        <f>IFERROR(__xludf.DUMMYFUNCTION("IFERROR(
  VLOOKUP(
    A58,
    IMPORTRANGE(
      ""1SCYQd7_cobOYqT0r_F0IqD4tE4rYn5y8Eup4PJTH8es"",
      ""Snapshot!A:M""
    ),
    8,
    FALSE
  ),
  0
)
"),10.0)</f>
        <v>10</v>
      </c>
      <c r="AK58" s="54">
        <f>IFERROR(__xludf.DUMMYFUNCTION("IFERROR(
  VLOOKUP(
    A58,
    IMPORTRANGE(
      ""1SCYQd7_cobOYqT0r_F0IqD4tE4rYn5y8Eup4PJTH8es"",
      ""Snapshot!A:M""
    ),
    9,
    FALSE
  ),
  0
)
"),2.0)</f>
        <v>2</v>
      </c>
      <c r="AL58" s="54">
        <f>IFERROR(__xludf.DUMMYFUNCTION("IFERROR(
  VLOOKUP(
    A58,
    IMPORTRANGE(
      ""1SCYQd7_cobOYqT0r_F0IqD4tE4rYn5y8Eup4PJTH8es"",
      ""Snapshot!A:M""
    ),
    13,
    FALSE
  ),
  0
)
"),1.0)</f>
        <v>1</v>
      </c>
    </row>
    <row r="59">
      <c r="A59" s="3" t="s">
        <v>315</v>
      </c>
      <c r="B59" s="1" t="str">
        <f>IFERROR(__xludf.DUMMYFUNCTION("IFERROR(
  VLOOKUP(
    A59,
    IMPORTRANGE(
      ""1ZygntHC1J6IxzKbTidmOyf5nUyW4GCLurHCjexrLm_o"",
      ""HTMLキャッシュ!A:F""
    ),
    2,
    FALSE
  ),
  0
)
"),"SP")</f>
        <v>SP</v>
      </c>
      <c r="C59" s="1" t="str">
        <f>IFERROR(__xludf.DUMMYFUNCTION("IFERROR(
  VLOOKUP(
    A59,
    IMPORTRANGE(
      ""1ZygntHC1J6IxzKbTidmOyf5nUyW4GCLurHCjexrLm_o"",
      ""HTMLキャッシュ!A:F""
    ),
    5,
    FALSE
  ),
  0
)
"),"中学受験小6算数直前仕上げ個別指導講座｜オンライン対応塾")</f>
        <v>中学受験小6算数直前仕上げ個別指導講座｜オンライン対応塾</v>
      </c>
      <c r="D59" s="1" t="str">
        <f>IFERROR(__xludf.DUMMYFUNCTION("IFERROR(
  VLOOKUP(
    A59,
    IMPORTRANGE(
      ""1ZygntHC1J6IxzKbTidmOyf5nUyW4GCLurHCjexrLm_o        "",
      ""HTMLキャッシュ!A:F""
    ),
    6,
    FALSE
  ),
  0
)
"),"入試直前に算数を4時間で総復習。確認テスト＋単元講義＋過去問演習を個別指導で定着。動画復習対応、オンライン受講受付中今すぐ相談可")</f>
        <v>入試直前に算数を4時間で総復習。確認テスト＋単元講義＋過去問演習を個別指導で定着。動画復習対応、オンライン受講受付中今すぐ相談可</v>
      </c>
      <c r="E59" s="49">
        <f t="shared" ref="E59:F59" si="286">LEN(C59)</f>
        <v>28</v>
      </c>
      <c r="F59" s="49">
        <f t="shared" si="286"/>
        <v>64</v>
      </c>
      <c r="G59" s="32">
        <f>IFERROR(__xludf.DUMMYFUNCTION("IFERROR(
  VLOOKUP(
    A59,
    IMPORTRANGE(
      ""1ZygntHC1J6IxzKbTidmOyf5nUyW4GCLurHCjexrLm_o        "",
      ""HTMLキャッシュ!A:F""
    ),
    3,
    FALSE
  ),
  0
)
"),46083.72116898148)</f>
        <v>46083.72117</v>
      </c>
      <c r="H59" s="54">
        <f>IFERROR(__xludf.DUMMYFUNCTION("IFERROR(
  VLOOKUP(
    A59,
    IMPORTRANGE(
      ""1ZHMy3vVUd_0MrSduXTe1etBb1HNpAlGwQr006ljwMiM"",
      ""GSC最新!A:F""
    ),
    2,
    FALSE
  ),
  0
)
"),0.0)</f>
        <v>0</v>
      </c>
      <c r="I59" s="54">
        <f>IFERROR(__xludf.DUMMYFUNCTION("IFERROR(
  VLOOKUP(
    A59,
    IMPORTRANGE(
      ""1ZHMy3vVUd_0MrSduXTe1etBb1HNpAlGwQr006ljwMiM"",
      ""GSC最新!A:F""
    ),
    3,
    FALSE
  ),
  0
)
"),3.0)</f>
        <v>3</v>
      </c>
      <c r="J59" s="54">
        <f>IFERROR(__xludf.DUMMYFUNCTION("IFERROR(
  VLOOKUP(
    A59,
    IMPORTRANGE(
      ""1ZHMy3vVUd_0MrSduXTe1etBb1HNpAlGwQr006ljwMiM"",
      ""GSC最新!A:F""
    ),
    4,
    FALSE
  ),
  0
)
"),0.0)</f>
        <v>0</v>
      </c>
      <c r="K59" s="54">
        <f>IFERROR(__xludf.DUMMYFUNCTION("IFERROR(
  VLOOKUP(
    A59,
    IMPORTRANGE(
      ""1ZHMy3vVUd_0MrSduXTe1etBb1HNpAlGwQr006ljwMiM"",
      ""GSC最新!A:F""
    ),
    5,
    FALSE
  ),
  0
)
"),2.0)</f>
        <v>2</v>
      </c>
      <c r="L59" s="50" t="str">
        <f t="shared" ref="L59:M59" si="287">IFERROR(H59/J59,"-")</f>
        <v>-</v>
      </c>
      <c r="M59" s="50">
        <f t="shared" si="287"/>
        <v>1.5</v>
      </c>
      <c r="N59" s="59">
        <f>IFERROR(__xludf.DUMMYFUNCTION("IFERROR(
  VLOOKUP(
    A59,
    IMPORTRANGE(
      ""1ZHMy3vVUd_0MrSduXTe1etBb1HNpAlGwQr006ljwMiM"",
      ""GSC最新!A:R""
    ),
    7,
    FALSE
  ),
  0
)
"),17.0)</f>
        <v>17</v>
      </c>
      <c r="O59" s="59">
        <f>IFERROR(__xludf.DUMMYFUNCTION("IFERROR(
  VLOOKUP(
    A59,
    IMPORTRANGE(
      ""1ZHMy3vVUd_0MrSduXTe1etBb1HNpAlGwQr006ljwMiM"",
      ""GSC最新!A:R""
    ),
    10,
    FALSE
  ),
  0
)
"),75.0)</f>
        <v>75</v>
      </c>
      <c r="P59" s="59">
        <f>IFERROR(__xludf.DUMMYFUNCTION("IFERROR(
  VLOOKUP(
    A59,
    IMPORTRANGE(
      ""1ZHMy3vVUd_0MrSduXTe1etBb1HNpAlGwQr006ljwMiM"",
      ""GSC最新!A:R""
    ),
    13,
    FALSE
  ),
  0
)
"),1.0)</f>
        <v>1</v>
      </c>
      <c r="Q59" s="59">
        <f>IFERROR(__xludf.DUMMYFUNCTION("IFERROR(
  VLOOKUP(
    A59,
    IMPORTRANGE(
      ""1ZHMy3vVUd_0MrSduXTe1etBb1HNpAlGwQr006ljwMiM"",
      ""GSC最新!A:R""
    ),
    16,
    FALSE
  ),
  0
)
"),20.0)</f>
        <v>20</v>
      </c>
      <c r="R59" s="50">
        <f t="shared" ref="R59:S59" si="288">IFERROR(N59/P59,"-")</f>
        <v>17</v>
      </c>
      <c r="S59" s="50">
        <f t="shared" si="288"/>
        <v>3.75</v>
      </c>
      <c r="T59" s="60">
        <f>IFERROR(__xludf.DUMMYFUNCTION("IFERROR(
  VLOOKUP(
    A59,
    IMPORTRANGE(
      ""1ZHMy3vVUd_0MrSduXTe1etBb1HNpAlGwQr006ljwMiM"",
      ""GSC最新!A:R""
    ),
    8,
    FALSE
  ),
  0
)
"),0.0)</f>
        <v>0</v>
      </c>
      <c r="U59" s="60">
        <f>IFERROR(__xludf.DUMMYFUNCTION("IFERROR(
  VLOOKUP(
    A59,
    IMPORTRANGE(
      ""1ZHMy3vVUd_0MrSduXTe1etBb1HNpAlGwQr006ljwMiM"",
      ""GSC最新!A:R""
    ),
    11,
    FALSE
  ),
  0
)
"),0.04)</f>
        <v>0.04</v>
      </c>
      <c r="V59" s="60">
        <f>IFERROR(__xludf.DUMMYFUNCTION("IFERROR(
  VLOOKUP(
    A59,
    IMPORTRANGE(
      ""1ZHMy3vVUd_0MrSduXTe1etBb1HNpAlGwQr006ljwMiM"",
      ""GSC最新!A:R""
    ),
    14,
    FALSE
  ),
  0
)
"),0.0)</f>
        <v>0</v>
      </c>
      <c r="W59" s="60">
        <f>IFERROR(__xludf.DUMMYFUNCTION("IFERROR(
  VLOOKUP(
    A59,
    IMPORTRANGE(
      ""1ZHMy3vVUd_0MrSduXTe1etBb1HNpAlGwQr006ljwMiM"",
      ""GSC最新!A:R""
    ),
    17,
    FALSE
  ),
  0
)
"),0.1)</f>
        <v>0.1</v>
      </c>
      <c r="X59" s="60">
        <f t="shared" ref="X59:Y59" si="289">IFERROR(T59-V59,"-")</f>
        <v>0</v>
      </c>
      <c r="Y59" s="60">
        <f t="shared" si="289"/>
        <v>-0.06</v>
      </c>
      <c r="Z59" s="52">
        <f>IFERROR(__xludf.DUMMYFUNCTION("IFERROR(
  VLOOKUP(
    A59,
    IMPORTRANGE(
      ""1ZHMy3vVUd_0MrSduXTe1etBb1HNpAlGwQr006ljwMiM"",
      ""GSC最新!A:R""
    ),
    9,
    FALSE
  ),
  0
)
"),10.352941176470589)</f>
        <v>10.35294118</v>
      </c>
      <c r="AA59" s="52">
        <f>IFERROR(__xludf.DUMMYFUNCTION("IFERROR(
  VLOOKUP(
    A59,
    IMPORTRANGE(
      ""1ZHMy3vVUd_0MrSduXTe1etBb1HNpAlGwQr006ljwMiM"",
      ""GSC最新!A:R""
    ),
    12,
    FALSE
  ),
  0
)
"),9.52)</f>
        <v>9.52</v>
      </c>
      <c r="AB59" s="52">
        <f>IFERROR(__xludf.DUMMYFUNCTION("IFERROR(
  VLOOKUP(
    A59,
    IMPORTRANGE(
      ""1ZHMy3vVUd_0MrSduXTe1etBb1HNpAlGwQr006ljwMiM"",
      ""GSC最新!A:R""
    ),
    15,
    FALSE
  ),
  0
)
"),5.0)</f>
        <v>5</v>
      </c>
      <c r="AC59" s="52">
        <f>IFERROR(__xludf.DUMMYFUNCTION("IFERROR(
  VLOOKUP(
    A59,
    IMPORTRANGE(
      ""1ZHMy3vVUd_0MrSduXTe1etBb1HNpAlGwQr006ljwMiM"",
      ""GSC最新!A:R""
    ),
    18,
    FALSE
  ),
  0
)
"),12.8)</f>
        <v>12.8</v>
      </c>
      <c r="AD59" s="52">
        <f t="shared" ref="AD59:AE59" si="290">Z59-AB59</f>
        <v>5.352941176</v>
      </c>
      <c r="AE59" s="52">
        <f t="shared" si="290"/>
        <v>-3.28</v>
      </c>
      <c r="AF59" s="53">
        <f>IFERROR(__xludf.DUMMYFUNCTION("IFERROR(
  VLOOKUP(
    A59,
    IMPORTRANGE(
      ""1ZHMy3vVUd_0MrSduXTe1etBb1HNpAlGwQr006ljwMiM"",
      ""GSC最新!A:F""
    ),
    6,
    FALSE
  ),
  0
)
"),46081.0)</f>
        <v>46081</v>
      </c>
      <c r="AG59" s="54">
        <f>IFERROR(__xludf.DUMMYFUNCTION("IFERROR(
  VLOOKUP(
    A59,
    IMPORTRANGE(
      ""1SCYQd7_cobOYqT0r_F0IqD4tE4rYn5y8Eup4PJTH8es"",
      ""Snapshot!A:M""
    ),
    5,
    FALSE
  ),
  ""-""
)
"),4.0)</f>
        <v>4</v>
      </c>
      <c r="AH59" s="54">
        <f>IFERROR(__xludf.DUMMYFUNCTION("IFERROR(
  VLOOKUP(
    A59,
    IMPORTRANGE(
      ""1SCYQd7_cobOYqT0r_F0IqD4tE4rYn5y8Eup4PJTH8es"",
      ""Snapshot!A:M""
    ),
    6,
    FALSE
  ),
  0
)
"),10.0)</f>
        <v>10</v>
      </c>
      <c r="AI59" s="54">
        <f>IFERROR(__xludf.DUMMYFUNCTION("IFERROR(
  VLOOKUP(
    A59,
    IMPORTRANGE(
      ""1SCYQd7_cobOYqT0r_F0IqD4tE4rYn5y8Eup4PJTH8es"",
      ""Snapshot!A:M""
    ),
    7,
    FALSE
  ),
  0
)
"),5110.0)</f>
        <v>5110</v>
      </c>
      <c r="AJ59" s="54">
        <f>IFERROR(__xludf.DUMMYFUNCTION("IFERROR(
  VLOOKUP(
    A59,
    IMPORTRANGE(
      ""1SCYQd7_cobOYqT0r_F0IqD4tE4rYn5y8Eup4PJTH8es"",
      ""Snapshot!A:M""
    ),
    8,
    FALSE
  ),
  0
)
"),2.0)</f>
        <v>2</v>
      </c>
      <c r="AK59" s="54">
        <f>IFERROR(__xludf.DUMMYFUNCTION("IFERROR(
  VLOOKUP(
    A59,
    IMPORTRANGE(
      ""1SCYQd7_cobOYqT0r_F0IqD4tE4rYn5y8Eup4PJTH8es"",
      ""Snapshot!A:M""
    ),
    9,
    FALSE
  ),
  0
)
"),1.0)</f>
        <v>1</v>
      </c>
      <c r="AL59" s="54">
        <f>IFERROR(__xludf.DUMMYFUNCTION("IFERROR(
  VLOOKUP(
    A59,
    IMPORTRANGE(
      ""1SCYQd7_cobOYqT0r_F0IqD4tE4rYn5y8Eup4PJTH8es"",
      ""Snapshot!A:M""
    ),
    13,
    FALSE
  ),
  0
)
"),1.0)</f>
        <v>1</v>
      </c>
    </row>
    <row r="60">
      <c r="A60" s="3" t="s">
        <v>399</v>
      </c>
      <c r="B60" s="1" t="str">
        <f>IFERROR(__xludf.DUMMYFUNCTION("IFERROR(
  VLOOKUP(
    A60,
    IMPORTRANGE(
      ""1ZygntHC1J6IxzKbTidmOyf5nUyW4GCLurHCjexrLm_o"",
      ""HTMLキャッシュ!A:F""
    ),
    2,
    FALSE
  ),
  0
)
"),"SC")</f>
        <v>SC</v>
      </c>
      <c r="C60" s="1" t="str">
        <f>IFERROR(__xludf.DUMMYFUNCTION("IFERROR(
  VLOOKUP(
    A60,
    IMPORTRANGE(
      ""1ZygntHC1J6IxzKbTidmOyf5nUyW4GCLurHCjexrLm_o"",
      ""HTMLキャッシュ!A:F""
    ),
    5,
    FALSE
  ),
  0
)
"),"塾の宿題が終わらない子がオンライン算数で改善する理由 - 中学受験専門 夏井算数塾")</f>
        <v>塾の宿題が終わらない子がオンライン算数で改善する理由 - 中学受験専門 夏井算数塾</v>
      </c>
      <c r="D60" s="1" t="str">
        <f>IFERROR(__xludf.DUMMYFUNCTION("IFERROR(
  VLOOKUP(
    A60,
    IMPORTRANGE(
      ""1ZygntHC1J6IxzKbTidmOyf5nUyW4GCLurHCjexrLm_o        "",
      ""HTMLキャッシュ!A:F""
    ),
    6,
    FALSE
  ),
  0
)
"),"中学受験／オンライン算数 自宅で学べる個別指導 中学受験の塾に通っているのに、算数の宿題が毎週終わらない。寝る")</f>
        <v>中学受験／オンライン算数 自宅で学べる個別指導 中学受験の塾に通っているのに、算数の宿題が毎週終わらない。寝る</v>
      </c>
      <c r="E60" s="49">
        <f t="shared" ref="E60:F60" si="291">LEN(C60)</f>
        <v>41</v>
      </c>
      <c r="F60" s="49">
        <f t="shared" si="291"/>
        <v>55</v>
      </c>
      <c r="G60" s="32">
        <f>IFERROR(__xludf.DUMMYFUNCTION("IFERROR(
  VLOOKUP(
    A60,
    IMPORTRANGE(
      ""1ZygntHC1J6IxzKbTidmOyf5nUyW4GCLurHCjexrLm_o        "",
      ""HTMLキャッシュ!A:F""
    ),
    3,
    FALSE
  ),
  0
)
"),46069.77315972222)</f>
        <v>46069.77316</v>
      </c>
      <c r="H60" s="54">
        <f>IFERROR(__xludf.DUMMYFUNCTION("IFERROR(
  VLOOKUP(
    A60,
    IMPORTRANGE(
      ""1ZHMy3vVUd_0MrSduXTe1etBb1HNpAlGwQr006ljwMiM"",
      ""GSC最新!A:F""
    ),
    2,
    FALSE
  ),
  0
)
"),0.0)</f>
        <v>0</v>
      </c>
      <c r="I60" s="54">
        <f>IFERROR(__xludf.DUMMYFUNCTION("IFERROR(
  VLOOKUP(
    A60,
    IMPORTRANGE(
      ""1ZHMy3vVUd_0MrSduXTe1etBb1HNpAlGwQr006ljwMiM"",
      ""GSC最新!A:F""
    ),
    3,
    FALSE
  ),
  0
)
"),3.0)</f>
        <v>3</v>
      </c>
      <c r="J60" s="54">
        <f>IFERROR(__xludf.DUMMYFUNCTION("IFERROR(
  VLOOKUP(
    A60,
    IMPORTRANGE(
      ""1ZHMy3vVUd_0MrSduXTe1etBb1HNpAlGwQr006ljwMiM"",
      ""GSC最新!A:F""
    ),
    4,
    FALSE
  ),
  0
)
"),0.0)</f>
        <v>0</v>
      </c>
      <c r="K60" s="54">
        <f>IFERROR(__xludf.DUMMYFUNCTION("IFERROR(
  VLOOKUP(
    A60,
    IMPORTRANGE(
      ""1ZHMy3vVUd_0MrSduXTe1etBb1HNpAlGwQr006ljwMiM"",
      ""GSC最新!A:F""
    ),
    5,
    FALSE
  ),
  0
)
"),0.0)</f>
        <v>0</v>
      </c>
      <c r="L60" s="50" t="str">
        <f t="shared" ref="L60:M60" si="292">IFERROR(H60/J60,"-")</f>
        <v>-</v>
      </c>
      <c r="M60" s="50" t="str">
        <f t="shared" si="292"/>
        <v>-</v>
      </c>
      <c r="N60" s="59">
        <f>IFERROR(__xludf.DUMMYFUNCTION("IFERROR(
  VLOOKUP(
    A60,
    IMPORTRANGE(
      ""1ZHMy3vVUd_0MrSduXTe1etBb1HNpAlGwQr006ljwMiM"",
      ""GSC最新!A:R""
    ),
    7,
    FALSE
  ),
  0
)
"),4.0)</f>
        <v>4</v>
      </c>
      <c r="O60" s="59">
        <f>IFERROR(__xludf.DUMMYFUNCTION("IFERROR(
  VLOOKUP(
    A60,
    IMPORTRANGE(
      ""1ZHMy3vVUd_0MrSduXTe1etBb1HNpAlGwQr006ljwMiM"",
      ""GSC最新!A:R""
    ),
    10,
    FALSE
  ),
  0
)
"),56.0)</f>
        <v>56</v>
      </c>
      <c r="P60" s="59">
        <f>IFERROR(__xludf.DUMMYFUNCTION("IFERROR(
  VLOOKUP(
    A60,
    IMPORTRANGE(
      ""1ZHMy3vVUd_0MrSduXTe1etBb1HNpAlGwQr006ljwMiM"",
      ""GSC最新!A:R""
    ),
    13,
    FALSE
  ),
  0
)
"),0.0)</f>
        <v>0</v>
      </c>
      <c r="Q60" s="59">
        <f>IFERROR(__xludf.DUMMYFUNCTION("IFERROR(
  VLOOKUP(
    A60,
    IMPORTRANGE(
      ""1ZHMy3vVUd_0MrSduXTe1etBb1HNpAlGwQr006ljwMiM"",
      ""GSC最新!A:R""
    ),
    16,
    FALSE
  ),
  0
)
"),0.0)</f>
        <v>0</v>
      </c>
      <c r="R60" s="50" t="str">
        <f t="shared" ref="R60:S60" si="293">IFERROR(N60/P60,"-")</f>
        <v>-</v>
      </c>
      <c r="S60" s="50" t="str">
        <f t="shared" si="293"/>
        <v>-</v>
      </c>
      <c r="T60" s="60">
        <f>IFERROR(__xludf.DUMMYFUNCTION("IFERROR(
  VLOOKUP(
    A60,
    IMPORTRANGE(
      ""1ZHMy3vVUd_0MrSduXTe1etBb1HNpAlGwQr006ljwMiM"",
      ""GSC最新!A:R""
    ),
    8,
    FALSE
  ),
  0
)
"),0.0)</f>
        <v>0</v>
      </c>
      <c r="U60" s="60">
        <f>IFERROR(__xludf.DUMMYFUNCTION("IFERROR(
  VLOOKUP(
    A60,
    IMPORTRANGE(
      ""1ZHMy3vVUd_0MrSduXTe1etBb1HNpAlGwQr006ljwMiM"",
      ""GSC最新!A:R""
    ),
    11,
    FALSE
  ),
  0
)
"),0.05357142857142857)</f>
        <v>0.05357142857</v>
      </c>
      <c r="V60" s="60">
        <f>IFERROR(__xludf.DUMMYFUNCTION("IFERROR(
  VLOOKUP(
    A60,
    IMPORTRANGE(
      ""1ZHMy3vVUd_0MrSduXTe1etBb1HNpAlGwQr006ljwMiM"",
      ""GSC最新!A:R""
    ),
    14,
    FALSE
  ),
  0
)
"),0.0)</f>
        <v>0</v>
      </c>
      <c r="W60" s="60">
        <f>IFERROR(__xludf.DUMMYFUNCTION("IFERROR(
  VLOOKUP(
    A60,
    IMPORTRANGE(
      ""1ZHMy3vVUd_0MrSduXTe1etBb1HNpAlGwQr006ljwMiM"",
      ""GSC最新!A:R""
    ),
    17,
    FALSE
  ),
  0
)
"),0.0)</f>
        <v>0</v>
      </c>
      <c r="X60" s="60">
        <f t="shared" ref="X60:Y60" si="294">IFERROR(T60-V60,"-")</f>
        <v>0</v>
      </c>
      <c r="Y60" s="60">
        <f t="shared" si="294"/>
        <v>0.05357142857</v>
      </c>
      <c r="Z60" s="52">
        <f>IFERROR(__xludf.DUMMYFUNCTION("IFERROR(
  VLOOKUP(
    A60,
    IMPORTRANGE(
      ""1ZHMy3vVUd_0MrSduXTe1etBb1HNpAlGwQr006ljwMiM"",
      ""GSC最新!A:R""
    ),
    9,
    FALSE
  ),
  0
)
"),6.25)</f>
        <v>6.25</v>
      </c>
      <c r="AA60" s="52">
        <f>IFERROR(__xludf.DUMMYFUNCTION("IFERROR(
  VLOOKUP(
    A60,
    IMPORTRANGE(
      ""1ZHMy3vVUd_0MrSduXTe1etBb1HNpAlGwQr006ljwMiM"",
      ""GSC最新!A:R""
    ),
    12,
    FALSE
  ),
  0
)
"),6.732142857142857)</f>
        <v>6.732142857</v>
      </c>
      <c r="AB60" s="52" t="str">
        <f>IFERROR(__xludf.DUMMYFUNCTION("IFERROR(
  VLOOKUP(
    A60,
    IMPORTRANGE(
      ""1ZHMy3vVUd_0MrSduXTe1etBb1HNpAlGwQr006ljwMiM"",
      ""GSC最新!A:R""
    ),
    15,
    FALSE
  ),
  0
)
"),"")</f>
        <v/>
      </c>
      <c r="AC60" s="52" t="str">
        <f>IFERROR(__xludf.DUMMYFUNCTION("IFERROR(
  VLOOKUP(
    A60,
    IMPORTRANGE(
      ""1ZHMy3vVUd_0MrSduXTe1etBb1HNpAlGwQr006ljwMiM"",
      ""GSC最新!A:R""
    ),
    18,
    FALSE
  ),
  0
)
"),"")</f>
        <v/>
      </c>
      <c r="AD60" s="52">
        <f t="shared" ref="AD60:AE60" si="295">Z60-AB60</f>
        <v>6.25</v>
      </c>
      <c r="AE60" s="52">
        <f t="shared" si="295"/>
        <v>6.732142857</v>
      </c>
      <c r="AF60" s="53">
        <f>IFERROR(__xludf.DUMMYFUNCTION("IFERROR(
  VLOOKUP(
    A60,
    IMPORTRANGE(
      ""1ZHMy3vVUd_0MrSduXTe1etBb1HNpAlGwQr006ljwMiM"",
      ""GSC最新!A:F""
    ),
    6,
    FALSE
  ),
  0
)
"),46081.0)</f>
        <v>46081</v>
      </c>
      <c r="AG60" s="54">
        <f>IFERROR(__xludf.DUMMYFUNCTION("IFERROR(
  VLOOKUP(
    A60,
    IMPORTRANGE(
      ""1SCYQd7_cobOYqT0r_F0IqD4tE4rYn5y8Eup4PJTH8es"",
      ""Snapshot!A:M""
    ),
    5,
    FALSE
  ),
  ""-""
)
"),6.0)</f>
        <v>6</v>
      </c>
      <c r="AH60" s="54">
        <f>IFERROR(__xludf.DUMMYFUNCTION("IFERROR(
  VLOOKUP(
    A60,
    IMPORTRANGE(
      ""1SCYQd7_cobOYqT0r_F0IqD4tE4rYn5y8Eup4PJTH8es"",
      ""Snapshot!A:M""
    ),
    6,
    FALSE
  ),
  0
)
"),14.0)</f>
        <v>14</v>
      </c>
      <c r="AI60" s="54">
        <f>IFERROR(__xludf.DUMMYFUNCTION("IFERROR(
  VLOOKUP(
    A60,
    IMPORTRANGE(
      ""1SCYQd7_cobOYqT0r_F0IqD4tE4rYn5y8Eup4PJTH8es"",
      ""Snapshot!A:M""
    ),
    7,
    FALSE
  ),
  0
)
"),5577.0)</f>
        <v>5577</v>
      </c>
      <c r="AJ60" s="54">
        <f>IFERROR(__xludf.DUMMYFUNCTION("IFERROR(
  VLOOKUP(
    A60,
    IMPORTRANGE(
      ""1SCYQd7_cobOYqT0r_F0IqD4tE4rYn5y8Eup4PJTH8es"",
      ""Snapshot!A:M""
    ),
    8,
    FALSE
  ),
  0
)
"),4.0)</f>
        <v>4</v>
      </c>
      <c r="AK60" s="54">
        <f>IFERROR(__xludf.DUMMYFUNCTION("IFERROR(
  VLOOKUP(
    A60,
    IMPORTRANGE(
      ""1SCYQd7_cobOYqT0r_F0IqD4tE4rYn5y8Eup4PJTH8es"",
      ""Snapshot!A:M""
    ),
    9,
    FALSE
  ),
  0
)
"),4.0)</f>
        <v>4</v>
      </c>
      <c r="AL60" s="54">
        <f>IFERROR(__xludf.DUMMYFUNCTION("IFERROR(
  VLOOKUP(
    A60,
    IMPORTRANGE(
      ""1SCYQd7_cobOYqT0r_F0IqD4tE4rYn5y8Eup4PJTH8es"",
      ""Snapshot!A:M""
    ),
    13,
    FALSE
  ),
  0
)
"),2.0)</f>
        <v>2</v>
      </c>
    </row>
    <row r="61">
      <c r="A61" s="3" t="s">
        <v>400</v>
      </c>
      <c r="B61" s="1" t="str">
        <f>IFERROR(__xludf.DUMMYFUNCTION("IFERROR(
  VLOOKUP(
    A61,
    IMPORTRANGE(
      ""1ZygntHC1J6IxzKbTidmOyf5nUyW4GCLurHCjexrLm_o"",
      ""HTMLキャッシュ!A:F""
    ),
    2,
    FALSE
  ),
  0
)
"),"MC")</f>
        <v>MC</v>
      </c>
      <c r="C61" s="1" t="str">
        <f>IFERROR(__xludf.DUMMYFUNCTION("IFERROR(
  VLOOKUP(
    A61,
    IMPORTRANGE(
      ""1ZygntHC1J6IxzKbTidmOyf5nUyW4GCLurHCjexrLm_o"",
      ""HTMLキャッシュ!A:F""
    ),
    5,
    FALSE
  ),
  0
)
"),"中学受験・小4算数の疑問を解決！Q&amp;amp;Aで悩みをスッキリ解消")</f>
        <v>中学受験・小4算数の疑問を解決！Q&amp;amp;Aで悩みをスッキリ解消</v>
      </c>
      <c r="D61" s="1" t="str">
        <f>IFERROR(__xludf.DUMMYFUNCTION("IFERROR(
  VLOOKUP(
    A61,
    IMPORTRANGE(
      ""1ZygntHC1J6IxzKbTidmOyf5nUyW4GCLurHCjexrLm_o        "",
      ""HTMLキャッシュ!A:F""
    ),
    6,
    FALSE
  ),
  0
)
"),"併願校とは何かを整理。偏差値だけで決めず、通学時間と6年間の生活を天秤にかける選び方を解説。")</f>
        <v>併願校とは何かを整理。偏差値だけで決めず、通学時間と6年間の生活を天秤にかける選び方を解説。</v>
      </c>
      <c r="E61" s="49">
        <f t="shared" ref="E61:F61" si="296">LEN(C61)</f>
        <v>33</v>
      </c>
      <c r="F61" s="49">
        <f t="shared" si="296"/>
        <v>46</v>
      </c>
      <c r="G61" s="32">
        <f>IFERROR(__xludf.DUMMYFUNCTION("IFERROR(
  VLOOKUP(
    A61,
    IMPORTRANGE(
      ""1ZygntHC1J6IxzKbTidmOyf5nUyW4GCLurHCjexrLm_o        "",
      ""HTMLキャッシュ!A:F""
    ),
    3,
    FALSE
  ),
  0
)
"),46077.738020833334)</f>
        <v>46077.73802</v>
      </c>
      <c r="H61" s="54">
        <f>IFERROR(__xludf.DUMMYFUNCTION("IFERROR(
  VLOOKUP(
    A61,
    IMPORTRANGE(
      ""1ZHMy3vVUd_0MrSduXTe1etBb1HNpAlGwQr006ljwMiM"",
      ""GSC最新!A:F""
    ),
    2,
    FALSE
  ),
  0
)
"),0.0)</f>
        <v>0</v>
      </c>
      <c r="I61" s="54">
        <f>IFERROR(__xludf.DUMMYFUNCTION("IFERROR(
  VLOOKUP(
    A61,
    IMPORTRANGE(
      ""1ZHMy3vVUd_0MrSduXTe1etBb1HNpAlGwQr006ljwMiM"",
      ""GSC最新!A:F""
    ),
    3,
    FALSE
  ),
  0
)
"),2.0)</f>
        <v>2</v>
      </c>
      <c r="J61" s="54">
        <f>IFERROR(__xludf.DUMMYFUNCTION("IFERROR(
  VLOOKUP(
    A61,
    IMPORTRANGE(
      ""1ZHMy3vVUd_0MrSduXTe1etBb1HNpAlGwQr006ljwMiM"",
      ""GSC最新!A:F""
    ),
    4,
    FALSE
  ),
  0
)
"),0.0)</f>
        <v>0</v>
      </c>
      <c r="K61" s="54">
        <f>IFERROR(__xludf.DUMMYFUNCTION("IFERROR(
  VLOOKUP(
    A61,
    IMPORTRANGE(
      ""1ZHMy3vVUd_0MrSduXTe1etBb1HNpAlGwQr006ljwMiM"",
      ""GSC最新!A:F""
    ),
    5,
    FALSE
  ),
  0
)
"),0.0)</f>
        <v>0</v>
      </c>
      <c r="L61" s="50" t="str">
        <f t="shared" ref="L61:M61" si="297">IFERROR(H61/J61,"-")</f>
        <v>-</v>
      </c>
      <c r="M61" s="50" t="str">
        <f t="shared" si="297"/>
        <v>-</v>
      </c>
      <c r="N61" s="59">
        <f>IFERROR(__xludf.DUMMYFUNCTION("IFERROR(
  VLOOKUP(
    A61,
    IMPORTRANGE(
      ""1ZHMy3vVUd_0MrSduXTe1etBb1HNpAlGwQr006ljwMiM"",
      ""GSC最新!A:R""
    ),
    7,
    FALSE
  ),
  0
)
"),136.0)</f>
        <v>136</v>
      </c>
      <c r="O61" s="59">
        <f>IFERROR(__xludf.DUMMYFUNCTION("IFERROR(
  VLOOKUP(
    A61,
    IMPORTRANGE(
      ""1ZHMy3vVUd_0MrSduXTe1etBb1HNpAlGwQr006ljwMiM"",
      ""GSC最新!A:R""
    ),
    10,
    FALSE
  ),
  0
)
"),277.0)</f>
        <v>277</v>
      </c>
      <c r="P61" s="59">
        <f>IFERROR(__xludf.DUMMYFUNCTION("IFERROR(
  VLOOKUP(
    A61,
    IMPORTRANGE(
      ""1ZHMy3vVUd_0MrSduXTe1etBb1HNpAlGwQr006ljwMiM"",
      ""GSC最新!A:R""
    ),
    13,
    FALSE
  ),
  0
)
"),0.0)</f>
        <v>0</v>
      </c>
      <c r="Q61" s="59">
        <f>IFERROR(__xludf.DUMMYFUNCTION("IFERROR(
  VLOOKUP(
    A61,
    IMPORTRANGE(
      ""1ZHMy3vVUd_0MrSduXTe1etBb1HNpAlGwQr006ljwMiM"",
      ""GSC最新!A:R""
    ),
    16,
    FALSE
  ),
  0
)
"),0.0)</f>
        <v>0</v>
      </c>
      <c r="R61" s="50" t="str">
        <f t="shared" ref="R61:S61" si="298">IFERROR(N61/P61,"-")</f>
        <v>-</v>
      </c>
      <c r="S61" s="50" t="str">
        <f t="shared" si="298"/>
        <v>-</v>
      </c>
      <c r="T61" s="60">
        <f>IFERROR(__xludf.DUMMYFUNCTION("IFERROR(
  VLOOKUP(
    A61,
    IMPORTRANGE(
      ""1ZHMy3vVUd_0MrSduXTe1etBb1HNpAlGwQr006ljwMiM"",
      ""GSC最新!A:R""
    ),
    8,
    FALSE
  ),
  0
)
"),0.0)</f>
        <v>0</v>
      </c>
      <c r="U61" s="60">
        <f>IFERROR(__xludf.DUMMYFUNCTION("IFERROR(
  VLOOKUP(
    A61,
    IMPORTRANGE(
      ""1ZHMy3vVUd_0MrSduXTe1etBb1HNpAlGwQr006ljwMiM"",
      ""GSC最新!A:R""
    ),
    11,
    FALSE
  ),
  0
)
"),0.007220216606498195)</f>
        <v>0.007220216606</v>
      </c>
      <c r="V61" s="60">
        <f>IFERROR(__xludf.DUMMYFUNCTION("IFERROR(
  VLOOKUP(
    A61,
    IMPORTRANGE(
      ""1ZHMy3vVUd_0MrSduXTe1etBb1HNpAlGwQr006ljwMiM"",
      ""GSC最新!A:R""
    ),
    14,
    FALSE
  ),
  0
)
"),0.0)</f>
        <v>0</v>
      </c>
      <c r="W61" s="60">
        <f>IFERROR(__xludf.DUMMYFUNCTION("IFERROR(
  VLOOKUP(
    A61,
    IMPORTRANGE(
      ""1ZHMy3vVUd_0MrSduXTe1etBb1HNpAlGwQr006ljwMiM"",
      ""GSC最新!A:R""
    ),
    17,
    FALSE
  ),
  0
)
"),0.0)</f>
        <v>0</v>
      </c>
      <c r="X61" s="60">
        <f t="shared" ref="X61:Y61" si="299">IFERROR(T61-V61,"-")</f>
        <v>0</v>
      </c>
      <c r="Y61" s="60">
        <f t="shared" si="299"/>
        <v>0.007220216606</v>
      </c>
      <c r="Z61" s="52">
        <f>IFERROR(__xludf.DUMMYFUNCTION("IFERROR(
  VLOOKUP(
    A61,
    IMPORTRANGE(
      ""1ZHMy3vVUd_0MrSduXTe1etBb1HNpAlGwQr006ljwMiM"",
      ""GSC最新!A:R""
    ),
    9,
    FALSE
  ),
  0
)
"),10.816176470588236)</f>
        <v>10.81617647</v>
      </c>
      <c r="AA61" s="52">
        <f>IFERROR(__xludf.DUMMYFUNCTION("IFERROR(
  VLOOKUP(
    A61,
    IMPORTRANGE(
      ""1ZHMy3vVUd_0MrSduXTe1etBb1HNpAlGwQr006ljwMiM"",
      ""GSC最新!A:R""
    ),
    12,
    FALSE
  ),
  0
)
"),10.617328519855596)</f>
        <v>10.61732852</v>
      </c>
      <c r="AB61" s="52" t="str">
        <f>IFERROR(__xludf.DUMMYFUNCTION("IFERROR(
  VLOOKUP(
    A61,
    IMPORTRANGE(
      ""1ZHMy3vVUd_0MrSduXTe1etBb1HNpAlGwQr006ljwMiM"",
      ""GSC最新!A:R""
    ),
    15,
    FALSE
  ),
  0
)
"),"")</f>
        <v/>
      </c>
      <c r="AC61" s="52" t="str">
        <f>IFERROR(__xludf.DUMMYFUNCTION("IFERROR(
  VLOOKUP(
    A61,
    IMPORTRANGE(
      ""1ZHMy3vVUd_0MrSduXTe1etBb1HNpAlGwQr006ljwMiM"",
      ""GSC最新!A:R""
    ),
    18,
    FALSE
  ),
  0
)
"),"")</f>
        <v/>
      </c>
      <c r="AD61" s="52">
        <f t="shared" ref="AD61:AE61" si="300">Z61-AB61</f>
        <v>10.81617647</v>
      </c>
      <c r="AE61" s="52">
        <f t="shared" si="300"/>
        <v>10.61732852</v>
      </c>
      <c r="AF61" s="53">
        <f>IFERROR(__xludf.DUMMYFUNCTION("IFERROR(
  VLOOKUP(
    A61,
    IMPORTRANGE(
      ""1ZHMy3vVUd_0MrSduXTe1etBb1HNpAlGwQr006ljwMiM"",
      ""GSC最新!A:F""
    ),
    6,
    FALSE
  ),
  0
)
"),46081.0)</f>
        <v>46081</v>
      </c>
      <c r="AG61" s="54">
        <f>IFERROR(__xludf.DUMMYFUNCTION("IFERROR(
  VLOOKUP(
    A61,
    IMPORTRANGE(
      ""1SCYQd7_cobOYqT0r_F0IqD4tE4rYn5y8Eup4PJTH8es"",
      ""Snapshot!A:M""
    ),
    5,
    FALSE
  ),
  ""-""
)
"),9.0)</f>
        <v>9</v>
      </c>
      <c r="AH61" s="54">
        <f>IFERROR(__xludf.DUMMYFUNCTION("IFERROR(
  VLOOKUP(
    A61,
    IMPORTRANGE(
      ""1SCYQd7_cobOYqT0r_F0IqD4tE4rYn5y8Eup4PJTH8es"",
      ""Snapshot!A:M""
    ),
    6,
    FALSE
  ),
  0
)
"),11.0)</f>
        <v>11</v>
      </c>
      <c r="AI61" s="54">
        <f>IFERROR(__xludf.DUMMYFUNCTION("IFERROR(
  VLOOKUP(
    A61,
    IMPORTRANGE(
      ""1SCYQd7_cobOYqT0r_F0IqD4tE4rYn5y8Eup4PJTH8es"",
      ""Snapshot!A:M""
    ),
    7,
    FALSE
  ),
  0
)
"),7957.0)</f>
        <v>7957</v>
      </c>
      <c r="AJ61" s="54">
        <f>IFERROR(__xludf.DUMMYFUNCTION("IFERROR(
  VLOOKUP(
    A61,
    IMPORTRANGE(
      ""1SCYQd7_cobOYqT0r_F0IqD4tE4rYn5y8Eup4PJTH8es"",
      ""Snapshot!A:M""
    ),
    8,
    FALSE
  ),
  0
)
"),3.0)</f>
        <v>3</v>
      </c>
      <c r="AK61" s="54">
        <f>IFERROR(__xludf.DUMMYFUNCTION("IFERROR(
  VLOOKUP(
    A61,
    IMPORTRANGE(
      ""1SCYQd7_cobOYqT0r_F0IqD4tE4rYn5y8Eup4PJTH8es"",
      ""Snapshot!A:M""
    ),
    9,
    FALSE
  ),
  0
)
"),1.0)</f>
        <v>1</v>
      </c>
      <c r="AL61" s="54">
        <f>IFERROR(__xludf.DUMMYFUNCTION("IFERROR(
  VLOOKUP(
    A61,
    IMPORTRANGE(
      ""1SCYQd7_cobOYqT0r_F0IqD4tE4rYn5y8Eup4PJTH8es"",
      ""Snapshot!A:M""
    ),
    13,
    FALSE
  ),
  0
)
"),2.0)</f>
        <v>2</v>
      </c>
    </row>
    <row r="62">
      <c r="A62" s="3" t="s">
        <v>401</v>
      </c>
      <c r="B62" s="1" t="str">
        <f>IFERROR(__xludf.DUMMYFUNCTION("IFERROR(
  VLOOKUP(
    A62,
    IMPORTRANGE(
      ""1ZygntHC1J6IxzKbTidmOyf5nUyW4GCLurHCjexrLm_o"",
      ""HTMLキャッシュ!A:F""
    ),
    2,
    FALSE
  ),
  0
)
"),"SC")</f>
        <v>SC</v>
      </c>
      <c r="C62" s="1" t="str">
        <f>IFERROR(__xludf.DUMMYFUNCTION("IFERROR(
  VLOOKUP(
    A62,
    IMPORTRANGE(
      ""1ZygntHC1J6IxzKbTidmOyf5nUyW4GCLurHCjexrLm_o"",
      ""HTMLキャッシュ!A:F""
    ),
    5,
    FALSE
  ),
  0
)
"),"中学受験で算数の文章題の苦手を克服するコツ - 中学受験専門 夏井算数塾")</f>
        <v>中学受験で算数の文章題の苦手を克服するコツ - 中学受験専門 夏井算数塾</v>
      </c>
      <c r="D62" s="1" t="str">
        <f>IFERROR(__xludf.DUMMYFUNCTION("IFERROR(
  VLOOKUP(
    A62,
    IMPORTRANGE(
      ""1ZygntHC1J6IxzKbTidmOyf5nUyW4GCLurHCjexrLm_o        "",
      ""HTMLキャッシュ!A:F""
    ),
    6,
    FALSE
  ),
  0
)
"),"中学受験の算数の文章題克服法を解説！音読や絵にする工夫、語彙力強化で苦手を解消。毎日の習慣が正答率アップのカギ！詳しくはコラムへ。")</f>
        <v>中学受験の算数の文章題克服法を解説！音読や絵にする工夫、語彙力強化で苦手を解消。毎日の習慣が正答率アップのカギ！詳しくはコラムへ。</v>
      </c>
      <c r="E62" s="49">
        <f t="shared" ref="E62:F62" si="301">LEN(C62)</f>
        <v>36</v>
      </c>
      <c r="F62" s="49">
        <f t="shared" si="301"/>
        <v>65</v>
      </c>
      <c r="G62" s="32">
        <f>IFERROR(__xludf.DUMMYFUNCTION("IFERROR(
  VLOOKUP(
    A62,
    IMPORTRANGE(
      ""1ZygntHC1J6IxzKbTidmOyf5nUyW4GCLurHCjexrLm_o        "",
      ""HTMLキャッシュ!A:F""
    ),
    3,
    FALSE
  ),
  0
)
"),46077.7178587963)</f>
        <v>46077.71786</v>
      </c>
      <c r="H62" s="54">
        <f>IFERROR(__xludf.DUMMYFUNCTION("IFERROR(
  VLOOKUP(
    A62,
    IMPORTRANGE(
      ""1ZHMy3vVUd_0MrSduXTe1etBb1HNpAlGwQr006ljwMiM"",
      ""GSC最新!A:F""
    ),
    2,
    FALSE
  ),
  0
)
"),1.0)</f>
        <v>1</v>
      </c>
      <c r="I62" s="54">
        <f>IFERROR(__xludf.DUMMYFUNCTION("IFERROR(
  VLOOKUP(
    A62,
    IMPORTRANGE(
      ""1ZHMy3vVUd_0MrSduXTe1etBb1HNpAlGwQr006ljwMiM"",
      ""GSC最新!A:F""
    ),
    3,
    FALSE
  ),
  0
)
"),2.0)</f>
        <v>2</v>
      </c>
      <c r="J62" s="54">
        <f>IFERROR(__xludf.DUMMYFUNCTION("IFERROR(
  VLOOKUP(
    A62,
    IMPORTRANGE(
      ""1ZHMy3vVUd_0MrSduXTe1etBb1HNpAlGwQr006ljwMiM"",
      ""GSC最新!A:F""
    ),
    4,
    FALSE
  ),
  0
)
"),2.0)</f>
        <v>2</v>
      </c>
      <c r="K62" s="54">
        <f>IFERROR(__xludf.DUMMYFUNCTION("IFERROR(
  VLOOKUP(
    A62,
    IMPORTRANGE(
      ""1ZHMy3vVUd_0MrSduXTe1etBb1HNpAlGwQr006ljwMiM"",
      ""GSC最新!A:F""
    ),
    5,
    FALSE
  ),
  0
)
"),2.0)</f>
        <v>2</v>
      </c>
      <c r="L62" s="50">
        <f t="shared" ref="L62:M62" si="302">IFERROR(H62/J62,"-")</f>
        <v>0.5</v>
      </c>
      <c r="M62" s="50">
        <f t="shared" si="302"/>
        <v>1</v>
      </c>
      <c r="N62" s="59">
        <f>IFERROR(__xludf.DUMMYFUNCTION("IFERROR(
  VLOOKUP(
    A62,
    IMPORTRANGE(
      ""1ZHMy3vVUd_0MrSduXTe1etBb1HNpAlGwQr006ljwMiM"",
      ""GSC最新!A:R""
    ),
    7,
    FALSE
  ),
  0
)
"),89.0)</f>
        <v>89</v>
      </c>
      <c r="O62" s="59">
        <f>IFERROR(__xludf.DUMMYFUNCTION("IFERROR(
  VLOOKUP(
    A62,
    IMPORTRANGE(
      ""1ZHMy3vVUd_0MrSduXTe1etBb1HNpAlGwQr006ljwMiM"",
      ""GSC最新!A:R""
    ),
    10,
    FALSE
  ),
  0
)
"),137.0)</f>
        <v>137</v>
      </c>
      <c r="P62" s="59">
        <f>IFERROR(__xludf.DUMMYFUNCTION("IFERROR(
  VLOOKUP(
    A62,
    IMPORTRANGE(
      ""1ZHMy3vVUd_0MrSduXTe1etBb1HNpAlGwQr006ljwMiM"",
      ""GSC最新!A:R""
    ),
    13,
    FALSE
  ),
  0
)
"),107.0)</f>
        <v>107</v>
      </c>
      <c r="Q62" s="59">
        <f>IFERROR(__xludf.DUMMYFUNCTION("IFERROR(
  VLOOKUP(
    A62,
    IMPORTRANGE(
      ""1ZHMy3vVUd_0MrSduXTe1etBb1HNpAlGwQr006ljwMiM"",
      ""GSC最新!A:R""
    ),
    16,
    FALSE
  ),
  0
)
"),380.0)</f>
        <v>380</v>
      </c>
      <c r="R62" s="50">
        <f t="shared" ref="R62:S62" si="303">IFERROR(N62/P62,"-")</f>
        <v>0.8317757009</v>
      </c>
      <c r="S62" s="50">
        <f t="shared" si="303"/>
        <v>0.3605263158</v>
      </c>
      <c r="T62" s="60">
        <f>IFERROR(__xludf.DUMMYFUNCTION("IFERROR(
  VLOOKUP(
    A62,
    IMPORTRANGE(
      ""1ZHMy3vVUd_0MrSduXTe1etBb1HNpAlGwQr006ljwMiM"",
      ""GSC最新!A:R""
    ),
    8,
    FALSE
  ),
  0
)
"),0.011235955056179775)</f>
        <v>0.01123595506</v>
      </c>
      <c r="U62" s="60">
        <f>IFERROR(__xludf.DUMMYFUNCTION("IFERROR(
  VLOOKUP(
    A62,
    IMPORTRANGE(
      ""1ZHMy3vVUd_0MrSduXTe1etBb1HNpAlGwQr006ljwMiM"",
      ""GSC最新!A:R""
    ),
    11,
    FALSE
  ),
  0
)
"),0.014598540145985401)</f>
        <v>0.01459854015</v>
      </c>
      <c r="V62" s="60">
        <f>IFERROR(__xludf.DUMMYFUNCTION("IFERROR(
  VLOOKUP(
    A62,
    IMPORTRANGE(
      ""1ZHMy3vVUd_0MrSduXTe1etBb1HNpAlGwQr006ljwMiM"",
      ""GSC最新!A:R""
    ),
    14,
    FALSE
  ),
  0
)
"),0.018691588785046728)</f>
        <v>0.01869158879</v>
      </c>
      <c r="W62" s="60">
        <f>IFERROR(__xludf.DUMMYFUNCTION("IFERROR(
  VLOOKUP(
    A62,
    IMPORTRANGE(
      ""1ZHMy3vVUd_0MrSduXTe1etBb1HNpAlGwQr006ljwMiM"",
      ""GSC最新!A:R""
    ),
    17,
    FALSE
  ),
  0
)
"),0.005263157894736842)</f>
        <v>0.005263157895</v>
      </c>
      <c r="X62" s="60">
        <f t="shared" ref="X62:Y62" si="304">IFERROR(T62-V62,"-")</f>
        <v>-0.007455633729</v>
      </c>
      <c r="Y62" s="60">
        <f t="shared" si="304"/>
        <v>0.009335382251</v>
      </c>
      <c r="Z62" s="52">
        <f>IFERROR(__xludf.DUMMYFUNCTION("IFERROR(
  VLOOKUP(
    A62,
    IMPORTRANGE(
      ""1ZHMy3vVUd_0MrSduXTe1etBb1HNpAlGwQr006ljwMiM"",
      ""GSC最新!A:R""
    ),
    9,
    FALSE
  ),
  0
)
"),9.134831460674157)</f>
        <v>9.134831461</v>
      </c>
      <c r="AA62" s="52">
        <f>IFERROR(__xludf.DUMMYFUNCTION("IFERROR(
  VLOOKUP(
    A62,
    IMPORTRANGE(
      ""1ZHMy3vVUd_0MrSduXTe1etBb1HNpAlGwQr006ljwMiM"",
      ""GSC最新!A:R""
    ),
    12,
    FALSE
  ),
  0
)
"),9.036496350364963)</f>
        <v>9.03649635</v>
      </c>
      <c r="AB62" s="52">
        <f>IFERROR(__xludf.DUMMYFUNCTION("IFERROR(
  VLOOKUP(
    A62,
    IMPORTRANGE(
      ""1ZHMy3vVUd_0MrSduXTe1etBb1HNpAlGwQr006ljwMiM"",
      ""GSC最新!A:R""
    ),
    15,
    FALSE
  ),
  0
)
"),57.728971962616825)</f>
        <v>57.72897196</v>
      </c>
      <c r="AC62" s="52">
        <f>IFERROR(__xludf.DUMMYFUNCTION("IFERROR(
  VLOOKUP(
    A62,
    IMPORTRANGE(
      ""1ZHMy3vVUd_0MrSduXTe1etBb1HNpAlGwQr006ljwMiM"",
      ""GSC最新!A:R""
    ),
    18,
    FALSE
  ),
  0
)
"),59.560526315789474)</f>
        <v>59.56052632</v>
      </c>
      <c r="AD62" s="52">
        <f t="shared" ref="AD62:AE62" si="305">Z62-AB62</f>
        <v>-48.5941405</v>
      </c>
      <c r="AE62" s="52">
        <f t="shared" si="305"/>
        <v>-50.52402997</v>
      </c>
      <c r="AF62" s="53">
        <f>IFERROR(__xludf.DUMMYFUNCTION("IFERROR(
  VLOOKUP(
    A62,
    IMPORTRANGE(
      ""1ZHMy3vVUd_0MrSduXTe1etBb1HNpAlGwQr006ljwMiM"",
      ""GSC最新!A:F""
    ),
    6,
    FALSE
  ),
  0
)
"),46081.0)</f>
        <v>46081</v>
      </c>
      <c r="AG62" s="54">
        <f>IFERROR(__xludf.DUMMYFUNCTION("IFERROR(
  VLOOKUP(
    A62,
    IMPORTRANGE(
      ""1SCYQd7_cobOYqT0r_F0IqD4tE4rYn5y8Eup4PJTH8es"",
      ""Snapshot!A:M""
    ),
    5,
    FALSE
  ),
  ""-""
)
"),16.0)</f>
        <v>16</v>
      </c>
      <c r="AH62" s="54">
        <f>IFERROR(__xludf.DUMMYFUNCTION("IFERROR(
  VLOOKUP(
    A62,
    IMPORTRANGE(
      ""1SCYQd7_cobOYqT0r_F0IqD4tE4rYn5y8Eup4PJTH8es"",
      ""Snapshot!A:M""
    ),
    6,
    FALSE
  ),
  0
)
"),20.0)</f>
        <v>20</v>
      </c>
      <c r="AI62" s="54">
        <f>IFERROR(__xludf.DUMMYFUNCTION("IFERROR(
  VLOOKUP(
    A62,
    IMPORTRANGE(
      ""1SCYQd7_cobOYqT0r_F0IqD4tE4rYn5y8Eup4PJTH8es"",
      ""Snapshot!A:M""
    ),
    7,
    FALSE
  ),
  0
)
"),5323.0)</f>
        <v>5323</v>
      </c>
      <c r="AJ62" s="54">
        <f>IFERROR(__xludf.DUMMYFUNCTION("IFERROR(
  VLOOKUP(
    A62,
    IMPORTRANGE(
      ""1SCYQd7_cobOYqT0r_F0IqD4tE4rYn5y8Eup4PJTH8es"",
      ""Snapshot!A:M""
    ),
    8,
    FALSE
  ),
  0
)
"),2.0)</f>
        <v>2</v>
      </c>
      <c r="AK62" s="54">
        <f>IFERROR(__xludf.DUMMYFUNCTION("IFERROR(
  VLOOKUP(
    A62,
    IMPORTRANGE(
      ""1SCYQd7_cobOYqT0r_F0IqD4tE4rYn5y8Eup4PJTH8es"",
      ""Snapshot!A:M""
    ),
    9,
    FALSE
  ),
  0
)
"),2.0)</f>
        <v>2</v>
      </c>
      <c r="AL62" s="54">
        <f>IFERROR(__xludf.DUMMYFUNCTION("IFERROR(
  VLOOKUP(
    A62,
    IMPORTRANGE(
      ""1SCYQd7_cobOYqT0r_F0IqD4tE4rYn5y8Eup4PJTH8es"",
      ""Snapshot!A:M""
    ),
    13,
    FALSE
  ),
  0
)
"),2.0)</f>
        <v>2</v>
      </c>
    </row>
    <row r="63">
      <c r="A63" s="3" t="s">
        <v>402</v>
      </c>
      <c r="B63" s="1" t="str">
        <f>IFERROR(__xludf.DUMMYFUNCTION("IFERROR(
  VLOOKUP(
    A63,
    IMPORTRANGE(
      ""1ZygntHC1J6IxzKbTidmOyf5nUyW4GCLurHCjexrLm_o"",
      ""HTMLキャッシュ!A:F""
    ),
    2,
    FALSE
  ),
  0
)
"),"SC")</f>
        <v>SC</v>
      </c>
      <c r="C63" s="1" t="str">
        <f>IFERROR(__xludf.DUMMYFUNCTION("IFERROR(
  VLOOKUP(
    A63,
    IMPORTRANGE(
      ""1ZygntHC1J6IxzKbTidmOyf5nUyW4GCLurHCjexrLm_o"",
      ""HTMLキャッシュ!A:F""
    ),
    5,
    FALSE
  ),
  0
)
"),"計算問題オンライン 練習チェックリストと学習ステップ")</f>
        <v>計算問題オンライン 練習チェックリストと学習ステップ</v>
      </c>
      <c r="D63" s="1" t="str">
        <f>IFERROR(__xludf.DUMMYFUNCTION("IFERROR(
  VLOOKUP(
    A63,
    IMPORTRANGE(
      ""1ZygntHC1J6IxzKbTidmOyf5nUyW4GCLurHCjexrLm_o        "",
      ""HTMLキャッシュ!A:F""
    ),
    6,
    FALSE
  ),
  0
)
"),"過去問が解けない原因を読み違い・作図・計算・時間配分で点検。家庭での振り返り手順も整理。")</f>
        <v>過去問が解けない原因を読み違い・作図・計算・時間配分で点検。家庭での振り返り手順も整理。</v>
      </c>
      <c r="E63" s="49">
        <f t="shared" ref="E63:F63" si="306">LEN(C63)</f>
        <v>26</v>
      </c>
      <c r="F63" s="49">
        <f t="shared" si="306"/>
        <v>44</v>
      </c>
      <c r="G63" s="32">
        <f>IFERROR(__xludf.DUMMYFUNCTION("IFERROR(
  VLOOKUP(
    A63,
    IMPORTRANGE(
      ""1ZygntHC1J6IxzKbTidmOyf5nUyW4GCLurHCjexrLm_o        "",
      ""HTMLキャッシュ!A:F""
    ),
    3,
    FALSE
  ),
  0
)
"),46073.61572916667)</f>
        <v>46073.61573</v>
      </c>
      <c r="H63" s="54">
        <f>IFERROR(__xludf.DUMMYFUNCTION("IFERROR(
  VLOOKUP(
    A63,
    IMPORTRANGE(
      ""1ZHMy3vVUd_0MrSduXTe1etBb1HNpAlGwQr006ljwMiM"",
      ""GSC最新!A:F""
    ),
    2,
    FALSE
  ),
  0
)
"),0.0)</f>
        <v>0</v>
      </c>
      <c r="I63" s="54">
        <f>IFERROR(__xludf.DUMMYFUNCTION("IFERROR(
  VLOOKUP(
    A63,
    IMPORTRANGE(
      ""1ZHMy3vVUd_0MrSduXTe1etBb1HNpAlGwQr006ljwMiM"",
      ""GSC最新!A:F""
    ),
    3,
    FALSE
  ),
  0
)
"),2.0)</f>
        <v>2</v>
      </c>
      <c r="J63" s="54">
        <f>IFERROR(__xludf.DUMMYFUNCTION("IFERROR(
  VLOOKUP(
    A63,
    IMPORTRANGE(
      ""1ZHMy3vVUd_0MrSduXTe1etBb1HNpAlGwQr006ljwMiM"",
      ""GSC最新!A:F""
    ),
    4,
    FALSE
  ),
  0
)
"),0.0)</f>
        <v>0</v>
      </c>
      <c r="K63" s="54">
        <f>IFERROR(__xludf.DUMMYFUNCTION("IFERROR(
  VLOOKUP(
    A63,
    IMPORTRANGE(
      ""1ZHMy3vVUd_0MrSduXTe1etBb1HNpAlGwQr006ljwMiM"",
      ""GSC最新!A:F""
    ),
    5,
    FALSE
  ),
  0
)
"),0.0)</f>
        <v>0</v>
      </c>
      <c r="L63" s="50" t="str">
        <f t="shared" ref="L63:M63" si="307">IFERROR(H63/J63,"-")</f>
        <v>-</v>
      </c>
      <c r="M63" s="50" t="str">
        <f t="shared" si="307"/>
        <v>-</v>
      </c>
      <c r="N63" s="59">
        <f>IFERROR(__xludf.DUMMYFUNCTION("IFERROR(
  VLOOKUP(
    A63,
    IMPORTRANGE(
      ""1ZHMy3vVUd_0MrSduXTe1etBb1HNpAlGwQr006ljwMiM"",
      ""GSC最新!A:R""
    ),
    7,
    FALSE
  ),
  0
)
"),8.0)</f>
        <v>8</v>
      </c>
      <c r="O63" s="59">
        <f>IFERROR(__xludf.DUMMYFUNCTION("IFERROR(
  VLOOKUP(
    A63,
    IMPORTRANGE(
      ""1ZHMy3vVUd_0MrSduXTe1etBb1HNpAlGwQr006ljwMiM"",
      ""GSC最新!A:R""
    ),
    10,
    FALSE
  ),
  0
)
"),120.0)</f>
        <v>120</v>
      </c>
      <c r="P63" s="59">
        <f>IFERROR(__xludf.DUMMYFUNCTION("IFERROR(
  VLOOKUP(
    A63,
    IMPORTRANGE(
      ""1ZHMy3vVUd_0MrSduXTe1etBb1HNpAlGwQr006ljwMiM"",
      ""GSC最新!A:R""
    ),
    13,
    FALSE
  ),
  0
)
"),0.0)</f>
        <v>0</v>
      </c>
      <c r="Q63" s="59">
        <f>IFERROR(__xludf.DUMMYFUNCTION("IFERROR(
  VLOOKUP(
    A63,
    IMPORTRANGE(
      ""1ZHMy3vVUd_0MrSduXTe1etBb1HNpAlGwQr006ljwMiM"",
      ""GSC最新!A:R""
    ),
    16,
    FALSE
  ),
  0
)
"),0.0)</f>
        <v>0</v>
      </c>
      <c r="R63" s="50" t="str">
        <f t="shared" ref="R63:S63" si="308">IFERROR(N63/P63,"-")</f>
        <v>-</v>
      </c>
      <c r="S63" s="50" t="str">
        <f t="shared" si="308"/>
        <v>-</v>
      </c>
      <c r="T63" s="60">
        <f>IFERROR(__xludf.DUMMYFUNCTION("IFERROR(
  VLOOKUP(
    A63,
    IMPORTRANGE(
      ""1ZHMy3vVUd_0MrSduXTe1etBb1HNpAlGwQr006ljwMiM"",
      ""GSC最新!A:R""
    ),
    8,
    FALSE
  ),
  0
)
"),0.0)</f>
        <v>0</v>
      </c>
      <c r="U63" s="60">
        <f>IFERROR(__xludf.DUMMYFUNCTION("IFERROR(
  VLOOKUP(
    A63,
    IMPORTRANGE(
      ""1ZHMy3vVUd_0MrSduXTe1etBb1HNpAlGwQr006ljwMiM"",
      ""GSC最新!A:R""
    ),
    11,
    FALSE
  ),
  0
)
"),0.016666666666666666)</f>
        <v>0.01666666667</v>
      </c>
      <c r="V63" s="60">
        <f>IFERROR(__xludf.DUMMYFUNCTION("IFERROR(
  VLOOKUP(
    A63,
    IMPORTRANGE(
      ""1ZHMy3vVUd_0MrSduXTe1etBb1HNpAlGwQr006ljwMiM"",
      ""GSC最新!A:R""
    ),
    14,
    FALSE
  ),
  0
)
"),0.0)</f>
        <v>0</v>
      </c>
      <c r="W63" s="60">
        <f>IFERROR(__xludf.DUMMYFUNCTION("IFERROR(
  VLOOKUP(
    A63,
    IMPORTRANGE(
      ""1ZHMy3vVUd_0MrSduXTe1etBb1HNpAlGwQr006ljwMiM"",
      ""GSC最新!A:R""
    ),
    17,
    FALSE
  ),
  0
)
"),0.0)</f>
        <v>0</v>
      </c>
      <c r="X63" s="60">
        <f t="shared" ref="X63:Y63" si="309">IFERROR(T63-V63,"-")</f>
        <v>0</v>
      </c>
      <c r="Y63" s="60">
        <f t="shared" si="309"/>
        <v>0.01666666667</v>
      </c>
      <c r="Z63" s="52">
        <f>IFERROR(__xludf.DUMMYFUNCTION("IFERROR(
  VLOOKUP(
    A63,
    IMPORTRANGE(
      ""1ZHMy3vVUd_0MrSduXTe1etBb1HNpAlGwQr006ljwMiM"",
      ""GSC最新!A:R""
    ),
    9,
    FALSE
  ),
  0
)
"),8.0)</f>
        <v>8</v>
      </c>
      <c r="AA63" s="52">
        <f>IFERROR(__xludf.DUMMYFUNCTION("IFERROR(
  VLOOKUP(
    A63,
    IMPORTRANGE(
      ""1ZHMy3vVUd_0MrSduXTe1etBb1HNpAlGwQr006ljwMiM"",
      ""GSC最新!A:R""
    ),
    12,
    FALSE
  ),
  0
)
"),8.025)</f>
        <v>8.025</v>
      </c>
      <c r="AB63" s="52" t="str">
        <f>IFERROR(__xludf.DUMMYFUNCTION("IFERROR(
  VLOOKUP(
    A63,
    IMPORTRANGE(
      ""1ZHMy3vVUd_0MrSduXTe1etBb1HNpAlGwQr006ljwMiM"",
      ""GSC最新!A:R""
    ),
    15,
    FALSE
  ),
  0
)
"),"")</f>
        <v/>
      </c>
      <c r="AC63" s="52" t="str">
        <f>IFERROR(__xludf.DUMMYFUNCTION("IFERROR(
  VLOOKUP(
    A63,
    IMPORTRANGE(
      ""1ZHMy3vVUd_0MrSduXTe1etBb1HNpAlGwQr006ljwMiM"",
      ""GSC最新!A:R""
    ),
    18,
    FALSE
  ),
  0
)
"),"")</f>
        <v/>
      </c>
      <c r="AD63" s="52">
        <f t="shared" ref="AD63:AE63" si="310">Z63-AB63</f>
        <v>8</v>
      </c>
      <c r="AE63" s="52">
        <f t="shared" si="310"/>
        <v>8.025</v>
      </c>
      <c r="AF63" s="53">
        <f>IFERROR(__xludf.DUMMYFUNCTION("IFERROR(
  VLOOKUP(
    A63,
    IMPORTRANGE(
      ""1ZHMy3vVUd_0MrSduXTe1etBb1HNpAlGwQr006ljwMiM"",
      ""GSC最新!A:F""
    ),
    6,
    FALSE
  ),
  0
)
"),46081.0)</f>
        <v>46081</v>
      </c>
      <c r="AG63" s="54">
        <f>IFERROR(__xludf.DUMMYFUNCTION("IFERROR(
  VLOOKUP(
    A63,
    IMPORTRANGE(
      ""1SCYQd7_cobOYqT0r_F0IqD4tE4rYn5y8Eup4PJTH8es"",
      ""Snapshot!A:M""
    ),
    5,
    FALSE
  ),
  ""-""
)
"),4.0)</f>
        <v>4</v>
      </c>
      <c r="AH63" s="54">
        <f>IFERROR(__xludf.DUMMYFUNCTION("IFERROR(
  VLOOKUP(
    A63,
    IMPORTRANGE(
      ""1SCYQd7_cobOYqT0r_F0IqD4tE4rYn5y8Eup4PJTH8es"",
      ""Snapshot!A:M""
    ),
    6,
    FALSE
  ),
  0
)
"),14.0)</f>
        <v>14</v>
      </c>
      <c r="AI63" s="54">
        <f>IFERROR(__xludf.DUMMYFUNCTION("IFERROR(
  VLOOKUP(
    A63,
    IMPORTRANGE(
      ""1SCYQd7_cobOYqT0r_F0IqD4tE4rYn5y8Eup4PJTH8es"",
      ""Snapshot!A:M""
    ),
    7,
    FALSE
  ),
  0
)
"),3679.0)</f>
        <v>3679</v>
      </c>
      <c r="AJ63" s="54">
        <f>IFERROR(__xludf.DUMMYFUNCTION("IFERROR(
  VLOOKUP(
    A63,
    IMPORTRANGE(
      ""1SCYQd7_cobOYqT0r_F0IqD4tE4rYn5y8Eup4PJTH8es"",
      ""Snapshot!A:M""
    ),
    8,
    FALSE
  ),
  0
)
"),1.0)</f>
        <v>1</v>
      </c>
      <c r="AK63" s="54">
        <f>IFERROR(__xludf.DUMMYFUNCTION("IFERROR(
  VLOOKUP(
    A63,
    IMPORTRANGE(
      ""1SCYQd7_cobOYqT0r_F0IqD4tE4rYn5y8Eup4PJTH8es"",
      ""Snapshot!A:M""
    ),
    9,
    FALSE
  ),
  0
)
"),1.0)</f>
        <v>1</v>
      </c>
      <c r="AL63" s="54">
        <f>IFERROR(__xludf.DUMMYFUNCTION("IFERROR(
  VLOOKUP(
    A63,
    IMPORTRANGE(
      ""1SCYQd7_cobOYqT0r_F0IqD4tE4rYn5y8Eup4PJTH8es"",
      ""Snapshot!A:M""
    ),
    13,
    FALSE
  ),
  0
)
"),2.0)</f>
        <v>2</v>
      </c>
    </row>
    <row r="64">
      <c r="A64" s="3" t="s">
        <v>403</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"),"夏井算数塾の理念と歩み 特色ある算数指導のストーリー")</f>
        <v>夏井算数塾の理念と歩み 特色ある算数指導のストーリー</v>
      </c>
      <c r="D64" s="1" t="str">
        <f>IFERROR(__xludf.DUMMYFUNCTION("IFERROR(
  VLOOKUP(
    A64,
    IMPORTRANGE(
      ""1ZygntHC1J6IxzKbTidmOyf5nUyW4GCLurHCjexrLm_o        "",
      ""HTMLキャッシュ!A:F""
    ),
    6,
    FALSE
  ),
  0
)
"),"算数の個別指導を比較中の方向け。電子黒板と授業再現プリントで板書が残り、復習が回る仕組みを解説。")</f>
        <v>算数の個別指導を比較中の方向け。電子黒板と授業再現プリントで板書が残り、復習が回る仕組みを解説。</v>
      </c>
      <c r="E64" s="49">
        <f t="shared" ref="E64:F64" si="311">LEN(C64)</f>
        <v>26</v>
      </c>
      <c r="F64" s="49">
        <f t="shared" si="311"/>
        <v>48</v>
      </c>
      <c r="G64" s="32">
        <f>IFERROR(__xludf.DUMMYFUNCTION("IFERROR(
  VLOOKUP(
    A64,
    IMPORTRANGE(
      ""1ZygntHC1J6IxzKbTidmOyf5nUyW4GCLurHCjexrLm_o        "",
      ""HTMLキャッシュ!A:F""
    ),
    3,
    FALSE
  ),
  0
)
"),46073.572118055556)</f>
        <v>46073.57212</v>
      </c>
      <c r="H64" s="54">
        <f>IFERROR(__xludf.DUMMYFUNCTION("IFERROR(
  VLOOKUP(
    A64,
    IMPORTRANGE(
      ""1ZHMy3vVUd_0MrSduXTe1etBb1HNpAlGwQr006ljwMiM"",
      ""GSC最新!A:F""
    ),
    2,
    FALSE
  ),
  0
)
"),1.0)</f>
        <v>1</v>
      </c>
      <c r="I64" s="54">
        <f>IFERROR(__xludf.DUMMYFUNCTION("IFERROR(
  VLOOKUP(
    A64,
    IMPORTRANGE(
      ""1ZHMy3vVUd_0MrSduXTe1etBb1HNpAlGwQr006ljwMiM"",
      ""GSC最新!A:F""
    ),
    3,
    FALSE
  ),
  0
)
"),2.0)</f>
        <v>2</v>
      </c>
      <c r="J64" s="54">
        <f>IFERROR(__xludf.DUMMYFUNCTION("IFERROR(
  VLOOKUP(
    A64,
    IMPORTRANGE(
      ""1ZHMy3vVUd_0MrSduXTe1etBb1HNpAlGwQr006ljwMiM"",
      ""GSC最新!A:F""
    ),
    4,
    FALSE
  ),
  0
)
"),0.0)</f>
        <v>0</v>
      </c>
      <c r="K64" s="54">
        <f>IFERROR(__xludf.DUMMYFUNCTION("IFERROR(
  VLOOKUP(
    A64,
    IMPORTRANGE(
      ""1ZHMy3vVUd_0MrSduXTe1etBb1HNpAlGwQr006ljwMiM"",
      ""GSC最新!A:F""
    ),
    5,
    FALSE
  ),
  0
)
"),0.0)</f>
        <v>0</v>
      </c>
      <c r="L64" s="50" t="str">
        <f t="shared" ref="L64:M64" si="312">IFERROR(H64/J64,"-")</f>
        <v>-</v>
      </c>
      <c r="M64" s="50" t="str">
        <f t="shared" si="312"/>
        <v>-</v>
      </c>
      <c r="N64" s="59">
        <f>IFERROR(__xludf.DUMMYFUNCTION("IFERROR(
  VLOOKUP(
    A64,
    IMPORTRANGE(
      ""1ZHMy3vVUd_0MrSduXTe1etBb1HNpAlGwQr006ljwMiM"",
      ""GSC最新!A:R""
    ),
    7,
    FALSE
  ),
  0
)
"),55.0)</f>
        <v>55</v>
      </c>
      <c r="O64" s="59">
        <f>IFERROR(__xludf.DUMMYFUNCTION("IFERROR(
  VLOOKUP(
    A64,
    IMPORTRANGE(
      ""1ZHMy3vVUd_0MrSduXTe1etBb1HNpAlGwQr006ljwMiM"",
      ""GSC最新!A:R""
    ),
    10,
    FALSE
  ),
  0
)
"),124.0)</f>
        <v>124</v>
      </c>
      <c r="P64" s="59">
        <f>IFERROR(__xludf.DUMMYFUNCTION("IFERROR(
  VLOOKUP(
    A64,
    IMPORTRANGE(
      ""1ZHMy3vVUd_0MrSduXTe1etBb1HNpAlGwQr006ljwMiM"",
      ""GSC最新!A:R""
    ),
    13,
    FALSE
  ),
  0
)
"),9.0)</f>
        <v>9</v>
      </c>
      <c r="Q64" s="59">
        <f>IFERROR(__xludf.DUMMYFUNCTION("IFERROR(
  VLOOKUP(
    A64,
    IMPORTRANGE(
      ""1ZHMy3vVUd_0MrSduXTe1etBb1HNpAlGwQr006ljwMiM"",
      ""GSC最新!A:R""
    ),
    16,
    FALSE
  ),
  0
)
"),21.0)</f>
        <v>21</v>
      </c>
      <c r="R64" s="50">
        <f t="shared" ref="R64:S64" si="313">IFERROR(N64/P64,"-")</f>
        <v>6.111111111</v>
      </c>
      <c r="S64" s="50">
        <f t="shared" si="313"/>
        <v>5.904761905</v>
      </c>
      <c r="T64" s="60">
        <f>IFERROR(__xludf.DUMMYFUNCTION("IFERROR(
  VLOOKUP(
    A64,
    IMPORTRANGE(
      ""1ZHMy3vVUd_0MrSduXTe1etBb1HNpAlGwQr006ljwMiM"",
      ""GSC最新!A:R""
    ),
    8,
    FALSE
  ),
  0
)
"),0.01818181818181818)</f>
        <v>0.01818181818</v>
      </c>
      <c r="U64" s="60">
        <f>IFERROR(__xludf.DUMMYFUNCTION("IFERROR(
  VLOOKUP(
    A64,
    IMPORTRANGE(
      ""1ZHMy3vVUd_0MrSduXTe1etBb1HNpAlGwQr006ljwMiM"",
      ""GSC最新!A:R""
    ),
    11,
    FALSE
  ),
  0
)
"),0.016129032258064516)</f>
        <v>0.01612903226</v>
      </c>
      <c r="V64" s="60">
        <f>IFERROR(__xludf.DUMMYFUNCTION("IFERROR(
  VLOOKUP(
    A64,
    IMPORTRANGE(
      ""1ZHMy3vVUd_0MrSduXTe1etBb1HNpAlGwQr006ljwMiM"",
      ""GSC最新!A:R""
    ),
    14,
    FALSE
  ),
  0
)
"),0.0)</f>
        <v>0</v>
      </c>
      <c r="W64" s="60">
        <f>IFERROR(__xludf.DUMMYFUNCTION("IFERROR(
  VLOOKUP(
    A64,
    IMPORTRANGE(
      ""1ZHMy3vVUd_0MrSduXTe1etBb1HNpAlGwQr006ljwMiM"",
      ""GSC最新!A:R""
    ),
    17,
    FALSE
  ),
  0
)
"),0.0)</f>
        <v>0</v>
      </c>
      <c r="X64" s="60">
        <f t="shared" ref="X64:Y64" si="314">IFERROR(T64-V64,"-")</f>
        <v>0.01818181818</v>
      </c>
      <c r="Y64" s="60">
        <f t="shared" si="314"/>
        <v>0.01612903226</v>
      </c>
      <c r="Z64" s="52">
        <f>IFERROR(__xludf.DUMMYFUNCTION("IFERROR(
  VLOOKUP(
    A64,
    IMPORTRANGE(
      ""1ZHMy3vVUd_0MrSduXTe1etBb1HNpAlGwQr006ljwMiM"",
      ""GSC最新!A:R""
    ),
    9,
    FALSE
  ),
  0
)
"),23.0)</f>
        <v>23</v>
      </c>
      <c r="AA64" s="52">
        <f>IFERROR(__xludf.DUMMYFUNCTION("IFERROR(
  VLOOKUP(
    A64,
    IMPORTRANGE(
      ""1ZHMy3vVUd_0MrSduXTe1etBb1HNpAlGwQr006ljwMiM"",
      ""GSC最新!A:R""
    ),
    12,
    FALSE
  ),
  0
)
"),17.93548387096774)</f>
        <v>17.93548387</v>
      </c>
      <c r="AB64" s="52">
        <f>IFERROR(__xludf.DUMMYFUNCTION("IFERROR(
  VLOOKUP(
    A64,
    IMPORTRANGE(
      ""1ZHMy3vVUd_0MrSduXTe1etBb1HNpAlGwQr006ljwMiM"",
      ""GSC最新!A:R""
    ),
    15,
    FALSE
  ),
  0
)
"),27.22222222222222)</f>
        <v>27.22222222</v>
      </c>
      <c r="AC64" s="52">
        <f>IFERROR(__xludf.DUMMYFUNCTION("IFERROR(
  VLOOKUP(
    A64,
    IMPORTRANGE(
      ""1ZHMy3vVUd_0MrSduXTe1etBb1HNpAlGwQr006ljwMiM"",
      ""GSC最新!A:R""
    ),
    18,
    FALSE
  ),
  0
)
"),15.80952380952381)</f>
        <v>15.80952381</v>
      </c>
      <c r="AD64" s="52">
        <f t="shared" ref="AD64:AE64" si="315">Z64-AB64</f>
        <v>-4.222222222</v>
      </c>
      <c r="AE64" s="52">
        <f t="shared" si="315"/>
        <v>2.125960061</v>
      </c>
      <c r="AF64" s="53">
        <f>IFERROR(__xludf.DUMMYFUNCTION("IFERROR(
  VLOOKUP(
    A64,
    IMPORTRANGE(
      ""1ZHMy3vVUd_0MrSduXTe1etBb1HNpAlGwQr006ljwMiM"",
      ""GSC最新!A:F""
    ),
    6,
    FALSE
  ),
  0
)
"),46081.0)</f>
        <v>46081</v>
      </c>
      <c r="AG64" s="54">
        <f>IFERROR(__xludf.DUMMYFUNCTION("IFERROR(
  VLOOKUP(
    A64,
    IMPORTRANGE(
      ""1SCYQd7_cobOYqT0r_F0IqD4tE4rYn5y8Eup4PJTH8es"",
      ""Snapshot!A:M""
    ),
    5,
    FALSE
  ),
  ""-""
)
"),5.0)</f>
        <v>5</v>
      </c>
      <c r="AH64" s="54">
        <f>IFERROR(__xludf.DUMMYFUNCTION("IFERROR(
  VLOOKUP(
    A64,
    IMPORTRANGE(
      ""1SCYQd7_cobOYqT0r_F0IqD4tE4rYn5y8Eup4PJTH8es"",
      ""Snapshot!A:M""
    ),
    6,
    FALSE
  ),
  0
)
"),4.0)</f>
        <v>4</v>
      </c>
      <c r="AI64" s="54">
        <f>IFERROR(__xludf.DUMMYFUNCTION("IFERROR(
  VLOOKUP(
    A64,
    IMPORTRANGE(
      ""1SCYQd7_cobOYqT0r_F0IqD4tE4rYn5y8Eup4PJTH8es"",
      ""Snapshot!A:M""
    ),
    7,
    FALSE
  ),
  0
)
"),2880.0)</f>
        <v>2880</v>
      </c>
      <c r="AJ64" s="54">
        <f>IFERROR(__xludf.DUMMYFUNCTION("IFERROR(
  VLOOKUP(
    A64,
    IMPORTRANGE(
      ""1SCYQd7_cobOYqT0r_F0IqD4tE4rYn5y8Eup4PJTH8es"",
      ""Snapshot!A:M""
    ),
    8,
    FALSE
  ),
  0
)
"),9.0)</f>
        <v>9</v>
      </c>
      <c r="AK64" s="54">
        <f>IFERROR(__xludf.DUMMYFUNCTION("IFERROR(
  VLOOKUP(
    A64,
    IMPORTRANGE(
      ""1SCYQd7_cobOYqT0r_F0IqD4tE4rYn5y8Eup4PJTH8es"",
      ""Snapshot!A:M""
    ),
    9,
    FALSE
  ),
  0
)
"),1.0)</f>
        <v>1</v>
      </c>
      <c r="AL64" s="54">
        <f>IFERROR(__xludf.DUMMYFUNCTION("IFERROR(
  VLOOKUP(
    A64,
    IMPORTRANGE(
      ""1SCYQd7_cobOYqT0r_F0IqD4tE4rYn5y8Eup4PJTH8es"",
      ""Snapshot!A:M""
    ),
    13,
    FALSE
  ),
  0
)
"),1.0)</f>
        <v>1</v>
      </c>
    </row>
    <row r="65">
      <c r="A65" s="3" t="s">
        <v>404</v>
      </c>
      <c r="B65" s="1" t="str">
        <f>IFERROR(__xludf.DUMMYFUNCTION("IFERROR(
  VLOOKUP(
    A65,
    IMPORTRANGE(
      ""1ZygntHC1J6IxzKbTidmOyf5nUyW4GCLurHCjexrLm_o"",
      ""HTMLキャッシュ!A:F""
    ),
    2,
    FALSE
  ),
  0
)
"),"MC")</f>
        <v>MC</v>
      </c>
      <c r="C65" s="1" t="str">
        <f>IFERROR(__xludf.DUMMYFUNCTION("IFERROR(
  VLOOKUP(
    A65,
    IMPORTRANGE(
      ""1ZygntHC1J6IxzKbTidmOyf5nUyW4GCLurHCjexrLm_o"",
      ""HTMLキャッシュ!A:F""
    ),
    5,
    FALSE
  ),
  0
)
"),"オンライン算数個別「ウィズ・ユー」２画面×電子黒板授業")</f>
        <v>オンライン算数個別「ウィズ・ユー」２画面×電子黒板授業</v>
      </c>
      <c r="D65" s="1" t="str">
        <f>IFERROR(__xludf.DUMMYFUNCTION("IFERROR(
  VLOOKUP(
    A65,
    IMPORTRANGE(
      ""1ZygntHC1J6IxzKbTidmOyf5nUyW4GCLurHCjexrLm_o        "",
      ""HTMLキャッシュ!A:F""
    ),
    6,
    FALSE
  ),
  0
)
"),"顔と手元を2画面で同時表示。表情もノートも見えるから、教室に近い算数個別をオンラインで再現できる指導方式です。")</f>
        <v>顔と手元を2画面で同時表示。表情もノートも見えるから、教室に近い算数個別をオンラインで再現できる指導方式です。</v>
      </c>
      <c r="E65" s="49">
        <f t="shared" ref="E65:F65" si="316">LEN(C65)</f>
        <v>27</v>
      </c>
      <c r="F65" s="49">
        <f t="shared" si="316"/>
        <v>55</v>
      </c>
      <c r="G65" s="32">
        <f>IFERROR(__xludf.DUMMYFUNCTION("IFERROR(
  VLOOKUP(
    A65,
    IMPORTRANGE(
      ""1ZygntHC1J6IxzKbTidmOyf5nUyW4GCLurHCjexrLm_o        "",
      ""HTMLキャッシュ!A:F""
    ),
    3,
    FALSE
  ),
  0
)
"),46074.5705787037)</f>
        <v>46074.57058</v>
      </c>
      <c r="H65" s="54">
        <f>IFERROR(__xludf.DUMMYFUNCTION("IFERROR(
  VLOOKUP(
    A65,
    IMPORTRANGE(
      ""1ZHMy3vVUd_0MrSduXTe1etBb1HNpAlGwQr006ljwMiM"",
      ""GSC最新!A:F""
    ),
    2,
    FALSE
  ),
  0
)
"),1.0)</f>
        <v>1</v>
      </c>
      <c r="I65" s="54">
        <f>IFERROR(__xludf.DUMMYFUNCTION("IFERROR(
  VLOOKUP(
    A65,
    IMPORTRANGE(
      ""1ZHMy3vVUd_0MrSduXTe1etBb1HNpAlGwQr006ljwMiM"",
      ""GSC最新!A:F""
    ),
    3,
    FALSE
  ),
  0
)
"),2.0)</f>
        <v>2</v>
      </c>
      <c r="J65" s="54">
        <f>IFERROR(__xludf.DUMMYFUNCTION("IFERROR(
  VLOOKUP(
    A65,
    IMPORTRANGE(
      ""1ZHMy3vVUd_0MrSduXTe1etBb1HNpAlGwQr006ljwMiM"",
      ""GSC最新!A:F""
    ),
    4,
    FALSE
  ),
  0
)
"),1.0)</f>
        <v>1</v>
      </c>
      <c r="K65" s="54">
        <f>IFERROR(__xludf.DUMMYFUNCTION("IFERROR(
  VLOOKUP(
    A65,
    IMPORTRANGE(
      ""1ZHMy3vVUd_0MrSduXTe1etBb1HNpAlGwQr006ljwMiM"",
      ""GSC最新!A:F""
    ),
    5,
    FALSE
  ),
  0
)
"),1.0)</f>
        <v>1</v>
      </c>
      <c r="L65" s="50">
        <f t="shared" ref="L65:M65" si="317">IFERROR(H65/J65,"-")</f>
        <v>1</v>
      </c>
      <c r="M65" s="50">
        <f t="shared" si="317"/>
        <v>2</v>
      </c>
      <c r="N65" s="59">
        <f>IFERROR(__xludf.DUMMYFUNCTION("IFERROR(
  VLOOKUP(
    A65,
    IMPORTRANGE(
      ""1ZHMy3vVUd_0MrSduXTe1etBb1HNpAlGwQr006ljwMiM"",
      ""GSC最新!A:R""
    ),
    7,
    FALSE
  ),
  0
)
"),31.0)</f>
        <v>31</v>
      </c>
      <c r="O65" s="59">
        <f>IFERROR(__xludf.DUMMYFUNCTION("IFERROR(
  VLOOKUP(
    A65,
    IMPORTRANGE(
      ""1ZHMy3vVUd_0MrSduXTe1etBb1HNpAlGwQr006ljwMiM"",
      ""GSC最新!A:R""
    ),
    10,
    FALSE
  ),
  0
)
"),73.0)</f>
        <v>73</v>
      </c>
      <c r="P65" s="59">
        <f>IFERROR(__xludf.DUMMYFUNCTION("IFERROR(
  VLOOKUP(
    A65,
    IMPORTRANGE(
      ""1ZHMy3vVUd_0MrSduXTe1etBb1HNpAlGwQr006ljwMiM"",
      ""GSC最新!A:R""
    ),
    13,
    FALSE
  ),
  0
)
"),10.0)</f>
        <v>10</v>
      </c>
      <c r="Q65" s="59">
        <f>IFERROR(__xludf.DUMMYFUNCTION("IFERROR(
  VLOOKUP(
    A65,
    IMPORTRANGE(
      ""1ZHMy3vVUd_0MrSduXTe1etBb1HNpAlGwQr006ljwMiM"",
      ""GSC最新!A:R""
    ),
    16,
    FALSE
  ),
  0
)
"),31.0)</f>
        <v>31</v>
      </c>
      <c r="R65" s="50">
        <f t="shared" ref="R65:S65" si="318">IFERROR(N65/P65,"-")</f>
        <v>3.1</v>
      </c>
      <c r="S65" s="50">
        <f t="shared" si="318"/>
        <v>2.35483871</v>
      </c>
      <c r="T65" s="60">
        <f>IFERROR(__xludf.DUMMYFUNCTION("IFERROR(
  VLOOKUP(
    A65,
    IMPORTRANGE(
      ""1ZHMy3vVUd_0MrSduXTe1etBb1HNpAlGwQr006ljwMiM"",
      ""GSC最新!A:R""
    ),
    8,
    FALSE
  ),
  0
)
"),0.03225806451612903)</f>
        <v>0.03225806452</v>
      </c>
      <c r="U65" s="60">
        <f>IFERROR(__xludf.DUMMYFUNCTION("IFERROR(
  VLOOKUP(
    A65,
    IMPORTRANGE(
      ""1ZHMy3vVUd_0MrSduXTe1etBb1HNpAlGwQr006ljwMiM"",
      ""GSC最新!A:R""
    ),
    11,
    FALSE
  ),
  0
)
"),0.0273972602739726)</f>
        <v>0.02739726027</v>
      </c>
      <c r="V65" s="60">
        <f>IFERROR(__xludf.DUMMYFUNCTION("IFERROR(
  VLOOKUP(
    A65,
    IMPORTRANGE(
      ""1ZHMy3vVUd_0MrSduXTe1etBb1HNpAlGwQr006ljwMiM"",
      ""GSC最新!A:R""
    ),
    14,
    FALSE
  ),
  0
)
"),0.1)</f>
        <v>0.1</v>
      </c>
      <c r="W65" s="60">
        <f>IFERROR(__xludf.DUMMYFUNCTION("IFERROR(
  VLOOKUP(
    A65,
    IMPORTRANGE(
      ""1ZHMy3vVUd_0MrSduXTe1etBb1HNpAlGwQr006ljwMiM"",
      ""GSC最新!A:R""
    ),
    17,
    FALSE
  ),
  0
)
"),0.03225806451612903)</f>
        <v>0.03225806452</v>
      </c>
      <c r="X65" s="60">
        <f t="shared" ref="X65:Y65" si="319">IFERROR(T65-V65,"-")</f>
        <v>-0.06774193548</v>
      </c>
      <c r="Y65" s="60">
        <f t="shared" si="319"/>
        <v>-0.004860804242</v>
      </c>
      <c r="Z65" s="52">
        <f>IFERROR(__xludf.DUMMYFUNCTION("IFERROR(
  VLOOKUP(
    A65,
    IMPORTRANGE(
      ""1ZHMy3vVUd_0MrSduXTe1etBb1HNpAlGwQr006ljwMiM"",
      ""GSC最新!A:R""
    ),
    9,
    FALSE
  ),
  0
)
"),15.96774193548387)</f>
        <v>15.96774194</v>
      </c>
      <c r="AA65" s="52">
        <f>IFERROR(__xludf.DUMMYFUNCTION("IFERROR(
  VLOOKUP(
    A65,
    IMPORTRANGE(
      ""1ZHMy3vVUd_0MrSduXTe1etBb1HNpAlGwQr006ljwMiM"",
      ""GSC最新!A:R""
    ),
    12,
    FALSE
  ),
  0
)
"),10.095890410958905)</f>
        <v>10.09589041</v>
      </c>
      <c r="AB65" s="52">
        <f>IFERROR(__xludf.DUMMYFUNCTION("IFERROR(
  VLOOKUP(
    A65,
    IMPORTRANGE(
      ""1ZHMy3vVUd_0MrSduXTe1etBb1HNpAlGwQr006ljwMiM"",
      ""GSC最新!A:R""
    ),
    15,
    FALSE
  ),
  0
)
"),8.6)</f>
        <v>8.6</v>
      </c>
      <c r="AC65" s="52">
        <f>IFERROR(__xludf.DUMMYFUNCTION("IFERROR(
  VLOOKUP(
    A65,
    IMPORTRANGE(
      ""1ZHMy3vVUd_0MrSduXTe1etBb1HNpAlGwQr006ljwMiM"",
      ""GSC最新!A:R""
    ),
    18,
    FALSE
  ),
  0
)
"),11.129032258064516)</f>
        <v>11.12903226</v>
      </c>
      <c r="AD65" s="52">
        <f t="shared" ref="AD65:AE65" si="320">Z65-AB65</f>
        <v>7.367741935</v>
      </c>
      <c r="AE65" s="52">
        <f t="shared" si="320"/>
        <v>-1.033141847</v>
      </c>
      <c r="AF65" s="53">
        <f>IFERROR(__xludf.DUMMYFUNCTION("IFERROR(
  VLOOKUP(
    A65,
    IMPORTRANGE(
      ""1ZHMy3vVUd_0MrSduXTe1etBb1HNpAlGwQr006ljwMiM"",
      ""GSC最新!A:F""
    ),
    6,
    FALSE
  ),
  0
)
"),46081.0)</f>
        <v>46081</v>
      </c>
      <c r="AG65" s="54">
        <f>IFERROR(__xludf.DUMMYFUNCTION("IFERROR(
  VLOOKUP(
    A65,
    IMPORTRANGE(
      ""1SCYQd7_cobOYqT0r_F0IqD4tE4rYn5y8Eup4PJTH8es"",
      ""Snapshot!A:M""
    ),
    5,
    FALSE
  ),
  ""-""
)
"),5.0)</f>
        <v>5</v>
      </c>
      <c r="AH65" s="54">
        <f>IFERROR(__xludf.DUMMYFUNCTION("IFERROR(
  VLOOKUP(
    A65,
    IMPORTRANGE(
      ""1SCYQd7_cobOYqT0r_F0IqD4tE4rYn5y8Eup4PJTH8es"",
      ""Snapshot!A:M""
    ),
    6,
    FALSE
  ),
  0
)
"),0.0)</f>
        <v>0</v>
      </c>
      <c r="AI65" s="54">
        <f>IFERROR(__xludf.DUMMYFUNCTION("IFERROR(
  VLOOKUP(
    A65,
    IMPORTRANGE(
      ""1SCYQd7_cobOYqT0r_F0IqD4tE4rYn5y8Eup4PJTH8es"",
      ""Snapshot!A:M""
    ),
    7,
    FALSE
  ),
  0
)
"),2111.0)</f>
        <v>2111</v>
      </c>
      <c r="AJ65" s="54">
        <f>IFERROR(__xludf.DUMMYFUNCTION("IFERROR(
  VLOOKUP(
    A65,
    IMPORTRANGE(
      ""1SCYQd7_cobOYqT0r_F0IqD4tE4rYn5y8Eup4PJTH8es"",
      ""Snapshot!A:M""
    ),
    8,
    FALSE
  ),
  0
)
"),9.0)</f>
        <v>9</v>
      </c>
      <c r="AK65" s="54">
        <f>IFERROR(__xludf.DUMMYFUNCTION("IFERROR(
  VLOOKUP(
    A65,
    IMPORTRANGE(
      ""1SCYQd7_cobOYqT0r_F0IqD4tE4rYn5y8Eup4PJTH8es"",
      ""Snapshot!A:M""
    ),
    9,
    FALSE
  ),
  0
)
"),1.0)</f>
        <v>1</v>
      </c>
      <c r="AL65" s="54">
        <f>IFERROR(__xludf.DUMMYFUNCTION("IFERROR(
  VLOOKUP(
    A65,
    IMPORTRANGE(
      ""1SCYQd7_cobOYqT0r_F0IqD4tE4rYn5y8Eup4PJTH8es"",
      ""Snapshot!A:M""
    ),
    13,
    FALSE
  ),
  0
)
"),1.0)</f>
        <v>1</v>
      </c>
    </row>
    <row r="66">
      <c r="A66" s="3" t="s">
        <v>405</v>
      </c>
      <c r="B66" s="1" t="str">
        <f>IFERROR(__xludf.DUMMYFUNCTION("IFERROR(
  VLOOKUP(
    A66,
    IMPORTRANGE(
      ""1ZygntHC1J6IxzKbTidmOyf5nUyW4GCLurHCjexrLm_o"",
      ""HTMLキャッシュ!A:F""
    ),
    2,
    FALSE
  ),
  0
)
"),"SC")</f>
        <v>SC</v>
      </c>
      <c r="C66" s="1" t="str">
        <f>IFERROR(__xludf.DUMMYFUNCTION("IFERROR(
  VLOOKUP(
    A66,
    IMPORTRANGE(
      ""1ZygntHC1J6IxzKbTidmOyf5nUyW4GCLurHCjexrLm_o"",
      ""HTMLキャッシュ!A:F""
    ),
    5,
    FALSE
  ),
  0
)
"),"中学受験算数 直前期の優先順位｜失点の癖を直す過程指導｜オンライン個別")</f>
        <v>中学受験算数 直前期の優先順位｜失点の癖を直す過程指導｜オンライン個別</v>
      </c>
      <c r="D66" s="1" t="str">
        <f>IFERROR(__xludf.DUMMYFUNCTION("IFERROR(
  VLOOKUP(
    A66,
    IMPORTRANGE(
      ""1ZygntHC1J6IxzKbTidmOyf5nUyW4GCLurHCjexrLm_o        "",
      ""HTMLキャッシュ!A:F""
    ),
    6,
    FALSE
  ),
  0
)
"),"入試直前は新しい知識より取りこぼし対策。手元映像でミスの瞬間を特定し、弱点パターンを類題反復で固定するオンライン算数個別の使い方を整理。")</f>
        <v>入試直前は新しい知識より取りこぼし対策。手元映像でミスの瞬間を特定し、弱点パターンを類題反復で固定するオンライン算数個別の使い方を整理。</v>
      </c>
      <c r="E66" s="49">
        <f t="shared" ref="E66:F66" si="321">LEN(C66)</f>
        <v>35</v>
      </c>
      <c r="F66" s="49">
        <f t="shared" si="321"/>
        <v>68</v>
      </c>
      <c r="G66" s="32">
        <f>IFERROR(__xludf.DUMMYFUNCTION("IFERROR(
  VLOOKUP(
    A66,
    IMPORTRANGE(
      ""1ZygntHC1J6IxzKbTidmOyf5nUyW4GCLurHCjexrLm_o        "",
      ""HTMLキャッシュ!A:F""
    ),
    3,
    FALSE
  ),
  0
)
"),46069.84921296296)</f>
        <v>46069.84921</v>
      </c>
      <c r="H66" s="54">
        <f>IFERROR(__xludf.DUMMYFUNCTION("IFERROR(
  VLOOKUP(
    A66,
    IMPORTRANGE(
      ""1ZHMy3vVUd_0MrSduXTe1etBb1HNpAlGwQr006ljwMiM"",
      ""GSC最新!A:F""
    ),
    2,
    FALSE
  ),
  0
)
"),0.0)</f>
        <v>0</v>
      </c>
      <c r="I66" s="54">
        <f>IFERROR(__xludf.DUMMYFUNCTION("IFERROR(
  VLOOKUP(
    A66,
    IMPORTRANGE(
      ""1ZHMy3vVUd_0MrSduXTe1etBb1HNpAlGwQr006ljwMiM"",
      ""GSC最新!A:F""
    ),
    3,
    FALSE
  ),
  0
)
"),2.0)</f>
        <v>2</v>
      </c>
      <c r="J66" s="54">
        <f>IFERROR(__xludf.DUMMYFUNCTION("IFERROR(
  VLOOKUP(
    A66,
    IMPORTRANGE(
      ""1ZHMy3vVUd_0MrSduXTe1etBb1HNpAlGwQr006ljwMiM"",
      ""GSC最新!A:F""
    ),
    4,
    FALSE
  ),
  0
)
"),0.0)</f>
        <v>0</v>
      </c>
      <c r="K66" s="54">
        <f>IFERROR(__xludf.DUMMYFUNCTION("IFERROR(
  VLOOKUP(
    A66,
    IMPORTRANGE(
      ""1ZHMy3vVUd_0MrSduXTe1etBb1HNpAlGwQr006ljwMiM"",
      ""GSC最新!A:F""
    ),
    5,
    FALSE
  ),
  0
)
"),0.0)</f>
        <v>0</v>
      </c>
      <c r="L66" s="50" t="str">
        <f t="shared" ref="L66:M66" si="322">IFERROR(H66/J66,"-")</f>
        <v>-</v>
      </c>
      <c r="M66" s="50" t="str">
        <f t="shared" si="322"/>
        <v>-</v>
      </c>
      <c r="N66" s="59">
        <f>IFERROR(__xludf.DUMMYFUNCTION("IFERROR(
  VLOOKUP(
    A66,
    IMPORTRANGE(
      ""1ZHMy3vVUd_0MrSduXTe1etBb1HNpAlGwQr006ljwMiM"",
      ""GSC最新!A:R""
    ),
    7,
    FALSE
  ),
  0
)
"),2.0)</f>
        <v>2</v>
      </c>
      <c r="O66" s="59">
        <f>IFERROR(__xludf.DUMMYFUNCTION("IFERROR(
  VLOOKUP(
    A66,
    IMPORTRANGE(
      ""1ZHMy3vVUd_0MrSduXTe1etBb1HNpAlGwQr006ljwMiM"",
      ""GSC最新!A:R""
    ),
    10,
    FALSE
  ),
  0
)
"),56.0)</f>
        <v>56</v>
      </c>
      <c r="P66" s="59">
        <f>IFERROR(__xludf.DUMMYFUNCTION("IFERROR(
  VLOOKUP(
    A66,
    IMPORTRANGE(
      ""1ZHMy3vVUd_0MrSduXTe1etBb1HNpAlGwQr006ljwMiM"",
      ""GSC最新!A:R""
    ),
    13,
    FALSE
  ),
  0
)
"),0.0)</f>
        <v>0</v>
      </c>
      <c r="Q66" s="59">
        <f>IFERROR(__xludf.DUMMYFUNCTION("IFERROR(
  VLOOKUP(
    A66,
    IMPORTRANGE(
      ""1ZHMy3vVUd_0MrSduXTe1etBb1HNpAlGwQr006ljwMiM"",
      ""GSC最新!A:R""
    ),
    16,
    FALSE
  ),
  0
)
"),0.0)</f>
        <v>0</v>
      </c>
      <c r="R66" s="50" t="str">
        <f t="shared" ref="R66:S66" si="323">IFERROR(N66/P66,"-")</f>
        <v>-</v>
      </c>
      <c r="S66" s="50" t="str">
        <f t="shared" si="323"/>
        <v>-</v>
      </c>
      <c r="T66" s="60">
        <f>IFERROR(__xludf.DUMMYFUNCTION("IFERROR(
  VLOOKUP(
    A66,
    IMPORTRANGE(
      ""1ZHMy3vVUd_0MrSduXTe1etBb1HNpAlGwQr006ljwMiM"",
      ""GSC最新!A:R""
    ),
    8,
    FALSE
  ),
  0
)
"),0.0)</f>
        <v>0</v>
      </c>
      <c r="U66" s="60">
        <f>IFERROR(__xludf.DUMMYFUNCTION("IFERROR(
  VLOOKUP(
    A66,
    IMPORTRANGE(
      ""1ZHMy3vVUd_0MrSduXTe1etBb1HNpAlGwQr006ljwMiM"",
      ""GSC最新!A:R""
    ),
    11,
    FALSE
  ),
  0
)
"),0.03571428571428571)</f>
        <v>0.03571428571</v>
      </c>
      <c r="V66" s="60">
        <f>IFERROR(__xludf.DUMMYFUNCTION("IFERROR(
  VLOOKUP(
    A66,
    IMPORTRANGE(
      ""1ZHMy3vVUd_0MrSduXTe1etBb1HNpAlGwQr006ljwMiM"",
      ""GSC最新!A:R""
    ),
    14,
    FALSE
  ),
  0
)
"),0.0)</f>
        <v>0</v>
      </c>
      <c r="W66" s="60">
        <f>IFERROR(__xludf.DUMMYFUNCTION("IFERROR(
  VLOOKUP(
    A66,
    IMPORTRANGE(
      ""1ZHMy3vVUd_0MrSduXTe1etBb1HNpAlGwQr006ljwMiM"",
      ""GSC最新!A:R""
    ),
    17,
    FALSE
  ),
  0
)
"),0.0)</f>
        <v>0</v>
      </c>
      <c r="X66" s="60">
        <f t="shared" ref="X66:Y66" si="324">IFERROR(T66-V66,"-")</f>
        <v>0</v>
      </c>
      <c r="Y66" s="60">
        <f t="shared" si="324"/>
        <v>0.03571428571</v>
      </c>
      <c r="Z66" s="52">
        <f>IFERROR(__xludf.DUMMYFUNCTION("IFERROR(
  VLOOKUP(
    A66,
    IMPORTRANGE(
      ""1ZHMy3vVUd_0MrSduXTe1etBb1HNpAlGwQr006ljwMiM"",
      ""GSC最新!A:R""
    ),
    9,
    FALSE
  ),
  0
)
"),9.0)</f>
        <v>9</v>
      </c>
      <c r="AA66" s="52">
        <f>IFERROR(__xludf.DUMMYFUNCTION("IFERROR(
  VLOOKUP(
    A66,
    IMPORTRANGE(
      ""1ZHMy3vVUd_0MrSduXTe1etBb1HNpAlGwQr006ljwMiM"",
      ""GSC最新!A:R""
    ),
    12,
    FALSE
  ),
  0
)
"),6.875)</f>
        <v>6.875</v>
      </c>
      <c r="AB66" s="52" t="str">
        <f>IFERROR(__xludf.DUMMYFUNCTION("IFERROR(
  VLOOKUP(
    A66,
    IMPORTRANGE(
      ""1ZHMy3vVUd_0MrSduXTe1etBb1HNpAlGwQr006ljwMiM"",
      ""GSC最新!A:R""
    ),
    15,
    FALSE
  ),
  0
)
"),"")</f>
        <v/>
      </c>
      <c r="AC66" s="52" t="str">
        <f>IFERROR(__xludf.DUMMYFUNCTION("IFERROR(
  VLOOKUP(
    A66,
    IMPORTRANGE(
      ""1ZHMy3vVUd_0MrSduXTe1etBb1HNpAlGwQr006ljwMiM"",
      ""GSC最新!A:R""
    ),
    18,
    FALSE
  ),
  0
)
"),"")</f>
        <v/>
      </c>
      <c r="AD66" s="52">
        <f t="shared" ref="AD66:AE66" si="325">Z66-AB66</f>
        <v>9</v>
      </c>
      <c r="AE66" s="52">
        <f t="shared" si="325"/>
        <v>6.875</v>
      </c>
      <c r="AF66" s="53">
        <f>IFERROR(__xludf.DUMMYFUNCTION("IFERROR(
  VLOOKUP(
    A66,
    IMPORTRANGE(
      ""1ZHMy3vVUd_0MrSduXTe1etBb1HNpAlGwQr006ljwMiM"",
      ""GSC最新!A:F""
    ),
    6,
    FALSE
  ),
  0
)
"),46081.0)</f>
        <v>46081</v>
      </c>
      <c r="AG66" s="54">
        <f>IFERROR(__xludf.DUMMYFUNCTION("IFERROR(
  VLOOKUP(
    A66,
    IMPORTRANGE(
      ""1SCYQd7_cobOYqT0r_F0IqD4tE4rYn5y8Eup4PJTH8es"",
      ""Snapshot!A:M""
    ),
    5,
    FALSE
  ),
  ""-""
)
"),6.0)</f>
        <v>6</v>
      </c>
      <c r="AH66" s="54">
        <f>IFERROR(__xludf.DUMMYFUNCTION("IFERROR(
  VLOOKUP(
    A66,
    IMPORTRANGE(
      ""1SCYQd7_cobOYqT0r_F0IqD4tE4rYn5y8Eup4PJTH8es"",
      ""Snapshot!A:M""
    ),
    6,
    FALSE
  ),
  0
)
"),16.0)</f>
        <v>16</v>
      </c>
      <c r="AI66" s="54">
        <f>IFERROR(__xludf.DUMMYFUNCTION("IFERROR(
  VLOOKUP(
    A66,
    IMPORTRANGE(
      ""1SCYQd7_cobOYqT0r_F0IqD4tE4rYn5y8Eup4PJTH8es"",
      ""Snapshot!A:M""
    ),
    7,
    FALSE
  ),
  0
)
"),6113.0)</f>
        <v>6113</v>
      </c>
      <c r="AJ66" s="54">
        <f>IFERROR(__xludf.DUMMYFUNCTION("IFERROR(
  VLOOKUP(
    A66,
    IMPORTRANGE(
      ""1SCYQd7_cobOYqT0r_F0IqD4tE4rYn5y8Eup4PJTH8es"",
      ""Snapshot!A:M""
    ),
    8,
    FALSE
  ),
  0
)
"),4.0)</f>
        <v>4</v>
      </c>
      <c r="AK66" s="54">
        <f>IFERROR(__xludf.DUMMYFUNCTION("IFERROR(
  VLOOKUP(
    A66,
    IMPORTRANGE(
      ""1SCYQd7_cobOYqT0r_F0IqD4tE4rYn5y8Eup4PJTH8es"",
      ""Snapshot!A:M""
    ),
    9,
    FALSE
  ),
  0
)
"),3.0)</f>
        <v>3</v>
      </c>
      <c r="AL66" s="54">
        <f>IFERROR(__xludf.DUMMYFUNCTION("IFERROR(
  VLOOKUP(
    A66,
    IMPORTRANGE(
      ""1SCYQd7_cobOYqT0r_F0IqD4tE4rYn5y8Eup4PJTH8es"",
      ""Snapshot!A:M""
    ),
    13,
    FALSE
  ),
  0
)
"),2.0)</f>
        <v>2</v>
      </c>
    </row>
    <row r="67">
      <c r="A67" s="1" t="s">
        <v>69</v>
      </c>
      <c r="B67" s="1" t="str">
        <f>IFERROR(__xludf.DUMMYFUNCTION("IFERROR(
  VLOOKUP(
    A67,
    IMPORTRANGE(
      ""1ZygntHC1J6IxzKbTidmOyf5nUyW4GCLurHCjexrLm_o"",
      ""HTMLキャッシュ!A:F""
    ),
    2,
    FALSE
  ),
  0
)
"),"-")</f>
        <v>-</v>
      </c>
      <c r="C67" s="1" t="str">
        <f>IFERROR(__xludf.DUMMYFUNCTION("IFERROR(
  VLOOKUP(
    A67,
    IMPORTRANGE(
      ""1ZygntHC1J6IxzKbTidmOyf5nUyW4GCLurHCjexrLm_o"",
      ""HTMLキャッシュ!A:F""
    ),
    5,
    FALSE
  ),
  0
)
"),"夏井算数塾代表が語る教育理念と指導方針")</f>
        <v>夏井算数塾代表が語る教育理念と指導方針</v>
      </c>
      <c r="D67" s="1" t="str">
        <f>IFERROR(__xludf.DUMMYFUNCTION("IFERROR(
  VLOOKUP(
    A67,
    IMPORTRANGE(
      ""1ZygntHC1J6IxzKbTidmOyf5nUyW4GCLurHCjexrLm_o        "",
      ""HTMLキャッシュ!A:F""
    ),
    6,
    FALSE
  ),
  0
)
"),"夏井算数塾の代表挨拶。「考えることの楽しさ」を重視し、偏差値や暗記に頼らない本質的な学びを提供。中学受験を通じて将来につながる力を育みます。")</f>
        <v>夏井算数塾の代表挨拶。「考えることの楽しさ」を重視し、偏差値や暗記に頼らない本質的な学びを提供。中学受験を通じて将来につながる力を育みます。</v>
      </c>
      <c r="E67" s="49">
        <f t="shared" ref="E67:F67" si="326">LEN(C67)</f>
        <v>19</v>
      </c>
      <c r="F67" s="49">
        <f t="shared" si="326"/>
        <v>70</v>
      </c>
      <c r="G67" s="32">
        <f>IFERROR(__xludf.DUMMYFUNCTION("IFERROR(
  VLOOKUP(
    A67,
    IMPORTRANGE(
      ""1ZygntHC1J6IxzKbTidmOyf5nUyW4GCLurHCjexrLm_o        "",
      ""HTMLキャッシュ!A:F""
    ),
    3,
    FALSE
  ),
  0
)
"),46073.81818287037)</f>
        <v>46073.81818</v>
      </c>
      <c r="H67" s="54">
        <f>IFERROR(__xludf.DUMMYFUNCTION("IFERROR(
  VLOOKUP(
    A67,
    IMPORTRANGE(
      ""1ZHMy3vVUd_0MrSduXTe1etBb1HNpAlGwQr006ljwMiM"",
      ""GSC最新!A:F""
    ),
    2,
    FALSE
  ),
  0
)
"),0.0)</f>
        <v>0</v>
      </c>
      <c r="I67" s="54">
        <f>IFERROR(__xludf.DUMMYFUNCTION("IFERROR(
  VLOOKUP(
    A67,
    IMPORTRANGE(
      ""1ZHMy3vVUd_0MrSduXTe1etBb1HNpAlGwQr006ljwMiM"",
      ""GSC最新!A:F""
    ),
    3,
    FALSE
  ),
  0
)
"),2.0)</f>
        <v>2</v>
      </c>
      <c r="J67" s="54">
        <f>IFERROR(__xludf.DUMMYFUNCTION("IFERROR(
  VLOOKUP(
    A67,
    IMPORTRANGE(
      ""1ZHMy3vVUd_0MrSduXTe1etBb1HNpAlGwQr006ljwMiM"",
      ""GSC最新!A:F""
    ),
    4,
    FALSE
  ),
  0
)
"),2.0)</f>
        <v>2</v>
      </c>
      <c r="K67" s="54">
        <f>IFERROR(__xludf.DUMMYFUNCTION("IFERROR(
  VLOOKUP(
    A67,
    IMPORTRANGE(
      ""1ZHMy3vVUd_0MrSduXTe1etBb1HNpAlGwQr006ljwMiM"",
      ""GSC最新!A:F""
    ),
    5,
    FALSE
  ),
  0
)
"),2.0)</f>
        <v>2</v>
      </c>
      <c r="L67" s="50">
        <f t="shared" ref="L67:M67" si="327">IFERROR(H67/J67,"-")</f>
        <v>0</v>
      </c>
      <c r="M67" s="50">
        <f t="shared" si="327"/>
        <v>1</v>
      </c>
      <c r="N67" s="59">
        <f>IFERROR(__xludf.DUMMYFUNCTION("IFERROR(
  VLOOKUP(
    A67,
    IMPORTRANGE(
      ""1ZHMy3vVUd_0MrSduXTe1etBb1HNpAlGwQr006ljwMiM"",
      ""GSC最新!A:R""
    ),
    7,
    FALSE
  ),
  0
)
"),17.0)</f>
        <v>17</v>
      </c>
      <c r="O67" s="59">
        <f>IFERROR(__xludf.DUMMYFUNCTION("IFERROR(
  VLOOKUP(
    A67,
    IMPORTRANGE(
      ""1ZHMy3vVUd_0MrSduXTe1etBb1HNpAlGwQr006ljwMiM"",
      ""GSC最新!A:R""
    ),
    10,
    FALSE
  ),
  0
)
"),49.0)</f>
        <v>49</v>
      </c>
      <c r="P67" s="59">
        <f>IFERROR(__xludf.DUMMYFUNCTION("IFERROR(
  VLOOKUP(
    A67,
    IMPORTRANGE(
      ""1ZHMy3vVUd_0MrSduXTe1etBb1HNpAlGwQr006ljwMiM"",
      ""GSC最新!A:R""
    ),
    13,
    FALSE
  ),
  0
)
"),1365.0)</f>
        <v>1365</v>
      </c>
      <c r="Q67" s="59">
        <f>IFERROR(__xludf.DUMMYFUNCTION("IFERROR(
  VLOOKUP(
    A67,
    IMPORTRANGE(
      ""1ZHMy3vVUd_0MrSduXTe1etBb1HNpAlGwQr006ljwMiM"",
      ""GSC最新!A:R""
    ),
    16,
    FALSE
  ),
  0
)
"),4747.0)</f>
        <v>4747</v>
      </c>
      <c r="R67" s="50">
        <f t="shared" ref="R67:S67" si="328">IFERROR(N67/P67,"-")</f>
        <v>0.01245421245</v>
      </c>
      <c r="S67" s="50">
        <f t="shared" si="328"/>
        <v>0.01032230883</v>
      </c>
      <c r="T67" s="60">
        <f>IFERROR(__xludf.DUMMYFUNCTION("IFERROR(
  VLOOKUP(
    A67,
    IMPORTRANGE(
      ""1ZHMy3vVUd_0MrSduXTe1etBb1HNpAlGwQr006ljwMiM"",
      ""GSC最新!A:R""
    ),
    8,
    FALSE
  ),
  0
)
"),0.0)</f>
        <v>0</v>
      </c>
      <c r="U67" s="60">
        <f>IFERROR(__xludf.DUMMYFUNCTION("IFERROR(
  VLOOKUP(
    A67,
    IMPORTRANGE(
      ""1ZHMy3vVUd_0MrSduXTe1etBb1HNpAlGwQr006ljwMiM"",
      ""GSC最新!A:R""
    ),
    11,
    FALSE
  ),
  0
)
"),0.04081632653061224)</f>
        <v>0.04081632653</v>
      </c>
      <c r="V67" s="60">
        <f>IFERROR(__xludf.DUMMYFUNCTION("IFERROR(
  VLOOKUP(
    A67,
    IMPORTRANGE(
      ""1ZHMy3vVUd_0MrSduXTe1etBb1HNpAlGwQr006ljwMiM"",
      ""GSC最新!A:R""
    ),
    14,
    FALSE
  ),
  0
)
"),0.0014652014652014652)</f>
        <v>0.001465201465</v>
      </c>
      <c r="W67" s="60">
        <f>IFERROR(__xludf.DUMMYFUNCTION("IFERROR(
  VLOOKUP(
    A67,
    IMPORTRANGE(
      ""1ZHMy3vVUd_0MrSduXTe1etBb1HNpAlGwQr006ljwMiM"",
      ""GSC最新!A:R""
    ),
    17,
    FALSE
  ),
  0
)
"),4.213187276174426E-4)</f>
        <v>0.0004213187276</v>
      </c>
      <c r="X67" s="60">
        <f t="shared" ref="X67:Y67" si="329">IFERROR(T67-V67,"-")</f>
        <v>-0.001465201465</v>
      </c>
      <c r="Y67" s="60">
        <f t="shared" si="329"/>
        <v>0.0403950078</v>
      </c>
      <c r="Z67" s="52">
        <f>IFERROR(__xludf.DUMMYFUNCTION("IFERROR(
  VLOOKUP(
    A67,
    IMPORTRANGE(
      ""1ZHMy3vVUd_0MrSduXTe1etBb1HNpAlGwQr006ljwMiM"",
      ""GSC最新!A:R""
    ),
    9,
    FALSE
  ),
  0
)
"),5.705882352941177)</f>
        <v>5.705882353</v>
      </c>
      <c r="AA67" s="52">
        <f>IFERROR(__xludf.DUMMYFUNCTION("IFERROR(
  VLOOKUP(
    A67,
    IMPORTRANGE(
      ""1ZHMy3vVUd_0MrSduXTe1etBb1HNpAlGwQr006ljwMiM"",
      ""GSC最新!A:R""
    ),
    12,
    FALSE
  ),
  0
)
"),7.673469387755102)</f>
        <v>7.673469388</v>
      </c>
      <c r="AB67" s="52">
        <f>IFERROR(__xludf.DUMMYFUNCTION("IFERROR(
  VLOOKUP(
    A67,
    IMPORTRANGE(
      ""1ZHMy3vVUd_0MrSduXTe1etBb1HNpAlGwQr006ljwMiM"",
      ""GSC最新!A:R""
    ),
    15,
    FALSE
  ),
  0
)
"),6.446886446886447)</f>
        <v>6.446886447</v>
      </c>
      <c r="AC67" s="52">
        <f>IFERROR(__xludf.DUMMYFUNCTION("IFERROR(
  VLOOKUP(
    A67,
    IMPORTRANGE(
      ""1ZHMy3vVUd_0MrSduXTe1etBb1HNpAlGwQr006ljwMiM"",
      ""GSC最新!A:R""
    ),
    18,
    FALSE
  ),
  0
)
"),5.9740888982515274)</f>
        <v>5.974088898</v>
      </c>
      <c r="AD67" s="52">
        <f t="shared" ref="AD67:AE67" si="330">Z67-AB67</f>
        <v>-0.7410040939</v>
      </c>
      <c r="AE67" s="52">
        <f t="shared" si="330"/>
        <v>1.69938049</v>
      </c>
      <c r="AF67" s="53">
        <f>IFERROR(__xludf.DUMMYFUNCTION("IFERROR(
  VLOOKUP(
    A67,
    IMPORTRANGE(
      ""1ZHMy3vVUd_0MrSduXTe1etBb1HNpAlGwQr006ljwMiM"",
      ""GSC最新!A:F""
    ),
    6,
    FALSE
  ),
  0
)
"),46081.0)</f>
        <v>46081</v>
      </c>
      <c r="AG67" s="54">
        <f>IFERROR(__xludf.DUMMYFUNCTION("IFERROR(
  VLOOKUP(
    A67,
    IMPORTRANGE(
      ""1SCYQd7_cobOYqT0r_F0IqD4tE4rYn5y8Eup4PJTH8es"",
      ""Snapshot!A:M""
    ),
    5,
    FALSE
  ),
  ""-""
)
"),3.0)</f>
        <v>3</v>
      </c>
      <c r="AH67" s="54">
        <f>IFERROR(__xludf.DUMMYFUNCTION("IFERROR(
  VLOOKUP(
    A67,
    IMPORTRANGE(
      ""1SCYQd7_cobOYqT0r_F0IqD4tE4rYn5y8Eup4PJTH8es"",
      ""Snapshot!A:M""
    ),
    6,
    FALSE
  ),
  0
)
"),14.0)</f>
        <v>14</v>
      </c>
      <c r="AI67" s="54">
        <f>IFERROR(__xludf.DUMMYFUNCTION("IFERROR(
  VLOOKUP(
    A67,
    IMPORTRANGE(
      ""1SCYQd7_cobOYqT0r_F0IqD4tE4rYn5y8Eup4PJTH8es"",
      ""Snapshot!A:M""
    ),
    7,
    FALSE
  ),
  0
)
"),3038.0)</f>
        <v>3038</v>
      </c>
      <c r="AJ67" s="54">
        <f>IFERROR(__xludf.DUMMYFUNCTION("IFERROR(
  VLOOKUP(
    A67,
    IMPORTRANGE(
      ""1SCYQd7_cobOYqT0r_F0IqD4tE4rYn5y8Eup4PJTH8es"",
      ""Snapshot!A:M""
    ),
    8,
    FALSE
  ),
  0
)
"),0.0)</f>
        <v>0</v>
      </c>
      <c r="AK67" s="54">
        <f>IFERROR(__xludf.DUMMYFUNCTION("IFERROR(
  VLOOKUP(
    A67,
    IMPORTRANGE(
      ""1SCYQd7_cobOYqT0r_F0IqD4tE4rYn5y8Eup4PJTH8es"",
      ""Snapshot!A:M""
    ),
    9,
    FALSE
  ),
  0
)
"),1.0)</f>
        <v>1</v>
      </c>
      <c r="AL67" s="54">
        <f>IFERROR(__xludf.DUMMYFUNCTION("IFERROR(
  VLOOKUP(
    A67,
    IMPORTRANGE(
      ""1SCYQd7_cobOYqT0r_F0IqD4tE4rYn5y8Eup4PJTH8es"",
      ""Snapshot!A:M""
    ),
    13,
    FALSE
  ),
  0
)
"),1.0)</f>
        <v>1</v>
      </c>
    </row>
    <row r="68">
      <c r="A68" s="3" t="s">
        <v>406</v>
      </c>
      <c r="B68" s="1" t="str">
        <f>IFERROR(__xludf.DUMMYFUNCTION("IFERROR(
  VLOOKUP(
    A68,
    IMPORTRANGE(
      ""1ZygntHC1J6IxzKbTidmOyf5nUyW4GCLurHCjexrLm_o"",
      ""HTMLキャッシュ!A:F""
    ),
    2,
    FALSE
  ),
  0
)
"),"ST")</f>
        <v>ST</v>
      </c>
      <c r="C68" s="1" t="str">
        <f>IFERROR(__xludf.DUMMYFUNCTION("IFERROR(
  VLOOKUP(
    A68,
    IMPORTRANGE(
      ""1ZygntHC1J6IxzKbTidmOyf5nUyW4GCLurHCjexrLm_o"",
      ""HTMLキャッシュ!A:F""
    ),
    5,
    FALSE
  ),
  0
)
"),"夏井算数塾の理念と指導方針｜中学受験専門の算数個別・オンライン対応")</f>
        <v>夏井算数塾の理念と指導方針｜中学受験専門の算数個別・オンライン対応</v>
      </c>
      <c r="D68" s="1" t="str">
        <f>IFERROR(__xludf.DUMMYFUNCTION("IFERROR(
  VLOOKUP(
    A68,
    IMPORTRANGE(
      ""1ZygntHC1J6IxzKbTidmOyf5nUyW4GCLurHCjexrLm_o        "",
      ""HTMLキャッシュ!A:F""
    ),
    6,
    FALSE
  ),
  0
)
"),"中学受験専門の算数塾・夏井算数塾の理念と指導方針を紹介。算数だけに特化した少人数／個別指導とオンライン対応で、苦手克服から最難関合格まで支える理由をわかりやすく解説します。")</f>
        <v>中学受験専門の算数塾・夏井算数塾の理念と指導方針を紹介。算数だけに特化した少人数／個別指導とオンライン対応で、苦手克服から最難関合格まで支える理由をわかりやすく解説します。</v>
      </c>
      <c r="E68" s="49">
        <f t="shared" ref="E68:F68" si="331">LEN(C68)</f>
        <v>33</v>
      </c>
      <c r="F68" s="49">
        <f t="shared" si="331"/>
        <v>86</v>
      </c>
      <c r="G68" s="32">
        <f>IFERROR(__xludf.DUMMYFUNCTION("IFERROR(
  VLOOKUP(
    A68,
    IMPORTRANGE(
      ""1ZygntHC1J6IxzKbTidmOyf5nUyW4GCLurHCjexrLm_o        "",
      ""HTMLキャッシュ!A:F""
    ),
    3,
    FALSE
  ),
  0
)
"),46076.655960648146)</f>
        <v>46076.65596</v>
      </c>
      <c r="H68" s="54">
        <f>IFERROR(__xludf.DUMMYFUNCTION("IFERROR(
  VLOOKUP(
    A68,
    IMPORTRANGE(
      ""1ZHMy3vVUd_0MrSduXTe1etBb1HNpAlGwQr006ljwMiM"",
      ""GSC最新!A:F""
    ),
    2,
    FALSE
  ),
  0
)
"),0.0)</f>
        <v>0</v>
      </c>
      <c r="I68" s="54">
        <f>IFERROR(__xludf.DUMMYFUNCTION("IFERROR(
  VLOOKUP(
    A68,
    IMPORTRANGE(
      ""1ZHMy3vVUd_0MrSduXTe1etBb1HNpAlGwQr006ljwMiM"",
      ""GSC最新!A:F""
    ),
    3,
    FALSE
  ),
  0
)
"),2.0)</f>
        <v>2</v>
      </c>
      <c r="J68" s="54">
        <f>IFERROR(__xludf.DUMMYFUNCTION("IFERROR(
  VLOOKUP(
    A68,
    IMPORTRANGE(
      ""1ZHMy3vVUd_0MrSduXTe1etBb1HNpAlGwQr006ljwMiM"",
      ""GSC最新!A:F""
    ),
    4,
    FALSE
  ),
  0
)
"),3.0)</f>
        <v>3</v>
      </c>
      <c r="K68" s="54">
        <f>IFERROR(__xludf.DUMMYFUNCTION("IFERROR(
  VLOOKUP(
    A68,
    IMPORTRANGE(
      ""1ZHMy3vVUd_0MrSduXTe1etBb1HNpAlGwQr006ljwMiM"",
      ""GSC最新!A:F""
    ),
    5,
    FALSE
  ),
  0
)
"),3.0)</f>
        <v>3</v>
      </c>
      <c r="L68" s="50">
        <f t="shared" ref="L68:M68" si="332">IFERROR(H68/J68,"-")</f>
        <v>0</v>
      </c>
      <c r="M68" s="50">
        <f t="shared" si="332"/>
        <v>0.6666666667</v>
      </c>
      <c r="N68" s="59">
        <f>IFERROR(__xludf.DUMMYFUNCTION("IFERROR(
  VLOOKUP(
    A68,
    IMPORTRANGE(
      ""1ZHMy3vVUd_0MrSduXTe1etBb1HNpAlGwQr006ljwMiM"",
      ""GSC最新!A:R""
    ),
    7,
    FALSE
  ),
  0
)
"),24.0)</f>
        <v>24</v>
      </c>
      <c r="O68" s="59">
        <f>IFERROR(__xludf.DUMMYFUNCTION("IFERROR(
  VLOOKUP(
    A68,
    IMPORTRANGE(
      ""1ZHMy3vVUd_0MrSduXTe1etBb1HNpAlGwQr006ljwMiM"",
      ""GSC最新!A:R""
    ),
    10,
    FALSE
  ),
  0
)
"),45.0)</f>
        <v>45</v>
      </c>
      <c r="P68" s="59">
        <f>IFERROR(__xludf.DUMMYFUNCTION("IFERROR(
  VLOOKUP(
    A68,
    IMPORTRANGE(
      ""1ZHMy3vVUd_0MrSduXTe1etBb1HNpAlGwQr006ljwMiM"",
      ""GSC最新!A:R""
    ),
    13,
    FALSE
  ),
  0
)
"),1410.0)</f>
        <v>1410</v>
      </c>
      <c r="Q68" s="59">
        <f>IFERROR(__xludf.DUMMYFUNCTION("IFERROR(
  VLOOKUP(
    A68,
    IMPORTRANGE(
      ""1ZHMy3vVUd_0MrSduXTe1etBb1HNpAlGwQr006ljwMiM"",
      ""GSC最新!A:R""
    ),
    16,
    FALSE
  ),
  0
)
"),4385.0)</f>
        <v>4385</v>
      </c>
      <c r="R68" s="50">
        <f t="shared" ref="R68:S68" si="333">IFERROR(N68/P68,"-")</f>
        <v>0.0170212766</v>
      </c>
      <c r="S68" s="50">
        <f t="shared" si="333"/>
        <v>0.0102622577</v>
      </c>
      <c r="T68" s="60">
        <f>IFERROR(__xludf.DUMMYFUNCTION("IFERROR(
  VLOOKUP(
    A68,
    IMPORTRANGE(
      ""1ZHMy3vVUd_0MrSduXTe1etBb1HNpAlGwQr006ljwMiM"",
      ""GSC最新!A:R""
    ),
    8,
    FALSE
  ),
  0
)
"),0.0)</f>
        <v>0</v>
      </c>
      <c r="U68" s="60">
        <f>IFERROR(__xludf.DUMMYFUNCTION("IFERROR(
  VLOOKUP(
    A68,
    IMPORTRANGE(
      ""1ZHMy3vVUd_0MrSduXTe1etBb1HNpAlGwQr006ljwMiM"",
      ""GSC最新!A:R""
    ),
    11,
    FALSE
  ),
  0
)
"),0.044444444444444446)</f>
        <v>0.04444444444</v>
      </c>
      <c r="V68" s="60">
        <f>IFERROR(__xludf.DUMMYFUNCTION("IFERROR(
  VLOOKUP(
    A68,
    IMPORTRANGE(
      ""1ZHMy3vVUd_0MrSduXTe1etBb1HNpAlGwQr006ljwMiM"",
      ""GSC最新!A:R""
    ),
    14,
    FALSE
  ),
  0
)
"),0.002127659574468085)</f>
        <v>0.002127659574</v>
      </c>
      <c r="W68" s="60">
        <f>IFERROR(__xludf.DUMMYFUNCTION("IFERROR(
  VLOOKUP(
    A68,
    IMPORTRANGE(
      ""1ZHMy3vVUd_0MrSduXTe1etBb1HNpAlGwQr006ljwMiM"",
      ""GSC最新!A:R""
    ),
    17,
    FALSE
  ),
  0
)
"),6.841505131128849E-4)</f>
        <v>0.0006841505131</v>
      </c>
      <c r="X68" s="60">
        <f t="shared" ref="X68:Y68" si="334">IFERROR(T68-V68,"-")</f>
        <v>-0.002127659574</v>
      </c>
      <c r="Y68" s="60">
        <f t="shared" si="334"/>
        <v>0.04376029393</v>
      </c>
      <c r="Z68" s="52">
        <f>IFERROR(__xludf.DUMMYFUNCTION("IFERROR(
  VLOOKUP(
    A68,
    IMPORTRANGE(
      ""1ZHMy3vVUd_0MrSduXTe1etBb1HNpAlGwQr006ljwMiM"",
      ""GSC最新!A:R""
    ),
    9,
    FALSE
  ),
  0
)
"),7.75)</f>
        <v>7.75</v>
      </c>
      <c r="AA68" s="52">
        <f>IFERROR(__xludf.DUMMYFUNCTION("IFERROR(
  VLOOKUP(
    A68,
    IMPORTRANGE(
      ""1ZHMy3vVUd_0MrSduXTe1etBb1HNpAlGwQr006ljwMiM"",
      ""GSC最新!A:R""
    ),
    12,
    FALSE
  ),
  0
)
"),7.088888888888889)</f>
        <v>7.088888889</v>
      </c>
      <c r="AB68" s="52">
        <f>IFERROR(__xludf.DUMMYFUNCTION("IFERROR(
  VLOOKUP(
    A68,
    IMPORTRANGE(
      ""1ZHMy3vVUd_0MrSduXTe1etBb1HNpAlGwQr006ljwMiM"",
      ""GSC最新!A:R""
    ),
    15,
    FALSE
  ),
  0
)
"),6.346808510638298)</f>
        <v>6.346808511</v>
      </c>
      <c r="AC68" s="52">
        <f>IFERROR(__xludf.DUMMYFUNCTION("IFERROR(
  VLOOKUP(
    A68,
    IMPORTRANGE(
      ""1ZHMy3vVUd_0MrSduXTe1etBb1HNpAlGwQr006ljwMiM"",
      ""GSC最新!A:R""
    ),
    18,
    FALSE
  ),
  0
)
"),6.216875712656784)</f>
        <v>6.216875713</v>
      </c>
      <c r="AD68" s="52">
        <f t="shared" ref="AD68:AE68" si="335">Z68-AB68</f>
        <v>1.403191489</v>
      </c>
      <c r="AE68" s="52">
        <f t="shared" si="335"/>
        <v>0.8720131762</v>
      </c>
      <c r="AF68" s="53">
        <f>IFERROR(__xludf.DUMMYFUNCTION("IFERROR(
  VLOOKUP(
    A68,
    IMPORTRANGE(
      ""1ZHMy3vVUd_0MrSduXTe1etBb1HNpAlGwQr006ljwMiM"",
      ""GSC最新!A:F""
    ),
    6,
    FALSE
  ),
  0
)
"),46081.0)</f>
        <v>46081</v>
      </c>
      <c r="AG68" s="54">
        <f>IFERROR(__xludf.DUMMYFUNCTION("IFERROR(
  VLOOKUP(
    A68,
    IMPORTRANGE(
      ""1SCYQd7_cobOYqT0r_F0IqD4tE4rYn5y8Eup4PJTH8es"",
      ""Snapshot!A:M""
    ),
    5,
    FALSE
  ),
  ""-""
)
"),4.0)</f>
        <v>4</v>
      </c>
      <c r="AH68" s="54">
        <f>IFERROR(__xludf.DUMMYFUNCTION("IFERROR(
  VLOOKUP(
    A68,
    IMPORTRANGE(
      ""1SCYQd7_cobOYqT0r_F0IqD4tE4rYn5y8Eup4PJTH8es"",
      ""Snapshot!A:M""
    ),
    6,
    FALSE
  ),
  0
)
"),8.0)</f>
        <v>8</v>
      </c>
      <c r="AI68" s="54">
        <f>IFERROR(__xludf.DUMMYFUNCTION("IFERROR(
  VLOOKUP(
    A68,
    IMPORTRANGE(
      ""1SCYQd7_cobOYqT0r_F0IqD4tE4rYn5y8Eup4PJTH8es"",
      ""Snapshot!A:M""
    ),
    7,
    FALSE
  ),
  0
)
"),3340.0)</f>
        <v>3340</v>
      </c>
      <c r="AJ68" s="54">
        <f>IFERROR(__xludf.DUMMYFUNCTION("IFERROR(
  VLOOKUP(
    A68,
    IMPORTRANGE(
      ""1SCYQd7_cobOYqT0r_F0IqD4tE4rYn5y8Eup4PJTH8es"",
      ""Snapshot!A:M""
    ),
    8,
    FALSE
  ),
  0
)
"),0.0)</f>
        <v>0</v>
      </c>
      <c r="AK68" s="54">
        <f>IFERROR(__xludf.DUMMYFUNCTION("IFERROR(
  VLOOKUP(
    A68,
    IMPORTRANGE(
      ""1SCYQd7_cobOYqT0r_F0IqD4tE4rYn5y8Eup4PJTH8es"",
      ""Snapshot!A:M""
    ),
    9,
    FALSE
  ),
  0
)
"),3.0)</f>
        <v>3</v>
      </c>
      <c r="AL68" s="54">
        <f>IFERROR(__xludf.DUMMYFUNCTION("IFERROR(
  VLOOKUP(
    A68,
    IMPORTRANGE(
      ""1SCYQd7_cobOYqT0r_F0IqD4tE4rYn5y8Eup4PJTH8es"",
      ""Snapshot!A:M""
    ),
    13,
    FALSE
  ),
  0
)
"),1.0)</f>
        <v>1</v>
      </c>
    </row>
    <row r="69">
      <c r="A69" s="3" t="s">
        <v>407</v>
      </c>
      <c r="B69" s="1" t="str">
        <f>IFERROR(__xludf.DUMMYFUNCTION("IFERROR(
  VLOOKUP(
    A69,
    IMPORTRANGE(
      ""1ZygntHC1J6IxzKbTidmOyf5nUyW4GCLurHCjexrLm_o"",
      ""HTMLキャッシュ!A:F""
    ),
    2,
    FALSE
  ),
  0
)
"),"MC")</f>
        <v>MC</v>
      </c>
      <c r="C69" s="1" t="str">
        <f>IFERROR(__xludf.DUMMYFUNCTION("IFERROR(
  VLOOKUP(
    A69,
    IMPORTRANGE(
      ""1ZygntHC1J6IxzKbTidmOyf5nUyW4GCLurHCjexrLm_o"",
      ""HTMLキャッシュ!A:F""
    ),
    5,
    FALSE
  ),
  0
)
"),"小5算数・Bコースで実力を伸ばす！応用問題の解法マスター")</f>
        <v>小5算数・Bコースで実力を伸ばす！応用問題の解法マスター</v>
      </c>
      <c r="D69" s="1" t="str">
        <f>IFERROR(__xludf.DUMMYFUNCTION("IFERROR(
  VLOOKUP(
    A69,
    IMPORTRANGE(
      ""1ZygntHC1J6IxzKbTidmOyf5nUyW4GCLurHCjexrLm_o        "",
      ""HTMLキャッシュ!A:F""
    ),
    6,
    FALSE
  ),
  0
)
"),"５年生後半は、中学受験算数の中でも特に「山場」になりやすい時期です。 比・割合・速さ・図形など、重要単元が出そ")</f>
        <v>５年生後半は、中学受験算数の中でも特に「山場」になりやすい時期です。 比・割合・速さ・図形など、重要単元が出そ</v>
      </c>
      <c r="E69" s="49">
        <f t="shared" ref="E69:F69" si="336">LEN(C69)</f>
        <v>28</v>
      </c>
      <c r="F69" s="49">
        <f t="shared" si="336"/>
        <v>55</v>
      </c>
      <c r="G69" s="32">
        <f>IFERROR(__xludf.DUMMYFUNCTION("IFERROR(
  VLOOKUP(
    A69,
    IMPORTRANGE(
      ""1ZygntHC1J6IxzKbTidmOyf5nUyW4GCLurHCjexrLm_o        "",
      ""HTMLキャッシュ!A:F""
    ),
    3,
    FALSE
  ),
  0
)
"),46073.69603009259)</f>
        <v>46073.69603</v>
      </c>
      <c r="H69" s="54">
        <f>IFERROR(__xludf.DUMMYFUNCTION("IFERROR(
  VLOOKUP(
    A69,
    IMPORTRANGE(
      ""1ZHMy3vVUd_0MrSduXTe1etBb1HNpAlGwQr006ljwMiM"",
      ""GSC最新!A:F""
    ),
    2,
    FALSE
  ),
  0
)
"),1.0)</f>
        <v>1</v>
      </c>
      <c r="I69" s="54">
        <f>IFERROR(__xludf.DUMMYFUNCTION("IFERROR(
  VLOOKUP(
    A69,
    IMPORTRANGE(
      ""1ZHMy3vVUd_0MrSduXTe1etBb1HNpAlGwQr006ljwMiM"",
      ""GSC最新!A:F""
    ),
    3,
    FALSE
  ),
  0
)
"),2.0)</f>
        <v>2</v>
      </c>
      <c r="J69" s="54">
        <f>IFERROR(__xludf.DUMMYFUNCTION("IFERROR(
  VLOOKUP(
    A69,
    IMPORTRANGE(
      ""1ZHMy3vVUd_0MrSduXTe1etBb1HNpAlGwQr006ljwMiM"",
      ""GSC最新!A:F""
    ),
    4,
    FALSE
  ),
  0
)
"),0.0)</f>
        <v>0</v>
      </c>
      <c r="K69" s="54">
        <f>IFERROR(__xludf.DUMMYFUNCTION("IFERROR(
  VLOOKUP(
    A69,
    IMPORTRANGE(
      ""1ZHMy3vVUd_0MrSduXTe1etBb1HNpAlGwQr006ljwMiM"",
      ""GSC最新!A:F""
    ),
    5,
    FALSE
  ),
  0
)
"),0.0)</f>
        <v>0</v>
      </c>
      <c r="L69" s="50" t="str">
        <f t="shared" ref="L69:M69" si="337">IFERROR(H69/J69,"-")</f>
        <v>-</v>
      </c>
      <c r="M69" s="50" t="str">
        <f t="shared" si="337"/>
        <v>-</v>
      </c>
      <c r="N69" s="59">
        <f>IFERROR(__xludf.DUMMYFUNCTION("IFERROR(
  VLOOKUP(
    A69,
    IMPORTRANGE(
      ""1ZHMy3vVUd_0MrSduXTe1etBb1HNpAlGwQr006ljwMiM"",
      ""GSC最新!A:R""
    ),
    7,
    FALSE
  ),
  0
)
"),3.0)</f>
        <v>3</v>
      </c>
      <c r="O69" s="59">
        <f>IFERROR(__xludf.DUMMYFUNCTION("IFERROR(
  VLOOKUP(
    A69,
    IMPORTRANGE(
      ""1ZHMy3vVUd_0MrSduXTe1etBb1HNpAlGwQr006ljwMiM"",
      ""GSC最新!A:R""
    ),
    10,
    FALSE
  ),
  0
)
"),23.0)</f>
        <v>23</v>
      </c>
      <c r="P69" s="59">
        <f>IFERROR(__xludf.DUMMYFUNCTION("IFERROR(
  VLOOKUP(
    A69,
    IMPORTRANGE(
      ""1ZHMy3vVUd_0MrSduXTe1etBb1HNpAlGwQr006ljwMiM"",
      ""GSC最新!A:R""
    ),
    13,
    FALSE
  ),
  0
)
"),0.0)</f>
        <v>0</v>
      </c>
      <c r="Q69" s="59">
        <f>IFERROR(__xludf.DUMMYFUNCTION("IFERROR(
  VLOOKUP(
    A69,
    IMPORTRANGE(
      ""1ZHMy3vVUd_0MrSduXTe1etBb1HNpAlGwQr006ljwMiM"",
      ""GSC最新!A:R""
    ),
    16,
    FALSE
  ),
  0
)
"),1.0)</f>
        <v>1</v>
      </c>
      <c r="R69" s="50" t="str">
        <f t="shared" ref="R69:S69" si="338">IFERROR(N69/P69,"-")</f>
        <v>-</v>
      </c>
      <c r="S69" s="50">
        <f t="shared" si="338"/>
        <v>23</v>
      </c>
      <c r="T69" s="60">
        <f>IFERROR(__xludf.DUMMYFUNCTION("IFERROR(
  VLOOKUP(
    A69,
    IMPORTRANGE(
      ""1ZHMy3vVUd_0MrSduXTe1etBb1HNpAlGwQr006ljwMiM"",
      ""GSC最新!A:R""
    ),
    8,
    FALSE
  ),
  0
)
"),0.3333333333333333)</f>
        <v>0.3333333333</v>
      </c>
      <c r="U69" s="60">
        <f>IFERROR(__xludf.DUMMYFUNCTION("IFERROR(
  VLOOKUP(
    A69,
    IMPORTRANGE(
      ""1ZHMy3vVUd_0MrSduXTe1etBb1HNpAlGwQr006ljwMiM"",
      ""GSC最新!A:R""
    ),
    11,
    FALSE
  ),
  0
)
"),0.08695652173913043)</f>
        <v>0.08695652174</v>
      </c>
      <c r="V69" s="60">
        <f>IFERROR(__xludf.DUMMYFUNCTION("IFERROR(
  VLOOKUP(
    A69,
    IMPORTRANGE(
      ""1ZHMy3vVUd_0MrSduXTe1etBb1HNpAlGwQr006ljwMiM"",
      ""GSC最新!A:R""
    ),
    14,
    FALSE
  ),
  0
)
"),0.0)</f>
        <v>0</v>
      </c>
      <c r="W69" s="60">
        <f>IFERROR(__xludf.DUMMYFUNCTION("IFERROR(
  VLOOKUP(
    A69,
    IMPORTRANGE(
      ""1ZHMy3vVUd_0MrSduXTe1etBb1HNpAlGwQr006ljwMiM"",
      ""GSC最新!A:R""
    ),
    17,
    FALSE
  ),
  0
)
"),0.0)</f>
        <v>0</v>
      </c>
      <c r="X69" s="60">
        <f t="shared" ref="X69:Y69" si="339">IFERROR(T69-V69,"-")</f>
        <v>0.3333333333</v>
      </c>
      <c r="Y69" s="60">
        <f t="shared" si="339"/>
        <v>0.08695652174</v>
      </c>
      <c r="Z69" s="52">
        <f>IFERROR(__xludf.DUMMYFUNCTION("IFERROR(
  VLOOKUP(
    A69,
    IMPORTRANGE(
      ""1ZHMy3vVUd_0MrSduXTe1etBb1HNpAlGwQr006ljwMiM"",
      ""GSC最新!A:R""
    ),
    9,
    FALSE
  ),
  0
)
"),6.0)</f>
        <v>6</v>
      </c>
      <c r="AA69" s="52">
        <f>IFERROR(__xludf.DUMMYFUNCTION("IFERROR(
  VLOOKUP(
    A69,
    IMPORTRANGE(
      ""1ZHMy3vVUd_0MrSduXTe1etBb1HNpAlGwQr006ljwMiM"",
      ""GSC最新!A:R""
    ),
    12,
    FALSE
  ),
  0
)
"),6.260869565217392)</f>
        <v>6.260869565</v>
      </c>
      <c r="AB69" s="52" t="str">
        <f>IFERROR(__xludf.DUMMYFUNCTION("IFERROR(
  VLOOKUP(
    A69,
    IMPORTRANGE(
      ""1ZHMy3vVUd_0MrSduXTe1etBb1HNpAlGwQr006ljwMiM"",
      ""GSC最新!A:R""
    ),
    15,
    FALSE
  ),
  0
)
"),"")</f>
        <v/>
      </c>
      <c r="AC69" s="52">
        <f>IFERROR(__xludf.DUMMYFUNCTION("IFERROR(
  VLOOKUP(
    A69,
    IMPORTRANGE(
      ""1ZHMy3vVUd_0MrSduXTe1etBb1HNpAlGwQr006ljwMiM"",
      ""GSC最新!A:R""
    ),
    18,
    FALSE
  ),
  0
)
"),22.0)</f>
        <v>22</v>
      </c>
      <c r="AD69" s="52">
        <f t="shared" ref="AD69:AE69" si="340">Z69-AB69</f>
        <v>6</v>
      </c>
      <c r="AE69" s="52">
        <f t="shared" si="340"/>
        <v>-15.73913043</v>
      </c>
      <c r="AF69" s="53">
        <f>IFERROR(__xludf.DUMMYFUNCTION("IFERROR(
  VLOOKUP(
    A69,
    IMPORTRANGE(
      ""1ZHMy3vVUd_0MrSduXTe1etBb1HNpAlGwQr006ljwMiM"",
      ""GSC最新!A:F""
    ),
    6,
    FALSE
  ),
  0
)
"),46081.0)</f>
        <v>46081</v>
      </c>
      <c r="AG69" s="54">
        <f>IFERROR(__xludf.DUMMYFUNCTION("IFERROR(
  VLOOKUP(
    A69,
    IMPORTRANGE(
      ""1SCYQd7_cobOYqT0r_F0IqD4tE4rYn5y8Eup4PJTH8es"",
      ""Snapshot!A:M""
    ),
    5,
    FALSE
  ),
  ""-""
)
"),3.0)</f>
        <v>3</v>
      </c>
      <c r="AH69" s="54">
        <f>IFERROR(__xludf.DUMMYFUNCTION("IFERROR(
  VLOOKUP(
    A69,
    IMPORTRANGE(
      ""1SCYQd7_cobOYqT0r_F0IqD4tE4rYn5y8Eup4PJTH8es"",
      ""Snapshot!A:M""
    ),
    6,
    FALSE
  ),
  0
)
"),0.0)</f>
        <v>0</v>
      </c>
      <c r="AI69" s="54">
        <f>IFERROR(__xludf.DUMMYFUNCTION("IFERROR(
  VLOOKUP(
    A69,
    IMPORTRANGE(
      ""1SCYQd7_cobOYqT0r_F0IqD4tE4rYn5y8Eup4PJTH8es"",
      ""Snapshot!A:M""
    ),
    7,
    FALSE
  ),
  0
)
"),1819.0)</f>
        <v>1819</v>
      </c>
      <c r="AJ69" s="54">
        <f>IFERROR(__xludf.DUMMYFUNCTION("IFERROR(
  VLOOKUP(
    A69,
    IMPORTRANGE(
      ""1SCYQd7_cobOYqT0r_F0IqD4tE4rYn5y8Eup4PJTH8es"",
      ""Snapshot!A:M""
    ),
    8,
    FALSE
  ),
  0
)
"),4.0)</f>
        <v>4</v>
      </c>
      <c r="AK69" s="54">
        <f>IFERROR(__xludf.DUMMYFUNCTION("IFERROR(
  VLOOKUP(
    A69,
    IMPORTRANGE(
      ""1SCYQd7_cobOYqT0r_F0IqD4tE4rYn5y8Eup4PJTH8es"",
      ""Snapshot!A:M""
    ),
    9,
    FALSE
  ),
  0
)
"),3.0)</f>
        <v>3</v>
      </c>
      <c r="AL69" s="54">
        <f>IFERROR(__xludf.DUMMYFUNCTION("IFERROR(
  VLOOKUP(
    A69,
    IMPORTRANGE(
      ""1SCYQd7_cobOYqT0r_F0IqD4tE4rYn5y8Eup4PJTH8es"",
      ""Snapshot!A:M""
    ),
    13,
    FALSE
  ),
  0
)
"),1.0)</f>
        <v>1</v>
      </c>
    </row>
    <row r="70">
      <c r="A70" s="3" t="s">
        <v>408</v>
      </c>
      <c r="B70" s="1" t="str">
        <f>IFERROR(__xludf.DUMMYFUNCTION("IFERROR(
  VLOOKUP(
    A70,
    IMPORTRANGE(
      ""1ZygntHC1J6IxzKbTidmOyf5nUyW4GCLurHCjexrLm_o"",
      ""HTMLキャッシュ!A:F""
    ),
    2,
    FALSE
  ),
  0
)
"),"SC")</f>
        <v>SC</v>
      </c>
      <c r="C70" s="1" t="str">
        <f>IFERROR(__xludf.DUMMYFUNCTION("IFERROR(
  VLOOKUP(
    A70,
    IMPORTRANGE(
      ""1ZygntHC1J6IxzKbTidmOyf5nUyW4GCLurHCjexrLm_o"",
      ""HTMLキャッシュ!A:F""
    ),
    5,
    FALSE
  ),
  0
)
"),"中学受験はオンライン算数 個別指導が新定番？──通塾とどう違うか・自宅で伸ばす算数対策 - 中学受験専門 夏井算数塾")</f>
        <v>中学受験はオンライン算数 個別指導が新定番？──通塾とどう違うか・自宅で伸ばす算数対策 - 中学受験専門 夏井算数塾</v>
      </c>
      <c r="D70" s="1" t="str">
        <f>IFERROR(__xludf.DUMMYFUNCTION("IFERROR(
  VLOOKUP(
    A70,
    IMPORTRANGE(
      ""1ZygntHC1J6IxzKbTidmOyf5nUyW4GCLurHCjexrLm_o        "",
      ""HTMLキャッシュ!A:F""
    ),
    6,
    FALSE
  ),
  0
)
"),"中学受験の算数、塾だけで大丈夫か不安な保護者向けガイド。通塾・家庭教師・オンライン算数 個別指導を比較し、自宅で学べる中学受験算数オンラインのメリット、時間と費用の違い、弱点補強と学習習慣化のステップまで具体的に解説します。")</f>
        <v>中学受験の算数、塾だけで大丈夫か不安な保護者向けガイド。通塾・家庭教師・オンライン算数 個別指導を比較し、自宅で学べる中学受験算数オンラインのメリット、時間と費用の違い、弱点補強と学習習慣化のステップまで具体的に解説します。</v>
      </c>
      <c r="E70" s="49">
        <f t="shared" ref="E70:F70" si="341">LEN(C70)</f>
        <v>58</v>
      </c>
      <c r="F70" s="49">
        <f t="shared" si="341"/>
        <v>112</v>
      </c>
      <c r="G70" s="32">
        <f>IFERROR(__xludf.DUMMYFUNCTION("IFERROR(
  VLOOKUP(
    A70,
    IMPORTRANGE(
      ""1ZygntHC1J6IxzKbTidmOyf5nUyW4GCLurHCjexrLm_o        "",
      ""HTMLキャッシュ!A:F""
    ),
    3,
    FALSE
  ),
  0
)
"),46069.773518518516)</f>
        <v>46069.77352</v>
      </c>
      <c r="H70" s="54">
        <f>IFERROR(__xludf.DUMMYFUNCTION("IFERROR(
  VLOOKUP(
    A70,
    IMPORTRANGE(
      ""1ZHMy3vVUd_0MrSduXTe1etBb1HNpAlGwQr006ljwMiM"",
      ""GSC最新!A:F""
    ),
    2,
    FALSE
  ),
  0
)
"),0.0)</f>
        <v>0</v>
      </c>
      <c r="I70" s="54">
        <f>IFERROR(__xludf.DUMMYFUNCTION("IFERROR(
  VLOOKUP(
    A70,
    IMPORTRANGE(
      ""1ZHMy3vVUd_0MrSduXTe1etBb1HNpAlGwQr006ljwMiM"",
      ""GSC最新!A:F""
    ),
    3,
    FALSE
  ),
  0
)
"),2.0)</f>
        <v>2</v>
      </c>
      <c r="J70" s="54">
        <f>IFERROR(__xludf.DUMMYFUNCTION("IFERROR(
  VLOOKUP(
    A70,
    IMPORTRANGE(
      ""1ZHMy3vVUd_0MrSduXTe1etBb1HNpAlGwQr006ljwMiM"",
      ""GSC最新!A:F""
    ),
    4,
    FALSE
  ),
  0
)
"),0.0)</f>
        <v>0</v>
      </c>
      <c r="K70" s="54">
        <f>IFERROR(__xludf.DUMMYFUNCTION("IFERROR(
  VLOOKUP(
    A70,
    IMPORTRANGE(
      ""1ZHMy3vVUd_0MrSduXTe1etBb1HNpAlGwQr006ljwMiM"",
      ""GSC最新!A:F""
    ),
    5,
    FALSE
  ),
  0
)
"),0.0)</f>
        <v>0</v>
      </c>
      <c r="L70" s="50" t="str">
        <f t="shared" ref="L70:M70" si="342">IFERROR(H70/J70,"-")</f>
        <v>-</v>
      </c>
      <c r="M70" s="50" t="str">
        <f t="shared" si="342"/>
        <v>-</v>
      </c>
      <c r="N70" s="59">
        <f>IFERROR(__xludf.DUMMYFUNCTION("IFERROR(
  VLOOKUP(
    A70,
    IMPORTRANGE(
      ""1ZHMy3vVUd_0MrSduXTe1etBb1HNpAlGwQr006ljwMiM"",
      ""GSC最新!A:R""
    ),
    7,
    FALSE
  ),
  0
)
"),1.0)</f>
        <v>1</v>
      </c>
      <c r="O70" s="59">
        <f>IFERROR(__xludf.DUMMYFUNCTION("IFERROR(
  VLOOKUP(
    A70,
    IMPORTRANGE(
      ""1ZHMy3vVUd_0MrSduXTe1etBb1HNpAlGwQr006ljwMiM"",
      ""GSC最新!A:R""
    ),
    10,
    FALSE
  ),
  0
)
"),22.0)</f>
        <v>22</v>
      </c>
      <c r="P70" s="59">
        <f>IFERROR(__xludf.DUMMYFUNCTION("IFERROR(
  VLOOKUP(
    A70,
    IMPORTRANGE(
      ""1ZHMy3vVUd_0MrSduXTe1etBb1HNpAlGwQr006ljwMiM"",
      ""GSC最新!A:R""
    ),
    13,
    FALSE
  ),
  0
)
"),0.0)</f>
        <v>0</v>
      </c>
      <c r="Q70" s="59">
        <f>IFERROR(__xludf.DUMMYFUNCTION("IFERROR(
  VLOOKUP(
    A70,
    IMPORTRANGE(
      ""1ZHMy3vVUd_0MrSduXTe1etBb1HNpAlGwQr006ljwMiM"",
      ""GSC最新!A:R""
    ),
    16,
    FALSE
  ),
  0
)
"),0.0)</f>
        <v>0</v>
      </c>
      <c r="R70" s="50" t="str">
        <f t="shared" ref="R70:S70" si="343">IFERROR(N70/P70,"-")</f>
        <v>-</v>
      </c>
      <c r="S70" s="50" t="str">
        <f t="shared" si="343"/>
        <v>-</v>
      </c>
      <c r="T70" s="60">
        <f>IFERROR(__xludf.DUMMYFUNCTION("IFERROR(
  VLOOKUP(
    A70,
    IMPORTRANGE(
      ""1ZHMy3vVUd_0MrSduXTe1etBb1HNpAlGwQr006ljwMiM"",
      ""GSC最新!A:R""
    ),
    8,
    FALSE
  ),
  0
)
"),0.0)</f>
        <v>0</v>
      </c>
      <c r="U70" s="60">
        <f>IFERROR(__xludf.DUMMYFUNCTION("IFERROR(
  VLOOKUP(
    A70,
    IMPORTRANGE(
      ""1ZHMy3vVUd_0MrSduXTe1etBb1HNpAlGwQr006ljwMiM"",
      ""GSC最新!A:R""
    ),
    11,
    FALSE
  ),
  0
)
"),0.09090909090909091)</f>
        <v>0.09090909091</v>
      </c>
      <c r="V70" s="60">
        <f>IFERROR(__xludf.DUMMYFUNCTION("IFERROR(
  VLOOKUP(
    A70,
    IMPORTRANGE(
      ""1ZHMy3vVUd_0MrSduXTe1etBb1HNpAlGwQr006ljwMiM"",
      ""GSC最新!A:R""
    ),
    14,
    FALSE
  ),
  0
)
"),0.0)</f>
        <v>0</v>
      </c>
      <c r="W70" s="60">
        <f>IFERROR(__xludf.DUMMYFUNCTION("IFERROR(
  VLOOKUP(
    A70,
    IMPORTRANGE(
      ""1ZHMy3vVUd_0MrSduXTe1etBb1HNpAlGwQr006ljwMiM"",
      ""GSC最新!A:R""
    ),
    17,
    FALSE
  ),
  0
)
"),0.0)</f>
        <v>0</v>
      </c>
      <c r="X70" s="60">
        <f t="shared" ref="X70:Y70" si="344">IFERROR(T70-V70,"-")</f>
        <v>0</v>
      </c>
      <c r="Y70" s="60">
        <f t="shared" si="344"/>
        <v>0.09090909091</v>
      </c>
      <c r="Z70" s="52">
        <f>IFERROR(__xludf.DUMMYFUNCTION("IFERROR(
  VLOOKUP(
    A70,
    IMPORTRANGE(
      ""1ZHMy3vVUd_0MrSduXTe1etBb1HNpAlGwQr006ljwMiM"",
      ""GSC最新!A:R""
    ),
    9,
    FALSE
  ),
  0
)
"),10.0)</f>
        <v>10</v>
      </c>
      <c r="AA70" s="52">
        <f>IFERROR(__xludf.DUMMYFUNCTION("IFERROR(
  VLOOKUP(
    A70,
    IMPORTRANGE(
      ""1ZHMy3vVUd_0MrSduXTe1etBb1HNpAlGwQr006ljwMiM"",
      ""GSC最新!A:R""
    ),
    12,
    FALSE
  ),
  0
)
"),20.40909090909091)</f>
        <v>20.40909091</v>
      </c>
      <c r="AB70" s="52" t="str">
        <f>IFERROR(__xludf.DUMMYFUNCTION("IFERROR(
  VLOOKUP(
    A70,
    IMPORTRANGE(
      ""1ZHMy3vVUd_0MrSduXTe1etBb1HNpAlGwQr006ljwMiM"",
      ""GSC最新!A:R""
    ),
    15,
    FALSE
  ),
  0
)
"),"")</f>
        <v/>
      </c>
      <c r="AC70" s="52" t="str">
        <f>IFERROR(__xludf.DUMMYFUNCTION("IFERROR(
  VLOOKUP(
    A70,
    IMPORTRANGE(
      ""1ZHMy3vVUd_0MrSduXTe1etBb1HNpAlGwQr006ljwMiM"",
      ""GSC最新!A:R""
    ),
    18,
    FALSE
  ),
  0
)
"),"")</f>
        <v/>
      </c>
      <c r="AD70" s="52">
        <f t="shared" ref="AD70:AE70" si="345">Z70-AB70</f>
        <v>10</v>
      </c>
      <c r="AE70" s="52">
        <f t="shared" si="345"/>
        <v>20.40909091</v>
      </c>
      <c r="AF70" s="53">
        <f>IFERROR(__xludf.DUMMYFUNCTION("IFERROR(
  VLOOKUP(
    A70,
    IMPORTRANGE(
      ""1ZHMy3vVUd_0MrSduXTe1etBb1HNpAlGwQr006ljwMiM"",
      ""GSC最新!A:F""
    ),
    6,
    FALSE
  ),
  0
)
"),46081.0)</f>
        <v>46081</v>
      </c>
      <c r="AG70" s="54">
        <f>IFERROR(__xludf.DUMMYFUNCTION("IFERROR(
  VLOOKUP(
    A70,
    IMPORTRANGE(
      ""1SCYQd7_cobOYqT0r_F0IqD4tE4rYn5y8Eup4PJTH8es"",
      ""Snapshot!A:M""
    ),
    5,
    FALSE
  ),
  ""-""
)
"),9.0)</f>
        <v>9</v>
      </c>
      <c r="AH70" s="54">
        <f>IFERROR(__xludf.DUMMYFUNCTION("IFERROR(
  VLOOKUP(
    A70,
    IMPORTRANGE(
      ""1SCYQd7_cobOYqT0r_F0IqD4tE4rYn5y8Eup4PJTH8es"",
      ""Snapshot!A:M""
    ),
    6,
    FALSE
  ),
  0
)
"),8.0)</f>
        <v>8</v>
      </c>
      <c r="AI70" s="54">
        <f>IFERROR(__xludf.DUMMYFUNCTION("IFERROR(
  VLOOKUP(
    A70,
    IMPORTRANGE(
      ""1SCYQd7_cobOYqT0r_F0IqD4tE4rYn5y8Eup4PJTH8es"",
      ""Snapshot!A:M""
    ),
    7,
    FALSE
  ),
  0
)
"),4846.0)</f>
        <v>4846</v>
      </c>
      <c r="AJ70" s="54">
        <f>IFERROR(__xludf.DUMMYFUNCTION("IFERROR(
  VLOOKUP(
    A70,
    IMPORTRANGE(
      ""1SCYQd7_cobOYqT0r_F0IqD4tE4rYn5y8Eup4PJTH8es"",
      ""Snapshot!A:M""
    ),
    8,
    FALSE
  ),
  0
)
"),4.0)</f>
        <v>4</v>
      </c>
      <c r="AK70" s="54">
        <f>IFERROR(__xludf.DUMMYFUNCTION("IFERROR(
  VLOOKUP(
    A70,
    IMPORTRANGE(
      ""1SCYQd7_cobOYqT0r_F0IqD4tE4rYn5y8Eup4PJTH8es"",
      ""Snapshot!A:M""
    ),
    9,
    FALSE
  ),
  0
)
"),2.0)</f>
        <v>2</v>
      </c>
      <c r="AL70" s="54">
        <f>IFERROR(__xludf.DUMMYFUNCTION("IFERROR(
  VLOOKUP(
    A70,
    IMPORTRANGE(
      ""1SCYQd7_cobOYqT0r_F0IqD4tE4rYn5y8Eup4PJTH8es"",
      ""Snapshot!A:M""
    ),
    13,
    FALSE
  ),
  0
)
"),3.0)</f>
        <v>3</v>
      </c>
    </row>
    <row r="71">
      <c r="A71" s="56" t="s">
        <v>409</v>
      </c>
      <c r="B71" s="1" t="str">
        <f>IFERROR(__xludf.DUMMYFUNCTION("IFERROR(
  VLOOKUP(
    A71,
    IMPORTRANGE(
      ""1ZygntHC1J6IxzKbTidmOyf5nUyW4GCLurHCjexrLm_o"",
      ""HTMLキャッシュ!A:F""
    ),
    2,
    FALSE
  ),
  0
)
"),"MC")</f>
        <v>MC</v>
      </c>
      <c r="C71" s="1" t="str">
        <f>IFERROR(__xludf.DUMMYFUNCTION("IFERROR(
  VLOOKUP(
    A71,
    IMPORTRANGE(
      ""1ZygntHC1J6IxzKbTidmOyf5nUyW4GCLurHCjexrLm_o"",
      ""HTMLキャッシュ!A:F""
    ),
    5,
    FALSE
  ),
  0
)
"),"中学受験算数オンライン個別の選び方 - 中学受験専門 夏井算数塾")</f>
        <v>中学受験算数オンライン個別の選び方 - 中学受験専門 夏井算数塾</v>
      </c>
      <c r="D71" s="1" t="str">
        <f>IFERROR(__xludf.DUMMYFUNCTION("IFERROR(
  VLOOKUP(
    A71,
    IMPORTRANGE(
      ""1ZygntHC1J6IxzKbTidmOyf5nUyW4GCLurHCjexrLm_o        "",
      ""HTMLキャッシュ!A:F""
    ),
    6,
    FALSE
  ),
  0
)
"),"中学受験算数のオンライン個別指導を選ぶ前に。家庭教師・通塾との違い、向く子、環境準備、比較ポイントを記事別に整理。")</f>
        <v>中学受験算数のオンライン個別指導を選ぶ前に。家庭教師・通塾との違い、向く子、環境準備、比較ポイントを記事別に整理。</v>
      </c>
      <c r="E71" s="49">
        <f t="shared" ref="E71:F71" si="346">LEN(C71)</f>
        <v>32</v>
      </c>
      <c r="F71" s="49">
        <f t="shared" si="346"/>
        <v>57</v>
      </c>
      <c r="G71" s="32">
        <f>IFERROR(__xludf.DUMMYFUNCTION("IFERROR(
  VLOOKUP(
    A71,
    IMPORTRANGE(
      ""1ZygntHC1J6IxzKbTidmOyf5nUyW4GCLurHCjexrLm_o        "",
      ""HTMLキャッシュ!A:F""
    ),
    3,
    FALSE
  ),
  0
)
"),46077.73425925926)</f>
        <v>46077.73426</v>
      </c>
      <c r="H71" s="54">
        <f>IFERROR(__xludf.DUMMYFUNCTION("IFERROR(
  VLOOKUP(
    A71,
    IMPORTRANGE(
      ""1ZHMy3vVUd_0MrSduXTe1etBb1HNpAlGwQr006ljwMiM"",
      ""GSC最新!A:F""
    ),
    2,
    FALSE
  ),
  0
)
"),0.0)</f>
        <v>0</v>
      </c>
      <c r="I71" s="54">
        <f>IFERROR(__xludf.DUMMYFUNCTION("IFERROR(
  VLOOKUP(
    A71,
    IMPORTRANGE(
      ""1ZHMy3vVUd_0MrSduXTe1etBb1HNpAlGwQr006ljwMiM"",
      ""GSC最新!A:F""
    ),
    3,
    FALSE
  ),
  0
)
"),1.0)</f>
        <v>1</v>
      </c>
      <c r="J71" s="54">
        <f>IFERROR(__xludf.DUMMYFUNCTION("IFERROR(
  VLOOKUP(
    A71,
    IMPORTRANGE(
      ""1ZHMy3vVUd_0MrSduXTe1etBb1HNpAlGwQr006ljwMiM"",
      ""GSC最新!A:F""
    ),
    4,
    FALSE
  ),
  0
)
"),0.0)</f>
        <v>0</v>
      </c>
      <c r="K71" s="54">
        <f>IFERROR(__xludf.DUMMYFUNCTION("IFERROR(
  VLOOKUP(
    A71,
    IMPORTRANGE(
      ""1ZHMy3vVUd_0MrSduXTe1etBb1HNpAlGwQr006ljwMiM"",
      ""GSC最新!A:F""
    ),
    5,
    FALSE
  ),
  0
)
"),0.0)</f>
        <v>0</v>
      </c>
      <c r="L71" s="50" t="str">
        <f t="shared" ref="L71:M71" si="347">IFERROR(H71/J71,"-")</f>
        <v>-</v>
      </c>
      <c r="M71" s="50" t="str">
        <f t="shared" si="347"/>
        <v>-</v>
      </c>
      <c r="N71" s="59">
        <f>IFERROR(__xludf.DUMMYFUNCTION("IFERROR(
  VLOOKUP(
    A71,
    IMPORTRANGE(
      ""1ZHMy3vVUd_0MrSduXTe1etBb1HNpAlGwQr006ljwMiM"",
      ""GSC最新!A:R""
    ),
    7,
    FALSE
  ),
  0
)
"),148.0)</f>
        <v>148</v>
      </c>
      <c r="O71" s="59">
        <f>IFERROR(__xludf.DUMMYFUNCTION("IFERROR(
  VLOOKUP(
    A71,
    IMPORTRANGE(
      ""1ZHMy3vVUd_0MrSduXTe1etBb1HNpAlGwQr006ljwMiM"",
      ""GSC最新!A:R""
    ),
    10,
    FALSE
  ),
  0
)
"),202.0)</f>
        <v>202</v>
      </c>
      <c r="P71" s="59">
        <f>IFERROR(__xludf.DUMMYFUNCTION("IFERROR(
  VLOOKUP(
    A71,
    IMPORTRANGE(
      ""1ZHMy3vVUd_0MrSduXTe1etBb1HNpAlGwQr006ljwMiM"",
      ""GSC最新!A:R""
    ),
    13,
    FALSE
  ),
  0
)
"),0.0)</f>
        <v>0</v>
      </c>
      <c r="Q71" s="59">
        <f>IFERROR(__xludf.DUMMYFUNCTION("IFERROR(
  VLOOKUP(
    A71,
    IMPORTRANGE(
      ""1ZHMy3vVUd_0MrSduXTe1etBb1HNpAlGwQr006ljwMiM"",
      ""GSC最新!A:R""
    ),
    16,
    FALSE
  ),
  0
)
"),0.0)</f>
        <v>0</v>
      </c>
      <c r="R71" s="50" t="str">
        <f t="shared" ref="R71:S71" si="348">IFERROR(N71/P71,"-")</f>
        <v>-</v>
      </c>
      <c r="S71" s="50" t="str">
        <f t="shared" si="348"/>
        <v>-</v>
      </c>
      <c r="T71" s="60">
        <f>IFERROR(__xludf.DUMMYFUNCTION("IFERROR(
  VLOOKUP(
    A71,
    IMPORTRANGE(
      ""1ZHMy3vVUd_0MrSduXTe1etBb1HNpAlGwQr006ljwMiM"",
      ""GSC最新!A:R""
    ),
    8,
    FALSE
  ),
  0
)
"),0.0)</f>
        <v>0</v>
      </c>
      <c r="U71" s="60">
        <f>IFERROR(__xludf.DUMMYFUNCTION("IFERROR(
  VLOOKUP(
    A71,
    IMPORTRANGE(
      ""1ZHMy3vVUd_0MrSduXTe1etBb1HNpAlGwQr006ljwMiM"",
      ""GSC最新!A:R""
    ),
    11,
    FALSE
  ),
  0
)
"),0.0049504950495049506)</f>
        <v>0.00495049505</v>
      </c>
      <c r="V71" s="60">
        <f>IFERROR(__xludf.DUMMYFUNCTION("IFERROR(
  VLOOKUP(
    A71,
    IMPORTRANGE(
      ""1ZHMy3vVUd_0MrSduXTe1etBb1HNpAlGwQr006ljwMiM"",
      ""GSC最新!A:R""
    ),
    14,
    FALSE
  ),
  0
)
"),0.0)</f>
        <v>0</v>
      </c>
      <c r="W71" s="60">
        <f>IFERROR(__xludf.DUMMYFUNCTION("IFERROR(
  VLOOKUP(
    A71,
    IMPORTRANGE(
      ""1ZHMy3vVUd_0MrSduXTe1etBb1HNpAlGwQr006ljwMiM"",
      ""GSC最新!A:R""
    ),
    17,
    FALSE
  ),
  0
)
"),0.0)</f>
        <v>0</v>
      </c>
      <c r="X71" s="60">
        <f t="shared" ref="X71:Y71" si="349">IFERROR(T71-V71,"-")</f>
        <v>0</v>
      </c>
      <c r="Y71" s="60">
        <f t="shared" si="349"/>
        <v>0.00495049505</v>
      </c>
      <c r="Z71" s="52">
        <f>IFERROR(__xludf.DUMMYFUNCTION("IFERROR(
  VLOOKUP(
    A71,
    IMPORTRANGE(
      ""1ZHMy3vVUd_0MrSduXTe1etBb1HNpAlGwQr006ljwMiM"",
      ""GSC最新!A:R""
    ),
    9,
    FALSE
  ),
  0
)
"),17.62162162162162)</f>
        <v>17.62162162</v>
      </c>
      <c r="AA71" s="52">
        <f>IFERROR(__xludf.DUMMYFUNCTION("IFERROR(
  VLOOKUP(
    A71,
    IMPORTRANGE(
      ""1ZHMy3vVUd_0MrSduXTe1etBb1HNpAlGwQr006ljwMiM"",
      ""GSC最新!A:R""
    ),
    12,
    FALSE
  ),
  0
)
"),15.995049504950495)</f>
        <v>15.9950495</v>
      </c>
      <c r="AB71" s="52" t="str">
        <f>IFERROR(__xludf.DUMMYFUNCTION("IFERROR(
  VLOOKUP(
    A71,
    IMPORTRANGE(
      ""1ZHMy3vVUd_0MrSduXTe1etBb1HNpAlGwQr006ljwMiM"",
      ""GSC最新!A:R""
    ),
    15,
    FALSE
  ),
  0
)
"),"")</f>
        <v/>
      </c>
      <c r="AC71" s="52" t="str">
        <f>IFERROR(__xludf.DUMMYFUNCTION("IFERROR(
  VLOOKUP(
    A71,
    IMPORTRANGE(
      ""1ZHMy3vVUd_0MrSduXTe1etBb1HNpAlGwQr006ljwMiM"",
      ""GSC最新!A:R""
    ),
    18,
    FALSE
  ),
  0
)
"),"")</f>
        <v/>
      </c>
      <c r="AD71" s="52">
        <f t="shared" ref="AD71:AE71" si="350">Z71-AB71</f>
        <v>17.62162162</v>
      </c>
      <c r="AE71" s="52">
        <f t="shared" si="350"/>
        <v>15.9950495</v>
      </c>
      <c r="AF71" s="53">
        <f>IFERROR(__xludf.DUMMYFUNCTION("IFERROR(
  VLOOKUP(
    A71,
    IMPORTRANGE(
      ""1ZHMy3vVUd_0MrSduXTe1etBb1HNpAlGwQr006ljwMiM"",
      ""GSC最新!A:F""
    ),
    6,
    FALSE
  ),
  0
)
"),46081.0)</f>
        <v>46081</v>
      </c>
      <c r="AG71" s="54">
        <f>IFERROR(__xludf.DUMMYFUNCTION("IFERROR(
  VLOOKUP(
    A71,
    IMPORTRANGE(
      ""1SCYQd7_cobOYqT0r_F0IqD4tE4rYn5y8Eup4PJTH8es"",
      ""Snapshot!A:M""
    ),
    5,
    FALSE
  ),
  ""-""
)
"),10.0)</f>
        <v>10</v>
      </c>
      <c r="AH71" s="54">
        <f>IFERROR(__xludf.DUMMYFUNCTION("IFERROR(
  VLOOKUP(
    A71,
    IMPORTRANGE(
      ""1SCYQd7_cobOYqT0r_F0IqD4tE4rYn5y8Eup4PJTH8es"",
      ""Snapshot!A:M""
    ),
    6,
    FALSE
  ),
  0
)
"),18.0)</f>
        <v>18</v>
      </c>
      <c r="AI71" s="54">
        <f>IFERROR(__xludf.DUMMYFUNCTION("IFERROR(
  VLOOKUP(
    A71,
    IMPORTRANGE(
      ""1SCYQd7_cobOYqT0r_F0IqD4tE4rYn5y8Eup4PJTH8es"",
      ""Snapshot!A:M""
    ),
    7,
    FALSE
  ),
  0
)
"),3297.0)</f>
        <v>3297</v>
      </c>
      <c r="AJ71" s="54">
        <f>IFERROR(__xludf.DUMMYFUNCTION("IFERROR(
  VLOOKUP(
    A71,
    IMPORTRANGE(
      ""1SCYQd7_cobOYqT0r_F0IqD4tE4rYn5y8Eup4PJTH8es"",
      ""Snapshot!A:M""
    ),
    8,
    FALSE
  ),
  0
)
"),15.0)</f>
        <v>15</v>
      </c>
      <c r="AK71" s="54">
        <f>IFERROR(__xludf.DUMMYFUNCTION("IFERROR(
  VLOOKUP(
    A71,
    IMPORTRANGE(
      ""1SCYQd7_cobOYqT0r_F0IqD4tE4rYn5y8Eup4PJTH8es"",
      ""Snapshot!A:M""
    ),
    9,
    FALSE
  ),
  0
)
"),1.0)</f>
        <v>1</v>
      </c>
      <c r="AL71" s="54">
        <f>IFERROR(__xludf.DUMMYFUNCTION("IFERROR(
  VLOOKUP(
    A71,
    IMPORTRANGE(
      ""1SCYQd7_cobOYqT0r_F0IqD4tE4rYn5y8Eup4PJTH8es"",
      ""Snapshot!A:M""
    ),
    13,
    FALSE
  ),
  0
)
"),2.0)</f>
        <v>2</v>
      </c>
    </row>
    <row r="72">
      <c r="A72" s="56" t="s">
        <v>410</v>
      </c>
      <c r="B72" s="1" t="str">
        <f>IFERROR(__xludf.DUMMYFUNCTION("IFERROR(
  VLOOKUP(
    A72,
    IMPORTRANGE(
      ""1ZygntHC1J6IxzKbTidmOyf5nUyW4GCLurHCjexrLm_o"",
      ""HTMLキャッシュ!A:F""
    ),
    2,
    FALSE
  ),
  0
)
"),"MC")</f>
        <v>MC</v>
      </c>
      <c r="C72" s="1" t="str">
        <f>IFERROR(__xludf.DUMMYFUNCTION("IFERROR(
  VLOOKUP(
    A72,
    IMPORTRANGE(
      ""1ZygntHC1J6IxzKbTidmOyf5nUyW4GCLurHCjexrLm_o"",
      ""HTMLキャッシュ!A:F""
    ),
    5,
    FALSE
  ),
  0
)
"),"中学受験算数 過去問の効率的な進め方")</f>
        <v>中学受験算数 過去問の効率的な進め方</v>
      </c>
      <c r="D72" s="1" t="str">
        <f>IFERROR(__xludf.DUMMYFUNCTION("IFERROR(
  VLOOKUP(
    A72,
    IMPORTRANGE(
      ""1ZygntHC1J6IxzKbTidmOyf5nUyW4GCLurHCjexrLm_o        "",
      ""HTMLキャッシュ!A:F""
    ),
    6,
    FALSE
  ),
  0
)
"),"直前期の時間配分・捨て問・採点/直しまで。オンラインで回す手順と学校別動画解説を整理。")</f>
        <v>直前期の時間配分・捨て問・採点/直しまで。オンラインで回す手順と学校別動画解説を整理。</v>
      </c>
      <c r="E72" s="49">
        <f t="shared" ref="E72:F72" si="351">LEN(C72)</f>
        <v>18</v>
      </c>
      <c r="F72" s="49">
        <f t="shared" si="351"/>
        <v>43</v>
      </c>
      <c r="G72" s="32">
        <f>IFERROR(__xludf.DUMMYFUNCTION("IFERROR(
  VLOOKUP(
    A72,
    IMPORTRANGE(
      ""1ZygntHC1J6IxzKbTidmOyf5nUyW4GCLurHCjexrLm_o        "",
      ""HTMLキャッシュ!A:F""
    ),
    3,
    FALSE
  ),
  0
)
"),46077.72521990741)</f>
        <v>46077.72522</v>
      </c>
      <c r="H72" s="54">
        <f>IFERROR(__xludf.DUMMYFUNCTION("IFERROR(
  VLOOKUP(
    A72,
    IMPORTRANGE(
      ""1ZHMy3vVUd_0MrSduXTe1etBb1HNpAlGwQr006ljwMiM"",
      ""GSC最新!A:F""
    ),
    2,
    FALSE
  ),
  0
)
"),1.0)</f>
        <v>1</v>
      </c>
      <c r="I72" s="54">
        <f>IFERROR(__xludf.DUMMYFUNCTION("IFERROR(
  VLOOKUP(
    A72,
    IMPORTRANGE(
      ""1ZHMy3vVUd_0MrSduXTe1etBb1HNpAlGwQr006ljwMiM"",
      ""GSC最新!A:F""
    ),
    3,
    FALSE
  ),
  0
)
"),2.0)</f>
        <v>2</v>
      </c>
      <c r="J72" s="54">
        <f>IFERROR(__xludf.DUMMYFUNCTION("IFERROR(
  VLOOKUP(
    A72,
    IMPORTRANGE(
      ""1ZHMy3vVUd_0MrSduXTe1etBb1HNpAlGwQr006ljwMiM"",
      ""GSC最新!A:F""
    ),
    4,
    FALSE
  ),
  0
)
"),0.0)</f>
        <v>0</v>
      </c>
      <c r="K72" s="54">
        <f>IFERROR(__xludf.DUMMYFUNCTION("IFERROR(
  VLOOKUP(
    A72,
    IMPORTRANGE(
      ""1ZHMy3vVUd_0MrSduXTe1etBb1HNpAlGwQr006ljwMiM"",
      ""GSC最新!A:F""
    ),
    5,
    FALSE
  ),
  0
)
"),0.0)</f>
        <v>0</v>
      </c>
      <c r="L72" s="50" t="str">
        <f t="shared" ref="L72:M72" si="352">IFERROR(H72/J72,"-")</f>
        <v>-</v>
      </c>
      <c r="M72" s="50" t="str">
        <f t="shared" si="352"/>
        <v>-</v>
      </c>
      <c r="N72" s="59">
        <f>IFERROR(__xludf.DUMMYFUNCTION("IFERROR(
  VLOOKUP(
    A72,
    IMPORTRANGE(
      ""1ZHMy3vVUd_0MrSduXTe1etBb1HNpAlGwQr006ljwMiM"",
      ""GSC最新!A:R""
    ),
    7,
    FALSE
  ),
  0
)
"),109.0)</f>
        <v>109</v>
      </c>
      <c r="O72" s="59">
        <f>IFERROR(__xludf.DUMMYFUNCTION("IFERROR(
  VLOOKUP(
    A72,
    IMPORTRANGE(
      ""1ZHMy3vVUd_0MrSduXTe1etBb1HNpAlGwQr006ljwMiM"",
      ""GSC最新!A:R""
    ),
    10,
    FALSE
  ),
  0
)
"),204.0)</f>
        <v>204</v>
      </c>
      <c r="P72" s="59">
        <f>IFERROR(__xludf.DUMMYFUNCTION("IFERROR(
  VLOOKUP(
    A72,
    IMPORTRANGE(
      ""1ZHMy3vVUd_0MrSduXTe1etBb1HNpAlGwQr006ljwMiM"",
      ""GSC最新!A:R""
    ),
    13,
    FALSE
  ),
  0
)
"),0.0)</f>
        <v>0</v>
      </c>
      <c r="Q72" s="59">
        <f>IFERROR(__xludf.DUMMYFUNCTION("IFERROR(
  VLOOKUP(
    A72,
    IMPORTRANGE(
      ""1ZHMy3vVUd_0MrSduXTe1etBb1HNpAlGwQr006ljwMiM"",
      ""GSC最新!A:R""
    ),
    16,
    FALSE
  ),
  0
)
"),0.0)</f>
        <v>0</v>
      </c>
      <c r="R72" s="50" t="str">
        <f t="shared" ref="R72:S72" si="353">IFERROR(N72/P72,"-")</f>
        <v>-</v>
      </c>
      <c r="S72" s="50" t="str">
        <f t="shared" si="353"/>
        <v>-</v>
      </c>
      <c r="T72" s="60">
        <f>IFERROR(__xludf.DUMMYFUNCTION("IFERROR(
  VLOOKUP(
    A72,
    IMPORTRANGE(
      ""1ZHMy3vVUd_0MrSduXTe1etBb1HNpAlGwQr006ljwMiM"",
      ""GSC最新!A:R""
    ),
    8,
    FALSE
  ),
  0
)
"),0.009174311926605505)</f>
        <v>0.009174311927</v>
      </c>
      <c r="U72" s="60">
        <f>IFERROR(__xludf.DUMMYFUNCTION("IFERROR(
  VLOOKUP(
    A72,
    IMPORTRANGE(
      ""1ZHMy3vVUd_0MrSduXTe1etBb1HNpAlGwQr006ljwMiM"",
      ""GSC最新!A:R""
    ),
    11,
    FALSE
  ),
  0
)
"),0.00980392156862745)</f>
        <v>0.009803921569</v>
      </c>
      <c r="V72" s="60">
        <f>IFERROR(__xludf.DUMMYFUNCTION("IFERROR(
  VLOOKUP(
    A72,
    IMPORTRANGE(
      ""1ZHMy3vVUd_0MrSduXTe1etBb1HNpAlGwQr006ljwMiM"",
      ""GSC最新!A:R""
    ),
    14,
    FALSE
  ),
  0
)
"),0.0)</f>
        <v>0</v>
      </c>
      <c r="W72" s="60">
        <f>IFERROR(__xludf.DUMMYFUNCTION("IFERROR(
  VLOOKUP(
    A72,
    IMPORTRANGE(
      ""1ZHMy3vVUd_0MrSduXTe1etBb1HNpAlGwQr006ljwMiM"",
      ""GSC最新!A:R""
    ),
    17,
    FALSE
  ),
  0
)
"),0.0)</f>
        <v>0</v>
      </c>
      <c r="X72" s="60">
        <f t="shared" ref="X72:Y72" si="354">IFERROR(T72-V72,"-")</f>
        <v>0.009174311927</v>
      </c>
      <c r="Y72" s="60">
        <f t="shared" si="354"/>
        <v>0.009803921569</v>
      </c>
      <c r="Z72" s="52">
        <f>IFERROR(__xludf.DUMMYFUNCTION("IFERROR(
  VLOOKUP(
    A72,
    IMPORTRANGE(
      ""1ZHMy3vVUd_0MrSduXTe1etBb1HNpAlGwQr006ljwMiM"",
      ""GSC最新!A:R""
    ),
    9,
    FALSE
  ),
  0
)
"),9.486238532110091)</f>
        <v>9.486238532</v>
      </c>
      <c r="AA72" s="52">
        <f>IFERROR(__xludf.DUMMYFUNCTION("IFERROR(
  VLOOKUP(
    A72,
    IMPORTRANGE(
      ""1ZHMy3vVUd_0MrSduXTe1etBb1HNpAlGwQr006ljwMiM"",
      ""GSC最新!A:R""
    ),
    12,
    FALSE
  ),
  0
)
"),8.186274509803923)</f>
        <v>8.18627451</v>
      </c>
      <c r="AB72" s="52" t="str">
        <f>IFERROR(__xludf.DUMMYFUNCTION("IFERROR(
  VLOOKUP(
    A72,
    IMPORTRANGE(
      ""1ZHMy3vVUd_0MrSduXTe1etBb1HNpAlGwQr006ljwMiM"",
      ""GSC最新!A:R""
    ),
    15,
    FALSE
  ),
  0
)
"),"")</f>
        <v/>
      </c>
      <c r="AC72" s="52" t="str">
        <f>IFERROR(__xludf.DUMMYFUNCTION("IFERROR(
  VLOOKUP(
    A72,
    IMPORTRANGE(
      ""1ZHMy3vVUd_0MrSduXTe1etBb1HNpAlGwQr006ljwMiM"",
      ""GSC最新!A:R""
    ),
    18,
    FALSE
  ),
  0
)
"),"")</f>
        <v/>
      </c>
      <c r="AD72" s="52">
        <f t="shared" ref="AD72:AE72" si="355">Z72-AB72</f>
        <v>9.486238532</v>
      </c>
      <c r="AE72" s="52">
        <f t="shared" si="355"/>
        <v>8.18627451</v>
      </c>
      <c r="AF72" s="53">
        <f>IFERROR(__xludf.DUMMYFUNCTION("IFERROR(
  VLOOKUP(
    A72,
    IMPORTRANGE(
      ""1ZHMy3vVUd_0MrSduXTe1etBb1HNpAlGwQr006ljwMiM"",
      ""GSC最新!A:F""
    ),
    6,
    FALSE
  ),
  0
)
"),46081.0)</f>
        <v>46081</v>
      </c>
      <c r="AG72" s="54">
        <f>IFERROR(__xludf.DUMMYFUNCTION("IFERROR(
  VLOOKUP(
    A72,
    IMPORTRANGE(
      ""1SCYQd7_cobOYqT0r_F0IqD4tE4rYn5y8Eup4PJTH8es"",
      ""Snapshot!A:M""
    ),
    5,
    FALSE
  ),
  ""-""
)
"),12.0)</f>
        <v>12</v>
      </c>
      <c r="AH72" s="54">
        <f>IFERROR(__xludf.DUMMYFUNCTION("IFERROR(
  VLOOKUP(
    A72,
    IMPORTRANGE(
      ""1SCYQd7_cobOYqT0r_F0IqD4tE4rYn5y8Eup4PJTH8es"",
      ""Snapshot!A:M""
    ),
    6,
    FALSE
  ),
  0
)
"),14.0)</f>
        <v>14</v>
      </c>
      <c r="AI72" s="54">
        <f>IFERROR(__xludf.DUMMYFUNCTION("IFERROR(
  VLOOKUP(
    A72,
    IMPORTRANGE(
      ""1SCYQd7_cobOYqT0r_F0IqD4tE4rYn5y8Eup4PJTH8es"",
      ""Snapshot!A:M""
    ),
    7,
    FALSE
  ),
  0
)
"),3984.0)</f>
        <v>3984</v>
      </c>
      <c r="AJ72" s="54">
        <f>IFERROR(__xludf.DUMMYFUNCTION("IFERROR(
  VLOOKUP(
    A72,
    IMPORTRANGE(
      ""1SCYQd7_cobOYqT0r_F0IqD4tE4rYn5y8Eup4PJTH8es"",
      ""Snapshot!A:M""
    ),
    8,
    FALSE
  ),
  0
)
"),11.0)</f>
        <v>11</v>
      </c>
      <c r="AK72" s="54">
        <f>IFERROR(__xludf.DUMMYFUNCTION("IFERROR(
  VLOOKUP(
    A72,
    IMPORTRANGE(
      ""1SCYQd7_cobOYqT0r_F0IqD4tE4rYn5y8Eup4PJTH8es"",
      ""Snapshot!A:M""
    ),
    9,
    FALSE
  ),
  0
)
"),1.0)</f>
        <v>1</v>
      </c>
      <c r="AL72" s="54">
        <f>IFERROR(__xludf.DUMMYFUNCTION("IFERROR(
  VLOOKUP(
    A72,
    IMPORTRANGE(
      ""1SCYQd7_cobOYqT0r_F0IqD4tE4rYn5y8Eup4PJTH8es"",
      ""Snapshot!A:M""
    ),
    13,
    FALSE
  ),
  0
)
"),2.0)</f>
        <v>2</v>
      </c>
    </row>
    <row r="73">
      <c r="A73" s="3" t="s">
        <v>411</v>
      </c>
      <c r="B73" s="1" t="str">
        <f>IFERROR(__xludf.DUMMYFUNCTION("IFERROR(
  VLOOKUP(
    A73,
    IMPORTRANGE(
      ""1ZygntHC1J6IxzKbTidmOyf5nUyW4GCLurHCjexrLm_o"",
      ""HTMLキャッシュ!A:F""
    ),
    2,
    FALSE
  ),
  0
)
"),"SC")</f>
        <v>SC</v>
      </c>
      <c r="C73" s="1" t="str">
        <f>IFERROR(__xludf.DUMMYFUNCTION("IFERROR(
  VLOOKUP(
    A73,
    IMPORTRANGE(
      ""1ZygntHC1J6IxzKbTidmOyf5nUyW4GCLurHCjexrLm_o"",
      ""HTMLキャッシュ!A:F""
    ),
    5,
    FALSE
  ),
  0
)
"),"オンライン算数個別指導｜苦手克服と入試得点力UP")</f>
        <v>オンライン算数個別指導｜苦手克服と入試得点力UP</v>
      </c>
      <c r="D73" s="1" t="str">
        <f>IFERROR(__xludf.DUMMYFUNCTION("IFERROR(
  VLOOKUP(
    A73,
    IMPORTRANGE(
      ""1ZygntHC1J6IxzKbTidmOyf5nUyW4GCLurHCjexrLm_o        "",
      ""HTMLキャッシュ!A:F""
    ),
    6,
    FALSE
  ),
  0
)
"),"中学受験算数の家庭教師選びで失敗しない判断軸を整理。オンライン個別との違いも比較表で確認。")</f>
        <v>中学受験算数の家庭教師選びで失敗しない判断軸を整理。オンライン個別との違いも比較表で確認。</v>
      </c>
      <c r="E73" s="49">
        <f t="shared" ref="E73:F73" si="356">LEN(C73)</f>
        <v>24</v>
      </c>
      <c r="F73" s="49">
        <f t="shared" si="356"/>
        <v>45</v>
      </c>
      <c r="G73" s="32">
        <f>IFERROR(__xludf.DUMMYFUNCTION("IFERROR(
  VLOOKUP(
    A73,
    IMPORTRANGE(
      ""1ZygntHC1J6IxzKbTidmOyf5nUyW4GCLurHCjexrLm_o        "",
      ""HTMLキャッシュ!A:F""
    ),
    3,
    FALSE
  ),
  0
)
"),46076.64927083333)</f>
        <v>46076.64927</v>
      </c>
      <c r="H73" s="54">
        <f>IFERROR(__xludf.DUMMYFUNCTION("IFERROR(
  VLOOKUP(
    A73,
    IMPORTRANGE(
      ""1ZHMy3vVUd_0MrSduXTe1etBb1HNpAlGwQr006ljwMiM"",
      ""GSC最新!A:F""
    ),
    2,
    FALSE
  ),
  0
)
"),0.0)</f>
        <v>0</v>
      </c>
      <c r="I73" s="54">
        <f>IFERROR(__xludf.DUMMYFUNCTION("IFERROR(
  VLOOKUP(
    A73,
    IMPORTRANGE(
      ""1ZHMy3vVUd_0MrSduXTe1etBb1HNpAlGwQr006ljwMiM"",
      ""GSC最新!A:F""
    ),
    3,
    FALSE
  ),
  0
)
"),1.0)</f>
        <v>1</v>
      </c>
      <c r="J73" s="54">
        <f>IFERROR(__xludf.DUMMYFUNCTION("IFERROR(
  VLOOKUP(
    A73,
    IMPORTRANGE(
      ""1ZHMy3vVUd_0MrSduXTe1etBb1HNpAlGwQr006ljwMiM"",
      ""GSC最新!A:F""
    ),
    4,
    FALSE
  ),
  0
)
"),0.0)</f>
        <v>0</v>
      </c>
      <c r="K73" s="54">
        <f>IFERROR(__xludf.DUMMYFUNCTION("IFERROR(
  VLOOKUP(
    A73,
    IMPORTRANGE(
      ""1ZHMy3vVUd_0MrSduXTe1etBb1HNpAlGwQr006ljwMiM"",
      ""GSC最新!A:F""
    ),
    5,
    FALSE
  ),
  0
)
"),0.0)</f>
        <v>0</v>
      </c>
      <c r="L73" s="50" t="str">
        <f t="shared" ref="L73:M73" si="357">IFERROR(H73/J73,"-")</f>
        <v>-</v>
      </c>
      <c r="M73" s="50" t="str">
        <f t="shared" si="357"/>
        <v>-</v>
      </c>
      <c r="N73" s="59">
        <f>IFERROR(__xludf.DUMMYFUNCTION("IFERROR(
  VLOOKUP(
    A73,
    IMPORTRANGE(
      ""1ZHMy3vVUd_0MrSduXTe1etBb1HNpAlGwQr006ljwMiM"",
      ""GSC最新!A:R""
    ),
    7,
    FALSE
  ),
  0
)
"),11.0)</f>
        <v>11</v>
      </c>
      <c r="O73" s="59">
        <f>IFERROR(__xludf.DUMMYFUNCTION("IFERROR(
  VLOOKUP(
    A73,
    IMPORTRANGE(
      ""1ZHMy3vVUd_0MrSduXTe1etBb1HNpAlGwQr006ljwMiM"",
      ""GSC最新!A:R""
    ),
    10,
    FALSE
  ),
  0
)
"),136.0)</f>
        <v>136</v>
      </c>
      <c r="P73" s="59">
        <f>IFERROR(__xludf.DUMMYFUNCTION("IFERROR(
  VLOOKUP(
    A73,
    IMPORTRANGE(
      ""1ZHMy3vVUd_0MrSduXTe1etBb1HNpAlGwQr006ljwMiM"",
      ""GSC最新!A:R""
    ),
    13,
    FALSE
  ),
  0
)
"),0.0)</f>
        <v>0</v>
      </c>
      <c r="Q73" s="59">
        <f>IFERROR(__xludf.DUMMYFUNCTION("IFERROR(
  VLOOKUP(
    A73,
    IMPORTRANGE(
      ""1ZHMy3vVUd_0MrSduXTe1etBb1HNpAlGwQr006ljwMiM"",
      ""GSC最新!A:R""
    ),
    16,
    FALSE
  ),
  0
)
"),0.0)</f>
        <v>0</v>
      </c>
      <c r="R73" s="50" t="str">
        <f t="shared" ref="R73:S73" si="358">IFERROR(N73/P73,"-")</f>
        <v>-</v>
      </c>
      <c r="S73" s="50" t="str">
        <f t="shared" si="358"/>
        <v>-</v>
      </c>
      <c r="T73" s="60">
        <f>IFERROR(__xludf.DUMMYFUNCTION("IFERROR(
  VLOOKUP(
    A73,
    IMPORTRANGE(
      ""1ZHMy3vVUd_0MrSduXTe1etBb1HNpAlGwQr006ljwMiM"",
      ""GSC最新!A:R""
    ),
    8,
    FALSE
  ),
  0
)
"),0.0)</f>
        <v>0</v>
      </c>
      <c r="U73" s="60">
        <f>IFERROR(__xludf.DUMMYFUNCTION("IFERROR(
  VLOOKUP(
    A73,
    IMPORTRANGE(
      ""1ZHMy3vVUd_0MrSduXTe1etBb1HNpAlGwQr006ljwMiM"",
      ""GSC最新!A:R""
    ),
    11,
    FALSE
  ),
  0
)
"),0.007352941176470588)</f>
        <v>0.007352941176</v>
      </c>
      <c r="V73" s="60">
        <f>IFERROR(__xludf.DUMMYFUNCTION("IFERROR(
  VLOOKUP(
    A73,
    IMPORTRANGE(
      ""1ZHMy3vVUd_0MrSduXTe1etBb1HNpAlGwQr006ljwMiM"",
      ""GSC最新!A:R""
    ),
    14,
    FALSE
  ),
  0
)
"),0.0)</f>
        <v>0</v>
      </c>
      <c r="W73" s="60">
        <f>IFERROR(__xludf.DUMMYFUNCTION("IFERROR(
  VLOOKUP(
    A73,
    IMPORTRANGE(
      ""1ZHMy3vVUd_0MrSduXTe1etBb1HNpAlGwQr006ljwMiM"",
      ""GSC最新!A:R""
    ),
    17,
    FALSE
  ),
  0
)
"),0.0)</f>
        <v>0</v>
      </c>
      <c r="X73" s="60">
        <f t="shared" ref="X73:Y73" si="359">IFERROR(T73-V73,"-")</f>
        <v>0</v>
      </c>
      <c r="Y73" s="60">
        <f t="shared" si="359"/>
        <v>0.007352941176</v>
      </c>
      <c r="Z73" s="52">
        <f>IFERROR(__xludf.DUMMYFUNCTION("IFERROR(
  VLOOKUP(
    A73,
    IMPORTRANGE(
      ""1ZHMy3vVUd_0MrSduXTe1etBb1HNpAlGwQr006ljwMiM"",
      ""GSC最新!A:R""
    ),
    9,
    FALSE
  ),
  0
)
"),7.2727272727272725)</f>
        <v>7.272727273</v>
      </c>
      <c r="AA73" s="52">
        <f>IFERROR(__xludf.DUMMYFUNCTION("IFERROR(
  VLOOKUP(
    A73,
    IMPORTRANGE(
      ""1ZHMy3vVUd_0MrSduXTe1etBb1HNpAlGwQr006ljwMiM"",
      ""GSC最新!A:R""
    ),
    12,
    FALSE
  ),
  0
)
"),20.727941176470587)</f>
        <v>20.72794118</v>
      </c>
      <c r="AB73" s="52" t="str">
        <f>IFERROR(__xludf.DUMMYFUNCTION("IFERROR(
  VLOOKUP(
    A73,
    IMPORTRANGE(
      ""1ZHMy3vVUd_0MrSduXTe1etBb1HNpAlGwQr006ljwMiM"",
      ""GSC最新!A:R""
    ),
    15,
    FALSE
  ),
  0
)
"),"")</f>
        <v/>
      </c>
      <c r="AC73" s="52" t="str">
        <f>IFERROR(__xludf.DUMMYFUNCTION("IFERROR(
  VLOOKUP(
    A73,
    IMPORTRANGE(
      ""1ZHMy3vVUd_0MrSduXTe1etBb1HNpAlGwQr006ljwMiM"",
      ""GSC最新!A:R""
    ),
    18,
    FALSE
  ),
  0
)
"),"")</f>
        <v/>
      </c>
      <c r="AD73" s="52">
        <f t="shared" ref="AD73:AE73" si="360">Z73-AB73</f>
        <v>7.272727273</v>
      </c>
      <c r="AE73" s="52">
        <f t="shared" si="360"/>
        <v>20.72794118</v>
      </c>
      <c r="AF73" s="53">
        <f>IFERROR(__xludf.DUMMYFUNCTION("IFERROR(
  VLOOKUP(
    A73,
    IMPORTRANGE(
      ""1ZHMy3vVUd_0MrSduXTe1etBb1HNpAlGwQr006ljwMiM"",
      ""GSC最新!A:F""
    ),
    6,
    FALSE
  ),
  0
)
"),46081.0)</f>
        <v>46081</v>
      </c>
      <c r="AG73" s="54">
        <f>IFERROR(__xludf.DUMMYFUNCTION("IFERROR(
  VLOOKUP(
    A73,
    IMPORTRANGE(
      ""1SCYQd7_cobOYqT0r_F0IqD4tE4rYn5y8Eup4PJTH8es"",
      ""Snapshot!A:M""
    ),
    5,
    FALSE
  ),
  ""-""
)
"),6.0)</f>
        <v>6</v>
      </c>
      <c r="AH73" s="54">
        <f>IFERROR(__xludf.DUMMYFUNCTION("IFERROR(
  VLOOKUP(
    A73,
    IMPORTRANGE(
      ""1SCYQd7_cobOYqT0r_F0IqD4tE4rYn5y8Eup4PJTH8es"",
      ""Snapshot!A:M""
    ),
    6,
    FALSE
  ),
  0
)
"),20.0)</f>
        <v>20</v>
      </c>
      <c r="AI73" s="54">
        <f>IFERROR(__xludf.DUMMYFUNCTION("IFERROR(
  VLOOKUP(
    A73,
    IMPORTRANGE(
      ""1SCYQd7_cobOYqT0r_F0IqD4tE4rYn5y8Eup4PJTH8es"",
      ""Snapshot!A:M""
    ),
    7,
    FALSE
  ),
  0
)
"),6083.0)</f>
        <v>6083</v>
      </c>
      <c r="AJ73" s="54">
        <f>IFERROR(__xludf.DUMMYFUNCTION("IFERROR(
  VLOOKUP(
    A73,
    IMPORTRANGE(
      ""1SCYQd7_cobOYqT0r_F0IqD4tE4rYn5y8Eup4PJTH8es"",
      ""Snapshot!A:M""
    ),
    8,
    FALSE
  ),
  0
)
"),2.0)</f>
        <v>2</v>
      </c>
      <c r="AK73" s="54">
        <f>IFERROR(__xludf.DUMMYFUNCTION("IFERROR(
  VLOOKUP(
    A73,
    IMPORTRANGE(
      ""1SCYQd7_cobOYqT0r_F0IqD4tE4rYn5y8Eup4PJTH8es"",
      ""Snapshot!A:M""
    ),
    9,
    FALSE
  ),
  0
)
"),4.0)</f>
        <v>4</v>
      </c>
      <c r="AL73" s="54">
        <f>IFERROR(__xludf.DUMMYFUNCTION("IFERROR(
  VLOOKUP(
    A73,
    IMPORTRANGE(
      ""1SCYQd7_cobOYqT0r_F0IqD4tE4rYn5y8Eup4PJTH8es"",
      ""Snapshot!A:M""
    ),
    13,
    FALSE
  ),
  0
)
"),2.0)</f>
        <v>2</v>
      </c>
    </row>
    <row r="74">
      <c r="A74" s="3" t="s">
        <v>412</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"),"サピックス小5算数 総合回｜分数発展・部分分数分解・水そう")</f>
        <v>サピックス小5算数 総合回｜分数発展・部分分数分解・水そう</v>
      </c>
      <c r="D74" s="1" t="str">
        <f>IFERROR(__xludf.DUMMYFUNCTION("IFERROR(
  VLOOKUP(
    A74,
    IMPORTRANGE(
      ""1ZygntHC1J6IxzKbTidmOyf5nUyW4GCLurHCjexrLm_o        "",
      ""HTMLキャッシュ!A:F""
    ),
    6,
    FALSE
  ),
  0
)
"),"サピックス小5算数の応用分野を整理する 分数・部分分数分解・水そう・旅人算で混乱しやすい理由 サピックス5年生")</f>
        <v>サピックス小5算数の応用分野を整理する 分数・部分分数分解・水そう・旅人算で混乱しやすい理由 サピックス5年生</v>
      </c>
      <c r="E74" s="49">
        <f t="shared" ref="E74:F74" si="361">LEN(C74)</f>
        <v>29</v>
      </c>
      <c r="F74" s="49">
        <f t="shared" si="361"/>
        <v>55</v>
      </c>
      <c r="G74" s="32">
        <f>IFERROR(__xludf.DUMMYFUNCTION("IFERROR(
  VLOOKUP(
    A74,
    IMPORTRANGE(
      ""1ZygntHC1J6IxzKbTidmOyf5nUyW4GCLurHCjexrLm_o        "",
      ""HTMLキャッシュ!A:F""
    ),
    3,
    FALSE
  ),
  0
)
"),46077.72269675926)</f>
        <v>46077.7227</v>
      </c>
      <c r="H74" s="54">
        <f>IFERROR(__xludf.DUMMYFUNCTION("IFERROR(
  VLOOKUP(
    A74,
    IMPORTRANGE(
      ""1ZHMy3vVUd_0MrSduXTe1etBb1HNpAlGwQr006ljwMiM"",
      ""GSC最新!A:F""
    ),
    2,
    FALSE
  ),
  0
)
"),0.0)</f>
        <v>0</v>
      </c>
      <c r="I74" s="54">
        <f>IFERROR(__xludf.DUMMYFUNCTION("IFERROR(
  VLOOKUP(
    A74,
    IMPORTRANGE(
      ""1ZHMy3vVUd_0MrSduXTe1etBb1HNpAlGwQr006ljwMiM"",
      ""GSC最新!A:F""
    ),
    3,
    FALSE
  ),
  0
)
"),1.0)</f>
        <v>1</v>
      </c>
      <c r="J74" s="54">
        <f>IFERROR(__xludf.DUMMYFUNCTION("IFERROR(
  VLOOKUP(
    A74,
    IMPORTRANGE(
      ""1ZHMy3vVUd_0MrSduXTe1etBb1HNpAlGwQr006ljwMiM"",
      ""GSC最新!A:F""
    ),
    4,
    FALSE
  ),
  0
)
"),0.0)</f>
        <v>0</v>
      </c>
      <c r="K74" s="54">
        <f>IFERROR(__xludf.DUMMYFUNCTION("IFERROR(
  VLOOKUP(
    A74,
    IMPORTRANGE(
      ""1ZHMy3vVUd_0MrSduXTe1etBb1HNpAlGwQr006ljwMiM"",
      ""GSC最新!A:F""
    ),
    5,
    FALSE
  ),
  0
)
"),0.0)</f>
        <v>0</v>
      </c>
      <c r="L74" s="50" t="str">
        <f t="shared" ref="L74:M74" si="362">IFERROR(H74/J74,"-")</f>
        <v>-</v>
      </c>
      <c r="M74" s="50" t="str">
        <f t="shared" si="362"/>
        <v>-</v>
      </c>
      <c r="N74" s="59">
        <f>IFERROR(__xludf.DUMMYFUNCTION("IFERROR(
  VLOOKUP(
    A74,
    IMPORTRANGE(
      ""1ZHMy3vVUd_0MrSduXTe1etBb1HNpAlGwQr006ljwMiM"",
      ""GSC最新!A:R""
    ),
    7,
    FALSE
  ),
  0
)
"),113.0)</f>
        <v>113</v>
      </c>
      <c r="O74" s="59">
        <f>IFERROR(__xludf.DUMMYFUNCTION("IFERROR(
  VLOOKUP(
    A74,
    IMPORTRANGE(
      ""1ZHMy3vVUd_0MrSduXTe1etBb1HNpAlGwQr006ljwMiM"",
      ""GSC最新!A:R""
    ),
    10,
    FALSE
  ),
  0
)
"),146.0)</f>
        <v>146</v>
      </c>
      <c r="P74" s="59">
        <f>IFERROR(__xludf.DUMMYFUNCTION("IFERROR(
  VLOOKUP(
    A74,
    IMPORTRANGE(
      ""1ZHMy3vVUd_0MrSduXTe1etBb1HNpAlGwQr006ljwMiM"",
      ""GSC最新!A:R""
    ),
    13,
    FALSE
  ),
  0
)
"),6.0)</f>
        <v>6</v>
      </c>
      <c r="Q74" s="59">
        <f>IFERROR(__xludf.DUMMYFUNCTION("IFERROR(
  VLOOKUP(
    A74,
    IMPORTRANGE(
      ""1ZHMy3vVUd_0MrSduXTe1etBb1HNpAlGwQr006ljwMiM"",
      ""GSC最新!A:R""
    ),
    16,
    FALSE
  ),
  0
)
"),28.0)</f>
        <v>28</v>
      </c>
      <c r="R74" s="50">
        <f t="shared" ref="R74:S74" si="363">IFERROR(N74/P74,"-")</f>
        <v>18.83333333</v>
      </c>
      <c r="S74" s="50">
        <f t="shared" si="363"/>
        <v>5.214285714</v>
      </c>
      <c r="T74" s="60">
        <f>IFERROR(__xludf.DUMMYFUNCTION("IFERROR(
  VLOOKUP(
    A74,
    IMPORTRANGE(
      ""1ZHMy3vVUd_0MrSduXTe1etBb1HNpAlGwQr006ljwMiM"",
      ""GSC最新!A:R""
    ),
    8,
    FALSE
  ),
  0
)
"),0.0)</f>
        <v>0</v>
      </c>
      <c r="U74" s="60">
        <f>IFERROR(__xludf.DUMMYFUNCTION("IFERROR(
  VLOOKUP(
    A74,
    IMPORTRANGE(
      ""1ZHMy3vVUd_0MrSduXTe1etBb1HNpAlGwQr006ljwMiM"",
      ""GSC最新!A:R""
    ),
    11,
    FALSE
  ),
  0
)
"),0.00684931506849315)</f>
        <v>0.006849315068</v>
      </c>
      <c r="V74" s="60">
        <f>IFERROR(__xludf.DUMMYFUNCTION("IFERROR(
  VLOOKUP(
    A74,
    IMPORTRANGE(
      ""1ZHMy3vVUd_0MrSduXTe1etBb1HNpAlGwQr006ljwMiM"",
      ""GSC最新!A:R""
    ),
    14,
    FALSE
  ),
  0
)
"),0.0)</f>
        <v>0</v>
      </c>
      <c r="W74" s="60">
        <f>IFERROR(__xludf.DUMMYFUNCTION("IFERROR(
  VLOOKUP(
    A74,
    IMPORTRANGE(
      ""1ZHMy3vVUd_0MrSduXTe1etBb1HNpAlGwQr006ljwMiM"",
      ""GSC最新!A:R""
    ),
    17,
    FALSE
  ),
  0
)
"),0.0)</f>
        <v>0</v>
      </c>
      <c r="X74" s="60">
        <f t="shared" ref="X74:Y74" si="364">IFERROR(T74-V74,"-")</f>
        <v>0</v>
      </c>
      <c r="Y74" s="60">
        <f t="shared" si="364"/>
        <v>0.006849315068</v>
      </c>
      <c r="Z74" s="52">
        <f>IFERROR(__xludf.DUMMYFUNCTION("IFERROR(
  VLOOKUP(
    A74,
    IMPORTRANGE(
      ""1ZHMy3vVUd_0MrSduXTe1etBb1HNpAlGwQr006ljwMiM"",
      ""GSC最新!A:R""
    ),
    9,
    FALSE
  ),
  0
)
"),3.3805309734513274)</f>
        <v>3.380530973</v>
      </c>
      <c r="AA74" s="52">
        <f>IFERROR(__xludf.DUMMYFUNCTION("IFERROR(
  VLOOKUP(
    A74,
    IMPORTRANGE(
      ""1ZHMy3vVUd_0MrSduXTe1etBb1HNpAlGwQr006ljwMiM"",
      ""GSC最新!A:R""
    ),
    12,
    FALSE
  ),
  0
)
"),4.376712328767123)</f>
        <v>4.376712329</v>
      </c>
      <c r="AB74" s="52">
        <f>IFERROR(__xludf.DUMMYFUNCTION("IFERROR(
  VLOOKUP(
    A74,
    IMPORTRANGE(
      ""1ZHMy3vVUd_0MrSduXTe1etBb1HNpAlGwQr006ljwMiM"",
      ""GSC最新!A:R""
    ),
    15,
    FALSE
  ),
  0
)
"),5.333333333333333)</f>
        <v>5.333333333</v>
      </c>
      <c r="AC74" s="52">
        <f>IFERROR(__xludf.DUMMYFUNCTION("IFERROR(
  VLOOKUP(
    A74,
    IMPORTRANGE(
      ""1ZHMy3vVUd_0MrSduXTe1etBb1HNpAlGwQr006ljwMiM"",
      ""GSC最新!A:R""
    ),
    18,
    FALSE
  ),
  0
)
"),13.75)</f>
        <v>13.75</v>
      </c>
      <c r="AD74" s="52">
        <f t="shared" ref="AD74:AE74" si="365">Z74-AB74</f>
        <v>-1.95280236</v>
      </c>
      <c r="AE74" s="52">
        <f t="shared" si="365"/>
        <v>-9.373287671</v>
      </c>
      <c r="AF74" s="53">
        <f>IFERROR(__xludf.DUMMYFUNCTION("IFERROR(
  VLOOKUP(
    A74,
    IMPORTRANGE(
      ""1ZHMy3vVUd_0MrSduXTe1etBb1HNpAlGwQr006ljwMiM"",
      ""GSC最新!A:F""
    ),
    6,
    FALSE
  ),
  0
)
"),46081.0)</f>
        <v>46081</v>
      </c>
      <c r="AG74" s="54">
        <f>IFERROR(__xludf.DUMMYFUNCTION("IFERROR(
  VLOOKUP(
    A74,
    IMPORTRANGE(
      ""1SCYQd7_cobOYqT0r_F0IqD4tE4rYn5y8Eup4PJTH8es"",
      ""Snapshot!A:M""
    ),
    5,
    FALSE
  ),
  ""-""
)
"),12.0)</f>
        <v>12</v>
      </c>
      <c r="AH74" s="54">
        <f>IFERROR(__xludf.DUMMYFUNCTION("IFERROR(
  VLOOKUP(
    A74,
    IMPORTRANGE(
      ""1SCYQd7_cobOYqT0r_F0IqD4tE4rYn5y8Eup4PJTH8es"",
      ""Snapshot!A:M""
    ),
    6,
    FALSE
  ),
  0
)
"),16.0)</f>
        <v>16</v>
      </c>
      <c r="AI74" s="54">
        <f>IFERROR(__xludf.DUMMYFUNCTION("IFERROR(
  VLOOKUP(
    A74,
    IMPORTRANGE(
      ""1SCYQd7_cobOYqT0r_F0IqD4tE4rYn5y8Eup4PJTH8es"",
      ""Snapshot!A:M""
    ),
    7,
    FALSE
  ),
  0
)
"),4623.0)</f>
        <v>4623</v>
      </c>
      <c r="AJ74" s="54">
        <f>IFERROR(__xludf.DUMMYFUNCTION("IFERROR(
  VLOOKUP(
    A74,
    IMPORTRANGE(
      ""1SCYQd7_cobOYqT0r_F0IqD4tE4rYn5y8Eup4PJTH8es"",
      ""Snapshot!A:M""
    ),
    8,
    FALSE
  ),
  0
)
"),5.0)</f>
        <v>5</v>
      </c>
      <c r="AK74" s="54">
        <f>IFERROR(__xludf.DUMMYFUNCTION("IFERROR(
  VLOOKUP(
    A74,
    IMPORTRANGE(
      ""1SCYQd7_cobOYqT0r_F0IqD4tE4rYn5y8Eup4PJTH8es"",
      ""Snapshot!A:M""
    ),
    9,
    FALSE
  ),
  0
)
"),1.0)</f>
        <v>1</v>
      </c>
      <c r="AL74" s="54">
        <f>IFERROR(__xludf.DUMMYFUNCTION("IFERROR(
  VLOOKUP(
    A74,
    IMPORTRANGE(
      ""1SCYQd7_cobOYqT0r_F0IqD4tE4rYn5y8Eup4PJTH8es"",
      ""Snapshot!A:M""
    ),
    13,
    FALSE
  ),
  0
)
"),2.0)</f>
        <v>2</v>
      </c>
    </row>
    <row r="75">
      <c r="A75" s="3" t="s">
        <v>413</v>
      </c>
      <c r="B75" s="1" t="str">
        <f>IFERROR(__xludf.DUMMYFUNCTION("IFERROR(
  VLOOKUP(
    A75,
    IMPORTRANGE(
      ""1ZygntHC1J6IxzKbTidmOyf5nUyW4GCLurHCjexrLm_o"",
      ""HTMLキャッシュ!A:F""
    ),
    2,
    FALSE
  ),
  0
)
"),"MC")</f>
        <v>MC</v>
      </c>
      <c r="C75" s="1" t="str">
        <f>IFERROR(__xludf.DUMMYFUNCTION("IFERROR(
  VLOOKUP(
    A75,
    IMPORTRANGE(
      ""1ZygntHC1J6IxzKbTidmOyf5nUyW4GCLurHCjexrLm_o"",
      ""HTMLキャッシュ!A:F""
    ),
    5,
    FALSE
  ),
  0
)
"),"中学受験算数で差がつく線分図（アゼン）の基本と使い方")</f>
        <v>中学受験算数で差がつく線分図（アゼン）の基本と使い方</v>
      </c>
      <c r="D75" s="1" t="str">
        <f>IFERROR(__xludf.DUMMYFUNCTION("IFERROR(
  VLOOKUP(
    A75,
    IMPORTRANGE(
      ""1ZygntHC1J6IxzKbTidmOyf5nUyW4GCLurHCjexrLm_o        "",
      ""HTMLキャッシュ!A:F""
    ),
    6,
    FALSE
  ),
  0
)
"),"ASEN（アゼン）は電子黒板と復習プリント生成で、算数個別の無駄を削減。問題提示から解き直しまでを授業内で完結させ、弱点演習を最短化します。")</f>
        <v>ASEN（アゼン）は電子黒板と復習プリント生成で、算数個別の無駄を削減。問題提示から解き直しまでを授業内で完結させ、弱点演習を最短化します。</v>
      </c>
      <c r="E75" s="49">
        <f t="shared" ref="E75:F75" si="366">LEN(C75)</f>
        <v>26</v>
      </c>
      <c r="F75" s="49">
        <f t="shared" si="366"/>
        <v>70</v>
      </c>
      <c r="G75" s="32">
        <f>IFERROR(__xludf.DUMMYFUNCTION("IFERROR(
  VLOOKUP(
    A75,
    IMPORTRANGE(
      ""1ZygntHC1J6IxzKbTidmOyf5nUyW4GCLurHCjexrLm_o        "",
      ""HTMLキャッシュ!A:F""
    ),
    3,
    FALSE
  ),
  0
)
"),46073.84519675926)</f>
        <v>46073.8452</v>
      </c>
      <c r="H75" s="54">
        <f>IFERROR(__xludf.DUMMYFUNCTION("IFERROR(
  VLOOKUP(
    A75,
    IMPORTRANGE(
      ""1ZHMy3vVUd_0MrSduXTe1etBb1HNpAlGwQr006ljwMiM"",
      ""GSC最新!A:F""
    ),
    2,
    FALSE
  ),
  0
)
"),0.0)</f>
        <v>0</v>
      </c>
      <c r="I75" s="54">
        <f>IFERROR(__xludf.DUMMYFUNCTION("IFERROR(
  VLOOKUP(
    A75,
    IMPORTRANGE(
      ""1ZHMy3vVUd_0MrSduXTe1etBb1HNpAlGwQr006ljwMiM"",
      ""GSC最新!A:F""
    ),
    3,
    FALSE
  ),
  0
)
"),1.0)</f>
        <v>1</v>
      </c>
      <c r="J75" s="54">
        <f>IFERROR(__xludf.DUMMYFUNCTION("IFERROR(
  VLOOKUP(
    A75,
    IMPORTRANGE(
      ""1ZHMy3vVUd_0MrSduXTe1etBb1HNpAlGwQr006ljwMiM"",
      ""GSC最新!A:F""
    ),
    4,
    FALSE
  ),
  0
)
"),0.0)</f>
        <v>0</v>
      </c>
      <c r="K75" s="54">
        <f>IFERROR(__xludf.DUMMYFUNCTION("IFERROR(
  VLOOKUP(
    A75,
    IMPORTRANGE(
      ""1ZHMy3vVUd_0MrSduXTe1etBb1HNpAlGwQr006ljwMiM"",
      ""GSC最新!A:F""
    ),
    5,
    FALSE
  ),
  0
)
"),0.0)</f>
        <v>0</v>
      </c>
      <c r="L75" s="50" t="str">
        <f t="shared" ref="L75:M75" si="367">IFERROR(H75/J75,"-")</f>
        <v>-</v>
      </c>
      <c r="M75" s="50" t="str">
        <f t="shared" si="367"/>
        <v>-</v>
      </c>
      <c r="N75" s="59">
        <f>IFERROR(__xludf.DUMMYFUNCTION("IFERROR(
  VLOOKUP(
    A75,
    IMPORTRANGE(
      ""1ZHMy3vVUd_0MrSduXTe1etBb1HNpAlGwQr006ljwMiM"",
      ""GSC最新!A:R""
    ),
    7,
    FALSE
  ),
  0
)
"),37.0)</f>
        <v>37</v>
      </c>
      <c r="O75" s="59">
        <f>IFERROR(__xludf.DUMMYFUNCTION("IFERROR(
  VLOOKUP(
    A75,
    IMPORTRANGE(
      ""1ZHMy3vVUd_0MrSduXTe1etBb1HNpAlGwQr006ljwMiM"",
      ""GSC最新!A:R""
    ),
    10,
    FALSE
  ),
  0
)
"),103.0)</f>
        <v>103</v>
      </c>
      <c r="P75" s="59">
        <f>IFERROR(__xludf.DUMMYFUNCTION("IFERROR(
  VLOOKUP(
    A75,
    IMPORTRANGE(
      ""1ZHMy3vVUd_0MrSduXTe1etBb1HNpAlGwQr006ljwMiM"",
      ""GSC最新!A:R""
    ),
    13,
    FALSE
  ),
  0
)
"),14.0)</f>
        <v>14</v>
      </c>
      <c r="Q75" s="59">
        <f>IFERROR(__xludf.DUMMYFUNCTION("IFERROR(
  VLOOKUP(
    A75,
    IMPORTRANGE(
      ""1ZHMy3vVUd_0MrSduXTe1etBb1HNpAlGwQr006ljwMiM"",
      ""GSC最新!A:R""
    ),
    16,
    FALSE
  ),
  0
)
"),46.0)</f>
        <v>46</v>
      </c>
      <c r="R75" s="50">
        <f t="shared" ref="R75:S75" si="368">IFERROR(N75/P75,"-")</f>
        <v>2.642857143</v>
      </c>
      <c r="S75" s="50">
        <f t="shared" si="368"/>
        <v>2.239130435</v>
      </c>
      <c r="T75" s="60">
        <f>IFERROR(__xludf.DUMMYFUNCTION("IFERROR(
  VLOOKUP(
    A75,
    IMPORTRANGE(
      ""1ZHMy3vVUd_0MrSduXTe1etBb1HNpAlGwQr006ljwMiM"",
      ""GSC最新!A:R""
    ),
    8,
    FALSE
  ),
  0
)
"),0.0)</f>
        <v>0</v>
      </c>
      <c r="U75" s="60">
        <f>IFERROR(__xludf.DUMMYFUNCTION("IFERROR(
  VLOOKUP(
    A75,
    IMPORTRANGE(
      ""1ZHMy3vVUd_0MrSduXTe1etBb1HNpAlGwQr006ljwMiM"",
      ""GSC最新!A:R""
    ),
    11,
    FALSE
  ),
  0
)
"),0.009708737864077669)</f>
        <v>0.009708737864</v>
      </c>
      <c r="V75" s="60">
        <f>IFERROR(__xludf.DUMMYFUNCTION("IFERROR(
  VLOOKUP(
    A75,
    IMPORTRANGE(
      ""1ZHMy3vVUd_0MrSduXTe1etBb1HNpAlGwQr006ljwMiM"",
      ""GSC最新!A:R""
    ),
    14,
    FALSE
  ),
  0
)
"),0.0)</f>
        <v>0</v>
      </c>
      <c r="W75" s="60">
        <f>IFERROR(__xludf.DUMMYFUNCTION("IFERROR(
  VLOOKUP(
    A75,
    IMPORTRANGE(
      ""1ZHMy3vVUd_0MrSduXTe1etBb1HNpAlGwQr006ljwMiM"",
      ""GSC最新!A:R""
    ),
    17,
    FALSE
  ),
  0
)
"),0.0)</f>
        <v>0</v>
      </c>
      <c r="X75" s="60">
        <f t="shared" ref="X75:Y75" si="369">IFERROR(T75-V75,"-")</f>
        <v>0</v>
      </c>
      <c r="Y75" s="60">
        <f t="shared" si="369"/>
        <v>0.009708737864</v>
      </c>
      <c r="Z75" s="52">
        <f>IFERROR(__xludf.DUMMYFUNCTION("IFERROR(
  VLOOKUP(
    A75,
    IMPORTRANGE(
      ""1ZHMy3vVUd_0MrSduXTe1etBb1HNpAlGwQr006ljwMiM"",
      ""GSC最新!A:R""
    ),
    9,
    FALSE
  ),
  0
)
"),6.702702702702703)</f>
        <v>6.702702703</v>
      </c>
      <c r="AA75" s="52">
        <f>IFERROR(__xludf.DUMMYFUNCTION("IFERROR(
  VLOOKUP(
    A75,
    IMPORTRANGE(
      ""1ZHMy3vVUd_0MrSduXTe1etBb1HNpAlGwQr006ljwMiM"",
      ""GSC最新!A:R""
    ),
    12,
    FALSE
  ),
  0
)
"),7.213592233009709)</f>
        <v>7.213592233</v>
      </c>
      <c r="AB75" s="52">
        <f>IFERROR(__xludf.DUMMYFUNCTION("IFERROR(
  VLOOKUP(
    A75,
    IMPORTRANGE(
      ""1ZHMy3vVUd_0MrSduXTe1etBb1HNpAlGwQr006ljwMiM"",
      ""GSC最新!A:R""
    ),
    15,
    FALSE
  ),
  0
)
"),15.642857142857142)</f>
        <v>15.64285714</v>
      </c>
      <c r="AC75" s="52">
        <f>IFERROR(__xludf.DUMMYFUNCTION("IFERROR(
  VLOOKUP(
    A75,
    IMPORTRANGE(
      ""1ZHMy3vVUd_0MrSduXTe1etBb1HNpAlGwQr006ljwMiM"",
      ""GSC最新!A:R""
    ),
    18,
    FALSE
  ),
  0
)
"),13.695652173913043)</f>
        <v>13.69565217</v>
      </c>
      <c r="AD75" s="52">
        <f t="shared" ref="AD75:AE75" si="370">Z75-AB75</f>
        <v>-8.94015444</v>
      </c>
      <c r="AE75" s="52">
        <f t="shared" si="370"/>
        <v>-6.482059941</v>
      </c>
      <c r="AF75" s="53">
        <f>IFERROR(__xludf.DUMMYFUNCTION("IFERROR(
  VLOOKUP(
    A75,
    IMPORTRANGE(
      ""1ZHMy3vVUd_0MrSduXTe1etBb1HNpAlGwQr006ljwMiM"",
      ""GSC最新!A:F""
    ),
    6,
    FALSE
  ),
  0
)
"),46081.0)</f>
        <v>46081</v>
      </c>
      <c r="AG75" s="54">
        <f>IFERROR(__xludf.DUMMYFUNCTION("IFERROR(
  VLOOKUP(
    A75,
    IMPORTRANGE(
      ""1SCYQd7_cobOYqT0r_F0IqD4tE4rYn5y8Eup4PJTH8es"",
      ""Snapshot!A:M""
    ),
    5,
    FALSE
  ),
  ""-""
)
"),4.0)</f>
        <v>4</v>
      </c>
      <c r="AH75" s="54">
        <f>IFERROR(__xludf.DUMMYFUNCTION("IFERROR(
  VLOOKUP(
    A75,
    IMPORTRANGE(
      ""1SCYQd7_cobOYqT0r_F0IqD4tE4rYn5y8Eup4PJTH8es"",
      ""Snapshot!A:M""
    ),
    6,
    FALSE
  ),
  0
)
"),3.0)</f>
        <v>3</v>
      </c>
      <c r="AI75" s="54">
        <f>IFERROR(__xludf.DUMMYFUNCTION("IFERROR(
  VLOOKUP(
    A75,
    IMPORTRANGE(
      ""1SCYQd7_cobOYqT0r_F0IqD4tE4rYn5y8Eup4PJTH8es"",
      ""Snapshot!A:M""
    ),
    7,
    FALSE
  ),
  0
)
"),2721.0)</f>
        <v>2721</v>
      </c>
      <c r="AJ75" s="54">
        <f>IFERROR(__xludf.DUMMYFUNCTION("IFERROR(
  VLOOKUP(
    A75,
    IMPORTRANGE(
      ""1SCYQd7_cobOYqT0r_F0IqD4tE4rYn5y8Eup4PJTH8es"",
      ""Snapshot!A:M""
    ),
    8,
    FALSE
  ),
  0
)
"),9.0)</f>
        <v>9</v>
      </c>
      <c r="AK75" s="54">
        <f>IFERROR(__xludf.DUMMYFUNCTION("IFERROR(
  VLOOKUP(
    A75,
    IMPORTRANGE(
      ""1SCYQd7_cobOYqT0r_F0IqD4tE4rYn5y8Eup4PJTH8es"",
      ""Snapshot!A:M""
    ),
    9,
    FALSE
  ),
  0
)
"),1.0)</f>
        <v>1</v>
      </c>
      <c r="AL75" s="54">
        <f>IFERROR(__xludf.DUMMYFUNCTION("IFERROR(
  VLOOKUP(
    A75,
    IMPORTRANGE(
      ""1SCYQd7_cobOYqT0r_F0IqD4tE4rYn5y8Eup4PJTH8es"",
      ""Snapshot!A:M""
    ),
    13,
    FALSE
  ),
  0
)
"),1.0)</f>
        <v>1</v>
      </c>
    </row>
    <row r="76">
      <c r="A76" s="3" t="s">
        <v>414</v>
      </c>
      <c r="B76" s="1" t="str">
        <f>IFERROR(__xludf.DUMMYFUNCTION("IFERROR(
  VLOOKUP(
    A76,
    IMPORTRANGE(
      ""1ZygntHC1J6IxzKbTidmOyf5nUyW4GCLurHCjexrLm_o"",
      ""HTMLキャッシュ!A:F""
    ),
    2,
    FALSE
  ),
  0
)
"),"SC")</f>
        <v>SC</v>
      </c>
      <c r="C76" s="1" t="str">
        <f>IFERROR(__xludf.DUMMYFUNCTION("IFERROR(
  VLOOKUP(
    A76,
    IMPORTRANGE(
      ""1ZygntHC1J6IxzKbTidmOyf5nUyW4GCLurHCjexrLm_o"",
      ""HTMLキャッシュ!A:F""
    ),
    5,
    FALSE
  ),
  0
)
"),"計算ミス 対策｜桁ずれ・転記・途中式の省略を直す3ステップ｜中学受験算数（オンライン個別）")</f>
        <v>計算ミス 対策｜桁ずれ・転記・途中式の省略を直す3ステップ｜中学受験算数（オンライン個別）</v>
      </c>
      <c r="D76" s="1" t="str">
        <f>IFERROR(__xludf.DUMMYFUNCTION("IFERROR(
  VLOOKUP(
    A76,
    IMPORTRANGE(
      ""1ZygntHC1J6IxzKbTidmOyf5nUyW4GCLurHCjexrLm_o        "",
      ""HTMLキャッシュ!A:F""
    ),
    6,
    FALSE
  ),
  0
)
"),"中学受験算数の計算ミスは不注意より、手元の書き方・視線の迷い・途中式の省略・時間プレッシャーで起きがちです。桁ずれ／転記／分数の通分・約分／筆算の省略を分類し、原因特定→ルール整備→本番再現の3ステップで再発を減らす方法と家庭フォローを整理。")</f>
        <v>中学受験算数の計算ミスは不注意より、手元の書き方・視線の迷い・途中式の省略・時間プレッシャーで起きがちです。桁ずれ／転記／分数の通分・約分／筆算の省略を分類し、原因特定→ルール整備→本番再現の3ステップで再発を減らす方法と家庭フォローを整理。</v>
      </c>
      <c r="E76" s="49">
        <f t="shared" ref="E76:F76" si="371">LEN(C76)</f>
        <v>45</v>
      </c>
      <c r="F76" s="49">
        <f t="shared" si="371"/>
        <v>121</v>
      </c>
      <c r="G76" s="32">
        <f>IFERROR(__xludf.DUMMYFUNCTION("IFERROR(
  VLOOKUP(
    A76,
    IMPORTRANGE(
      ""1ZygntHC1J6IxzKbTidmOyf5nUyW4GCLurHCjexrLm_o        "",
      ""HTMLキャッシュ!A:F""
    ),
    3,
    FALSE
  ),
  0
)
"),46069.69863425926)</f>
        <v>46069.69863</v>
      </c>
      <c r="H76" s="54">
        <f>IFERROR(__xludf.DUMMYFUNCTION("IFERROR(
  VLOOKUP(
    A76,
    IMPORTRANGE(
      ""1ZHMy3vVUd_0MrSduXTe1etBb1HNpAlGwQr006ljwMiM"",
      ""GSC最新!A:F""
    ),
    2,
    FALSE
  ),
  0
)
"),0.0)</f>
        <v>0</v>
      </c>
      <c r="I76" s="54">
        <f>IFERROR(__xludf.DUMMYFUNCTION("IFERROR(
  VLOOKUP(
    A76,
    IMPORTRANGE(
      ""1ZHMy3vVUd_0MrSduXTe1etBb1HNpAlGwQr006ljwMiM"",
      ""GSC最新!A:F""
    ),
    3,
    FALSE
  ),
  0
)
"),1.0)</f>
        <v>1</v>
      </c>
      <c r="J76" s="54">
        <f>IFERROR(__xludf.DUMMYFUNCTION("IFERROR(
  VLOOKUP(
    A76,
    IMPORTRANGE(
      ""1ZHMy3vVUd_0MrSduXTe1etBb1HNpAlGwQr006ljwMiM"",
      ""GSC最新!A:F""
    ),
    4,
    FALSE
  ),
  0
)
"),0.0)</f>
        <v>0</v>
      </c>
      <c r="K76" s="54">
        <f>IFERROR(__xludf.DUMMYFUNCTION("IFERROR(
  VLOOKUP(
    A76,
    IMPORTRANGE(
      ""1ZHMy3vVUd_0MrSduXTe1etBb1HNpAlGwQr006ljwMiM"",
      ""GSC最新!A:F""
    ),
    5,
    FALSE
  ),
  0
)
"),0.0)</f>
        <v>0</v>
      </c>
      <c r="L76" s="50" t="str">
        <f t="shared" ref="L76:M76" si="372">IFERROR(H76/J76,"-")</f>
        <v>-</v>
      </c>
      <c r="M76" s="50" t="str">
        <f t="shared" si="372"/>
        <v>-</v>
      </c>
      <c r="N76" s="59">
        <f>IFERROR(__xludf.DUMMYFUNCTION("IFERROR(
  VLOOKUP(
    A76,
    IMPORTRANGE(
      ""1ZHMy3vVUd_0MrSduXTe1etBb1HNpAlGwQr006ljwMiM"",
      ""GSC最新!A:R""
    ),
    7,
    FALSE
  ),
  0
)
"),24.0)</f>
        <v>24</v>
      </c>
      <c r="O76" s="59">
        <f>IFERROR(__xludf.DUMMYFUNCTION("IFERROR(
  VLOOKUP(
    A76,
    IMPORTRANGE(
      ""1ZHMy3vVUd_0MrSduXTe1etBb1HNpAlGwQr006ljwMiM"",
      ""GSC最新!A:R""
    ),
    10,
    FALSE
  ),
  0
)
"),102.0)</f>
        <v>102</v>
      </c>
      <c r="P76" s="59">
        <f>IFERROR(__xludf.DUMMYFUNCTION("IFERROR(
  VLOOKUP(
    A76,
    IMPORTRANGE(
      ""1ZHMy3vVUd_0MrSduXTe1etBb1HNpAlGwQr006ljwMiM"",
      ""GSC最新!A:R""
    ),
    13,
    FALSE
  ),
  0
)
"),0.0)</f>
        <v>0</v>
      </c>
      <c r="Q76" s="59">
        <f>IFERROR(__xludf.DUMMYFUNCTION("IFERROR(
  VLOOKUP(
    A76,
    IMPORTRANGE(
      ""1ZHMy3vVUd_0MrSduXTe1etBb1HNpAlGwQr006ljwMiM"",
      ""GSC最新!A:R""
    ),
    16,
    FALSE
  ),
  0
)
"),0.0)</f>
        <v>0</v>
      </c>
      <c r="R76" s="50" t="str">
        <f t="shared" ref="R76:S76" si="373">IFERROR(N76/P76,"-")</f>
        <v>-</v>
      </c>
      <c r="S76" s="50" t="str">
        <f t="shared" si="373"/>
        <v>-</v>
      </c>
      <c r="T76" s="60">
        <f>IFERROR(__xludf.DUMMYFUNCTION("IFERROR(
  VLOOKUP(
    A76,
    IMPORTRANGE(
      ""1ZHMy3vVUd_0MrSduXTe1etBb1HNpAlGwQr006ljwMiM"",
      ""GSC最新!A:R""
    ),
    8,
    FALSE
  ),
  0
)
"),0.0)</f>
        <v>0</v>
      </c>
      <c r="U76" s="60">
        <f>IFERROR(__xludf.DUMMYFUNCTION("IFERROR(
  VLOOKUP(
    A76,
    IMPORTRANGE(
      ""1ZHMy3vVUd_0MrSduXTe1etBb1HNpAlGwQr006ljwMiM"",
      ""GSC最新!A:R""
    ),
    11,
    FALSE
  ),
  0
)
"),0.00980392156862745)</f>
        <v>0.009803921569</v>
      </c>
      <c r="V76" s="60">
        <f>IFERROR(__xludf.DUMMYFUNCTION("IFERROR(
  VLOOKUP(
    A76,
    IMPORTRANGE(
      ""1ZHMy3vVUd_0MrSduXTe1etBb1HNpAlGwQr006ljwMiM"",
      ""GSC最新!A:R""
    ),
    14,
    FALSE
  ),
  0
)
"),0.0)</f>
        <v>0</v>
      </c>
      <c r="W76" s="60">
        <f>IFERROR(__xludf.DUMMYFUNCTION("IFERROR(
  VLOOKUP(
    A76,
    IMPORTRANGE(
      ""1ZHMy3vVUd_0MrSduXTe1etBb1HNpAlGwQr006ljwMiM"",
      ""GSC最新!A:R""
    ),
    17,
    FALSE
  ),
  0
)
"),0.0)</f>
        <v>0</v>
      </c>
      <c r="X76" s="60">
        <f t="shared" ref="X76:Y76" si="374">IFERROR(T76-V76,"-")</f>
        <v>0</v>
      </c>
      <c r="Y76" s="60">
        <f t="shared" si="374"/>
        <v>0.009803921569</v>
      </c>
      <c r="Z76" s="52">
        <f>IFERROR(__xludf.DUMMYFUNCTION("IFERROR(
  VLOOKUP(
    A76,
    IMPORTRANGE(
      ""1ZHMy3vVUd_0MrSduXTe1etBb1HNpAlGwQr006ljwMiM"",
      ""GSC最新!A:R""
    ),
    9,
    FALSE
  ),
  0
)
"),6.25)</f>
        <v>6.25</v>
      </c>
      <c r="AA76" s="52">
        <f>IFERROR(__xludf.DUMMYFUNCTION("IFERROR(
  VLOOKUP(
    A76,
    IMPORTRANGE(
      ""1ZHMy3vVUd_0MrSduXTe1etBb1HNpAlGwQr006ljwMiM"",
      ""GSC最新!A:R""
    ),
    12,
    FALSE
  ),
  0
)
"),7.637254901960785)</f>
        <v>7.637254902</v>
      </c>
      <c r="AB76" s="52" t="str">
        <f>IFERROR(__xludf.DUMMYFUNCTION("IFERROR(
  VLOOKUP(
    A76,
    IMPORTRANGE(
      ""1ZHMy3vVUd_0MrSduXTe1etBb1HNpAlGwQr006ljwMiM"",
      ""GSC最新!A:R""
    ),
    15,
    FALSE
  ),
  0
)
"),"")</f>
        <v/>
      </c>
      <c r="AC76" s="52" t="str">
        <f>IFERROR(__xludf.DUMMYFUNCTION("IFERROR(
  VLOOKUP(
    A76,
    IMPORTRANGE(
      ""1ZHMy3vVUd_0MrSduXTe1etBb1HNpAlGwQr006ljwMiM"",
      ""GSC最新!A:R""
    ),
    18,
    FALSE
  ),
  0
)
"),"")</f>
        <v/>
      </c>
      <c r="AD76" s="52">
        <f t="shared" ref="AD76:AE76" si="375">Z76-AB76</f>
        <v>6.25</v>
      </c>
      <c r="AE76" s="52">
        <f t="shared" si="375"/>
        <v>7.637254902</v>
      </c>
      <c r="AF76" s="53">
        <f>IFERROR(__xludf.DUMMYFUNCTION("IFERROR(
  VLOOKUP(
    A76,
    IMPORTRANGE(
      ""1ZHMy3vVUd_0MrSduXTe1etBb1HNpAlGwQr006ljwMiM"",
      ""GSC最新!A:F""
    ),
    6,
    FALSE
  ),
  0
)
"),46081.0)</f>
        <v>46081</v>
      </c>
      <c r="AG76" s="54">
        <f>IFERROR(__xludf.DUMMYFUNCTION("IFERROR(
  VLOOKUP(
    A76,
    IMPORTRANGE(
      ""1SCYQd7_cobOYqT0r_F0IqD4tE4rYn5y8Eup4PJTH8es"",
      ""Snapshot!A:M""
    ),
    5,
    FALSE
  ),
  ""-""
)
"),7.0)</f>
        <v>7</v>
      </c>
      <c r="AH76" s="54">
        <f>IFERROR(__xludf.DUMMYFUNCTION("IFERROR(
  VLOOKUP(
    A76,
    IMPORTRANGE(
      ""1SCYQd7_cobOYqT0r_F0IqD4tE4rYn5y8Eup4PJTH8es"",
      ""Snapshot!A:M""
    ),
    6,
    FALSE
  ),
  0
)
"),18.0)</f>
        <v>18</v>
      </c>
      <c r="AI76" s="54">
        <f>IFERROR(__xludf.DUMMYFUNCTION("IFERROR(
  VLOOKUP(
    A76,
    IMPORTRANGE(
      ""1SCYQd7_cobOYqT0r_F0IqD4tE4rYn5y8Eup4PJTH8es"",
      ""Snapshot!A:M""
    ),
    7,
    FALSE
  ),
  0
)
"),6340.0)</f>
        <v>6340</v>
      </c>
      <c r="AJ76" s="54">
        <f>IFERROR(__xludf.DUMMYFUNCTION("IFERROR(
  VLOOKUP(
    A76,
    IMPORTRANGE(
      ""1SCYQd7_cobOYqT0r_F0IqD4tE4rYn5y8Eup4PJTH8es"",
      ""Snapshot!A:M""
    ),
    8,
    FALSE
  ),
  0
)
"),3.0)</f>
        <v>3</v>
      </c>
      <c r="AK76" s="54">
        <f>IFERROR(__xludf.DUMMYFUNCTION("IFERROR(
  VLOOKUP(
    A76,
    IMPORTRANGE(
      ""1SCYQd7_cobOYqT0r_F0IqD4tE4rYn5y8Eup4PJTH8es"",
      ""Snapshot!A:M""
    ),
    9,
    FALSE
  ),
  0
)
"),2.0)</f>
        <v>2</v>
      </c>
      <c r="AL76" s="54">
        <f>IFERROR(__xludf.DUMMYFUNCTION("IFERROR(
  VLOOKUP(
    A76,
    IMPORTRANGE(
      ""1SCYQd7_cobOYqT0r_F0IqD4tE4rYn5y8Eup4PJTH8es"",
      ""Snapshot!A:M""
    ),
    13,
    FALSE
  ),
  0
)
"),2.0)</f>
        <v>2</v>
      </c>
    </row>
    <row r="77">
      <c r="A77" s="3" t="s">
        <v>415</v>
      </c>
      <c r="B77" s="1" t="str">
        <f>IFERROR(__xludf.DUMMYFUNCTION("IFERROR(
  VLOOKUP(
    A77,
    IMPORTRANGE(
      ""1ZygntHC1J6IxzKbTidmOyf5nUyW4GCLurHCjexrLm_o"",
      ""HTMLキャッシュ!A:F""
    ),
    2,
    FALSE
  ),
  0
)
"),"MC")</f>
        <v>MC</v>
      </c>
      <c r="C77" s="1" t="str">
        <f>IFERROR(__xludf.DUMMYFUNCTION("IFERROR(
  VLOOKUP(
    A77,
    IMPORTRANGE(
      ""1ZygntHC1J6IxzKbTidmOyf5nUyW4GCLurHCjexrLm_o"",
      ""HTMLキャッシュ!A:F""
    ),
    5,
    FALSE
  ),
  0
)
"),"早稲田アカデミー対策｜宿題・組分けの回し方｜中学受験算数")</f>
        <v>早稲田アカデミー対策｜宿題・組分けの回し方｜中学受験算数</v>
      </c>
      <c r="D77" s="1" t="str">
        <f>IFERROR(__xludf.DUMMYFUNCTION("IFERROR(
  VLOOKUP(
    A77,
    IMPORTRANGE(
      ""1ZygntHC1J6IxzKbTidmOyf5nUyW4GCLurHCjexrLm_o        "",
      ""HTMLキャッシュ!A:F""
    ),
    6,
    FALSE
  ),
  0
)
"),"早稲アカ生の宿題過多・組分け対策の詰まりを整理。動画予習と復習のデータ管理、時間配分で算数を立て直す。")</f>
        <v>早稲アカ生の宿題過多・組分け対策の詰まりを整理。動画予習と復習のデータ管理、時間配分で算数を立て直す。</v>
      </c>
      <c r="E77" s="49">
        <f t="shared" ref="E77:F77" si="376">LEN(C77)</f>
        <v>28</v>
      </c>
      <c r="F77" s="49">
        <f t="shared" si="376"/>
        <v>51</v>
      </c>
      <c r="G77" s="32">
        <f>IFERROR(__xludf.DUMMYFUNCTION("IFERROR(
  VLOOKUP(
    A77,
    IMPORTRANGE(
      ""1ZygntHC1J6IxzKbTidmOyf5nUyW4GCLurHCjexrLm_o        "",
      ""HTMLキャッシュ!A:F""
    ),
    3,
    FALSE
  ),
  0
)
"),46048.67903935185)</f>
        <v>46048.67904</v>
      </c>
      <c r="H77" s="54">
        <f>IFERROR(__xludf.DUMMYFUNCTION("IFERROR(
  VLOOKUP(
    A77,
    IMPORTRANGE(
      ""1ZHMy3vVUd_0MrSduXTe1etBb1HNpAlGwQr006ljwMiM"",
      ""GSC最新!A:F""
    ),
    2,
    FALSE
  ),
  0
)
"),2.0)</f>
        <v>2</v>
      </c>
      <c r="I77" s="54">
        <f>IFERROR(__xludf.DUMMYFUNCTION("IFERROR(
  VLOOKUP(
    A77,
    IMPORTRANGE(
      ""1ZHMy3vVUd_0MrSduXTe1etBb1HNpAlGwQr006ljwMiM"",
      ""GSC最新!A:F""
    ),
    3,
    FALSE
  ),
  0
)
"),2.0)</f>
        <v>2</v>
      </c>
      <c r="J77" s="54">
        <f>IFERROR(__xludf.DUMMYFUNCTION("IFERROR(
  VLOOKUP(
    A77,
    IMPORTRANGE(
      ""1ZHMy3vVUd_0MrSduXTe1etBb1HNpAlGwQr006ljwMiM"",
      ""GSC最新!A:F""
    ),
    4,
    FALSE
  ),
  0
)
"),0.0)</f>
        <v>0</v>
      </c>
      <c r="K77" s="54">
        <f>IFERROR(__xludf.DUMMYFUNCTION("IFERROR(
  VLOOKUP(
    A77,
    IMPORTRANGE(
      ""1ZHMy3vVUd_0MrSduXTe1etBb1HNpAlGwQr006ljwMiM"",
      ""GSC最新!A:F""
    ),
    5,
    FALSE
  ),
  0
)
"),0.0)</f>
        <v>0</v>
      </c>
      <c r="L77" s="50" t="str">
        <f t="shared" ref="L77:M77" si="377">IFERROR(H77/J77,"-")</f>
        <v>-</v>
      </c>
      <c r="M77" s="50" t="str">
        <f t="shared" si="377"/>
        <v>-</v>
      </c>
      <c r="N77" s="59">
        <f>IFERROR(__xludf.DUMMYFUNCTION("IFERROR(
  VLOOKUP(
    A77,
    IMPORTRANGE(
      ""1ZHMy3vVUd_0MrSduXTe1etBb1HNpAlGwQr006ljwMiM"",
      ""GSC最新!A:R""
    ),
    7,
    FALSE
  ),
  0
)
"),88.0)</f>
        <v>88</v>
      </c>
      <c r="O77" s="59">
        <f>IFERROR(__xludf.DUMMYFUNCTION("IFERROR(
  VLOOKUP(
    A77,
    IMPORTRANGE(
      ""1ZHMy3vVUd_0MrSduXTe1etBb1HNpAlGwQr006ljwMiM"",
      ""GSC最新!A:R""
    ),
    10,
    FALSE
  ),
  0
)
"),121.0)</f>
        <v>121</v>
      </c>
      <c r="P77" s="59">
        <f>IFERROR(__xludf.DUMMYFUNCTION("IFERROR(
  VLOOKUP(
    A77,
    IMPORTRANGE(
      ""1ZHMy3vVUd_0MrSduXTe1etBb1HNpAlGwQr006ljwMiM"",
      ""GSC最新!A:R""
    ),
    13,
    FALSE
  ),
  0
)
"),2.0)</f>
        <v>2</v>
      </c>
      <c r="Q77" s="59">
        <f>IFERROR(__xludf.DUMMYFUNCTION("IFERROR(
  VLOOKUP(
    A77,
    IMPORTRANGE(
      ""1ZHMy3vVUd_0MrSduXTe1etBb1HNpAlGwQr006ljwMiM"",
      ""GSC最新!A:R""
    ),
    16,
    FALSE
  ),
  0
)
"),5.0)</f>
        <v>5</v>
      </c>
      <c r="R77" s="50">
        <f t="shared" ref="R77:S77" si="378">IFERROR(N77/P77,"-")</f>
        <v>44</v>
      </c>
      <c r="S77" s="50">
        <f t="shared" si="378"/>
        <v>24.2</v>
      </c>
      <c r="T77" s="60">
        <f>IFERROR(__xludf.DUMMYFUNCTION("IFERROR(
  VLOOKUP(
    A77,
    IMPORTRANGE(
      ""1ZHMy3vVUd_0MrSduXTe1etBb1HNpAlGwQr006ljwMiM"",
      ""GSC最新!A:R""
    ),
    8,
    FALSE
  ),
  0
)
"),0.022727272727272728)</f>
        <v>0.02272727273</v>
      </c>
      <c r="U77" s="60">
        <f>IFERROR(__xludf.DUMMYFUNCTION("IFERROR(
  VLOOKUP(
    A77,
    IMPORTRANGE(
      ""1ZHMy3vVUd_0MrSduXTe1etBb1HNpAlGwQr006ljwMiM"",
      ""GSC最新!A:R""
    ),
    11,
    FALSE
  ),
  0
)
"),0.01652892561983471)</f>
        <v>0.01652892562</v>
      </c>
      <c r="V77" s="60">
        <f>IFERROR(__xludf.DUMMYFUNCTION("IFERROR(
  VLOOKUP(
    A77,
    IMPORTRANGE(
      ""1ZHMy3vVUd_0MrSduXTe1etBb1HNpAlGwQr006ljwMiM"",
      ""GSC最新!A:R""
    ),
    14,
    FALSE
  ),
  0
)
"),0.0)</f>
        <v>0</v>
      </c>
      <c r="W77" s="60">
        <f>IFERROR(__xludf.DUMMYFUNCTION("IFERROR(
  VLOOKUP(
    A77,
    IMPORTRANGE(
      ""1ZHMy3vVUd_0MrSduXTe1etBb1HNpAlGwQr006ljwMiM"",
      ""GSC最新!A:R""
    ),
    17,
    FALSE
  ),
  0
)
"),0.0)</f>
        <v>0</v>
      </c>
      <c r="X77" s="60">
        <f t="shared" ref="X77:Y77" si="379">IFERROR(T77-V77,"-")</f>
        <v>0.02272727273</v>
      </c>
      <c r="Y77" s="60">
        <f t="shared" si="379"/>
        <v>0.01652892562</v>
      </c>
      <c r="Z77" s="52">
        <f>IFERROR(__xludf.DUMMYFUNCTION("IFERROR(
  VLOOKUP(
    A77,
    IMPORTRANGE(
      ""1ZHMy3vVUd_0MrSduXTe1etBb1HNpAlGwQr006ljwMiM"",
      ""GSC最新!A:R""
    ),
    9,
    FALSE
  ),
  0
)
"),7.386363636363637)</f>
        <v>7.386363636</v>
      </c>
      <c r="AA77" s="52">
        <f>IFERROR(__xludf.DUMMYFUNCTION("IFERROR(
  VLOOKUP(
    A77,
    IMPORTRANGE(
      ""1ZHMy3vVUd_0MrSduXTe1etBb1HNpAlGwQr006ljwMiM"",
      ""GSC最新!A:R""
    ),
    12,
    FALSE
  ),
  0
)
"),8.0)</f>
        <v>8</v>
      </c>
      <c r="AB77" s="52">
        <f>IFERROR(__xludf.DUMMYFUNCTION("IFERROR(
  VLOOKUP(
    A77,
    IMPORTRANGE(
      ""1ZHMy3vVUd_0MrSduXTe1etBb1HNpAlGwQr006ljwMiM"",
      ""GSC最新!A:R""
    ),
    15,
    FALSE
  ),
  0
)
"),65.0)</f>
        <v>65</v>
      </c>
      <c r="AC77" s="52">
        <f>IFERROR(__xludf.DUMMYFUNCTION("IFERROR(
  VLOOKUP(
    A77,
    IMPORTRANGE(
      ""1ZHMy3vVUd_0MrSduXTe1etBb1HNpAlGwQr006ljwMiM"",
      ""GSC最新!A:R""
    ),
    18,
    FALSE
  ),
  0
)
"),49.6)</f>
        <v>49.6</v>
      </c>
      <c r="AD77" s="52">
        <f t="shared" ref="AD77:AE77" si="380">Z77-AB77</f>
        <v>-57.61363636</v>
      </c>
      <c r="AE77" s="52">
        <f t="shared" si="380"/>
        <v>-41.6</v>
      </c>
      <c r="AF77" s="53">
        <f>IFERROR(__xludf.DUMMYFUNCTION("IFERROR(
  VLOOKUP(
    A77,
    IMPORTRANGE(
      ""1ZHMy3vVUd_0MrSduXTe1etBb1HNpAlGwQr006ljwMiM"",
      ""GSC最新!A:F""
    ),
    6,
    FALSE
  ),
  0
)
"),46081.0)</f>
        <v>46081</v>
      </c>
      <c r="AG77" s="54">
        <f>IFERROR(__xludf.DUMMYFUNCTION("IFERROR(
  VLOOKUP(
    A77,
    IMPORTRANGE(
      ""1SCYQd7_cobOYqT0r_F0IqD4tE4rYn5y8Eup4PJTH8es"",
      ""Snapshot!A:M""
    ),
    5,
    FALSE
  ),
  ""-""
)
"),2.0)</f>
        <v>2</v>
      </c>
      <c r="AH77" s="54">
        <f>IFERROR(__xludf.DUMMYFUNCTION("IFERROR(
  VLOOKUP(
    A77,
    IMPORTRANGE(
      ""1SCYQd7_cobOYqT0r_F0IqD4tE4rYn5y8Eup4PJTH8es"",
      ""Snapshot!A:M""
    ),
    6,
    FALSE
  ),
  0
)
"),0.0)</f>
        <v>0</v>
      </c>
      <c r="AI77" s="54">
        <f>IFERROR(__xludf.DUMMYFUNCTION("IFERROR(
  VLOOKUP(
    A77,
    IMPORTRANGE(
      ""1SCYQd7_cobOYqT0r_F0IqD4tE4rYn5y8Eup4PJTH8es"",
      ""Snapshot!A:M""
    ),
    7,
    FALSE
  ),
  0
)
"),2086.0)</f>
        <v>2086</v>
      </c>
      <c r="AJ77" s="54">
        <f>IFERROR(__xludf.DUMMYFUNCTION("IFERROR(
  VLOOKUP(
    A77,
    IMPORTRANGE(
      ""1SCYQd7_cobOYqT0r_F0IqD4tE4rYn5y8Eup4PJTH8es"",
      ""Snapshot!A:M""
    ),
    8,
    FALSE
  ),
  0
)
"),5.0)</f>
        <v>5</v>
      </c>
      <c r="AK77" s="54">
        <f>IFERROR(__xludf.DUMMYFUNCTION("IFERROR(
  VLOOKUP(
    A77,
    IMPORTRANGE(
      ""1SCYQd7_cobOYqT0r_F0IqD4tE4rYn5y8Eup4PJTH8es"",
      ""Snapshot!A:M""
    ),
    9,
    FALSE
  ),
  0
)
"),1.0)</f>
        <v>1</v>
      </c>
      <c r="AL77" s="54">
        <f>IFERROR(__xludf.DUMMYFUNCTION("IFERROR(
  VLOOKUP(
    A77,
    IMPORTRANGE(
      ""1SCYQd7_cobOYqT0r_F0IqD4tE4rYn5y8Eup4PJTH8es"",
      ""Snapshot!A:M""
    ),
    13,
    FALSE
  ),
  0
)
"),2.0)</f>
        <v>2</v>
      </c>
    </row>
    <row r="78">
      <c r="A78" s="56" t="s">
        <v>416</v>
      </c>
      <c r="B78" s="1" t="str">
        <f>IFERROR(__xludf.DUMMYFUNCTION("IFERROR(
  VLOOKUP(
    A78,
    IMPORTRANGE(
      ""1ZygntHC1J6IxzKbTidmOyf5nUyW4GCLurHCjexrLm_o"",
      ""HTMLキャッシュ!A:F""
    ),
    2,
    FALSE
  ),
  0
)
"),"MC")</f>
        <v>MC</v>
      </c>
      <c r="C78" s="1" t="str">
        <f>IFERROR(__xludf.DUMMYFUNCTION("IFERROR(
  VLOOKUP(
    A78,
    IMPORTRANGE(
      ""1ZygntHC1J6IxzKbTidmOyf5nUyW4GCLurHCjexrLm_o"",
      ""HTMLキャッシュ!A:F""
    ),
    5,
    FALSE
  ),
  0
)
"),"Hub Onlineの使い方 オンライン教材を成果につなげる手順")</f>
        <v>Hub Onlineの使い方 オンライン教材を成果につなげる手順</v>
      </c>
      <c r="D78" s="1" t="str">
        <f>IFERROR(__xludf.DUMMYFUNCTION("IFERROR(
  VLOOKUP(
    A78,
    IMPORTRANGE(
      ""1ZygntHC1J6IxzKbTidmOyf5nUyW4GCLurHCjexrLm_o        "",
      ""HTMLキャッシュ!A:F""
    ),
    6,
    FALSE
  ),
  0
)
"),"小4土台→小5弱点補強→小6過去問。塾併用の設計、宿題停滞・計算ミス対策まで整理。")</f>
        <v>小4土台→小5弱点補強→小6過去問。塾併用の設計、宿題停滞・計算ミス対策まで整理。</v>
      </c>
      <c r="E78" s="49">
        <f t="shared" ref="E78:F78" si="381">LEN(C78)</f>
        <v>32</v>
      </c>
      <c r="F78" s="49">
        <f t="shared" si="381"/>
        <v>41</v>
      </c>
      <c r="G78" s="32">
        <f>IFERROR(__xludf.DUMMYFUNCTION("IFERROR(
  VLOOKUP(
    A78,
    IMPORTRANGE(
      ""1ZygntHC1J6IxzKbTidmOyf5nUyW4GCLurHCjexrLm_o        "",
      ""HTMLキャッシュ!A:F""
    ),
    3,
    FALSE
  ),
  0
)
"),46076.68376157407)</f>
        <v>46076.68376</v>
      </c>
      <c r="H78" s="54">
        <f>IFERROR(__xludf.DUMMYFUNCTION("IFERROR(
  VLOOKUP(
    A78,
    IMPORTRANGE(
      ""1ZHMy3vVUd_0MrSduXTe1etBb1HNpAlGwQr006ljwMiM"",
      ""GSC最新!A:F""
    ),
    2,
    FALSE
  ),
  0
)
"),1.0)</f>
        <v>1</v>
      </c>
      <c r="I78" s="54">
        <f>IFERROR(__xludf.DUMMYFUNCTION("IFERROR(
  VLOOKUP(
    A78,
    IMPORTRANGE(
      ""1ZHMy3vVUd_0MrSduXTe1etBb1HNpAlGwQr006ljwMiM"",
      ""GSC最新!A:F""
    ),
    3,
    FALSE
  ),
  0
)
"),1.0)</f>
        <v>1</v>
      </c>
      <c r="J78" s="54">
        <f>IFERROR(__xludf.DUMMYFUNCTION("IFERROR(
  VLOOKUP(
    A78,
    IMPORTRANGE(
      ""1ZHMy3vVUd_0MrSduXTe1etBb1HNpAlGwQr006ljwMiM"",
      ""GSC最新!A:F""
    ),
    4,
    FALSE
  ),
  0
)
"),0.0)</f>
        <v>0</v>
      </c>
      <c r="K78" s="54">
        <f>IFERROR(__xludf.DUMMYFUNCTION("IFERROR(
  VLOOKUP(
    A78,
    IMPORTRANGE(
      ""1ZHMy3vVUd_0MrSduXTe1etBb1HNpAlGwQr006ljwMiM"",
      ""GSC最新!A:F""
    ),
    5,
    FALSE
  ),
  0
)
"),0.0)</f>
        <v>0</v>
      </c>
      <c r="L78" s="50" t="str">
        <f t="shared" ref="L78:M78" si="382">IFERROR(H78/J78,"-")</f>
        <v>-</v>
      </c>
      <c r="M78" s="50" t="str">
        <f t="shared" si="382"/>
        <v>-</v>
      </c>
      <c r="N78" s="59">
        <f>IFERROR(__xludf.DUMMYFUNCTION("IFERROR(
  VLOOKUP(
    A78,
    IMPORTRANGE(
      ""1ZHMy3vVUd_0MrSduXTe1etBb1HNpAlGwQr006ljwMiM"",
      ""GSC最新!A:R""
    ),
    7,
    FALSE
  ),
  0
)
"),40.0)</f>
        <v>40</v>
      </c>
      <c r="O78" s="59">
        <f>IFERROR(__xludf.DUMMYFUNCTION("IFERROR(
  VLOOKUP(
    A78,
    IMPORTRANGE(
      ""1ZHMy3vVUd_0MrSduXTe1etBb1HNpAlGwQr006ljwMiM"",
      ""GSC最新!A:R""
    ),
    10,
    FALSE
  ),
  0
)
"),67.0)</f>
        <v>67</v>
      </c>
      <c r="P78" s="59">
        <f>IFERROR(__xludf.DUMMYFUNCTION("IFERROR(
  VLOOKUP(
    A78,
    IMPORTRANGE(
      ""1ZHMy3vVUd_0MrSduXTe1etBb1HNpAlGwQr006ljwMiM"",
      ""GSC最新!A:R""
    ),
    13,
    FALSE
  ),
  0
)
"),0.0)</f>
        <v>0</v>
      </c>
      <c r="Q78" s="59">
        <f>IFERROR(__xludf.DUMMYFUNCTION("IFERROR(
  VLOOKUP(
    A78,
    IMPORTRANGE(
      ""1ZHMy3vVUd_0MrSduXTe1etBb1HNpAlGwQr006ljwMiM"",
      ""GSC最新!A:R""
    ),
    16,
    FALSE
  ),
  0
)
"),0.0)</f>
        <v>0</v>
      </c>
      <c r="R78" s="50" t="str">
        <f t="shared" ref="R78:S78" si="383">IFERROR(N78/P78,"-")</f>
        <v>-</v>
      </c>
      <c r="S78" s="50" t="str">
        <f t="shared" si="383"/>
        <v>-</v>
      </c>
      <c r="T78" s="60">
        <f>IFERROR(__xludf.DUMMYFUNCTION("IFERROR(
  VLOOKUP(
    A78,
    IMPORTRANGE(
      ""1ZHMy3vVUd_0MrSduXTe1etBb1HNpAlGwQr006ljwMiM"",
      ""GSC最新!A:R""
    ),
    8,
    FALSE
  ),
  0
)
"),0.025)</f>
        <v>0.025</v>
      </c>
      <c r="U78" s="60">
        <f>IFERROR(__xludf.DUMMYFUNCTION("IFERROR(
  VLOOKUP(
    A78,
    IMPORTRANGE(
      ""1ZHMy3vVUd_0MrSduXTe1etBb1HNpAlGwQr006ljwMiM"",
      ""GSC最新!A:R""
    ),
    11,
    FALSE
  ),
  0
)
"),0.014925373134328358)</f>
        <v>0.01492537313</v>
      </c>
      <c r="V78" s="60">
        <f>IFERROR(__xludf.DUMMYFUNCTION("IFERROR(
  VLOOKUP(
    A78,
    IMPORTRANGE(
      ""1ZHMy3vVUd_0MrSduXTe1etBb1HNpAlGwQr006ljwMiM"",
      ""GSC最新!A:R""
    ),
    14,
    FALSE
  ),
  0
)
"),0.0)</f>
        <v>0</v>
      </c>
      <c r="W78" s="60">
        <f>IFERROR(__xludf.DUMMYFUNCTION("IFERROR(
  VLOOKUP(
    A78,
    IMPORTRANGE(
      ""1ZHMy3vVUd_0MrSduXTe1etBb1HNpAlGwQr006ljwMiM"",
      ""GSC最新!A:R""
    ),
    17,
    FALSE
  ),
  0
)
"),0.0)</f>
        <v>0</v>
      </c>
      <c r="X78" s="60">
        <f t="shared" ref="X78:Y78" si="384">IFERROR(T78-V78,"-")</f>
        <v>0.025</v>
      </c>
      <c r="Y78" s="60">
        <f t="shared" si="384"/>
        <v>0.01492537313</v>
      </c>
      <c r="Z78" s="52">
        <f>IFERROR(__xludf.DUMMYFUNCTION("IFERROR(
  VLOOKUP(
    A78,
    IMPORTRANGE(
      ""1ZHMy3vVUd_0MrSduXTe1etBb1HNpAlGwQr006ljwMiM"",
      ""GSC最新!A:R""
    ),
    9,
    FALSE
  ),
  0
)
"),18.375)</f>
        <v>18.375</v>
      </c>
      <c r="AA78" s="52">
        <f>IFERROR(__xludf.DUMMYFUNCTION("IFERROR(
  VLOOKUP(
    A78,
    IMPORTRANGE(
      ""1ZHMy3vVUd_0MrSduXTe1etBb1HNpAlGwQr006ljwMiM"",
      ""GSC最新!A:R""
    ),
    12,
    FALSE
  ),
  0
)
"),14.776119402985074)</f>
        <v>14.7761194</v>
      </c>
      <c r="AB78" s="52" t="str">
        <f>IFERROR(__xludf.DUMMYFUNCTION("IFERROR(
  VLOOKUP(
    A78,
    IMPORTRANGE(
      ""1ZHMy3vVUd_0MrSduXTe1etBb1HNpAlGwQr006ljwMiM"",
      ""GSC最新!A:R""
    ),
    15,
    FALSE
  ),
  0
)
"),"")</f>
        <v/>
      </c>
      <c r="AC78" s="52" t="str">
        <f>IFERROR(__xludf.DUMMYFUNCTION("IFERROR(
  VLOOKUP(
    A78,
    IMPORTRANGE(
      ""1ZHMy3vVUd_0MrSduXTe1etBb1HNpAlGwQr006ljwMiM"",
      ""GSC最新!A:R""
    ),
    18,
    FALSE
  ),
  0
)
"),"")</f>
        <v/>
      </c>
      <c r="AD78" s="52">
        <f t="shared" ref="AD78:AE78" si="385">Z78-AB78</f>
        <v>18.375</v>
      </c>
      <c r="AE78" s="52">
        <f t="shared" si="385"/>
        <v>14.7761194</v>
      </c>
      <c r="AF78" s="53">
        <f>IFERROR(__xludf.DUMMYFUNCTION("IFERROR(
  VLOOKUP(
    A78,
    IMPORTRANGE(
      ""1ZHMy3vVUd_0MrSduXTe1etBb1HNpAlGwQr006ljwMiM"",
      ""GSC最新!A:F""
    ),
    6,
    FALSE
  ),
  0
)
"),46081.0)</f>
        <v>46081</v>
      </c>
      <c r="AG78" s="54">
        <f>IFERROR(__xludf.DUMMYFUNCTION("IFERROR(
  VLOOKUP(
    A78,
    IMPORTRANGE(
      ""1SCYQd7_cobOYqT0r_F0IqD4tE4rYn5y8Eup4PJTH8es"",
      ""Snapshot!A:M""
    ),
    5,
    FALSE
  ),
  ""-""
)
"),7.0)</f>
        <v>7</v>
      </c>
      <c r="AH78" s="54">
        <f>IFERROR(__xludf.DUMMYFUNCTION("IFERROR(
  VLOOKUP(
    A78,
    IMPORTRANGE(
      ""1SCYQd7_cobOYqT0r_F0IqD4tE4rYn5y8Eup4PJTH8es"",
      ""Snapshot!A:M""
    ),
    6,
    FALSE
  ),
  0
)
"),10.0)</f>
        <v>10</v>
      </c>
      <c r="AI78" s="54">
        <f>IFERROR(__xludf.DUMMYFUNCTION("IFERROR(
  VLOOKUP(
    A78,
    IMPORTRANGE(
      ""1SCYQd7_cobOYqT0r_F0IqD4tE4rYn5y8Eup4PJTH8es"",
      ""Snapshot!A:M""
    ),
    7,
    FALSE
  ),
  0
)
"),3376.0)</f>
        <v>3376</v>
      </c>
      <c r="AJ78" s="54">
        <f>IFERROR(__xludf.DUMMYFUNCTION("IFERROR(
  VLOOKUP(
    A78,
    IMPORTRANGE(
      ""1SCYQd7_cobOYqT0r_F0IqD4tE4rYn5y8Eup4PJTH8es"",
      ""Snapshot!A:M""
    ),
    8,
    FALSE
  ),
  0
)
"),13.0)</f>
        <v>13</v>
      </c>
      <c r="AK78" s="54">
        <f>IFERROR(__xludf.DUMMYFUNCTION("IFERROR(
  VLOOKUP(
    A78,
    IMPORTRANGE(
      ""1SCYQd7_cobOYqT0r_F0IqD4tE4rYn5y8Eup4PJTH8es"",
      ""Snapshot!A:M""
    ),
    9,
    FALSE
  ),
  0
)
"),2.0)</f>
        <v>2</v>
      </c>
      <c r="AL78" s="54">
        <f>IFERROR(__xludf.DUMMYFUNCTION("IFERROR(
  VLOOKUP(
    A78,
    IMPORTRANGE(
      ""1SCYQd7_cobOYqT0r_F0IqD4tE4rYn5y8Eup4PJTH8es"",
      ""Snapshot!A:M""
    ),
    13,
    FALSE
  ),
  0
)
"),2.0)</f>
        <v>2</v>
      </c>
    </row>
    <row r="79">
      <c r="A79" s="3" t="s">
        <v>71</v>
      </c>
      <c r="B79" s="1" t="str">
        <f>IFERROR(__xludf.DUMMYFUNCTION("IFERROR(
  VLOOKUP(
    A79,
    IMPORTRANGE(
      ""1ZygntHC1J6IxzKbTidmOyf5nUyW4GCLurHCjexrLm_o"",
      ""HTMLキャッシュ!A:F""
    ),
    2,
    FALSE
  ),
  0
)
"),"-")</f>
        <v>-</v>
      </c>
      <c r="C79" s="1" t="str">
        <f>IFERROR(__xludf.DUMMYFUNCTION("IFERROR(
  VLOOKUP(
    A79,
    IMPORTRANGE(
      ""1ZygntHC1J6IxzKbTidmOyf5nUyW4GCLurHCjexrLm_o"",
      ""HTMLキャッシュ!A:F""
    ),
    5,
    FALSE
  ),
  0
)
"),"Japan and Singapore: Two Paths to Logical Thinking in Elementary Math - 中学受験専門 夏井算数塾")</f>
        <v>Japan and Singapore: Two Paths to Logical Thinking in Elementary Math - 中学受験専門 夏井算数塾</v>
      </c>
      <c r="D79" s="1" t="str">
        <f>IFERROR(__xludf.DUMMYFUNCTION("IFERROR(
  VLOOKUP(
    A79,
    IMPORTRANGE(
      ""1ZygntHC1J6IxzKbTidmOyf5nUyW4GCLurHCjexrLm_o        "",
      ""HTMLキャッシュ!A:F""
    ),
    6,
    FALSE
  ),
  0
)
"),"Imagine two ten-year-old children. One is in Tokyo, the")</f>
        <v>Imagine two ten-year-old children. One is in Tokyo, the</v>
      </c>
      <c r="E79" s="49">
        <f t="shared" ref="E79:F79" si="386">LEN(C79)</f>
        <v>84</v>
      </c>
      <c r="F79" s="49">
        <f t="shared" si="386"/>
        <v>55</v>
      </c>
      <c r="G79" s="32">
        <f>IFERROR(__xludf.DUMMYFUNCTION("IFERROR(
  VLOOKUP(
    A79,
    IMPORTRANGE(
      ""1ZygntHC1J6IxzKbTidmOyf5nUyW4GCLurHCjexrLm_o        "",
      ""HTMLキャッシュ!A:F""
    ),
    3,
    FALSE
  ),
  0
)
"),45914.810960648145)</f>
        <v>45914.81096</v>
      </c>
      <c r="H79" s="54">
        <f>IFERROR(__xludf.DUMMYFUNCTION("IFERROR(
  VLOOKUP(
    A79,
    IMPORTRANGE(
      ""1ZHMy3vVUd_0MrSduXTe1etBb1HNpAlGwQr006ljwMiM"",
      ""GSC最新!A:F""
    ),
    2,
    FALSE
  ),
  0
)
"),0.0)</f>
        <v>0</v>
      </c>
      <c r="I79" s="54">
        <f>IFERROR(__xludf.DUMMYFUNCTION("IFERROR(
  VLOOKUP(
    A79,
    IMPORTRANGE(
      ""1ZHMy3vVUd_0MrSduXTe1etBb1HNpAlGwQr006ljwMiM"",
      ""GSC最新!A:F""
    ),
    3,
    FALSE
  ),
  0
)
"),1.0)</f>
        <v>1</v>
      </c>
      <c r="J79" s="54">
        <f>IFERROR(__xludf.DUMMYFUNCTION("IFERROR(
  VLOOKUP(
    A79,
    IMPORTRANGE(
      ""1ZHMy3vVUd_0MrSduXTe1etBb1HNpAlGwQr006ljwMiM"",
      ""GSC最新!A:F""
    ),
    4,
    FALSE
  ),
  0
)
"),0.0)</f>
        <v>0</v>
      </c>
      <c r="K79" s="54">
        <f>IFERROR(__xludf.DUMMYFUNCTION("IFERROR(
  VLOOKUP(
    A79,
    IMPORTRANGE(
      ""1ZHMy3vVUd_0MrSduXTe1etBb1HNpAlGwQr006ljwMiM"",
      ""GSC最新!A:F""
    ),
    5,
    FALSE
  ),
  0
)
"),0.0)</f>
        <v>0</v>
      </c>
      <c r="L79" s="50" t="str">
        <f t="shared" ref="L79:M79" si="387">IFERROR(H79/J79,"-")</f>
        <v>-</v>
      </c>
      <c r="M79" s="50" t="str">
        <f t="shared" si="387"/>
        <v>-</v>
      </c>
      <c r="N79" s="59">
        <f>IFERROR(__xludf.DUMMYFUNCTION("IFERROR(
  VLOOKUP(
    A79,
    IMPORTRANGE(
      ""1ZHMy3vVUd_0MrSduXTe1etBb1HNpAlGwQr006ljwMiM"",
      ""GSC最新!A:R""
    ),
    7,
    FALSE
  ),
  0
)
"),24.0)</f>
        <v>24</v>
      </c>
      <c r="O79" s="59">
        <f>IFERROR(__xludf.DUMMYFUNCTION("IFERROR(
  VLOOKUP(
    A79,
    IMPORTRANGE(
      ""1ZHMy3vVUd_0MrSduXTe1etBb1HNpAlGwQr006ljwMiM"",
      ""GSC最新!A:R""
    ),
    10,
    FALSE
  ),
  0
)
"),64.0)</f>
        <v>64</v>
      </c>
      <c r="P79" s="59">
        <f>IFERROR(__xludf.DUMMYFUNCTION("IFERROR(
  VLOOKUP(
    A79,
    IMPORTRANGE(
      ""1ZHMy3vVUd_0MrSduXTe1etBb1HNpAlGwQr006ljwMiM"",
      ""GSC最新!A:R""
    ),
    13,
    FALSE
  ),
  0
)
"),0.0)</f>
        <v>0</v>
      </c>
      <c r="Q79" s="59">
        <f>IFERROR(__xludf.DUMMYFUNCTION("IFERROR(
  VLOOKUP(
    A79,
    IMPORTRANGE(
      ""1ZHMy3vVUd_0MrSduXTe1etBb1HNpAlGwQr006ljwMiM"",
      ""GSC最新!A:R""
    ),
    16,
    FALSE
  ),
  0
)
"),0.0)</f>
        <v>0</v>
      </c>
      <c r="R79" s="50" t="str">
        <f t="shared" ref="R79:S79" si="388">IFERROR(N79/P79,"-")</f>
        <v>-</v>
      </c>
      <c r="S79" s="50" t="str">
        <f t="shared" si="388"/>
        <v>-</v>
      </c>
      <c r="T79" s="60">
        <f>IFERROR(__xludf.DUMMYFUNCTION("IFERROR(
  VLOOKUP(
    A79,
    IMPORTRANGE(
      ""1ZHMy3vVUd_0MrSduXTe1etBb1HNpAlGwQr006ljwMiM"",
      ""GSC最新!A:R""
    ),
    8,
    FALSE
  ),
  0
)
"),0.0)</f>
        <v>0</v>
      </c>
      <c r="U79" s="60">
        <f>IFERROR(__xludf.DUMMYFUNCTION("IFERROR(
  VLOOKUP(
    A79,
    IMPORTRANGE(
      ""1ZHMy3vVUd_0MrSduXTe1etBb1HNpAlGwQr006ljwMiM"",
      ""GSC最新!A:R""
    ),
    11,
    FALSE
  ),
  0
)
"),0.015625)</f>
        <v>0.015625</v>
      </c>
      <c r="V79" s="60">
        <f>IFERROR(__xludf.DUMMYFUNCTION("IFERROR(
  VLOOKUP(
    A79,
    IMPORTRANGE(
      ""1ZHMy3vVUd_0MrSduXTe1etBb1HNpAlGwQr006ljwMiM"",
      ""GSC最新!A:R""
    ),
    14,
    FALSE
  ),
  0
)
"),0.0)</f>
        <v>0</v>
      </c>
      <c r="W79" s="60">
        <f>IFERROR(__xludf.DUMMYFUNCTION("IFERROR(
  VLOOKUP(
    A79,
    IMPORTRANGE(
      ""1ZHMy3vVUd_0MrSduXTe1etBb1HNpAlGwQr006ljwMiM"",
      ""GSC最新!A:R""
    ),
    17,
    FALSE
  ),
  0
)
"),0.0)</f>
        <v>0</v>
      </c>
      <c r="X79" s="60">
        <f t="shared" ref="X79:Y79" si="389">IFERROR(T79-V79,"-")</f>
        <v>0</v>
      </c>
      <c r="Y79" s="60">
        <f t="shared" si="389"/>
        <v>0.015625</v>
      </c>
      <c r="Z79" s="52">
        <f>IFERROR(__xludf.DUMMYFUNCTION("IFERROR(
  VLOOKUP(
    A79,
    IMPORTRANGE(
      ""1ZHMy3vVUd_0MrSduXTe1etBb1HNpAlGwQr006ljwMiM"",
      ""GSC最新!A:R""
    ),
    9,
    FALSE
  ),
  0
)
"),5.666666666666667)</f>
        <v>5.666666667</v>
      </c>
      <c r="AA79" s="52">
        <f>IFERROR(__xludf.DUMMYFUNCTION("IFERROR(
  VLOOKUP(
    A79,
    IMPORTRANGE(
      ""1ZHMy3vVUd_0MrSduXTe1etBb1HNpAlGwQr006ljwMiM"",
      ""GSC最新!A:R""
    ),
    12,
    FALSE
  ),
  0
)
"),5.8125)</f>
        <v>5.8125</v>
      </c>
      <c r="AB79" s="52" t="str">
        <f>IFERROR(__xludf.DUMMYFUNCTION("IFERROR(
  VLOOKUP(
    A79,
    IMPORTRANGE(
      ""1ZHMy3vVUd_0MrSduXTe1etBb1HNpAlGwQr006ljwMiM"",
      ""GSC最新!A:R""
    ),
    15,
    FALSE
  ),
  0
)
"),"")</f>
        <v/>
      </c>
      <c r="AC79" s="52" t="str">
        <f>IFERROR(__xludf.DUMMYFUNCTION("IFERROR(
  VLOOKUP(
    A79,
    IMPORTRANGE(
      ""1ZHMy3vVUd_0MrSduXTe1etBb1HNpAlGwQr006ljwMiM"",
      ""GSC最新!A:R""
    ),
    18,
    FALSE
  ),
  0
)
"),"")</f>
        <v/>
      </c>
      <c r="AD79" s="52">
        <f t="shared" ref="AD79:AE79" si="390">Z79-AB79</f>
        <v>5.666666667</v>
      </c>
      <c r="AE79" s="52">
        <f t="shared" si="390"/>
        <v>5.8125</v>
      </c>
      <c r="AF79" s="53">
        <f>IFERROR(__xludf.DUMMYFUNCTION("IFERROR(
  VLOOKUP(
    A79,
    IMPORTRANGE(
      ""1ZHMy3vVUd_0MrSduXTe1etBb1HNpAlGwQr006ljwMiM"",
      ""GSC最新!A:F""
    ),
    6,
    FALSE
  ),
  0
)
"),46081.0)</f>
        <v>46081</v>
      </c>
      <c r="AG79" s="54">
        <f>IFERROR(__xludf.DUMMYFUNCTION("IFERROR(
  VLOOKUP(
    A79,
    IMPORTRANGE(
      ""1SCYQd7_cobOYqT0r_F0IqD4tE4rYn5y8Eup4PJTH8es"",
      ""Snapshot!A:M""
    ),
    5,
    FALSE
  ),
  ""-""
)
"),5.0)</f>
        <v>5</v>
      </c>
      <c r="AH79" s="54">
        <f>IFERROR(__xludf.DUMMYFUNCTION("IFERROR(
  VLOOKUP(
    A79,
    IMPORTRANGE(
      ""1SCYQd7_cobOYqT0r_F0IqD4tE4rYn5y8Eup4PJTH8es"",
      ""Snapshot!A:M""
    ),
    6,
    FALSE
  ),
  0
)
"),15.0)</f>
        <v>15</v>
      </c>
      <c r="AI79" s="54">
        <f>IFERROR(__xludf.DUMMYFUNCTION("IFERROR(
  VLOOKUP(
    A79,
    IMPORTRANGE(
      ""1SCYQd7_cobOYqT0r_F0IqD4tE4rYn5y8Eup4PJTH8es"",
      ""Snapshot!A:M""
    ),
    7,
    FALSE
  ),
  0
)
"),14743.0)</f>
        <v>14743</v>
      </c>
      <c r="AJ79" s="54">
        <f>IFERROR(__xludf.DUMMYFUNCTION("IFERROR(
  VLOOKUP(
    A79,
    IMPORTRANGE(
      ""1SCYQd7_cobOYqT0r_F0IqD4tE4rYn5y8Eup4PJTH8es"",
      ""Snapshot!A:M""
    ),
    8,
    FALSE
  ),
  0
)
"),0.0)</f>
        <v>0</v>
      </c>
      <c r="AK79" s="54">
        <f>IFERROR(__xludf.DUMMYFUNCTION("IFERROR(
  VLOOKUP(
    A79,
    IMPORTRANGE(
      ""1SCYQd7_cobOYqT0r_F0IqD4tE4rYn5y8Eup4PJTH8es"",
      ""Snapshot!A:M""
    ),
    9,
    FALSE
  ),
  0
)
"),1.0)</f>
        <v>1</v>
      </c>
      <c r="AL79" s="54">
        <f>IFERROR(__xludf.DUMMYFUNCTION("IFERROR(
  VLOOKUP(
    A79,
    IMPORTRANGE(
      ""1SCYQd7_cobOYqT0r_F0IqD4tE4rYn5y8Eup4PJTH8es"",
      ""Snapshot!A:M""
    ),
    13,
    FALSE
  ),
  0
)
"),2.0)</f>
        <v>2</v>
      </c>
    </row>
    <row r="80">
      <c r="A80" s="3" t="s">
        <v>417</v>
      </c>
      <c r="B80" s="1" t="str">
        <f>IFERROR(__xludf.DUMMYFUNCTION("IFERROR(
  VLOOKUP(
    A80,
    IMPORTRANGE(
      ""1ZygntHC1J6IxzKbTidmOyf5nUyW4GCLurHCjexrLm_o"",
      ""HTMLキャッシュ!A:F""
    ),
    2,
    FALSE
  ),
  0
)
"),"SC")</f>
        <v>SC</v>
      </c>
      <c r="C80" s="1" t="str">
        <f>IFERROR(__xludf.DUMMYFUNCTION("IFERROR(
  VLOOKUP(
    A80,
    IMPORTRANGE(
      ""1ZygntHC1J6IxzKbTidmOyf5nUyW4GCLurHCjexrLm_o"",
      ""HTMLキャッシュ!A:F""
    ),
    5,
    FALSE
  ),
  0
)
"),"塾との併用で効果を最大化するオンライン算数 個別指導の使い方 - 中学受験専門 夏井算数塾")</f>
        <v>塾との併用で効果を最大化するオンライン算数 個別指導の使い方 - 中学受験専門 夏井算数塾</v>
      </c>
      <c r="D80" s="1" t="str">
        <f>IFERROR(__xludf.DUMMYFUNCTION("IFERROR(
  VLOOKUP(
    A80,
    IMPORTRANGE(
      ""1ZygntHC1J6IxzKbTidmOyf5nUyW4GCLurHCjexrLm_o        "",
      ""HTMLキャッシュ!A:F""
    ),
    6,
    FALSE
  ),
  0
)
"),"中学受験の塾通いにオンライン算数 個別指導をどう足すかで成績は変わります。宿題量を増やさず弱点を補強する併用スケジュールと、失敗しない教室の選び方を具体例付きで解説。")</f>
        <v>中学受験の塾通いにオンライン算数 個別指導をどう足すかで成績は変わります。宿題量を増やさず弱点を補強する併用スケジュールと、失敗しない教室の選び方を具体例付きで解説。</v>
      </c>
      <c r="E80" s="49">
        <f t="shared" ref="E80:F80" si="391">LEN(C80)</f>
        <v>45</v>
      </c>
      <c r="F80" s="49">
        <f t="shared" si="391"/>
        <v>83</v>
      </c>
      <c r="G80" s="32">
        <f>IFERROR(__xludf.DUMMYFUNCTION("IFERROR(
  VLOOKUP(
    A80,
    IMPORTRANGE(
      ""1ZygntHC1J6IxzKbTidmOyf5nUyW4GCLurHCjexrLm_o        "",
      ""HTMLキャッシュ!A:F""
    ),
    3,
    FALSE
  ),
  0
)
"),46069.60655092593)</f>
        <v>46069.60655</v>
      </c>
      <c r="H80" s="54">
        <f>IFERROR(__xludf.DUMMYFUNCTION("IFERROR(
  VLOOKUP(
    A80,
    IMPORTRANGE(
      ""1ZHMy3vVUd_0MrSduXTe1etBb1HNpAlGwQr006ljwMiM"",
      ""GSC最新!A:F""
    ),
    2,
    FALSE
  ),
  0
)
"),0.0)</f>
        <v>0</v>
      </c>
      <c r="I80" s="54">
        <f>IFERROR(__xludf.DUMMYFUNCTION("IFERROR(
  VLOOKUP(
    A80,
    IMPORTRANGE(
      ""1ZHMy3vVUd_0MrSduXTe1etBb1HNpAlGwQr006ljwMiM"",
      ""GSC最新!A:F""
    ),
    3,
    FALSE
  ),
  0
)
"),1.0)</f>
        <v>1</v>
      </c>
      <c r="J80" s="54">
        <f>IFERROR(__xludf.DUMMYFUNCTION("IFERROR(
  VLOOKUP(
    A80,
    IMPORTRANGE(
      ""1ZHMy3vVUd_0MrSduXTe1etBb1HNpAlGwQr006ljwMiM"",
      ""GSC最新!A:F""
    ),
    4,
    FALSE
  ),
  0
)
"),0.0)</f>
        <v>0</v>
      </c>
      <c r="K80" s="54">
        <f>IFERROR(__xludf.DUMMYFUNCTION("IFERROR(
  VLOOKUP(
    A80,
    IMPORTRANGE(
      ""1ZHMy3vVUd_0MrSduXTe1etBb1HNpAlGwQr006ljwMiM"",
      ""GSC最新!A:F""
    ),
    5,
    FALSE
  ),
  0
)
"),0.0)</f>
        <v>0</v>
      </c>
      <c r="L80" s="50" t="str">
        <f t="shared" ref="L80:M80" si="392">IFERROR(H80/J80,"-")</f>
        <v>-</v>
      </c>
      <c r="M80" s="50" t="str">
        <f t="shared" si="392"/>
        <v>-</v>
      </c>
      <c r="N80" s="59">
        <f>IFERROR(__xludf.DUMMYFUNCTION("IFERROR(
  VLOOKUP(
    A80,
    IMPORTRANGE(
      ""1ZHMy3vVUd_0MrSduXTe1etBb1HNpAlGwQr006ljwMiM"",
      ""GSC最新!A:R""
    ),
    7,
    FALSE
  ),
  0
)
"),12.0)</f>
        <v>12</v>
      </c>
      <c r="O80" s="59">
        <f>IFERROR(__xludf.DUMMYFUNCTION("IFERROR(
  VLOOKUP(
    A80,
    IMPORTRANGE(
      ""1ZHMy3vVUd_0MrSduXTe1etBb1HNpAlGwQr006ljwMiM"",
      ""GSC最新!A:R""
    ),
    10,
    FALSE
  ),
  0
)
"),52.0)</f>
        <v>52</v>
      </c>
      <c r="P80" s="59">
        <f>IFERROR(__xludf.DUMMYFUNCTION("IFERROR(
  VLOOKUP(
    A80,
    IMPORTRANGE(
      ""1ZHMy3vVUd_0MrSduXTe1etBb1HNpAlGwQr006ljwMiM"",
      ""GSC最新!A:R""
    ),
    13,
    FALSE
  ),
  0
)
"),0.0)</f>
        <v>0</v>
      </c>
      <c r="Q80" s="59">
        <f>IFERROR(__xludf.DUMMYFUNCTION("IFERROR(
  VLOOKUP(
    A80,
    IMPORTRANGE(
      ""1ZHMy3vVUd_0MrSduXTe1etBb1HNpAlGwQr006ljwMiM"",
      ""GSC最新!A:R""
    ),
    16,
    FALSE
  ),
  0
)
"),0.0)</f>
        <v>0</v>
      </c>
      <c r="R80" s="50" t="str">
        <f t="shared" ref="R80:S80" si="393">IFERROR(N80/P80,"-")</f>
        <v>-</v>
      </c>
      <c r="S80" s="50" t="str">
        <f t="shared" si="393"/>
        <v>-</v>
      </c>
      <c r="T80" s="60">
        <f>IFERROR(__xludf.DUMMYFUNCTION("IFERROR(
  VLOOKUP(
    A80,
    IMPORTRANGE(
      ""1ZHMy3vVUd_0MrSduXTe1etBb1HNpAlGwQr006ljwMiM"",
      ""GSC最新!A:R""
    ),
    8,
    FALSE
  ),
  0
)
"),0.0)</f>
        <v>0</v>
      </c>
      <c r="U80" s="60">
        <f>IFERROR(__xludf.DUMMYFUNCTION("IFERROR(
  VLOOKUP(
    A80,
    IMPORTRANGE(
      ""1ZHMy3vVUd_0MrSduXTe1etBb1HNpAlGwQr006ljwMiM"",
      ""GSC最新!A:R""
    ),
    11,
    FALSE
  ),
  0
)
"),0.019230769230769232)</f>
        <v>0.01923076923</v>
      </c>
      <c r="V80" s="60">
        <f>IFERROR(__xludf.DUMMYFUNCTION("IFERROR(
  VLOOKUP(
    A80,
    IMPORTRANGE(
      ""1ZHMy3vVUd_0MrSduXTe1etBb1HNpAlGwQr006ljwMiM"",
      ""GSC最新!A:R""
    ),
    14,
    FALSE
  ),
  0
)
"),0.0)</f>
        <v>0</v>
      </c>
      <c r="W80" s="60">
        <f>IFERROR(__xludf.DUMMYFUNCTION("IFERROR(
  VLOOKUP(
    A80,
    IMPORTRANGE(
      ""1ZHMy3vVUd_0MrSduXTe1etBb1HNpAlGwQr006ljwMiM"",
      ""GSC最新!A:R""
    ),
    17,
    FALSE
  ),
  0
)
"),0.0)</f>
        <v>0</v>
      </c>
      <c r="X80" s="60">
        <f t="shared" ref="X80:Y80" si="394">IFERROR(T80-V80,"-")</f>
        <v>0</v>
      </c>
      <c r="Y80" s="60">
        <f t="shared" si="394"/>
        <v>0.01923076923</v>
      </c>
      <c r="Z80" s="52">
        <f>IFERROR(__xludf.DUMMYFUNCTION("IFERROR(
  VLOOKUP(
    A80,
    IMPORTRANGE(
      ""1ZHMy3vVUd_0MrSduXTe1etBb1HNpAlGwQr006ljwMiM"",
      ""GSC最新!A:R""
    ),
    9,
    FALSE
  ),
  0
)
"),3.25)</f>
        <v>3.25</v>
      </c>
      <c r="AA80" s="52">
        <f>IFERROR(__xludf.DUMMYFUNCTION("IFERROR(
  VLOOKUP(
    A80,
    IMPORTRANGE(
      ""1ZHMy3vVUd_0MrSduXTe1etBb1HNpAlGwQr006ljwMiM"",
      ""GSC最新!A:R""
    ),
    12,
    FALSE
  ),
  0
)
"),8.0)</f>
        <v>8</v>
      </c>
      <c r="AB80" s="52" t="str">
        <f>IFERROR(__xludf.DUMMYFUNCTION("IFERROR(
  VLOOKUP(
    A80,
    IMPORTRANGE(
      ""1ZHMy3vVUd_0MrSduXTe1etBb1HNpAlGwQr006ljwMiM"",
      ""GSC最新!A:R""
    ),
    15,
    FALSE
  ),
  0
)
"),"")</f>
        <v/>
      </c>
      <c r="AC80" s="52" t="str">
        <f>IFERROR(__xludf.DUMMYFUNCTION("IFERROR(
  VLOOKUP(
    A80,
    IMPORTRANGE(
      ""1ZHMy3vVUd_0MrSduXTe1etBb1HNpAlGwQr006ljwMiM"",
      ""GSC最新!A:R""
    ),
    18,
    FALSE
  ),
  0
)
"),"")</f>
        <v/>
      </c>
      <c r="AD80" s="52">
        <f t="shared" ref="AD80:AE80" si="395">Z80-AB80</f>
        <v>3.25</v>
      </c>
      <c r="AE80" s="52">
        <f t="shared" si="395"/>
        <v>8</v>
      </c>
      <c r="AF80" s="53">
        <f>IFERROR(__xludf.DUMMYFUNCTION("IFERROR(
  VLOOKUP(
    A80,
    IMPORTRANGE(
      ""1ZHMy3vVUd_0MrSduXTe1etBb1HNpAlGwQr006ljwMiM"",
      ""GSC最新!A:F""
    ),
    6,
    FALSE
  ),
  0
)
"),46081.0)</f>
        <v>46081</v>
      </c>
      <c r="AG80" s="54">
        <f>IFERROR(__xludf.DUMMYFUNCTION("IFERROR(
  VLOOKUP(
    A80,
    IMPORTRANGE(
      ""1SCYQd7_cobOYqT0r_F0IqD4tE4rYn5y8Eup4PJTH8es"",
      ""Snapshot!A:M""
    ),
    5,
    FALSE
  ),
  ""-""
)
"),6.0)</f>
        <v>6</v>
      </c>
      <c r="AH80" s="54">
        <f>IFERROR(__xludf.DUMMYFUNCTION("IFERROR(
  VLOOKUP(
    A80,
    IMPORTRANGE(
      ""1SCYQd7_cobOYqT0r_F0IqD4tE4rYn5y8Eup4PJTH8es"",
      ""Snapshot!A:M""
    ),
    6,
    FALSE
  ),
  0
)
"),18.0)</f>
        <v>18</v>
      </c>
      <c r="AI80" s="54">
        <f>IFERROR(__xludf.DUMMYFUNCTION("IFERROR(
  VLOOKUP(
    A80,
    IMPORTRANGE(
      ""1SCYQd7_cobOYqT0r_F0IqD4tE4rYn5y8Eup4PJTH8es"",
      ""Snapshot!A:M""
    ),
    7,
    FALSE
  ),
  0
)
"),6010.0)</f>
        <v>6010</v>
      </c>
      <c r="AJ80" s="54">
        <f>IFERROR(__xludf.DUMMYFUNCTION("IFERROR(
  VLOOKUP(
    A80,
    IMPORTRANGE(
      ""1SCYQd7_cobOYqT0r_F0IqD4tE4rYn5y8Eup4PJTH8es"",
      ""Snapshot!A:M""
    ),
    8,
    FALSE
  ),
  0
)
"),4.0)</f>
        <v>4</v>
      </c>
      <c r="AK80" s="54">
        <f>IFERROR(__xludf.DUMMYFUNCTION("IFERROR(
  VLOOKUP(
    A80,
    IMPORTRANGE(
      ""1SCYQd7_cobOYqT0r_F0IqD4tE4rYn5y8Eup4PJTH8es"",
      ""Snapshot!A:M""
    ),
    9,
    FALSE
  ),
  0
)
"),3.0)</f>
        <v>3</v>
      </c>
      <c r="AL80" s="54">
        <f>IFERROR(__xludf.DUMMYFUNCTION("IFERROR(
  VLOOKUP(
    A80,
    IMPORTRANGE(
      ""1SCYQd7_cobOYqT0r_F0IqD4tE4rYn5y8Eup4PJTH8es"",
      ""Snapshot!A:M""
    ),
    13,
    FALSE
  ),
  0
)
"),2.0)</f>
        <v>2</v>
      </c>
    </row>
    <row r="81">
      <c r="A81" s="3" t="s">
        <v>418</v>
      </c>
      <c r="B81" s="1" t="str">
        <f>IFERROR(__xludf.DUMMYFUNCTION("IFERROR(
  VLOOKUP(
    A81,
    IMPORTRANGE(
      ""1ZygntHC1J6IxzKbTidmOyf5nUyW4GCLurHCjexrLm_o"",
      ""HTMLキャッシュ!A:F""
    ),
    2,
    FALSE
  ),
  0
)
"),"SC")</f>
        <v>SC</v>
      </c>
      <c r="C81" s="1" t="str">
        <f>IFERROR(__xludf.DUMMYFUNCTION("IFERROR(
  VLOOKUP(
    A81,
    IMPORTRANGE(
      ""1ZygntHC1J6IxzKbTidmOyf5nUyW4GCLurHCjexrLm_o"",
      ""HTMLキャッシュ!A:F""
    ),
    5,
    FALSE
  ),
  0
)
"),"勉強嫌いでも続く！中学受験算数オンライン授業──4つのメリットと成功のコツ - 中学受験専門 夏井算数塾")</f>
        <v>勉強嫌いでも続く！中学受験算数オンライン授業──4つのメリットと成功のコツ - 中学受験専門 夏井算数塾</v>
      </c>
      <c r="D81" s="1" t="str">
        <f>IFERROR(__xludf.DUMMYFUNCTION("IFERROR(
  VLOOKUP(
    A81,
    IMPORTRANGE(
      ""1ZygntHC1J6IxzKbTidmOyf5nUyW4GCLurHCjexrLm_o        "",
      ""HTMLキャッシュ!A:F""
    ),
    6,
    FALSE
  ),
  0
)
"),"勉強嫌い・塾通いがつらい中学受験生にこそオンライン授業がおすすめ。オンライン算数 個別指導で「苦手単元だけ」を集中的に学び、通塾時間ゼロで偏差値アップを狙う中学受験算数オンライン活用法を分かりやすく解説します。")</f>
        <v>勉強嫌い・塾通いがつらい中学受験生にこそオンライン授業がおすすめ。オンライン算数 個別指導で「苦手単元だけ」を集中的に学び、通塾時間ゼロで偏差値アップを狙う中学受験算数オンライン活用法を分かりやすく解説します。</v>
      </c>
      <c r="E81" s="49">
        <f t="shared" ref="E81:F81" si="396">LEN(C81)</f>
        <v>52</v>
      </c>
      <c r="F81" s="49">
        <f t="shared" si="396"/>
        <v>105</v>
      </c>
      <c r="G81" s="32">
        <f>IFERROR(__xludf.DUMMYFUNCTION("IFERROR(
  VLOOKUP(
    A81,
    IMPORTRANGE(
      ""1ZygntHC1J6IxzKbTidmOyf5nUyW4GCLurHCjexrLm_o        "",
      ""HTMLキャッシュ!A:F""
    ),
    3,
    FALSE
  ),
  0
)
"),46067.78555555556)</f>
        <v>46067.78556</v>
      </c>
      <c r="H81" s="54">
        <f>IFERROR(__xludf.DUMMYFUNCTION("IFERROR(
  VLOOKUP(
    A81,
    IMPORTRANGE(
      ""1ZHMy3vVUd_0MrSduXTe1etBb1HNpAlGwQr006ljwMiM"",
      ""GSC最新!A:F""
    ),
    2,
    FALSE
  ),
  0
)
"),0.0)</f>
        <v>0</v>
      </c>
      <c r="I81" s="54">
        <f>IFERROR(__xludf.DUMMYFUNCTION("IFERROR(
  VLOOKUP(
    A81,
    IMPORTRANGE(
      ""1ZHMy3vVUd_0MrSduXTe1etBb1HNpAlGwQr006ljwMiM"",
      ""GSC最新!A:F""
    ),
    3,
    FALSE
  ),
  0
)
"),1.0)</f>
        <v>1</v>
      </c>
      <c r="J81" s="54">
        <f>IFERROR(__xludf.DUMMYFUNCTION("IFERROR(
  VLOOKUP(
    A81,
    IMPORTRANGE(
      ""1ZHMy3vVUd_0MrSduXTe1etBb1HNpAlGwQr006ljwMiM"",
      ""GSC最新!A:F""
    ),
    4,
    FALSE
  ),
  0
)
"),0.0)</f>
        <v>0</v>
      </c>
      <c r="K81" s="54">
        <f>IFERROR(__xludf.DUMMYFUNCTION("IFERROR(
  VLOOKUP(
    A81,
    IMPORTRANGE(
      ""1ZHMy3vVUd_0MrSduXTe1etBb1HNpAlGwQr006ljwMiM"",
      ""GSC最新!A:F""
    ),
    5,
    FALSE
  ),
  0
)
"),0.0)</f>
        <v>0</v>
      </c>
      <c r="L81" s="50" t="str">
        <f t="shared" ref="L81:M81" si="397">IFERROR(H81/J81,"-")</f>
        <v>-</v>
      </c>
      <c r="M81" s="50" t="str">
        <f t="shared" si="397"/>
        <v>-</v>
      </c>
      <c r="N81" s="59">
        <f>IFERROR(__xludf.DUMMYFUNCTION("IFERROR(
  VLOOKUP(
    A81,
    IMPORTRANGE(
      ""1ZHMy3vVUd_0MrSduXTe1etBb1HNpAlGwQr006ljwMiM"",
      ""GSC最新!A:R""
    ),
    7,
    FALSE
  ),
  0
)
"),2.0)</f>
        <v>2</v>
      </c>
      <c r="O81" s="59">
        <f>IFERROR(__xludf.DUMMYFUNCTION("IFERROR(
  VLOOKUP(
    A81,
    IMPORTRANGE(
      ""1ZHMy3vVUd_0MrSduXTe1etBb1HNpAlGwQr006ljwMiM"",
      ""GSC最新!A:R""
    ),
    10,
    FALSE
  ),
  0
)
"),50.0)</f>
        <v>50</v>
      </c>
      <c r="P81" s="59">
        <f>IFERROR(__xludf.DUMMYFUNCTION("IFERROR(
  VLOOKUP(
    A81,
    IMPORTRANGE(
      ""1ZHMy3vVUd_0MrSduXTe1etBb1HNpAlGwQr006ljwMiM"",
      ""GSC最新!A:R""
    ),
    13,
    FALSE
  ),
  0
)
"),0.0)</f>
        <v>0</v>
      </c>
      <c r="Q81" s="59">
        <f>IFERROR(__xludf.DUMMYFUNCTION("IFERROR(
  VLOOKUP(
    A81,
    IMPORTRANGE(
      ""1ZHMy3vVUd_0MrSduXTe1etBb1HNpAlGwQr006ljwMiM"",
      ""GSC最新!A:R""
    ),
    16,
    FALSE
  ),
  0
)
"),1.0)</f>
        <v>1</v>
      </c>
      <c r="R81" s="50" t="str">
        <f t="shared" ref="R81:S81" si="398">IFERROR(N81/P81,"-")</f>
        <v>-</v>
      </c>
      <c r="S81" s="50">
        <f t="shared" si="398"/>
        <v>50</v>
      </c>
      <c r="T81" s="60">
        <f>IFERROR(__xludf.DUMMYFUNCTION("IFERROR(
  VLOOKUP(
    A81,
    IMPORTRANGE(
      ""1ZHMy3vVUd_0MrSduXTe1etBb1HNpAlGwQr006ljwMiM"",
      ""GSC最新!A:R""
    ),
    8,
    FALSE
  ),
  0
)
"),0.0)</f>
        <v>0</v>
      </c>
      <c r="U81" s="60">
        <f>IFERROR(__xludf.DUMMYFUNCTION("IFERROR(
  VLOOKUP(
    A81,
    IMPORTRANGE(
      ""1ZHMy3vVUd_0MrSduXTe1etBb1HNpAlGwQr006ljwMiM"",
      ""GSC最新!A:R""
    ),
    11,
    FALSE
  ),
  0
)
"),0.02)</f>
        <v>0.02</v>
      </c>
      <c r="V81" s="60">
        <f>IFERROR(__xludf.DUMMYFUNCTION("IFERROR(
  VLOOKUP(
    A81,
    IMPORTRANGE(
      ""1ZHMy3vVUd_0MrSduXTe1etBb1HNpAlGwQr006ljwMiM"",
      ""GSC最新!A:R""
    ),
    14,
    FALSE
  ),
  0
)
"),0.0)</f>
        <v>0</v>
      </c>
      <c r="W81" s="60">
        <f>IFERROR(__xludf.DUMMYFUNCTION("IFERROR(
  VLOOKUP(
    A81,
    IMPORTRANGE(
      ""1ZHMy3vVUd_0MrSduXTe1etBb1HNpAlGwQr006ljwMiM"",
      ""GSC最新!A:R""
    ),
    17,
    FALSE
  ),
  0
)
"),0.0)</f>
        <v>0</v>
      </c>
      <c r="X81" s="60">
        <f t="shared" ref="X81:Y81" si="399">IFERROR(T81-V81,"-")</f>
        <v>0</v>
      </c>
      <c r="Y81" s="60">
        <f t="shared" si="399"/>
        <v>0.02</v>
      </c>
      <c r="Z81" s="52">
        <f>IFERROR(__xludf.DUMMYFUNCTION("IFERROR(
  VLOOKUP(
    A81,
    IMPORTRANGE(
      ""1ZHMy3vVUd_0MrSduXTe1etBb1HNpAlGwQr006ljwMiM"",
      ""GSC最新!A:R""
    ),
    9,
    FALSE
  ),
  0
)
"),6.0)</f>
        <v>6</v>
      </c>
      <c r="AA81" s="52">
        <f>IFERROR(__xludf.DUMMYFUNCTION("IFERROR(
  VLOOKUP(
    A81,
    IMPORTRANGE(
      ""1ZHMy3vVUd_0MrSduXTe1etBb1HNpAlGwQr006ljwMiM"",
      ""GSC最新!A:R""
    ),
    12,
    FALSE
  ),
  0
)
"),16.32)</f>
        <v>16.32</v>
      </c>
      <c r="AB81" s="52" t="str">
        <f>IFERROR(__xludf.DUMMYFUNCTION("IFERROR(
  VLOOKUP(
    A81,
    IMPORTRANGE(
      ""1ZHMy3vVUd_0MrSduXTe1etBb1HNpAlGwQr006ljwMiM"",
      ""GSC最新!A:R""
    ),
    15,
    FALSE
  ),
  0
)
"),"")</f>
        <v/>
      </c>
      <c r="AC81" s="52">
        <f>IFERROR(__xludf.DUMMYFUNCTION("IFERROR(
  VLOOKUP(
    A81,
    IMPORTRANGE(
      ""1ZHMy3vVUd_0MrSduXTe1etBb1HNpAlGwQr006ljwMiM"",
      ""GSC最新!A:R""
    ),
    18,
    FALSE
  ),
  0
)
"),35.0)</f>
        <v>35</v>
      </c>
      <c r="AD81" s="52">
        <f t="shared" ref="AD81:AE81" si="400">Z81-AB81</f>
        <v>6</v>
      </c>
      <c r="AE81" s="52">
        <f t="shared" si="400"/>
        <v>-18.68</v>
      </c>
      <c r="AF81" s="53">
        <f>IFERROR(__xludf.DUMMYFUNCTION("IFERROR(
  VLOOKUP(
    A81,
    IMPORTRANGE(
      ""1ZHMy3vVUd_0MrSduXTe1etBb1HNpAlGwQr006ljwMiM"",
      ""GSC最新!A:F""
    ),
    6,
    FALSE
  ),
  0
)
"),46081.0)</f>
        <v>46081</v>
      </c>
      <c r="AG81" s="54">
        <f>IFERROR(__xludf.DUMMYFUNCTION("IFERROR(
  VLOOKUP(
    A81,
    IMPORTRANGE(
      ""1SCYQd7_cobOYqT0r_F0IqD4tE4rYn5y8Eup4PJTH8es"",
      ""Snapshot!A:M""
    ),
    5,
    FALSE
  ),
  ""-""
)
"),10.0)</f>
        <v>10</v>
      </c>
      <c r="AH81" s="54">
        <f>IFERROR(__xludf.DUMMYFUNCTION("IFERROR(
  VLOOKUP(
    A81,
    IMPORTRANGE(
      ""1SCYQd7_cobOYqT0r_F0IqD4tE4rYn5y8Eup4PJTH8es"",
      ""Snapshot!A:M""
    ),
    6,
    FALSE
  ),
  0
)
"),8.0)</f>
        <v>8</v>
      </c>
      <c r="AI81" s="54">
        <f>IFERROR(__xludf.DUMMYFUNCTION("IFERROR(
  VLOOKUP(
    A81,
    IMPORTRANGE(
      ""1SCYQd7_cobOYqT0r_F0IqD4tE4rYn5y8Eup4PJTH8es"",
      ""Snapshot!A:M""
    ),
    7,
    FALSE
  ),
  0
)
"),5760.0)</f>
        <v>5760</v>
      </c>
      <c r="AJ81" s="54">
        <f>IFERROR(__xludf.DUMMYFUNCTION("IFERROR(
  VLOOKUP(
    A81,
    IMPORTRANGE(
      ""1SCYQd7_cobOYqT0r_F0IqD4tE4rYn5y8Eup4PJTH8es"",
      ""Snapshot!A:M""
    ),
    8,
    FALSE
  ),
  0
)
"),4.0)</f>
        <v>4</v>
      </c>
      <c r="AK81" s="54">
        <f>IFERROR(__xludf.DUMMYFUNCTION("IFERROR(
  VLOOKUP(
    A81,
    IMPORTRANGE(
      ""1SCYQd7_cobOYqT0r_F0IqD4tE4rYn5y8Eup4PJTH8es"",
      ""Snapshot!A:M""
    ),
    9,
    FALSE
  ),
  0
)
"),2.0)</f>
        <v>2</v>
      </c>
      <c r="AL81" s="54">
        <f>IFERROR(__xludf.DUMMYFUNCTION("IFERROR(
  VLOOKUP(
    A81,
    IMPORTRANGE(
      ""1SCYQd7_cobOYqT0r_F0IqD4tE4rYn5y8Eup4PJTH8es"",
      ""Snapshot!A:M""
    ),
    13,
    FALSE
  ),
  0
)
"),3.0)</f>
        <v>3</v>
      </c>
    </row>
    <row r="82">
      <c r="A82" s="3" t="s">
        <v>419</v>
      </c>
      <c r="B82" s="1" t="str">
        <f>IFERROR(__xludf.DUMMYFUNCTION("IFERROR(
  VLOOKUP(
    A82,
    IMPORTRANGE(
      ""1ZygntHC1J6IxzKbTidmOyf5nUyW4GCLurHCjexrLm_o"",
      ""HTMLキャッシュ!A:F""
    ),
    2,
    FALSE
  ),
  0
)
"),"SC")</f>
        <v>SC</v>
      </c>
      <c r="C82" s="1" t="str">
        <f>IFERROR(__xludf.DUMMYFUNCTION("IFERROR(
  VLOOKUP(
    A82,
    IMPORTRANGE(
      ""1ZygntHC1J6IxzKbTidmOyf5nUyW4GCLurHCjexrLm_o"",
      ""HTMLキャッシュ!A:F""
    ),
    5,
    FALSE
  ),
  0
)
"),"思考力不足？計算力不足？オンライン個別で原因を切り分ける方法 - 中学受験専門 夏井算数塾")</f>
        <v>思考力不足？計算力不足？オンライン個別で原因を切り分ける方法 - 中学受験専門 夏井算数塾</v>
      </c>
      <c r="D82" s="1" t="str">
        <f>IFERROR(__xludf.DUMMYFUNCTION("IFERROR(
  VLOOKUP(
    A82,
    IMPORTRANGE(
      ""1ZygntHC1J6IxzKbTidmOyf5nUyW4GCLurHCjexrLm_o        "",
      ""HTMLキャッシュ!A:F""
    ),
    6,
    FALSE
  ),
  0
)
"),"中学受験算数で「思考力不足か計算力不足か分からない」まま問題量だけ増やしていませんか。オンラインの算数個別指導なら手元映像と画面共有で弱点を可視化し、三つのステップで原因を切り分けて対策できます。家庭での声かけや教室選びのポイントまで具体的に解説します。")</f>
        <v>中学受験算数で「思考力不足か計算力不足か分からない」まま問題量だけ増やしていませんか。オンラインの算数個別指導なら手元映像と画面共有で弱点を可視化し、三つのステップで原因を切り分けて対策できます。家庭での声かけや教室選びのポイントまで具体的に解説します。</v>
      </c>
      <c r="E82" s="49">
        <f t="shared" ref="E82:F82" si="401">LEN(C82)</f>
        <v>45</v>
      </c>
      <c r="F82" s="49">
        <f t="shared" si="401"/>
        <v>127</v>
      </c>
      <c r="G82" s="32">
        <f>IFERROR(__xludf.DUMMYFUNCTION("IFERROR(
  VLOOKUP(
    A82,
    IMPORTRANGE(
      ""1ZygntHC1J6IxzKbTidmOyf5nUyW4GCLurHCjexrLm_o        "",
      ""HTMLキャッシュ!A:F""
    ),
    3,
    FALSE
  ),
  0
)
"),46059.72143518519)</f>
        <v>46059.72144</v>
      </c>
      <c r="H82" s="54">
        <f>IFERROR(__xludf.DUMMYFUNCTION("IFERROR(
  VLOOKUP(
    A82,
    IMPORTRANGE(
      ""1ZHMy3vVUd_0MrSduXTe1etBb1HNpAlGwQr006ljwMiM"",
      ""GSC最新!A:F""
    ),
    2,
    FALSE
  ),
  0
)
"),0.0)</f>
        <v>0</v>
      </c>
      <c r="I82" s="54">
        <f>IFERROR(__xludf.DUMMYFUNCTION("IFERROR(
  VLOOKUP(
    A82,
    IMPORTRANGE(
      ""1ZHMy3vVUd_0MrSduXTe1etBb1HNpAlGwQr006ljwMiM"",
      ""GSC最新!A:F""
    ),
    3,
    FALSE
  ),
  0
)
"),1.0)</f>
        <v>1</v>
      </c>
      <c r="J82" s="54">
        <f>IFERROR(__xludf.DUMMYFUNCTION("IFERROR(
  VLOOKUP(
    A82,
    IMPORTRANGE(
      ""1ZHMy3vVUd_0MrSduXTe1etBb1HNpAlGwQr006ljwMiM"",
      ""GSC最新!A:F""
    ),
    4,
    FALSE
  ),
  0
)
"),0.0)</f>
        <v>0</v>
      </c>
      <c r="K82" s="54">
        <f>IFERROR(__xludf.DUMMYFUNCTION("IFERROR(
  VLOOKUP(
    A82,
    IMPORTRANGE(
      ""1ZHMy3vVUd_0MrSduXTe1etBb1HNpAlGwQr006ljwMiM"",
      ""GSC最新!A:F""
    ),
    5,
    FALSE
  ),
  0
)
"),0.0)</f>
        <v>0</v>
      </c>
      <c r="L82" s="50" t="str">
        <f t="shared" ref="L82:M82" si="402">IFERROR(H82/J82,"-")</f>
        <v>-</v>
      </c>
      <c r="M82" s="50" t="str">
        <f t="shared" si="402"/>
        <v>-</v>
      </c>
      <c r="N82" s="59">
        <f>IFERROR(__xludf.DUMMYFUNCTION("IFERROR(
  VLOOKUP(
    A82,
    IMPORTRANGE(
      ""1ZHMy3vVUd_0MrSduXTe1etBb1HNpAlGwQr006ljwMiM"",
      ""GSC最新!A:R""
    ),
    7,
    FALSE
  ),
  0
)
"),1.0)</f>
        <v>1</v>
      </c>
      <c r="O82" s="59">
        <f>IFERROR(__xludf.DUMMYFUNCTION("IFERROR(
  VLOOKUP(
    A82,
    IMPORTRANGE(
      ""1ZHMy3vVUd_0MrSduXTe1etBb1HNpAlGwQr006ljwMiM"",
      ""GSC最新!A:R""
    ),
    10,
    FALSE
  ),
  0
)
"),42.0)</f>
        <v>42</v>
      </c>
      <c r="P82" s="59">
        <f>IFERROR(__xludf.DUMMYFUNCTION("IFERROR(
  VLOOKUP(
    A82,
    IMPORTRANGE(
      ""1ZHMy3vVUd_0MrSduXTe1etBb1HNpAlGwQr006ljwMiM"",
      ""GSC最新!A:R""
    ),
    13,
    FALSE
  ),
  0
)
"),0.0)</f>
        <v>0</v>
      </c>
      <c r="Q82" s="59">
        <f>IFERROR(__xludf.DUMMYFUNCTION("IFERROR(
  VLOOKUP(
    A82,
    IMPORTRANGE(
      ""1ZHMy3vVUd_0MrSduXTe1etBb1HNpAlGwQr006ljwMiM"",
      ""GSC最新!A:R""
    ),
    16,
    FALSE
  ),
  0
)
"),0.0)</f>
        <v>0</v>
      </c>
      <c r="R82" s="50" t="str">
        <f t="shared" ref="R82:S82" si="403">IFERROR(N82/P82,"-")</f>
        <v>-</v>
      </c>
      <c r="S82" s="50" t="str">
        <f t="shared" si="403"/>
        <v>-</v>
      </c>
      <c r="T82" s="60">
        <f>IFERROR(__xludf.DUMMYFUNCTION("IFERROR(
  VLOOKUP(
    A82,
    IMPORTRANGE(
      ""1ZHMy3vVUd_0MrSduXTe1etBb1HNpAlGwQr006ljwMiM"",
      ""GSC最新!A:R""
    ),
    8,
    FALSE
  ),
  0
)
"),0.0)</f>
        <v>0</v>
      </c>
      <c r="U82" s="60">
        <f>IFERROR(__xludf.DUMMYFUNCTION("IFERROR(
  VLOOKUP(
    A82,
    IMPORTRANGE(
      ""1ZHMy3vVUd_0MrSduXTe1etBb1HNpAlGwQr006ljwMiM"",
      ""GSC最新!A:R""
    ),
    11,
    FALSE
  ),
  0
)
"),0.023809523809523808)</f>
        <v>0.02380952381</v>
      </c>
      <c r="V82" s="60">
        <f>IFERROR(__xludf.DUMMYFUNCTION("IFERROR(
  VLOOKUP(
    A82,
    IMPORTRANGE(
      ""1ZHMy3vVUd_0MrSduXTe1etBb1HNpAlGwQr006ljwMiM"",
      ""GSC最新!A:R""
    ),
    14,
    FALSE
  ),
  0
)
"),0.0)</f>
        <v>0</v>
      </c>
      <c r="W82" s="60">
        <f>IFERROR(__xludf.DUMMYFUNCTION("IFERROR(
  VLOOKUP(
    A82,
    IMPORTRANGE(
      ""1ZHMy3vVUd_0MrSduXTe1etBb1HNpAlGwQr006ljwMiM"",
      ""GSC最新!A:R""
    ),
    17,
    FALSE
  ),
  0
)
"),0.0)</f>
        <v>0</v>
      </c>
      <c r="X82" s="60">
        <f t="shared" ref="X82:Y82" si="404">IFERROR(T82-V82,"-")</f>
        <v>0</v>
      </c>
      <c r="Y82" s="60">
        <f t="shared" si="404"/>
        <v>0.02380952381</v>
      </c>
      <c r="Z82" s="52">
        <f>IFERROR(__xludf.DUMMYFUNCTION("IFERROR(
  VLOOKUP(
    A82,
    IMPORTRANGE(
      ""1ZHMy3vVUd_0MrSduXTe1etBb1HNpAlGwQr006ljwMiM"",
      ""GSC最新!A:R""
    ),
    9,
    FALSE
  ),
  0
)
"),9.0)</f>
        <v>9</v>
      </c>
      <c r="AA82" s="52">
        <f>IFERROR(__xludf.DUMMYFUNCTION("IFERROR(
  VLOOKUP(
    A82,
    IMPORTRANGE(
      ""1ZHMy3vVUd_0MrSduXTe1etBb1HNpAlGwQr006ljwMiM"",
      ""GSC最新!A:R""
    ),
    12,
    FALSE
  ),
  0
)
"),7.5)</f>
        <v>7.5</v>
      </c>
      <c r="AB82" s="52" t="str">
        <f>IFERROR(__xludf.DUMMYFUNCTION("IFERROR(
  VLOOKUP(
    A82,
    IMPORTRANGE(
      ""1ZHMy3vVUd_0MrSduXTe1etBb1HNpAlGwQr006ljwMiM"",
      ""GSC最新!A:R""
    ),
    15,
    FALSE
  ),
  0
)
"),"")</f>
        <v/>
      </c>
      <c r="AC82" s="52" t="str">
        <f>IFERROR(__xludf.DUMMYFUNCTION("IFERROR(
  VLOOKUP(
    A82,
    IMPORTRANGE(
      ""1ZHMy3vVUd_0MrSduXTe1etBb1HNpAlGwQr006ljwMiM"",
      ""GSC最新!A:R""
    ),
    18,
    FALSE
  ),
  0
)
"),"")</f>
        <v/>
      </c>
      <c r="AD82" s="52">
        <f t="shared" ref="AD82:AE82" si="405">Z82-AB82</f>
        <v>9</v>
      </c>
      <c r="AE82" s="52">
        <f t="shared" si="405"/>
        <v>7.5</v>
      </c>
      <c r="AF82" s="53">
        <f>IFERROR(__xludf.DUMMYFUNCTION("IFERROR(
  VLOOKUP(
    A82,
    IMPORTRANGE(
      ""1ZHMy3vVUd_0MrSduXTe1etBb1HNpAlGwQr006ljwMiM"",
      ""GSC最新!A:F""
    ),
    6,
    FALSE
  ),
  0
)
"),46081.0)</f>
        <v>46081</v>
      </c>
      <c r="AG82" s="54">
        <f>IFERROR(__xludf.DUMMYFUNCTION("IFERROR(
  VLOOKUP(
    A82,
    IMPORTRANGE(
      ""1SCYQd7_cobOYqT0r_F0IqD4tE4rYn5y8Eup4PJTH8es"",
      ""Snapshot!A:M""
    ),
    5,
    FALSE
  ),
  ""-""
)
"),7.0)</f>
        <v>7</v>
      </c>
      <c r="AH82" s="54">
        <f>IFERROR(__xludf.DUMMYFUNCTION("IFERROR(
  VLOOKUP(
    A82,
    IMPORTRANGE(
      ""1SCYQd7_cobOYqT0r_F0IqD4tE4rYn5y8Eup4PJTH8es"",
      ""Snapshot!A:M""
    ),
    6,
    FALSE
  ),
  0
)
"),20.0)</f>
        <v>20</v>
      </c>
      <c r="AI82" s="54">
        <f>IFERROR(__xludf.DUMMYFUNCTION("IFERROR(
  VLOOKUP(
    A82,
    IMPORTRANGE(
      ""1SCYQd7_cobOYqT0r_F0IqD4tE4rYn5y8Eup4PJTH8es"",
      ""Snapshot!A:M""
    ),
    7,
    FALSE
  ),
  0
)
"),5833.0)</f>
        <v>5833</v>
      </c>
      <c r="AJ82" s="54">
        <f>IFERROR(__xludf.DUMMYFUNCTION("IFERROR(
  VLOOKUP(
    A82,
    IMPORTRANGE(
      ""1SCYQd7_cobOYqT0r_F0IqD4tE4rYn5y8Eup4PJTH8es"",
      ""Snapshot!A:M""
    ),
    8,
    FALSE
  ),
  0
)
"),5.0)</f>
        <v>5</v>
      </c>
      <c r="AK82" s="54">
        <f>IFERROR(__xludf.DUMMYFUNCTION("IFERROR(
  VLOOKUP(
    A82,
    IMPORTRANGE(
      ""1SCYQd7_cobOYqT0r_F0IqD4tE4rYn5y8Eup4PJTH8es"",
      ""Snapshot!A:M""
    ),
    9,
    FALSE
  ),
  0
)
"),3.0)</f>
        <v>3</v>
      </c>
      <c r="AL82" s="54">
        <f>IFERROR(__xludf.DUMMYFUNCTION("IFERROR(
  VLOOKUP(
    A82,
    IMPORTRANGE(
      ""1SCYQd7_cobOYqT0r_F0IqD4tE4rYn5y8Eup4PJTH8es"",
      ""Snapshot!A:M""
    ),
    13,
    FALSE
  ),
  0
)
"),2.0)</f>
        <v>2</v>
      </c>
    </row>
    <row r="83">
      <c r="A83" s="3" t="s">
        <v>420</v>
      </c>
      <c r="B83" s="1" t="str">
        <f>IFERROR(__xludf.DUMMYFUNCTION("IFERROR(
  VLOOKUP(
    A83,
    IMPORTRANGE(
      ""1ZygntHC1J6IxzKbTidmOyf5nUyW4GCLurHCjexrLm_o"",
      ""HTMLキャッシュ!A:F""
    ),
    2,
    FALSE
  ),
  0
)
"),"SC")</f>
        <v>SC</v>
      </c>
      <c r="C83" s="1" t="str">
        <f>IFERROR(__xludf.DUMMYFUNCTION("IFERROR(
  VLOOKUP(
    A83,
    IMPORTRANGE(
      ""1ZygntHC1J6IxzKbTidmOyf5nUyW4GCLurHCjexrLm_o"",
      ""HTMLキャッシュ!A:F""
    ),
    5,
    FALSE
  ),
  0
)
"),"文章題が解けない子がオンライン個別で伸びる3つの理由 - 中学受験専門 夏井算数塾")</f>
        <v>文章題が解けない子がオンライン個別で伸びる3つの理由 - 中学受験専門 夏井算数塾</v>
      </c>
      <c r="D83" s="1" t="str">
        <f>IFERROR(__xludf.DUMMYFUNCTION("IFERROR(
  VLOOKUP(
    A83,
    IMPORTRANGE(
      ""1ZygntHC1J6IxzKbTidmOyf5nUyW4GCLurHCjexrLm_o        "",
      ""HTMLキャッシュ!A:F""
    ),
    6,
    FALSE
  ),
  0
)
"),"計算はできるのに文章題になると手が止まる小学生向けの中学受験算数ガイドです。オンライン算数の個別指導で、手元映像と画面共有を使いながら思考過程を見える化し、語句理解・図の描き方・式の立て方を三つのステップで強化する方法と家庭でのフォローの仕方を解説します。")</f>
        <v>計算はできるのに文章題になると手が止まる小学生向けの中学受験算数ガイドです。オンライン算数の個別指導で、手元映像と画面共有を使いながら思考過程を見える化し、語句理解・図の描き方・式の立て方を三つのステップで強化する方法と家庭でのフォローの仕方を解説します。</v>
      </c>
      <c r="E83" s="49">
        <f t="shared" ref="E83:F83" si="406">LEN(C83)</f>
        <v>41</v>
      </c>
      <c r="F83" s="49">
        <f t="shared" si="406"/>
        <v>128</v>
      </c>
      <c r="G83" s="32">
        <f>IFERROR(__xludf.DUMMYFUNCTION("IFERROR(
  VLOOKUP(
    A83,
    IMPORTRANGE(
      ""1ZygntHC1J6IxzKbTidmOyf5nUyW4GCLurHCjexrLm_o        "",
      ""HTMLキャッシュ!A:F""
    ),
    3,
    FALSE
  ),
  0
)
"),46052.727326388886)</f>
        <v>46052.72733</v>
      </c>
      <c r="H83" s="54">
        <f>IFERROR(__xludf.DUMMYFUNCTION("IFERROR(
  VLOOKUP(
    A83,
    IMPORTRANGE(
      ""1ZHMy3vVUd_0MrSduXTe1etBb1HNpAlGwQr006ljwMiM"",
      ""GSC最新!A:F""
    ),
    2,
    FALSE
  ),
  0
)
"),0.0)</f>
        <v>0</v>
      </c>
      <c r="I83" s="54">
        <f>IFERROR(__xludf.DUMMYFUNCTION("IFERROR(
  VLOOKUP(
    A83,
    IMPORTRANGE(
      ""1ZHMy3vVUd_0MrSduXTe1etBb1HNpAlGwQr006ljwMiM"",
      ""GSC最新!A:F""
    ),
    3,
    FALSE
  ),
  0
)
"),1.0)</f>
        <v>1</v>
      </c>
      <c r="J83" s="54">
        <f>IFERROR(__xludf.DUMMYFUNCTION("IFERROR(
  VLOOKUP(
    A83,
    IMPORTRANGE(
      ""1ZHMy3vVUd_0MrSduXTe1etBb1HNpAlGwQr006ljwMiM"",
      ""GSC最新!A:F""
    ),
    4,
    FALSE
  ),
  0
)
"),0.0)</f>
        <v>0</v>
      </c>
      <c r="K83" s="54">
        <f>IFERROR(__xludf.DUMMYFUNCTION("IFERROR(
  VLOOKUP(
    A83,
    IMPORTRANGE(
      ""1ZHMy3vVUd_0MrSduXTe1etBb1HNpAlGwQr006ljwMiM"",
      ""GSC最新!A:F""
    ),
    5,
    FALSE
  ),
  0
)
"),0.0)</f>
        <v>0</v>
      </c>
      <c r="L83" s="50" t="str">
        <f t="shared" ref="L83:M83" si="407">IFERROR(H83/J83,"-")</f>
        <v>-</v>
      </c>
      <c r="M83" s="50" t="str">
        <f t="shared" si="407"/>
        <v>-</v>
      </c>
      <c r="N83" s="59">
        <f>IFERROR(__xludf.DUMMYFUNCTION("IFERROR(
  VLOOKUP(
    A83,
    IMPORTRANGE(
      ""1ZHMy3vVUd_0MrSduXTe1etBb1HNpAlGwQr006ljwMiM"",
      ""GSC最新!A:R""
    ),
    7,
    FALSE
  ),
  0
)
"),2.0)</f>
        <v>2</v>
      </c>
      <c r="O83" s="59">
        <f>IFERROR(__xludf.DUMMYFUNCTION("IFERROR(
  VLOOKUP(
    A83,
    IMPORTRANGE(
      ""1ZHMy3vVUd_0MrSduXTe1etBb1HNpAlGwQr006ljwMiM"",
      ""GSC最新!A:R""
    ),
    10,
    FALSE
  ),
  0
)
"),29.0)</f>
        <v>29</v>
      </c>
      <c r="P83" s="59">
        <f>IFERROR(__xludf.DUMMYFUNCTION("IFERROR(
  VLOOKUP(
    A83,
    IMPORTRANGE(
      ""1ZHMy3vVUd_0MrSduXTe1etBb1HNpAlGwQr006ljwMiM"",
      ""GSC最新!A:R""
    ),
    13,
    FALSE
  ),
  0
)
"),0.0)</f>
        <v>0</v>
      </c>
      <c r="Q83" s="59">
        <f>IFERROR(__xludf.DUMMYFUNCTION("IFERROR(
  VLOOKUP(
    A83,
    IMPORTRANGE(
      ""1ZHMy3vVUd_0MrSduXTe1etBb1HNpAlGwQr006ljwMiM"",
      ""GSC最新!A:R""
    ),
    16,
    FALSE
  ),
  0
)
"),0.0)</f>
        <v>0</v>
      </c>
      <c r="R83" s="50" t="str">
        <f t="shared" ref="R83:S83" si="408">IFERROR(N83/P83,"-")</f>
        <v>-</v>
      </c>
      <c r="S83" s="50" t="str">
        <f t="shared" si="408"/>
        <v>-</v>
      </c>
      <c r="T83" s="60">
        <f>IFERROR(__xludf.DUMMYFUNCTION("IFERROR(
  VLOOKUP(
    A83,
    IMPORTRANGE(
      ""1ZHMy3vVUd_0MrSduXTe1etBb1HNpAlGwQr006ljwMiM"",
      ""GSC最新!A:R""
    ),
    8,
    FALSE
  ),
  0
)
"),0.0)</f>
        <v>0</v>
      </c>
      <c r="U83" s="60">
        <f>IFERROR(__xludf.DUMMYFUNCTION("IFERROR(
  VLOOKUP(
    A83,
    IMPORTRANGE(
      ""1ZHMy3vVUd_0MrSduXTe1etBb1HNpAlGwQr006ljwMiM"",
      ""GSC最新!A:R""
    ),
    11,
    FALSE
  ),
  0
)
"),0.034482758620689655)</f>
        <v>0.03448275862</v>
      </c>
      <c r="V83" s="60">
        <f>IFERROR(__xludf.DUMMYFUNCTION("IFERROR(
  VLOOKUP(
    A83,
    IMPORTRANGE(
      ""1ZHMy3vVUd_0MrSduXTe1etBb1HNpAlGwQr006ljwMiM"",
      ""GSC最新!A:R""
    ),
    14,
    FALSE
  ),
  0
)
"),0.0)</f>
        <v>0</v>
      </c>
      <c r="W83" s="60">
        <f>IFERROR(__xludf.DUMMYFUNCTION("IFERROR(
  VLOOKUP(
    A83,
    IMPORTRANGE(
      ""1ZHMy3vVUd_0MrSduXTe1etBb1HNpAlGwQr006ljwMiM"",
      ""GSC最新!A:R""
    ),
    17,
    FALSE
  ),
  0
)
"),0.0)</f>
        <v>0</v>
      </c>
      <c r="X83" s="60">
        <f t="shared" ref="X83:Y83" si="409">IFERROR(T83-V83,"-")</f>
        <v>0</v>
      </c>
      <c r="Y83" s="60">
        <f t="shared" si="409"/>
        <v>0.03448275862</v>
      </c>
      <c r="Z83" s="52">
        <f>IFERROR(__xludf.DUMMYFUNCTION("IFERROR(
  VLOOKUP(
    A83,
    IMPORTRANGE(
      ""1ZHMy3vVUd_0MrSduXTe1etBb1HNpAlGwQr006ljwMiM"",
      ""GSC最新!A:R""
    ),
    9,
    FALSE
  ),
  0
)
"),14.5)</f>
        <v>14.5</v>
      </c>
      <c r="AA83" s="52">
        <f>IFERROR(__xludf.DUMMYFUNCTION("IFERROR(
  VLOOKUP(
    A83,
    IMPORTRANGE(
      ""1ZHMy3vVUd_0MrSduXTe1etBb1HNpAlGwQr006ljwMiM"",
      ""GSC最新!A:R""
    ),
    12,
    FALSE
  ),
  0
)
"),7.896551724137931)</f>
        <v>7.896551724</v>
      </c>
      <c r="AB83" s="52" t="str">
        <f>IFERROR(__xludf.DUMMYFUNCTION("IFERROR(
  VLOOKUP(
    A83,
    IMPORTRANGE(
      ""1ZHMy3vVUd_0MrSduXTe1etBb1HNpAlGwQr006ljwMiM"",
      ""GSC最新!A:R""
    ),
    15,
    FALSE
  ),
  0
)
"),"")</f>
        <v/>
      </c>
      <c r="AC83" s="52" t="str">
        <f>IFERROR(__xludf.DUMMYFUNCTION("IFERROR(
  VLOOKUP(
    A83,
    IMPORTRANGE(
      ""1ZHMy3vVUd_0MrSduXTe1etBb1HNpAlGwQr006ljwMiM"",
      ""GSC最新!A:R""
    ),
    18,
    FALSE
  ),
  0
)
"),"")</f>
        <v/>
      </c>
      <c r="AD83" s="52">
        <f t="shared" ref="AD83:AE83" si="410">Z83-AB83</f>
        <v>14.5</v>
      </c>
      <c r="AE83" s="52">
        <f t="shared" si="410"/>
        <v>7.896551724</v>
      </c>
      <c r="AF83" s="53">
        <f>IFERROR(__xludf.DUMMYFUNCTION("IFERROR(
  VLOOKUP(
    A83,
    IMPORTRANGE(
      ""1ZHMy3vVUd_0MrSduXTe1etBb1HNpAlGwQr006ljwMiM"",
      ""GSC最新!A:F""
    ),
    6,
    FALSE
  ),
  0
)
"),46081.0)</f>
        <v>46081</v>
      </c>
      <c r="AG83" s="54">
        <f>IFERROR(__xludf.DUMMYFUNCTION("IFERROR(
  VLOOKUP(
    A83,
    IMPORTRANGE(
      ""1SCYQd7_cobOYqT0r_F0IqD4tE4rYn5y8Eup4PJTH8es"",
      ""Snapshot!A:M""
    ),
    5,
    FALSE
  ),
  ""-""
)
"),7.0)</f>
        <v>7</v>
      </c>
      <c r="AH83" s="54">
        <f>IFERROR(__xludf.DUMMYFUNCTION("IFERROR(
  VLOOKUP(
    A83,
    IMPORTRANGE(
      ""1SCYQd7_cobOYqT0r_F0IqD4tE4rYn5y8Eup4PJTH8es"",
      ""Snapshot!A:M""
    ),
    6,
    FALSE
  ),
  0
)
"),18.0)</f>
        <v>18</v>
      </c>
      <c r="AI83" s="54">
        <f>IFERROR(__xludf.DUMMYFUNCTION("IFERROR(
  VLOOKUP(
    A83,
    IMPORTRANGE(
      ""1SCYQd7_cobOYqT0r_F0IqD4tE4rYn5y8Eup4PJTH8es"",
      ""Snapshot!A:M""
    ),
    7,
    FALSE
  ),
  0
)
"),7547.0)</f>
        <v>7547</v>
      </c>
      <c r="AJ83" s="54">
        <f>IFERROR(__xludf.DUMMYFUNCTION("IFERROR(
  VLOOKUP(
    A83,
    IMPORTRANGE(
      ""1SCYQd7_cobOYqT0r_F0IqD4tE4rYn5y8Eup4PJTH8es"",
      ""Snapshot!A:M""
    ),
    8,
    FALSE
  ),
  0
)
"),2.0)</f>
        <v>2</v>
      </c>
      <c r="AK83" s="54">
        <f>IFERROR(__xludf.DUMMYFUNCTION("IFERROR(
  VLOOKUP(
    A83,
    IMPORTRANGE(
      ""1SCYQd7_cobOYqT0r_F0IqD4tE4rYn5y8Eup4PJTH8es"",
      ""Snapshot!A:M""
    ),
    9,
    FALSE
  ),
  0
)
"),1.0)</f>
        <v>1</v>
      </c>
      <c r="AL83" s="54">
        <f>IFERROR(__xludf.DUMMYFUNCTION("IFERROR(
  VLOOKUP(
    A83,
    IMPORTRANGE(
      ""1SCYQd7_cobOYqT0r_F0IqD4tE4rYn5y8Eup4PJTH8es"",
      ""Snapshot!A:M""
    ),
    13,
    FALSE
  ),
  0
)
"),2.0)</f>
        <v>2</v>
      </c>
    </row>
    <row r="84">
      <c r="A84" s="3" t="s">
        <v>421</v>
      </c>
      <c r="B84" s="1" t="str">
        <f>IFERROR(__xludf.DUMMYFUNCTION("IFERROR(
  VLOOKUP(
    A84,
    IMPORTRANGE(
      ""1ZygntHC1J6IxzKbTidmOyf5nUyW4GCLurHCjexrLm_o"",
      ""HTMLキャッシュ!A:F""
    ),
    2,
    FALSE
  ),
  0
)
"),"SC")</f>
        <v>SC</v>
      </c>
      <c r="C84" s="1" t="str">
        <f>IFERROR(__xludf.DUMMYFUNCTION("IFERROR(
  VLOOKUP(
    A84,
    IMPORTRANGE(
      ""1ZygntHC1J6IxzKbTidmOyf5nUyW4GCLurHCjexrLm_o"",
      ""HTMLキャッシュ!A:F""
    ),
    5,
    FALSE
  ),
  0
)
"),"中学受験算数をオンライン算数 個別指導で伸ばす──通塾との違いと教室の選び方 - 中学受験専門 夏井算数塾")</f>
        <v>中学受験算数をオンライン算数 個別指導で伸ばす──通塾との違いと教室の選び方 - 中学受験専門 夏井算数塾</v>
      </c>
      <c r="D84" s="1" t="str">
        <f>IFERROR(__xludf.DUMMYFUNCTION("IFERROR(
  VLOOKUP(
    A84,
    IMPORTRANGE(
      ""1ZygntHC1J6IxzKbTidmOyf5nUyW4GCLurHCjexrLm_o        "",
      ""HTMLキャッシュ!A:F""
    ),
    6,
    FALSE
  ),
  0
)
"),"中学受験の合否を分ける算数を「オンライン算数 個別指導」で底上げしたいご家庭へ。通塾との違い、算数特化の中学受験算数オンラインを選ぶときのチェックポイント、苦手単元に絞った活用法や学習習慣化のコツまで、失敗しないオンライン算数学習の始め方を具体的に解説します。")</f>
        <v>中学受験の合否を分ける算数を「オンライン算数 個別指導」で底上げしたいご家庭へ。通塾との違い、算数特化の中学受験算数オンラインを選ぶときのチェックポイント、苦手単元に絞った活用法や学習習慣化のコツまで、失敗しないオンライン算数学習の始め方を具体的に解説します。</v>
      </c>
      <c r="E84" s="49">
        <f t="shared" ref="E84:F84" si="411">LEN(C84)</f>
        <v>53</v>
      </c>
      <c r="F84" s="49">
        <f t="shared" si="411"/>
        <v>130</v>
      </c>
      <c r="G84" s="32">
        <f>IFERROR(__xludf.DUMMYFUNCTION("IFERROR(
  VLOOKUP(
    A84,
    IMPORTRANGE(
      ""1ZygntHC1J6IxzKbTidmOyf5nUyW4GCLurHCjexrLm_o        "",
      ""HTMLキャッシュ!A:F""
    ),
    3,
    FALSE
  ),
  0
)
"),46084.58886574074)</f>
        <v>46084.58887</v>
      </c>
      <c r="H84" s="54">
        <f>IFERROR(__xludf.DUMMYFUNCTION("IFERROR(
  VLOOKUP(
    A84,
    IMPORTRANGE(
      ""1ZHMy3vVUd_0MrSduXTe1etBb1HNpAlGwQr006ljwMiM"",
      ""GSC最新!A:F""
    ),
    2,
    FALSE
  ),
  0
)
"),0.0)</f>
        <v>0</v>
      </c>
      <c r="I84" s="54">
        <f>IFERROR(__xludf.DUMMYFUNCTION("IFERROR(
  VLOOKUP(
    A84,
    IMPORTRANGE(
      ""1ZHMy3vVUd_0MrSduXTe1etBb1HNpAlGwQr006ljwMiM"",
      ""GSC最新!A:F""
    ),
    3,
    FALSE
  ),
  0
)
"),1.0)</f>
        <v>1</v>
      </c>
      <c r="J84" s="54">
        <f>IFERROR(__xludf.DUMMYFUNCTION("IFERROR(
  VLOOKUP(
    A84,
    IMPORTRANGE(
      ""1ZHMy3vVUd_0MrSduXTe1etBb1HNpAlGwQr006ljwMiM"",
      ""GSC最新!A:F""
    ),
    4,
    FALSE
  ),
  0
)
"),0.0)</f>
        <v>0</v>
      </c>
      <c r="K84" s="54">
        <f>IFERROR(__xludf.DUMMYFUNCTION("IFERROR(
  VLOOKUP(
    A84,
    IMPORTRANGE(
      ""1ZHMy3vVUd_0MrSduXTe1etBb1HNpAlGwQr006ljwMiM"",
      ""GSC最新!A:F""
    ),
    5,
    FALSE
  ),
  0
)
"),0.0)</f>
        <v>0</v>
      </c>
      <c r="L84" s="50" t="str">
        <f t="shared" ref="L84:M84" si="412">IFERROR(H84/J84,"-")</f>
        <v>-</v>
      </c>
      <c r="M84" s="50" t="str">
        <f t="shared" si="412"/>
        <v>-</v>
      </c>
      <c r="N84" s="59">
        <f>IFERROR(__xludf.DUMMYFUNCTION("IFERROR(
  VLOOKUP(
    A84,
    IMPORTRANGE(
      ""1ZHMy3vVUd_0MrSduXTe1etBb1HNpAlGwQr006ljwMiM"",
      ""GSC最新!A:R""
    ),
    7,
    FALSE
  ),
  0
)
"),16.0)</f>
        <v>16</v>
      </c>
      <c r="O84" s="59">
        <f>IFERROR(__xludf.DUMMYFUNCTION("IFERROR(
  VLOOKUP(
    A84,
    IMPORTRANGE(
      ""1ZHMy3vVUd_0MrSduXTe1etBb1HNpAlGwQr006ljwMiM"",
      ""GSC最新!A:R""
    ),
    10,
    FALSE
  ),
  0
)
"),29.0)</f>
        <v>29</v>
      </c>
      <c r="P84" s="59">
        <f>IFERROR(__xludf.DUMMYFUNCTION("IFERROR(
  VLOOKUP(
    A84,
    IMPORTRANGE(
      ""1ZHMy3vVUd_0MrSduXTe1etBb1HNpAlGwQr006ljwMiM"",
      ""GSC最新!A:R""
    ),
    13,
    FALSE
  ),
  0
)
"),0.0)</f>
        <v>0</v>
      </c>
      <c r="Q84" s="59">
        <f>IFERROR(__xludf.DUMMYFUNCTION("IFERROR(
  VLOOKUP(
    A84,
    IMPORTRANGE(
      ""1ZHMy3vVUd_0MrSduXTe1etBb1HNpAlGwQr006ljwMiM"",
      ""GSC最新!A:R""
    ),
    16,
    FALSE
  ),
  0
)
"),32.0)</f>
        <v>32</v>
      </c>
      <c r="R84" s="50" t="str">
        <f t="shared" ref="R84:S84" si="413">IFERROR(N84/P84,"-")</f>
        <v>-</v>
      </c>
      <c r="S84" s="50">
        <f t="shared" si="413"/>
        <v>0.90625</v>
      </c>
      <c r="T84" s="60">
        <f>IFERROR(__xludf.DUMMYFUNCTION("IFERROR(
  VLOOKUP(
    A84,
    IMPORTRANGE(
      ""1ZHMy3vVUd_0MrSduXTe1etBb1HNpAlGwQr006ljwMiM"",
      ""GSC最新!A:R""
    ),
    8,
    FALSE
  ),
  0
)
"),0.0)</f>
        <v>0</v>
      </c>
      <c r="U84" s="60">
        <f>IFERROR(__xludf.DUMMYFUNCTION("IFERROR(
  VLOOKUP(
    A84,
    IMPORTRANGE(
      ""1ZHMy3vVUd_0MrSduXTe1etBb1HNpAlGwQr006ljwMiM"",
      ""GSC最新!A:R""
    ),
    11,
    FALSE
  ),
  0
)
"),0.034482758620689655)</f>
        <v>0.03448275862</v>
      </c>
      <c r="V84" s="60">
        <f>IFERROR(__xludf.DUMMYFUNCTION("IFERROR(
  VLOOKUP(
    A84,
    IMPORTRANGE(
      ""1ZHMy3vVUd_0MrSduXTe1etBb1HNpAlGwQr006ljwMiM"",
      ""GSC最新!A:R""
    ),
    14,
    FALSE
  ),
  0
)
"),0.0)</f>
        <v>0</v>
      </c>
      <c r="W84" s="60">
        <f>IFERROR(__xludf.DUMMYFUNCTION("IFERROR(
  VLOOKUP(
    A84,
    IMPORTRANGE(
      ""1ZHMy3vVUd_0MrSduXTe1etBb1HNpAlGwQr006ljwMiM"",
      ""GSC最新!A:R""
    ),
    17,
    FALSE
  ),
  0
)
"),0.0)</f>
        <v>0</v>
      </c>
      <c r="X84" s="60">
        <f t="shared" ref="X84:Y84" si="414">IFERROR(T84-V84,"-")</f>
        <v>0</v>
      </c>
      <c r="Y84" s="60">
        <f t="shared" si="414"/>
        <v>0.03448275862</v>
      </c>
      <c r="Z84" s="52">
        <f>IFERROR(__xludf.DUMMYFUNCTION("IFERROR(
  VLOOKUP(
    A84,
    IMPORTRANGE(
      ""1ZHMy3vVUd_0MrSduXTe1etBb1HNpAlGwQr006ljwMiM"",
      ""GSC最新!A:R""
    ),
    9,
    FALSE
  ),
  0
)
"),10.25)</f>
        <v>10.25</v>
      </c>
      <c r="AA84" s="52">
        <f>IFERROR(__xludf.DUMMYFUNCTION("IFERROR(
  VLOOKUP(
    A84,
    IMPORTRANGE(
      ""1ZHMy3vVUd_0MrSduXTe1etBb1HNpAlGwQr006ljwMiM"",
      ""GSC最新!A:R""
    ),
    12,
    FALSE
  ),
  0
)
"),9.586206896551724)</f>
        <v>9.586206897</v>
      </c>
      <c r="AB84" s="52" t="str">
        <f>IFERROR(__xludf.DUMMYFUNCTION("IFERROR(
  VLOOKUP(
    A84,
    IMPORTRANGE(
      ""1ZHMy3vVUd_0MrSduXTe1etBb1HNpAlGwQr006ljwMiM"",
      ""GSC最新!A:R""
    ),
    15,
    FALSE
  ),
  0
)
"),"")</f>
        <v/>
      </c>
      <c r="AC84" s="52">
        <f>IFERROR(__xludf.DUMMYFUNCTION("IFERROR(
  VLOOKUP(
    A84,
    IMPORTRANGE(
      ""1ZHMy3vVUd_0MrSduXTe1etBb1HNpAlGwQr006ljwMiM"",
      ""GSC最新!A:R""
    ),
    18,
    FALSE
  ),
  0
)
"),41.59375)</f>
        <v>41.59375</v>
      </c>
      <c r="AD84" s="52">
        <f t="shared" ref="AD84:AE84" si="415">Z84-AB84</f>
        <v>10.25</v>
      </c>
      <c r="AE84" s="52">
        <f t="shared" si="415"/>
        <v>-32.0075431</v>
      </c>
      <c r="AF84" s="53">
        <f>IFERROR(__xludf.DUMMYFUNCTION("IFERROR(
  VLOOKUP(
    A84,
    IMPORTRANGE(
      ""1ZHMy3vVUd_0MrSduXTe1etBb1HNpAlGwQr006ljwMiM"",
      ""GSC最新!A:F""
    ),
    6,
    FALSE
  ),
  0
)
"),46081.0)</f>
        <v>46081</v>
      </c>
      <c r="AG84" s="54">
        <f>IFERROR(__xludf.DUMMYFUNCTION("IFERROR(
  VLOOKUP(
    A84,
    IMPORTRANGE(
      ""1SCYQd7_cobOYqT0r_F0IqD4tE4rYn5y8Eup4PJTH8es"",
      ""Snapshot!A:M""
    ),
    5,
    FALSE
  ),
  ""-""
)
"),10.0)</f>
        <v>10</v>
      </c>
      <c r="AH84" s="54">
        <f>IFERROR(__xludf.DUMMYFUNCTION("IFERROR(
  VLOOKUP(
    A84,
    IMPORTRANGE(
      ""1SCYQd7_cobOYqT0r_F0IqD4tE4rYn5y8Eup4PJTH8es"",
      ""Snapshot!A:M""
    ),
    6,
    FALSE
  ),
  0
)
"),15.0)</f>
        <v>15</v>
      </c>
      <c r="AI84" s="54">
        <f>IFERROR(__xludf.DUMMYFUNCTION("IFERROR(
  VLOOKUP(
    A84,
    IMPORTRANGE(
      ""1SCYQd7_cobOYqT0r_F0IqD4tE4rYn5y8Eup4PJTH8es"",
      ""Snapshot!A:M""
    ),
    7,
    FALSE
  ),
  0
)
"),5775.0)</f>
        <v>5775</v>
      </c>
      <c r="AJ84" s="54">
        <f>IFERROR(__xludf.DUMMYFUNCTION("IFERROR(
  VLOOKUP(
    A84,
    IMPORTRANGE(
      ""1SCYQd7_cobOYqT0r_F0IqD4tE4rYn5y8Eup4PJTH8es"",
      ""Snapshot!A:M""
    ),
    8,
    FALSE
  ),
  0
)
"),4.0)</f>
        <v>4</v>
      </c>
      <c r="AK84" s="54">
        <f>IFERROR(__xludf.DUMMYFUNCTION("IFERROR(
  VLOOKUP(
    A84,
    IMPORTRANGE(
      ""1SCYQd7_cobOYqT0r_F0IqD4tE4rYn5y8Eup4PJTH8es"",
      ""Snapshot!A:M""
    ),
    9,
    FALSE
  ),
  0
)
"),2.0)</f>
        <v>2</v>
      </c>
      <c r="AL84" s="54">
        <f>IFERROR(__xludf.DUMMYFUNCTION("IFERROR(
  VLOOKUP(
    A84,
    IMPORTRANGE(
      ""1SCYQd7_cobOYqT0r_F0IqD4tE4rYn5y8Eup4PJTH8es"",
      ""Snapshot!A:M""
    ),
    13,
    FALSE
  ),
  0
)
"),3.0)</f>
        <v>3</v>
      </c>
    </row>
    <row r="85">
      <c r="A85" s="3" t="s">
        <v>422</v>
      </c>
      <c r="B85" s="1" t="str">
        <f>IFERROR(__xludf.DUMMYFUNCTION("IFERROR(
  VLOOKUP(
    A85,
    IMPORTRANGE(
      ""1ZygntHC1J6IxzKbTidmOyf5nUyW4GCLurHCjexrLm_o"",
      ""HTMLキャッシュ!A:F""
    ),
    2,
    FALSE
  ),
  0
)
"),"SC")</f>
        <v>SC</v>
      </c>
      <c r="C85" s="1" t="str">
        <f>IFERROR(__xludf.DUMMYFUNCTION("IFERROR(
  VLOOKUP(
    A85,
    IMPORTRANGE(
      ""1ZygntHC1J6IxzKbTidmOyf5nUyW4GCLurHCjexrLm_o"",
      ""HTMLキャッシュ!A:F""
    ),
    5,
    FALSE
  ),
  0
)
"),"小3～小4の算数をオンラインで伸ばす準備と家庭学習のポイント - 中学受験専門 夏井算数塾")</f>
        <v>小3～小4の算数をオンラインで伸ばす準備と家庭学習のポイント - 中学受験専門 夏井算数塾</v>
      </c>
      <c r="D85" s="1" t="str">
        <f>IFERROR(__xludf.DUMMYFUNCTION("IFERROR(
  VLOOKUP(
    A85,
    IMPORTRANGE(
      ""1ZygntHC1J6IxzKbTidmOyf5nUyW4GCLurHCjexrLm_o        "",
      ""HTMLキャッシュ!A:F""
    ),
    6,
    FALSE
  ),
  0
)
"),"小3〜小4の算数を中学受験につなげる土台づくりを、オンライン個別指導と家庭学習の両面から解説。数・図形・言葉の弱点を早期に見極めるポイントを紹介。")</f>
        <v>小3〜小4の算数を中学受験につなげる土台づくりを、オンライン個別指導と家庭学習の両面から解説。数・図形・言葉の弱点を早期に見極めるポイントを紹介。</v>
      </c>
      <c r="E85" s="49">
        <f t="shared" ref="E85:F85" si="416">LEN(C85)</f>
        <v>45</v>
      </c>
      <c r="F85" s="49">
        <f t="shared" si="416"/>
        <v>73</v>
      </c>
      <c r="G85" s="32">
        <f>IFERROR(__xludf.DUMMYFUNCTION("IFERROR(
  VLOOKUP(
    A85,
    IMPORTRANGE(
      ""1ZygntHC1J6IxzKbTidmOyf5nUyW4GCLurHCjexrLm_o        "",
      ""HTMLキャッシュ!A:F""
    ),
    3,
    FALSE
  ),
  0
)
"),46080.826736111114)</f>
        <v>46080.82674</v>
      </c>
      <c r="H85" s="54">
        <f>IFERROR(__xludf.DUMMYFUNCTION("IFERROR(
  VLOOKUP(
    A85,
    IMPORTRANGE(
      ""1ZHMy3vVUd_0MrSduXTe1etBb1HNpAlGwQr006ljwMiM"",
      ""GSC最新!A:F""
    ),
    2,
    FALSE
  ),
  0
)
"),0.0)</f>
        <v>0</v>
      </c>
      <c r="I85" s="54">
        <f>IFERROR(__xludf.DUMMYFUNCTION("IFERROR(
  VLOOKUP(
    A85,
    IMPORTRANGE(
      ""1ZHMy3vVUd_0MrSduXTe1etBb1HNpAlGwQr006ljwMiM"",
      ""GSC最新!A:F""
    ),
    3,
    FALSE
  ),
  0
)
"),1.0)</f>
        <v>1</v>
      </c>
      <c r="J85" s="54">
        <f>IFERROR(__xludf.DUMMYFUNCTION("IFERROR(
  VLOOKUP(
    A85,
    IMPORTRANGE(
      ""1ZHMy3vVUd_0MrSduXTe1etBb1HNpAlGwQr006ljwMiM"",
      ""GSC最新!A:F""
    ),
    4,
    FALSE
  ),
  0
)
"),0.0)</f>
        <v>0</v>
      </c>
      <c r="K85" s="54">
        <f>IFERROR(__xludf.DUMMYFUNCTION("IFERROR(
  VLOOKUP(
    A85,
    IMPORTRANGE(
      ""1ZHMy3vVUd_0MrSduXTe1etBb1HNpAlGwQr006ljwMiM"",
      ""GSC最新!A:F""
    ),
    5,
    FALSE
  ),
  0
)
"),0.0)</f>
        <v>0</v>
      </c>
      <c r="L85" s="50" t="str">
        <f t="shared" ref="L85:M85" si="417">IFERROR(H85/J85,"-")</f>
        <v>-</v>
      </c>
      <c r="M85" s="50" t="str">
        <f t="shared" si="417"/>
        <v>-</v>
      </c>
      <c r="N85" s="59">
        <f>IFERROR(__xludf.DUMMYFUNCTION("IFERROR(
  VLOOKUP(
    A85,
    IMPORTRANGE(
      ""1ZHMy3vVUd_0MrSduXTe1etBb1HNpAlGwQr006ljwMiM"",
      ""GSC最新!A:R""
    ),
    7,
    FALSE
  ),
  0
)
"),4.0)</f>
        <v>4</v>
      </c>
      <c r="O85" s="59">
        <f>IFERROR(__xludf.DUMMYFUNCTION("IFERROR(
  VLOOKUP(
    A85,
    IMPORTRANGE(
      ""1ZHMy3vVUd_0MrSduXTe1etBb1HNpAlGwQr006ljwMiM"",
      ""GSC最新!A:R""
    ),
    10,
    FALSE
  ),
  0
)
"),27.0)</f>
        <v>27</v>
      </c>
      <c r="P85" s="59">
        <f>IFERROR(__xludf.DUMMYFUNCTION("IFERROR(
  VLOOKUP(
    A85,
    IMPORTRANGE(
      ""1ZHMy3vVUd_0MrSduXTe1etBb1HNpAlGwQr006ljwMiM"",
      ""GSC最新!A:R""
    ),
    13,
    FALSE
  ),
  0
)
"),0.0)</f>
        <v>0</v>
      </c>
      <c r="Q85" s="59">
        <f>IFERROR(__xludf.DUMMYFUNCTION("IFERROR(
  VLOOKUP(
    A85,
    IMPORTRANGE(
      ""1ZHMy3vVUd_0MrSduXTe1etBb1HNpAlGwQr006ljwMiM"",
      ""GSC最新!A:R""
    ),
    16,
    FALSE
  ),
  0
)
"),0.0)</f>
        <v>0</v>
      </c>
      <c r="R85" s="50" t="str">
        <f t="shared" ref="R85:S85" si="418">IFERROR(N85/P85,"-")</f>
        <v>-</v>
      </c>
      <c r="S85" s="50" t="str">
        <f t="shared" si="418"/>
        <v>-</v>
      </c>
      <c r="T85" s="60">
        <f>IFERROR(__xludf.DUMMYFUNCTION("IFERROR(
  VLOOKUP(
    A85,
    IMPORTRANGE(
      ""1ZHMy3vVUd_0MrSduXTe1etBb1HNpAlGwQr006ljwMiM"",
      ""GSC最新!A:R""
    ),
    8,
    FALSE
  ),
  0
)
"),0.0)</f>
        <v>0</v>
      </c>
      <c r="U85" s="60">
        <f>IFERROR(__xludf.DUMMYFUNCTION("IFERROR(
  VLOOKUP(
    A85,
    IMPORTRANGE(
      ""1ZHMy3vVUd_0MrSduXTe1etBb1HNpAlGwQr006ljwMiM"",
      ""GSC最新!A:R""
    ),
    11,
    FALSE
  ),
  0
)
"),0.037037037037037035)</f>
        <v>0.03703703704</v>
      </c>
      <c r="V85" s="60">
        <f>IFERROR(__xludf.DUMMYFUNCTION("IFERROR(
  VLOOKUP(
    A85,
    IMPORTRANGE(
      ""1ZHMy3vVUd_0MrSduXTe1etBb1HNpAlGwQr006ljwMiM"",
      ""GSC最新!A:R""
    ),
    14,
    FALSE
  ),
  0
)
"),0.0)</f>
        <v>0</v>
      </c>
      <c r="W85" s="60">
        <f>IFERROR(__xludf.DUMMYFUNCTION("IFERROR(
  VLOOKUP(
    A85,
    IMPORTRANGE(
      ""1ZHMy3vVUd_0MrSduXTe1etBb1HNpAlGwQr006ljwMiM"",
      ""GSC最新!A:R""
    ),
    17,
    FALSE
  ),
  0
)
"),0.0)</f>
        <v>0</v>
      </c>
      <c r="X85" s="60">
        <f t="shared" ref="X85:Y85" si="419">IFERROR(T85-V85,"-")</f>
        <v>0</v>
      </c>
      <c r="Y85" s="60">
        <f t="shared" si="419"/>
        <v>0.03703703704</v>
      </c>
      <c r="Z85" s="52">
        <f>IFERROR(__xludf.DUMMYFUNCTION("IFERROR(
  VLOOKUP(
    A85,
    IMPORTRANGE(
      ""1ZHMy3vVUd_0MrSduXTe1etBb1HNpAlGwQr006ljwMiM"",
      ""GSC最新!A:R""
    ),
    9,
    FALSE
  ),
  0
)
"),5.75)</f>
        <v>5.75</v>
      </c>
      <c r="AA85" s="52">
        <f>IFERROR(__xludf.DUMMYFUNCTION("IFERROR(
  VLOOKUP(
    A85,
    IMPORTRANGE(
      ""1ZHMy3vVUd_0MrSduXTe1etBb1HNpAlGwQr006ljwMiM"",
      ""GSC最新!A:R""
    ),
    12,
    FALSE
  ),
  0
)
"),7.851851851851852)</f>
        <v>7.851851852</v>
      </c>
      <c r="AB85" s="52" t="str">
        <f>IFERROR(__xludf.DUMMYFUNCTION("IFERROR(
  VLOOKUP(
    A85,
    IMPORTRANGE(
      ""1ZHMy3vVUd_0MrSduXTe1etBb1HNpAlGwQr006ljwMiM"",
      ""GSC最新!A:R""
    ),
    15,
    FALSE
  ),
  0
)
"),"")</f>
        <v/>
      </c>
      <c r="AC85" s="52" t="str">
        <f>IFERROR(__xludf.DUMMYFUNCTION("IFERROR(
  VLOOKUP(
    A85,
    IMPORTRANGE(
      ""1ZHMy3vVUd_0MrSduXTe1etBb1HNpAlGwQr006ljwMiM"",
      ""GSC最新!A:R""
    ),
    18,
    FALSE
  ),
  0
)
"),"")</f>
        <v/>
      </c>
      <c r="AD85" s="52">
        <f t="shared" ref="AD85:AE85" si="420">Z85-AB85</f>
        <v>5.75</v>
      </c>
      <c r="AE85" s="52">
        <f t="shared" si="420"/>
        <v>7.851851852</v>
      </c>
      <c r="AF85" s="53">
        <f>IFERROR(__xludf.DUMMYFUNCTION("IFERROR(
  VLOOKUP(
    A85,
    IMPORTRANGE(
      ""1ZHMy3vVUd_0MrSduXTe1etBb1HNpAlGwQr006ljwMiM"",
      ""GSC最新!A:F""
    ),
    6,
    FALSE
  ),
  0
)
"),46081.0)</f>
        <v>46081</v>
      </c>
      <c r="AG85" s="54">
        <f>IFERROR(__xludf.DUMMYFUNCTION("IFERROR(
  VLOOKUP(
    A85,
    IMPORTRANGE(
      ""1SCYQd7_cobOYqT0r_F0IqD4tE4rYn5y8Eup4PJTH8es"",
      ""Snapshot!A:M""
    ),
    5,
    FALSE
  ),
  ""-""
)
"),7.0)</f>
        <v>7</v>
      </c>
      <c r="AH85" s="54">
        <f>IFERROR(__xludf.DUMMYFUNCTION("IFERROR(
  VLOOKUP(
    A85,
    IMPORTRANGE(
      ""1SCYQd7_cobOYqT0r_F0IqD4tE4rYn5y8Eup4PJTH8es"",
      ""Snapshot!A:M""
    ),
    6,
    FALSE
  ),
  0
)
"),17.0)</f>
        <v>17</v>
      </c>
      <c r="AI85" s="54">
        <f>IFERROR(__xludf.DUMMYFUNCTION("IFERROR(
  VLOOKUP(
    A85,
    IMPORTRANGE(
      ""1SCYQd7_cobOYqT0r_F0IqD4tE4rYn5y8Eup4PJTH8es"",
      ""Snapshot!A:M""
    ),
    7,
    FALSE
  ),
  0
)
"),8043.0)</f>
        <v>8043</v>
      </c>
      <c r="AJ85" s="54">
        <f>IFERROR(__xludf.DUMMYFUNCTION("IFERROR(
  VLOOKUP(
    A85,
    IMPORTRANGE(
      ""1SCYQd7_cobOYqT0r_F0IqD4tE4rYn5y8Eup4PJTH8es"",
      ""Snapshot!A:M""
    ),
    8,
    FALSE
  ),
  0
)
"),2.0)</f>
        <v>2</v>
      </c>
      <c r="AK85" s="54">
        <f>IFERROR(__xludf.DUMMYFUNCTION("IFERROR(
  VLOOKUP(
    A85,
    IMPORTRANGE(
      ""1SCYQd7_cobOYqT0r_F0IqD4tE4rYn5y8Eup4PJTH8es"",
      ""Snapshot!A:M""
    ),
    9,
    FALSE
  ),
  0
)
"),2.0)</f>
        <v>2</v>
      </c>
      <c r="AL85" s="54">
        <f>IFERROR(__xludf.DUMMYFUNCTION("IFERROR(
  VLOOKUP(
    A85,
    IMPORTRANGE(
      ""1SCYQd7_cobOYqT0r_F0IqD4tE4rYn5y8Eup4PJTH8es"",
      ""Snapshot!A:M""
    ),
    13,
    FALSE
  ),
  0
)
"),2.0)</f>
        <v>2</v>
      </c>
    </row>
    <row r="86">
      <c r="A86" s="3" t="s">
        <v>73</v>
      </c>
      <c r="B86" s="1" t="str">
        <f>IFERROR(__xludf.DUMMYFUNCTION("IFERROR(
  VLOOKUP(
    A86,
    IMPORTRANGE(
      ""1ZygntHC1J6IxzKbTidmOyf5nUyW4GCLurHCjexrLm_o"",
      ""HTMLキャッシュ!A:F""
    ),
    2,
    FALSE
  ),
  0
)
"),"-")</f>
        <v>-</v>
      </c>
      <c r="C86" s="1" t="str">
        <f>IFERROR(__xludf.DUMMYFUNCTION("IFERROR(
  VLOOKUP(
    A86,
    IMPORTRANGE(
      ""1ZygntHC1J6IxzKbTidmOyf5nUyW4GCLurHCjexrLm_o"",
      ""HTMLキャッシュ!A:F""
    ),
    5,
    FALSE
  ),
  0
)
"),"過去問 - 中学受験専門 夏井算数塾")</f>
        <v>過去問 - 中学受験専門 夏井算数塾</v>
      </c>
      <c r="D86" s="1" t="str">
        <f>IFERROR(__xludf.DUMMYFUNCTION("IFERROR(
  VLOOKUP(
    A86,
    IMPORTRANGE(
      ""1ZygntHC1J6IxzKbTidmOyf5nUyW4GCLurHCjexrLm_o        "",
      ""HTMLキャッシュ!A:F""
    ),
    6,
    FALSE
  ),
  0
)
"),"過去問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過去問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86" s="49">
        <f t="shared" ref="E86:F86" si="421">LEN(C86)</f>
        <v>18</v>
      </c>
      <c r="F86" s="49">
        <f t="shared" si="421"/>
        <v>161</v>
      </c>
      <c r="G86" s="32">
        <f>IFERROR(__xludf.DUMMYFUNCTION("IFERROR(
  VLOOKUP(
    A86,
    IMPORTRANGE(
      ""1ZygntHC1J6IxzKbTidmOyf5nUyW4GCLurHCjexrLm_o        "",
      ""HTMLキャッシュ!A:F""
    ),
    3,
    FALSE
  ),
  0
)
"),25569.375)</f>
        <v>25569.375</v>
      </c>
      <c r="H86" s="54">
        <f>IFERROR(__xludf.DUMMYFUNCTION("IFERROR(
  VLOOKUP(
    A86,
    IMPORTRANGE(
      ""1ZHMy3vVUd_0MrSduXTe1etBb1HNpAlGwQr006ljwMiM"",
      ""GSC最新!A:F""
    ),
    2,
    FALSE
  ),
  0
)
"),0.0)</f>
        <v>0</v>
      </c>
      <c r="I86" s="54">
        <f>IFERROR(__xludf.DUMMYFUNCTION("IFERROR(
  VLOOKUP(
    A86,
    IMPORTRANGE(
      ""1ZHMy3vVUd_0MrSduXTe1etBb1HNpAlGwQr006ljwMiM"",
      ""GSC最新!A:F""
    ),
    3,
    FALSE
  ),
  0
)
"),1.0)</f>
        <v>1</v>
      </c>
      <c r="J86" s="54">
        <f>IFERROR(__xludf.DUMMYFUNCTION("IFERROR(
  VLOOKUP(
    A86,
    IMPORTRANGE(
      ""1ZHMy3vVUd_0MrSduXTe1etBb1HNpAlGwQr006ljwMiM"",
      ""GSC最新!A:F""
    ),
    4,
    FALSE
  ),
  0
)
"),0.0)</f>
        <v>0</v>
      </c>
      <c r="K86" s="54">
        <f>IFERROR(__xludf.DUMMYFUNCTION("IFERROR(
  VLOOKUP(
    A86,
    IMPORTRANGE(
      ""1ZHMy3vVUd_0MrSduXTe1etBb1HNpAlGwQr006ljwMiM"",
      ""GSC最新!A:F""
    ),
    5,
    FALSE
  ),
  0
)
"),0.0)</f>
        <v>0</v>
      </c>
      <c r="L86" s="50" t="str">
        <f t="shared" ref="L86:M86" si="422">IFERROR(H86/J86,"-")</f>
        <v>-</v>
      </c>
      <c r="M86" s="50" t="str">
        <f t="shared" si="422"/>
        <v>-</v>
      </c>
      <c r="N86" s="59">
        <f>IFERROR(__xludf.DUMMYFUNCTION("IFERROR(
  VLOOKUP(
    A86,
    IMPORTRANGE(
      ""1ZHMy3vVUd_0MrSduXTe1etBb1HNpAlGwQr006ljwMiM"",
      ""GSC最新!A:R""
    ),
    7,
    FALSE
  ),
  0
)
"),8.0)</f>
        <v>8</v>
      </c>
      <c r="O86" s="59">
        <f>IFERROR(__xludf.DUMMYFUNCTION("IFERROR(
  VLOOKUP(
    A86,
    IMPORTRANGE(
      ""1ZHMy3vVUd_0MrSduXTe1etBb1HNpAlGwQr006ljwMiM"",
      ""GSC最新!A:R""
    ),
    10,
    FALSE
  ),
  0
)
"),26.0)</f>
        <v>26</v>
      </c>
      <c r="P86" s="59">
        <f>IFERROR(__xludf.DUMMYFUNCTION("IFERROR(
  VLOOKUP(
    A86,
    IMPORTRANGE(
      ""1ZHMy3vVUd_0MrSduXTe1etBb1HNpAlGwQr006ljwMiM"",
      ""GSC最新!A:R""
    ),
    13,
    FALSE
  ),
  0
)
"),2.0)</f>
        <v>2</v>
      </c>
      <c r="Q86" s="59">
        <f>IFERROR(__xludf.DUMMYFUNCTION("IFERROR(
  VLOOKUP(
    A86,
    IMPORTRANGE(
      ""1ZHMy3vVUd_0MrSduXTe1etBb1HNpAlGwQr006ljwMiM"",
      ""GSC最新!A:R""
    ),
    16,
    FALSE
  ),
  0
)
"),56.0)</f>
        <v>56</v>
      </c>
      <c r="R86" s="50">
        <f t="shared" ref="R86:S86" si="423">IFERROR(N86/P86,"-")</f>
        <v>4</v>
      </c>
      <c r="S86" s="50">
        <f t="shared" si="423"/>
        <v>0.4642857143</v>
      </c>
      <c r="T86" s="60">
        <f>IFERROR(__xludf.DUMMYFUNCTION("IFERROR(
  VLOOKUP(
    A86,
    IMPORTRANGE(
      ""1ZHMy3vVUd_0MrSduXTe1etBb1HNpAlGwQr006ljwMiM"",
      ""GSC最新!A:R""
    ),
    8,
    FALSE
  ),
  0
)
"),0.0)</f>
        <v>0</v>
      </c>
      <c r="U86" s="60">
        <f>IFERROR(__xludf.DUMMYFUNCTION("IFERROR(
  VLOOKUP(
    A86,
    IMPORTRANGE(
      ""1ZHMy3vVUd_0MrSduXTe1etBb1HNpAlGwQr006ljwMiM"",
      ""GSC最新!A:R""
    ),
    11,
    FALSE
  ),
  0
)
"),0.038461538461538464)</f>
        <v>0.03846153846</v>
      </c>
      <c r="V86" s="60">
        <f>IFERROR(__xludf.DUMMYFUNCTION("IFERROR(
  VLOOKUP(
    A86,
    IMPORTRANGE(
      ""1ZHMy3vVUd_0MrSduXTe1etBb1HNpAlGwQr006ljwMiM"",
      ""GSC最新!A:R""
    ),
    14,
    FALSE
  ),
  0
)
"),0.0)</f>
        <v>0</v>
      </c>
      <c r="W86" s="60">
        <f>IFERROR(__xludf.DUMMYFUNCTION("IFERROR(
  VLOOKUP(
    A86,
    IMPORTRANGE(
      ""1ZHMy3vVUd_0MrSduXTe1etBb1HNpAlGwQr006ljwMiM"",
      ""GSC最新!A:R""
    ),
    17,
    FALSE
  ),
  0
)
"),0.0)</f>
        <v>0</v>
      </c>
      <c r="X86" s="60">
        <f t="shared" ref="X86:Y86" si="424">IFERROR(T86-V86,"-")</f>
        <v>0</v>
      </c>
      <c r="Y86" s="60">
        <f t="shared" si="424"/>
        <v>0.03846153846</v>
      </c>
      <c r="Z86" s="52">
        <f>IFERROR(__xludf.DUMMYFUNCTION("IFERROR(
  VLOOKUP(
    A86,
    IMPORTRANGE(
      ""1ZHMy3vVUd_0MrSduXTe1etBb1HNpAlGwQr006ljwMiM"",
      ""GSC最新!A:R""
    ),
    9,
    FALSE
  ),
  0
)
"),7.25)</f>
        <v>7.25</v>
      </c>
      <c r="AA86" s="52">
        <f>IFERROR(__xludf.DUMMYFUNCTION("IFERROR(
  VLOOKUP(
    A86,
    IMPORTRANGE(
      ""1ZHMy3vVUd_0MrSduXTe1etBb1HNpAlGwQr006ljwMiM"",
      ""GSC最新!A:R""
    ),
    12,
    FALSE
  ),
  0
)
"),16.192307692307693)</f>
        <v>16.19230769</v>
      </c>
      <c r="AB86" s="52">
        <f>IFERROR(__xludf.DUMMYFUNCTION("IFERROR(
  VLOOKUP(
    A86,
    IMPORTRANGE(
      ""1ZHMy3vVUd_0MrSduXTe1etBb1HNpAlGwQr006ljwMiM"",
      ""GSC最新!A:R""
    ),
    15,
    FALSE
  ),
  0
)
"),8.5)</f>
        <v>8.5</v>
      </c>
      <c r="AC86" s="52">
        <f>IFERROR(__xludf.DUMMYFUNCTION("IFERROR(
  VLOOKUP(
    A86,
    IMPORTRANGE(
      ""1ZHMy3vVUd_0MrSduXTe1etBb1HNpAlGwQr006ljwMiM"",
      ""GSC最新!A:R""
    ),
    18,
    FALSE
  ),
  0
)
"),37.625)</f>
        <v>37.625</v>
      </c>
      <c r="AD86" s="52">
        <f t="shared" ref="AD86:AE86" si="425">Z86-AB86</f>
        <v>-1.25</v>
      </c>
      <c r="AE86" s="52">
        <f t="shared" si="425"/>
        <v>-21.43269231</v>
      </c>
      <c r="AF86" s="53">
        <f>IFERROR(__xludf.DUMMYFUNCTION("IFERROR(
  VLOOKUP(
    A86,
    IMPORTRANGE(
      ""1ZHMy3vVUd_0MrSduXTe1etBb1HNpAlGwQr006ljwMiM"",
      ""GSC最新!A:F""
    ),
    6,
    FALSE
  ),
  0
)
"),46081.0)</f>
        <v>46081</v>
      </c>
      <c r="AG86" s="54">
        <f>IFERROR(__xludf.DUMMYFUNCTION("IFERROR(
  VLOOKUP(
    A86,
    IMPORTRANGE(
      ""1SCYQd7_cobOYqT0r_F0IqD4tE4rYn5y8Eup4PJTH8es"",
      ""Snapshot!A:M""
    ),
    5,
    FALSE
  ),
  ""-""
)
"),0.0)</f>
        <v>0</v>
      </c>
      <c r="AH86" s="54">
        <f>IFERROR(__xludf.DUMMYFUNCTION("IFERROR(
  VLOOKUP(
    A86,
    IMPORTRANGE(
      ""1SCYQd7_cobOYqT0r_F0IqD4tE4rYn5y8Eup4PJTH8es"",
      ""Snapshot!A:M""
    ),
    6,
    FALSE
  ),
  0
)
"),0.0)</f>
        <v>0</v>
      </c>
      <c r="AI86" s="54">
        <f>IFERROR(__xludf.DUMMYFUNCTION("IFERROR(
  VLOOKUP(
    A86,
    IMPORTRANGE(
      ""1SCYQd7_cobOYqT0r_F0IqD4tE4rYn5y8Eup4PJTH8es"",
      ""Snapshot!A:M""
    ),
    7,
    FALSE
  ),
  0
)
"),0.0)</f>
        <v>0</v>
      </c>
      <c r="AJ86" s="54">
        <f>IFERROR(__xludf.DUMMYFUNCTION("IFERROR(
  VLOOKUP(
    A86,
    IMPORTRANGE(
      ""1SCYQd7_cobOYqT0r_F0IqD4tE4rYn5y8Eup4PJTH8es"",
      ""Snapshot!A:M""
    ),
    8,
    FALSE
  ),
  0
)
"),0.0)</f>
        <v>0</v>
      </c>
      <c r="AK86" s="54">
        <f>IFERROR(__xludf.DUMMYFUNCTION("IFERROR(
  VLOOKUP(
    A86,
    IMPORTRANGE(
      ""1SCYQd7_cobOYqT0r_F0IqD4tE4rYn5y8Eup4PJTH8es"",
      ""Snapshot!A:M""
    ),
    9,
    FALSE
  ),
  0
)
"),0.0)</f>
        <v>0</v>
      </c>
      <c r="AL86" s="54">
        <f>IFERROR(__xludf.DUMMYFUNCTION("IFERROR(
  VLOOKUP(
    A86,
    IMPORTRANGE(
      ""1SCYQd7_cobOYqT0r_F0IqD4tE4rYn5y8Eup4PJTH8es"",
      ""Snapshot!A:M""
    ),
    13,
    FALSE
  ),
  0
)
"),1.0)</f>
        <v>1</v>
      </c>
    </row>
    <row r="87">
      <c r="A87" s="3" t="s">
        <v>423</v>
      </c>
      <c r="B87" s="1" t="str">
        <f>IFERROR(__xludf.DUMMYFUNCTION("IFERROR(
  VLOOKUP(
    A87,
    IMPORTRANGE(
      ""1ZygntHC1J6IxzKbTidmOyf5nUyW4GCLurHCjexrLm_o"",
      ""HTMLキャッシュ!A:F""
    ),
    2,
    FALSE
  ),
  0
)
"),"MC")</f>
        <v>MC</v>
      </c>
      <c r="C87" s="1" t="str">
        <f>IFERROR(__xludf.DUMMYFUNCTION("IFERROR(
  VLOOKUP(
    A87,
    IMPORTRANGE(
      ""1ZygntHC1J6IxzKbTidmOyf5nUyW4GCLurHCjexrLm_o"",
      ""HTMLキャッシュ!A:F""
    ),
    5,
    FALSE
  ),
  0
)
"),"今までにない、”業界初”のオンライン算数個別指導「ウィズ・ユー」 - 中学受験専門 夏井算数塾")</f>
        <v>今までにない、”業界初”のオンライン算数個別指導「ウィズ・ユー」 - 中学受験専門 夏井算数塾</v>
      </c>
      <c r="D87" s="1" t="str">
        <f>IFERROR(__xludf.DUMMYFUNCTION("IFERROR(
  VLOOKUP(
    A87,
    IMPORTRANGE(
      ""1ZygntHC1J6IxzKbTidmOyf5nUyW4GCLurHCjexrLm_o        "",
      ""HTMLキャッシュ!A:F""
    ),
    6,
    FALSE
  ),
  0
)
"),"オンライン個別指導「ウィズ・ユー」は、対面授業を100％体現！顔と手元が映る2画面システムや電子黒板を活用し、効率的な指導を実現。新しい学び方を体感しよう！")</f>
        <v>オンライン個別指導「ウィズ・ユー」は、対面授業を100％体現！顔と手元が映る2画面システムや電子黒板を活用し、効率的な指導を実現。新しい学び方を体感しよう！</v>
      </c>
      <c r="E87" s="49">
        <f t="shared" ref="E87:F87" si="426">LEN(C87)</f>
        <v>47</v>
      </c>
      <c r="F87" s="49">
        <f t="shared" si="426"/>
        <v>78</v>
      </c>
      <c r="G87" s="32">
        <f>IFERROR(__xludf.DUMMYFUNCTION("IFERROR(
  VLOOKUP(
    A87,
    IMPORTRANGE(
      ""1ZygntHC1J6IxzKbTidmOyf5nUyW4GCLurHCjexrLm_o        "",
      ""HTMLキャッシュ!A:F""
    ),
    3,
    FALSE
  ),
  0
)
"),46048.759247685186)</f>
        <v>46048.75925</v>
      </c>
      <c r="H87" s="54">
        <f>IFERROR(__xludf.DUMMYFUNCTION("IFERROR(
  VLOOKUP(
    A87,
    IMPORTRANGE(
      ""1ZHMy3vVUd_0MrSduXTe1etBb1HNpAlGwQr006ljwMiM"",
      ""GSC最新!A:F""
    ),
    2,
    FALSE
  ),
  0
)
"),1.0)</f>
        <v>1</v>
      </c>
      <c r="I87" s="54">
        <f>IFERROR(__xludf.DUMMYFUNCTION("IFERROR(
  VLOOKUP(
    A87,
    IMPORTRANGE(
      ""1ZHMy3vVUd_0MrSduXTe1etBb1HNpAlGwQr006ljwMiM"",
      ""GSC最新!A:F""
    ),
    3,
    FALSE
  ),
  0
)
"),1.0)</f>
        <v>1</v>
      </c>
      <c r="J87" s="54">
        <f>IFERROR(__xludf.DUMMYFUNCTION("IFERROR(
  VLOOKUP(
    A87,
    IMPORTRANGE(
      ""1ZHMy3vVUd_0MrSduXTe1etBb1HNpAlGwQr006ljwMiM"",
      ""GSC最新!A:F""
    ),
    4,
    FALSE
  ),
  0
)
"),0.0)</f>
        <v>0</v>
      </c>
      <c r="K87" s="54">
        <f>IFERROR(__xludf.DUMMYFUNCTION("IFERROR(
  VLOOKUP(
    A87,
    IMPORTRANGE(
      ""1ZHMy3vVUd_0MrSduXTe1etBb1HNpAlGwQr006ljwMiM"",
      ""GSC最新!A:F""
    ),
    5,
    FALSE
  ),
  0
)
"),1.0)</f>
        <v>1</v>
      </c>
      <c r="L87" s="50" t="str">
        <f t="shared" ref="L87:M87" si="427">IFERROR(H87/J87,"-")</f>
        <v>-</v>
      </c>
      <c r="M87" s="50">
        <f t="shared" si="427"/>
        <v>1</v>
      </c>
      <c r="N87" s="59">
        <f>IFERROR(__xludf.DUMMYFUNCTION("IFERROR(
  VLOOKUP(
    A87,
    IMPORTRANGE(
      ""1ZHMy3vVUd_0MrSduXTe1etBb1HNpAlGwQr006ljwMiM"",
      ""GSC最新!A:R""
    ),
    7,
    FALSE
  ),
  0
)
"),5.0)</f>
        <v>5</v>
      </c>
      <c r="O87" s="59">
        <f>IFERROR(__xludf.DUMMYFUNCTION("IFERROR(
  VLOOKUP(
    A87,
    IMPORTRANGE(
      ""1ZHMy3vVUd_0MrSduXTe1etBb1HNpAlGwQr006ljwMiM"",
      ""GSC最新!A:R""
    ),
    10,
    FALSE
  ),
  0
)
"),18.0)</f>
        <v>18</v>
      </c>
      <c r="P87" s="59">
        <f>IFERROR(__xludf.DUMMYFUNCTION("IFERROR(
  VLOOKUP(
    A87,
    IMPORTRANGE(
      ""1ZHMy3vVUd_0MrSduXTe1etBb1HNpAlGwQr006ljwMiM"",
      ""GSC最新!A:R""
    ),
    13,
    FALSE
  ),
  0
)
"),5.0)</f>
        <v>5</v>
      </c>
      <c r="Q87" s="59">
        <f>IFERROR(__xludf.DUMMYFUNCTION("IFERROR(
  VLOOKUP(
    A87,
    IMPORTRANGE(
      ""1ZHMy3vVUd_0MrSduXTe1etBb1HNpAlGwQr006ljwMiM"",
      ""GSC最新!A:R""
    ),
    16,
    FALSE
  ),
  0
)
"),30.0)</f>
        <v>30</v>
      </c>
      <c r="R87" s="50">
        <f t="shared" ref="R87:S87" si="428">IFERROR(N87/P87,"-")</f>
        <v>1</v>
      </c>
      <c r="S87" s="50">
        <f t="shared" si="428"/>
        <v>0.6</v>
      </c>
      <c r="T87" s="60">
        <f>IFERROR(__xludf.DUMMYFUNCTION("IFERROR(
  VLOOKUP(
    A87,
    IMPORTRANGE(
      ""1ZHMy3vVUd_0MrSduXTe1etBb1HNpAlGwQr006ljwMiM"",
      ""GSC最新!A:R""
    ),
    8,
    FALSE
  ),
  0
)
"),0.2)</f>
        <v>0.2</v>
      </c>
      <c r="U87" s="60">
        <f>IFERROR(__xludf.DUMMYFUNCTION("IFERROR(
  VLOOKUP(
    A87,
    IMPORTRANGE(
      ""1ZHMy3vVUd_0MrSduXTe1etBb1HNpAlGwQr006ljwMiM"",
      ""GSC最新!A:R""
    ),
    11,
    FALSE
  ),
  0
)
"),0.05555555555555555)</f>
        <v>0.05555555556</v>
      </c>
      <c r="V87" s="60">
        <f>IFERROR(__xludf.DUMMYFUNCTION("IFERROR(
  VLOOKUP(
    A87,
    IMPORTRANGE(
      ""1ZHMy3vVUd_0MrSduXTe1etBb1HNpAlGwQr006ljwMiM"",
      ""GSC最新!A:R""
    ),
    14,
    FALSE
  ),
  0
)
"),0.0)</f>
        <v>0</v>
      </c>
      <c r="W87" s="60">
        <f>IFERROR(__xludf.DUMMYFUNCTION("IFERROR(
  VLOOKUP(
    A87,
    IMPORTRANGE(
      ""1ZHMy3vVUd_0MrSduXTe1etBb1HNpAlGwQr006ljwMiM"",
      ""GSC最新!A:R""
    ),
    17,
    FALSE
  ),
  0
)
"),0.03333333333333333)</f>
        <v>0.03333333333</v>
      </c>
      <c r="X87" s="60">
        <f t="shared" ref="X87:Y87" si="429">IFERROR(T87-V87,"-")</f>
        <v>0.2</v>
      </c>
      <c r="Y87" s="60">
        <f t="shared" si="429"/>
        <v>0.02222222222</v>
      </c>
      <c r="Z87" s="52">
        <f>IFERROR(__xludf.DUMMYFUNCTION("IFERROR(
  VLOOKUP(
    A87,
    IMPORTRANGE(
      ""1ZHMy3vVUd_0MrSduXTe1etBb1HNpAlGwQr006ljwMiM"",
      ""GSC最新!A:R""
    ),
    9,
    FALSE
  ),
  0
)
"),23.8)</f>
        <v>23.8</v>
      </c>
      <c r="AA87" s="52">
        <f>IFERROR(__xludf.DUMMYFUNCTION("IFERROR(
  VLOOKUP(
    A87,
    IMPORTRANGE(
      ""1ZHMy3vVUd_0MrSduXTe1etBb1HNpAlGwQr006ljwMiM"",
      ""GSC最新!A:R""
    ),
    12,
    FALSE
  ),
  0
)
"),11.055555555555555)</f>
        <v>11.05555556</v>
      </c>
      <c r="AB87" s="52">
        <f>IFERROR(__xludf.DUMMYFUNCTION("IFERROR(
  VLOOKUP(
    A87,
    IMPORTRANGE(
      ""1ZHMy3vVUd_0MrSduXTe1etBb1HNpAlGwQr006ljwMiM"",
      ""GSC最新!A:R""
    ),
    15,
    FALSE
  ),
  0
)
"),5.8)</f>
        <v>5.8</v>
      </c>
      <c r="AC87" s="52">
        <f>IFERROR(__xludf.DUMMYFUNCTION("IFERROR(
  VLOOKUP(
    A87,
    IMPORTRANGE(
      ""1ZHMy3vVUd_0MrSduXTe1etBb1HNpAlGwQr006ljwMiM"",
      ""GSC最新!A:R""
    ),
    18,
    FALSE
  ),
  0
)
"),41.2)</f>
        <v>41.2</v>
      </c>
      <c r="AD87" s="52">
        <f t="shared" ref="AD87:AE87" si="430">Z87-AB87</f>
        <v>18</v>
      </c>
      <c r="AE87" s="52">
        <f t="shared" si="430"/>
        <v>-30.14444444</v>
      </c>
      <c r="AF87" s="53">
        <f>IFERROR(__xludf.DUMMYFUNCTION("IFERROR(
  VLOOKUP(
    A87,
    IMPORTRANGE(
      ""1ZHMy3vVUd_0MrSduXTe1etBb1HNpAlGwQr006ljwMiM"",
      ""GSC最新!A:F""
    ),
    6,
    FALSE
  ),
  0
)
"),46081.0)</f>
        <v>46081</v>
      </c>
      <c r="AG87" s="54">
        <f>IFERROR(__xludf.DUMMYFUNCTION("IFERROR(
  VLOOKUP(
    A87,
    IMPORTRANGE(
      ""1SCYQd7_cobOYqT0r_F0IqD4tE4rYn5y8Eup4PJTH8es"",
      ""Snapshot!A:M""
    ),
    5,
    FALSE
  ),
  ""-""
)
"),5.0)</f>
        <v>5</v>
      </c>
      <c r="AH87" s="54">
        <f>IFERROR(__xludf.DUMMYFUNCTION("IFERROR(
  VLOOKUP(
    A87,
    IMPORTRANGE(
      ""1SCYQd7_cobOYqT0r_F0IqD4tE4rYn5y8Eup4PJTH8es"",
      ""Snapshot!A:M""
    ),
    6,
    FALSE
  ),
  0
)
"),0.0)</f>
        <v>0</v>
      </c>
      <c r="AI87" s="54">
        <f>IFERROR(__xludf.DUMMYFUNCTION("IFERROR(
  VLOOKUP(
    A87,
    IMPORTRANGE(
      ""1SCYQd7_cobOYqT0r_F0IqD4tE4rYn5y8Eup4PJTH8es"",
      ""Snapshot!A:M""
    ),
    7,
    FALSE
  ),
  0
)
"),2141.0)</f>
        <v>2141</v>
      </c>
      <c r="AJ87" s="54">
        <f>IFERROR(__xludf.DUMMYFUNCTION("IFERROR(
  VLOOKUP(
    A87,
    IMPORTRANGE(
      ""1SCYQd7_cobOYqT0r_F0IqD4tE4rYn5y8Eup4PJTH8es"",
      ""Snapshot!A:M""
    ),
    8,
    FALSE
  ),
  0
)
"),9.0)</f>
        <v>9</v>
      </c>
      <c r="AK87" s="54">
        <f>IFERROR(__xludf.DUMMYFUNCTION("IFERROR(
  VLOOKUP(
    A87,
    IMPORTRANGE(
      ""1SCYQd7_cobOYqT0r_F0IqD4tE4rYn5y8Eup4PJTH8es"",
      ""Snapshot!A:M""
    ),
    9,
    FALSE
  ),
  0
)
"),1.0)</f>
        <v>1</v>
      </c>
      <c r="AL87" s="54">
        <f>IFERROR(__xludf.DUMMYFUNCTION("IFERROR(
  VLOOKUP(
    A87,
    IMPORTRANGE(
      ""1SCYQd7_cobOYqT0r_F0IqD4tE4rYn5y8Eup4PJTH8es"",
      ""Snapshot!A:M""
    ),
    13,
    FALSE
  ),
  0
)
"),2.0)</f>
        <v>2</v>
      </c>
    </row>
    <row r="88">
      <c r="A88" s="3" t="s">
        <v>424</v>
      </c>
      <c r="B88" s="1" t="str">
        <f>IFERROR(__xludf.DUMMYFUNCTION("IFERROR(
  VLOOKUP(
    A88,
    IMPORTRANGE(
      ""1ZygntHC1J6IxzKbTidmOyf5nUyW4GCLurHCjexrLm_o"",
      ""HTMLキャッシュ!A:F""
    ),
    2,
    FALSE
  ),
  0
)
"),"NW")</f>
        <v>NW</v>
      </c>
      <c r="C88" s="1" t="str">
        <f>IFERROR(__xludf.DUMMYFUNCTION("IFERROR(
  VLOOKUP(
    A88,
    IMPORTRANGE(
      ""1ZygntHC1J6IxzKbTidmOyf5nUyW4GCLurHCjexrLm_o"",
      ""HTMLキャッシュ!A:F""
    ),
    5,
    FALSE
  ),
  0
)
"),"2025年 夏期講習のお知らせ【個別】 - 中学受験専門 夏井算数塾")</f>
        <v>2025年 夏期講習のお知らせ【個別】 - 中学受験専門 夏井算数塾</v>
      </c>
      <c r="D88" s="1" t="str">
        <f>IFERROR(__xludf.DUMMYFUNCTION("IFERROR(
  VLOOKUP(
    A88,
    IMPORTRANGE(
      ""1ZygntHC1J6IxzKbTidmOyf5nUyW4GCLurHCjexrLm_o        "",
      ""HTMLキャッシュ!A:F""
    ),
    6,
    FALSE
  ),
  0
)
"),"夏休みは、受験生にとってはまさに勝負の時期です。 また、受験がまだ先の生徒にとっても、普段は取り組めない課題に")</f>
        <v>夏休みは、受験生にとってはまさに勝負の時期です。 また、受験がまだ先の生徒にとっても、普段は取り組めない課題に</v>
      </c>
      <c r="E88" s="49">
        <f t="shared" ref="E88:F88" si="431">LEN(C88)</f>
        <v>34</v>
      </c>
      <c r="F88" s="49">
        <f t="shared" si="431"/>
        <v>55</v>
      </c>
      <c r="G88" s="32">
        <f>IFERROR(__xludf.DUMMYFUNCTION("IFERROR(
  VLOOKUP(
    A88,
    IMPORTRANGE(
      ""1ZygntHC1J6IxzKbTidmOyf5nUyW4GCLurHCjexrLm_o        "",
      ""HTMLキャッシュ!A:F""
    ),
    3,
    FALSE
  ),
  0
)
"),45970.52780092593)</f>
        <v>45970.5278</v>
      </c>
      <c r="H88" s="54">
        <f>IFERROR(__xludf.DUMMYFUNCTION("IFERROR(
  VLOOKUP(
    A88,
    IMPORTRANGE(
      ""1ZHMy3vVUd_0MrSduXTe1etBb1HNpAlGwQr006ljwMiM"",
      ""GSC最新!A:F""
    ),
    2,
    FALSE
  ),
  0
)
"),1.0)</f>
        <v>1</v>
      </c>
      <c r="I88" s="54">
        <f>IFERROR(__xludf.DUMMYFUNCTION("IFERROR(
  VLOOKUP(
    A88,
    IMPORTRANGE(
      ""1ZHMy3vVUd_0MrSduXTe1etBb1HNpAlGwQr006ljwMiM"",
      ""GSC最新!A:F""
    ),
    3,
    FALSE
  ),
  0
)
"),1.0)</f>
        <v>1</v>
      </c>
      <c r="J88" s="54">
        <f>IFERROR(__xludf.DUMMYFUNCTION("IFERROR(
  VLOOKUP(
    A88,
    IMPORTRANGE(
      ""1ZHMy3vVUd_0MrSduXTe1etBb1HNpAlGwQr006ljwMiM"",
      ""GSC最新!A:F""
    ),
    4,
    FALSE
  ),
  0
)
"),0.0)</f>
        <v>0</v>
      </c>
      <c r="K88" s="54">
        <f>IFERROR(__xludf.DUMMYFUNCTION("IFERROR(
  VLOOKUP(
    A88,
    IMPORTRANGE(
      ""1ZHMy3vVUd_0MrSduXTe1etBb1HNpAlGwQr006ljwMiM"",
      ""GSC最新!A:F""
    ),
    5,
    FALSE
  ),
  0
)
"),0.0)</f>
        <v>0</v>
      </c>
      <c r="L88" s="50" t="str">
        <f t="shared" ref="L88:M88" si="432">IFERROR(H88/J88,"-")</f>
        <v>-</v>
      </c>
      <c r="M88" s="50" t="str">
        <f t="shared" si="432"/>
        <v>-</v>
      </c>
      <c r="N88" s="59">
        <f>IFERROR(__xludf.DUMMYFUNCTION("IFERROR(
  VLOOKUP(
    A88,
    IMPORTRANGE(
      ""1ZHMy3vVUd_0MrSduXTe1etBb1HNpAlGwQr006ljwMiM"",
      ""GSC最新!A:R""
    ),
    7,
    FALSE
  ),
  0
)
"),5.0)</f>
        <v>5</v>
      </c>
      <c r="O88" s="59">
        <f>IFERROR(__xludf.DUMMYFUNCTION("IFERROR(
  VLOOKUP(
    A88,
    IMPORTRANGE(
      ""1ZHMy3vVUd_0MrSduXTe1etBb1HNpAlGwQr006ljwMiM"",
      ""GSC最新!A:R""
    ),
    10,
    FALSE
  ),
  0
)
"),19.0)</f>
        <v>19</v>
      </c>
      <c r="P88" s="59">
        <f>IFERROR(__xludf.DUMMYFUNCTION("IFERROR(
  VLOOKUP(
    A88,
    IMPORTRANGE(
      ""1ZHMy3vVUd_0MrSduXTe1etBb1HNpAlGwQr006ljwMiM"",
      ""GSC最新!A:R""
    ),
    13,
    FALSE
  ),
  0
)
"),0.0)</f>
        <v>0</v>
      </c>
      <c r="Q88" s="59">
        <f>IFERROR(__xludf.DUMMYFUNCTION("IFERROR(
  VLOOKUP(
    A88,
    IMPORTRANGE(
      ""1ZHMy3vVUd_0MrSduXTe1etBb1HNpAlGwQr006ljwMiM"",
      ""GSC最新!A:R""
    ),
    16,
    FALSE
  ),
  0
)
"),0.0)</f>
        <v>0</v>
      </c>
      <c r="R88" s="50" t="str">
        <f t="shared" ref="R88:S88" si="433">IFERROR(N88/P88,"-")</f>
        <v>-</v>
      </c>
      <c r="S88" s="50" t="str">
        <f t="shared" si="433"/>
        <v>-</v>
      </c>
      <c r="T88" s="60">
        <f>IFERROR(__xludf.DUMMYFUNCTION("IFERROR(
  VLOOKUP(
    A88,
    IMPORTRANGE(
      ""1ZHMy3vVUd_0MrSduXTe1etBb1HNpAlGwQr006ljwMiM"",
      ""GSC最新!A:R""
    ),
    8,
    FALSE
  ),
  0
)
"),0.2)</f>
        <v>0.2</v>
      </c>
      <c r="U88" s="60">
        <f>IFERROR(__xludf.DUMMYFUNCTION("IFERROR(
  VLOOKUP(
    A88,
    IMPORTRANGE(
      ""1ZHMy3vVUd_0MrSduXTe1etBb1HNpAlGwQr006ljwMiM"",
      ""GSC最新!A:R""
    ),
    11,
    FALSE
  ),
  0
)
"),0.05263157894736842)</f>
        <v>0.05263157895</v>
      </c>
      <c r="V88" s="60">
        <f>IFERROR(__xludf.DUMMYFUNCTION("IFERROR(
  VLOOKUP(
    A88,
    IMPORTRANGE(
      ""1ZHMy3vVUd_0MrSduXTe1etBb1HNpAlGwQr006ljwMiM"",
      ""GSC最新!A:R""
    ),
    14,
    FALSE
  ),
  0
)
"),0.0)</f>
        <v>0</v>
      </c>
      <c r="W88" s="60">
        <f>IFERROR(__xludf.DUMMYFUNCTION("IFERROR(
  VLOOKUP(
    A88,
    IMPORTRANGE(
      ""1ZHMy3vVUd_0MrSduXTe1etBb1HNpAlGwQr006ljwMiM"",
      ""GSC最新!A:R""
    ),
    17,
    FALSE
  ),
  0
)
"),0.0)</f>
        <v>0</v>
      </c>
      <c r="X88" s="60">
        <f t="shared" ref="X88:Y88" si="434">IFERROR(T88-V88,"-")</f>
        <v>0.2</v>
      </c>
      <c r="Y88" s="60">
        <f t="shared" si="434"/>
        <v>0.05263157895</v>
      </c>
      <c r="Z88" s="52">
        <f>IFERROR(__xludf.DUMMYFUNCTION("IFERROR(
  VLOOKUP(
    A88,
    IMPORTRANGE(
      ""1ZHMy3vVUd_0MrSduXTe1etBb1HNpAlGwQr006ljwMiM"",
      ""GSC最新!A:R""
    ),
    9,
    FALSE
  ),
  0
)
"),9.8)</f>
        <v>9.8</v>
      </c>
      <c r="AA88" s="52">
        <f>IFERROR(__xludf.DUMMYFUNCTION("IFERROR(
  VLOOKUP(
    A88,
    IMPORTRANGE(
      ""1ZHMy3vVUd_0MrSduXTe1etBb1HNpAlGwQr006ljwMiM"",
      ""GSC最新!A:R""
    ),
    12,
    FALSE
  ),
  0
)
"),7.684210526315789)</f>
        <v>7.684210526</v>
      </c>
      <c r="AB88" s="52" t="str">
        <f>IFERROR(__xludf.DUMMYFUNCTION("IFERROR(
  VLOOKUP(
    A88,
    IMPORTRANGE(
      ""1ZHMy3vVUd_0MrSduXTe1etBb1HNpAlGwQr006ljwMiM"",
      ""GSC最新!A:R""
    ),
    15,
    FALSE
  ),
  0
)
"),"")</f>
        <v/>
      </c>
      <c r="AC88" s="52" t="str">
        <f>IFERROR(__xludf.DUMMYFUNCTION("IFERROR(
  VLOOKUP(
    A88,
    IMPORTRANGE(
      ""1ZHMy3vVUd_0MrSduXTe1etBb1HNpAlGwQr006ljwMiM"",
      ""GSC最新!A:R""
    ),
    18,
    FALSE
  ),
  0
)
"),"")</f>
        <v/>
      </c>
      <c r="AD88" s="52">
        <f t="shared" ref="AD88:AE88" si="435">Z88-AB88</f>
        <v>9.8</v>
      </c>
      <c r="AE88" s="52">
        <f t="shared" si="435"/>
        <v>7.684210526</v>
      </c>
      <c r="AF88" s="53">
        <f>IFERROR(__xludf.DUMMYFUNCTION("IFERROR(
  VLOOKUP(
    A88,
    IMPORTRANGE(
      ""1ZHMy3vVUd_0MrSduXTe1etBb1HNpAlGwQr006ljwMiM"",
      ""GSC最新!A:F""
    ),
    6,
    FALSE
  ),
  0
)
"),46081.0)</f>
        <v>46081</v>
      </c>
      <c r="AG88" s="54">
        <f>IFERROR(__xludf.DUMMYFUNCTION("IFERROR(
  VLOOKUP(
    A88,
    IMPORTRANGE(
      ""1SCYQd7_cobOYqT0r_F0IqD4tE4rYn5y8Eup4PJTH8es"",
      ""Snapshot!A:M""
    ),
    5,
    FALSE
  ),
  ""-""
)
"),0.0)</f>
        <v>0</v>
      </c>
      <c r="AH88" s="54">
        <f>IFERROR(__xludf.DUMMYFUNCTION("IFERROR(
  VLOOKUP(
    A88,
    IMPORTRANGE(
      ""1SCYQd7_cobOYqT0r_F0IqD4tE4rYn5y8Eup4PJTH8es"",
      ""Snapshot!A:M""
    ),
    6,
    FALSE
  ),
  0
)
"),0.0)</f>
        <v>0</v>
      </c>
      <c r="AI88" s="54">
        <f>IFERROR(__xludf.DUMMYFUNCTION("IFERROR(
  VLOOKUP(
    A88,
    IMPORTRANGE(
      ""1SCYQd7_cobOYqT0r_F0IqD4tE4rYn5y8Eup4PJTH8es"",
      ""Snapshot!A:M""
    ),
    7,
    FALSE
  ),
  0
)
"),625.0)</f>
        <v>625</v>
      </c>
      <c r="AJ88" s="54">
        <f>IFERROR(__xludf.DUMMYFUNCTION("IFERROR(
  VLOOKUP(
    A88,
    IMPORTRANGE(
      ""1SCYQd7_cobOYqT0r_F0IqD4tE4rYn5y8Eup4PJTH8es"",
      ""Snapshot!A:M""
    ),
    8,
    FALSE
  ),
  0
)
"),5.0)</f>
        <v>5</v>
      </c>
      <c r="AK88" s="54">
        <f>IFERROR(__xludf.DUMMYFUNCTION("IFERROR(
  VLOOKUP(
    A88,
    IMPORTRANGE(
      ""1SCYQd7_cobOYqT0r_F0IqD4tE4rYn5y8Eup4PJTH8es"",
      ""Snapshot!A:M""
    ),
    9,
    FALSE
  ),
  0
)
"),1.0)</f>
        <v>1</v>
      </c>
      <c r="AL88" s="54">
        <f>IFERROR(__xludf.DUMMYFUNCTION("IFERROR(
  VLOOKUP(
    A88,
    IMPORTRANGE(
      ""1SCYQd7_cobOYqT0r_F0IqD4tE4rYn5y8Eup4PJTH8es"",
      ""Snapshot!A:M""
    ),
    13,
    FALSE
  ),
  0
)
"),2.0)</f>
        <v>2</v>
      </c>
    </row>
    <row r="89">
      <c r="A89" s="3" t="s">
        <v>75</v>
      </c>
      <c r="B89" s="1" t="str">
        <f>IFERROR(__xludf.DUMMYFUNCTION("IFERROR(
  VLOOKUP(
    A89,
    IMPORTRANGE(
      ""1ZygntHC1J6IxzKbTidmOyf5nUyW4GCLurHCjexrLm_o"",
      ""HTMLキャッシュ!A:F""
    ),
    2,
    FALSE
  ),
  0
)
"),"-")</f>
        <v>-</v>
      </c>
      <c r="C89" s="1" t="str">
        <f>IFERROR(__xludf.DUMMYFUNCTION("IFERROR(
  VLOOKUP(
    A89,
    IMPORTRANGE(
      ""1ZygntHC1J6IxzKbTidmOyf5nUyW4GCLurHCjexrLm_o"",
      ""HTMLキャッシュ!A:F""
    ),
    5,
    FALSE
  ),
  0
)
"),"お知らせ - 中学受験専門 夏井算数塾")</f>
        <v>お知らせ - 中学受験専門 夏井算数塾</v>
      </c>
      <c r="D89" s="1" t="str">
        <f>IFERROR(__xludf.DUMMYFUNCTION("IFERROR(
  VLOOKUP(
    A89,
    IMPORTRANGE(
      ""1ZygntHC1J6IxzKbTidmOyf5nUyW4GCLurHCjexrLm_o        "",
      ""HTMLキャッシュ!A:F""
    ),
    6,
    FALSE
  ),
  0
)
"),"[1ページ目] お知らせ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[1ページ目] お知らせ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89" s="49">
        <f t="shared" ref="E89:F89" si="436">LEN(C89)</f>
        <v>19</v>
      </c>
      <c r="F89" s="49">
        <f t="shared" si="436"/>
        <v>169</v>
      </c>
      <c r="G89" s="32">
        <f>IFERROR(__xludf.DUMMYFUNCTION("IFERROR(
  VLOOKUP(
    A89,
    IMPORTRANGE(
      ""1ZygntHC1J6IxzKbTidmOyf5nUyW4GCLurHCjexrLm_o        "",
      ""HTMLキャッシュ!A:F""
    ),
    3,
    FALSE
  ),
  0
)
"),46027.75759259259)</f>
        <v>46027.75759</v>
      </c>
      <c r="H89" s="54">
        <f>IFERROR(__xludf.DUMMYFUNCTION("IFERROR(
  VLOOKUP(
    A89,
    IMPORTRANGE(
      ""1ZHMy3vVUd_0MrSduXTe1etBb1HNpAlGwQr006ljwMiM"",
      ""GSC最新!A:F""
    ),
    2,
    FALSE
  ),
  0
)
"),1.0)</f>
        <v>1</v>
      </c>
      <c r="I89" s="54">
        <f>IFERROR(__xludf.DUMMYFUNCTION("IFERROR(
  VLOOKUP(
    A89,
    IMPORTRANGE(
      ""1ZHMy3vVUd_0MrSduXTe1etBb1HNpAlGwQr006ljwMiM"",
      ""GSC最新!A:F""
    ),
    3,
    FALSE
  ),
  0
)
"),1.0)</f>
        <v>1</v>
      </c>
      <c r="J89" s="54">
        <f>IFERROR(__xludf.DUMMYFUNCTION("IFERROR(
  VLOOKUP(
    A89,
    IMPORTRANGE(
      ""1ZHMy3vVUd_0MrSduXTe1etBb1HNpAlGwQr006ljwMiM"",
      ""GSC最新!A:F""
    ),
    4,
    FALSE
  ),
  0
)
"),0.0)</f>
        <v>0</v>
      </c>
      <c r="K89" s="54">
        <f>IFERROR(__xludf.DUMMYFUNCTION("IFERROR(
  VLOOKUP(
    A89,
    IMPORTRANGE(
      ""1ZHMy3vVUd_0MrSduXTe1etBb1HNpAlGwQr006ljwMiM"",
      ""GSC最新!A:F""
    ),
    5,
    FALSE
  ),
  0
)
"),1.0)</f>
        <v>1</v>
      </c>
      <c r="L89" s="50" t="str">
        <f t="shared" ref="L89:M89" si="437">IFERROR(H89/J89,"-")</f>
        <v>-</v>
      </c>
      <c r="M89" s="50">
        <f t="shared" si="437"/>
        <v>1</v>
      </c>
      <c r="N89" s="59">
        <f>IFERROR(__xludf.DUMMYFUNCTION("IFERROR(
  VLOOKUP(
    A89,
    IMPORTRANGE(
      ""1ZHMy3vVUd_0MrSduXTe1etBb1HNpAlGwQr006ljwMiM"",
      ""GSC最新!A:R""
    ),
    7,
    FALSE
  ),
  0
)
"),10.0)</f>
        <v>10</v>
      </c>
      <c r="O89" s="59">
        <f>IFERROR(__xludf.DUMMYFUNCTION("IFERROR(
  VLOOKUP(
    A89,
    IMPORTRANGE(
      ""1ZHMy3vVUd_0MrSduXTe1etBb1HNpAlGwQr006ljwMiM"",
      ""GSC最新!A:R""
    ),
    10,
    FALSE
  ),
  0
)
"),18.0)</f>
        <v>18</v>
      </c>
      <c r="P89" s="59">
        <f>IFERROR(__xludf.DUMMYFUNCTION("IFERROR(
  VLOOKUP(
    A89,
    IMPORTRANGE(
      ""1ZHMy3vVUd_0MrSduXTe1etBb1HNpAlGwQr006ljwMiM"",
      ""GSC最新!A:R""
    ),
    13,
    FALSE
  ),
  0
)
"),0.0)</f>
        <v>0</v>
      </c>
      <c r="Q89" s="59">
        <f>IFERROR(__xludf.DUMMYFUNCTION("IFERROR(
  VLOOKUP(
    A89,
    IMPORTRANGE(
      ""1ZHMy3vVUd_0MrSduXTe1etBb1HNpAlGwQr006ljwMiM"",
      ""GSC最新!A:R""
    ),
    16,
    FALSE
  ),
  0
)
"),2.0)</f>
        <v>2</v>
      </c>
      <c r="R89" s="50" t="str">
        <f t="shared" ref="R89:S89" si="438">IFERROR(N89/P89,"-")</f>
        <v>-</v>
      </c>
      <c r="S89" s="50">
        <f t="shared" si="438"/>
        <v>9</v>
      </c>
      <c r="T89" s="60">
        <f>IFERROR(__xludf.DUMMYFUNCTION("IFERROR(
  VLOOKUP(
    A89,
    IMPORTRANGE(
      ""1ZHMy3vVUd_0MrSduXTe1etBb1HNpAlGwQr006ljwMiM"",
      ""GSC最新!A:R""
    ),
    8,
    FALSE
  ),
  0
)
"),0.1)</f>
        <v>0.1</v>
      </c>
      <c r="U89" s="60">
        <f>IFERROR(__xludf.DUMMYFUNCTION("IFERROR(
  VLOOKUP(
    A89,
    IMPORTRANGE(
      ""1ZHMy3vVUd_0MrSduXTe1etBb1HNpAlGwQr006ljwMiM"",
      ""GSC最新!A:R""
    ),
    11,
    FALSE
  ),
  0
)
"),0.05555555555555555)</f>
        <v>0.05555555556</v>
      </c>
      <c r="V89" s="60">
        <f>IFERROR(__xludf.DUMMYFUNCTION("IFERROR(
  VLOOKUP(
    A89,
    IMPORTRANGE(
      ""1ZHMy3vVUd_0MrSduXTe1etBb1HNpAlGwQr006ljwMiM"",
      ""GSC最新!A:R""
    ),
    14,
    FALSE
  ),
  0
)
"),0.0)</f>
        <v>0</v>
      </c>
      <c r="W89" s="60">
        <f>IFERROR(__xludf.DUMMYFUNCTION("IFERROR(
  VLOOKUP(
    A89,
    IMPORTRANGE(
      ""1ZHMy3vVUd_0MrSduXTe1etBb1HNpAlGwQr006ljwMiM"",
      ""GSC最新!A:R""
    ),
    17,
    FALSE
  ),
  0
)
"),0.5)</f>
        <v>0.5</v>
      </c>
      <c r="X89" s="60">
        <f t="shared" ref="X89:Y89" si="439">IFERROR(T89-V89,"-")</f>
        <v>0.1</v>
      </c>
      <c r="Y89" s="60">
        <f t="shared" si="439"/>
        <v>-0.4444444444</v>
      </c>
      <c r="Z89" s="52">
        <f>IFERROR(__xludf.DUMMYFUNCTION("IFERROR(
  VLOOKUP(
    A89,
    IMPORTRANGE(
      ""1ZHMy3vVUd_0MrSduXTe1etBb1HNpAlGwQr006ljwMiM"",
      ""GSC最新!A:R""
    ),
    9,
    FALSE
  ),
  0
)
"),11.7)</f>
        <v>11.7</v>
      </c>
      <c r="AA89" s="52">
        <f>IFERROR(__xludf.DUMMYFUNCTION("IFERROR(
  VLOOKUP(
    A89,
    IMPORTRANGE(
      ""1ZHMy3vVUd_0MrSduXTe1etBb1HNpAlGwQr006ljwMiM"",
      ""GSC最新!A:R""
    ),
    12,
    FALSE
  ),
  0
)
"),8.88888888888889)</f>
        <v>8.888888889</v>
      </c>
      <c r="AB89" s="52" t="str">
        <f>IFERROR(__xludf.DUMMYFUNCTION("IFERROR(
  VLOOKUP(
    A89,
    IMPORTRANGE(
      ""1ZHMy3vVUd_0MrSduXTe1etBb1HNpAlGwQr006ljwMiM"",
      ""GSC最新!A:R""
    ),
    15,
    FALSE
  ),
  0
)
"),"")</f>
        <v/>
      </c>
      <c r="AC89" s="52">
        <f>IFERROR(__xludf.DUMMYFUNCTION("IFERROR(
  VLOOKUP(
    A89,
    IMPORTRANGE(
      ""1ZHMy3vVUd_0MrSduXTe1etBb1HNpAlGwQr006ljwMiM"",
      ""GSC最新!A:R""
    ),
    18,
    FALSE
  ),
  0
)
"),12.5)</f>
        <v>12.5</v>
      </c>
      <c r="AD89" s="52">
        <f t="shared" ref="AD89:AE89" si="440">Z89-AB89</f>
        <v>11.7</v>
      </c>
      <c r="AE89" s="52">
        <f t="shared" si="440"/>
        <v>-3.611111111</v>
      </c>
      <c r="AF89" s="53">
        <f>IFERROR(__xludf.DUMMYFUNCTION("IFERROR(
  VLOOKUP(
    A89,
    IMPORTRANGE(
      ""1ZHMy3vVUd_0MrSduXTe1etBb1HNpAlGwQr006ljwMiM"",
      ""GSC最新!A:F""
    ),
    6,
    FALSE
  ),
  0
)
"),46081.0)</f>
        <v>46081</v>
      </c>
      <c r="AG89" s="54">
        <f>IFERROR(__xludf.DUMMYFUNCTION("IFERROR(
  VLOOKUP(
    A89,
    IMPORTRANGE(
      ""1SCYQd7_cobOYqT0r_F0IqD4tE4rYn5y8Eup4PJTH8es"",
      ""Snapshot!A:M""
    ),
    5,
    FALSE
  ),
  ""-""
)
"),0.0)</f>
        <v>0</v>
      </c>
      <c r="AH89" s="54">
        <f>IFERROR(__xludf.DUMMYFUNCTION("IFERROR(
  VLOOKUP(
    A89,
    IMPORTRANGE(
      ""1SCYQd7_cobOYqT0r_F0IqD4tE4rYn5y8Eup4PJTH8es"",
      ""Snapshot!A:M""
    ),
    6,
    FALSE
  ),
  0
)
"),0.0)</f>
        <v>0</v>
      </c>
      <c r="AI89" s="54">
        <f>IFERROR(__xludf.DUMMYFUNCTION("IFERROR(
  VLOOKUP(
    A89,
    IMPORTRANGE(
      ""1SCYQd7_cobOYqT0r_F0IqD4tE4rYn5y8Eup4PJTH8es"",
      ""Snapshot!A:M""
    ),
    7,
    FALSE
  ),
  0
)
"),0.0)</f>
        <v>0</v>
      </c>
      <c r="AJ89" s="54">
        <f>IFERROR(__xludf.DUMMYFUNCTION("IFERROR(
  VLOOKUP(
    A89,
    IMPORTRANGE(
      ""1SCYQd7_cobOYqT0r_F0IqD4tE4rYn5y8Eup4PJTH8es"",
      ""Snapshot!A:M""
    ),
    8,
    FALSE
  ),
  0
)
"),0.0)</f>
        <v>0</v>
      </c>
      <c r="AK89" s="54">
        <f>IFERROR(__xludf.DUMMYFUNCTION("IFERROR(
  VLOOKUP(
    A89,
    IMPORTRANGE(
      ""1SCYQd7_cobOYqT0r_F0IqD4tE4rYn5y8Eup4PJTH8es"",
      ""Snapshot!A:M""
    ),
    9,
    FALSE
  ),
  0
)
"),0.0)</f>
        <v>0</v>
      </c>
      <c r="AL89" s="54">
        <f>IFERROR(__xludf.DUMMYFUNCTION("IFERROR(
  VLOOKUP(
    A89,
    IMPORTRANGE(
      ""1SCYQd7_cobOYqT0r_F0IqD4tE4rYn5y8Eup4PJTH8es"",
      ""Snapshot!A:M""
    ),
    13,
    FALSE
  ),
  0
)
"),1.0)</f>
        <v>1</v>
      </c>
    </row>
    <row r="90">
      <c r="A90" s="3" t="s">
        <v>425</v>
      </c>
      <c r="B90" s="1" t="str">
        <f>IFERROR(__xludf.DUMMYFUNCTION("IFERROR(
  VLOOKUP(
    A90,
    IMPORTRANGE(
      ""1ZygntHC1J6IxzKbTidmOyf5nUyW4GCLurHCjexrLm_o"",
      ""HTMLキャッシュ!A:F""
    ),
    2,
    FALSE
  ),
  0
)
"),"SC")</f>
        <v>SC</v>
      </c>
      <c r="C90" s="1" t="str">
        <f>IFERROR(__xludf.DUMMYFUNCTION("IFERROR(
  VLOOKUP(
    A90,
    IMPORTRANGE(
      ""1ZygntHC1J6IxzKbTidmOyf5nUyW4GCLurHCjexrLm_o"",
      ""HTMLキャッシュ!A:F""
    ),
    5,
    FALSE
  ),
  0
)
"),"小4→小5→小6でオンライン個別算数の“使い方”が変わる理由 - 中学受験専門 夏井算数塾")</f>
        <v>小4→小5→小6でオンライン個別算数の“使い方”が変わる理由 - 中学受験専門 夏井算数塾</v>
      </c>
      <c r="D90" s="1" t="str">
        <f>IFERROR(__xludf.DUMMYFUNCTION("IFERROR(
  VLOOKUP(
    A90,
    IMPORTRANGE(
      ""1ZygntHC1J6IxzKbTidmOyf5nUyW4GCLurHCjexrLm_o        "",
      ""HTMLキャッシュ!A:F""
    ),
    6,
    FALSE
  ),
  0
)
"),"小4・小5・小6でオンライン算数 個別指導の“使い方”は変えるべきです。小4は土台、小5は単元別弱点、小6は過去問と志望校対策。学年別の最適な活用法を保護者向けに具体解説。")</f>
        <v>小4・小5・小6でオンライン算数 個別指導の“使い方”は変えるべきです。小4は土台、小5は単元別弱点、小6は過去問と志望校対策。学年別の最適な活用法を保護者向けに具体解説。</v>
      </c>
      <c r="E90" s="49">
        <f t="shared" ref="E90:F90" si="441">LEN(C90)</f>
        <v>45</v>
      </c>
      <c r="F90" s="49">
        <f t="shared" si="441"/>
        <v>86</v>
      </c>
      <c r="G90" s="32">
        <f>IFERROR(__xludf.DUMMYFUNCTION("IFERROR(
  VLOOKUP(
    A90,
    IMPORTRANGE(
      ""1ZygntHC1J6IxzKbTidmOyf5nUyW4GCLurHCjexrLm_o        "",
      ""HTMLキャッシュ!A:F""
    ),
    3,
    FALSE
  ),
  0
)
"),46080.80793981482)</f>
        <v>46080.80794</v>
      </c>
      <c r="H90" s="54">
        <f>IFERROR(__xludf.DUMMYFUNCTION("IFERROR(
  VLOOKUP(
    A90,
    IMPORTRANGE(
      ""1ZHMy3vVUd_0MrSduXTe1etBb1HNpAlGwQr006ljwMiM"",
      ""GSC最新!A:F""
    ),
    2,
    FALSE
  ),
  0
)
"),0.0)</f>
        <v>0</v>
      </c>
      <c r="I90" s="54">
        <f>IFERROR(__xludf.DUMMYFUNCTION("IFERROR(
  VLOOKUP(
    A90,
    IMPORTRANGE(
      ""1ZHMy3vVUd_0MrSduXTe1etBb1HNpAlGwQr006ljwMiM"",
      ""GSC最新!A:F""
    ),
    3,
    FALSE
  ),
  0
)
"),1.0)</f>
        <v>1</v>
      </c>
      <c r="J90" s="54">
        <f>IFERROR(__xludf.DUMMYFUNCTION("IFERROR(
  VLOOKUP(
    A90,
    IMPORTRANGE(
      ""1ZHMy3vVUd_0MrSduXTe1etBb1HNpAlGwQr006ljwMiM"",
      ""GSC最新!A:F""
    ),
    4,
    FALSE
  ),
  0
)
"),0.0)</f>
        <v>0</v>
      </c>
      <c r="K90" s="54">
        <f>IFERROR(__xludf.DUMMYFUNCTION("IFERROR(
  VLOOKUP(
    A90,
    IMPORTRANGE(
      ""1ZHMy3vVUd_0MrSduXTe1etBb1HNpAlGwQr006ljwMiM"",
      ""GSC最新!A:F""
    ),
    5,
    FALSE
  ),
  0
)
"),0.0)</f>
        <v>0</v>
      </c>
      <c r="L90" s="50" t="str">
        <f t="shared" ref="L90:M90" si="442">IFERROR(H90/J90,"-")</f>
        <v>-</v>
      </c>
      <c r="M90" s="50" t="str">
        <f t="shared" si="442"/>
        <v>-</v>
      </c>
      <c r="N90" s="59">
        <f>IFERROR(__xludf.DUMMYFUNCTION("IFERROR(
  VLOOKUP(
    A90,
    IMPORTRANGE(
      ""1ZHMy3vVUd_0MrSduXTe1etBb1HNpAlGwQr006ljwMiM"",
      ""GSC最新!A:R""
    ),
    7,
    FALSE
  ),
  0
)
"),4.0)</f>
        <v>4</v>
      </c>
      <c r="O90" s="59">
        <f>IFERROR(__xludf.DUMMYFUNCTION("IFERROR(
  VLOOKUP(
    A90,
    IMPORTRANGE(
      ""1ZHMy3vVUd_0MrSduXTe1etBb1HNpAlGwQr006ljwMiM"",
      ""GSC最新!A:R""
    ),
    10,
    FALSE
  ),
  0
)
"),16.0)</f>
        <v>16</v>
      </c>
      <c r="P90" s="59">
        <f>IFERROR(__xludf.DUMMYFUNCTION("IFERROR(
  VLOOKUP(
    A90,
    IMPORTRANGE(
      ""1ZHMy3vVUd_0MrSduXTe1etBb1HNpAlGwQr006ljwMiM"",
      ""GSC最新!A:R""
    ),
    13,
    FALSE
  ),
  0
)
"),0.0)</f>
        <v>0</v>
      </c>
      <c r="Q90" s="59">
        <f>IFERROR(__xludf.DUMMYFUNCTION("IFERROR(
  VLOOKUP(
    A90,
    IMPORTRANGE(
      ""1ZHMy3vVUd_0MrSduXTe1etBb1HNpAlGwQr006ljwMiM"",
      ""GSC最新!A:R""
    ),
    16,
    FALSE
  ),
  0
)
"),0.0)</f>
        <v>0</v>
      </c>
      <c r="R90" s="50" t="str">
        <f t="shared" ref="R90:S90" si="443">IFERROR(N90/P90,"-")</f>
        <v>-</v>
      </c>
      <c r="S90" s="50" t="str">
        <f t="shared" si="443"/>
        <v>-</v>
      </c>
      <c r="T90" s="60">
        <f>IFERROR(__xludf.DUMMYFUNCTION("IFERROR(
  VLOOKUP(
    A90,
    IMPORTRANGE(
      ""1ZHMy3vVUd_0MrSduXTe1etBb1HNpAlGwQr006ljwMiM"",
      ""GSC最新!A:R""
    ),
    8,
    FALSE
  ),
  0
)
"),0.0)</f>
        <v>0</v>
      </c>
      <c r="U90" s="60">
        <f>IFERROR(__xludf.DUMMYFUNCTION("IFERROR(
  VLOOKUP(
    A90,
    IMPORTRANGE(
      ""1ZHMy3vVUd_0MrSduXTe1etBb1HNpAlGwQr006ljwMiM"",
      ""GSC最新!A:R""
    ),
    11,
    FALSE
  ),
  0
)
"),0.0625)</f>
        <v>0.0625</v>
      </c>
      <c r="V90" s="60">
        <f>IFERROR(__xludf.DUMMYFUNCTION("IFERROR(
  VLOOKUP(
    A90,
    IMPORTRANGE(
      ""1ZHMy3vVUd_0MrSduXTe1etBb1HNpAlGwQr006ljwMiM"",
      ""GSC最新!A:R""
    ),
    14,
    FALSE
  ),
  0
)
"),0.0)</f>
        <v>0</v>
      </c>
      <c r="W90" s="60">
        <f>IFERROR(__xludf.DUMMYFUNCTION("IFERROR(
  VLOOKUP(
    A90,
    IMPORTRANGE(
      ""1ZHMy3vVUd_0MrSduXTe1etBb1HNpAlGwQr006ljwMiM"",
      ""GSC最新!A:R""
    ),
    17,
    FALSE
  ),
  0
)
"),0.0)</f>
        <v>0</v>
      </c>
      <c r="X90" s="60">
        <f t="shared" ref="X90:Y90" si="444">IFERROR(T90-V90,"-")</f>
        <v>0</v>
      </c>
      <c r="Y90" s="60">
        <f t="shared" si="444"/>
        <v>0.0625</v>
      </c>
      <c r="Z90" s="52">
        <f>IFERROR(__xludf.DUMMYFUNCTION("IFERROR(
  VLOOKUP(
    A90,
    IMPORTRANGE(
      ""1ZHMy3vVUd_0MrSduXTe1etBb1HNpAlGwQr006ljwMiM"",
      ""GSC最新!A:R""
    ),
    9,
    FALSE
  ),
  0
)
"),13.5)</f>
        <v>13.5</v>
      </c>
      <c r="AA90" s="52">
        <f>IFERROR(__xludf.DUMMYFUNCTION("IFERROR(
  VLOOKUP(
    A90,
    IMPORTRANGE(
      ""1ZHMy3vVUd_0MrSduXTe1etBb1HNpAlGwQr006ljwMiM"",
      ""GSC最新!A:R""
    ),
    12,
    FALSE
  ),
  0
)
"),10.0625)</f>
        <v>10.0625</v>
      </c>
      <c r="AB90" s="52" t="str">
        <f>IFERROR(__xludf.DUMMYFUNCTION("IFERROR(
  VLOOKUP(
    A90,
    IMPORTRANGE(
      ""1ZHMy3vVUd_0MrSduXTe1etBb1HNpAlGwQr006ljwMiM"",
      ""GSC最新!A:R""
    ),
    15,
    FALSE
  ),
  0
)
"),"")</f>
        <v/>
      </c>
      <c r="AC90" s="52" t="str">
        <f>IFERROR(__xludf.DUMMYFUNCTION("IFERROR(
  VLOOKUP(
    A90,
    IMPORTRANGE(
      ""1ZHMy3vVUd_0MrSduXTe1etBb1HNpAlGwQr006ljwMiM"",
      ""GSC最新!A:R""
    ),
    18,
    FALSE
  ),
  0
)
"),"")</f>
        <v/>
      </c>
      <c r="AD90" s="52">
        <f t="shared" ref="AD90:AE90" si="445">Z90-AB90</f>
        <v>13.5</v>
      </c>
      <c r="AE90" s="52">
        <f t="shared" si="445"/>
        <v>10.0625</v>
      </c>
      <c r="AF90" s="53">
        <f>IFERROR(__xludf.DUMMYFUNCTION("IFERROR(
  VLOOKUP(
    A90,
    IMPORTRANGE(
      ""1ZHMy3vVUd_0MrSduXTe1etBb1HNpAlGwQr006ljwMiM"",
      ""GSC最新!A:F""
    ),
    6,
    FALSE
  ),
  0
)
"),46081.0)</f>
        <v>46081</v>
      </c>
      <c r="AG90" s="54">
        <f>IFERROR(__xludf.DUMMYFUNCTION("IFERROR(
  VLOOKUP(
    A90,
    IMPORTRANGE(
      ""1SCYQd7_cobOYqT0r_F0IqD4tE4rYn5y8Eup4PJTH8es"",
      ""Snapshot!A:M""
    ),
    5,
    FALSE
  ),
  ""-""
)
"),6.0)</f>
        <v>6</v>
      </c>
      <c r="AH90" s="54">
        <f>IFERROR(__xludf.DUMMYFUNCTION("IFERROR(
  VLOOKUP(
    A90,
    IMPORTRANGE(
      ""1SCYQd7_cobOYqT0r_F0IqD4tE4rYn5y8Eup4PJTH8es"",
      ""Snapshot!A:M""
    ),
    6,
    FALSE
  ),
  0
)
"),17.0)</f>
        <v>17</v>
      </c>
      <c r="AI90" s="54">
        <f>IFERROR(__xludf.DUMMYFUNCTION("IFERROR(
  VLOOKUP(
    A90,
    IMPORTRANGE(
      ""1SCYQd7_cobOYqT0r_F0IqD4tE4rYn5y8Eup4PJTH8es"",
      ""Snapshot!A:M""
    ),
    7,
    FALSE
  ),
  0
)
"),7183.0)</f>
        <v>7183</v>
      </c>
      <c r="AJ90" s="54">
        <f>IFERROR(__xludf.DUMMYFUNCTION("IFERROR(
  VLOOKUP(
    A90,
    IMPORTRANGE(
      ""1SCYQd7_cobOYqT0r_F0IqD4tE4rYn5y8Eup4PJTH8es"",
      ""Snapshot!A:M""
    ),
    8,
    FALSE
  ),
  0
)
"),2.0)</f>
        <v>2</v>
      </c>
      <c r="AK90" s="54">
        <f>IFERROR(__xludf.DUMMYFUNCTION("IFERROR(
  VLOOKUP(
    A90,
    IMPORTRANGE(
      ""1SCYQd7_cobOYqT0r_F0IqD4tE4rYn5y8Eup4PJTH8es"",
      ""Snapshot!A:M""
    ),
    9,
    FALSE
  ),
  0
)
"),3.0)</f>
        <v>3</v>
      </c>
      <c r="AL90" s="54">
        <f>IFERROR(__xludf.DUMMYFUNCTION("IFERROR(
  VLOOKUP(
    A90,
    IMPORTRANGE(
      ""1SCYQd7_cobOYqT0r_F0IqD4tE4rYn5y8Eup4PJTH8es"",
      ""Snapshot!A:M""
    ),
    13,
    FALSE
  ),
  0
)
"),2.0)</f>
        <v>2</v>
      </c>
    </row>
    <row r="91">
      <c r="A91" s="3" t="s">
        <v>426</v>
      </c>
      <c r="B91" s="1" t="str">
        <f>IFERROR(__xludf.DUMMYFUNCTION("IFERROR(
  VLOOKUP(
    A91,
    IMPORTRANGE(
      ""1ZygntHC1J6IxzKbTidmOyf5nUyW4GCLurHCjexrLm_o"",
      ""HTMLキャッシュ!A:F""
    ),
    2,
    FALSE
  ),
  0
)
"),"NW")</f>
        <v>NW</v>
      </c>
      <c r="C91" s="1" t="str">
        <f>IFERROR(__xludf.DUMMYFUNCTION("IFERROR(
  VLOOKUP(
    A91,
    IMPORTRANGE(
      ""1ZygntHC1J6IxzKbTidmOyf5nUyW4GCLurHCjexrLm_o"",
      ""HTMLキャッシュ!A:F""
    ),
    5,
    FALSE
  ),
  0
)
"),"古典専門塾「かきつばた」開校のお知らせ（2020年2月）｜公式サイト案内 - 中学受験専門 夏井算数塾")</f>
        <v>古典専門塾「かきつばた」開校のお知らせ（2020年2月）｜公式サイト案内 - 中学受験専門 夏井算数塾</v>
      </c>
      <c r="D91" s="1" t="str">
        <f>IFERROR(__xludf.DUMMYFUNCTION("IFERROR(
  VLOOKUP(
    A91,
    IMPORTRANGE(
      ""1ZygntHC1J6IxzKbTidmOyf5nUyW4GCLurHCjexrLm_o        "",
      ""HTMLキャッシュ!A:F""
    ),
    6,
    FALSE
  ),
  0
)
"),"古典専門塾「かきつばた」開校のお知らせ（2020年2月4日）。夏井算数塾と同様の授業システムを利用し、古典専門の個別講座を開講予定としてご案内しています。詳細は公式サイトへ。")</f>
        <v>古典専門塾「かきつばた」開校のお知らせ（2020年2月4日）。夏井算数塾と同様の授業システムを利用し、古典専門の個別講座を開講予定としてご案内しています。詳細は公式サイトへ。</v>
      </c>
      <c r="E91" s="49">
        <f t="shared" ref="E91:F91" si="446">LEN(C91)</f>
        <v>51</v>
      </c>
      <c r="F91" s="49">
        <f t="shared" si="446"/>
        <v>87</v>
      </c>
      <c r="G91" s="32">
        <f>IFERROR(__xludf.DUMMYFUNCTION("IFERROR(
  VLOOKUP(
    A91,
    IMPORTRANGE(
      ""1ZygntHC1J6IxzKbTidmOyf5nUyW4GCLurHCjexrLm_o        "",
      ""HTMLキャッシュ!A:F""
    ),
    3,
    FALSE
  ),
  0
)
"),46020.73305555555)</f>
        <v>46020.73306</v>
      </c>
      <c r="H91" s="54">
        <f>IFERROR(__xludf.DUMMYFUNCTION("IFERROR(
  VLOOKUP(
    A91,
    IMPORTRANGE(
      ""1ZHMy3vVUd_0MrSduXTe1etBb1HNpAlGwQr006ljwMiM"",
      ""GSC最新!A:F""
    ),
    2,
    FALSE
  ),
  0
)
"),0.0)</f>
        <v>0</v>
      </c>
      <c r="I91" s="54">
        <f>IFERROR(__xludf.DUMMYFUNCTION("IFERROR(
  VLOOKUP(
    A91,
    IMPORTRANGE(
      ""1ZHMy3vVUd_0MrSduXTe1etBb1HNpAlGwQr006ljwMiM"",
      ""GSC最新!A:F""
    ),
    3,
    FALSE
  ),
  0
)
"),1.0)</f>
        <v>1</v>
      </c>
      <c r="J91" s="54">
        <f>IFERROR(__xludf.DUMMYFUNCTION("IFERROR(
  VLOOKUP(
    A91,
    IMPORTRANGE(
      ""1ZHMy3vVUd_0MrSduXTe1etBb1HNpAlGwQr006ljwMiM"",
      ""GSC最新!A:F""
    ),
    4,
    FALSE
  ),
  0
)
"),0.0)</f>
        <v>0</v>
      </c>
      <c r="K91" s="54">
        <f>IFERROR(__xludf.DUMMYFUNCTION("IFERROR(
  VLOOKUP(
    A91,
    IMPORTRANGE(
      ""1ZHMy3vVUd_0MrSduXTe1etBb1HNpAlGwQr006ljwMiM"",
      ""GSC最新!A:F""
    ),
    5,
    FALSE
  ),
  0
)
"),1.0)</f>
        <v>1</v>
      </c>
      <c r="L91" s="50" t="str">
        <f t="shared" ref="L91:M91" si="447">IFERROR(H91/J91,"-")</f>
        <v>-</v>
      </c>
      <c r="M91" s="50">
        <f t="shared" si="447"/>
        <v>1</v>
      </c>
      <c r="N91" s="59">
        <f>IFERROR(__xludf.DUMMYFUNCTION("IFERROR(
  VLOOKUP(
    A91,
    IMPORTRANGE(
      ""1ZHMy3vVUd_0MrSduXTe1etBb1HNpAlGwQr006ljwMiM"",
      ""GSC最新!A:R""
    ),
    7,
    FALSE
  ),
  0
)
"),4.0)</f>
        <v>4</v>
      </c>
      <c r="O91" s="59">
        <f>IFERROR(__xludf.DUMMYFUNCTION("IFERROR(
  VLOOKUP(
    A91,
    IMPORTRANGE(
      ""1ZHMy3vVUd_0MrSduXTe1etBb1HNpAlGwQr006ljwMiM"",
      ""GSC最新!A:R""
    ),
    10,
    FALSE
  ),
  0
)
"),9.0)</f>
        <v>9</v>
      </c>
      <c r="P91" s="59">
        <f>IFERROR(__xludf.DUMMYFUNCTION("IFERROR(
  VLOOKUP(
    A91,
    IMPORTRANGE(
      ""1ZHMy3vVUd_0MrSduXTe1etBb1HNpAlGwQr006ljwMiM"",
      ""GSC最新!A:R""
    ),
    13,
    FALSE
  ),
  0
)
"),2.0)</f>
        <v>2</v>
      </c>
      <c r="Q91" s="59">
        <f>IFERROR(__xludf.DUMMYFUNCTION("IFERROR(
  VLOOKUP(
    A91,
    IMPORTRANGE(
      ""1ZHMy3vVUd_0MrSduXTe1etBb1HNpAlGwQr006ljwMiM"",
      ""GSC最新!A:R""
    ),
    16,
    FALSE
  ),
  0
)
"),8.0)</f>
        <v>8</v>
      </c>
      <c r="R91" s="50">
        <f t="shared" ref="R91:S91" si="448">IFERROR(N91/P91,"-")</f>
        <v>2</v>
      </c>
      <c r="S91" s="50">
        <f t="shared" si="448"/>
        <v>1.125</v>
      </c>
      <c r="T91" s="60">
        <f>IFERROR(__xludf.DUMMYFUNCTION("IFERROR(
  VLOOKUP(
    A91,
    IMPORTRANGE(
      ""1ZHMy3vVUd_0MrSduXTe1etBb1HNpAlGwQr006ljwMiM"",
      ""GSC最新!A:R""
    ),
    8,
    FALSE
  ),
  0
)
"),0.0)</f>
        <v>0</v>
      </c>
      <c r="U91" s="60">
        <f>IFERROR(__xludf.DUMMYFUNCTION("IFERROR(
  VLOOKUP(
    A91,
    IMPORTRANGE(
      ""1ZHMy3vVUd_0MrSduXTe1etBb1HNpAlGwQr006ljwMiM"",
      ""GSC最新!A:R""
    ),
    11,
    FALSE
  ),
  0
)
"),0.1111111111111111)</f>
        <v>0.1111111111</v>
      </c>
      <c r="V91" s="60">
        <f>IFERROR(__xludf.DUMMYFUNCTION("IFERROR(
  VLOOKUP(
    A91,
    IMPORTRANGE(
      ""1ZHMy3vVUd_0MrSduXTe1etBb1HNpAlGwQr006ljwMiM"",
      ""GSC最新!A:R""
    ),
    14,
    FALSE
  ),
  0
)
"),0.0)</f>
        <v>0</v>
      </c>
      <c r="W91" s="60">
        <f>IFERROR(__xludf.DUMMYFUNCTION("IFERROR(
  VLOOKUP(
    A91,
    IMPORTRANGE(
      ""1ZHMy3vVUd_0MrSduXTe1etBb1HNpAlGwQr006ljwMiM"",
      ""GSC最新!A:R""
    ),
    17,
    FALSE
  ),
  0
)
"),0.125)</f>
        <v>0.125</v>
      </c>
      <c r="X91" s="60">
        <f t="shared" ref="X91:Y91" si="449">IFERROR(T91-V91,"-")</f>
        <v>0</v>
      </c>
      <c r="Y91" s="60">
        <f t="shared" si="449"/>
        <v>-0.01388888889</v>
      </c>
      <c r="Z91" s="52">
        <f>IFERROR(__xludf.DUMMYFUNCTION("IFERROR(
  VLOOKUP(
    A91,
    IMPORTRANGE(
      ""1ZHMy3vVUd_0MrSduXTe1etBb1HNpAlGwQr006ljwMiM"",
      ""GSC最新!A:R""
    ),
    9,
    FALSE
  ),
  0
)
"),6.75)</f>
        <v>6.75</v>
      </c>
      <c r="AA91" s="52">
        <f>IFERROR(__xludf.DUMMYFUNCTION("IFERROR(
  VLOOKUP(
    A91,
    IMPORTRANGE(
      ""1ZHMy3vVUd_0MrSduXTe1etBb1HNpAlGwQr006ljwMiM"",
      ""GSC最新!A:R""
    ),
    12,
    FALSE
  ),
  0
)
"),9.11111111111111)</f>
        <v>9.111111111</v>
      </c>
      <c r="AB91" s="52">
        <f>IFERROR(__xludf.DUMMYFUNCTION("IFERROR(
  VLOOKUP(
    A91,
    IMPORTRANGE(
      ""1ZHMy3vVUd_0MrSduXTe1etBb1HNpAlGwQr006ljwMiM"",
      ""GSC最新!A:R""
    ),
    15,
    FALSE
  ),
  0
)
"),5.0)</f>
        <v>5</v>
      </c>
      <c r="AC91" s="52">
        <f>IFERROR(__xludf.DUMMYFUNCTION("IFERROR(
  VLOOKUP(
    A91,
    IMPORTRANGE(
      ""1ZHMy3vVUd_0MrSduXTe1etBb1HNpAlGwQr006ljwMiM"",
      ""GSC最新!A:R""
    ),
    18,
    FALSE
  ),
  0
)
"),11.625)</f>
        <v>11.625</v>
      </c>
      <c r="AD91" s="52">
        <f t="shared" ref="AD91:AE91" si="450">Z91-AB91</f>
        <v>1.75</v>
      </c>
      <c r="AE91" s="52">
        <f t="shared" si="450"/>
        <v>-2.513888889</v>
      </c>
      <c r="AF91" s="53">
        <f>IFERROR(__xludf.DUMMYFUNCTION("IFERROR(
  VLOOKUP(
    A91,
    IMPORTRANGE(
      ""1ZHMy3vVUd_0MrSduXTe1etBb1HNpAlGwQr006ljwMiM"",
      ""GSC最新!A:F""
    ),
    6,
    FALSE
  ),
  0
)
"),46081.0)</f>
        <v>46081</v>
      </c>
      <c r="AG91" s="54">
        <f>IFERROR(__xludf.DUMMYFUNCTION("IFERROR(
  VLOOKUP(
    A91,
    IMPORTRANGE(
      ""1SCYQd7_cobOYqT0r_F0IqD4tE4rYn5y8Eup4PJTH8es"",
      ""Snapshot!A:M""
    ),
    5,
    FALSE
  ),
  ""-""
)
"),0.0)</f>
        <v>0</v>
      </c>
      <c r="AH91" s="54">
        <f>IFERROR(__xludf.DUMMYFUNCTION("IFERROR(
  VLOOKUP(
    A91,
    IMPORTRANGE(
      ""1SCYQd7_cobOYqT0r_F0IqD4tE4rYn5y8Eup4PJTH8es"",
      ""Snapshot!A:M""
    ),
    6,
    FALSE
  ),
  0
)
"),0.0)</f>
        <v>0</v>
      </c>
      <c r="AI91" s="54">
        <f>IFERROR(__xludf.DUMMYFUNCTION("IFERROR(
  VLOOKUP(
    A91,
    IMPORTRANGE(
      ""1SCYQd7_cobOYqT0r_F0IqD4tE4rYn5y8Eup4PJTH8es"",
      ""Snapshot!A:M""
    ),
    7,
    FALSE
  ),
  0
)
"),130.0)</f>
        <v>130</v>
      </c>
      <c r="AJ91" s="54">
        <f>IFERROR(__xludf.DUMMYFUNCTION("IFERROR(
  VLOOKUP(
    A91,
    IMPORTRANGE(
      ""1SCYQd7_cobOYqT0r_F0IqD4tE4rYn5y8Eup4PJTH8es"",
      ""Snapshot!A:M""
    ),
    8,
    FALSE
  ),
  0
)
"),0.0)</f>
        <v>0</v>
      </c>
      <c r="AK91" s="54">
        <f>IFERROR(__xludf.DUMMYFUNCTION("IFERROR(
  VLOOKUP(
    A91,
    IMPORTRANGE(
      ""1SCYQd7_cobOYqT0r_F0IqD4tE4rYn5y8Eup4PJTH8es"",
      ""Snapshot!A:M""
    ),
    9,
    FALSE
  ),
  0
)
"),1.0)</f>
        <v>1</v>
      </c>
      <c r="AL91" s="54">
        <f>IFERROR(__xludf.DUMMYFUNCTION("IFERROR(
  VLOOKUP(
    A91,
    IMPORTRANGE(
      ""1SCYQd7_cobOYqT0r_F0IqD4tE4rYn5y8Eup4PJTH8es"",
      ""Snapshot!A:M""
    ),
    13,
    FALSE
  ),
  0
)
"),2.0)</f>
        <v>2</v>
      </c>
    </row>
    <row r="92">
      <c r="A92" s="3" t="s">
        <v>427</v>
      </c>
      <c r="B92" s="1" t="str">
        <f>IFERROR(__xludf.DUMMYFUNCTION("IFERROR(
  VLOOKUP(
    A92,
    IMPORTRANGE(
      ""1ZygntHC1J6IxzKbTidmOyf5nUyW4GCLurHCjexrLm_o"",
      ""HTMLキャッシュ!A:F""
    ),
    2,
    FALSE
  ),
  0
)
"),"NW")</f>
        <v>NW</v>
      </c>
      <c r="C92" s="1" t="str">
        <f>IFERROR(__xludf.DUMMYFUNCTION("IFERROR(
  VLOOKUP(
    A92,
    IMPORTRANGE(
      ""1ZygntHC1J6IxzKbTidmOyf5nUyW4GCLurHCjexrLm_o"",
      ""HTMLキャッシュ!A:F""
    ),
    5,
    FALSE
  ),
  0
)
"),"「受験社会専門塾 令和」開校のお知らせ - 中学受験専門 夏井算数塾")</f>
        <v>「受験社会専門塾 令和」開校のお知らせ - 中学受験専門 夏井算数塾</v>
      </c>
      <c r="D92" s="1" t="str">
        <f>IFERROR(__xludf.DUMMYFUNCTION("IFERROR(
  VLOOKUP(
    A92,
    IMPORTRANGE(
      ""1ZygntHC1J6IxzKbTidmOyf5nUyW4GCLurHCjexrLm_o        "",
      ""HTMLキャッシュ!A:F""
    ),
    6,
    FALSE
  ),
  0
)
"),"本日は掲題の件につきましてお知らせさせて頂きます。 新塾「受験社会専門塾 令和」を開校致しました。 受験社会専")</f>
        <v>本日は掲題の件につきましてお知らせさせて頂きます。 新塾「受験社会専門塾 令和」を開校致しました。 受験社会専</v>
      </c>
      <c r="E92" s="49">
        <f t="shared" ref="E92:F92" si="451">LEN(C92)</f>
        <v>34</v>
      </c>
      <c r="F92" s="49">
        <f t="shared" si="451"/>
        <v>55</v>
      </c>
      <c r="G92" s="32">
        <f>IFERROR(__xludf.DUMMYFUNCTION("IFERROR(
  VLOOKUP(
    A92,
    IMPORTRANGE(
      ""1ZygntHC1J6IxzKbTidmOyf5nUyW4GCLurHCjexrLm_o        "",
      ""HTMLキャッシュ!A:F""
    ),
    3,
    FALSE
  ),
  0
)
"),43592.67506944444)</f>
        <v>43592.67507</v>
      </c>
      <c r="H92" s="54">
        <f>IFERROR(__xludf.DUMMYFUNCTION("IFERROR(
  VLOOKUP(
    A92,
    IMPORTRANGE(
      ""1ZHMy3vVUd_0MrSduXTe1etBb1HNpAlGwQr006ljwMiM"",
      ""GSC最新!A:F""
    ),
    2,
    FALSE
  ),
  0
)
"),1.0)</f>
        <v>1</v>
      </c>
      <c r="I92" s="54">
        <f>IFERROR(__xludf.DUMMYFUNCTION("IFERROR(
  VLOOKUP(
    A92,
    IMPORTRANGE(
      ""1ZHMy3vVUd_0MrSduXTe1etBb1HNpAlGwQr006ljwMiM"",
      ""GSC最新!A:F""
    ),
    3,
    FALSE
  ),
  0
)
"),1.0)</f>
        <v>1</v>
      </c>
      <c r="J92" s="54">
        <f>IFERROR(__xludf.DUMMYFUNCTION("IFERROR(
  VLOOKUP(
    A92,
    IMPORTRANGE(
      ""1ZHMy3vVUd_0MrSduXTe1etBb1HNpAlGwQr006ljwMiM"",
      ""GSC最新!A:F""
    ),
    4,
    FALSE
  ),
  0
)
"),0.0)</f>
        <v>0</v>
      </c>
      <c r="K92" s="54">
        <f>IFERROR(__xludf.DUMMYFUNCTION("IFERROR(
  VLOOKUP(
    A92,
    IMPORTRANGE(
      ""1ZHMy3vVUd_0MrSduXTe1etBb1HNpAlGwQr006ljwMiM"",
      ""GSC最新!A:F""
    ),
    5,
    FALSE
  ),
  0
)
"),2.0)</f>
        <v>2</v>
      </c>
      <c r="L92" s="50" t="str">
        <f t="shared" ref="L92:M92" si="452">IFERROR(H92/J92,"-")</f>
        <v>-</v>
      </c>
      <c r="M92" s="50">
        <f t="shared" si="452"/>
        <v>0.5</v>
      </c>
      <c r="N92" s="59">
        <f>IFERROR(__xludf.DUMMYFUNCTION("IFERROR(
  VLOOKUP(
    A92,
    IMPORTRANGE(
      ""1ZHMy3vVUd_0MrSduXTe1etBb1HNpAlGwQr006ljwMiM"",
      ""GSC最新!A:R""
    ),
    7,
    FALSE
  ),
  0
)
"),6.0)</f>
        <v>6</v>
      </c>
      <c r="O92" s="59">
        <f>IFERROR(__xludf.DUMMYFUNCTION("IFERROR(
  VLOOKUP(
    A92,
    IMPORTRANGE(
      ""1ZHMy3vVUd_0MrSduXTe1etBb1HNpAlGwQr006ljwMiM"",
      ""GSC最新!A:R""
    ),
    10,
    FALSE
  ),
  0
)
"),7.0)</f>
        <v>7</v>
      </c>
      <c r="P92" s="59">
        <f>IFERROR(__xludf.DUMMYFUNCTION("IFERROR(
  VLOOKUP(
    A92,
    IMPORTRANGE(
      ""1ZHMy3vVUd_0MrSduXTe1etBb1HNpAlGwQr006ljwMiM"",
      ""GSC最新!A:R""
    ),
    13,
    FALSE
  ),
  0
)
"),21.0)</f>
        <v>21</v>
      </c>
      <c r="Q92" s="59">
        <f>IFERROR(__xludf.DUMMYFUNCTION("IFERROR(
  VLOOKUP(
    A92,
    IMPORTRANGE(
      ""1ZHMy3vVUd_0MrSduXTe1etBb1HNpAlGwQr006ljwMiM"",
      ""GSC最新!A:R""
    ),
    16,
    FALSE
  ),
  0
)
"),51.0)</f>
        <v>51</v>
      </c>
      <c r="R92" s="50">
        <f t="shared" ref="R92:S92" si="453">IFERROR(N92/P92,"-")</f>
        <v>0.2857142857</v>
      </c>
      <c r="S92" s="50">
        <f t="shared" si="453"/>
        <v>0.137254902</v>
      </c>
      <c r="T92" s="60">
        <f>IFERROR(__xludf.DUMMYFUNCTION("IFERROR(
  VLOOKUP(
    A92,
    IMPORTRANGE(
      ""1ZHMy3vVUd_0MrSduXTe1etBb1HNpAlGwQr006ljwMiM"",
      ""GSC最新!A:R""
    ),
    8,
    FALSE
  ),
  0
)
"),0.16666666666666666)</f>
        <v>0.1666666667</v>
      </c>
      <c r="U92" s="60">
        <f>IFERROR(__xludf.DUMMYFUNCTION("IFERROR(
  VLOOKUP(
    A92,
    IMPORTRANGE(
      ""1ZHMy3vVUd_0MrSduXTe1etBb1HNpAlGwQr006ljwMiM"",
      ""GSC最新!A:R""
    ),
    11,
    FALSE
  ),
  0
)
"),0.14285714285714285)</f>
        <v>0.1428571429</v>
      </c>
      <c r="V92" s="60">
        <f>IFERROR(__xludf.DUMMYFUNCTION("IFERROR(
  VLOOKUP(
    A92,
    IMPORTRANGE(
      ""1ZHMy3vVUd_0MrSduXTe1etBb1HNpAlGwQr006ljwMiM"",
      ""GSC最新!A:R""
    ),
    14,
    FALSE
  ),
  0
)
"),0.0)</f>
        <v>0</v>
      </c>
      <c r="W92" s="60">
        <f>IFERROR(__xludf.DUMMYFUNCTION("IFERROR(
  VLOOKUP(
    A92,
    IMPORTRANGE(
      ""1ZHMy3vVUd_0MrSduXTe1etBb1HNpAlGwQr006ljwMiM"",
      ""GSC最新!A:R""
    ),
    17,
    FALSE
  ),
  0
)
"),0.0392156862745098)</f>
        <v>0.03921568627</v>
      </c>
      <c r="X92" s="60">
        <f t="shared" ref="X92:Y92" si="454">IFERROR(T92-V92,"-")</f>
        <v>0.1666666667</v>
      </c>
      <c r="Y92" s="60">
        <f t="shared" si="454"/>
        <v>0.1036414566</v>
      </c>
      <c r="Z92" s="52">
        <f>IFERROR(__xludf.DUMMYFUNCTION("IFERROR(
  VLOOKUP(
    A92,
    IMPORTRANGE(
      ""1ZHMy3vVUd_0MrSduXTe1etBb1HNpAlGwQr006ljwMiM"",
      ""GSC最新!A:R""
    ),
    9,
    FALSE
  ),
  0
)
"),4.166666666666666)</f>
        <v>4.166666667</v>
      </c>
      <c r="AA92" s="52">
        <f>IFERROR(__xludf.DUMMYFUNCTION("IFERROR(
  VLOOKUP(
    A92,
    IMPORTRANGE(
      ""1ZHMy3vVUd_0MrSduXTe1etBb1HNpAlGwQr006ljwMiM"",
      ""GSC最新!A:R""
    ),
    12,
    FALSE
  ),
  0
)
"),5.0)</f>
        <v>5</v>
      </c>
      <c r="AB92" s="52">
        <f>IFERROR(__xludf.DUMMYFUNCTION("IFERROR(
  VLOOKUP(
    A92,
    IMPORTRANGE(
      ""1ZHMy3vVUd_0MrSduXTe1etBb1HNpAlGwQr006ljwMiM"",
      ""GSC最新!A:R""
    ),
    15,
    FALSE
  ),
  0
)
"),37.04761904761905)</f>
        <v>37.04761905</v>
      </c>
      <c r="AC92" s="52">
        <f>IFERROR(__xludf.DUMMYFUNCTION("IFERROR(
  VLOOKUP(
    A92,
    IMPORTRANGE(
      ""1ZHMy3vVUd_0MrSduXTe1etBb1HNpAlGwQr006ljwMiM"",
      ""GSC最新!A:R""
    ),
    18,
    FALSE
  ),
  0
)
"),40.98039215686274)</f>
        <v>40.98039216</v>
      </c>
      <c r="AD92" s="52">
        <f t="shared" ref="AD92:AE92" si="455">Z92-AB92</f>
        <v>-32.88095238</v>
      </c>
      <c r="AE92" s="52">
        <f t="shared" si="455"/>
        <v>-35.98039216</v>
      </c>
      <c r="AF92" s="53">
        <f>IFERROR(__xludf.DUMMYFUNCTION("IFERROR(
  VLOOKUP(
    A92,
    IMPORTRANGE(
      ""1ZHMy3vVUd_0MrSduXTe1etBb1HNpAlGwQr006ljwMiM"",
      ""GSC最新!A:F""
    ),
    6,
    FALSE
  ),
  0
)
"),46081.0)</f>
        <v>46081</v>
      </c>
      <c r="AG92" s="54">
        <f>IFERROR(__xludf.DUMMYFUNCTION("IFERROR(
  VLOOKUP(
    A92,
    IMPORTRANGE(
      ""1SCYQd7_cobOYqT0r_F0IqD4tE4rYn5y8Eup4PJTH8es"",
      ""Snapshot!A:M""
    ),
    5,
    FALSE
  ),
  ""-""
)
"),0.0)</f>
        <v>0</v>
      </c>
      <c r="AH92" s="54">
        <f>IFERROR(__xludf.DUMMYFUNCTION("IFERROR(
  VLOOKUP(
    A92,
    IMPORTRANGE(
      ""1SCYQd7_cobOYqT0r_F0IqD4tE4rYn5y8Eup4PJTH8es"",
      ""Snapshot!A:M""
    ),
    6,
    FALSE
  ),
  0
)
"),0.0)</f>
        <v>0</v>
      </c>
      <c r="AI92" s="54">
        <f>IFERROR(__xludf.DUMMYFUNCTION("IFERROR(
  VLOOKUP(
    A92,
    IMPORTRANGE(
      ""1SCYQd7_cobOYqT0r_F0IqD4tE4rYn5y8Eup4PJTH8es"",
      ""Snapshot!A:M""
    ),
    7,
    FALSE
  ),
  0
)
"),129.0)</f>
        <v>129</v>
      </c>
      <c r="AJ92" s="54">
        <f>IFERROR(__xludf.DUMMYFUNCTION("IFERROR(
  VLOOKUP(
    A92,
    IMPORTRANGE(
      ""1SCYQd7_cobOYqT0r_F0IqD4tE4rYn5y8Eup4PJTH8es"",
      ""Snapshot!A:M""
    ),
    8,
    FALSE
  ),
  0
)
"),0.0)</f>
        <v>0</v>
      </c>
      <c r="AK92" s="54">
        <f>IFERROR(__xludf.DUMMYFUNCTION("IFERROR(
  VLOOKUP(
    A92,
    IMPORTRANGE(
      ""1SCYQd7_cobOYqT0r_F0IqD4tE4rYn5y8Eup4PJTH8es"",
      ""Snapshot!A:M""
    ),
    9,
    FALSE
  ),
  0
)
"),1.0)</f>
        <v>1</v>
      </c>
      <c r="AL92" s="54">
        <f>IFERROR(__xludf.DUMMYFUNCTION("IFERROR(
  VLOOKUP(
    A92,
    IMPORTRANGE(
      ""1SCYQd7_cobOYqT0r_F0IqD4tE4rYn5y8Eup4PJTH8es"",
      ""Snapshot!A:M""
    ),
    13,
    FALSE
  ),
  0
)
"),2.0)</f>
        <v>2</v>
      </c>
    </row>
    <row r="93">
      <c r="A93" s="3" t="s">
        <v>428</v>
      </c>
      <c r="B93" s="1" t="str">
        <f>IFERROR(__xludf.DUMMYFUNCTION("IFERROR(
  VLOOKUP(
    A93,
    IMPORTRANGE(
      ""1ZygntHC1J6IxzKbTidmOyf5nUyW4GCLurHCjexrLm_o"",
      ""HTMLキャッシュ!A:F""
    ),
    2,
    FALSE
  ),
  0
)
"),"MC")</f>
        <v>MC</v>
      </c>
      <c r="C93" s="1" t="str">
        <f>IFERROR(__xludf.DUMMYFUNCTION("IFERROR(
  VLOOKUP(
    A93,
    IMPORTRANGE(
      ""1ZygntHC1J6IxzKbTidmOyf5nUyW4GCLurHCjexrLm_o"",
      ""HTMLキャッシュ!A:F""
    ),
    5,
    FALSE
  ),
  0
)
"),"夏井算数塾の教室案内と個別指導の特徴紹介")</f>
        <v>夏井算数塾の教室案内と個別指導の特徴紹介</v>
      </c>
      <c r="D93" s="1" t="str">
        <f>IFERROR(__xludf.DUMMYFUNCTION("IFERROR(
  VLOOKUP(
    A93,
    IMPORTRANGE(
      ""1ZygntHC1J6IxzKbTidmOyf5nUyW4GCLurHCjexrLm_o        "",
      ""HTMLキャッシュ!A:F""
    ),
    6,
    FALSE
  ),
  0
)
"),"大手塾の算数は、塾ごとに「進度」「教材の形（プリント/テキスト）」「テストの位置づけ」「復習の回し方」が違いま")</f>
        <v>大手塾の算数は、塾ごとに「進度」「教材の形（プリント/テキスト）」「テストの位置づけ」「復習の回し方」が違いま</v>
      </c>
      <c r="E93" s="49">
        <f t="shared" ref="E93:F93" si="456">LEN(C93)</f>
        <v>20</v>
      </c>
      <c r="F93" s="49">
        <f t="shared" si="456"/>
        <v>55</v>
      </c>
      <c r="G93" s="32">
        <f>IFERROR(__xludf.DUMMYFUNCTION("IFERROR(
  VLOOKUP(
    A93,
    IMPORTRANGE(
      ""1ZygntHC1J6IxzKbTidmOyf5nUyW4GCLurHCjexrLm_o        "",
      ""HTMLキャッシュ!A:F""
    ),
    3,
    FALSE
  ),
  0
)
"),46076.685960648145)</f>
        <v>46076.68596</v>
      </c>
      <c r="H93" s="54">
        <f>IFERROR(__xludf.DUMMYFUNCTION("IFERROR(
  VLOOKUP(
    A93,
    IMPORTRANGE(
      ""1ZHMy3vVUd_0MrSduXTe1etBb1HNpAlGwQr006ljwMiM"",
      ""GSC最新!A:F""
    ),
    2,
    FALSE
  ),
  0
)
"),1.0)</f>
        <v>1</v>
      </c>
      <c r="I93" s="54">
        <f>IFERROR(__xludf.DUMMYFUNCTION("IFERROR(
  VLOOKUP(
    A93,
    IMPORTRANGE(
      ""1ZHMy3vVUd_0MrSduXTe1etBb1HNpAlGwQr006ljwMiM"",
      ""GSC最新!A:F""
    ),
    3,
    FALSE
  ),
  0
)
"),1.0)</f>
        <v>1</v>
      </c>
      <c r="J93" s="54">
        <f>IFERROR(__xludf.DUMMYFUNCTION("IFERROR(
  VLOOKUP(
    A93,
    IMPORTRANGE(
      ""1ZHMy3vVUd_0MrSduXTe1etBb1HNpAlGwQr006ljwMiM"",
      ""GSC最新!A:F""
    ),
    4,
    FALSE
  ),
  0
)
"),0.0)</f>
        <v>0</v>
      </c>
      <c r="K93" s="54">
        <f>IFERROR(__xludf.DUMMYFUNCTION("IFERROR(
  VLOOKUP(
    A93,
    IMPORTRANGE(
      ""1ZHMy3vVUd_0MrSduXTe1etBb1HNpAlGwQr006ljwMiM"",
      ""GSC最新!A:F""
    ),
    5,
    FALSE
  ),
  0
)
"),0.0)</f>
        <v>0</v>
      </c>
      <c r="L93" s="50" t="str">
        <f t="shared" ref="L93:M93" si="457">IFERROR(H93/J93,"-")</f>
        <v>-</v>
      </c>
      <c r="M93" s="50" t="str">
        <f t="shared" si="457"/>
        <v>-</v>
      </c>
      <c r="N93" s="59">
        <f>IFERROR(__xludf.DUMMYFUNCTION("IFERROR(
  VLOOKUP(
    A93,
    IMPORTRANGE(
      ""1ZHMy3vVUd_0MrSduXTe1etBb1HNpAlGwQr006ljwMiM"",
      ""GSC最新!A:R""
    ),
    7,
    FALSE
  ),
  0
)
"),7.0)</f>
        <v>7</v>
      </c>
      <c r="O93" s="59">
        <f>IFERROR(__xludf.DUMMYFUNCTION("IFERROR(
  VLOOKUP(
    A93,
    IMPORTRANGE(
      ""1ZHMy3vVUd_0MrSduXTe1etBb1HNpAlGwQr006ljwMiM"",
      ""GSC最新!A:R""
    ),
    10,
    FALSE
  ),
  0
)
"),7.0)</f>
        <v>7</v>
      </c>
      <c r="P93" s="59">
        <f>IFERROR(__xludf.DUMMYFUNCTION("IFERROR(
  VLOOKUP(
    A93,
    IMPORTRANGE(
      ""1ZHMy3vVUd_0MrSduXTe1etBb1HNpAlGwQr006ljwMiM"",
      ""GSC最新!A:R""
    ),
    13,
    FALSE
  ),
  0
)
"),0.0)</f>
        <v>0</v>
      </c>
      <c r="Q93" s="59">
        <f>IFERROR(__xludf.DUMMYFUNCTION("IFERROR(
  VLOOKUP(
    A93,
    IMPORTRANGE(
      ""1ZHMy3vVUd_0MrSduXTe1etBb1HNpAlGwQr006ljwMiM"",
      ""GSC最新!A:R""
    ),
    16,
    FALSE
  ),
  0
)
"),0.0)</f>
        <v>0</v>
      </c>
      <c r="R93" s="50" t="str">
        <f t="shared" ref="R93:S93" si="458">IFERROR(N93/P93,"-")</f>
        <v>-</v>
      </c>
      <c r="S93" s="50" t="str">
        <f t="shared" si="458"/>
        <v>-</v>
      </c>
      <c r="T93" s="60">
        <f>IFERROR(__xludf.DUMMYFUNCTION("IFERROR(
  VLOOKUP(
    A93,
    IMPORTRANGE(
      ""1ZHMy3vVUd_0MrSduXTe1etBb1HNpAlGwQr006ljwMiM"",
      ""GSC最新!A:R""
    ),
    8,
    FALSE
  ),
  0
)
"),0.14285714285714285)</f>
        <v>0.1428571429</v>
      </c>
      <c r="U93" s="60">
        <f>IFERROR(__xludf.DUMMYFUNCTION("IFERROR(
  VLOOKUP(
    A93,
    IMPORTRANGE(
      ""1ZHMy3vVUd_0MrSduXTe1etBb1HNpAlGwQr006ljwMiM"",
      ""GSC最新!A:R""
    ),
    11,
    FALSE
  ),
  0
)
"),0.14285714285714285)</f>
        <v>0.1428571429</v>
      </c>
      <c r="V93" s="60">
        <f>IFERROR(__xludf.DUMMYFUNCTION("IFERROR(
  VLOOKUP(
    A93,
    IMPORTRANGE(
      ""1ZHMy3vVUd_0MrSduXTe1etBb1HNpAlGwQr006ljwMiM"",
      ""GSC最新!A:R""
    ),
    14,
    FALSE
  ),
  0
)
"),0.0)</f>
        <v>0</v>
      </c>
      <c r="W93" s="60">
        <f>IFERROR(__xludf.DUMMYFUNCTION("IFERROR(
  VLOOKUP(
    A93,
    IMPORTRANGE(
      ""1ZHMy3vVUd_0MrSduXTe1etBb1HNpAlGwQr006ljwMiM"",
      ""GSC最新!A:R""
    ),
    17,
    FALSE
  ),
  0
)
"),0.0)</f>
        <v>0</v>
      </c>
      <c r="X93" s="60">
        <f t="shared" ref="X93:Y93" si="459">IFERROR(T93-V93,"-")</f>
        <v>0.1428571429</v>
      </c>
      <c r="Y93" s="60">
        <f t="shared" si="459"/>
        <v>0.1428571429</v>
      </c>
      <c r="Z93" s="52">
        <f>IFERROR(__xludf.DUMMYFUNCTION("IFERROR(
  VLOOKUP(
    A93,
    IMPORTRANGE(
      ""1ZHMy3vVUd_0MrSduXTe1etBb1HNpAlGwQr006ljwMiM"",
      ""GSC最新!A:R""
    ),
    9,
    FALSE
  ),
  0
)
"),4.714285714285714)</f>
        <v>4.714285714</v>
      </c>
      <c r="AA93" s="52">
        <f>IFERROR(__xludf.DUMMYFUNCTION("IFERROR(
  VLOOKUP(
    A93,
    IMPORTRANGE(
      ""1ZHMy3vVUd_0MrSduXTe1etBb1HNpAlGwQr006ljwMiM"",
      ""GSC最新!A:R""
    ),
    12,
    FALSE
  ),
  0
)
"),4.714285714285714)</f>
        <v>4.714285714</v>
      </c>
      <c r="AB93" s="52" t="str">
        <f>IFERROR(__xludf.DUMMYFUNCTION("IFERROR(
  VLOOKUP(
    A93,
    IMPORTRANGE(
      ""1ZHMy3vVUd_0MrSduXTe1etBb1HNpAlGwQr006ljwMiM"",
      ""GSC最新!A:R""
    ),
    15,
    FALSE
  ),
  0
)
"),"")</f>
        <v/>
      </c>
      <c r="AC93" s="52" t="str">
        <f>IFERROR(__xludf.DUMMYFUNCTION("IFERROR(
  VLOOKUP(
    A93,
    IMPORTRANGE(
      ""1ZHMy3vVUd_0MrSduXTe1etBb1HNpAlGwQr006ljwMiM"",
      ""GSC最新!A:R""
    ),
    18,
    FALSE
  ),
  0
)
"),"")</f>
        <v/>
      </c>
      <c r="AD93" s="52">
        <f t="shared" ref="AD93:AE93" si="460">Z93-AB93</f>
        <v>4.714285714</v>
      </c>
      <c r="AE93" s="52">
        <f t="shared" si="460"/>
        <v>4.714285714</v>
      </c>
      <c r="AF93" s="53">
        <f>IFERROR(__xludf.DUMMYFUNCTION("IFERROR(
  VLOOKUP(
    A93,
    IMPORTRANGE(
      ""1ZHMy3vVUd_0MrSduXTe1etBb1HNpAlGwQr006ljwMiM"",
      ""GSC最新!A:F""
    ),
    6,
    FALSE
  ),
  0
)
"),46081.0)</f>
        <v>46081</v>
      </c>
      <c r="AG93" s="54">
        <f>IFERROR(__xludf.DUMMYFUNCTION("IFERROR(
  VLOOKUP(
    A93,
    IMPORTRANGE(
      ""1SCYQd7_cobOYqT0r_F0IqD4tE4rYn5y8Eup4PJTH8es"",
      ""Snapshot!A:M""
    ),
    5,
    FALSE
  ),
  ""-""
)
"),4.0)</f>
        <v>4</v>
      </c>
      <c r="AH93" s="54">
        <f>IFERROR(__xludf.DUMMYFUNCTION("IFERROR(
  VLOOKUP(
    A93,
    IMPORTRANGE(
      ""1SCYQd7_cobOYqT0r_F0IqD4tE4rYn5y8Eup4PJTH8es"",
      ""Snapshot!A:M""
    ),
    6,
    FALSE
  ),
  0
)
"),0.0)</f>
        <v>0</v>
      </c>
      <c r="AI93" s="54">
        <f>IFERROR(__xludf.DUMMYFUNCTION("IFERROR(
  VLOOKUP(
    A93,
    IMPORTRANGE(
      ""1SCYQd7_cobOYqT0r_F0IqD4tE4rYn5y8Eup4PJTH8es"",
      ""Snapshot!A:M""
    ),
    7,
    FALSE
  ),
  0
)
"),1579.0)</f>
        <v>1579</v>
      </c>
      <c r="AJ93" s="54">
        <f>IFERROR(__xludf.DUMMYFUNCTION("IFERROR(
  VLOOKUP(
    A93,
    IMPORTRANGE(
      ""1SCYQd7_cobOYqT0r_F0IqD4tE4rYn5y8Eup4PJTH8es"",
      ""Snapshot!A:M""
    ),
    8,
    FALSE
  ),
  0
)
"),10.0)</f>
        <v>10</v>
      </c>
      <c r="AK93" s="54">
        <f>IFERROR(__xludf.DUMMYFUNCTION("IFERROR(
  VLOOKUP(
    A93,
    IMPORTRANGE(
      ""1SCYQd7_cobOYqT0r_F0IqD4tE4rYn5y8Eup4PJTH8es"",
      ""Snapshot!A:M""
    ),
    9,
    FALSE
  ),
  0
)
"),3.0)</f>
        <v>3</v>
      </c>
      <c r="AL93" s="54">
        <f>IFERROR(__xludf.DUMMYFUNCTION("IFERROR(
  VLOOKUP(
    A93,
    IMPORTRANGE(
      ""1SCYQd7_cobOYqT0r_F0IqD4tE4rYn5y8Eup4PJTH8es"",
      ""Snapshot!A:M""
    ),
    13,
    FALSE
  ),
  0
)
"),1.0)</f>
        <v>1</v>
      </c>
    </row>
    <row r="94">
      <c r="A94" s="3" t="s">
        <v>429</v>
      </c>
      <c r="B94" s="1" t="str">
        <f>IFERROR(__xludf.DUMMYFUNCTION("IFERROR(
  VLOOKUP(
    A94,
    IMPORTRANGE(
      ""1ZygntHC1J6IxzKbTidmOyf5nUyW4GCLurHCjexrLm_o"",
      ""HTMLキャッシュ!A:F""
    ),
    2,
    FALSE
  ),
  0
)
"),"MC")</f>
        <v>MC</v>
      </c>
      <c r="C94" s="1" t="str">
        <f>IFERROR(__xludf.DUMMYFUNCTION("IFERROR(
  VLOOKUP(
    A94,
    IMPORTRANGE(
      ""1ZygntHC1J6IxzKbTidmOyf5nUyW4GCLurHCjexrLm_o"",
      ""HTMLキャッシュ!A:F""
    ),
    5,
    FALSE
  ),
  0
)
"),"日能研カリキュラム対応 算数対策コースの実力アップ法")</f>
        <v>日能研カリキュラム対応 算数対策コースの実力アップ法</v>
      </c>
      <c r="D94" s="1" t="str">
        <f>IFERROR(__xludf.DUMMYFUNCTION("IFERROR(
  VLOOKUP(
    A94,
    IMPORTRANGE(
      ""1ZygntHC1J6IxzKbTidmOyf5nUyW4GCLurHCjexrLm_o        "",
      ""HTMLキャッシュ!A:F""
    ),
    6,
    FALSE
  ),
  0
)
"),"日能研生の算数で起きやすい宿題過多・過去問不足・新傾向の弱点を個別指導で補強。必要な問題だけを絞り、理解と演習を最短化。")</f>
        <v>日能研生の算数で起きやすい宿題過多・過去問不足・新傾向の弱点を個別指導で補強。必要な問題だけを絞り、理解と演習を最短化。</v>
      </c>
      <c r="E94" s="49">
        <f t="shared" ref="E94:F94" si="461">LEN(C94)</f>
        <v>26</v>
      </c>
      <c r="F94" s="49">
        <f t="shared" si="461"/>
        <v>60</v>
      </c>
      <c r="G94" s="32">
        <f>IFERROR(__xludf.DUMMYFUNCTION("IFERROR(
  VLOOKUP(
    A94,
    IMPORTRANGE(
      ""1ZygntHC1J6IxzKbTidmOyf5nUyW4GCLurHCjexrLm_o        "",
      ""HTMLキャッシュ!A:F""
    ),
    3,
    FALSE
  ),
  0
)
"),46073.54571759259)</f>
        <v>46073.54572</v>
      </c>
      <c r="H94" s="54">
        <f>IFERROR(__xludf.DUMMYFUNCTION("IFERROR(
  VLOOKUP(
    A94,
    IMPORTRANGE(
      ""1ZHMy3vVUd_0MrSduXTe1etBb1HNpAlGwQr006ljwMiM"",
      ""GSC最新!A:F""
    ),
    2,
    FALSE
  ),
  0
)
"),0.0)</f>
        <v>0</v>
      </c>
      <c r="I94" s="54">
        <f>IFERROR(__xludf.DUMMYFUNCTION("IFERROR(
  VLOOKUP(
    A94,
    IMPORTRANGE(
      ""1ZHMy3vVUd_0MrSduXTe1etBb1HNpAlGwQr006ljwMiM"",
      ""GSC最新!A:F""
    ),
    3,
    FALSE
  ),
  0
)
"),0.0)</f>
        <v>0</v>
      </c>
      <c r="J94" s="54">
        <f>IFERROR(__xludf.DUMMYFUNCTION("IFERROR(
  VLOOKUP(
    A94,
    IMPORTRANGE(
      ""1ZHMy3vVUd_0MrSduXTe1etBb1HNpAlGwQr006ljwMiM"",
      ""GSC最新!A:F""
    ),
    4,
    FALSE
  ),
  0
)
"),0.0)</f>
        <v>0</v>
      </c>
      <c r="K94" s="54">
        <f>IFERROR(__xludf.DUMMYFUNCTION("IFERROR(
  VLOOKUP(
    A94,
    IMPORTRANGE(
      ""1ZHMy3vVUd_0MrSduXTe1etBb1HNpAlGwQr006ljwMiM"",
      ""GSC最新!A:F""
    ),
    5,
    FALSE
  ),
  0
)
"),0.0)</f>
        <v>0</v>
      </c>
      <c r="L94" s="50" t="str">
        <f t="shared" ref="L94:M94" si="462">IFERROR(H94/J94,"-")</f>
        <v>-</v>
      </c>
      <c r="M94" s="50" t="str">
        <f t="shared" si="462"/>
        <v>-</v>
      </c>
      <c r="N94" s="59">
        <f>IFERROR(__xludf.DUMMYFUNCTION("IFERROR(
  VLOOKUP(
    A94,
    IMPORTRANGE(
      ""1ZHMy3vVUd_0MrSduXTe1etBb1HNpAlGwQr006ljwMiM"",
      ""GSC最新!A:R""
    ),
    7,
    FALSE
  ),
  0
)
"),46.0)</f>
        <v>46</v>
      </c>
      <c r="O94" s="59">
        <f>IFERROR(__xludf.DUMMYFUNCTION("IFERROR(
  VLOOKUP(
    A94,
    IMPORTRANGE(
      ""1ZHMy3vVUd_0MrSduXTe1etBb1HNpAlGwQr006ljwMiM"",
      ""GSC最新!A:R""
    ),
    10,
    FALSE
  ),
  0
)
"),138.0)</f>
        <v>138</v>
      </c>
      <c r="P94" s="59">
        <f>IFERROR(__xludf.DUMMYFUNCTION("IFERROR(
  VLOOKUP(
    A94,
    IMPORTRANGE(
      ""1ZHMy3vVUd_0MrSduXTe1etBb1HNpAlGwQr006ljwMiM"",
      ""GSC最新!A:R""
    ),
    13,
    FALSE
  ),
  0
)
"),49.0)</f>
        <v>49</v>
      </c>
      <c r="Q94" s="59">
        <f>IFERROR(__xludf.DUMMYFUNCTION("IFERROR(
  VLOOKUP(
    A94,
    IMPORTRANGE(
      ""1ZHMy3vVUd_0MrSduXTe1etBb1HNpAlGwQr006ljwMiM"",
      ""GSC最新!A:R""
    ),
    16,
    FALSE
  ),
  0
)
"),220.0)</f>
        <v>220</v>
      </c>
      <c r="R94" s="50">
        <f t="shared" ref="R94:S94" si="463">IFERROR(N94/P94,"-")</f>
        <v>0.9387755102</v>
      </c>
      <c r="S94" s="50">
        <f t="shared" si="463"/>
        <v>0.6272727273</v>
      </c>
      <c r="T94" s="60">
        <f>IFERROR(__xludf.DUMMYFUNCTION("IFERROR(
  VLOOKUP(
    A94,
    IMPORTRANGE(
      ""1ZHMy3vVUd_0MrSduXTe1etBb1HNpAlGwQr006ljwMiM"",
      ""GSC最新!A:R""
    ),
    8,
    FALSE
  ),
  0
)
"),0.0)</f>
        <v>0</v>
      </c>
      <c r="U94" s="60">
        <f>IFERROR(__xludf.DUMMYFUNCTION("IFERROR(
  VLOOKUP(
    A94,
    IMPORTRANGE(
      ""1ZHMy3vVUd_0MrSduXTe1etBb1HNpAlGwQr006ljwMiM"",
      ""GSC最新!A:R""
    ),
    11,
    FALSE
  ),
  0
)
"),0.0)</f>
        <v>0</v>
      </c>
      <c r="V94" s="60">
        <f>IFERROR(__xludf.DUMMYFUNCTION("IFERROR(
  VLOOKUP(
    A94,
    IMPORTRANGE(
      ""1ZHMy3vVUd_0MrSduXTe1etBb1HNpAlGwQr006ljwMiM"",
      ""GSC最新!A:R""
    ),
    14,
    FALSE
  ),
  0
)
"),0.0)</f>
        <v>0</v>
      </c>
      <c r="W94" s="60">
        <f>IFERROR(__xludf.DUMMYFUNCTION("IFERROR(
  VLOOKUP(
    A94,
    IMPORTRANGE(
      ""1ZHMy3vVUd_0MrSduXTe1etBb1HNpAlGwQr006ljwMiM"",
      ""GSC最新!A:R""
    ),
    17,
    FALSE
  ),
  0
)
"),0.0)</f>
        <v>0</v>
      </c>
      <c r="X94" s="60">
        <f t="shared" ref="X94:Y94" si="464">IFERROR(T94-V94,"-")</f>
        <v>0</v>
      </c>
      <c r="Y94" s="60">
        <f t="shared" si="464"/>
        <v>0</v>
      </c>
      <c r="Z94" s="52">
        <f>IFERROR(__xludf.DUMMYFUNCTION("IFERROR(
  VLOOKUP(
    A94,
    IMPORTRANGE(
      ""1ZHMy3vVUd_0MrSduXTe1etBb1HNpAlGwQr006ljwMiM"",
      ""GSC最新!A:R""
    ),
    9,
    FALSE
  ),
  0
)
"),15.695652173913043)</f>
        <v>15.69565217</v>
      </c>
      <c r="AA94" s="52">
        <f>IFERROR(__xludf.DUMMYFUNCTION("IFERROR(
  VLOOKUP(
    A94,
    IMPORTRANGE(
      ""1ZHMy3vVUd_0MrSduXTe1etBb1HNpAlGwQr006ljwMiM"",
      ""GSC最新!A:R""
    ),
    12,
    FALSE
  ),
  0
)
"),13.594202898550725)</f>
        <v>13.5942029</v>
      </c>
      <c r="AB94" s="52">
        <f>IFERROR(__xludf.DUMMYFUNCTION("IFERROR(
  VLOOKUP(
    A94,
    IMPORTRANGE(
      ""1ZHMy3vVUd_0MrSduXTe1etBb1HNpAlGwQr006ljwMiM"",
      ""GSC最新!A:R""
    ),
    15,
    FALSE
  ),
  0
)
"),23.408163265306122)</f>
        <v>23.40816327</v>
      </c>
      <c r="AC94" s="52">
        <f>IFERROR(__xludf.DUMMYFUNCTION("IFERROR(
  VLOOKUP(
    A94,
    IMPORTRANGE(
      ""1ZHMy3vVUd_0MrSduXTe1etBb1HNpAlGwQr006ljwMiM"",
      ""GSC最新!A:R""
    ),
    18,
    FALSE
  ),
  0
)
"),33.127272727272725)</f>
        <v>33.12727273</v>
      </c>
      <c r="AD94" s="52">
        <f t="shared" ref="AD94:AE94" si="465">Z94-AB94</f>
        <v>-7.712511091</v>
      </c>
      <c r="AE94" s="52">
        <f t="shared" si="465"/>
        <v>-19.53306983</v>
      </c>
      <c r="AF94" s="53">
        <f>IFERROR(__xludf.DUMMYFUNCTION("IFERROR(
  VLOOKUP(
    A94,
    IMPORTRANGE(
      ""1ZHMy3vVUd_0MrSduXTe1etBb1HNpAlGwQr006ljwMiM"",
      ""GSC最新!A:F""
    ),
    6,
    FALSE
  ),
  0
)
"),46081.0)</f>
        <v>46081</v>
      </c>
      <c r="AG94" s="54">
        <f>IFERROR(__xludf.DUMMYFUNCTION("IFERROR(
  VLOOKUP(
    A94,
    IMPORTRANGE(
      ""1SCYQd7_cobOYqT0r_F0IqD4tE4rYn5y8Eup4PJTH8es"",
      ""Snapshot!A:M""
    ),
    5,
    FALSE
  ),
  ""-""
)
"),4.0)</f>
        <v>4</v>
      </c>
      <c r="AH94" s="54">
        <f>IFERROR(__xludf.DUMMYFUNCTION("IFERROR(
  VLOOKUP(
    A94,
    IMPORTRANGE(
      ""1SCYQd7_cobOYqT0r_F0IqD4tE4rYn5y8Eup4PJTH8es"",
      ""Snapshot!A:M""
    ),
    6,
    FALSE
  ),
  0
)
"),8.0)</f>
        <v>8</v>
      </c>
      <c r="AI94" s="54">
        <f>IFERROR(__xludf.DUMMYFUNCTION("IFERROR(
  VLOOKUP(
    A94,
    IMPORTRANGE(
      ""1SCYQd7_cobOYqT0r_F0IqD4tE4rYn5y8Eup4PJTH8es"",
      ""Snapshot!A:M""
    ),
    7,
    FALSE
  ),
  0
)
"),2405.0)</f>
        <v>2405</v>
      </c>
      <c r="AJ94" s="54">
        <f>IFERROR(__xludf.DUMMYFUNCTION("IFERROR(
  VLOOKUP(
    A94,
    IMPORTRANGE(
      ""1SCYQd7_cobOYqT0r_F0IqD4tE4rYn5y8Eup4PJTH8es"",
      ""Snapshot!A:M""
    ),
    8,
    FALSE
  ),
  0
)
"),5.0)</f>
        <v>5</v>
      </c>
      <c r="AK94" s="54">
        <f>IFERROR(__xludf.DUMMYFUNCTION("IFERROR(
  VLOOKUP(
    A94,
    IMPORTRANGE(
      ""1SCYQd7_cobOYqT0r_F0IqD4tE4rYn5y8Eup4PJTH8es"",
      ""Snapshot!A:M""
    ),
    9,
    FALSE
  ),
  0
)
"),1.0)</f>
        <v>1</v>
      </c>
      <c r="AL94" s="54">
        <f>IFERROR(__xludf.DUMMYFUNCTION("IFERROR(
  VLOOKUP(
    A94,
    IMPORTRANGE(
      ""1SCYQd7_cobOYqT0r_F0IqD4tE4rYn5y8Eup4PJTH8es"",
      ""Snapshot!A:M""
    ),
    13,
    FALSE
  ),
  0
)
"),1.0)</f>
        <v>1</v>
      </c>
    </row>
    <row r="95">
      <c r="A95" s="3" t="s">
        <v>430</v>
      </c>
      <c r="B95" s="1" t="str">
        <f>IFERROR(__xludf.DUMMYFUNCTION("IFERROR(
  VLOOKUP(
    A95,
    IMPORTRANGE(
      ""1ZygntHC1J6IxzKbTidmOyf5nUyW4GCLurHCjexrLm_o"",
      ""HTMLキャッシュ!A:F""
    ),
    2,
    FALSE
  ),
  0
)
"),"ST")</f>
        <v>ST</v>
      </c>
      <c r="C95" s="1" t="str">
        <f>IFERROR(__xludf.DUMMYFUNCTION("IFERROR(
  VLOOKUP(
    A95,
    IMPORTRANGE(
      ""1ZygntHC1J6IxzKbTidmOyf5nUyW4GCLurHCjexrLm_o"",
      ""HTMLキャッシュ!A:F""
    ),
    5,
    FALSE
  ),
  0
)
"),"夏井算数塾の個別指導時間割と空きコマ状況")</f>
        <v>夏井算数塾の個別指導時間割と空きコマ状況</v>
      </c>
      <c r="D95" s="1" t="str">
        <f>IFERROR(__xludf.DUMMYFUNCTION("IFERROR(
  VLOOKUP(
    A95,
    IMPORTRANGE(
      ""1ZygntHC1J6IxzKbTidmOyf5nUyW4GCLurHCjexrLm_o        "",
      ""HTMLキャッシュ!A:F""
    ),
    6,
    FALSE
  ),
  0
)
"),"１対１個別指導の空きコマ状況です。(2019/2/9更新) 日 月 火 水 木 金 土 Ａ限 〇 × Ｂ限 〇")</f>
        <v>１対１個別指導の空きコマ状況です。(2019/2/9更新) 日 月 火 水 木 金 土 Ａ限 〇 × Ｂ限 〇</v>
      </c>
      <c r="E95" s="49">
        <f t="shared" ref="E95:F95" si="466">LEN(C95)</f>
        <v>20</v>
      </c>
      <c r="F95" s="49">
        <f t="shared" si="466"/>
        <v>55</v>
      </c>
      <c r="G95" s="32">
        <f>IFERROR(__xludf.DUMMYFUNCTION("IFERROR(
  VLOOKUP(
    A95,
    IMPORTRANGE(
      ""1ZygntHC1J6IxzKbTidmOyf5nUyW4GCLurHCjexrLm_o        "",
      ""HTMLキャッシュ!A:F""
    ),
    3,
    FALSE
  ),
  0
)
"),46073.65880787037)</f>
        <v>46073.65881</v>
      </c>
      <c r="H95" s="54">
        <f>IFERROR(__xludf.DUMMYFUNCTION("IFERROR(
  VLOOKUP(
    A95,
    IMPORTRANGE(
      ""1ZHMy3vVUd_0MrSduXTe1etBb1HNpAlGwQr006ljwMiM"",
      ""GSC最新!A:F""
    ),
    2,
    FALSE
  ),
  0
)
"),1.0)</f>
        <v>1</v>
      </c>
      <c r="I95" s="54">
        <f>IFERROR(__xludf.DUMMYFUNCTION("IFERROR(
  VLOOKUP(
    A95,
    IMPORTRANGE(
      ""1ZHMy3vVUd_0MrSduXTe1etBb1HNpAlGwQr006ljwMiM"",
      ""GSC最新!A:F""
    ),
    3,
    FALSE
  ),
  0
)
"),1.0)</f>
        <v>1</v>
      </c>
      <c r="J95" s="54">
        <f>IFERROR(__xludf.DUMMYFUNCTION("IFERROR(
  VLOOKUP(
    A95,
    IMPORTRANGE(
      ""1ZHMy3vVUd_0MrSduXTe1etBb1HNpAlGwQr006ljwMiM"",
      ""GSC最新!A:F""
    ),
    4,
    FALSE
  ),
  0
)
"),1.0)</f>
        <v>1</v>
      </c>
      <c r="K95" s="54">
        <f>IFERROR(__xludf.DUMMYFUNCTION("IFERROR(
  VLOOKUP(
    A95,
    IMPORTRANGE(
      ""1ZHMy3vVUd_0MrSduXTe1etBb1HNpAlGwQr006ljwMiM"",
      ""GSC最新!A:F""
    ),
    5,
    FALSE
  ),
  0
)
"),1.0)</f>
        <v>1</v>
      </c>
      <c r="L95" s="50">
        <f t="shared" ref="L95:M95" si="467">IFERROR(H95/J95,"-")</f>
        <v>1</v>
      </c>
      <c r="M95" s="50">
        <f t="shared" si="467"/>
        <v>1</v>
      </c>
      <c r="N95" s="59">
        <f>IFERROR(__xludf.DUMMYFUNCTION("IFERROR(
  VLOOKUP(
    A95,
    IMPORTRANGE(
      ""1ZHMy3vVUd_0MrSduXTe1etBb1HNpAlGwQr006ljwMiM"",
      ""GSC最新!A:R""
    ),
    7,
    FALSE
  ),
  0
)
"),34.0)</f>
        <v>34</v>
      </c>
      <c r="O95" s="59">
        <f>IFERROR(__xludf.DUMMYFUNCTION("IFERROR(
  VLOOKUP(
    A95,
    IMPORTRANGE(
      ""1ZHMy3vVUd_0MrSduXTe1etBb1HNpAlGwQr006ljwMiM"",
      ""GSC最新!A:R""
    ),
    10,
    FALSE
  ),
  0
)
"),61.0)</f>
        <v>61</v>
      </c>
      <c r="P95" s="59">
        <f>IFERROR(__xludf.DUMMYFUNCTION("IFERROR(
  VLOOKUP(
    A95,
    IMPORTRANGE(
      ""1ZHMy3vVUd_0MrSduXTe1etBb1HNpAlGwQr006ljwMiM"",
      ""GSC最新!A:R""
    ),
    13,
    FALSE
  ),
  0
)
"),37.0)</f>
        <v>37</v>
      </c>
      <c r="Q95" s="59">
        <f>IFERROR(__xludf.DUMMYFUNCTION("IFERROR(
  VLOOKUP(
    A95,
    IMPORTRANGE(
      ""1ZHMy3vVUd_0MrSduXTe1etBb1HNpAlGwQr006ljwMiM"",
      ""GSC最新!A:R""
    ),
    16,
    FALSE
  ),
  0
)
"),46.0)</f>
        <v>46</v>
      </c>
      <c r="R95" s="50">
        <f t="shared" ref="R95:S95" si="468">IFERROR(N95/P95,"-")</f>
        <v>0.9189189189</v>
      </c>
      <c r="S95" s="50">
        <f t="shared" si="468"/>
        <v>1.326086957</v>
      </c>
      <c r="T95" s="60">
        <f>IFERROR(__xludf.DUMMYFUNCTION("IFERROR(
  VLOOKUP(
    A95,
    IMPORTRANGE(
      ""1ZHMy3vVUd_0MrSduXTe1etBb1HNpAlGwQr006ljwMiM"",
      ""GSC最新!A:R""
    ),
    8,
    FALSE
  ),
  0
)
"),0.029411764705882353)</f>
        <v>0.02941176471</v>
      </c>
      <c r="U95" s="60">
        <f>IFERROR(__xludf.DUMMYFUNCTION("IFERROR(
  VLOOKUP(
    A95,
    IMPORTRANGE(
      ""1ZHMy3vVUd_0MrSduXTe1etBb1HNpAlGwQr006ljwMiM"",
      ""GSC最新!A:R""
    ),
    11,
    FALSE
  ),
  0
)
"),0.01639344262295082)</f>
        <v>0.01639344262</v>
      </c>
      <c r="V95" s="60">
        <f>IFERROR(__xludf.DUMMYFUNCTION("IFERROR(
  VLOOKUP(
    A95,
    IMPORTRANGE(
      ""1ZHMy3vVUd_0MrSduXTe1etBb1HNpAlGwQr006ljwMiM"",
      ""GSC最新!A:R""
    ),
    14,
    FALSE
  ),
  0
)
"),0.02702702702702703)</f>
        <v>0.02702702703</v>
      </c>
      <c r="W95" s="60">
        <f>IFERROR(__xludf.DUMMYFUNCTION("IFERROR(
  VLOOKUP(
    A95,
    IMPORTRANGE(
      ""1ZHMy3vVUd_0MrSduXTe1etBb1HNpAlGwQr006ljwMiM"",
      ""GSC最新!A:R""
    ),
    17,
    FALSE
  ),
  0
)
"),0.021739130434782608)</f>
        <v>0.02173913043</v>
      </c>
      <c r="X95" s="60">
        <f t="shared" ref="X95:Y95" si="469">IFERROR(T95-V95,"-")</f>
        <v>0.002384737679</v>
      </c>
      <c r="Y95" s="60">
        <f t="shared" si="469"/>
        <v>-0.005345687812</v>
      </c>
      <c r="Z95" s="52">
        <f>IFERROR(__xludf.DUMMYFUNCTION("IFERROR(
  VLOOKUP(
    A95,
    IMPORTRANGE(
      ""1ZHMy3vVUd_0MrSduXTe1etBb1HNpAlGwQr006ljwMiM"",
      ""GSC最新!A:R""
    ),
    9,
    FALSE
  ),
  0
)
"),11.529411764705882)</f>
        <v>11.52941176</v>
      </c>
      <c r="AA95" s="52">
        <f>IFERROR(__xludf.DUMMYFUNCTION("IFERROR(
  VLOOKUP(
    A95,
    IMPORTRANGE(
      ""1ZHMy3vVUd_0MrSduXTe1etBb1HNpAlGwQr006ljwMiM"",
      ""GSC最新!A:R""
    ),
    12,
    FALSE
  ),
  0
)
"),10.672131147540984)</f>
        <v>10.67213115</v>
      </c>
      <c r="AB95" s="52">
        <f>IFERROR(__xludf.DUMMYFUNCTION("IFERROR(
  VLOOKUP(
    A95,
    IMPORTRANGE(
      ""1ZHMy3vVUd_0MrSduXTe1etBb1HNpAlGwQr006ljwMiM"",
      ""GSC最新!A:R""
    ),
    15,
    FALSE
  ),
  0
)
"),1.0)</f>
        <v>1</v>
      </c>
      <c r="AC95" s="52">
        <f>IFERROR(__xludf.DUMMYFUNCTION("IFERROR(
  VLOOKUP(
    A95,
    IMPORTRANGE(
      ""1ZHMy3vVUd_0MrSduXTe1etBb1HNpAlGwQr006ljwMiM"",
      ""GSC最新!A:R""
    ),
    18,
    FALSE
  ),
  0
)
"),1.5869565217391304)</f>
        <v>1.586956522</v>
      </c>
      <c r="AD95" s="52">
        <f t="shared" ref="AD95:AE95" si="470">Z95-AB95</f>
        <v>10.52941176</v>
      </c>
      <c r="AE95" s="52">
        <f t="shared" si="470"/>
        <v>9.085174626</v>
      </c>
      <c r="AF95" s="53">
        <f>IFERROR(__xludf.DUMMYFUNCTION("IFERROR(
  VLOOKUP(
    A95,
    IMPORTRANGE(
      ""1ZHMy3vVUd_0MrSduXTe1etBb1HNpAlGwQr006ljwMiM"",
      ""GSC最新!A:F""
    ),
    6,
    FALSE
  ),
  0
)
"),46081.0)</f>
        <v>46081</v>
      </c>
      <c r="AG95" s="54">
        <f>IFERROR(__xludf.DUMMYFUNCTION("IFERROR(
  VLOOKUP(
    A95,
    IMPORTRANGE(
      ""1SCYQd7_cobOYqT0r_F0IqD4tE4rYn5y8Eup4PJTH8es"",
      ""Snapshot!A:M""
    ),
    5,
    FALSE
  ),
  ""-""
)
"),0.0)</f>
        <v>0</v>
      </c>
      <c r="AH95" s="54">
        <f>IFERROR(__xludf.DUMMYFUNCTION("IFERROR(
  VLOOKUP(
    A95,
    IMPORTRANGE(
      ""1SCYQd7_cobOYqT0r_F0IqD4tE4rYn5y8Eup4PJTH8es"",
      ""Snapshot!A:M""
    ),
    6,
    FALSE
  ),
  0
)
"),0.0)</f>
        <v>0</v>
      </c>
      <c r="AI95" s="54">
        <f>IFERROR(__xludf.DUMMYFUNCTION("IFERROR(
  VLOOKUP(
    A95,
    IMPORTRANGE(
      ""1SCYQd7_cobOYqT0r_F0IqD4tE4rYn5y8Eup4PJTH8es"",
      ""Snapshot!A:M""
    ),
    7,
    FALSE
  ),
  0
)
"),254.0)</f>
        <v>254</v>
      </c>
      <c r="AJ95" s="54">
        <f>IFERROR(__xludf.DUMMYFUNCTION("IFERROR(
  VLOOKUP(
    A95,
    IMPORTRANGE(
      ""1SCYQd7_cobOYqT0r_F0IqD4tE4rYn5y8Eup4PJTH8es"",
      ""Snapshot!A:M""
    ),
    8,
    FALSE
  ),
  0
)
"),0.0)</f>
        <v>0</v>
      </c>
      <c r="AK95" s="54">
        <f>IFERROR(__xludf.DUMMYFUNCTION("IFERROR(
  VLOOKUP(
    A95,
    IMPORTRANGE(
      ""1SCYQd7_cobOYqT0r_F0IqD4tE4rYn5y8Eup4PJTH8es"",
      ""Snapshot!A:M""
    ),
    9,
    FALSE
  ),
  0
)
"),1.0)</f>
        <v>1</v>
      </c>
      <c r="AL95" s="54">
        <f>IFERROR(__xludf.DUMMYFUNCTION("IFERROR(
  VLOOKUP(
    A95,
    IMPORTRANGE(
      ""1SCYQd7_cobOYqT0r_F0IqD4tE4rYn5y8Eup4PJTH8es"",
      ""Snapshot!A:M""
    ),
    13,
    FALSE
  ),
  0
)
"),1.0)</f>
        <v>1</v>
      </c>
    </row>
    <row r="96">
      <c r="A96" s="3" t="s">
        <v>431</v>
      </c>
      <c r="B96" s="1" t="str">
        <f>IFERROR(__xludf.DUMMYFUNCTION("IFERROR(
  VLOOKUP(
    A96,
    IMPORTRANGE(
      ""1ZygntHC1J6IxzKbTidmOyf5nUyW4GCLurHCjexrLm_o"",
      ""HTMLキャッシュ!A:F""
    ),
    2,
    FALSE
  ),
  0
)
"),"SC")</f>
        <v>SC</v>
      </c>
      <c r="C96" s="1" t="str">
        <f>IFERROR(__xludf.DUMMYFUNCTION("IFERROR(
  VLOOKUP(
    A96,
    IMPORTRANGE(
      ""1ZygntHC1J6IxzKbTidmOyf5nUyW4GCLurHCjexrLm_o"",
      ""HTMLキャッシュ!A:F""
    ),
    5,
    FALSE
  ),
  0
)
"),"中学受験算数の文章題の苦手を克服するには - 中学受験専門 夏井算数塾")</f>
        <v>中学受験算数の文章題の苦手を克服するには - 中学受験専門 夏井算数塾</v>
      </c>
      <c r="D96" s="1" t="str">
        <f>IFERROR(__xludf.DUMMYFUNCTION("IFERROR(
  VLOOKUP(
    A96,
    IMPORTRANGE(
      ""1ZygntHC1J6IxzKbTidmOyf5nUyW4GCLurHCjexrLm_o        "",
      ""HTMLキャッシュ!A:F""
    ),
    6,
    FALSE
  ),
  0
)
"),"中学受験算数の文章題克服法を紹介！問題集の繰り返し学習で読解力と計算力を向上。専門塾の活用で効率よく対策し、合格を目指しましょう！")</f>
        <v>中学受験算数の文章題克服法を紹介！問題集の繰り返し学習で読解力と計算力を向上。専門塾の活用で効率よく対策し、合格を目指しましょう！</v>
      </c>
      <c r="E96" s="49">
        <f t="shared" ref="E96:F96" si="471">LEN(C96)</f>
        <v>35</v>
      </c>
      <c r="F96" s="49">
        <f t="shared" si="471"/>
        <v>65</v>
      </c>
      <c r="G96" s="32">
        <f>IFERROR(__xludf.DUMMYFUNCTION("IFERROR(
  VLOOKUP(
    A96,
    IMPORTRANGE(
      ""1ZygntHC1J6IxzKbTidmOyf5nUyW4GCLurHCjexrLm_o        "",
      ""HTMLキャッシュ!A:F""
    ),
    3,
    FALSE
  ),
  0
)
"),46048.66780092593)</f>
        <v>46048.6678</v>
      </c>
      <c r="H96" s="54">
        <f>IFERROR(__xludf.DUMMYFUNCTION("IFERROR(
  VLOOKUP(
    A96,
    IMPORTRANGE(
      ""1ZHMy3vVUd_0MrSduXTe1etBb1HNpAlGwQr006ljwMiM"",
      ""GSC最新!A:F""
    ),
    2,
    FALSE
  ),
  0
)
"),0.0)</f>
        <v>0</v>
      </c>
      <c r="I96" s="54">
        <f>IFERROR(__xludf.DUMMYFUNCTION("IFERROR(
  VLOOKUP(
    A96,
    IMPORTRANGE(
      ""1ZHMy3vVUd_0MrSduXTe1etBb1HNpAlGwQr006ljwMiM"",
      ""GSC最新!A:F""
    ),
    3,
    FALSE
  ),
  0
)
"),0.0)</f>
        <v>0</v>
      </c>
      <c r="J96" s="54">
        <f>IFERROR(__xludf.DUMMYFUNCTION("IFERROR(
  VLOOKUP(
    A96,
    IMPORTRANGE(
      ""1ZHMy3vVUd_0MrSduXTe1etBb1HNpAlGwQr006ljwMiM"",
      ""GSC最新!A:F""
    ),
    4,
    FALSE
  ),
  0
)
"),0.0)</f>
        <v>0</v>
      </c>
      <c r="K96" s="54">
        <f>IFERROR(__xludf.DUMMYFUNCTION("IFERROR(
  VLOOKUP(
    A96,
    IMPORTRANGE(
      ""1ZHMy3vVUd_0MrSduXTe1etBb1HNpAlGwQr006ljwMiM"",
      ""GSC最新!A:F""
    ),
    5,
    FALSE
  ),
  0
)
"),0.0)</f>
        <v>0</v>
      </c>
      <c r="L96" s="50" t="str">
        <f t="shared" ref="L96:M96" si="472">IFERROR(H96/J96,"-")</f>
        <v>-</v>
      </c>
      <c r="M96" s="50" t="str">
        <f t="shared" si="472"/>
        <v>-</v>
      </c>
      <c r="N96" s="59">
        <f>IFERROR(__xludf.DUMMYFUNCTION("IFERROR(
  VLOOKUP(
    A96,
    IMPORTRANGE(
      ""1ZHMy3vVUd_0MrSduXTe1etBb1HNpAlGwQr006ljwMiM"",
      ""GSC最新!A:R""
    ),
    7,
    FALSE
  ),
  0
)
"),7.0)</f>
        <v>7</v>
      </c>
      <c r="O96" s="59">
        <f>IFERROR(__xludf.DUMMYFUNCTION("IFERROR(
  VLOOKUP(
    A96,
    IMPORTRANGE(
      ""1ZHMy3vVUd_0MrSduXTe1etBb1HNpAlGwQr006ljwMiM"",
      ""GSC最新!A:R""
    ),
    10,
    FALSE
  ),
  0
)
"),48.0)</f>
        <v>48</v>
      </c>
      <c r="P96" s="59">
        <f>IFERROR(__xludf.DUMMYFUNCTION("IFERROR(
  VLOOKUP(
    A96,
    IMPORTRANGE(
      ""1ZHMy3vVUd_0MrSduXTe1etBb1HNpAlGwQr006ljwMiM"",
      ""GSC最新!A:R""
    ),
    13,
    FALSE
  ),
  0
)
"),0.0)</f>
        <v>0</v>
      </c>
      <c r="Q96" s="59">
        <f>IFERROR(__xludf.DUMMYFUNCTION("IFERROR(
  VLOOKUP(
    A96,
    IMPORTRANGE(
      ""1ZHMy3vVUd_0MrSduXTe1etBb1HNpAlGwQr006ljwMiM"",
      ""GSC最新!A:R""
    ),
    16,
    FALSE
  ),
  0
)
"),0.0)</f>
        <v>0</v>
      </c>
      <c r="R96" s="50" t="str">
        <f t="shared" ref="R96:S96" si="473">IFERROR(N96/P96,"-")</f>
        <v>-</v>
      </c>
      <c r="S96" s="50" t="str">
        <f t="shared" si="473"/>
        <v>-</v>
      </c>
      <c r="T96" s="60">
        <f>IFERROR(__xludf.DUMMYFUNCTION("IFERROR(
  VLOOKUP(
    A96,
    IMPORTRANGE(
      ""1ZHMy3vVUd_0MrSduXTe1etBb1HNpAlGwQr006ljwMiM"",
      ""GSC最新!A:R""
    ),
    8,
    FALSE
  ),
  0
)
"),0.0)</f>
        <v>0</v>
      </c>
      <c r="U96" s="60">
        <f>IFERROR(__xludf.DUMMYFUNCTION("IFERROR(
  VLOOKUP(
    A96,
    IMPORTRANGE(
      ""1ZHMy3vVUd_0MrSduXTe1etBb1HNpAlGwQr006ljwMiM"",
      ""GSC最新!A:R""
    ),
    11,
    FALSE
  ),
  0
)
"),0.0)</f>
        <v>0</v>
      </c>
      <c r="V96" s="60">
        <f>IFERROR(__xludf.DUMMYFUNCTION("IFERROR(
  VLOOKUP(
    A96,
    IMPORTRANGE(
      ""1ZHMy3vVUd_0MrSduXTe1etBb1HNpAlGwQr006ljwMiM"",
      ""GSC最新!A:R""
    ),
    14,
    FALSE
  ),
  0
)
"),0.0)</f>
        <v>0</v>
      </c>
      <c r="W96" s="60">
        <f>IFERROR(__xludf.DUMMYFUNCTION("IFERROR(
  VLOOKUP(
    A96,
    IMPORTRANGE(
      ""1ZHMy3vVUd_0MrSduXTe1etBb1HNpAlGwQr006ljwMiM"",
      ""GSC最新!A:R""
    ),
    17,
    FALSE
  ),
  0
)
"),0.0)</f>
        <v>0</v>
      </c>
      <c r="X96" s="60">
        <f t="shared" ref="X96:Y96" si="474">IFERROR(T96-V96,"-")</f>
        <v>0</v>
      </c>
      <c r="Y96" s="60">
        <f t="shared" si="474"/>
        <v>0</v>
      </c>
      <c r="Z96" s="52">
        <f>IFERROR(__xludf.DUMMYFUNCTION("IFERROR(
  VLOOKUP(
    A96,
    IMPORTRANGE(
      ""1ZHMy3vVUd_0MrSduXTe1etBb1HNpAlGwQr006ljwMiM"",
      ""GSC最新!A:R""
    ),
    9,
    FALSE
  ),
  0
)
"),15.285714285714286)</f>
        <v>15.28571429</v>
      </c>
      <c r="AA96" s="52">
        <f>IFERROR(__xludf.DUMMYFUNCTION("IFERROR(
  VLOOKUP(
    A96,
    IMPORTRANGE(
      ""1ZHMy3vVUd_0MrSduXTe1etBb1HNpAlGwQr006ljwMiM"",
      ""GSC最新!A:R""
    ),
    12,
    FALSE
  ),
  0
)
"),11.729166666666666)</f>
        <v>11.72916667</v>
      </c>
      <c r="AB96" s="52" t="str">
        <f>IFERROR(__xludf.DUMMYFUNCTION("IFERROR(
  VLOOKUP(
    A96,
    IMPORTRANGE(
      ""1ZHMy3vVUd_0MrSduXTe1etBb1HNpAlGwQr006ljwMiM"",
      ""GSC最新!A:R""
    ),
    15,
    FALSE
  ),
  0
)
"),"")</f>
        <v/>
      </c>
      <c r="AC96" s="52" t="str">
        <f>IFERROR(__xludf.DUMMYFUNCTION("IFERROR(
  VLOOKUP(
    A96,
    IMPORTRANGE(
      ""1ZHMy3vVUd_0MrSduXTe1etBb1HNpAlGwQr006ljwMiM"",
      ""GSC最新!A:R""
    ),
    18,
    FALSE
  ),
  0
)
"),"")</f>
        <v/>
      </c>
      <c r="AD96" s="52">
        <f t="shared" ref="AD96:AE96" si="475">Z96-AB96</f>
        <v>15.28571429</v>
      </c>
      <c r="AE96" s="52">
        <f t="shared" si="475"/>
        <v>11.72916667</v>
      </c>
      <c r="AF96" s="53">
        <f>IFERROR(__xludf.DUMMYFUNCTION("IFERROR(
  VLOOKUP(
    A96,
    IMPORTRANGE(
      ""1ZHMy3vVUd_0MrSduXTe1etBb1HNpAlGwQr006ljwMiM"",
      ""GSC最新!A:F""
    ),
    6,
    FALSE
  ),
  0
)
"),46081.0)</f>
        <v>46081</v>
      </c>
      <c r="AG96" s="54">
        <f>IFERROR(__xludf.DUMMYFUNCTION("IFERROR(
  VLOOKUP(
    A96,
    IMPORTRANGE(
      ""1SCYQd7_cobOYqT0r_F0IqD4tE4rYn5y8Eup4PJTH8es"",
      ""Snapshot!A:M""
    ),
    5,
    FALSE
  ),
  ""-""
)
"),3.0)</f>
        <v>3</v>
      </c>
      <c r="AH96" s="54">
        <f>IFERROR(__xludf.DUMMYFUNCTION("IFERROR(
  VLOOKUP(
    A96,
    IMPORTRANGE(
      ""1SCYQd7_cobOYqT0r_F0IqD4tE4rYn5y8Eup4PJTH8es"",
      ""Snapshot!A:M""
    ),
    6,
    FALSE
  ),
  0
)
"),3.0)</f>
        <v>3</v>
      </c>
      <c r="AI96" s="54">
        <f>IFERROR(__xludf.DUMMYFUNCTION("IFERROR(
  VLOOKUP(
    A96,
    IMPORTRANGE(
      ""1SCYQd7_cobOYqT0r_F0IqD4tE4rYn5y8Eup4PJTH8es"",
      ""Snapshot!A:M""
    ),
    7,
    FALSE
  ),
  0
)
"),833.0)</f>
        <v>833</v>
      </c>
      <c r="AJ96" s="54">
        <f>IFERROR(__xludf.DUMMYFUNCTION("IFERROR(
  VLOOKUP(
    A96,
    IMPORTRANGE(
      ""1SCYQd7_cobOYqT0r_F0IqD4tE4rYn5y8Eup4PJTH8es"",
      ""Snapshot!A:M""
    ),
    8,
    FALSE
  ),
  0
)
"),4.0)</f>
        <v>4</v>
      </c>
      <c r="AK96" s="54">
        <f>IFERROR(__xludf.DUMMYFUNCTION("IFERROR(
  VLOOKUP(
    A96,
    IMPORTRANGE(
      ""1SCYQd7_cobOYqT0r_F0IqD4tE4rYn5y8Eup4PJTH8es"",
      ""Snapshot!A:M""
    ),
    9,
    FALSE
  ),
  0
)
"),1.0)</f>
        <v>1</v>
      </c>
      <c r="AL96" s="54">
        <f>IFERROR(__xludf.DUMMYFUNCTION("IFERROR(
  VLOOKUP(
    A96,
    IMPORTRANGE(
      ""1SCYQd7_cobOYqT0r_F0IqD4tE4rYn5y8Eup4PJTH8es"",
      ""Snapshot!A:M""
    ),
    13,
    FALSE
  ),
  0
)
"),2.0)</f>
        <v>2</v>
      </c>
    </row>
    <row r="97">
      <c r="A97" s="3" t="s">
        <v>432</v>
      </c>
      <c r="B97" s="1" t="str">
        <f>IFERROR(__xludf.DUMMYFUNCTION("IFERROR(
  VLOOKUP(
    A97,
    IMPORTRANGE(
      ""1ZygntHC1J6IxzKbTidmOyf5nUyW4GCLurHCjexrLm_o"",
      ""HTMLキャッシュ!A:F""
    ),
    2,
    FALSE
  ),
  0
)
"),"MC")</f>
        <v>MC</v>
      </c>
      <c r="C97" s="1" t="str">
        <f>IFERROR(__xludf.DUMMYFUNCTION("IFERROR(
  VLOOKUP(
    A97,
    IMPORTRANGE(
      ""1ZygntHC1J6IxzKbTidmOyf5nUyW4GCLurHCjexrLm_o"",
      ""HTMLキャッシュ!A:F""
    ),
    5,
    FALSE
  ),
  0
)
"),"H51-03 平面図形 - 中学受験専門 夏井算数塾")</f>
        <v>H51-03 平面図形 - 中学受験専門 夏井算数塾</v>
      </c>
      <c r="D97" s="1" t="str">
        <f>IFERROR(__xludf.DUMMYFUNCTION("IFERROR(
  VLOOKUP(
    A97,
    IMPORTRANGE(
      ""1ZygntHC1J6IxzKbTidmOyf5nUyW4GCLurHCjexrLm_o        "",
      ""HTMLキャッシュ!A:F""
    ),
    6,
    FALSE
  ),
  0
)
"),"サピックス小5算数の「15分まとめ」は、授業前チェックを単元別に一覧化しています：サピックス小5")</f>
        <v>サピックス小5算数の「15分まとめ」は、授業前チェックを単元別に一覧化しています：サピックス小5</v>
      </c>
      <c r="E97" s="49">
        <f t="shared" ref="E97:F97" si="476">LEN(C97)</f>
        <v>26</v>
      </c>
      <c r="F97" s="49">
        <f t="shared" si="476"/>
        <v>48</v>
      </c>
      <c r="G97" s="32">
        <f>IFERROR(__xludf.DUMMYFUNCTION("IFERROR(
  VLOOKUP(
    A97,
    IMPORTRANGE(
      ""1ZygntHC1J6IxzKbTidmOyf5nUyW4GCLurHCjexrLm_o        "",
      ""HTMLキャッシュ!A:F""
    ),
    3,
    FALSE
  ),
  0
)
"),46059.85396990741)</f>
        <v>46059.85397</v>
      </c>
      <c r="H97" s="54">
        <f>IFERROR(__xludf.DUMMYFUNCTION("IFERROR(
  VLOOKUP(
    A97,
    IMPORTRANGE(
      ""1ZHMy3vVUd_0MrSduXTe1etBb1HNpAlGwQr006ljwMiM"",
      ""GSC最新!A:F""
    ),
    2,
    FALSE
  ),
  0
)
"),0.0)</f>
        <v>0</v>
      </c>
      <c r="I97" s="54">
        <f>IFERROR(__xludf.DUMMYFUNCTION("IFERROR(
  VLOOKUP(
    A97,
    IMPORTRANGE(
      ""1ZHMy3vVUd_0MrSduXTe1etBb1HNpAlGwQr006ljwMiM"",
      ""GSC最新!A:F""
    ),
    3,
    FALSE
  ),
  0
)
"),0.0)</f>
        <v>0</v>
      </c>
      <c r="J97" s="54">
        <f>IFERROR(__xludf.DUMMYFUNCTION("IFERROR(
  VLOOKUP(
    A97,
    IMPORTRANGE(
      ""1ZHMy3vVUd_0MrSduXTe1etBb1HNpAlGwQr006ljwMiM"",
      ""GSC最新!A:F""
    ),
    4,
    FALSE
  ),
  0
)
"),0.0)</f>
        <v>0</v>
      </c>
      <c r="K97" s="54">
        <f>IFERROR(__xludf.DUMMYFUNCTION("IFERROR(
  VLOOKUP(
    A97,
    IMPORTRANGE(
      ""1ZHMy3vVUd_0MrSduXTe1etBb1HNpAlGwQr006ljwMiM"",
      ""GSC最新!A:F""
    ),
    5,
    FALSE
  ),
  0
)
"),0.0)</f>
        <v>0</v>
      </c>
      <c r="L97" s="50" t="str">
        <f t="shared" ref="L97:M97" si="477">IFERROR(H97/J97,"-")</f>
        <v>-</v>
      </c>
      <c r="M97" s="50" t="str">
        <f t="shared" si="477"/>
        <v>-</v>
      </c>
      <c r="N97" s="59">
        <f>IFERROR(__xludf.DUMMYFUNCTION("IFERROR(
  VLOOKUP(
    A97,
    IMPORTRANGE(
      ""1ZHMy3vVUd_0MrSduXTe1etBb1HNpAlGwQr006ljwMiM"",
      ""GSC最新!A:R""
    ),
    7,
    FALSE
  ),
  0
)
"),35.0)</f>
        <v>35</v>
      </c>
      <c r="O97" s="59">
        <f>IFERROR(__xludf.DUMMYFUNCTION("IFERROR(
  VLOOKUP(
    A97,
    IMPORTRANGE(
      ""1ZHMy3vVUd_0MrSduXTe1etBb1HNpAlGwQr006ljwMiM"",
      ""GSC最新!A:R""
    ),
    10,
    FALSE
  ),
  0
)
"),52.0)</f>
        <v>52</v>
      </c>
      <c r="P97" s="59">
        <f>IFERROR(__xludf.DUMMYFUNCTION("IFERROR(
  VLOOKUP(
    A97,
    IMPORTRANGE(
      ""1ZHMy3vVUd_0MrSduXTe1etBb1HNpAlGwQr006ljwMiM"",
      ""GSC最新!A:R""
    ),
    13,
    FALSE
  ),
  0
)
"),1.0)</f>
        <v>1</v>
      </c>
      <c r="Q97" s="59">
        <f>IFERROR(__xludf.DUMMYFUNCTION("IFERROR(
  VLOOKUP(
    A97,
    IMPORTRANGE(
      ""1ZHMy3vVUd_0MrSduXTe1etBb1HNpAlGwQr006ljwMiM"",
      ""GSC最新!A:R""
    ),
    16,
    FALSE
  ),
  0
)
"),6.0)</f>
        <v>6</v>
      </c>
      <c r="R97" s="50">
        <f t="shared" ref="R97:S97" si="478">IFERROR(N97/P97,"-")</f>
        <v>35</v>
      </c>
      <c r="S97" s="50">
        <f t="shared" si="478"/>
        <v>8.666666667</v>
      </c>
      <c r="T97" s="60">
        <f>IFERROR(__xludf.DUMMYFUNCTION("IFERROR(
  VLOOKUP(
    A97,
    IMPORTRANGE(
      ""1ZHMy3vVUd_0MrSduXTe1etBb1HNpAlGwQr006ljwMiM"",
      ""GSC最新!A:R""
    ),
    8,
    FALSE
  ),
  0
)
"),0.0)</f>
        <v>0</v>
      </c>
      <c r="U97" s="60">
        <f>IFERROR(__xludf.DUMMYFUNCTION("IFERROR(
  VLOOKUP(
    A97,
    IMPORTRANGE(
      ""1ZHMy3vVUd_0MrSduXTe1etBb1HNpAlGwQr006ljwMiM"",
      ""GSC最新!A:R""
    ),
    11,
    FALSE
  ),
  0
)
"),0.0)</f>
        <v>0</v>
      </c>
      <c r="V97" s="60">
        <f>IFERROR(__xludf.DUMMYFUNCTION("IFERROR(
  VLOOKUP(
    A97,
    IMPORTRANGE(
      ""1ZHMy3vVUd_0MrSduXTe1etBb1HNpAlGwQr006ljwMiM"",
      ""GSC最新!A:R""
    ),
    14,
    FALSE
  ),
  0
)
"),0.0)</f>
        <v>0</v>
      </c>
      <c r="W97" s="60">
        <f>IFERROR(__xludf.DUMMYFUNCTION("IFERROR(
  VLOOKUP(
    A97,
    IMPORTRANGE(
      ""1ZHMy3vVUd_0MrSduXTe1etBb1HNpAlGwQr006ljwMiM"",
      ""GSC最新!A:R""
    ),
    17,
    FALSE
  ),
  0
)
"),0.0)</f>
        <v>0</v>
      </c>
      <c r="X97" s="60">
        <f t="shared" ref="X97:Y97" si="479">IFERROR(T97-V97,"-")</f>
        <v>0</v>
      </c>
      <c r="Y97" s="60">
        <f t="shared" si="479"/>
        <v>0</v>
      </c>
      <c r="Z97" s="52">
        <f>IFERROR(__xludf.DUMMYFUNCTION("IFERROR(
  VLOOKUP(
    A97,
    IMPORTRANGE(
      ""1ZHMy3vVUd_0MrSduXTe1etBb1HNpAlGwQr006ljwMiM"",
      ""GSC最新!A:R""
    ),
    9,
    FALSE
  ),
  0
)
"),9.714285714285714)</f>
        <v>9.714285714</v>
      </c>
      <c r="AA97" s="52">
        <f>IFERROR(__xludf.DUMMYFUNCTION("IFERROR(
  VLOOKUP(
    A97,
    IMPORTRANGE(
      ""1ZHMy3vVUd_0MrSduXTe1etBb1HNpAlGwQr006ljwMiM"",
      ""GSC最新!A:R""
    ),
    12,
    FALSE
  ),
  0
)
"),9.75)</f>
        <v>9.75</v>
      </c>
      <c r="AB97" s="52">
        <f>IFERROR(__xludf.DUMMYFUNCTION("IFERROR(
  VLOOKUP(
    A97,
    IMPORTRANGE(
      ""1ZHMy3vVUd_0MrSduXTe1etBb1HNpAlGwQr006ljwMiM"",
      ""GSC最新!A:R""
    ),
    15,
    FALSE
  ),
  0
)
"),17.0)</f>
        <v>17</v>
      </c>
      <c r="AC97" s="52">
        <f>IFERROR(__xludf.DUMMYFUNCTION("IFERROR(
  VLOOKUP(
    A97,
    IMPORTRANGE(
      ""1ZHMy3vVUd_0MrSduXTe1etBb1HNpAlGwQr006ljwMiM"",
      ""GSC最新!A:R""
    ),
    18,
    FALSE
  ),
  0
)
"),28.166666666666668)</f>
        <v>28.16666667</v>
      </c>
      <c r="AD97" s="52">
        <f t="shared" ref="AD97:AE97" si="480">Z97-AB97</f>
        <v>-7.285714286</v>
      </c>
      <c r="AE97" s="52">
        <f t="shared" si="480"/>
        <v>-18.41666667</v>
      </c>
      <c r="AF97" s="53">
        <f>IFERROR(__xludf.DUMMYFUNCTION("IFERROR(
  VLOOKUP(
    A97,
    IMPORTRANGE(
      ""1ZHMy3vVUd_0MrSduXTe1etBb1HNpAlGwQr006ljwMiM"",
      ""GSC最新!A:F""
    ),
    6,
    FALSE
  ),
  0
)
"),46081.0)</f>
        <v>46081</v>
      </c>
      <c r="AG97" s="54">
        <f>IFERROR(__xludf.DUMMYFUNCTION("IFERROR(
  VLOOKUP(
    A97,
    IMPORTRANGE(
      ""1SCYQd7_cobOYqT0r_F0IqD4tE4rYn5y8Eup4PJTH8es"",
      ""Snapshot!A:M""
    ),
    5,
    FALSE
  ),
  ""-""
)
"),5.0)</f>
        <v>5</v>
      </c>
      <c r="AH97" s="54">
        <f>IFERROR(__xludf.DUMMYFUNCTION("IFERROR(
  VLOOKUP(
    A97,
    IMPORTRANGE(
      ""1SCYQd7_cobOYqT0r_F0IqD4tE4rYn5y8Eup4PJTH8es"",
      ""Snapshot!A:M""
    ),
    6,
    FALSE
  ),
  0
)
"),16.0)</f>
        <v>16</v>
      </c>
      <c r="AI97" s="54">
        <f>IFERROR(__xludf.DUMMYFUNCTION("IFERROR(
  VLOOKUP(
    A97,
    IMPORTRANGE(
      ""1SCYQd7_cobOYqT0r_F0IqD4tE4rYn5y8Eup4PJTH8es"",
      ""Snapshot!A:M""
    ),
    7,
    FALSE
  ),
  0
)
"),2217.0)</f>
        <v>2217</v>
      </c>
      <c r="AJ97" s="54">
        <f>IFERROR(__xludf.DUMMYFUNCTION("IFERROR(
  VLOOKUP(
    A97,
    IMPORTRANGE(
      ""1SCYQd7_cobOYqT0r_F0IqD4tE4rYn5y8Eup4PJTH8es"",
      ""Snapshot!A:M""
    ),
    8,
    FALSE
  ),
  0
)
"),3.0)</f>
        <v>3</v>
      </c>
      <c r="AK97" s="54">
        <f>IFERROR(__xludf.DUMMYFUNCTION("IFERROR(
  VLOOKUP(
    A97,
    IMPORTRANGE(
      ""1SCYQd7_cobOYqT0r_F0IqD4tE4rYn5y8Eup4PJTH8es"",
      ""Snapshot!A:M""
    ),
    9,
    FALSE
  ),
  0
)
"),2.0)</f>
        <v>2</v>
      </c>
      <c r="AL97" s="54">
        <f>IFERROR(__xludf.DUMMYFUNCTION("IFERROR(
  VLOOKUP(
    A97,
    IMPORTRANGE(
      ""1SCYQd7_cobOYqT0r_F0IqD4tE4rYn5y8Eup4PJTH8es"",
      ""Snapshot!A:M""
    ),
    13,
    FALSE
  ),
  0
)
"),2.0)</f>
        <v>2</v>
      </c>
    </row>
    <row r="98">
      <c r="A98" s="3" t="s">
        <v>433</v>
      </c>
      <c r="B98" s="1" t="str">
        <f>IFERROR(__xludf.DUMMYFUNCTION("IFERROR(
  VLOOKUP(
    A98,
    IMPORTRANGE(
      ""1ZygntHC1J6IxzKbTidmOyf5nUyW4GCLurHCjexrLm_o"",
      ""HTMLキャッシュ!A:F""
    ),
    2,
    FALSE
  ),
  0
)
"),"NW")</f>
        <v>NW</v>
      </c>
      <c r="C98" s="1" t="str">
        <f>IFERROR(__xludf.DUMMYFUNCTION("IFERROR(
  VLOOKUP(
    A98,
    IMPORTRANGE(
      ""1ZygntHC1J6IxzKbTidmOyf5nUyW4GCLurHCjexrLm_o"",
      ""HTMLキャッシュ!A:F""
    ),
    5,
    FALSE
  ),
  0
)
"),"【Sapix小５マンスリー対策WEB講座】６月度プレテスト公開のお知らせ - 中学受験専門 夏井算数塾")</f>
        <v>【Sapix小５マンスリー対策WEB講座】６月度プレテスト公開のお知らせ - 中学受験専門 夏井算数塾</v>
      </c>
      <c r="D98" s="1" t="str">
        <f>IFERROR(__xludf.DUMMYFUNCTION("IFERROR(
  VLOOKUP(
    A98,
    IMPORTRANGE(
      ""1ZygntHC1J6IxzKbTidmOyf5nUyW4GCLurHCjexrLm_o        "",
      ""HTMLキャッシュ!A:F""
    ),
    6,
    FALSE
  ),
  0
)
"),"こんにちは。 昨年度開講いたしました「Sapix小５マンスリー確認テスト対策・WEB講座」ですが、今年度も開催")</f>
        <v>こんにちは。 昨年度開講いたしました「Sapix小５マンスリー確認テスト対策・WEB講座」ですが、今年度も開催</v>
      </c>
      <c r="E98" s="49">
        <f t="shared" ref="E98:F98" si="481">LEN(C98)</f>
        <v>51</v>
      </c>
      <c r="F98" s="49">
        <f t="shared" si="481"/>
        <v>55</v>
      </c>
      <c r="G98" s="32">
        <f>IFERROR(__xludf.DUMMYFUNCTION("IFERROR(
  VLOOKUP(
    A98,
    IMPORTRANGE(
      ""1ZygntHC1J6IxzKbTidmOyf5nUyW4GCLurHCjexrLm_o        "",
      ""HTMLキャッシュ!A:F""
    ),
    3,
    FALSE
  ),
  0
)
"),43256.70392361111)</f>
        <v>43256.70392</v>
      </c>
      <c r="H98" s="54">
        <f>IFERROR(__xludf.DUMMYFUNCTION("IFERROR(
  VLOOKUP(
    A98,
    IMPORTRANGE(
      ""1ZHMy3vVUd_0MrSduXTe1etBb1HNpAlGwQr006ljwMiM"",
      ""GSC最新!A:F""
    ),
    2,
    FALSE
  ),
  0
)
"),0.0)</f>
        <v>0</v>
      </c>
      <c r="I98" s="54">
        <f>IFERROR(__xludf.DUMMYFUNCTION("IFERROR(
  VLOOKUP(
    A98,
    IMPORTRANGE(
      ""1ZHMy3vVUd_0MrSduXTe1etBb1HNpAlGwQr006ljwMiM"",
      ""GSC最新!A:F""
    ),
    3,
    FALSE
  ),
  0
)
"),0.0)</f>
        <v>0</v>
      </c>
      <c r="J98" s="54">
        <f>IFERROR(__xludf.DUMMYFUNCTION("IFERROR(
  VLOOKUP(
    A98,
    IMPORTRANGE(
      ""1ZHMy3vVUd_0MrSduXTe1etBb1HNpAlGwQr006ljwMiM"",
      ""GSC最新!A:F""
    ),
    4,
    FALSE
  ),
  0
)
"),0.0)</f>
        <v>0</v>
      </c>
      <c r="K98" s="54">
        <f>IFERROR(__xludf.DUMMYFUNCTION("IFERROR(
  VLOOKUP(
    A98,
    IMPORTRANGE(
      ""1ZHMy3vVUd_0MrSduXTe1etBb1HNpAlGwQr006ljwMiM"",
      ""GSC最新!A:F""
    ),
    5,
    FALSE
  ),
  0
)
"),0.0)</f>
        <v>0</v>
      </c>
      <c r="L98" s="50" t="str">
        <f t="shared" ref="L98:M98" si="482">IFERROR(H98/J98,"-")</f>
        <v>-</v>
      </c>
      <c r="M98" s="50" t="str">
        <f t="shared" si="482"/>
        <v>-</v>
      </c>
      <c r="N98" s="59">
        <f>IFERROR(__xludf.DUMMYFUNCTION("IFERROR(
  VLOOKUP(
    A98,
    IMPORTRANGE(
      ""1ZHMy3vVUd_0MrSduXTe1etBb1HNpAlGwQr006ljwMiM"",
      ""GSC最新!A:R""
    ),
    7,
    FALSE
  ),
  0
)
"),10.0)</f>
        <v>10</v>
      </c>
      <c r="O98" s="59">
        <f>IFERROR(__xludf.DUMMYFUNCTION("IFERROR(
  VLOOKUP(
    A98,
    IMPORTRANGE(
      ""1ZHMy3vVUd_0MrSduXTe1etBb1HNpAlGwQr006ljwMiM"",
      ""GSC最新!A:R""
    ),
    10,
    FALSE
  ),
  0
)
"),38.0)</f>
        <v>38</v>
      </c>
      <c r="P98" s="59">
        <f>IFERROR(__xludf.DUMMYFUNCTION("IFERROR(
  VLOOKUP(
    A98,
    IMPORTRANGE(
      ""1ZHMy3vVUd_0MrSduXTe1etBb1HNpAlGwQr006ljwMiM"",
      ""GSC最新!A:R""
    ),
    13,
    FALSE
  ),
  0
)
"),87.0)</f>
        <v>87</v>
      </c>
      <c r="Q98" s="59">
        <f>IFERROR(__xludf.DUMMYFUNCTION("IFERROR(
  VLOOKUP(
    A98,
    IMPORTRANGE(
      ""1ZHMy3vVUd_0MrSduXTe1etBb1HNpAlGwQr006ljwMiM"",
      ""GSC最新!A:R""
    ),
    16,
    FALSE
  ),
  0
)
"),146.0)</f>
        <v>146</v>
      </c>
      <c r="R98" s="50">
        <f t="shared" ref="R98:S98" si="483">IFERROR(N98/P98,"-")</f>
        <v>0.1149425287</v>
      </c>
      <c r="S98" s="50">
        <f t="shared" si="483"/>
        <v>0.2602739726</v>
      </c>
      <c r="T98" s="60">
        <f>IFERROR(__xludf.DUMMYFUNCTION("IFERROR(
  VLOOKUP(
    A98,
    IMPORTRANGE(
      ""1ZHMy3vVUd_0MrSduXTe1etBb1HNpAlGwQr006ljwMiM"",
      ""GSC最新!A:R""
    ),
    8,
    FALSE
  ),
  0
)
"),0.0)</f>
        <v>0</v>
      </c>
      <c r="U98" s="60">
        <f>IFERROR(__xludf.DUMMYFUNCTION("IFERROR(
  VLOOKUP(
    A98,
    IMPORTRANGE(
      ""1ZHMy3vVUd_0MrSduXTe1etBb1HNpAlGwQr006ljwMiM"",
      ""GSC最新!A:R""
    ),
    11,
    FALSE
  ),
  0
)
"),0.0)</f>
        <v>0</v>
      </c>
      <c r="V98" s="60">
        <f>IFERROR(__xludf.DUMMYFUNCTION("IFERROR(
  VLOOKUP(
    A98,
    IMPORTRANGE(
      ""1ZHMy3vVUd_0MrSduXTe1etBb1HNpAlGwQr006ljwMiM"",
      ""GSC最新!A:R""
    ),
    14,
    FALSE
  ),
  0
)
"),0.0)</f>
        <v>0</v>
      </c>
      <c r="W98" s="60">
        <f>IFERROR(__xludf.DUMMYFUNCTION("IFERROR(
  VLOOKUP(
    A98,
    IMPORTRANGE(
      ""1ZHMy3vVUd_0MrSduXTe1etBb1HNpAlGwQr006ljwMiM"",
      ""GSC最新!A:R""
    ),
    17,
    FALSE
  ),
  0
)
"),0.0)</f>
        <v>0</v>
      </c>
      <c r="X98" s="60">
        <f t="shared" ref="X98:Y98" si="484">IFERROR(T98-V98,"-")</f>
        <v>0</v>
      </c>
      <c r="Y98" s="60">
        <f t="shared" si="484"/>
        <v>0</v>
      </c>
      <c r="Z98" s="52">
        <f>IFERROR(__xludf.DUMMYFUNCTION("IFERROR(
  VLOOKUP(
    A98,
    IMPORTRANGE(
      ""1ZHMy3vVUd_0MrSduXTe1etBb1HNpAlGwQr006ljwMiM"",
      ""GSC最新!A:R""
    ),
    9,
    FALSE
  ),
  0
)
"),14.3)</f>
        <v>14.3</v>
      </c>
      <c r="AA98" s="52">
        <f>IFERROR(__xludf.DUMMYFUNCTION("IFERROR(
  VLOOKUP(
    A98,
    IMPORTRANGE(
      ""1ZHMy3vVUd_0MrSduXTe1etBb1HNpAlGwQr006ljwMiM"",
      ""GSC最新!A:R""
    ),
    12,
    FALSE
  ),
  0
)
"),13.263157894736842)</f>
        <v>13.26315789</v>
      </c>
      <c r="AB98" s="52">
        <f>IFERROR(__xludf.DUMMYFUNCTION("IFERROR(
  VLOOKUP(
    A98,
    IMPORTRANGE(
      ""1ZHMy3vVUd_0MrSduXTe1etBb1HNpAlGwQr006ljwMiM"",
      ""GSC最新!A:R""
    ),
    15,
    FALSE
  ),
  0
)
"),71.65517241379311)</f>
        <v>71.65517241</v>
      </c>
      <c r="AC98" s="52">
        <f>IFERROR(__xludf.DUMMYFUNCTION("IFERROR(
  VLOOKUP(
    A98,
    IMPORTRANGE(
      ""1ZHMy3vVUd_0MrSduXTe1etBb1HNpAlGwQr006ljwMiM"",
      ""GSC最新!A:R""
    ),
    18,
    FALSE
  ),
  0
)
"),70.76712328767124)</f>
        <v>70.76712329</v>
      </c>
      <c r="AD98" s="52">
        <f t="shared" ref="AD98:AE98" si="485">Z98-AB98</f>
        <v>-57.35517241</v>
      </c>
      <c r="AE98" s="52">
        <f t="shared" si="485"/>
        <v>-57.50396539</v>
      </c>
      <c r="AF98" s="53">
        <f>IFERROR(__xludf.DUMMYFUNCTION("IFERROR(
  VLOOKUP(
    A98,
    IMPORTRANGE(
      ""1ZHMy3vVUd_0MrSduXTe1etBb1HNpAlGwQr006ljwMiM"",
      ""GSC最新!A:F""
    ),
    6,
    FALSE
  ),
  0
)
"),46081.0)</f>
        <v>46081</v>
      </c>
      <c r="AG98" s="54">
        <f>IFERROR(__xludf.DUMMYFUNCTION("IFERROR(
  VLOOKUP(
    A98,
    IMPORTRANGE(
      ""1SCYQd7_cobOYqT0r_F0IqD4tE4rYn5y8Eup4PJTH8es"",
      ""Snapshot!A:M""
    ),
    5,
    FALSE
  ),
  ""-""
)
"),0.0)</f>
        <v>0</v>
      </c>
      <c r="AH98" s="54">
        <f>IFERROR(__xludf.DUMMYFUNCTION("IFERROR(
  VLOOKUP(
    A98,
    IMPORTRANGE(
      ""1SCYQd7_cobOYqT0r_F0IqD4tE4rYn5y8Eup4PJTH8es"",
      ""Snapshot!A:M""
    ),
    6,
    FALSE
  ),
  0
)
"),0.0)</f>
        <v>0</v>
      </c>
      <c r="AI98" s="54">
        <f>IFERROR(__xludf.DUMMYFUNCTION("IFERROR(
  VLOOKUP(
    A98,
    IMPORTRANGE(
      ""1SCYQd7_cobOYqT0r_F0IqD4tE4rYn5y8Eup4PJTH8es"",
      ""Snapshot!A:M""
    ),
    7,
    FALSE
  ),
  0
)
"),386.0)</f>
        <v>386</v>
      </c>
      <c r="AJ98" s="54">
        <f>IFERROR(__xludf.DUMMYFUNCTION("IFERROR(
  VLOOKUP(
    A98,
    IMPORTRANGE(
      ""1SCYQd7_cobOYqT0r_F0IqD4tE4rYn5y8Eup4PJTH8es"",
      ""Snapshot!A:M""
    ),
    8,
    FALSE
  ),
  0
)
"),1.0)</f>
        <v>1</v>
      </c>
      <c r="AK98" s="54">
        <f>IFERROR(__xludf.DUMMYFUNCTION("IFERROR(
  VLOOKUP(
    A98,
    IMPORTRANGE(
      ""1SCYQd7_cobOYqT0r_F0IqD4tE4rYn5y8Eup4PJTH8es"",
      ""Snapshot!A:M""
    ),
    9,
    FALSE
  ),
  0
)
"),1.0)</f>
        <v>1</v>
      </c>
      <c r="AL98" s="54">
        <f>IFERROR(__xludf.DUMMYFUNCTION("IFERROR(
  VLOOKUP(
    A98,
    IMPORTRANGE(
      ""1SCYQd7_cobOYqT0r_F0IqD4tE4rYn5y8Eup4PJTH8es"",
      ""Snapshot!A:M""
    ),
    13,
    FALSE
  ),
  0
)
"),2.0)</f>
        <v>2</v>
      </c>
    </row>
    <row r="99">
      <c r="A99" s="3" t="s">
        <v>434</v>
      </c>
      <c r="B99" s="1" t="str">
        <f>IFERROR(__xludf.DUMMYFUNCTION("IFERROR(
  VLOOKUP(
    A99,
    IMPORTRANGE(
      ""1ZygntHC1J6IxzKbTidmOyf5nUyW4GCLurHCjexrLm_o"",
      ""HTMLキャッシュ!A:F""
    ),
    2,
    FALSE
  ),
  0
)
"),"MC")</f>
        <v>MC</v>
      </c>
      <c r="C99" s="1" t="str">
        <f>IFERROR(__xludf.DUMMYFUNCTION("IFERROR(
  VLOOKUP(
    A99,
    IMPORTRANGE(
      ""1ZygntHC1J6IxzKbTidmOyf5nUyW4GCLurHCjexrLm_o"",
      ""HTMLキャッシュ!A:F""
    ),
    5,
    FALSE
  ),
  0
)
"),"サピックス小5算数｜平面図形×公倍数・公約数｜失点防止")</f>
        <v>サピックス小5算数｜平面図形×公倍数・公約数｜失点防止</v>
      </c>
      <c r="D99" s="1" t="str">
        <f>IFERROR(__xludf.DUMMYFUNCTION("IFERROR(
  VLOOKUP(
    A99,
    IMPORTRANGE(
      ""1ZygntHC1J6IxzKbTidmOyf5nUyW4GCLurHCjexrLm_o        "",
      ""HTMLキャッシュ!A:F""
    ),
    6,
    FALSE
  ),
  0
)
"),"サピックス小5の平面図形と公倍数・公約数を総整理。半径が出ない求積、対角線から面積、逆わり算、分数の約分・比較まで要点確認。")</f>
        <v>サピックス小5の平面図形と公倍数・公約数を総整理。半径が出ない求積、対角線から面積、逆わり算、分数の約分・比較まで要点確認。</v>
      </c>
      <c r="E99" s="49">
        <f t="shared" ref="E99:F99" si="486">LEN(C99)</f>
        <v>27</v>
      </c>
      <c r="F99" s="49">
        <f t="shared" si="486"/>
        <v>62</v>
      </c>
      <c r="G99" s="32">
        <f>IFERROR(__xludf.DUMMYFUNCTION("IFERROR(
  VLOOKUP(
    A99,
    IMPORTRANGE(
      ""1ZygntHC1J6IxzKbTidmOyf5nUyW4GCLurHCjexrLm_o        "",
      ""HTMLキャッシュ!A:F""
    ),
    3,
    FALSE
  ),
  0
)
"),46069.776030092595)</f>
        <v>46069.77603</v>
      </c>
      <c r="H99" s="54">
        <f>IFERROR(__xludf.DUMMYFUNCTION("IFERROR(
  VLOOKUP(
    A99,
    IMPORTRANGE(
      ""1ZHMy3vVUd_0MrSduXTe1etBb1HNpAlGwQr006ljwMiM"",
      ""GSC最新!A:F""
    ),
    2,
    FALSE
  ),
  0
)
"),0.0)</f>
        <v>0</v>
      </c>
      <c r="I99" s="54">
        <f>IFERROR(__xludf.DUMMYFUNCTION("IFERROR(
  VLOOKUP(
    A99,
    IMPORTRANGE(
      ""1ZHMy3vVUd_0MrSduXTe1etBb1HNpAlGwQr006ljwMiM"",
      ""GSC最新!A:F""
    ),
    3,
    FALSE
  ),
  0
)
"),0.0)</f>
        <v>0</v>
      </c>
      <c r="J99" s="54">
        <f>IFERROR(__xludf.DUMMYFUNCTION("IFERROR(
  VLOOKUP(
    A99,
    IMPORTRANGE(
      ""1ZHMy3vVUd_0MrSduXTe1etBb1HNpAlGwQr006ljwMiM"",
      ""GSC最新!A:F""
    ),
    4,
    FALSE
  ),
  0
)
"),0.0)</f>
        <v>0</v>
      </c>
      <c r="K99" s="54">
        <f>IFERROR(__xludf.DUMMYFUNCTION("IFERROR(
  VLOOKUP(
    A99,
    IMPORTRANGE(
      ""1ZHMy3vVUd_0MrSduXTe1etBb1HNpAlGwQr006ljwMiM"",
      ""GSC最新!A:F""
    ),
    5,
    FALSE
  ),
  0
)
"),0.0)</f>
        <v>0</v>
      </c>
      <c r="L99" s="50" t="str">
        <f t="shared" ref="L99:M99" si="487">IFERROR(H99/J99,"-")</f>
        <v>-</v>
      </c>
      <c r="M99" s="50" t="str">
        <f t="shared" si="487"/>
        <v>-</v>
      </c>
      <c r="N99" s="59">
        <f>IFERROR(__xludf.DUMMYFUNCTION("IFERROR(
  VLOOKUP(
    A99,
    IMPORTRANGE(
      ""1ZHMy3vVUd_0MrSduXTe1etBb1HNpAlGwQr006ljwMiM"",
      ""GSC最新!A:R""
    ),
    7,
    FALSE
  ),
  0
)
"),8.0)</f>
        <v>8</v>
      </c>
      <c r="O99" s="59">
        <f>IFERROR(__xludf.DUMMYFUNCTION("IFERROR(
  VLOOKUP(
    A99,
    IMPORTRANGE(
      ""1ZHMy3vVUd_0MrSduXTe1etBb1HNpAlGwQr006ljwMiM"",
      ""GSC最新!A:R""
    ),
    10,
    FALSE
  ),
  0
)
"),31.0)</f>
        <v>31</v>
      </c>
      <c r="P99" s="59">
        <f>IFERROR(__xludf.DUMMYFUNCTION("IFERROR(
  VLOOKUP(
    A99,
    IMPORTRANGE(
      ""1ZHMy3vVUd_0MrSduXTe1etBb1HNpAlGwQr006ljwMiM"",
      ""GSC最新!A:R""
    ),
    13,
    FALSE
  ),
  0
)
"),1.0)</f>
        <v>1</v>
      </c>
      <c r="Q99" s="59">
        <f>IFERROR(__xludf.DUMMYFUNCTION("IFERROR(
  VLOOKUP(
    A99,
    IMPORTRANGE(
      ""1ZHMy3vVUd_0MrSduXTe1etBb1HNpAlGwQr006ljwMiM"",
      ""GSC最新!A:R""
    ),
    16,
    FALSE
  ),
  0
)
"),4.0)</f>
        <v>4</v>
      </c>
      <c r="R99" s="50">
        <f t="shared" ref="R99:S99" si="488">IFERROR(N99/P99,"-")</f>
        <v>8</v>
      </c>
      <c r="S99" s="50">
        <f t="shared" si="488"/>
        <v>7.75</v>
      </c>
      <c r="T99" s="60">
        <f>IFERROR(__xludf.DUMMYFUNCTION("IFERROR(
  VLOOKUP(
    A99,
    IMPORTRANGE(
      ""1ZHMy3vVUd_0MrSduXTe1etBb1HNpAlGwQr006ljwMiM"",
      ""GSC最新!A:R""
    ),
    8,
    FALSE
  ),
  0
)
"),0.0)</f>
        <v>0</v>
      </c>
      <c r="U99" s="60">
        <f>IFERROR(__xludf.DUMMYFUNCTION("IFERROR(
  VLOOKUP(
    A99,
    IMPORTRANGE(
      ""1ZHMy3vVUd_0MrSduXTe1etBb1HNpAlGwQr006ljwMiM"",
      ""GSC最新!A:R""
    ),
    11,
    FALSE
  ),
  0
)
"),0.0)</f>
        <v>0</v>
      </c>
      <c r="V99" s="60">
        <f>IFERROR(__xludf.DUMMYFUNCTION("IFERROR(
  VLOOKUP(
    A99,
    IMPORTRANGE(
      ""1ZHMy3vVUd_0MrSduXTe1etBb1HNpAlGwQr006ljwMiM"",
      ""GSC最新!A:R""
    ),
    14,
    FALSE
  ),
  0
)
"),0.0)</f>
        <v>0</v>
      </c>
      <c r="W99" s="60">
        <f>IFERROR(__xludf.DUMMYFUNCTION("IFERROR(
  VLOOKUP(
    A99,
    IMPORTRANGE(
      ""1ZHMy3vVUd_0MrSduXTe1etBb1HNpAlGwQr006ljwMiM"",
      ""GSC最新!A:R""
    ),
    17,
    FALSE
  ),
  0
)
"),0.0)</f>
        <v>0</v>
      </c>
      <c r="X99" s="60">
        <f t="shared" ref="X99:Y99" si="489">IFERROR(T99-V99,"-")</f>
        <v>0</v>
      </c>
      <c r="Y99" s="60">
        <f t="shared" si="489"/>
        <v>0</v>
      </c>
      <c r="Z99" s="52">
        <f>IFERROR(__xludf.DUMMYFUNCTION("IFERROR(
  VLOOKUP(
    A99,
    IMPORTRANGE(
      ""1ZHMy3vVUd_0MrSduXTe1etBb1HNpAlGwQr006ljwMiM"",
      ""GSC最新!A:R""
    ),
    9,
    FALSE
  ),
  0
)
"),11.5)</f>
        <v>11.5</v>
      </c>
      <c r="AA99" s="52">
        <f>IFERROR(__xludf.DUMMYFUNCTION("IFERROR(
  VLOOKUP(
    A99,
    IMPORTRANGE(
      ""1ZHMy3vVUd_0MrSduXTe1etBb1HNpAlGwQr006ljwMiM"",
      ""GSC最新!A:R""
    ),
    12,
    FALSE
  ),
  0
)
"),9.0)</f>
        <v>9</v>
      </c>
      <c r="AB99" s="52">
        <f>IFERROR(__xludf.DUMMYFUNCTION("IFERROR(
  VLOOKUP(
    A99,
    IMPORTRANGE(
      ""1ZHMy3vVUd_0MrSduXTe1etBb1HNpAlGwQr006ljwMiM"",
      ""GSC最新!A:R""
    ),
    15,
    FALSE
  ),
  0
)
"),18.0)</f>
        <v>18</v>
      </c>
      <c r="AC99" s="52">
        <f>IFERROR(__xludf.DUMMYFUNCTION("IFERROR(
  VLOOKUP(
    A99,
    IMPORTRANGE(
      ""1ZHMy3vVUd_0MrSduXTe1etBb1HNpAlGwQr006ljwMiM"",
      ""GSC最新!A:R""
    ),
    18,
    FALSE
  ),
  0
)
"),9.5)</f>
        <v>9.5</v>
      </c>
      <c r="AD99" s="52">
        <f t="shared" ref="AD99:AE99" si="490">Z99-AB99</f>
        <v>-6.5</v>
      </c>
      <c r="AE99" s="52">
        <f t="shared" si="490"/>
        <v>-0.5</v>
      </c>
      <c r="AF99" s="53">
        <f>IFERROR(__xludf.DUMMYFUNCTION("IFERROR(
  VLOOKUP(
    A99,
    IMPORTRANGE(
      ""1ZHMy3vVUd_0MrSduXTe1etBb1HNpAlGwQr006ljwMiM"",
      ""GSC最新!A:F""
    ),
    6,
    FALSE
  ),
  0
)
"),46081.0)</f>
        <v>46081</v>
      </c>
      <c r="AG99" s="54">
        <f>IFERROR(__xludf.DUMMYFUNCTION("IFERROR(
  VLOOKUP(
    A99,
    IMPORTRANGE(
      ""1SCYQd7_cobOYqT0r_F0IqD4tE4rYn5y8Eup4PJTH8es"",
      ""Snapshot!A:M""
    ),
    5,
    FALSE
  ),
  ""-""
)
"),8.0)</f>
        <v>8</v>
      </c>
      <c r="AH99" s="54">
        <f>IFERROR(__xludf.DUMMYFUNCTION("IFERROR(
  VLOOKUP(
    A99,
    IMPORTRANGE(
      ""1SCYQd7_cobOYqT0r_F0IqD4tE4rYn5y8Eup4PJTH8es"",
      ""Snapshot!A:M""
    ),
    6,
    FALSE
  ),
  0
)
"),11.0)</f>
        <v>11</v>
      </c>
      <c r="AI99" s="54">
        <f>IFERROR(__xludf.DUMMYFUNCTION("IFERROR(
  VLOOKUP(
    A99,
    IMPORTRANGE(
      ""1SCYQd7_cobOYqT0r_F0IqD4tE4rYn5y8Eup4PJTH8es"",
      ""Snapshot!A:M""
    ),
    7,
    FALSE
  ),
  0
)
"),4146.0)</f>
        <v>4146</v>
      </c>
      <c r="AJ99" s="54">
        <f>IFERROR(__xludf.DUMMYFUNCTION("IFERROR(
  VLOOKUP(
    A99,
    IMPORTRANGE(
      ""1SCYQd7_cobOYqT0r_F0IqD4tE4rYn5y8Eup4PJTH8es"",
      ""Snapshot!A:M""
    ),
    8,
    FALSE
  ),
  0
)
"),3.0)</f>
        <v>3</v>
      </c>
      <c r="AK99" s="54">
        <f>IFERROR(__xludf.DUMMYFUNCTION("IFERROR(
  VLOOKUP(
    A99,
    IMPORTRANGE(
      ""1SCYQd7_cobOYqT0r_F0IqD4tE4rYn5y8Eup4PJTH8es"",
      ""Snapshot!A:M""
    ),
    9,
    FALSE
  ),
  0
)
"),2.0)</f>
        <v>2</v>
      </c>
      <c r="AL99" s="54">
        <f>IFERROR(__xludf.DUMMYFUNCTION("IFERROR(
  VLOOKUP(
    A99,
    IMPORTRANGE(
      ""1SCYQd7_cobOYqT0r_F0IqD4tE4rYn5y8Eup4PJTH8es"",
      ""Snapshot!A:M""
    ),
    13,
    FALSE
  ),
  0
)
"),2.0)</f>
        <v>2</v>
      </c>
    </row>
    <row r="100">
      <c r="A100" s="3" t="s">
        <v>435</v>
      </c>
      <c r="B100" s="1" t="str">
        <f>IFERROR(__xludf.DUMMYFUNCTION("IFERROR(
  VLOOKUP(
    A100,
    IMPORTRANGE(
      ""1ZygntHC1J6IxzKbTidmOyf5nUyW4GCLurHCjexrLm_o"",
      ""HTMLキャッシュ!A:F""
    ),
    2,
    FALSE
  ),
  0
)
"),"ST")</f>
        <v>ST</v>
      </c>
      <c r="C100" s="1" t="str">
        <f>IFERROR(__xludf.DUMMYFUNCTION("IFERROR(
  VLOOKUP(
    A100,
    IMPORTRANGE(
      ""1ZygntHC1J6IxzKbTidmOyf5nUyW4GCLurHCjexrLm_o"",
      ""HTMLキャッシュ!A:F""
    ),
    5,
    FALSE
  ),
  0
)
"),"お問い合わせ｜中学受験算数の完全1対1個別指導（オンライン対応） - 中学受験専門 夏井算数塾")</f>
        <v>お問い合わせ｜中学受験算数の完全1対1個別指導（オンライン対応） - 中学受験専門 夏井算数塾</v>
      </c>
      <c r="D100" s="1" t="str">
        <f>IFERROR(__xludf.DUMMYFUNCTION("IFERROR(
  VLOOKUP(
    A100,
    IMPORTRANGE(
      ""1ZygntHC1J6IxzKbTidmOyf5nUyW4GCLurHCjexrLm_o        "",
      ""HTMLキャッシュ!A:F""
    ),
    6,
    FALSE
  ),
  0
)
"),"中学受験算数の完全1対1個別指導・オンライン対応。フォーム（必須：お名前・メール・本文）または電話03-4400-2879へ。受付9:00-18:00（土日祝除く）。携帯メールは@arithmetica.jp受信設定を。")</f>
        <v>中学受験算数の完全1対1個別指導・オンライン対応。フォーム（必須：お名前・メール・本文）または電話03-4400-2879へ。受付9:00-18:00（土日祝除く）。携帯メールは@arithmetica.jp受信設定を。</v>
      </c>
      <c r="E100" s="49">
        <f t="shared" ref="E100:F100" si="491">LEN(C100)</f>
        <v>47</v>
      </c>
      <c r="F100" s="49">
        <f t="shared" si="491"/>
        <v>110</v>
      </c>
      <c r="G100" s="32">
        <f>IFERROR(__xludf.DUMMYFUNCTION("IFERROR(
  VLOOKUP(
    A100,
    IMPORTRANGE(
      ""1ZygntHC1J6IxzKbTidmOyf5nUyW4GCLurHCjexrLm_o        "",
      ""HTMLキャッシュ!A:F""
    ),
    3,
    FALSE
  ),
  0
)
"),46020.734918981485)</f>
        <v>46020.73492</v>
      </c>
      <c r="H100" s="54">
        <f>IFERROR(__xludf.DUMMYFUNCTION("IFERROR(
  VLOOKUP(
    A100,
    IMPORTRANGE(
      ""1ZHMy3vVUd_0MrSduXTe1etBb1HNpAlGwQr006ljwMiM"",
      ""GSC最新!A:F""
    ),
    2,
    FALSE
  ),
  0
)
"),0.0)</f>
        <v>0</v>
      </c>
      <c r="I100" s="54">
        <f>IFERROR(__xludf.DUMMYFUNCTION("IFERROR(
  VLOOKUP(
    A100,
    IMPORTRANGE(
      ""1ZHMy3vVUd_0MrSduXTe1etBb1HNpAlGwQr006ljwMiM"",
      ""GSC最新!A:F""
    ),
    3,
    FALSE
  ),
  0
)
"),0.0)</f>
        <v>0</v>
      </c>
      <c r="J100" s="54">
        <f>IFERROR(__xludf.DUMMYFUNCTION("IFERROR(
  VLOOKUP(
    A100,
    IMPORTRANGE(
      ""1ZHMy3vVUd_0MrSduXTe1etBb1HNpAlGwQr006ljwMiM"",
      ""GSC最新!A:F""
    ),
    4,
    FALSE
  ),
  0
)
"),0.0)</f>
        <v>0</v>
      </c>
      <c r="K100" s="54">
        <f>IFERROR(__xludf.DUMMYFUNCTION("IFERROR(
  VLOOKUP(
    A100,
    IMPORTRANGE(
      ""1ZHMy3vVUd_0MrSduXTe1etBb1HNpAlGwQr006ljwMiM"",
      ""GSC最新!A:F""
    ),
    5,
    FALSE
  ),
  0
)
"),3.0)</f>
        <v>3</v>
      </c>
      <c r="L100" s="50" t="str">
        <f t="shared" ref="L100:M100" si="492">IFERROR(H100/J100,"-")</f>
        <v>-</v>
      </c>
      <c r="M100" s="50">
        <f t="shared" si="492"/>
        <v>0</v>
      </c>
      <c r="N100" s="59">
        <f>IFERROR(__xludf.DUMMYFUNCTION("IFERROR(
  VLOOKUP(
    A100,
    IMPORTRANGE(
      ""1ZHMy3vVUd_0MrSduXTe1etBb1HNpAlGwQr006ljwMiM"",
      ""GSC最新!A:R""
    ),
    7,
    FALSE
  ),
  0
)
"),8.0)</f>
        <v>8</v>
      </c>
      <c r="O100" s="59">
        <f>IFERROR(__xludf.DUMMYFUNCTION("IFERROR(
  VLOOKUP(
    A100,
    IMPORTRANGE(
      ""1ZHMy3vVUd_0MrSduXTe1etBb1HNpAlGwQr006ljwMiM"",
      ""GSC最新!A:R""
    ),
    10,
    FALSE
  ),
  0
)
"),29.0)</f>
        <v>29</v>
      </c>
      <c r="P100" s="59">
        <f>IFERROR(__xludf.DUMMYFUNCTION("IFERROR(
  VLOOKUP(
    A100,
    IMPORTRANGE(
      ""1ZHMy3vVUd_0MrSduXTe1etBb1HNpAlGwQr006ljwMiM"",
      ""GSC最新!A:R""
    ),
    13,
    FALSE
  ),
  0
)
"),2.0)</f>
        <v>2</v>
      </c>
      <c r="Q100" s="59">
        <f>IFERROR(__xludf.DUMMYFUNCTION("IFERROR(
  VLOOKUP(
    A100,
    IMPORTRANGE(
      ""1ZHMy3vVUd_0MrSduXTe1etBb1HNpAlGwQr006ljwMiM"",
      ""GSC最新!A:R""
    ),
    16,
    FALSE
  ),
  0
)
"),8.0)</f>
        <v>8</v>
      </c>
      <c r="R100" s="50">
        <f t="shared" ref="R100:S100" si="493">IFERROR(N100/P100,"-")</f>
        <v>4</v>
      </c>
      <c r="S100" s="50">
        <f t="shared" si="493"/>
        <v>3.625</v>
      </c>
      <c r="T100" s="60">
        <f>IFERROR(__xludf.DUMMYFUNCTION("IFERROR(
  VLOOKUP(
    A100,
    IMPORTRANGE(
      ""1ZHMy3vVUd_0MrSduXTe1etBb1HNpAlGwQr006ljwMiM"",
      ""GSC最新!A:R""
    ),
    8,
    FALSE
  ),
  0
)
"),0.0)</f>
        <v>0</v>
      </c>
      <c r="U100" s="60">
        <f>IFERROR(__xludf.DUMMYFUNCTION("IFERROR(
  VLOOKUP(
    A100,
    IMPORTRANGE(
      ""1ZHMy3vVUd_0MrSduXTe1etBb1HNpAlGwQr006ljwMiM"",
      ""GSC最新!A:R""
    ),
    11,
    FALSE
  ),
  0
)
"),0.0)</f>
        <v>0</v>
      </c>
      <c r="V100" s="60">
        <f>IFERROR(__xludf.DUMMYFUNCTION("IFERROR(
  VLOOKUP(
    A100,
    IMPORTRANGE(
      ""1ZHMy3vVUd_0MrSduXTe1etBb1HNpAlGwQr006ljwMiM"",
      ""GSC最新!A:R""
    ),
    14,
    FALSE
  ),
  0
)
"),0.0)</f>
        <v>0</v>
      </c>
      <c r="W100" s="60">
        <f>IFERROR(__xludf.DUMMYFUNCTION("IFERROR(
  VLOOKUP(
    A100,
    IMPORTRANGE(
      ""1ZHMy3vVUd_0MrSduXTe1etBb1HNpAlGwQr006ljwMiM"",
      ""GSC最新!A:R""
    ),
    17,
    FALSE
  ),
  0
)
"),0.375)</f>
        <v>0.375</v>
      </c>
      <c r="X100" s="60">
        <f t="shared" ref="X100:Y100" si="494">IFERROR(T100-V100,"-")</f>
        <v>0</v>
      </c>
      <c r="Y100" s="60">
        <f t="shared" si="494"/>
        <v>-0.375</v>
      </c>
      <c r="Z100" s="52">
        <f>IFERROR(__xludf.DUMMYFUNCTION("IFERROR(
  VLOOKUP(
    A100,
    IMPORTRANGE(
      ""1ZHMy3vVUd_0MrSduXTe1etBb1HNpAlGwQr006ljwMiM"",
      ""GSC最新!A:R""
    ),
    9,
    FALSE
  ),
  0
)
"),16.375)</f>
        <v>16.375</v>
      </c>
      <c r="AA100" s="52">
        <f>IFERROR(__xludf.DUMMYFUNCTION("IFERROR(
  VLOOKUP(
    A100,
    IMPORTRANGE(
      ""1ZHMy3vVUd_0MrSduXTe1etBb1HNpAlGwQr006ljwMiM"",
      ""GSC最新!A:R""
    ),
    12,
    FALSE
  ),
  0
)
"),8.068965517241379)</f>
        <v>8.068965517</v>
      </c>
      <c r="AB100" s="52">
        <f>IFERROR(__xludf.DUMMYFUNCTION("IFERROR(
  VLOOKUP(
    A100,
    IMPORTRANGE(
      ""1ZHMy3vVUd_0MrSduXTe1etBb1HNpAlGwQr006ljwMiM"",
      ""GSC最新!A:R""
    ),
    15,
    FALSE
  ),
  0
)
"),19.5)</f>
        <v>19.5</v>
      </c>
      <c r="AC100" s="52">
        <f>IFERROR(__xludf.DUMMYFUNCTION("IFERROR(
  VLOOKUP(
    A100,
    IMPORTRANGE(
      ""1ZHMy3vVUd_0MrSduXTe1etBb1HNpAlGwQr006ljwMiM"",
      ""GSC最新!A:R""
    ),
    18,
    FALSE
  ),
  0
)
"),13.5)</f>
        <v>13.5</v>
      </c>
      <c r="AD100" s="52">
        <f t="shared" ref="AD100:AE100" si="495">Z100-AB100</f>
        <v>-3.125</v>
      </c>
      <c r="AE100" s="52">
        <f t="shared" si="495"/>
        <v>-5.431034483</v>
      </c>
      <c r="AF100" s="53">
        <f>IFERROR(__xludf.DUMMYFUNCTION("IFERROR(
  VLOOKUP(
    A100,
    IMPORTRANGE(
      ""1ZHMy3vVUd_0MrSduXTe1etBb1HNpAlGwQr006ljwMiM"",
      ""GSC最新!A:F""
    ),
    6,
    FALSE
  ),
  0
)
"),46081.0)</f>
        <v>46081</v>
      </c>
      <c r="AG100" s="54">
        <f>IFERROR(__xludf.DUMMYFUNCTION("IFERROR(
  VLOOKUP(
    A100,
    IMPORTRANGE(
      ""1SCYQd7_cobOYqT0r_F0IqD4tE4rYn5y8Eup4PJTH8es"",
      ""Snapshot!A:M""
    ),
    5,
    FALSE
  ),
  ""-""
)
"),0.0)</f>
        <v>0</v>
      </c>
      <c r="AH100" s="54">
        <f>IFERROR(__xludf.DUMMYFUNCTION("IFERROR(
  VLOOKUP(
    A100,
    IMPORTRANGE(
      ""1SCYQd7_cobOYqT0r_F0IqD4tE4rYn5y8Eup4PJTH8es"",
      ""Snapshot!A:M""
    ),
    6,
    FALSE
  ),
  0
)
"),0.0)</f>
        <v>0</v>
      </c>
      <c r="AI100" s="54">
        <f>IFERROR(__xludf.DUMMYFUNCTION("IFERROR(
  VLOOKUP(
    A100,
    IMPORTRANGE(
      ""1SCYQd7_cobOYqT0r_F0IqD4tE4rYn5y8Eup4PJTH8es"",
      ""Snapshot!A:M""
    ),
    7,
    FALSE
  ),
  0
)
"),112.0)</f>
        <v>112</v>
      </c>
      <c r="AJ100" s="54">
        <f>IFERROR(__xludf.DUMMYFUNCTION("IFERROR(
  VLOOKUP(
    A100,
    IMPORTRANGE(
      ""1SCYQd7_cobOYqT0r_F0IqD4tE4rYn5y8Eup4PJTH8es"",
      ""Snapshot!A:M""
    ),
    8,
    FALSE
  ),
  0
)
"),0.0)</f>
        <v>0</v>
      </c>
      <c r="AK100" s="54">
        <f>IFERROR(__xludf.DUMMYFUNCTION("IFERROR(
  VLOOKUP(
    A100,
    IMPORTRANGE(
      ""1SCYQd7_cobOYqT0r_F0IqD4tE4rYn5y8Eup4PJTH8es"",
      ""Snapshot!A:M""
    ),
    9,
    FALSE
  ),
  0
)
"),1.0)</f>
        <v>1</v>
      </c>
      <c r="AL100" s="54">
        <f>IFERROR(__xludf.DUMMYFUNCTION("IFERROR(
  VLOOKUP(
    A100,
    IMPORTRANGE(
      ""1SCYQd7_cobOYqT0r_F0IqD4tE4rYn5y8Eup4PJTH8es"",
      ""Snapshot!A:M""
    ),
    13,
    FALSE
  ),
  0
)
"),1.0)</f>
        <v>1</v>
      </c>
    </row>
    <row r="101">
      <c r="A101" s="3" t="s">
        <v>436</v>
      </c>
      <c r="B101" s="1" t="str">
        <f>IFERROR(__xludf.DUMMYFUNCTION("IFERROR(
  VLOOKUP(
    A101,
    IMPORTRANGE(
      ""1ZygntHC1J6IxzKbTidmOyf5nUyW4GCLurHCjexrLm_o"",
      ""HTMLキャッシュ!A:F""
    ),
    2,
    FALSE
  ),
  0
)
"),"SC")</f>
        <v>SC</v>
      </c>
      <c r="C101" s="1" t="str">
        <f>IFERROR(__xludf.DUMMYFUNCTION("IFERROR(
  VLOOKUP(
    A101,
    IMPORTRANGE(
      ""1ZygntHC1J6IxzKbTidmOyf5nUyW4GCLurHCjexrLm_o"",
      ""HTMLキャッシュ!A:F""
    ),
    5,
    FALSE
  ),
  0
)
"),"オンライン算数 個別指導で算数嫌い克服！中学受験算数オンラインのメリットと失敗しない選び方 - 中学受験専門 夏井算数塾")</f>
        <v>オンライン算数 個別指導で算数嫌い克服！中学受験算数オンラインのメリットと失敗しない選び方 - 中学受験専門 夏井算数塾</v>
      </c>
      <c r="D101" s="1" t="str">
        <f>IFERROR(__xludf.DUMMYFUNCTION("IFERROR(
  VLOOKUP(
    A101,
    IMPORTRANGE(
      ""1ZygntHC1J6IxzKbTidmOyf5nUyW4GCLurHCjexrLm_o        "",
      ""HTMLキャッシュ!A:F""
    ),
    6,
    FALSE
  ),
  0
)
"),"自宅で受けられるオンライン算数 個別指導で、算数の苦手を根本から克服しませんか？小学生・中学受験生向けに、通塾との違い、偏差値アップのイメージ、習慣化のコツ、中学受験算数オンラインの選び方まで2025年最新のポイントをやさしく解説します。")</f>
        <v>自宅で受けられるオンライン算数 個別指導で、算数の苦手を根本から克服しませんか？小学生・中学受験生向けに、通塾との違い、偏差値アップのイメージ、習慣化のコツ、中学受験算数オンラインの選び方まで2025年最新のポイントをやさしく解説します。</v>
      </c>
      <c r="E101" s="49">
        <f t="shared" ref="E101:F101" si="496">LEN(C101)</f>
        <v>60</v>
      </c>
      <c r="F101" s="49">
        <f t="shared" si="496"/>
        <v>119</v>
      </c>
      <c r="G101" s="32">
        <f>IFERROR(__xludf.DUMMYFUNCTION("IFERROR(
  VLOOKUP(
    A101,
    IMPORTRANGE(
      ""1ZygntHC1J6IxzKbTidmOyf5nUyW4GCLurHCjexrLm_o        "",
      ""HTMLキャッシュ!A:F""
    ),
    3,
    FALSE
  ),
  0
)
"),46076.60797453704)</f>
        <v>46076.60797</v>
      </c>
      <c r="H101" s="54">
        <f>IFERROR(__xludf.DUMMYFUNCTION("IFERROR(
  VLOOKUP(
    A101,
    IMPORTRANGE(
      ""1ZHMy3vVUd_0MrSduXTe1etBb1HNpAlGwQr006ljwMiM"",
      ""GSC最新!A:F""
    ),
    2,
    FALSE
  ),
  0
)
"),0.0)</f>
        <v>0</v>
      </c>
      <c r="I101" s="54">
        <f>IFERROR(__xludf.DUMMYFUNCTION("IFERROR(
  VLOOKUP(
    A101,
    IMPORTRANGE(
      ""1ZHMy3vVUd_0MrSduXTe1etBb1HNpAlGwQr006ljwMiM"",
      ""GSC最新!A:F""
    ),
    3,
    FALSE
  ),
  0
)
"),0.0)</f>
        <v>0</v>
      </c>
      <c r="J101" s="54">
        <f>IFERROR(__xludf.DUMMYFUNCTION("IFERROR(
  VLOOKUP(
    A101,
    IMPORTRANGE(
      ""1ZHMy3vVUd_0MrSduXTe1etBb1HNpAlGwQr006ljwMiM"",
      ""GSC最新!A:F""
    ),
    4,
    FALSE
  ),
  0
)
"),0.0)</f>
        <v>0</v>
      </c>
      <c r="K101" s="54">
        <f>IFERROR(__xludf.DUMMYFUNCTION("IFERROR(
  VLOOKUP(
    A101,
    IMPORTRANGE(
      ""1ZHMy3vVUd_0MrSduXTe1etBb1HNpAlGwQr006ljwMiM"",
      ""GSC最新!A:F""
    ),
    5,
    FALSE
  ),
  0
)
"),0.0)</f>
        <v>0</v>
      </c>
      <c r="L101" s="50" t="str">
        <f t="shared" ref="L101:M101" si="497">IFERROR(H101/J101,"-")</f>
        <v>-</v>
      </c>
      <c r="M101" s="50" t="str">
        <f t="shared" si="497"/>
        <v>-</v>
      </c>
      <c r="N101" s="59">
        <f>IFERROR(__xludf.DUMMYFUNCTION("IFERROR(
  VLOOKUP(
    A101,
    IMPORTRANGE(
      ""1ZHMy3vVUd_0MrSduXTe1etBb1HNpAlGwQr006ljwMiM"",
      ""GSC最新!A:R""
    ),
    7,
    FALSE
  ),
  0
)
"),9.0)</f>
        <v>9</v>
      </c>
      <c r="O101" s="59">
        <f>IFERROR(__xludf.DUMMYFUNCTION("IFERROR(
  VLOOKUP(
    A101,
    IMPORTRANGE(
      ""1ZHMy3vVUd_0MrSduXTe1etBb1HNpAlGwQr006ljwMiM"",
      ""GSC最新!A:R""
    ),
    10,
    FALSE
  ),
  0
)
"),27.0)</f>
        <v>27</v>
      </c>
      <c r="P101" s="59">
        <f>IFERROR(__xludf.DUMMYFUNCTION("IFERROR(
  VLOOKUP(
    A101,
    IMPORTRANGE(
      ""1ZHMy3vVUd_0MrSduXTe1etBb1HNpAlGwQr006ljwMiM"",
      ""GSC最新!A:R""
    ),
    13,
    FALSE
  ),
  0
)
"),0.0)</f>
        <v>0</v>
      </c>
      <c r="Q101" s="59">
        <f>IFERROR(__xludf.DUMMYFUNCTION("IFERROR(
  VLOOKUP(
    A101,
    IMPORTRANGE(
      ""1ZHMy3vVUd_0MrSduXTe1etBb1HNpAlGwQr006ljwMiM"",
      ""GSC最新!A:R""
    ),
    16,
    FALSE
  ),
  0
)
"),0.0)</f>
        <v>0</v>
      </c>
      <c r="R101" s="50" t="str">
        <f t="shared" ref="R101:S101" si="498">IFERROR(N101/P101,"-")</f>
        <v>-</v>
      </c>
      <c r="S101" s="50" t="str">
        <f t="shared" si="498"/>
        <v>-</v>
      </c>
      <c r="T101" s="60">
        <f>IFERROR(__xludf.DUMMYFUNCTION("IFERROR(
  VLOOKUP(
    A101,
    IMPORTRANGE(
      ""1ZHMy3vVUd_0MrSduXTe1etBb1HNpAlGwQr006ljwMiM"",
      ""GSC最新!A:R""
    ),
    8,
    FALSE
  ),
  0
)
"),0.0)</f>
        <v>0</v>
      </c>
      <c r="U101" s="60">
        <f>IFERROR(__xludf.DUMMYFUNCTION("IFERROR(
  VLOOKUP(
    A101,
    IMPORTRANGE(
      ""1ZHMy3vVUd_0MrSduXTe1etBb1HNpAlGwQr006ljwMiM"",
      ""GSC最新!A:R""
    ),
    11,
    FALSE
  ),
  0
)
"),0.0)</f>
        <v>0</v>
      </c>
      <c r="V101" s="60">
        <f>IFERROR(__xludf.DUMMYFUNCTION("IFERROR(
  VLOOKUP(
    A101,
    IMPORTRANGE(
      ""1ZHMy3vVUd_0MrSduXTe1etBb1HNpAlGwQr006ljwMiM"",
      ""GSC最新!A:R""
    ),
    14,
    FALSE
  ),
  0
)
"),0.0)</f>
        <v>0</v>
      </c>
      <c r="W101" s="60">
        <f>IFERROR(__xludf.DUMMYFUNCTION("IFERROR(
  VLOOKUP(
    A101,
    IMPORTRANGE(
      ""1ZHMy3vVUd_0MrSduXTe1etBb1HNpAlGwQr006ljwMiM"",
      ""GSC最新!A:R""
    ),
    17,
    FALSE
  ),
  0
)
"),0.0)</f>
        <v>0</v>
      </c>
      <c r="X101" s="60">
        <f t="shared" ref="X101:Y101" si="499">IFERROR(T101-V101,"-")</f>
        <v>0</v>
      </c>
      <c r="Y101" s="60">
        <f t="shared" si="499"/>
        <v>0</v>
      </c>
      <c r="Z101" s="52">
        <f>IFERROR(__xludf.DUMMYFUNCTION("IFERROR(
  VLOOKUP(
    A101,
    IMPORTRANGE(
      ""1ZHMy3vVUd_0MrSduXTe1etBb1HNpAlGwQr006ljwMiM"",
      ""GSC最新!A:R""
    ),
    9,
    FALSE
  ),
  0
)
"),6.777777777777778)</f>
        <v>6.777777778</v>
      </c>
      <c r="AA101" s="52">
        <f>IFERROR(__xludf.DUMMYFUNCTION("IFERROR(
  VLOOKUP(
    A101,
    IMPORTRANGE(
      ""1ZHMy3vVUd_0MrSduXTe1etBb1HNpAlGwQr006ljwMiM"",
      ""GSC最新!A:R""
    ),
    12,
    FALSE
  ),
  0
)
"),8.37037037037037)</f>
        <v>8.37037037</v>
      </c>
      <c r="AB101" s="52" t="str">
        <f>IFERROR(__xludf.DUMMYFUNCTION("IFERROR(
  VLOOKUP(
    A101,
    IMPORTRANGE(
      ""1ZHMy3vVUd_0MrSduXTe1etBb1HNpAlGwQr006ljwMiM"",
      ""GSC最新!A:R""
    ),
    15,
    FALSE
  ),
  0
)
"),"")</f>
        <v/>
      </c>
      <c r="AC101" s="52" t="str">
        <f>IFERROR(__xludf.DUMMYFUNCTION("IFERROR(
  VLOOKUP(
    A101,
    IMPORTRANGE(
      ""1ZHMy3vVUd_0MrSduXTe1etBb1HNpAlGwQr006ljwMiM"",
      ""GSC最新!A:R""
    ),
    18,
    FALSE
  ),
  0
)
"),"")</f>
        <v/>
      </c>
      <c r="AD101" s="52">
        <f t="shared" ref="AD101:AE101" si="500">Z101-AB101</f>
        <v>6.777777778</v>
      </c>
      <c r="AE101" s="52">
        <f t="shared" si="500"/>
        <v>8.37037037</v>
      </c>
      <c r="AF101" s="53">
        <f>IFERROR(__xludf.DUMMYFUNCTION("IFERROR(
  VLOOKUP(
    A101,
    IMPORTRANGE(
      ""1ZHMy3vVUd_0MrSduXTe1etBb1HNpAlGwQr006ljwMiM"",
      ""GSC最新!A:F""
    ),
    6,
    FALSE
  ),
  0
)
"),46081.0)</f>
        <v>46081</v>
      </c>
      <c r="AG101" s="54">
        <f>IFERROR(__xludf.DUMMYFUNCTION("IFERROR(
  VLOOKUP(
    A101,
    IMPORTRANGE(
      ""1SCYQd7_cobOYqT0r_F0IqD4tE4rYn5y8Eup4PJTH8es"",
      ""Snapshot!A:M""
    ),
    5,
    FALSE
  ),
  ""-""
)
"),10.0)</f>
        <v>10</v>
      </c>
      <c r="AH101" s="54">
        <f>IFERROR(__xludf.DUMMYFUNCTION("IFERROR(
  VLOOKUP(
    A101,
    IMPORTRANGE(
      ""1SCYQd7_cobOYqT0r_F0IqD4tE4rYn5y8Eup4PJTH8es"",
      ""Snapshot!A:M""
    ),
    6,
    FALSE
  ),
  0
)
"),10.0)</f>
        <v>10</v>
      </c>
      <c r="AI101" s="54">
        <f>IFERROR(__xludf.DUMMYFUNCTION("IFERROR(
  VLOOKUP(
    A101,
    IMPORTRANGE(
      ""1SCYQd7_cobOYqT0r_F0IqD4tE4rYn5y8Eup4PJTH8es"",
      ""Snapshot!A:M""
    ),
    7,
    FALSE
  ),
  0
)
"),5384.0)</f>
        <v>5384</v>
      </c>
      <c r="AJ101" s="54">
        <f>IFERROR(__xludf.DUMMYFUNCTION("IFERROR(
  VLOOKUP(
    A101,
    IMPORTRANGE(
      ""1SCYQd7_cobOYqT0r_F0IqD4tE4rYn5y8Eup4PJTH8es"",
      ""Snapshot!A:M""
    ),
    8,
    FALSE
  ),
  0
)
"),4.0)</f>
        <v>4</v>
      </c>
      <c r="AK101" s="54">
        <f>IFERROR(__xludf.DUMMYFUNCTION("IFERROR(
  VLOOKUP(
    A101,
    IMPORTRANGE(
      ""1SCYQd7_cobOYqT0r_F0IqD4tE4rYn5y8Eup4PJTH8es"",
      ""Snapshot!A:M""
    ),
    9,
    FALSE
  ),
  0
)
"),2.0)</f>
        <v>2</v>
      </c>
      <c r="AL101" s="54">
        <f>IFERROR(__xludf.DUMMYFUNCTION("IFERROR(
  VLOOKUP(
    A101,
    IMPORTRANGE(
      ""1SCYQd7_cobOYqT0r_F0IqD4tE4rYn5y8Eup4PJTH8es"",
      ""Snapshot!A:M""
    ),
    13,
    FALSE
  ),
  0
)
"),3.0)</f>
        <v>3</v>
      </c>
    </row>
    <row r="102">
      <c r="A102" s="56" t="s">
        <v>437</v>
      </c>
      <c r="B102" s="1" t="str">
        <f>IFERROR(__xludf.DUMMYFUNCTION("IFERROR(
  VLOOKUP(
    A102,
    IMPORTRANGE(
      ""1ZygntHC1J6IxzKbTidmOyf5nUyW4GCLurHCjexrLm_o"",
      ""HTMLキャッシュ!A:F""
    ),
    2,
    FALSE
  ),
  0
)
"),"MC")</f>
        <v>MC</v>
      </c>
      <c r="C102" s="1" t="str">
        <f>IFERROR(__xludf.DUMMYFUNCTION("IFERROR(
  VLOOKUP(
    A102,
    IMPORTRANGE(
      ""1ZygntHC1J6IxzKbTidmOyf5nUyW4GCLurHCjexrLm_o"",
      ""HTMLキャッシュ!A:F""
    ),
    5,
    FALSE
  ),
  0
)
"),"中学受験の時期別Q&amp;amp;A｜志望校・模試・併願の判断と疑問解消")</f>
        <v>中学受験の時期別Q&amp;amp;A｜志望校・模試・併願の判断と疑問解消</v>
      </c>
      <c r="D102" s="1" t="str">
        <f>IFERROR(__xludf.DUMMYFUNCTION("IFERROR(
  VLOOKUP(
    A102,
    IMPORTRANGE(
      ""1ZygntHC1J6IxzKbTidmOyf5nUyW4GCLurHCjexrLm_o        "",
      ""HTMLキャッシュ!A:F""
    ),
    6,
    FALSE
  ),
  0
)
"),"志望校・併願校、模試、過去問、苦手対策を時期別に整理。どの記事から読むか迷ったらここ。")</f>
        <v>志望校・併願校、模試、過去問、苦手対策を時期別に整理。どの記事から読むか迷ったらここ。</v>
      </c>
      <c r="E102" s="49">
        <f t="shared" ref="E102:F102" si="501">LEN(C102)</f>
        <v>33</v>
      </c>
      <c r="F102" s="49">
        <f t="shared" si="501"/>
        <v>43</v>
      </c>
      <c r="G102" s="32">
        <f>IFERROR(__xludf.DUMMYFUNCTION("IFERROR(
  VLOOKUP(
    A102,
    IMPORTRANGE(
      ""1ZygntHC1J6IxzKbTidmOyf5nUyW4GCLurHCjexrLm_o        "",
      ""HTMLキャッシュ!A:F""
    ),
    3,
    FALSE
  ),
  0
)
"),46084.649039351854)</f>
        <v>46084.64904</v>
      </c>
      <c r="H102" s="54">
        <f>IFERROR(__xludf.DUMMYFUNCTION("IFERROR(
  VLOOKUP(
    A102,
    IMPORTRANGE(
      ""1ZHMy3vVUd_0MrSduXTe1etBb1HNpAlGwQr006ljwMiM"",
      ""GSC最新!A:F""
    ),
    2,
    FALSE
  ),
  0
)
"),0.0)</f>
        <v>0</v>
      </c>
      <c r="I102" s="54">
        <f>IFERROR(__xludf.DUMMYFUNCTION("IFERROR(
  VLOOKUP(
    A102,
    IMPORTRANGE(
      ""1ZHMy3vVUd_0MrSduXTe1etBb1HNpAlGwQr006ljwMiM"",
      ""GSC最新!A:F""
    ),
    3,
    FALSE
  ),
  0
)
"),0.0)</f>
        <v>0</v>
      </c>
      <c r="J102" s="54">
        <f>IFERROR(__xludf.DUMMYFUNCTION("IFERROR(
  VLOOKUP(
    A102,
    IMPORTRANGE(
      ""1ZHMy3vVUd_0MrSduXTe1etBb1HNpAlGwQr006ljwMiM"",
      ""GSC最新!A:F""
    ),
    4,
    FALSE
  ),
  0
)
"),0.0)</f>
        <v>0</v>
      </c>
      <c r="K102" s="54">
        <f>IFERROR(__xludf.DUMMYFUNCTION("IFERROR(
  VLOOKUP(
    A102,
    IMPORTRANGE(
      ""1ZHMy3vVUd_0MrSduXTe1etBb1HNpAlGwQr006ljwMiM"",
      ""GSC最新!A:F""
    ),
    5,
    FALSE
  ),
  0
)
"),0.0)</f>
        <v>0</v>
      </c>
      <c r="L102" s="50" t="str">
        <f t="shared" ref="L102:M102" si="502">IFERROR(H102/J102,"-")</f>
        <v>-</v>
      </c>
      <c r="M102" s="50" t="str">
        <f t="shared" si="502"/>
        <v>-</v>
      </c>
      <c r="N102" s="59">
        <f>IFERROR(__xludf.DUMMYFUNCTION("IFERROR(
  VLOOKUP(
    A102,
    IMPORTRANGE(
      ""1ZHMy3vVUd_0MrSduXTe1etBb1HNpAlGwQr006ljwMiM"",
      ""GSC最新!A:R""
    ),
    7,
    FALSE
  ),
  0
)
"),21.0)</f>
        <v>21</v>
      </c>
      <c r="O102" s="59">
        <f>IFERROR(__xludf.DUMMYFUNCTION("IFERROR(
  VLOOKUP(
    A102,
    IMPORTRANGE(
      ""1ZHMy3vVUd_0MrSduXTe1etBb1HNpAlGwQr006ljwMiM"",
      ""GSC最新!A:R""
    ),
    10,
    FALSE
  ),
  0
)
"),27.0)</f>
        <v>27</v>
      </c>
      <c r="P102" s="59">
        <f>IFERROR(__xludf.DUMMYFUNCTION("IFERROR(
  VLOOKUP(
    A102,
    IMPORTRANGE(
      ""1ZHMy3vVUd_0MrSduXTe1etBb1HNpAlGwQr006ljwMiM"",
      ""GSC最新!A:R""
    ),
    13,
    FALSE
  ),
  0
)
"),0.0)</f>
        <v>0</v>
      </c>
      <c r="Q102" s="59">
        <f>IFERROR(__xludf.DUMMYFUNCTION("IFERROR(
  VLOOKUP(
    A102,
    IMPORTRANGE(
      ""1ZHMy3vVUd_0MrSduXTe1etBb1HNpAlGwQr006ljwMiM"",
      ""GSC最新!A:R""
    ),
    16,
    FALSE
  ),
  0
)
"),0.0)</f>
        <v>0</v>
      </c>
      <c r="R102" s="50" t="str">
        <f t="shared" ref="R102:S102" si="503">IFERROR(N102/P102,"-")</f>
        <v>-</v>
      </c>
      <c r="S102" s="50" t="str">
        <f t="shared" si="503"/>
        <v>-</v>
      </c>
      <c r="T102" s="60">
        <f>IFERROR(__xludf.DUMMYFUNCTION("IFERROR(
  VLOOKUP(
    A102,
    IMPORTRANGE(
      ""1ZHMy3vVUd_0MrSduXTe1etBb1HNpAlGwQr006ljwMiM"",
      ""GSC最新!A:R""
    ),
    8,
    FALSE
  ),
  0
)
"),0.0)</f>
        <v>0</v>
      </c>
      <c r="U102" s="60">
        <f>IFERROR(__xludf.DUMMYFUNCTION("IFERROR(
  VLOOKUP(
    A102,
    IMPORTRANGE(
      ""1ZHMy3vVUd_0MrSduXTe1etBb1HNpAlGwQr006ljwMiM"",
      ""GSC最新!A:R""
    ),
    11,
    FALSE
  ),
  0
)
"),0.0)</f>
        <v>0</v>
      </c>
      <c r="V102" s="60">
        <f>IFERROR(__xludf.DUMMYFUNCTION("IFERROR(
  VLOOKUP(
    A102,
    IMPORTRANGE(
      ""1ZHMy3vVUd_0MrSduXTe1etBb1HNpAlGwQr006ljwMiM"",
      ""GSC最新!A:R""
    ),
    14,
    FALSE
  ),
  0
)
"),0.0)</f>
        <v>0</v>
      </c>
      <c r="W102" s="60">
        <f>IFERROR(__xludf.DUMMYFUNCTION("IFERROR(
  VLOOKUP(
    A102,
    IMPORTRANGE(
      ""1ZHMy3vVUd_0MrSduXTe1etBb1HNpAlGwQr006ljwMiM"",
      ""GSC最新!A:R""
    ),
    17,
    FALSE
  ),
  0
)
"),0.0)</f>
        <v>0</v>
      </c>
      <c r="X102" s="60">
        <f t="shared" ref="X102:Y102" si="504">IFERROR(T102-V102,"-")</f>
        <v>0</v>
      </c>
      <c r="Y102" s="60">
        <f t="shared" si="504"/>
        <v>0</v>
      </c>
      <c r="Z102" s="52">
        <f>IFERROR(__xludf.DUMMYFUNCTION("IFERROR(
  VLOOKUP(
    A102,
    IMPORTRANGE(
      ""1ZHMy3vVUd_0MrSduXTe1etBb1HNpAlGwQr006ljwMiM"",
      ""GSC最新!A:R""
    ),
    9,
    FALSE
  ),
  0
)
"),7.809523809523809)</f>
        <v>7.80952381</v>
      </c>
      <c r="AA102" s="52">
        <f>IFERROR(__xludf.DUMMYFUNCTION("IFERROR(
  VLOOKUP(
    A102,
    IMPORTRANGE(
      ""1ZHMy3vVUd_0MrSduXTe1etBb1HNpAlGwQr006ljwMiM"",
      ""GSC最新!A:R""
    ),
    12,
    FALSE
  ),
  0
)
"),8.185185185185185)</f>
        <v>8.185185185</v>
      </c>
      <c r="AB102" s="52" t="str">
        <f>IFERROR(__xludf.DUMMYFUNCTION("IFERROR(
  VLOOKUP(
    A102,
    IMPORTRANGE(
      ""1ZHMy3vVUd_0MrSduXTe1etBb1HNpAlGwQr006ljwMiM"",
      ""GSC最新!A:R""
    ),
    15,
    FALSE
  ),
  0
)
"),"")</f>
        <v/>
      </c>
      <c r="AC102" s="52" t="str">
        <f>IFERROR(__xludf.DUMMYFUNCTION("IFERROR(
  VLOOKUP(
    A102,
    IMPORTRANGE(
      ""1ZHMy3vVUd_0MrSduXTe1etBb1HNpAlGwQr006ljwMiM"",
      ""GSC最新!A:R""
    ),
    18,
    FALSE
  ),
  0
)
"),"")</f>
        <v/>
      </c>
      <c r="AD102" s="52">
        <f t="shared" ref="AD102:AE102" si="505">Z102-AB102</f>
        <v>7.80952381</v>
      </c>
      <c r="AE102" s="52">
        <f t="shared" si="505"/>
        <v>8.185185185</v>
      </c>
      <c r="AF102" s="53">
        <f>IFERROR(__xludf.DUMMYFUNCTION("IFERROR(
  VLOOKUP(
    A102,
    IMPORTRANGE(
      ""1ZHMy3vVUd_0MrSduXTe1etBb1HNpAlGwQr006ljwMiM"",
      ""GSC最新!A:F""
    ),
    6,
    FALSE
  ),
  0
)
"),46081.0)</f>
        <v>46081</v>
      </c>
      <c r="AG102" s="54">
        <f>IFERROR(__xludf.DUMMYFUNCTION("IFERROR(
  VLOOKUP(
    A102,
    IMPORTRANGE(
      ""1SCYQd7_cobOYqT0r_F0IqD4tE4rYn5y8Eup4PJTH8es"",
      ""Snapshot!A:M""
    ),
    5,
    FALSE
  ),
  ""-""
)
"),9.0)</f>
        <v>9</v>
      </c>
      <c r="AH102" s="54">
        <f>IFERROR(__xludf.DUMMYFUNCTION("IFERROR(
  VLOOKUP(
    A102,
    IMPORTRANGE(
      ""1SCYQd7_cobOYqT0r_F0IqD4tE4rYn5y8Eup4PJTH8es"",
      ""Snapshot!A:M""
    ),
    6,
    FALSE
  ),
  0
)
"),7.0)</f>
        <v>7</v>
      </c>
      <c r="AI102" s="54">
        <f>IFERROR(__xludf.DUMMYFUNCTION("IFERROR(
  VLOOKUP(
    A102,
    IMPORTRANGE(
      ""1SCYQd7_cobOYqT0r_F0IqD4tE4rYn5y8Eup4PJTH8es"",
      ""Snapshot!A:M""
    ),
    7,
    FALSE
  ),
  0
)
"),4822.0)</f>
        <v>4822</v>
      </c>
      <c r="AJ102" s="54">
        <f>IFERROR(__xludf.DUMMYFUNCTION("IFERROR(
  VLOOKUP(
    A102,
    IMPORTRANGE(
      ""1SCYQd7_cobOYqT0r_F0IqD4tE4rYn5y8Eup4PJTH8es"",
      ""Snapshot!A:M""
    ),
    8,
    FALSE
  ),
  0
)
"),4.0)</f>
        <v>4</v>
      </c>
      <c r="AK102" s="54">
        <f>IFERROR(__xludf.DUMMYFUNCTION("IFERROR(
  VLOOKUP(
    A102,
    IMPORTRANGE(
      ""1SCYQd7_cobOYqT0r_F0IqD4tE4rYn5y8Eup4PJTH8es"",
      ""Snapshot!A:M""
    ),
    9,
    FALSE
  ),
  0
)
"),5.0)</f>
        <v>5</v>
      </c>
      <c r="AL102" s="54">
        <f>IFERROR(__xludf.DUMMYFUNCTION("IFERROR(
  VLOOKUP(
    A102,
    IMPORTRANGE(
      ""1SCYQd7_cobOYqT0r_F0IqD4tE4rYn5y8Eup4PJTH8es"",
      ""Snapshot!A:M""
    ),
    13,
    FALSE
  ),
  0
)
"),2.0)</f>
        <v>2</v>
      </c>
    </row>
    <row r="103">
      <c r="A103" s="3" t="s">
        <v>438</v>
      </c>
      <c r="B103" s="1" t="str">
        <f>IFERROR(__xludf.DUMMYFUNCTION("IFERROR(
  VLOOKUP(
    A103,
    IMPORTRANGE(
      ""1ZygntHC1J6IxzKbTidmOyf5nUyW4GCLurHCjexrLm_o"",
      ""HTMLキャッシュ!A:F""
    ),
    2,
    FALSE
  ),
  0
)
"),"ST")</f>
        <v>ST</v>
      </c>
      <c r="C103" s="1" t="str">
        <f>IFERROR(__xludf.DUMMYFUNCTION("IFERROR(
  VLOOKUP(
    A103,
    IMPORTRANGE(
      ""1ZygntHC1J6IxzKbTidmOyf5nUyW4GCLurHCjexrLm_o"",
      ""HTMLキャッシュ!A:F""
    ),
    5,
    FALSE
  ),
  0
)
"),"季節講習オンライン個別時間割 - 中学受験専門 夏井算数塾")</f>
        <v>季節講習オンライン個別時間割 - 中学受験専門 夏井算数塾</v>
      </c>
      <c r="D103" s="1" t="str">
        <f>IFERROR(__xludf.DUMMYFUNCTION("IFERROR(
  VLOOKUP(
    A103,
    IMPORTRANGE(
      ""1ZygntHC1J6IxzKbTidmOyf5nUyW4GCLurHCjexrLm_o        "",
      ""HTMLキャッシュ!A:F""
    ),
    6,
    FALSE
  ),
  0
)
"),"")</f>
        <v/>
      </c>
      <c r="E103" s="49">
        <f t="shared" ref="E103:F103" si="506">LEN(C103)</f>
        <v>29</v>
      </c>
      <c r="F103" s="49">
        <f t="shared" si="506"/>
        <v>0</v>
      </c>
      <c r="G103" s="32">
        <f>IFERROR(__xludf.DUMMYFUNCTION("IFERROR(
  VLOOKUP(
    A103,
    IMPORTRANGE(
      ""1ZygntHC1J6IxzKbTidmOyf5nUyW4GCLurHCjexrLm_o        "",
      ""HTMLキャッシュ!A:F""
    ),
    3,
    FALSE
  ),
  0
)
"),43598.74418981482)</f>
        <v>43598.74419</v>
      </c>
      <c r="H103" s="54">
        <f>IFERROR(__xludf.DUMMYFUNCTION("IFERROR(
  VLOOKUP(
    A103,
    IMPORTRANGE(
      ""1ZHMy3vVUd_0MrSduXTe1etBb1HNpAlGwQr006ljwMiM"",
      ""GSC最新!A:F""
    ),
    2,
    FALSE
  ),
  0
)
"),0.0)</f>
        <v>0</v>
      </c>
      <c r="I103" s="54">
        <f>IFERROR(__xludf.DUMMYFUNCTION("IFERROR(
  VLOOKUP(
    A103,
    IMPORTRANGE(
      ""1ZHMy3vVUd_0MrSduXTe1etBb1HNpAlGwQr006ljwMiM"",
      ""GSC最新!A:F""
    ),
    3,
    FALSE
  ),
  0
)
"),0.0)</f>
        <v>0</v>
      </c>
      <c r="J103" s="54">
        <f>IFERROR(__xludf.DUMMYFUNCTION("IFERROR(
  VLOOKUP(
    A103,
    IMPORTRANGE(
      ""1ZHMy3vVUd_0MrSduXTe1etBb1HNpAlGwQr006ljwMiM"",
      ""GSC最新!A:F""
    ),
    4,
    FALSE
  ),
  0
)
"),0.0)</f>
        <v>0</v>
      </c>
      <c r="K103" s="54">
        <f>IFERROR(__xludf.DUMMYFUNCTION("IFERROR(
  VLOOKUP(
    A103,
    IMPORTRANGE(
      ""1ZHMy3vVUd_0MrSduXTe1etBb1HNpAlGwQr006ljwMiM"",
      ""GSC最新!A:F""
    ),
    5,
    FALSE
  ),
  0
)
"),0.0)</f>
        <v>0</v>
      </c>
      <c r="L103" s="50" t="str">
        <f t="shared" ref="L103:M103" si="507">IFERROR(H103/J103,"-")</f>
        <v>-</v>
      </c>
      <c r="M103" s="50" t="str">
        <f t="shared" si="507"/>
        <v>-</v>
      </c>
      <c r="N103" s="59">
        <f>IFERROR(__xludf.DUMMYFUNCTION("IFERROR(
  VLOOKUP(
    A103,
    IMPORTRANGE(
      ""1ZHMy3vVUd_0MrSduXTe1etBb1HNpAlGwQr006ljwMiM"",
      ""GSC最新!A:R""
    ),
    7,
    FALSE
  ),
  0
)
"),14.0)</f>
        <v>14</v>
      </c>
      <c r="O103" s="59">
        <f>IFERROR(__xludf.DUMMYFUNCTION("IFERROR(
  VLOOKUP(
    A103,
    IMPORTRANGE(
      ""1ZHMy3vVUd_0MrSduXTe1etBb1HNpAlGwQr006ljwMiM"",
      ""GSC最新!A:R""
    ),
    10,
    FALSE
  ),
  0
)
"),22.0)</f>
        <v>22</v>
      </c>
      <c r="P103" s="59">
        <f>IFERROR(__xludf.DUMMYFUNCTION("IFERROR(
  VLOOKUP(
    A103,
    IMPORTRANGE(
      ""1ZHMy3vVUd_0MrSduXTe1etBb1HNpAlGwQr006ljwMiM"",
      ""GSC最新!A:R""
    ),
    13,
    FALSE
  ),
  0
)
"),2.0)</f>
        <v>2</v>
      </c>
      <c r="Q103" s="59">
        <f>IFERROR(__xludf.DUMMYFUNCTION("IFERROR(
  VLOOKUP(
    A103,
    IMPORTRANGE(
      ""1ZHMy3vVUd_0MrSduXTe1etBb1HNpAlGwQr006ljwMiM"",
      ""GSC最新!A:R""
    ),
    16,
    FALSE
  ),
  0
)
"),8.0)</f>
        <v>8</v>
      </c>
      <c r="R103" s="50">
        <f t="shared" ref="R103:S103" si="508">IFERROR(N103/P103,"-")</f>
        <v>7</v>
      </c>
      <c r="S103" s="50">
        <f t="shared" si="508"/>
        <v>2.75</v>
      </c>
      <c r="T103" s="60">
        <f>IFERROR(__xludf.DUMMYFUNCTION("IFERROR(
  VLOOKUP(
    A103,
    IMPORTRANGE(
      ""1ZHMy3vVUd_0MrSduXTe1etBb1HNpAlGwQr006ljwMiM"",
      ""GSC最新!A:R""
    ),
    8,
    FALSE
  ),
  0
)
"),0.0)</f>
        <v>0</v>
      </c>
      <c r="U103" s="60">
        <f>IFERROR(__xludf.DUMMYFUNCTION("IFERROR(
  VLOOKUP(
    A103,
    IMPORTRANGE(
      ""1ZHMy3vVUd_0MrSduXTe1etBb1HNpAlGwQr006ljwMiM"",
      ""GSC最新!A:R""
    ),
    11,
    FALSE
  ),
  0
)
"),0.0)</f>
        <v>0</v>
      </c>
      <c r="V103" s="60">
        <f>IFERROR(__xludf.DUMMYFUNCTION("IFERROR(
  VLOOKUP(
    A103,
    IMPORTRANGE(
      ""1ZHMy3vVUd_0MrSduXTe1etBb1HNpAlGwQr006ljwMiM"",
      ""GSC最新!A:R""
    ),
    14,
    FALSE
  ),
  0
)
"),0.0)</f>
        <v>0</v>
      </c>
      <c r="W103" s="60">
        <f>IFERROR(__xludf.DUMMYFUNCTION("IFERROR(
  VLOOKUP(
    A103,
    IMPORTRANGE(
      ""1ZHMy3vVUd_0MrSduXTe1etBb1HNpAlGwQr006ljwMiM"",
      ""GSC最新!A:R""
    ),
    17,
    FALSE
  ),
  0
)
"),0.0)</f>
        <v>0</v>
      </c>
      <c r="X103" s="60">
        <f t="shared" ref="X103:Y103" si="509">IFERROR(T103-V103,"-")</f>
        <v>0</v>
      </c>
      <c r="Y103" s="60">
        <f t="shared" si="509"/>
        <v>0</v>
      </c>
      <c r="Z103" s="52">
        <f>IFERROR(__xludf.DUMMYFUNCTION("IFERROR(
  VLOOKUP(
    A103,
    IMPORTRANGE(
      ""1ZHMy3vVUd_0MrSduXTe1etBb1HNpAlGwQr006ljwMiM"",
      ""GSC最新!A:R""
    ),
    9,
    FALSE
  ),
  0
)
"),7.642857142857143)</f>
        <v>7.642857143</v>
      </c>
      <c r="AA103" s="52">
        <f>IFERROR(__xludf.DUMMYFUNCTION("IFERROR(
  VLOOKUP(
    A103,
    IMPORTRANGE(
      ""1ZHMy3vVUd_0MrSduXTe1etBb1HNpAlGwQr006ljwMiM"",
      ""GSC最新!A:R""
    ),
    12,
    FALSE
  ),
  0
)
"),7.318181818181818)</f>
        <v>7.318181818</v>
      </c>
      <c r="AB103" s="52">
        <f>IFERROR(__xludf.DUMMYFUNCTION("IFERROR(
  VLOOKUP(
    A103,
    IMPORTRANGE(
      ""1ZHMy3vVUd_0MrSduXTe1etBb1HNpAlGwQr006ljwMiM"",
      ""GSC最新!A:R""
    ),
    15,
    FALSE
  ),
  0
)
"),24.0)</f>
        <v>24</v>
      </c>
      <c r="AC103" s="52">
        <f>IFERROR(__xludf.DUMMYFUNCTION("IFERROR(
  VLOOKUP(
    A103,
    IMPORTRANGE(
      ""1ZHMy3vVUd_0MrSduXTe1etBb1HNpAlGwQr006ljwMiM"",
      ""GSC最新!A:R""
    ),
    18,
    FALSE
  ),
  0
)
"),13.625)</f>
        <v>13.625</v>
      </c>
      <c r="AD103" s="52">
        <f t="shared" ref="AD103:AE103" si="510">Z103-AB103</f>
        <v>-16.35714286</v>
      </c>
      <c r="AE103" s="52">
        <f t="shared" si="510"/>
        <v>-6.306818182</v>
      </c>
      <c r="AF103" s="53">
        <f>IFERROR(__xludf.DUMMYFUNCTION("IFERROR(
  VLOOKUP(
    A103,
    IMPORTRANGE(
      ""1ZHMy3vVUd_0MrSduXTe1etBb1HNpAlGwQr006ljwMiM"",
      ""GSC最新!A:F""
    ),
    6,
    FALSE
  ),
  0
)
"),46081.0)</f>
        <v>46081</v>
      </c>
      <c r="AG103" s="54">
        <f>IFERROR(__xludf.DUMMYFUNCTION("IFERROR(
  VLOOKUP(
    A103,
    IMPORTRANGE(
      ""1SCYQd7_cobOYqT0r_F0IqD4tE4rYn5y8Eup4PJTH8es"",
      ""Snapshot!A:M""
    ),
    5,
    FALSE
  ),
  ""-""
)
"),0.0)</f>
        <v>0</v>
      </c>
      <c r="AH103" s="54">
        <f>IFERROR(__xludf.DUMMYFUNCTION("IFERROR(
  VLOOKUP(
    A103,
    IMPORTRANGE(
      ""1SCYQd7_cobOYqT0r_F0IqD4tE4rYn5y8Eup4PJTH8es"",
      ""Snapshot!A:M""
    ),
    6,
    FALSE
  ),
  0
)
"),0.0)</f>
        <v>0</v>
      </c>
      <c r="AI103" s="54">
        <f>IFERROR(__xludf.DUMMYFUNCTION("IFERROR(
  VLOOKUP(
    A103,
    IMPORTRANGE(
      ""1SCYQd7_cobOYqT0r_F0IqD4tE4rYn5y8Eup4PJTH8es"",
      ""Snapshot!A:M""
    ),
    7,
    FALSE
  ),
  0
)
"),0.0)</f>
        <v>0</v>
      </c>
      <c r="AJ103" s="54">
        <f>IFERROR(__xludf.DUMMYFUNCTION("IFERROR(
  VLOOKUP(
    A103,
    IMPORTRANGE(
      ""1SCYQd7_cobOYqT0r_F0IqD4tE4rYn5y8Eup4PJTH8es"",
      ""Snapshot!A:M""
    ),
    8,
    FALSE
  ),
  0
)
"),0.0)</f>
        <v>0</v>
      </c>
      <c r="AK103" s="54">
        <f>IFERROR(__xludf.DUMMYFUNCTION("IFERROR(
  VLOOKUP(
    A103,
    IMPORTRANGE(
      ""1SCYQd7_cobOYqT0r_F0IqD4tE4rYn5y8Eup4PJTH8es"",
      ""Snapshot!A:M""
    ),
    9,
    FALSE
  ),
  0
)
"),1.0)</f>
        <v>1</v>
      </c>
      <c r="AL103" s="54">
        <f>IFERROR(__xludf.DUMMYFUNCTION("IFERROR(
  VLOOKUP(
    A103,
    IMPORTRANGE(
      ""1SCYQd7_cobOYqT0r_F0IqD4tE4rYn5y8Eup4PJTH8es"",
      ""Snapshot!A:M""
    ),
    13,
    FALSE
  ),
  0
)
"),1.0)</f>
        <v>1</v>
      </c>
    </row>
    <row r="104">
      <c r="A104" s="3" t="s">
        <v>77</v>
      </c>
      <c r="B104" s="1" t="str">
        <f>IFERROR(__xludf.DUMMYFUNCTION("IFERROR(
  VLOOKUP(
    A104,
    IMPORTRANGE(
      ""1ZygntHC1J6IxzKbTidmOyf5nUyW4GCLurHCjexrLm_o"",
      ""HTMLキャッシュ!A:F""
    ),
    2,
    FALSE
  ),
  0
)
"),"-")</f>
        <v>-</v>
      </c>
      <c r="C104" s="1" t="str">
        <f>IFERROR(__xludf.DUMMYFUNCTION("IFERROR(
  VLOOKUP(
    A104,
    IMPORTRANGE(
      ""1ZygntHC1J6IxzKbTidmOyf5nUyW4GCLurHCjexrLm_o"",
      ""HTMLキャッシュ!A:F""
    ),
    5,
    FALSE
  ),
  0
)
"),"コラム - 中学受験専門 夏井算数塾")</f>
        <v>コラム - 中学受験専門 夏井算数塾</v>
      </c>
      <c r="D104" s="1" t="str">
        <f>IFERROR(__xludf.DUMMYFUNCTION("IFERROR(
  VLOOKUP(
    A104,
    IMPORTRANGE(
      ""1ZygntHC1J6IxzKbTidmOyf5nUyW4GCLurHCjexrLm_o        "",
      ""HTMLキャッシュ!A:F""
    ),
    6,
    FALSE
  ),
  0
)
"),"[1ページ目] コラム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[1ページ目] コラム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04" s="49">
        <f t="shared" ref="E104:F104" si="511">LEN(C104)</f>
        <v>18</v>
      </c>
      <c r="F104" s="49">
        <f t="shared" si="511"/>
        <v>168</v>
      </c>
      <c r="G104" s="32">
        <f>IFERROR(__xludf.DUMMYFUNCTION("IFERROR(
  VLOOKUP(
    A104,
    IMPORTRANGE(
      ""1ZygntHC1J6IxzKbTidmOyf5nUyW4GCLurHCjexrLm_o        "",
      ""HTMLキャッシュ!A:F""
    ),
    3,
    FALSE
  ),
  0
)
"),46026.69260416667)</f>
        <v>46026.6926</v>
      </c>
      <c r="H104" s="54">
        <f>IFERROR(__xludf.DUMMYFUNCTION("IFERROR(
  VLOOKUP(
    A104,
    IMPORTRANGE(
      ""1ZHMy3vVUd_0MrSduXTe1etBb1HNpAlGwQr006ljwMiM"",
      ""GSC最新!A:F""
    ),
    2,
    FALSE
  ),
  0
)
"),0.0)</f>
        <v>0</v>
      </c>
      <c r="I104" s="54">
        <f>IFERROR(__xludf.DUMMYFUNCTION("IFERROR(
  VLOOKUP(
    A104,
    IMPORTRANGE(
      ""1ZHMy3vVUd_0MrSduXTe1etBb1HNpAlGwQr006ljwMiM"",
      ""GSC最新!A:F""
    ),
    3,
    FALSE
  ),
  0
)
"),0.0)</f>
        <v>0</v>
      </c>
      <c r="J104" s="54">
        <f>IFERROR(__xludf.DUMMYFUNCTION("IFERROR(
  VLOOKUP(
    A104,
    IMPORTRANGE(
      ""1ZHMy3vVUd_0MrSduXTe1etBb1HNpAlGwQr006ljwMiM"",
      ""GSC最新!A:F""
    ),
    4,
    FALSE
  ),
  0
)
"),0.0)</f>
        <v>0</v>
      </c>
      <c r="K104" s="54">
        <f>IFERROR(__xludf.DUMMYFUNCTION("IFERROR(
  VLOOKUP(
    A104,
    IMPORTRANGE(
      ""1ZHMy3vVUd_0MrSduXTe1etBb1HNpAlGwQr006ljwMiM"",
      ""GSC最新!A:F""
    ),
    5,
    FALSE
  ),
  0
)
"),0.0)</f>
        <v>0</v>
      </c>
      <c r="L104" s="50" t="str">
        <f t="shared" ref="L104:M104" si="512">IFERROR(H104/J104,"-")</f>
        <v>-</v>
      </c>
      <c r="M104" s="50" t="str">
        <f t="shared" si="512"/>
        <v>-</v>
      </c>
      <c r="N104" s="59">
        <f>IFERROR(__xludf.DUMMYFUNCTION("IFERROR(
  VLOOKUP(
    A104,
    IMPORTRANGE(
      ""1ZHMy3vVUd_0MrSduXTe1etBb1HNpAlGwQr006ljwMiM"",
      ""GSC最新!A:R""
    ),
    7,
    FALSE
  ),
  0
)
"),8.0)</f>
        <v>8</v>
      </c>
      <c r="O104" s="59">
        <f>IFERROR(__xludf.DUMMYFUNCTION("IFERROR(
  VLOOKUP(
    A104,
    IMPORTRANGE(
      ""1ZHMy3vVUd_0MrSduXTe1etBb1HNpAlGwQr006ljwMiM"",
      ""GSC最新!A:R""
    ),
    10,
    FALSE
  ),
  0
)
"),20.0)</f>
        <v>20</v>
      </c>
      <c r="P104" s="59">
        <f>IFERROR(__xludf.DUMMYFUNCTION("IFERROR(
  VLOOKUP(
    A104,
    IMPORTRANGE(
      ""1ZHMy3vVUd_0MrSduXTe1etBb1HNpAlGwQr006ljwMiM"",
      ""GSC最新!A:R""
    ),
    13,
    FALSE
  ),
  0
)
"),49.0)</f>
        <v>49</v>
      </c>
      <c r="Q104" s="59">
        <f>IFERROR(__xludf.DUMMYFUNCTION("IFERROR(
  VLOOKUP(
    A104,
    IMPORTRANGE(
      ""1ZHMy3vVUd_0MrSduXTe1etBb1HNpAlGwQr006ljwMiM"",
      ""GSC最新!A:R""
    ),
    16,
    FALSE
  ),
  0
)
"),65.0)</f>
        <v>65</v>
      </c>
      <c r="R104" s="50">
        <f t="shared" ref="R104:S104" si="513">IFERROR(N104/P104,"-")</f>
        <v>0.1632653061</v>
      </c>
      <c r="S104" s="50">
        <f t="shared" si="513"/>
        <v>0.3076923077</v>
      </c>
      <c r="T104" s="60">
        <f>IFERROR(__xludf.DUMMYFUNCTION("IFERROR(
  VLOOKUP(
    A104,
    IMPORTRANGE(
      ""1ZHMy3vVUd_0MrSduXTe1etBb1HNpAlGwQr006ljwMiM"",
      ""GSC最新!A:R""
    ),
    8,
    FALSE
  ),
  0
)
"),0.0)</f>
        <v>0</v>
      </c>
      <c r="U104" s="60">
        <f>IFERROR(__xludf.DUMMYFUNCTION("IFERROR(
  VLOOKUP(
    A104,
    IMPORTRANGE(
      ""1ZHMy3vVUd_0MrSduXTe1etBb1HNpAlGwQr006ljwMiM"",
      ""GSC最新!A:R""
    ),
    11,
    FALSE
  ),
  0
)
"),0.0)</f>
        <v>0</v>
      </c>
      <c r="V104" s="60">
        <f>IFERROR(__xludf.DUMMYFUNCTION("IFERROR(
  VLOOKUP(
    A104,
    IMPORTRANGE(
      ""1ZHMy3vVUd_0MrSduXTe1etBb1HNpAlGwQr006ljwMiM"",
      ""GSC最新!A:R""
    ),
    14,
    FALSE
  ),
  0
)
"),0.0)</f>
        <v>0</v>
      </c>
      <c r="W104" s="60">
        <f>IFERROR(__xludf.DUMMYFUNCTION("IFERROR(
  VLOOKUP(
    A104,
    IMPORTRANGE(
      ""1ZHMy3vVUd_0MrSduXTe1etBb1HNpAlGwQr006ljwMiM"",
      ""GSC最新!A:R""
    ),
    17,
    FALSE
  ),
  0
)
"),0.0)</f>
        <v>0</v>
      </c>
      <c r="X104" s="60">
        <f t="shared" ref="X104:Y104" si="514">IFERROR(T104-V104,"-")</f>
        <v>0</v>
      </c>
      <c r="Y104" s="60">
        <f t="shared" si="514"/>
        <v>0</v>
      </c>
      <c r="Z104" s="52">
        <f>IFERROR(__xludf.DUMMYFUNCTION("IFERROR(
  VLOOKUP(
    A104,
    IMPORTRANGE(
      ""1ZHMy3vVUd_0MrSduXTe1etBb1HNpAlGwQr006ljwMiM"",
      ""GSC最新!A:R""
    ),
    9,
    FALSE
  ),
  0
)
"),43.625)</f>
        <v>43.625</v>
      </c>
      <c r="AA104" s="52">
        <f>IFERROR(__xludf.DUMMYFUNCTION("IFERROR(
  VLOOKUP(
    A104,
    IMPORTRANGE(
      ""1ZHMy3vVUd_0MrSduXTe1etBb1HNpAlGwQr006ljwMiM"",
      ""GSC最新!A:R""
    ),
    12,
    FALSE
  ),
  0
)
"),21.85)</f>
        <v>21.85</v>
      </c>
      <c r="AB104" s="52">
        <f>IFERROR(__xludf.DUMMYFUNCTION("IFERROR(
  VLOOKUP(
    A104,
    IMPORTRANGE(
      ""1ZHMy3vVUd_0MrSduXTe1etBb1HNpAlGwQr006ljwMiM"",
      ""GSC最新!A:R""
    ),
    15,
    FALSE
  ),
  0
)
"),88.24489795918367)</f>
        <v>88.24489796</v>
      </c>
      <c r="AC104" s="52">
        <f>IFERROR(__xludf.DUMMYFUNCTION("IFERROR(
  VLOOKUP(
    A104,
    IMPORTRANGE(
      ""1ZHMy3vVUd_0MrSduXTe1etBb1HNpAlGwQr006ljwMiM"",
      ""GSC最新!A:R""
    ),
    18,
    FALSE
  ),
  0
)
"),77.43076923076923)</f>
        <v>77.43076923</v>
      </c>
      <c r="AD104" s="52">
        <f t="shared" ref="AD104:AE104" si="515">Z104-AB104</f>
        <v>-44.61989796</v>
      </c>
      <c r="AE104" s="52">
        <f t="shared" si="515"/>
        <v>-55.58076923</v>
      </c>
      <c r="AF104" s="53">
        <f>IFERROR(__xludf.DUMMYFUNCTION("IFERROR(
  VLOOKUP(
    A104,
    IMPORTRANGE(
      ""1ZHMy3vVUd_0MrSduXTe1etBb1HNpAlGwQr006ljwMiM"",
      ""GSC最新!A:F""
    ),
    6,
    FALSE
  ),
  0
)
"),46081.0)</f>
        <v>46081</v>
      </c>
      <c r="AG104" s="54">
        <f>IFERROR(__xludf.DUMMYFUNCTION("IFERROR(
  VLOOKUP(
    A104,
    IMPORTRANGE(
      ""1SCYQd7_cobOYqT0r_F0IqD4tE4rYn5y8Eup4PJTH8es"",
      ""Snapshot!A:M""
    ),
    5,
    FALSE
  ),
  ""-""
)
"),0.0)</f>
        <v>0</v>
      </c>
      <c r="AH104" s="54">
        <f>IFERROR(__xludf.DUMMYFUNCTION("IFERROR(
  VLOOKUP(
    A104,
    IMPORTRANGE(
      ""1SCYQd7_cobOYqT0r_F0IqD4tE4rYn5y8Eup4PJTH8es"",
      ""Snapshot!A:M""
    ),
    6,
    FALSE
  ),
  0
)
"),0.0)</f>
        <v>0</v>
      </c>
      <c r="AI104" s="54">
        <f>IFERROR(__xludf.DUMMYFUNCTION("IFERROR(
  VLOOKUP(
    A104,
    IMPORTRANGE(
      ""1SCYQd7_cobOYqT0r_F0IqD4tE4rYn5y8Eup4PJTH8es"",
      ""Snapshot!A:M""
    ),
    7,
    FALSE
  ),
  0
)
"),0.0)</f>
        <v>0</v>
      </c>
      <c r="AJ104" s="54">
        <f>IFERROR(__xludf.DUMMYFUNCTION("IFERROR(
  VLOOKUP(
    A104,
    IMPORTRANGE(
      ""1SCYQd7_cobOYqT0r_F0IqD4tE4rYn5y8Eup4PJTH8es"",
      ""Snapshot!A:M""
    ),
    8,
    FALSE
  ),
  0
)
"),0.0)</f>
        <v>0</v>
      </c>
      <c r="AK104" s="54">
        <f>IFERROR(__xludf.DUMMYFUNCTION("IFERROR(
  VLOOKUP(
    A104,
    IMPORTRANGE(
      ""1SCYQd7_cobOYqT0r_F0IqD4tE4rYn5y8Eup4PJTH8es"",
      ""Snapshot!A:M""
    ),
    9,
    FALSE
  ),
  0
)
"),0.0)</f>
        <v>0</v>
      </c>
      <c r="AL104" s="54">
        <f>IFERROR(__xludf.DUMMYFUNCTION("IFERROR(
  VLOOKUP(
    A104,
    IMPORTRANGE(
      ""1SCYQd7_cobOYqT0r_F0IqD4tE4rYn5y8Eup4PJTH8es"",
      ""Snapshot!A:M""
    ),
    13,
    FALSE
  ),
  0
)
"),1.0)</f>
        <v>1</v>
      </c>
    </row>
    <row r="105">
      <c r="A105" s="3" t="s">
        <v>439</v>
      </c>
      <c r="B105" s="1" t="str">
        <f>IFERROR(__xludf.DUMMYFUNCTION("IFERROR(
  VLOOKUP(
    A105,
    IMPORTRANGE(
      ""1ZygntHC1J6IxzKbTidmOyf5nUyW4GCLurHCjexrLm_o"",
      ""HTMLキャッシュ!A:F""
    ),
    2,
    FALSE
  ),
  0
)
"),"MC")</f>
        <v>MC</v>
      </c>
      <c r="C105" s="1" t="str">
        <f>IFERROR(__xludf.DUMMYFUNCTION("IFERROR(
  VLOOKUP(
    A105,
    IMPORTRANGE(
      ""1ZygntHC1J6IxzKbTidmOyf5nUyW4GCLurHCjexrLm_o"",
      ""HTMLキャッシュ!A:F""
    ),
    5,
    FALSE
  ),
  0
)
"),"夏井算数塾・個別指導はココが違う！ - 中学受験専門 夏井算数塾")</f>
        <v>夏井算数塾・個別指導はココが違う！ - 中学受験専門 夏井算数塾</v>
      </c>
      <c r="D105" s="1" t="str">
        <f>IFERROR(__xludf.DUMMYFUNCTION("IFERROR(
  VLOOKUP(
    A105,
    IMPORTRANGE(
      ""1ZygntHC1J6IxzKbTidmOyf5nUyW4GCLurHCjexrLm_o        "",
      ""HTMLキャッシュ!A:F""
    ),
    6,
    FALSE
  ),
  0
)
"),"電子黒板と授業再現プリントで効率的な学習を実現！夏井算数塾の個別指導は、生徒一人ひとりに合わせた徹底解説と復習しやすい仕組みが特長です。体験してみませんか？")</f>
        <v>電子黒板と授業再現プリントで効率的な学習を実現！夏井算数塾の個別指導は、生徒一人ひとりに合わせた徹底解説と復習しやすい仕組みが特長です。体験してみませんか？</v>
      </c>
      <c r="E105" s="49">
        <f t="shared" ref="E105:F105" si="516">LEN(C105)</f>
        <v>32</v>
      </c>
      <c r="F105" s="49">
        <f t="shared" si="516"/>
        <v>78</v>
      </c>
      <c r="G105" s="32">
        <f>IFERROR(__xludf.DUMMYFUNCTION("IFERROR(
  VLOOKUP(
    A105,
    IMPORTRANGE(
      ""1ZygntHC1J6IxzKbTidmOyf5nUyW4GCLurHCjexrLm_o        "",
      ""HTMLキャッシュ!A:F""
    ),
    3,
    FALSE
  ),
  0
)
"),46059.72554398148)</f>
        <v>46059.72554</v>
      </c>
      <c r="H105" s="54">
        <f>IFERROR(__xludf.DUMMYFUNCTION("IFERROR(
  VLOOKUP(
    A105,
    IMPORTRANGE(
      ""1ZHMy3vVUd_0MrSduXTe1etBb1HNpAlGwQr006ljwMiM"",
      ""GSC最新!A:F""
    ),
    2,
    FALSE
  ),
  0
)
"),0.0)</f>
        <v>0</v>
      </c>
      <c r="I105" s="54">
        <f>IFERROR(__xludf.DUMMYFUNCTION("IFERROR(
  VLOOKUP(
    A105,
    IMPORTRANGE(
      ""1ZHMy3vVUd_0MrSduXTe1etBb1HNpAlGwQr006ljwMiM"",
      ""GSC最新!A:F""
    ),
    3,
    FALSE
  ),
  0
)
"),0.0)</f>
        <v>0</v>
      </c>
      <c r="J105" s="54">
        <f>IFERROR(__xludf.DUMMYFUNCTION("IFERROR(
  VLOOKUP(
    A105,
    IMPORTRANGE(
      ""1ZHMy3vVUd_0MrSduXTe1etBb1HNpAlGwQr006ljwMiM"",
      ""GSC最新!A:F""
    ),
    4,
    FALSE
  ),
  0
)
"),0.0)</f>
        <v>0</v>
      </c>
      <c r="K105" s="54">
        <f>IFERROR(__xludf.DUMMYFUNCTION("IFERROR(
  VLOOKUP(
    A105,
    IMPORTRANGE(
      ""1ZHMy3vVUd_0MrSduXTe1etBb1HNpAlGwQr006ljwMiM"",
      ""GSC最新!A:F""
    ),
    5,
    FALSE
  ),
  0
)
"),0.0)</f>
        <v>0</v>
      </c>
      <c r="L105" s="50" t="str">
        <f t="shared" ref="L105:M105" si="517">IFERROR(H105/J105,"-")</f>
        <v>-</v>
      </c>
      <c r="M105" s="50" t="str">
        <f t="shared" si="517"/>
        <v>-</v>
      </c>
      <c r="N105" s="59">
        <f>IFERROR(__xludf.DUMMYFUNCTION("IFERROR(
  VLOOKUP(
    A105,
    IMPORTRANGE(
      ""1ZHMy3vVUd_0MrSduXTe1etBb1HNpAlGwQr006ljwMiM"",
      ""GSC最新!A:R""
    ),
    7,
    FALSE
  ),
  0
)
"),11.0)</f>
        <v>11</v>
      </c>
      <c r="O105" s="59">
        <f>IFERROR(__xludf.DUMMYFUNCTION("IFERROR(
  VLOOKUP(
    A105,
    IMPORTRANGE(
      ""1ZHMy3vVUd_0MrSduXTe1etBb1HNpAlGwQr006ljwMiM"",
      ""GSC最新!A:R""
    ),
    10,
    FALSE
  ),
  0
)
"),21.0)</f>
        <v>21</v>
      </c>
      <c r="P105" s="59">
        <f>IFERROR(__xludf.DUMMYFUNCTION("IFERROR(
  VLOOKUP(
    A105,
    IMPORTRANGE(
      ""1ZHMy3vVUd_0MrSduXTe1etBb1HNpAlGwQr006ljwMiM"",
      ""GSC最新!A:R""
    ),
    13,
    FALSE
  ),
  0
)
"),0.0)</f>
        <v>0</v>
      </c>
      <c r="Q105" s="59">
        <f>IFERROR(__xludf.DUMMYFUNCTION("IFERROR(
  VLOOKUP(
    A105,
    IMPORTRANGE(
      ""1ZHMy3vVUd_0MrSduXTe1etBb1HNpAlGwQr006ljwMiM"",
      ""GSC最新!A:R""
    ),
    16,
    FALSE
  ),
  0
)
"),1.0)</f>
        <v>1</v>
      </c>
      <c r="R105" s="50" t="str">
        <f t="shared" ref="R105:S105" si="518">IFERROR(N105/P105,"-")</f>
        <v>-</v>
      </c>
      <c r="S105" s="50">
        <f t="shared" si="518"/>
        <v>21</v>
      </c>
      <c r="T105" s="60">
        <f>IFERROR(__xludf.DUMMYFUNCTION("IFERROR(
  VLOOKUP(
    A105,
    IMPORTRANGE(
      ""1ZHMy3vVUd_0MrSduXTe1etBb1HNpAlGwQr006ljwMiM"",
      ""GSC最新!A:R""
    ),
    8,
    FALSE
  ),
  0
)
"),0.0)</f>
        <v>0</v>
      </c>
      <c r="U105" s="60">
        <f>IFERROR(__xludf.DUMMYFUNCTION("IFERROR(
  VLOOKUP(
    A105,
    IMPORTRANGE(
      ""1ZHMy3vVUd_0MrSduXTe1etBb1HNpAlGwQr006ljwMiM"",
      ""GSC最新!A:R""
    ),
    11,
    FALSE
  ),
  0
)
"),0.0)</f>
        <v>0</v>
      </c>
      <c r="V105" s="60">
        <f>IFERROR(__xludf.DUMMYFUNCTION("IFERROR(
  VLOOKUP(
    A105,
    IMPORTRANGE(
      ""1ZHMy3vVUd_0MrSduXTe1etBb1HNpAlGwQr006ljwMiM"",
      ""GSC最新!A:R""
    ),
    14,
    FALSE
  ),
  0
)
"),0.0)</f>
        <v>0</v>
      </c>
      <c r="W105" s="60">
        <f>IFERROR(__xludf.DUMMYFUNCTION("IFERROR(
  VLOOKUP(
    A105,
    IMPORTRANGE(
      ""1ZHMy3vVUd_0MrSduXTe1etBb1HNpAlGwQr006ljwMiM"",
      ""GSC最新!A:R""
    ),
    17,
    FALSE
  ),
  0
)
"),0.0)</f>
        <v>0</v>
      </c>
      <c r="X105" s="60">
        <f t="shared" ref="X105:Y105" si="519">IFERROR(T105-V105,"-")</f>
        <v>0</v>
      </c>
      <c r="Y105" s="60">
        <f t="shared" si="519"/>
        <v>0</v>
      </c>
      <c r="Z105" s="52">
        <f>IFERROR(__xludf.DUMMYFUNCTION("IFERROR(
  VLOOKUP(
    A105,
    IMPORTRANGE(
      ""1ZHMy3vVUd_0MrSduXTe1etBb1HNpAlGwQr006ljwMiM"",
      ""GSC最新!A:R""
    ),
    9,
    FALSE
  ),
  0
)
"),20.90909090909091)</f>
        <v>20.90909091</v>
      </c>
      <c r="AA105" s="52">
        <f>IFERROR(__xludf.DUMMYFUNCTION("IFERROR(
  VLOOKUP(
    A105,
    IMPORTRANGE(
      ""1ZHMy3vVUd_0MrSduXTe1etBb1HNpAlGwQr006ljwMiM"",
      ""GSC最新!A:R""
    ),
    12,
    FALSE
  ),
  0
)
"),12.476190476190476)</f>
        <v>12.47619048</v>
      </c>
      <c r="AB105" s="52" t="str">
        <f>IFERROR(__xludf.DUMMYFUNCTION("IFERROR(
  VLOOKUP(
    A105,
    IMPORTRANGE(
      ""1ZHMy3vVUd_0MrSduXTe1etBb1HNpAlGwQr006ljwMiM"",
      ""GSC最新!A:R""
    ),
    15,
    FALSE
  ),
  0
)
"),"")</f>
        <v/>
      </c>
      <c r="AC105" s="52">
        <f>IFERROR(__xludf.DUMMYFUNCTION("IFERROR(
  VLOOKUP(
    A105,
    IMPORTRANGE(
      ""1ZHMy3vVUd_0MrSduXTe1etBb1HNpAlGwQr006ljwMiM"",
      ""GSC最新!A:R""
    ),
    18,
    FALSE
  ),
  0
)
"),23.0)</f>
        <v>23</v>
      </c>
      <c r="AD105" s="52">
        <f t="shared" ref="AD105:AE105" si="520">Z105-AB105</f>
        <v>20.90909091</v>
      </c>
      <c r="AE105" s="52">
        <f t="shared" si="520"/>
        <v>-10.52380952</v>
      </c>
      <c r="AF105" s="53">
        <f>IFERROR(__xludf.DUMMYFUNCTION("IFERROR(
  VLOOKUP(
    A105,
    IMPORTRANGE(
      ""1ZHMy3vVUd_0MrSduXTe1etBb1HNpAlGwQr006ljwMiM"",
      ""GSC最新!A:F""
    ),
    6,
    FALSE
  ),
  0
)
"),46081.0)</f>
        <v>46081</v>
      </c>
      <c r="AG105" s="54">
        <f>IFERROR(__xludf.DUMMYFUNCTION("IFERROR(
  VLOOKUP(
    A105,
    IMPORTRANGE(
      ""1SCYQd7_cobOYqT0r_F0IqD4tE4rYn5y8Eup4PJTH8es"",
      ""Snapshot!A:M""
    ),
    5,
    FALSE
  ),
  ""-""
)
"),11.0)</f>
        <v>11</v>
      </c>
      <c r="AH105" s="54">
        <f>IFERROR(__xludf.DUMMYFUNCTION("IFERROR(
  VLOOKUP(
    A105,
    IMPORTRANGE(
      ""1SCYQd7_cobOYqT0r_F0IqD4tE4rYn5y8Eup4PJTH8es"",
      ""Snapshot!A:M""
    ),
    6,
    FALSE
  ),
  0
)
"),6.0)</f>
        <v>6</v>
      </c>
      <c r="AI105" s="54">
        <f>IFERROR(__xludf.DUMMYFUNCTION("IFERROR(
  VLOOKUP(
    A105,
    IMPORTRANGE(
      ""1SCYQd7_cobOYqT0r_F0IqD4tE4rYn5y8Eup4PJTH8es"",
      ""Snapshot!A:M""
    ),
    7,
    FALSE
  ),
  0
)
"),4701.0)</f>
        <v>4701</v>
      </c>
      <c r="AJ105" s="54">
        <f>IFERROR(__xludf.DUMMYFUNCTION("IFERROR(
  VLOOKUP(
    A105,
    IMPORTRANGE(
      ""1SCYQd7_cobOYqT0r_F0IqD4tE4rYn5y8Eup4PJTH8es"",
      ""Snapshot!A:M""
    ),
    8,
    FALSE
  ),
  0
)
"),9.0)</f>
        <v>9</v>
      </c>
      <c r="AK105" s="54">
        <f>IFERROR(__xludf.DUMMYFUNCTION("IFERROR(
  VLOOKUP(
    A105,
    IMPORTRANGE(
      ""1SCYQd7_cobOYqT0r_F0IqD4tE4rYn5y8Eup4PJTH8es"",
      ""Snapshot!A:M""
    ),
    9,
    FALSE
  ),
  0
)
"),1.0)</f>
        <v>1</v>
      </c>
      <c r="AL105" s="54">
        <f>IFERROR(__xludf.DUMMYFUNCTION("IFERROR(
  VLOOKUP(
    A105,
    IMPORTRANGE(
      ""1SCYQd7_cobOYqT0r_F0IqD4tE4rYn5y8Eup4PJTH8es"",
      ""Snapshot!A:M""
    ),
    13,
    FALSE
  ),
  0
)
"),2.0)</f>
        <v>2</v>
      </c>
    </row>
    <row r="106">
      <c r="A106" s="3" t="s">
        <v>79</v>
      </c>
      <c r="B106" s="1" t="str">
        <f>IFERROR(__xludf.DUMMYFUNCTION("IFERROR(
  VLOOKUP(
    A106,
    IMPORTRANGE(
      ""1ZygntHC1J6IxzKbTidmOyf5nUyW4GCLurHCjexrLm_o"",
      ""HTMLキャッシュ!A:F""
    ),
    2,
    FALSE
  ),
  0
)
"),"-")</f>
        <v>-</v>
      </c>
      <c r="C106" s="1" t="str">
        <f>IFERROR(__xludf.DUMMYFUNCTION("IFERROR(
  VLOOKUP(
    A106,
    IMPORTRANGE(
      ""1ZygntHC1J6IxzKbTidmOyf5nUyW4GCLurHCjexrLm_o"",
      ""HTMLキャッシュ!A:F""
    ),
    5,
    FALSE
  ),
  0
)
"),"塾別対策 - 中学受験専門 夏井算数塾")</f>
        <v>塾別対策 - 中学受験専門 夏井算数塾</v>
      </c>
      <c r="D106" s="1" t="str">
        <f>IFERROR(__xludf.DUMMYFUNCTION("IFERROR(
  VLOOKUP(
    A106,
    IMPORTRANGE(
      ""1ZygntHC1J6IxzKbTidmOyf5nUyW4GCLurHCjexrLm_o        "",
      ""HTMLキャッシュ!A:F""
    ),
    6,
    FALSE
  ),
  0
)
"),"塾別対策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塾別対策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06" s="49">
        <f t="shared" ref="E106:F106" si="521">LEN(C106)</f>
        <v>19</v>
      </c>
      <c r="F106" s="49">
        <f t="shared" si="521"/>
        <v>162</v>
      </c>
      <c r="G106" s="32">
        <f>IFERROR(__xludf.DUMMYFUNCTION("IFERROR(
  VLOOKUP(
    A106,
    IMPORTRANGE(
      ""1ZygntHC1J6IxzKbTidmOyf5nUyW4GCLurHCjexrLm_o        "",
      ""HTMLキャッシュ!A:F""
    ),
    3,
    FALSE
  ),
  0
)
"),25569.375)</f>
        <v>25569.375</v>
      </c>
      <c r="H106" s="54">
        <f>IFERROR(__xludf.DUMMYFUNCTION("IFERROR(
  VLOOKUP(
    A106,
    IMPORTRANGE(
      ""1ZHMy3vVUd_0MrSduXTe1etBb1HNpAlGwQr006ljwMiM"",
      ""GSC最新!A:F""
    ),
    2,
    FALSE
  ),
  0
)
"),0.0)</f>
        <v>0</v>
      </c>
      <c r="I106" s="54">
        <f>IFERROR(__xludf.DUMMYFUNCTION("IFERROR(
  VLOOKUP(
    A106,
    IMPORTRANGE(
      ""1ZHMy3vVUd_0MrSduXTe1etBb1HNpAlGwQr006ljwMiM"",
      ""GSC最新!A:F""
    ),
    3,
    FALSE
  ),
  0
)
"),0.0)</f>
        <v>0</v>
      </c>
      <c r="J106" s="54">
        <f>IFERROR(__xludf.DUMMYFUNCTION("IFERROR(
  VLOOKUP(
    A106,
    IMPORTRANGE(
      ""1ZHMy3vVUd_0MrSduXTe1etBb1HNpAlGwQr006ljwMiM"",
      ""GSC最新!A:F""
    ),
    4,
    FALSE
  ),
  0
)
"),0.0)</f>
        <v>0</v>
      </c>
      <c r="K106" s="54">
        <f>IFERROR(__xludf.DUMMYFUNCTION("IFERROR(
  VLOOKUP(
    A106,
    IMPORTRANGE(
      ""1ZHMy3vVUd_0MrSduXTe1etBb1HNpAlGwQr006ljwMiM"",
      ""GSC最新!A:F""
    ),
    5,
    FALSE
  ),
  0
)
"),0.0)</f>
        <v>0</v>
      </c>
      <c r="L106" s="50" t="str">
        <f t="shared" ref="L106:M106" si="522">IFERROR(H106/J106,"-")</f>
        <v>-</v>
      </c>
      <c r="M106" s="50" t="str">
        <f t="shared" si="522"/>
        <v>-</v>
      </c>
      <c r="N106" s="59">
        <f>IFERROR(__xludf.DUMMYFUNCTION("IFERROR(
  VLOOKUP(
    A106,
    IMPORTRANGE(
      ""1ZHMy3vVUd_0MrSduXTe1etBb1HNpAlGwQr006ljwMiM"",
      ""GSC最新!A:R""
    ),
    7,
    FALSE
  ),
  0
)
"),6.0)</f>
        <v>6</v>
      </c>
      <c r="O106" s="59">
        <f>IFERROR(__xludf.DUMMYFUNCTION("IFERROR(
  VLOOKUP(
    A106,
    IMPORTRANGE(
      ""1ZHMy3vVUd_0MrSduXTe1etBb1HNpAlGwQr006ljwMiM"",
      ""GSC最新!A:R""
    ),
    10,
    FALSE
  ),
  0
)
"),19.0)</f>
        <v>19</v>
      </c>
      <c r="P106" s="59">
        <f>IFERROR(__xludf.DUMMYFUNCTION("IFERROR(
  VLOOKUP(
    A106,
    IMPORTRANGE(
      ""1ZHMy3vVUd_0MrSduXTe1etBb1HNpAlGwQr006ljwMiM"",
      ""GSC最新!A:R""
    ),
    13,
    FALSE
  ),
  0
)
"),0.0)</f>
        <v>0</v>
      </c>
      <c r="Q106" s="59">
        <f>IFERROR(__xludf.DUMMYFUNCTION("IFERROR(
  VLOOKUP(
    A106,
    IMPORTRANGE(
      ""1ZHMy3vVUd_0MrSduXTe1etBb1HNpAlGwQr006ljwMiM"",
      ""GSC最新!A:R""
    ),
    16,
    FALSE
  ),
  0
)
"),7.0)</f>
        <v>7</v>
      </c>
      <c r="R106" s="50" t="str">
        <f t="shared" ref="R106:S106" si="523">IFERROR(N106/P106,"-")</f>
        <v>-</v>
      </c>
      <c r="S106" s="50">
        <f t="shared" si="523"/>
        <v>2.714285714</v>
      </c>
      <c r="T106" s="60">
        <f>IFERROR(__xludf.DUMMYFUNCTION("IFERROR(
  VLOOKUP(
    A106,
    IMPORTRANGE(
      ""1ZHMy3vVUd_0MrSduXTe1etBb1HNpAlGwQr006ljwMiM"",
      ""GSC最新!A:R""
    ),
    8,
    FALSE
  ),
  0
)
"),0.0)</f>
        <v>0</v>
      </c>
      <c r="U106" s="60">
        <f>IFERROR(__xludf.DUMMYFUNCTION("IFERROR(
  VLOOKUP(
    A106,
    IMPORTRANGE(
      ""1ZHMy3vVUd_0MrSduXTe1etBb1HNpAlGwQr006ljwMiM"",
      ""GSC最新!A:R""
    ),
    11,
    FALSE
  ),
  0
)
"),0.0)</f>
        <v>0</v>
      </c>
      <c r="V106" s="60">
        <f>IFERROR(__xludf.DUMMYFUNCTION("IFERROR(
  VLOOKUP(
    A106,
    IMPORTRANGE(
      ""1ZHMy3vVUd_0MrSduXTe1etBb1HNpAlGwQr006ljwMiM"",
      ""GSC最新!A:R""
    ),
    14,
    FALSE
  ),
  0
)
"),0.0)</f>
        <v>0</v>
      </c>
      <c r="W106" s="60">
        <f>IFERROR(__xludf.DUMMYFUNCTION("IFERROR(
  VLOOKUP(
    A106,
    IMPORTRANGE(
      ""1ZHMy3vVUd_0MrSduXTe1etBb1HNpAlGwQr006ljwMiM"",
      ""GSC最新!A:R""
    ),
    17,
    FALSE
  ),
  0
)
"),0.0)</f>
        <v>0</v>
      </c>
      <c r="X106" s="60">
        <f t="shared" ref="X106:Y106" si="524">IFERROR(T106-V106,"-")</f>
        <v>0</v>
      </c>
      <c r="Y106" s="60">
        <f t="shared" si="524"/>
        <v>0</v>
      </c>
      <c r="Z106" s="52">
        <f>IFERROR(__xludf.DUMMYFUNCTION("IFERROR(
  VLOOKUP(
    A106,
    IMPORTRANGE(
      ""1ZHMy3vVUd_0MrSduXTe1etBb1HNpAlGwQr006ljwMiM"",
      ""GSC最新!A:R""
    ),
    9,
    FALSE
  ),
  0
)
"),8.0)</f>
        <v>8</v>
      </c>
      <c r="AA106" s="52">
        <f>IFERROR(__xludf.DUMMYFUNCTION("IFERROR(
  VLOOKUP(
    A106,
    IMPORTRANGE(
      ""1ZHMy3vVUd_0MrSduXTe1etBb1HNpAlGwQr006ljwMiM"",
      ""GSC最新!A:R""
    ),
    12,
    FALSE
  ),
  0
)
"),6.7894736842105265)</f>
        <v>6.789473684</v>
      </c>
      <c r="AB106" s="52" t="str">
        <f>IFERROR(__xludf.DUMMYFUNCTION("IFERROR(
  VLOOKUP(
    A106,
    IMPORTRANGE(
      ""1ZHMy3vVUd_0MrSduXTe1etBb1HNpAlGwQr006ljwMiM"",
      ""GSC最新!A:R""
    ),
    15,
    FALSE
  ),
  0
)
"),"")</f>
        <v/>
      </c>
      <c r="AC106" s="52">
        <f>IFERROR(__xludf.DUMMYFUNCTION("IFERROR(
  VLOOKUP(
    A106,
    IMPORTRANGE(
      ""1ZHMy3vVUd_0MrSduXTe1etBb1HNpAlGwQr006ljwMiM"",
      ""GSC最新!A:R""
    ),
    18,
    FALSE
  ),
  0
)
"),27.857142857142858)</f>
        <v>27.85714286</v>
      </c>
      <c r="AD106" s="52">
        <f t="shared" ref="AD106:AE106" si="525">Z106-AB106</f>
        <v>8</v>
      </c>
      <c r="AE106" s="52">
        <f t="shared" si="525"/>
        <v>-21.06766917</v>
      </c>
      <c r="AF106" s="53">
        <f>IFERROR(__xludf.DUMMYFUNCTION("IFERROR(
  VLOOKUP(
    A106,
    IMPORTRANGE(
      ""1ZHMy3vVUd_0MrSduXTe1etBb1HNpAlGwQr006ljwMiM"",
      ""GSC最新!A:F""
    ),
    6,
    FALSE
  ),
  0
)
"),46081.0)</f>
        <v>46081</v>
      </c>
      <c r="AG106" s="54">
        <f>IFERROR(__xludf.DUMMYFUNCTION("IFERROR(
  VLOOKUP(
    A106,
    IMPORTRANGE(
      ""1SCYQd7_cobOYqT0r_F0IqD4tE4rYn5y8Eup4PJTH8es"",
      ""Snapshot!A:M""
    ),
    5,
    FALSE
  ),
  ""-""
)
"),0.0)</f>
        <v>0</v>
      </c>
      <c r="AH106" s="54">
        <f>IFERROR(__xludf.DUMMYFUNCTION("IFERROR(
  VLOOKUP(
    A106,
    IMPORTRANGE(
      ""1SCYQd7_cobOYqT0r_F0IqD4tE4rYn5y8Eup4PJTH8es"",
      ""Snapshot!A:M""
    ),
    6,
    FALSE
  ),
  0
)
"),0.0)</f>
        <v>0</v>
      </c>
      <c r="AI106" s="54">
        <f>IFERROR(__xludf.DUMMYFUNCTION("IFERROR(
  VLOOKUP(
    A106,
    IMPORTRANGE(
      ""1SCYQd7_cobOYqT0r_F0IqD4tE4rYn5y8Eup4PJTH8es"",
      ""Snapshot!A:M""
    ),
    7,
    FALSE
  ),
  0
)
"),0.0)</f>
        <v>0</v>
      </c>
      <c r="AJ106" s="54">
        <f>IFERROR(__xludf.DUMMYFUNCTION("IFERROR(
  VLOOKUP(
    A106,
    IMPORTRANGE(
      ""1SCYQd7_cobOYqT0r_F0IqD4tE4rYn5y8Eup4PJTH8es"",
      ""Snapshot!A:M""
    ),
    8,
    FALSE
  ),
  0
)
"),0.0)</f>
        <v>0</v>
      </c>
      <c r="AK106" s="54">
        <f>IFERROR(__xludf.DUMMYFUNCTION("IFERROR(
  VLOOKUP(
    A106,
    IMPORTRANGE(
      ""1SCYQd7_cobOYqT0r_F0IqD4tE4rYn5y8Eup4PJTH8es"",
      ""Snapshot!A:M""
    ),
    9,
    FALSE
  ),
  0
)
"),0.0)</f>
        <v>0</v>
      </c>
      <c r="AL106" s="54">
        <f>IFERROR(__xludf.DUMMYFUNCTION("IFERROR(
  VLOOKUP(
    A106,
    IMPORTRANGE(
      ""1SCYQd7_cobOYqT0r_F0IqD4tE4rYn5y8Eup4PJTH8es"",
      ""Snapshot!A:M""
    ),
    13,
    FALSE
  ),
  0
)
"),1.0)</f>
        <v>1</v>
      </c>
    </row>
    <row r="107">
      <c r="A107" s="3" t="s">
        <v>440</v>
      </c>
      <c r="B107" s="1" t="str">
        <f>IFERROR(__xludf.DUMMYFUNCTION("IFERROR(
  VLOOKUP(
    A107,
    IMPORTRANGE(
      ""1ZygntHC1J6IxzKbTidmOyf5nUyW4GCLurHCjexrLm_o"",
      ""HTMLキャッシュ!A:F""
    ),
    2,
    FALSE
  ),
  0
)
"),"ST")</f>
        <v>ST</v>
      </c>
      <c r="C107" s="1" t="str">
        <f>IFERROR(__xludf.DUMMYFUNCTION("IFERROR(
  VLOOKUP(
    A107,
    IMPORTRANGE(
      ""1ZygntHC1J6IxzKbTidmOyf5nUyW4GCLurHCjexrLm_o"",
      ""HTMLキャッシュ!A:F""
    ),
    5,
    FALSE
  ),
  0
)
"),"空きコマ状況 - 中学受験専門 夏井算数塾")</f>
        <v>空きコマ状況 - 中学受験専門 夏井算数塾</v>
      </c>
      <c r="D107" s="1" t="str">
        <f>IFERROR(__xludf.DUMMYFUNCTION("IFERROR(
  VLOOKUP(
    A107,
    IMPORTRANGE(
      ""1ZygntHC1J6IxzKbTidmOyf5nUyW4GCLurHCjexrLm_o        "",
      ""HTMLキャッシュ!A:F""
    ),
    6,
    FALSE
  ),
  0
)
"),"")</f>
        <v/>
      </c>
      <c r="E107" s="49">
        <f t="shared" ref="E107:F107" si="526">LEN(C107)</f>
        <v>21</v>
      </c>
      <c r="F107" s="49">
        <f t="shared" si="526"/>
        <v>0</v>
      </c>
      <c r="G107" s="32">
        <f>IFERROR(__xludf.DUMMYFUNCTION("IFERROR(
  VLOOKUP(
    A107,
    IMPORTRANGE(
      ""1ZygntHC1J6IxzKbTidmOyf5nUyW4GCLurHCjexrLm_o        "",
      ""HTMLキャッシュ!A:F""
    ),
    3,
    FALSE
  ),
  0
)
"),43598.73949074074)</f>
        <v>43598.73949</v>
      </c>
      <c r="H107" s="54">
        <f>IFERROR(__xludf.DUMMYFUNCTION("IFERROR(
  VLOOKUP(
    A107,
    IMPORTRANGE(
      ""1ZHMy3vVUd_0MrSduXTe1etBb1HNpAlGwQr006ljwMiM"",
      ""GSC最新!A:F""
    ),
    2,
    FALSE
  ),
  0
)
"),1.0)</f>
        <v>1</v>
      </c>
      <c r="I107" s="54">
        <f>IFERROR(__xludf.DUMMYFUNCTION("IFERROR(
  VLOOKUP(
    A107,
    IMPORTRANGE(
      ""1ZHMy3vVUd_0MrSduXTe1etBb1HNpAlGwQr006ljwMiM"",
      ""GSC最新!A:F""
    ),
    3,
    FALSE
  ),
  0
)
"),1.0)</f>
        <v>1</v>
      </c>
      <c r="J107" s="54">
        <f>IFERROR(__xludf.DUMMYFUNCTION("IFERROR(
  VLOOKUP(
    A107,
    IMPORTRANGE(
      ""1ZHMy3vVUd_0MrSduXTe1etBb1HNpAlGwQr006ljwMiM"",
      ""GSC最新!A:F""
    ),
    4,
    FALSE
  ),
  0
)
"),0.0)</f>
        <v>0</v>
      </c>
      <c r="K107" s="54">
        <f>IFERROR(__xludf.DUMMYFUNCTION("IFERROR(
  VLOOKUP(
    A107,
    IMPORTRANGE(
      ""1ZHMy3vVUd_0MrSduXTe1etBb1HNpAlGwQr006ljwMiM"",
      ""GSC最新!A:F""
    ),
    5,
    FALSE
  ),
  0
)
"),0.0)</f>
        <v>0</v>
      </c>
      <c r="L107" s="50" t="str">
        <f t="shared" ref="L107:M107" si="527">IFERROR(H107/J107,"-")</f>
        <v>-</v>
      </c>
      <c r="M107" s="50" t="str">
        <f t="shared" si="527"/>
        <v>-</v>
      </c>
      <c r="N107" s="59">
        <f>IFERROR(__xludf.DUMMYFUNCTION("IFERROR(
  VLOOKUP(
    A107,
    IMPORTRANGE(
      ""1ZHMy3vVUd_0MrSduXTe1etBb1HNpAlGwQr006ljwMiM"",
      ""GSC最新!A:R""
    ),
    7,
    FALSE
  ),
  0
)
"),11.0)</f>
        <v>11</v>
      </c>
      <c r="O107" s="59">
        <f>IFERROR(__xludf.DUMMYFUNCTION("IFERROR(
  VLOOKUP(
    A107,
    IMPORTRANGE(
      ""1ZHMy3vVUd_0MrSduXTe1etBb1HNpAlGwQr006ljwMiM"",
      ""GSC最新!A:R""
    ),
    10,
    FALSE
  ),
  0
)
"),22.0)</f>
        <v>22</v>
      </c>
      <c r="P107" s="59">
        <f>IFERROR(__xludf.DUMMYFUNCTION("IFERROR(
  VLOOKUP(
    A107,
    IMPORTRANGE(
      ""1ZHMy3vVUd_0MrSduXTe1etBb1HNpAlGwQr006ljwMiM"",
      ""GSC最新!A:R""
    ),
    13,
    FALSE
  ),
  0
)
"),1293.0)</f>
        <v>1293</v>
      </c>
      <c r="Q107" s="59">
        <f>IFERROR(__xludf.DUMMYFUNCTION("IFERROR(
  VLOOKUP(
    A107,
    IMPORTRANGE(
      ""1ZHMy3vVUd_0MrSduXTe1etBb1HNpAlGwQr006ljwMiM"",
      ""GSC最新!A:R""
    ),
    16,
    FALSE
  ),
  0
)
"),4938.0)</f>
        <v>4938</v>
      </c>
      <c r="R107" s="50">
        <f t="shared" ref="R107:S107" si="528">IFERROR(N107/P107,"-")</f>
        <v>0.008507347254</v>
      </c>
      <c r="S107" s="50">
        <f t="shared" si="528"/>
        <v>0.004455245038</v>
      </c>
      <c r="T107" s="60">
        <f>IFERROR(__xludf.DUMMYFUNCTION("IFERROR(
  VLOOKUP(
    A107,
    IMPORTRANGE(
      ""1ZHMy3vVUd_0MrSduXTe1etBb1HNpAlGwQr006ljwMiM"",
      ""GSC最新!A:R""
    ),
    8,
    FALSE
  ),
  0
)
"),0.09090909090909091)</f>
        <v>0.09090909091</v>
      </c>
      <c r="U107" s="60">
        <f>IFERROR(__xludf.DUMMYFUNCTION("IFERROR(
  VLOOKUP(
    A107,
    IMPORTRANGE(
      ""1ZHMy3vVUd_0MrSduXTe1etBb1HNpAlGwQr006ljwMiM"",
      ""GSC最新!A:R""
    ),
    11,
    FALSE
  ),
  0
)
"),0.045454545454545456)</f>
        <v>0.04545454545</v>
      </c>
      <c r="V107" s="60">
        <f>IFERROR(__xludf.DUMMYFUNCTION("IFERROR(
  VLOOKUP(
    A107,
    IMPORTRANGE(
      ""1ZHMy3vVUd_0MrSduXTe1etBb1HNpAlGwQr006ljwMiM"",
      ""GSC最新!A:R""
    ),
    14,
    FALSE
  ),
  0
)
"),0.0)</f>
        <v>0</v>
      </c>
      <c r="W107" s="60">
        <f>IFERROR(__xludf.DUMMYFUNCTION("IFERROR(
  VLOOKUP(
    A107,
    IMPORTRANGE(
      ""1ZHMy3vVUd_0MrSduXTe1etBb1HNpAlGwQr006ljwMiM"",
      ""GSC最新!A:R""
    ),
    17,
    FALSE
  ),
  0
)
"),0.0)</f>
        <v>0</v>
      </c>
      <c r="X107" s="60">
        <f t="shared" ref="X107:Y107" si="529">IFERROR(T107-V107,"-")</f>
        <v>0.09090909091</v>
      </c>
      <c r="Y107" s="60">
        <f t="shared" si="529"/>
        <v>0.04545454545</v>
      </c>
      <c r="Z107" s="52">
        <f>IFERROR(__xludf.DUMMYFUNCTION("IFERROR(
  VLOOKUP(
    A107,
    IMPORTRANGE(
      ""1ZHMy3vVUd_0MrSduXTe1etBb1HNpAlGwQr006ljwMiM"",
      ""GSC最新!A:R""
    ),
    9,
    FALSE
  ),
  0
)
"),7.0)</f>
        <v>7</v>
      </c>
      <c r="AA107" s="52">
        <f>IFERROR(__xludf.DUMMYFUNCTION("IFERROR(
  VLOOKUP(
    A107,
    IMPORTRANGE(
      ""1ZHMy3vVUd_0MrSduXTe1etBb1HNpAlGwQr006ljwMiM"",
      ""GSC最新!A:R""
    ),
    12,
    FALSE
  ),
  0
)
"),6.7272727272727275)</f>
        <v>6.727272727</v>
      </c>
      <c r="AB107" s="52">
        <f>IFERROR(__xludf.DUMMYFUNCTION("IFERROR(
  VLOOKUP(
    A107,
    IMPORTRANGE(
      ""1ZHMy3vVUd_0MrSduXTe1etBb1HNpAlGwQr006ljwMiM"",
      ""GSC最新!A:R""
    ),
    15,
    FALSE
  ),
  0
)
"),6.546790409899459)</f>
        <v>6.54679041</v>
      </c>
      <c r="AC107" s="52">
        <f>IFERROR(__xludf.DUMMYFUNCTION("IFERROR(
  VLOOKUP(
    A107,
    IMPORTRANGE(
      ""1ZHMy3vVUd_0MrSduXTe1etBb1HNpAlGwQr006ljwMiM"",
      ""GSC最新!A:R""
    ),
    18,
    FALSE
  ),
  0
)
"),6.3898339408667475)</f>
        <v>6.389833941</v>
      </c>
      <c r="AD107" s="52">
        <f t="shared" ref="AD107:AE107" si="530">Z107-AB107</f>
        <v>0.4532095901</v>
      </c>
      <c r="AE107" s="52">
        <f t="shared" si="530"/>
        <v>0.3374387864</v>
      </c>
      <c r="AF107" s="53">
        <f>IFERROR(__xludf.DUMMYFUNCTION("IFERROR(
  VLOOKUP(
    A107,
    IMPORTRANGE(
      ""1ZHMy3vVUd_0MrSduXTe1etBb1HNpAlGwQr006ljwMiM"",
      ""GSC最新!A:F""
    ),
    6,
    FALSE
  ),
  0
)
"),46081.0)</f>
        <v>46081</v>
      </c>
      <c r="AG107" s="54">
        <f>IFERROR(__xludf.DUMMYFUNCTION("IFERROR(
  VLOOKUP(
    A107,
    IMPORTRANGE(
      ""1SCYQd7_cobOYqT0r_F0IqD4tE4rYn5y8Eup4PJTH8es"",
      ""Snapshot!A:M""
    ),
    5,
    FALSE
  ),
  ""-""
)
"),0.0)</f>
        <v>0</v>
      </c>
      <c r="AH107" s="54">
        <f>IFERROR(__xludf.DUMMYFUNCTION("IFERROR(
  VLOOKUP(
    A107,
    IMPORTRANGE(
      ""1SCYQd7_cobOYqT0r_F0IqD4tE4rYn5y8Eup4PJTH8es"",
      ""Snapshot!A:M""
    ),
    6,
    FALSE
  ),
  0
)
"),0.0)</f>
        <v>0</v>
      </c>
      <c r="AI107" s="54">
        <f>IFERROR(__xludf.DUMMYFUNCTION("IFERROR(
  VLOOKUP(
    A107,
    IMPORTRANGE(
      ""1SCYQd7_cobOYqT0r_F0IqD4tE4rYn5y8Eup4PJTH8es"",
      ""Snapshot!A:M""
    ),
    7,
    FALSE
  ),
  0
)
"),0.0)</f>
        <v>0</v>
      </c>
      <c r="AJ107" s="54">
        <f>IFERROR(__xludf.DUMMYFUNCTION("IFERROR(
  VLOOKUP(
    A107,
    IMPORTRANGE(
      ""1SCYQd7_cobOYqT0r_F0IqD4tE4rYn5y8Eup4PJTH8es"",
      ""Snapshot!A:M""
    ),
    8,
    FALSE
  ),
  0
)
"),0.0)</f>
        <v>0</v>
      </c>
      <c r="AK107" s="54">
        <f>IFERROR(__xludf.DUMMYFUNCTION("IFERROR(
  VLOOKUP(
    A107,
    IMPORTRANGE(
      ""1SCYQd7_cobOYqT0r_F0IqD4tE4rYn5y8Eup4PJTH8es"",
      ""Snapshot!A:M""
    ),
    9,
    FALSE
  ),
  0
)
"),1.0)</f>
        <v>1</v>
      </c>
      <c r="AL107" s="54">
        <f>IFERROR(__xludf.DUMMYFUNCTION("IFERROR(
  VLOOKUP(
    A107,
    IMPORTRANGE(
      ""1SCYQd7_cobOYqT0r_F0IqD4tE4rYn5y8Eup4PJTH8es"",
      ""Snapshot!A:M""
    ),
    13,
    FALSE
  ),
  0
)
"),1.0)</f>
        <v>1</v>
      </c>
    </row>
    <row r="108">
      <c r="A108" s="3" t="s">
        <v>81</v>
      </c>
      <c r="B108" s="1" t="str">
        <f>IFERROR(__xludf.DUMMYFUNCTION("IFERROR(
  VLOOKUP(
    A108,
    IMPORTRANGE(
      ""1ZygntHC1J6IxzKbTidmOyf5nUyW4GCLurHCjexrLm_o"",
      ""HTMLキャッシュ!A:F""
    ),
    2,
    FALSE
  ),
  0
)
"),"-")</f>
        <v>-</v>
      </c>
      <c r="C108" s="1" t="str">
        <f>IFERROR(__xludf.DUMMYFUNCTION("IFERROR(
  VLOOKUP(
    A108,
    IMPORTRANGE(
      ""1ZygntHC1J6IxzKbTidmOyf5nUyW4GCLurHCjexrLm_o"",
      ""HTMLキャッシュ!A:F""
    ),
    5,
    FALSE
  ),
  0
)
"),"Japan’s Tokushu-san vs. the World: Why No Other Country Teaches Math This Way - 中学受験専門 夏井算数塾")</f>
        <v>Japan’s Tokushu-san vs. the World: Why No Other Country Teaches Math This Way - 中学受験専門 夏井算数塾</v>
      </c>
      <c r="D108" s="1" t="str">
        <f>IFERROR(__xludf.DUMMYFUNCTION("IFERROR(
  VLOOKUP(
    A108,
    IMPORTRANGE(
      ""1ZygntHC1J6IxzKbTidmOyf5nUyW4GCLurHCjexrLm_o        "",
      ""HTMLキャッシュ!A:F""
    ),
    6,
    FALSE
  ),
  0
)
"),"Japan’s Tokushu-san vs. the World: Why No Other Country")</f>
        <v>Japan’s Tokushu-san vs. the World: Why No Other Country</v>
      </c>
      <c r="E108" s="49">
        <f t="shared" ref="E108:F108" si="531">LEN(C108)</f>
        <v>92</v>
      </c>
      <c r="F108" s="49">
        <f t="shared" si="531"/>
        <v>55</v>
      </c>
      <c r="G108" s="32">
        <f>IFERROR(__xludf.DUMMYFUNCTION("IFERROR(
  VLOOKUP(
    A108,
    IMPORTRANGE(
      ""1ZygntHC1J6IxzKbTidmOyf5nUyW4GCLurHCjexrLm_o        "",
      ""HTMLキャッシュ!A:F""
    ),
    3,
    FALSE
  ),
  0
)
"),45906.00701388889)</f>
        <v>45906.00701</v>
      </c>
      <c r="H108" s="54">
        <f>IFERROR(__xludf.DUMMYFUNCTION("IFERROR(
  VLOOKUP(
    A108,
    IMPORTRANGE(
      ""1ZHMy3vVUd_0MrSduXTe1etBb1HNpAlGwQr006ljwMiM"",
      ""GSC最新!A:F""
    ),
    2,
    FALSE
  ),
  0
)
"),0.0)</f>
        <v>0</v>
      </c>
      <c r="I108" s="54">
        <f>IFERROR(__xludf.DUMMYFUNCTION("IFERROR(
  VLOOKUP(
    A108,
    IMPORTRANGE(
      ""1ZHMy3vVUd_0MrSduXTe1etBb1HNpAlGwQr006ljwMiM"",
      ""GSC最新!A:F""
    ),
    3,
    FALSE
  ),
  0
)
"),0.0)</f>
        <v>0</v>
      </c>
      <c r="J108" s="54">
        <f>IFERROR(__xludf.DUMMYFUNCTION("IFERROR(
  VLOOKUP(
    A108,
    IMPORTRANGE(
      ""1ZHMy3vVUd_0MrSduXTe1etBb1HNpAlGwQr006ljwMiM"",
      ""GSC最新!A:F""
    ),
    4,
    FALSE
  ),
  0
)
"),0.0)</f>
        <v>0</v>
      </c>
      <c r="K108" s="54">
        <f>IFERROR(__xludf.DUMMYFUNCTION("IFERROR(
  VLOOKUP(
    A108,
    IMPORTRANGE(
      ""1ZHMy3vVUd_0MrSduXTe1etBb1HNpAlGwQr006ljwMiM"",
      ""GSC最新!A:F""
    ),
    5,
    FALSE
  ),
  0
)
"),0.0)</f>
        <v>0</v>
      </c>
      <c r="L108" s="50" t="str">
        <f t="shared" ref="L108:M108" si="532">IFERROR(H108/J108,"-")</f>
        <v>-</v>
      </c>
      <c r="M108" s="50" t="str">
        <f t="shared" si="532"/>
        <v>-</v>
      </c>
      <c r="N108" s="59">
        <f>IFERROR(__xludf.DUMMYFUNCTION("IFERROR(
  VLOOKUP(
    A108,
    IMPORTRANGE(
      ""1ZHMy3vVUd_0MrSduXTe1etBb1HNpAlGwQr006ljwMiM"",
      ""GSC最新!A:R""
    ),
    7,
    FALSE
  ),
  0
)
"),0.0)</f>
        <v>0</v>
      </c>
      <c r="O108" s="59">
        <f>IFERROR(__xludf.DUMMYFUNCTION("IFERROR(
  VLOOKUP(
    A108,
    IMPORTRANGE(
      ""1ZHMy3vVUd_0MrSduXTe1etBb1HNpAlGwQr006ljwMiM"",
      ""GSC最新!A:R""
    ),
    10,
    FALSE
  ),
  0
)
"),17.0)</f>
        <v>17</v>
      </c>
      <c r="P108" s="59">
        <f>IFERROR(__xludf.DUMMYFUNCTION("IFERROR(
  VLOOKUP(
    A108,
    IMPORTRANGE(
      ""1ZHMy3vVUd_0MrSduXTe1etBb1HNpAlGwQr006ljwMiM"",
      ""GSC最新!A:R""
    ),
    13,
    FALSE
  ),
  0
)
"),0.0)</f>
        <v>0</v>
      </c>
      <c r="Q108" s="59">
        <f>IFERROR(__xludf.DUMMYFUNCTION("IFERROR(
  VLOOKUP(
    A108,
    IMPORTRANGE(
      ""1ZHMy3vVUd_0MrSduXTe1etBb1HNpAlGwQr006ljwMiM"",
      ""GSC最新!A:R""
    ),
    16,
    FALSE
  ),
  0
)
"),0.0)</f>
        <v>0</v>
      </c>
      <c r="R108" s="50" t="str">
        <f t="shared" ref="R108:S108" si="533">IFERROR(N108/P108,"-")</f>
        <v>-</v>
      </c>
      <c r="S108" s="50" t="str">
        <f t="shared" si="533"/>
        <v>-</v>
      </c>
      <c r="T108" s="60">
        <f>IFERROR(__xludf.DUMMYFUNCTION("IFERROR(
  VLOOKUP(
    A108,
    IMPORTRANGE(
      ""1ZHMy3vVUd_0MrSduXTe1etBb1HNpAlGwQr006ljwMiM"",
      ""GSC最新!A:R""
    ),
    8,
    FALSE
  ),
  0
)
"),0.0)</f>
        <v>0</v>
      </c>
      <c r="U108" s="60">
        <f>IFERROR(__xludf.DUMMYFUNCTION("IFERROR(
  VLOOKUP(
    A108,
    IMPORTRANGE(
      ""1ZHMy3vVUd_0MrSduXTe1etBb1HNpAlGwQr006ljwMiM"",
      ""GSC最新!A:R""
    ),
    11,
    FALSE
  ),
  0
)
"),0.0)</f>
        <v>0</v>
      </c>
      <c r="V108" s="60">
        <f>IFERROR(__xludf.DUMMYFUNCTION("IFERROR(
  VLOOKUP(
    A108,
    IMPORTRANGE(
      ""1ZHMy3vVUd_0MrSduXTe1etBb1HNpAlGwQr006ljwMiM"",
      ""GSC最新!A:R""
    ),
    14,
    FALSE
  ),
  0
)
"),0.0)</f>
        <v>0</v>
      </c>
      <c r="W108" s="60">
        <f>IFERROR(__xludf.DUMMYFUNCTION("IFERROR(
  VLOOKUP(
    A108,
    IMPORTRANGE(
      ""1ZHMy3vVUd_0MrSduXTe1etBb1HNpAlGwQr006ljwMiM"",
      ""GSC最新!A:R""
    ),
    17,
    FALSE
  ),
  0
)
"),0.0)</f>
        <v>0</v>
      </c>
      <c r="X108" s="60">
        <f t="shared" ref="X108:Y108" si="534">IFERROR(T108-V108,"-")</f>
        <v>0</v>
      </c>
      <c r="Y108" s="60">
        <f t="shared" si="534"/>
        <v>0</v>
      </c>
      <c r="Z108" s="52" t="str">
        <f>IFERROR(__xludf.DUMMYFUNCTION("IFERROR(
  VLOOKUP(
    A108,
    IMPORTRANGE(
      ""1ZHMy3vVUd_0MrSduXTe1etBb1HNpAlGwQr006ljwMiM"",
      ""GSC最新!A:R""
    ),
    9,
    FALSE
  ),
  0
)
"),"")</f>
        <v/>
      </c>
      <c r="AA108" s="52">
        <f>IFERROR(__xludf.DUMMYFUNCTION("IFERROR(
  VLOOKUP(
    A108,
    IMPORTRANGE(
      ""1ZHMy3vVUd_0MrSduXTe1etBb1HNpAlGwQr006ljwMiM"",
      ""GSC最新!A:R""
    ),
    12,
    FALSE
  ),
  0
)
"),5.352941176470588)</f>
        <v>5.352941176</v>
      </c>
      <c r="AB108" s="52" t="str">
        <f>IFERROR(__xludf.DUMMYFUNCTION("IFERROR(
  VLOOKUP(
    A108,
    IMPORTRANGE(
      ""1ZHMy3vVUd_0MrSduXTe1etBb1HNpAlGwQr006ljwMiM"",
      ""GSC最新!A:R""
    ),
    15,
    FALSE
  ),
  0
)
"),"")</f>
        <v/>
      </c>
      <c r="AC108" s="52" t="str">
        <f>IFERROR(__xludf.DUMMYFUNCTION("IFERROR(
  VLOOKUP(
    A108,
    IMPORTRANGE(
      ""1ZHMy3vVUd_0MrSduXTe1etBb1HNpAlGwQr006ljwMiM"",
      ""GSC最新!A:R""
    ),
    18,
    FALSE
  ),
  0
)
"),"")</f>
        <v/>
      </c>
      <c r="AD108" s="52">
        <f t="shared" ref="AD108:AE108" si="535">Z108-AB108</f>
        <v>0</v>
      </c>
      <c r="AE108" s="52">
        <f t="shared" si="535"/>
        <v>5.352941176</v>
      </c>
      <c r="AF108" s="53">
        <f>IFERROR(__xludf.DUMMYFUNCTION("IFERROR(
  VLOOKUP(
    A108,
    IMPORTRANGE(
      ""1ZHMy3vVUd_0MrSduXTe1etBb1HNpAlGwQr006ljwMiM"",
      ""GSC最新!A:F""
    ),
    6,
    FALSE
  ),
  0
)
"),46081.0)</f>
        <v>46081</v>
      </c>
      <c r="AG108" s="54">
        <f>IFERROR(__xludf.DUMMYFUNCTION("IFERROR(
  VLOOKUP(
    A108,
    IMPORTRANGE(
      ""1SCYQd7_cobOYqT0r_F0IqD4tE4rYn5y8Eup4PJTH8es"",
      ""Snapshot!A:M""
    ),
    5,
    FALSE
  ),
  ""-""
)
"),7.0)</f>
        <v>7</v>
      </c>
      <c r="AH108" s="54">
        <f>IFERROR(__xludf.DUMMYFUNCTION("IFERROR(
  VLOOKUP(
    A108,
    IMPORTRANGE(
      ""1SCYQd7_cobOYqT0r_F0IqD4tE4rYn5y8Eup4PJTH8es"",
      ""Snapshot!A:M""
    ),
    6,
    FALSE
  ),
  0
)
"),0.0)</f>
        <v>0</v>
      </c>
      <c r="AI108" s="54">
        <f>IFERROR(__xludf.DUMMYFUNCTION("IFERROR(
  VLOOKUP(
    A108,
    IMPORTRANGE(
      ""1SCYQd7_cobOYqT0r_F0IqD4tE4rYn5y8Eup4PJTH8es"",
      ""Snapshot!A:M""
    ),
    7,
    FALSE
  ),
  0
)
"),12469.0)</f>
        <v>12469</v>
      </c>
      <c r="AJ108" s="54">
        <f>IFERROR(__xludf.DUMMYFUNCTION("IFERROR(
  VLOOKUP(
    A108,
    IMPORTRANGE(
      ""1SCYQd7_cobOYqT0r_F0IqD4tE4rYn5y8Eup4PJTH8es"",
      ""Snapshot!A:M""
    ),
    8,
    FALSE
  ),
  0
)
"),0.0)</f>
        <v>0</v>
      </c>
      <c r="AK108" s="54">
        <f>IFERROR(__xludf.DUMMYFUNCTION("IFERROR(
  VLOOKUP(
    A108,
    IMPORTRANGE(
      ""1SCYQd7_cobOYqT0r_F0IqD4tE4rYn5y8Eup4PJTH8es"",
      ""Snapshot!A:M""
    ),
    9,
    FALSE
  ),
  0
)
"),1.0)</f>
        <v>1</v>
      </c>
      <c r="AL108" s="54">
        <f>IFERROR(__xludf.DUMMYFUNCTION("IFERROR(
  VLOOKUP(
    A108,
    IMPORTRANGE(
      ""1SCYQd7_cobOYqT0r_F0IqD4tE4rYn5y8Eup4PJTH8es"",
      ""Snapshot!A:M""
    ),
    13,
    FALSE
  ),
  0
)
"),2.0)</f>
        <v>2</v>
      </c>
    </row>
    <row r="109">
      <c r="A109" s="3" t="s">
        <v>441</v>
      </c>
      <c r="B109" s="1" t="str">
        <f>IFERROR(__xludf.DUMMYFUNCTION("IFERROR(
  VLOOKUP(
    A109,
    IMPORTRANGE(
      ""1ZygntHC1J6IxzKbTidmOyf5nUyW4GCLurHCjexrLm_o"",
      ""HTMLキャッシュ!A:F""
    ),
    2,
    FALSE
  ),
  0
)
"),"SC")</f>
        <v>SC</v>
      </c>
      <c r="C109" s="1" t="str">
        <f>IFERROR(__xludf.DUMMYFUNCTION("IFERROR(
  VLOOKUP(
    A109,
    IMPORTRANGE(
      ""1ZygntHC1J6IxzKbTidmOyf5nUyW4GCLurHCjexrLm_o"",
      ""HTMLキャッシュ!A:F""
    ),
    5,
    FALSE
  ),
  0
)
"),"小5後半～小6の算数をオンライン個別で仕上げる方法 - 中学受験専門 夏井算数塾")</f>
        <v>小5後半～小6の算数をオンライン個別で仕上げる方法 - 中学受験専門 夏井算数塾</v>
      </c>
      <c r="D109" s="1" t="str">
        <f>IFERROR(__xludf.DUMMYFUNCTION("IFERROR(
  VLOOKUP(
    A109,
    IMPORTRANGE(
      ""1ZygntHC1J6IxzKbTidmOyf5nUyW4GCLurHCjexrLm_o        "",
      ""HTMLキャッシュ!A:F""
    ),
    6,
    FALSE
  ),
  0
)
"),"小5後半〜小6の算数をオンライン個別指導で仕上げたいご家庭向けガイド。中学受験に向けた弱点潰しと過程修正、過去問と単元対策の優先順位を具体的に解説。")</f>
        <v>小5後半〜小6の算数をオンライン個別指導で仕上げたいご家庭向けガイド。中学受験に向けた弱点潰しと過程修正、過去問と単元対策の優先順位を具体的に解説。</v>
      </c>
      <c r="E109" s="49">
        <f t="shared" ref="E109:F109" si="536">LEN(C109)</f>
        <v>40</v>
      </c>
      <c r="F109" s="49">
        <f t="shared" si="536"/>
        <v>74</v>
      </c>
      <c r="G109" s="32">
        <f>IFERROR(__xludf.DUMMYFUNCTION("IFERROR(
  VLOOKUP(
    A109,
    IMPORTRANGE(
      ""1ZygntHC1J6IxzKbTidmOyf5nUyW4GCLurHCjexrLm_o        "",
      ""HTMLキャッシュ!A:F""
    ),
    3,
    FALSE
  ),
  0
)
"),46069.69480324074)</f>
        <v>46069.6948</v>
      </c>
      <c r="H109" s="54">
        <f>IFERROR(__xludf.DUMMYFUNCTION("IFERROR(
  VLOOKUP(
    A109,
    IMPORTRANGE(
      ""1ZHMy3vVUd_0MrSduXTe1etBb1HNpAlGwQr006ljwMiM"",
      ""GSC最新!A:F""
    ),
    2,
    FALSE
  ),
  0
)
"),0.0)</f>
        <v>0</v>
      </c>
      <c r="I109" s="54">
        <f>IFERROR(__xludf.DUMMYFUNCTION("IFERROR(
  VLOOKUP(
    A109,
    IMPORTRANGE(
      ""1ZHMy3vVUd_0MrSduXTe1etBb1HNpAlGwQr006ljwMiM"",
      ""GSC最新!A:F""
    ),
    3,
    FALSE
  ),
  0
)
"),0.0)</f>
        <v>0</v>
      </c>
      <c r="J109" s="54">
        <f>IFERROR(__xludf.DUMMYFUNCTION("IFERROR(
  VLOOKUP(
    A109,
    IMPORTRANGE(
      ""1ZHMy3vVUd_0MrSduXTe1etBb1HNpAlGwQr006ljwMiM"",
      ""GSC最新!A:F""
    ),
    4,
    FALSE
  ),
  0
)
"),0.0)</f>
        <v>0</v>
      </c>
      <c r="K109" s="54">
        <f>IFERROR(__xludf.DUMMYFUNCTION("IFERROR(
  VLOOKUP(
    A109,
    IMPORTRANGE(
      ""1ZHMy3vVUd_0MrSduXTe1etBb1HNpAlGwQr006ljwMiM"",
      ""GSC最新!A:F""
    ),
    5,
    FALSE
  ),
  0
)
"),0.0)</f>
        <v>0</v>
      </c>
      <c r="L109" s="50" t="str">
        <f t="shared" ref="L109:M109" si="537">IFERROR(H109/J109,"-")</f>
        <v>-</v>
      </c>
      <c r="M109" s="50" t="str">
        <f t="shared" si="537"/>
        <v>-</v>
      </c>
      <c r="N109" s="59">
        <f>IFERROR(__xludf.DUMMYFUNCTION("IFERROR(
  VLOOKUP(
    A109,
    IMPORTRANGE(
      ""1ZHMy3vVUd_0MrSduXTe1etBb1HNpAlGwQr006ljwMiM"",
      ""GSC最新!A:R""
    ),
    7,
    FALSE
  ),
  0
)
"),2.0)</f>
        <v>2</v>
      </c>
      <c r="O109" s="59">
        <f>IFERROR(__xludf.DUMMYFUNCTION("IFERROR(
  VLOOKUP(
    A109,
    IMPORTRANGE(
      ""1ZHMy3vVUd_0MrSduXTe1etBb1HNpAlGwQr006ljwMiM"",
      ""GSC最新!A:R""
    ),
    10,
    FALSE
  ),
  0
)
"),17.0)</f>
        <v>17</v>
      </c>
      <c r="P109" s="59">
        <f>IFERROR(__xludf.DUMMYFUNCTION("IFERROR(
  VLOOKUP(
    A109,
    IMPORTRANGE(
      ""1ZHMy3vVUd_0MrSduXTe1etBb1HNpAlGwQr006ljwMiM"",
      ""GSC最新!A:R""
    ),
    13,
    FALSE
  ),
  0
)
"),0.0)</f>
        <v>0</v>
      </c>
      <c r="Q109" s="59">
        <f>IFERROR(__xludf.DUMMYFUNCTION("IFERROR(
  VLOOKUP(
    A109,
    IMPORTRANGE(
      ""1ZHMy3vVUd_0MrSduXTe1etBb1HNpAlGwQr006ljwMiM"",
      ""GSC最新!A:R""
    ),
    16,
    FALSE
  ),
  0
)
"),0.0)</f>
        <v>0</v>
      </c>
      <c r="R109" s="50" t="str">
        <f t="shared" ref="R109:S109" si="538">IFERROR(N109/P109,"-")</f>
        <v>-</v>
      </c>
      <c r="S109" s="50" t="str">
        <f t="shared" si="538"/>
        <v>-</v>
      </c>
      <c r="T109" s="60">
        <f>IFERROR(__xludf.DUMMYFUNCTION("IFERROR(
  VLOOKUP(
    A109,
    IMPORTRANGE(
      ""1ZHMy3vVUd_0MrSduXTe1etBb1HNpAlGwQr006ljwMiM"",
      ""GSC最新!A:R""
    ),
    8,
    FALSE
  ),
  0
)
"),0.0)</f>
        <v>0</v>
      </c>
      <c r="U109" s="60">
        <f>IFERROR(__xludf.DUMMYFUNCTION("IFERROR(
  VLOOKUP(
    A109,
    IMPORTRANGE(
      ""1ZHMy3vVUd_0MrSduXTe1etBb1HNpAlGwQr006ljwMiM"",
      ""GSC最新!A:R""
    ),
    11,
    FALSE
  ),
  0
)
"),0.0)</f>
        <v>0</v>
      </c>
      <c r="V109" s="60">
        <f>IFERROR(__xludf.DUMMYFUNCTION("IFERROR(
  VLOOKUP(
    A109,
    IMPORTRANGE(
      ""1ZHMy3vVUd_0MrSduXTe1etBb1HNpAlGwQr006ljwMiM"",
      ""GSC最新!A:R""
    ),
    14,
    FALSE
  ),
  0
)
"),0.0)</f>
        <v>0</v>
      </c>
      <c r="W109" s="60">
        <f>IFERROR(__xludf.DUMMYFUNCTION("IFERROR(
  VLOOKUP(
    A109,
    IMPORTRANGE(
      ""1ZHMy3vVUd_0MrSduXTe1etBb1HNpAlGwQr006ljwMiM"",
      ""GSC最新!A:R""
    ),
    17,
    FALSE
  ),
  0
)
"),0.0)</f>
        <v>0</v>
      </c>
      <c r="X109" s="60">
        <f t="shared" ref="X109:Y109" si="539">IFERROR(T109-V109,"-")</f>
        <v>0</v>
      </c>
      <c r="Y109" s="60">
        <f t="shared" si="539"/>
        <v>0</v>
      </c>
      <c r="Z109" s="52">
        <f>IFERROR(__xludf.DUMMYFUNCTION("IFERROR(
  VLOOKUP(
    A109,
    IMPORTRANGE(
      ""1ZHMy3vVUd_0MrSduXTe1etBb1HNpAlGwQr006ljwMiM"",
      ""GSC最新!A:R""
    ),
    9,
    FALSE
  ),
  0
)
"),7.5)</f>
        <v>7.5</v>
      </c>
      <c r="AA109" s="52">
        <f>IFERROR(__xludf.DUMMYFUNCTION("IFERROR(
  VLOOKUP(
    A109,
    IMPORTRANGE(
      ""1ZHMy3vVUd_0MrSduXTe1etBb1HNpAlGwQr006ljwMiM"",
      ""GSC最新!A:R""
    ),
    12,
    FALSE
  ),
  0
)
"),9.647058823529411)</f>
        <v>9.647058824</v>
      </c>
      <c r="AB109" s="52" t="str">
        <f>IFERROR(__xludf.DUMMYFUNCTION("IFERROR(
  VLOOKUP(
    A109,
    IMPORTRANGE(
      ""1ZHMy3vVUd_0MrSduXTe1etBb1HNpAlGwQr006ljwMiM"",
      ""GSC最新!A:R""
    ),
    15,
    FALSE
  ),
  0
)
"),"")</f>
        <v/>
      </c>
      <c r="AC109" s="52" t="str">
        <f>IFERROR(__xludf.DUMMYFUNCTION("IFERROR(
  VLOOKUP(
    A109,
    IMPORTRANGE(
      ""1ZHMy3vVUd_0MrSduXTe1etBb1HNpAlGwQr006ljwMiM"",
      ""GSC最新!A:R""
    ),
    18,
    FALSE
  ),
  0
)
"),"")</f>
        <v/>
      </c>
      <c r="AD109" s="52">
        <f t="shared" ref="AD109:AE109" si="540">Z109-AB109</f>
        <v>7.5</v>
      </c>
      <c r="AE109" s="52">
        <f t="shared" si="540"/>
        <v>9.647058824</v>
      </c>
      <c r="AF109" s="53">
        <f>IFERROR(__xludf.DUMMYFUNCTION("IFERROR(
  VLOOKUP(
    A109,
    IMPORTRANGE(
      ""1ZHMy3vVUd_0MrSduXTe1etBb1HNpAlGwQr006ljwMiM"",
      ""GSC最新!A:F""
    ),
    6,
    FALSE
  ),
  0
)
"),46081.0)</f>
        <v>46081</v>
      </c>
      <c r="AG109" s="54">
        <f>IFERROR(__xludf.DUMMYFUNCTION("IFERROR(
  VLOOKUP(
    A109,
    IMPORTRANGE(
      ""1SCYQd7_cobOYqT0r_F0IqD4tE4rYn5y8Eup4PJTH8es"",
      ""Snapshot!A:M""
    ),
    5,
    FALSE
  ),
  ""-""
)
"),6.0)</f>
        <v>6</v>
      </c>
      <c r="AH109" s="54">
        <f>IFERROR(__xludf.DUMMYFUNCTION("IFERROR(
  VLOOKUP(
    A109,
    IMPORTRANGE(
      ""1SCYQd7_cobOYqT0r_F0IqD4tE4rYn5y8Eup4PJTH8es"",
      ""Snapshot!A:M""
    ),
    6,
    FALSE
  ),
  0
)
"),14.0)</f>
        <v>14</v>
      </c>
      <c r="AI109" s="54">
        <f>IFERROR(__xludf.DUMMYFUNCTION("IFERROR(
  VLOOKUP(
    A109,
    IMPORTRANGE(
      ""1SCYQd7_cobOYqT0r_F0IqD4tE4rYn5y8Eup4PJTH8es"",
      ""Snapshot!A:M""
    ),
    7,
    FALSE
  ),
  0
)
"),1567.0)</f>
        <v>1567</v>
      </c>
      <c r="AJ109" s="54">
        <f>IFERROR(__xludf.DUMMYFUNCTION("IFERROR(
  VLOOKUP(
    A109,
    IMPORTRANGE(
      ""1SCYQd7_cobOYqT0r_F0IqD4tE4rYn5y8Eup4PJTH8es"",
      ""Snapshot!A:M""
    ),
    8,
    FALSE
  ),
  0
)
"),2.0)</f>
        <v>2</v>
      </c>
      <c r="AK109" s="54">
        <f>IFERROR(__xludf.DUMMYFUNCTION("IFERROR(
  VLOOKUP(
    A109,
    IMPORTRANGE(
      ""1SCYQd7_cobOYqT0r_F0IqD4tE4rYn5y8Eup4PJTH8es"",
      ""Snapshot!A:M""
    ),
    9,
    FALSE
  ),
  0
)
"),2.0)</f>
        <v>2</v>
      </c>
      <c r="AL109" s="54">
        <f>IFERROR(__xludf.DUMMYFUNCTION("IFERROR(
  VLOOKUP(
    A109,
    IMPORTRANGE(
      ""1SCYQd7_cobOYqT0r_F0IqD4tE4rYn5y8Eup4PJTH8es"",
      ""Snapshot!A:M""
    ),
    13,
    FALSE
  ),
  0
)
"),2.0)</f>
        <v>2</v>
      </c>
    </row>
    <row r="110">
      <c r="A110" s="3" t="s">
        <v>83</v>
      </c>
      <c r="B110" s="1" t="str">
        <f>IFERROR(__xludf.DUMMYFUNCTION("IFERROR(
  VLOOKUP(
    A110,
    IMPORTRANGE(
      ""1ZygntHC1J6IxzKbTidmOyf5nUyW4GCLurHCjexrLm_o"",
      ""HTMLキャッシュ!A:F""
    ),
    2,
    FALSE
  ),
  0
)
"),"-")</f>
        <v>-</v>
      </c>
      <c r="C110" s="1" t="str">
        <f>IFERROR(__xludf.DUMMYFUNCTION("IFERROR(
  VLOOKUP(
    A110,
    IMPORTRANGE(
      ""1ZygntHC1J6IxzKbTidmOyf5nUyW4GCLurHCjexrLm_o"",
      ""HTMLキャッシュ!A:F""
    ),
    5,
    FALSE
  ),
  0
)
"),"Tips - 中学受験専門 夏井算数塾")</f>
        <v>Tips - 中学受験専門 夏井算数塾</v>
      </c>
      <c r="D110" s="1" t="str">
        <f>IFERROR(__xludf.DUMMYFUNCTION("IFERROR(
  VLOOKUP(
    A110,
    IMPORTRANGE(
      ""1ZygntHC1J6IxzKbTidmOyf5nUyW4GCLurHCjexrLm_o        "",
      ""HTMLキャッシュ!A:F""
    ),
    6,
    FALSE
  ),
  0
)
"),"Tips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Tips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10" s="49">
        <f t="shared" ref="E110:F110" si="541">LEN(C110)</f>
        <v>19</v>
      </c>
      <c r="F110" s="49">
        <f t="shared" si="541"/>
        <v>162</v>
      </c>
      <c r="G110" s="32">
        <f>IFERROR(__xludf.DUMMYFUNCTION("IFERROR(
  VLOOKUP(
    A110,
    IMPORTRANGE(
      ""1ZygntHC1J6IxzKbTidmOyf5nUyW4GCLurHCjexrLm_o        "",
      ""HTMLキャッシュ!A:F""
    ),
    3,
    FALSE
  ),
  0
)
"),25569.375)</f>
        <v>25569.375</v>
      </c>
      <c r="H110" s="54">
        <f>IFERROR(__xludf.DUMMYFUNCTION("IFERROR(
  VLOOKUP(
    A110,
    IMPORTRANGE(
      ""1ZHMy3vVUd_0MrSduXTe1etBb1HNpAlGwQr006ljwMiM"",
      ""GSC最新!A:F""
    ),
    2,
    FALSE
  ),
  0
)
"),0.0)</f>
        <v>0</v>
      </c>
      <c r="I110" s="54">
        <f>IFERROR(__xludf.DUMMYFUNCTION("IFERROR(
  VLOOKUP(
    A110,
    IMPORTRANGE(
      ""1ZHMy3vVUd_0MrSduXTe1etBb1HNpAlGwQr006ljwMiM"",
      ""GSC最新!A:F""
    ),
    3,
    FALSE
  ),
  0
)
"),0.0)</f>
        <v>0</v>
      </c>
      <c r="J110" s="54">
        <f>IFERROR(__xludf.DUMMYFUNCTION("IFERROR(
  VLOOKUP(
    A110,
    IMPORTRANGE(
      ""1ZHMy3vVUd_0MrSduXTe1etBb1HNpAlGwQr006ljwMiM"",
      ""GSC最新!A:F""
    ),
    4,
    FALSE
  ),
  0
)
"),0.0)</f>
        <v>0</v>
      </c>
      <c r="K110" s="54">
        <f>IFERROR(__xludf.DUMMYFUNCTION("IFERROR(
  VLOOKUP(
    A110,
    IMPORTRANGE(
      ""1ZHMy3vVUd_0MrSduXTe1etBb1HNpAlGwQr006ljwMiM"",
      ""GSC最新!A:F""
    ),
    5,
    FALSE
  ),
  0
)
"),2.0)</f>
        <v>2</v>
      </c>
      <c r="L110" s="50" t="str">
        <f t="shared" ref="L110:M110" si="542">IFERROR(H110/J110,"-")</f>
        <v>-</v>
      </c>
      <c r="M110" s="50">
        <f t="shared" si="542"/>
        <v>0</v>
      </c>
      <c r="N110" s="59">
        <f>IFERROR(__xludf.DUMMYFUNCTION("IFERROR(
  VLOOKUP(
    A110,
    IMPORTRANGE(
      ""1ZHMy3vVUd_0MrSduXTe1etBb1HNpAlGwQr006ljwMiM"",
      ""GSC最新!A:R""
    ),
    7,
    FALSE
  ),
  0
)
"),4.0)</f>
        <v>4</v>
      </c>
      <c r="O110" s="59">
        <f>IFERROR(__xludf.DUMMYFUNCTION("IFERROR(
  VLOOKUP(
    A110,
    IMPORTRANGE(
      ""1ZHMy3vVUd_0MrSduXTe1etBb1HNpAlGwQr006ljwMiM"",
      ""GSC最新!A:R""
    ),
    10,
    FALSE
  ),
  0
)
"),17.0)</f>
        <v>17</v>
      </c>
      <c r="P110" s="59">
        <f>IFERROR(__xludf.DUMMYFUNCTION("IFERROR(
  VLOOKUP(
    A110,
    IMPORTRANGE(
      ""1ZHMy3vVUd_0MrSduXTe1etBb1HNpAlGwQr006ljwMiM"",
      ""GSC最新!A:R""
    ),
    13,
    FALSE
  ),
  0
)
"),7.0)</f>
        <v>7</v>
      </c>
      <c r="Q110" s="59">
        <f>IFERROR(__xludf.DUMMYFUNCTION("IFERROR(
  VLOOKUP(
    A110,
    IMPORTRANGE(
      ""1ZHMy3vVUd_0MrSduXTe1etBb1HNpAlGwQr006ljwMiM"",
      ""GSC最新!A:R""
    ),
    16,
    FALSE
  ),
  0
)
"),24.0)</f>
        <v>24</v>
      </c>
      <c r="R110" s="50">
        <f t="shared" ref="R110:S110" si="543">IFERROR(N110/P110,"-")</f>
        <v>0.5714285714</v>
      </c>
      <c r="S110" s="50">
        <f t="shared" si="543"/>
        <v>0.7083333333</v>
      </c>
      <c r="T110" s="60">
        <f>IFERROR(__xludf.DUMMYFUNCTION("IFERROR(
  VLOOKUP(
    A110,
    IMPORTRANGE(
      ""1ZHMy3vVUd_0MrSduXTe1etBb1HNpAlGwQr006ljwMiM"",
      ""GSC最新!A:R""
    ),
    8,
    FALSE
  ),
  0
)
"),0.0)</f>
        <v>0</v>
      </c>
      <c r="U110" s="60">
        <f>IFERROR(__xludf.DUMMYFUNCTION("IFERROR(
  VLOOKUP(
    A110,
    IMPORTRANGE(
      ""1ZHMy3vVUd_0MrSduXTe1etBb1HNpAlGwQr006ljwMiM"",
      ""GSC最新!A:R""
    ),
    11,
    FALSE
  ),
  0
)
"),0.0)</f>
        <v>0</v>
      </c>
      <c r="V110" s="60">
        <f>IFERROR(__xludf.DUMMYFUNCTION("IFERROR(
  VLOOKUP(
    A110,
    IMPORTRANGE(
      ""1ZHMy3vVUd_0MrSduXTe1etBb1HNpAlGwQr006ljwMiM"",
      ""GSC最新!A:R""
    ),
    14,
    FALSE
  ),
  0
)
"),0.0)</f>
        <v>0</v>
      </c>
      <c r="W110" s="60">
        <f>IFERROR(__xludf.DUMMYFUNCTION("IFERROR(
  VLOOKUP(
    A110,
    IMPORTRANGE(
      ""1ZHMy3vVUd_0MrSduXTe1etBb1HNpAlGwQr006ljwMiM"",
      ""GSC最新!A:R""
    ),
    17,
    FALSE
  ),
  0
)
"),0.08333333333333333)</f>
        <v>0.08333333333</v>
      </c>
      <c r="X110" s="60">
        <f t="shared" ref="X110:Y110" si="544">IFERROR(T110-V110,"-")</f>
        <v>0</v>
      </c>
      <c r="Y110" s="60">
        <f t="shared" si="544"/>
        <v>-0.08333333333</v>
      </c>
      <c r="Z110" s="52">
        <f>IFERROR(__xludf.DUMMYFUNCTION("IFERROR(
  VLOOKUP(
    A110,
    IMPORTRANGE(
      ""1ZHMy3vVUd_0MrSduXTe1etBb1HNpAlGwQr006ljwMiM"",
      ""GSC最新!A:R""
    ),
    9,
    FALSE
  ),
  0
)
"),8.25)</f>
        <v>8.25</v>
      </c>
      <c r="AA110" s="52">
        <f>IFERROR(__xludf.DUMMYFUNCTION("IFERROR(
  VLOOKUP(
    A110,
    IMPORTRANGE(
      ""1ZHMy3vVUd_0MrSduXTe1etBb1HNpAlGwQr006ljwMiM"",
      ""GSC最新!A:R""
    ),
    12,
    FALSE
  ),
  0
)
"),14.647058823529411)</f>
        <v>14.64705882</v>
      </c>
      <c r="AB110" s="52">
        <f>IFERROR(__xludf.DUMMYFUNCTION("IFERROR(
  VLOOKUP(
    A110,
    IMPORTRANGE(
      ""1ZHMy3vVUd_0MrSduXTe1etBb1HNpAlGwQr006ljwMiM"",
      ""GSC最新!A:R""
    ),
    15,
    FALSE
  ),
  0
)
"),25.571428571428573)</f>
        <v>25.57142857</v>
      </c>
      <c r="AC110" s="52">
        <f>IFERROR(__xludf.DUMMYFUNCTION("IFERROR(
  VLOOKUP(
    A110,
    IMPORTRANGE(
      ""1ZHMy3vVUd_0MrSduXTe1etBb1HNpAlGwQr006ljwMiM"",
      ""GSC最新!A:R""
    ),
    18,
    FALSE
  ),
  0
)
"),30.333333333333332)</f>
        <v>30.33333333</v>
      </c>
      <c r="AD110" s="52">
        <f t="shared" ref="AD110:AE110" si="545">Z110-AB110</f>
        <v>-17.32142857</v>
      </c>
      <c r="AE110" s="52">
        <f t="shared" si="545"/>
        <v>-15.68627451</v>
      </c>
      <c r="AF110" s="53">
        <f>IFERROR(__xludf.DUMMYFUNCTION("IFERROR(
  VLOOKUP(
    A110,
    IMPORTRANGE(
      ""1ZHMy3vVUd_0MrSduXTe1etBb1HNpAlGwQr006ljwMiM"",
      ""GSC最新!A:F""
    ),
    6,
    FALSE
  ),
  0
)
"),46081.0)</f>
        <v>46081</v>
      </c>
      <c r="AG110" s="54">
        <f>IFERROR(__xludf.DUMMYFUNCTION("IFERROR(
  VLOOKUP(
    A110,
    IMPORTRANGE(
      ""1SCYQd7_cobOYqT0r_F0IqD4tE4rYn5y8Eup4PJTH8es"",
      ""Snapshot!A:M""
    ),
    5,
    FALSE
  ),
  ""-""
)
"),0.0)</f>
        <v>0</v>
      </c>
      <c r="AH110" s="54">
        <f>IFERROR(__xludf.DUMMYFUNCTION("IFERROR(
  VLOOKUP(
    A110,
    IMPORTRANGE(
      ""1SCYQd7_cobOYqT0r_F0IqD4tE4rYn5y8Eup4PJTH8es"",
      ""Snapshot!A:M""
    ),
    6,
    FALSE
  ),
  0
)
"),0.0)</f>
        <v>0</v>
      </c>
      <c r="AI110" s="54">
        <f>IFERROR(__xludf.DUMMYFUNCTION("IFERROR(
  VLOOKUP(
    A110,
    IMPORTRANGE(
      ""1SCYQd7_cobOYqT0r_F0IqD4tE4rYn5y8Eup4PJTH8es"",
      ""Snapshot!A:M""
    ),
    7,
    FALSE
  ),
  0
)
"),0.0)</f>
        <v>0</v>
      </c>
      <c r="AJ110" s="54">
        <f>IFERROR(__xludf.DUMMYFUNCTION("IFERROR(
  VLOOKUP(
    A110,
    IMPORTRANGE(
      ""1SCYQd7_cobOYqT0r_F0IqD4tE4rYn5y8Eup4PJTH8es"",
      ""Snapshot!A:M""
    ),
    8,
    FALSE
  ),
  0
)
"),0.0)</f>
        <v>0</v>
      </c>
      <c r="AK110" s="54">
        <f>IFERROR(__xludf.DUMMYFUNCTION("IFERROR(
  VLOOKUP(
    A110,
    IMPORTRANGE(
      ""1SCYQd7_cobOYqT0r_F0IqD4tE4rYn5y8Eup4PJTH8es"",
      ""Snapshot!A:M""
    ),
    9,
    FALSE
  ),
  0
)
"),0.0)</f>
        <v>0</v>
      </c>
      <c r="AL110" s="54">
        <f>IFERROR(__xludf.DUMMYFUNCTION("IFERROR(
  VLOOKUP(
    A110,
    IMPORTRANGE(
      ""1SCYQd7_cobOYqT0r_F0IqD4tE4rYn5y8Eup4PJTH8es"",
      ""Snapshot!A:M""
    ),
    13,
    FALSE
  ),
  0
)
"),1.0)</f>
        <v>1</v>
      </c>
    </row>
    <row r="111">
      <c r="A111" s="3" t="s">
        <v>442</v>
      </c>
      <c r="B111" s="1" t="str">
        <f>IFERROR(__xludf.DUMMYFUNCTION("IFERROR(
  VLOOKUP(
    A111,
    IMPORTRANGE(
      ""1ZygntHC1J6IxzKbTidmOyf5nUyW4GCLurHCjexrLm_o"",
      ""HTMLキャッシュ!A:F""
    ),
    2,
    FALSE
  ),
  0
)
"),"ST")</f>
        <v>ST</v>
      </c>
      <c r="C111" s="1" t="str">
        <f>IFERROR(__xludf.DUMMYFUNCTION("IFERROR(
  VLOOKUP(
    A111,
    IMPORTRANGE(
      ""1ZygntHC1J6IxzKbTidmOyf5nUyW4GCLurHCjexrLm_o"",
      ""HTMLキャッシュ!A:F""
    ),
    5,
    FALSE
  ),
  0
)
"),"中学受験算数｜季節講習の時間割と効率的な受講スケジュール")</f>
        <v>中学受験算数｜季節講習の時間割と効率的な受講スケジュール</v>
      </c>
      <c r="D111" s="1" t="str">
        <f>IFERROR(__xludf.DUMMYFUNCTION("IFERROR(
  VLOOKUP(
    A111,
    IMPORTRANGE(
      ""1ZygntHC1J6IxzKbTidmOyf5nUyW4GCLurHCjexrLm_o        "",
      ""HTMLキャッシュ!A:F""
    ),
    6,
    FALSE
  ),
  0
)
"),"")</f>
        <v/>
      </c>
      <c r="E111" s="49">
        <f t="shared" ref="E111:F111" si="546">LEN(C111)</f>
        <v>28</v>
      </c>
      <c r="F111" s="49">
        <f t="shared" si="546"/>
        <v>0</v>
      </c>
      <c r="G111" s="32">
        <f>IFERROR(__xludf.DUMMYFUNCTION("IFERROR(
  VLOOKUP(
    A111,
    IMPORTRANGE(
      ""1ZygntHC1J6IxzKbTidmOyf5nUyW4GCLurHCjexrLm_o        "",
      ""HTMLキャッシュ!A:F""
    ),
    3,
    FALSE
  ),
  0
)
"),46075.597349537034)</f>
        <v>46075.59735</v>
      </c>
      <c r="H111" s="54">
        <f>IFERROR(__xludf.DUMMYFUNCTION("IFERROR(
  VLOOKUP(
    A111,
    IMPORTRANGE(
      ""1ZHMy3vVUd_0MrSduXTe1etBb1HNpAlGwQr006ljwMiM"",
      ""GSC最新!A:F""
    ),
    2,
    FALSE
  ),
  0
)
"),0.0)</f>
        <v>0</v>
      </c>
      <c r="I111" s="54">
        <f>IFERROR(__xludf.DUMMYFUNCTION("IFERROR(
  VLOOKUP(
    A111,
    IMPORTRANGE(
      ""1ZHMy3vVUd_0MrSduXTe1etBb1HNpAlGwQr006ljwMiM"",
      ""GSC最新!A:F""
    ),
    3,
    FALSE
  ),
  0
)
"),0.0)</f>
        <v>0</v>
      </c>
      <c r="J111" s="54">
        <f>IFERROR(__xludf.DUMMYFUNCTION("IFERROR(
  VLOOKUP(
    A111,
    IMPORTRANGE(
      ""1ZHMy3vVUd_0MrSduXTe1etBb1HNpAlGwQr006ljwMiM"",
      ""GSC最新!A:F""
    ),
    4,
    FALSE
  ),
  0
)
"),0.0)</f>
        <v>0</v>
      </c>
      <c r="K111" s="54">
        <f>IFERROR(__xludf.DUMMYFUNCTION("IFERROR(
  VLOOKUP(
    A111,
    IMPORTRANGE(
      ""1ZHMy3vVUd_0MrSduXTe1etBb1HNpAlGwQr006ljwMiM"",
      ""GSC最新!A:F""
    ),
    5,
    FALSE
  ),
  0
)
"),0.0)</f>
        <v>0</v>
      </c>
      <c r="L111" s="50" t="str">
        <f t="shared" ref="L111:M111" si="547">IFERROR(H111/J111,"-")</f>
        <v>-</v>
      </c>
      <c r="M111" s="50" t="str">
        <f t="shared" si="547"/>
        <v>-</v>
      </c>
      <c r="N111" s="59">
        <f>IFERROR(__xludf.DUMMYFUNCTION("IFERROR(
  VLOOKUP(
    A111,
    IMPORTRANGE(
      ""1ZHMy3vVUd_0MrSduXTe1etBb1HNpAlGwQr006ljwMiM"",
      ""GSC最新!A:R""
    ),
    7,
    FALSE
  ),
  0
)
"),7.0)</f>
        <v>7</v>
      </c>
      <c r="O111" s="59">
        <f>IFERROR(__xludf.DUMMYFUNCTION("IFERROR(
  VLOOKUP(
    A111,
    IMPORTRANGE(
      ""1ZHMy3vVUd_0MrSduXTe1etBb1HNpAlGwQr006ljwMiM"",
      ""GSC最新!A:R""
    ),
    10,
    FALSE
  ),
  0
)
"),14.0)</f>
        <v>14</v>
      </c>
      <c r="P111" s="59">
        <f>IFERROR(__xludf.DUMMYFUNCTION("IFERROR(
  VLOOKUP(
    A111,
    IMPORTRANGE(
      ""1ZHMy3vVUd_0MrSduXTe1etBb1HNpAlGwQr006ljwMiM"",
      ""GSC最新!A:R""
    ),
    13,
    FALSE
  ),
  0
)
"),7.0)</f>
        <v>7</v>
      </c>
      <c r="Q111" s="59">
        <f>IFERROR(__xludf.DUMMYFUNCTION("IFERROR(
  VLOOKUP(
    A111,
    IMPORTRANGE(
      ""1ZHMy3vVUd_0MrSduXTe1etBb1HNpAlGwQr006ljwMiM"",
      ""GSC最新!A:R""
    ),
    16,
    FALSE
  ),
  0
)
"),12.0)</f>
        <v>12</v>
      </c>
      <c r="R111" s="50">
        <f t="shared" ref="R111:S111" si="548">IFERROR(N111/P111,"-")</f>
        <v>1</v>
      </c>
      <c r="S111" s="50">
        <f t="shared" si="548"/>
        <v>1.166666667</v>
      </c>
      <c r="T111" s="60">
        <f>IFERROR(__xludf.DUMMYFUNCTION("IFERROR(
  VLOOKUP(
    A111,
    IMPORTRANGE(
      ""1ZHMy3vVUd_0MrSduXTe1etBb1HNpAlGwQr006ljwMiM"",
      ""GSC最新!A:R""
    ),
    8,
    FALSE
  ),
  0
)
"),0.0)</f>
        <v>0</v>
      </c>
      <c r="U111" s="60">
        <f>IFERROR(__xludf.DUMMYFUNCTION("IFERROR(
  VLOOKUP(
    A111,
    IMPORTRANGE(
      ""1ZHMy3vVUd_0MrSduXTe1etBb1HNpAlGwQr006ljwMiM"",
      ""GSC最新!A:R""
    ),
    11,
    FALSE
  ),
  0
)
"),0.0)</f>
        <v>0</v>
      </c>
      <c r="V111" s="60">
        <f>IFERROR(__xludf.DUMMYFUNCTION("IFERROR(
  VLOOKUP(
    A111,
    IMPORTRANGE(
      ""1ZHMy3vVUd_0MrSduXTe1etBb1HNpAlGwQr006ljwMiM"",
      ""GSC最新!A:R""
    ),
    14,
    FALSE
  ),
  0
)
"),0.0)</f>
        <v>0</v>
      </c>
      <c r="W111" s="60">
        <f>IFERROR(__xludf.DUMMYFUNCTION("IFERROR(
  VLOOKUP(
    A111,
    IMPORTRANGE(
      ""1ZHMy3vVUd_0MrSduXTe1etBb1HNpAlGwQr006ljwMiM"",
      ""GSC最新!A:R""
    ),
    17,
    FALSE
  ),
  0
)
"),0.0)</f>
        <v>0</v>
      </c>
      <c r="X111" s="60">
        <f t="shared" ref="X111:Y111" si="549">IFERROR(T111-V111,"-")</f>
        <v>0</v>
      </c>
      <c r="Y111" s="60">
        <f t="shared" si="549"/>
        <v>0</v>
      </c>
      <c r="Z111" s="52">
        <f>IFERROR(__xludf.DUMMYFUNCTION("IFERROR(
  VLOOKUP(
    A111,
    IMPORTRANGE(
      ""1ZHMy3vVUd_0MrSduXTe1etBb1HNpAlGwQr006ljwMiM"",
      ""GSC最新!A:R""
    ),
    9,
    FALSE
  ),
  0
)
"),4.428571428571429)</f>
        <v>4.428571429</v>
      </c>
      <c r="AA111" s="52">
        <f>IFERROR(__xludf.DUMMYFUNCTION("IFERROR(
  VLOOKUP(
    A111,
    IMPORTRANGE(
      ""1ZHMy3vVUd_0MrSduXTe1etBb1HNpAlGwQr006ljwMiM"",
      ""GSC最新!A:R""
    ),
    12,
    FALSE
  ),
  0
)
"),6.642857142857143)</f>
        <v>6.642857143</v>
      </c>
      <c r="AB111" s="52">
        <f>IFERROR(__xludf.DUMMYFUNCTION("IFERROR(
  VLOOKUP(
    A111,
    IMPORTRANGE(
      ""1ZHMy3vVUd_0MrSduXTe1etBb1HNpAlGwQr006ljwMiM"",
      ""GSC最新!A:R""
    ),
    15,
    FALSE
  ),
  0
)
"),33.57142857142857)</f>
        <v>33.57142857</v>
      </c>
      <c r="AC111" s="52">
        <f>IFERROR(__xludf.DUMMYFUNCTION("IFERROR(
  VLOOKUP(
    A111,
    IMPORTRANGE(
      ""1ZHMy3vVUd_0MrSduXTe1etBb1HNpAlGwQr006ljwMiM"",
      ""GSC最新!A:R""
    ),
    18,
    FALSE
  ),
  0
)
"),28.416666666666668)</f>
        <v>28.41666667</v>
      </c>
      <c r="AD111" s="52">
        <f t="shared" ref="AD111:AE111" si="550">Z111-AB111</f>
        <v>-29.14285714</v>
      </c>
      <c r="AE111" s="52">
        <f t="shared" si="550"/>
        <v>-21.77380952</v>
      </c>
      <c r="AF111" s="53">
        <f>IFERROR(__xludf.DUMMYFUNCTION("IFERROR(
  VLOOKUP(
    A111,
    IMPORTRANGE(
      ""1ZHMy3vVUd_0MrSduXTe1etBb1HNpAlGwQr006ljwMiM"",
      ""GSC最新!A:F""
    ),
    6,
    FALSE
  ),
  0
)
"),46081.0)</f>
        <v>46081</v>
      </c>
      <c r="AG111" s="54">
        <f>IFERROR(__xludf.DUMMYFUNCTION("IFERROR(
  VLOOKUP(
    A111,
    IMPORTRANGE(
      ""1SCYQd7_cobOYqT0r_F0IqD4tE4rYn5y8Eup4PJTH8es"",
      ""Snapshot!A:M""
    ),
    5,
    FALSE
  ),
  ""-""
)
"),0.0)</f>
        <v>0</v>
      </c>
      <c r="AH111" s="54">
        <f>IFERROR(__xludf.DUMMYFUNCTION("IFERROR(
  VLOOKUP(
    A111,
    IMPORTRANGE(
      ""1SCYQd7_cobOYqT0r_F0IqD4tE4rYn5y8Eup4PJTH8es"",
      ""Snapshot!A:M""
    ),
    6,
    FALSE
  ),
  0
)
"),0.0)</f>
        <v>0</v>
      </c>
      <c r="AI111" s="54">
        <f>IFERROR(__xludf.DUMMYFUNCTION("IFERROR(
  VLOOKUP(
    A111,
    IMPORTRANGE(
      ""1SCYQd7_cobOYqT0r_F0IqD4tE4rYn5y8Eup4PJTH8es"",
      ""Snapshot!A:M""
    ),
    7,
    FALSE
  ),
  0
)
"),0.0)</f>
        <v>0</v>
      </c>
      <c r="AJ111" s="54">
        <f>IFERROR(__xludf.DUMMYFUNCTION("IFERROR(
  VLOOKUP(
    A111,
    IMPORTRANGE(
      ""1SCYQd7_cobOYqT0r_F0IqD4tE4rYn5y8Eup4PJTH8es"",
      ""Snapshot!A:M""
    ),
    8,
    FALSE
  ),
  0
)
"),0.0)</f>
        <v>0</v>
      </c>
      <c r="AK111" s="54">
        <f>IFERROR(__xludf.DUMMYFUNCTION("IFERROR(
  VLOOKUP(
    A111,
    IMPORTRANGE(
      ""1SCYQd7_cobOYqT0r_F0IqD4tE4rYn5y8Eup4PJTH8es"",
      ""Snapshot!A:M""
    ),
    9,
    FALSE
  ),
  0
)
"),1.0)</f>
        <v>1</v>
      </c>
      <c r="AL111" s="54">
        <f>IFERROR(__xludf.DUMMYFUNCTION("IFERROR(
  VLOOKUP(
    A111,
    IMPORTRANGE(
      ""1SCYQd7_cobOYqT0r_F0IqD4tE4rYn5y8Eup4PJTH8es"",
      ""Snapshot!A:M""
    ),
    13,
    FALSE
  ),
  0
)
"),1.0)</f>
        <v>1</v>
      </c>
    </row>
    <row r="112">
      <c r="A112" s="1" t="s">
        <v>443</v>
      </c>
      <c r="B112" s="1" t="str">
        <f>IFERROR(__xludf.DUMMYFUNCTION("IFERROR(
  VLOOKUP(
    A112,
    IMPORTRANGE(
      ""1ZygntHC1J6IxzKbTidmOyf5nUyW4GCLurHCjexrLm_o"",
      ""HTMLキャッシュ!A:F""
    ),
    2,
    FALSE
  ),
  0
)
"),"NW")</f>
        <v>NW</v>
      </c>
      <c r="C112" s="1" t="str">
        <f>IFERROR(__xludf.DUMMYFUNCTION("IFERROR(
  VLOOKUP(
    A112,
    IMPORTRANGE(
      ""1ZygntHC1J6IxzKbTidmOyf5nUyW4GCLurHCjexrLm_o"",
      ""HTMLキャッシュ!A:F""
    ),
    5,
    FALSE
  ),
  0
)
"),"2026年度生徒募集のお知らせ【個別】 - 中学受験専門 夏井算数塾")</f>
        <v>2026年度生徒募集のお知らせ【個別】 - 中学受験専門 夏井算数塾</v>
      </c>
      <c r="D112" s="1" t="str">
        <f>IFERROR(__xludf.DUMMYFUNCTION("IFERROR(
  VLOOKUP(
    A112,
    IMPORTRANGE(
      ""1ZygntHC1J6IxzKbTidmOyf5nUyW4GCLurHCjexrLm_o        "",
      ""HTMLキャッシュ!A:F""
    ),
    6,
    FALSE
  ),
  0
)
"),"本日より、2026年度の生徒募集を開始いたします。 2月開講講座、個別指導の詳細については、下記をご確認くださ")</f>
        <v>本日より、2026年度の生徒募集を開始いたします。 2月開講講座、個別指導の詳細については、下記をご確認くださ</v>
      </c>
      <c r="E112" s="49">
        <f t="shared" ref="E112:F112" si="551">LEN(C112)</f>
        <v>34</v>
      </c>
      <c r="F112" s="49">
        <f t="shared" si="551"/>
        <v>55</v>
      </c>
      <c r="G112" s="32">
        <f>IFERROR(__xludf.DUMMYFUNCTION("IFERROR(
  VLOOKUP(
    A112,
    IMPORTRANGE(
      ""1ZygntHC1J6IxzKbTidmOyf5nUyW4GCLurHCjexrLm_o        "",
      ""HTMLキャッシュ!A:F""
    ),
    3,
    FALSE
  ),
  0
)
"),46027.56570601852)</f>
        <v>46027.56571</v>
      </c>
      <c r="H112" s="54">
        <f>IFERROR(__xludf.DUMMYFUNCTION("IFERROR(
  VLOOKUP(
    A112,
    IMPORTRANGE(
      ""1ZHMy3vVUd_0MrSduXTe1etBb1HNpAlGwQr006ljwMiM"",
      ""GSC最新!A:F""
    ),
    2,
    FALSE
  ),
  0
)
"),0.0)</f>
        <v>0</v>
      </c>
      <c r="I112" s="54">
        <f>IFERROR(__xludf.DUMMYFUNCTION("IFERROR(
  VLOOKUP(
    A112,
    IMPORTRANGE(
      ""1ZHMy3vVUd_0MrSduXTe1etBb1HNpAlGwQr006ljwMiM"",
      ""GSC最新!A:F""
    ),
    3,
    FALSE
  ),
  0
)
"),0.0)</f>
        <v>0</v>
      </c>
      <c r="J112" s="54">
        <f>IFERROR(__xludf.DUMMYFUNCTION("IFERROR(
  VLOOKUP(
    A112,
    IMPORTRANGE(
      ""1ZHMy3vVUd_0MrSduXTe1etBb1HNpAlGwQr006ljwMiM"",
      ""GSC最新!A:F""
    ),
    4,
    FALSE
  ),
  0
)
"),0.0)</f>
        <v>0</v>
      </c>
      <c r="K112" s="54">
        <f>IFERROR(__xludf.DUMMYFUNCTION("IFERROR(
  VLOOKUP(
    A112,
    IMPORTRANGE(
      ""1ZHMy3vVUd_0MrSduXTe1etBb1HNpAlGwQr006ljwMiM"",
      ""GSC最新!A:F""
    ),
    5,
    FALSE
  ),
  0
)
"),0.0)</f>
        <v>0</v>
      </c>
      <c r="L112" s="50" t="str">
        <f t="shared" ref="L112:M112" si="552">IFERROR(H112/J112,"-")</f>
        <v>-</v>
      </c>
      <c r="M112" s="50" t="str">
        <f t="shared" si="552"/>
        <v>-</v>
      </c>
      <c r="N112" s="59">
        <f>IFERROR(__xludf.DUMMYFUNCTION("IFERROR(
  VLOOKUP(
    A112,
    IMPORTRANGE(
      ""1ZHMy3vVUd_0MrSduXTe1etBb1HNpAlGwQr006ljwMiM"",
      ""GSC最新!A:R""
    ),
    7,
    FALSE
  ),
  0
)
"),2.0)</f>
        <v>2</v>
      </c>
      <c r="O112" s="59">
        <f>IFERROR(__xludf.DUMMYFUNCTION("IFERROR(
  VLOOKUP(
    A112,
    IMPORTRANGE(
      ""1ZHMy3vVUd_0MrSduXTe1etBb1HNpAlGwQr006ljwMiM"",
      ""GSC最新!A:R""
    ),
    10,
    FALSE
  ),
  0
)
"),13.0)</f>
        <v>13</v>
      </c>
      <c r="P112" s="59">
        <f>IFERROR(__xludf.DUMMYFUNCTION("IFERROR(
  VLOOKUP(
    A112,
    IMPORTRANGE(
      ""1ZHMy3vVUd_0MrSduXTe1etBb1HNpAlGwQr006ljwMiM"",
      ""GSC最新!A:R""
    ),
    13,
    FALSE
  ),
  0
)
"),0.0)</f>
        <v>0</v>
      </c>
      <c r="Q112" s="59">
        <f>IFERROR(__xludf.DUMMYFUNCTION("IFERROR(
  VLOOKUP(
    A112,
    IMPORTRANGE(
      ""1ZHMy3vVUd_0MrSduXTe1etBb1HNpAlGwQr006ljwMiM"",
      ""GSC最新!A:R""
    ),
    16,
    FALSE
  ),
  0
)
"),0.0)</f>
        <v>0</v>
      </c>
      <c r="R112" s="50" t="str">
        <f t="shared" ref="R112:S112" si="553">IFERROR(N112/P112,"-")</f>
        <v>-</v>
      </c>
      <c r="S112" s="50" t="str">
        <f t="shared" si="553"/>
        <v>-</v>
      </c>
      <c r="T112" s="60">
        <f>IFERROR(__xludf.DUMMYFUNCTION("IFERROR(
  VLOOKUP(
    A112,
    IMPORTRANGE(
      ""1ZHMy3vVUd_0MrSduXTe1etBb1HNpAlGwQr006ljwMiM"",
      ""GSC最新!A:R""
    ),
    8,
    FALSE
  ),
  0
)
"),0.0)</f>
        <v>0</v>
      </c>
      <c r="U112" s="60">
        <f>IFERROR(__xludf.DUMMYFUNCTION("IFERROR(
  VLOOKUP(
    A112,
    IMPORTRANGE(
      ""1ZHMy3vVUd_0MrSduXTe1etBb1HNpAlGwQr006ljwMiM"",
      ""GSC最新!A:R""
    ),
    11,
    FALSE
  ),
  0
)
"),0.0)</f>
        <v>0</v>
      </c>
      <c r="V112" s="60">
        <f>IFERROR(__xludf.DUMMYFUNCTION("IFERROR(
  VLOOKUP(
    A112,
    IMPORTRANGE(
      ""1ZHMy3vVUd_0MrSduXTe1etBb1HNpAlGwQr006ljwMiM"",
      ""GSC最新!A:R""
    ),
    14,
    FALSE
  ),
  0
)
"),0.0)</f>
        <v>0</v>
      </c>
      <c r="W112" s="60">
        <f>IFERROR(__xludf.DUMMYFUNCTION("IFERROR(
  VLOOKUP(
    A112,
    IMPORTRANGE(
      ""1ZHMy3vVUd_0MrSduXTe1etBb1HNpAlGwQr006ljwMiM"",
      ""GSC最新!A:R""
    ),
    17,
    FALSE
  ),
  0
)
"),0.0)</f>
        <v>0</v>
      </c>
      <c r="X112" s="60">
        <f t="shared" ref="X112:Y112" si="554">IFERROR(T112-V112,"-")</f>
        <v>0</v>
      </c>
      <c r="Y112" s="60">
        <f t="shared" si="554"/>
        <v>0</v>
      </c>
      <c r="Z112" s="52">
        <f>IFERROR(__xludf.DUMMYFUNCTION("IFERROR(
  VLOOKUP(
    A112,
    IMPORTRANGE(
      ""1ZHMy3vVUd_0MrSduXTe1etBb1HNpAlGwQr006ljwMiM"",
      ""GSC最新!A:R""
    ),
    9,
    FALSE
  ),
  0
)
"),2.5)</f>
        <v>2.5</v>
      </c>
      <c r="AA112" s="52">
        <f>IFERROR(__xludf.DUMMYFUNCTION("IFERROR(
  VLOOKUP(
    A112,
    IMPORTRANGE(
      ""1ZHMy3vVUd_0MrSduXTe1etBb1HNpAlGwQr006ljwMiM"",
      ""GSC最新!A:R""
    ),
    12,
    FALSE
  ),
  0
)
"),5.6923076923076925)</f>
        <v>5.692307692</v>
      </c>
      <c r="AB112" s="52" t="str">
        <f>IFERROR(__xludf.DUMMYFUNCTION("IFERROR(
  VLOOKUP(
    A112,
    IMPORTRANGE(
      ""1ZHMy3vVUd_0MrSduXTe1etBb1HNpAlGwQr006ljwMiM"",
      ""GSC最新!A:R""
    ),
    15,
    FALSE
  ),
  0
)
"),"")</f>
        <v/>
      </c>
      <c r="AC112" s="52" t="str">
        <f>IFERROR(__xludf.DUMMYFUNCTION("IFERROR(
  VLOOKUP(
    A112,
    IMPORTRANGE(
      ""1ZHMy3vVUd_0MrSduXTe1etBb1HNpAlGwQr006ljwMiM"",
      ""GSC最新!A:R""
    ),
    18,
    FALSE
  ),
  0
)
"),"")</f>
        <v/>
      </c>
      <c r="AD112" s="52">
        <f t="shared" ref="AD112:AE112" si="555">Z112-AB112</f>
        <v>2.5</v>
      </c>
      <c r="AE112" s="52">
        <f t="shared" si="555"/>
        <v>5.692307692</v>
      </c>
      <c r="AF112" s="53">
        <f>IFERROR(__xludf.DUMMYFUNCTION("IFERROR(
  VLOOKUP(
    A112,
    IMPORTRANGE(
      ""1ZHMy3vVUd_0MrSduXTe1etBb1HNpAlGwQr006ljwMiM"",
      ""GSC最新!A:F""
    ),
    6,
    FALSE
  ),
  0
)
"),46081.0)</f>
        <v>46081</v>
      </c>
      <c r="AG112" s="54">
        <f>IFERROR(__xludf.DUMMYFUNCTION("IFERROR(
  VLOOKUP(
    A112,
    IMPORTRANGE(
      ""1SCYQd7_cobOYqT0r_F0IqD4tE4rYn5y8Eup4PJTH8es"",
      ""Snapshot!A:M""
    ),
    5,
    FALSE
  ),
  ""-""
)
"),0.0)</f>
        <v>0</v>
      </c>
      <c r="AH112" s="54">
        <f>IFERROR(__xludf.DUMMYFUNCTION("IFERROR(
  VLOOKUP(
    A112,
    IMPORTRANGE(
      ""1SCYQd7_cobOYqT0r_F0IqD4tE4rYn5y8Eup4PJTH8es"",
      ""Snapshot!A:M""
    ),
    6,
    FALSE
  ),
  0
)
"),0.0)</f>
        <v>0</v>
      </c>
      <c r="AI112" s="54">
        <f>IFERROR(__xludf.DUMMYFUNCTION("IFERROR(
  VLOOKUP(
    A112,
    IMPORTRANGE(
      ""1SCYQd7_cobOYqT0r_F0IqD4tE4rYn5y8Eup4PJTH8es"",
      ""Snapshot!A:M""
    ),
    7,
    FALSE
  ),
  0
)
"),358.0)</f>
        <v>358</v>
      </c>
      <c r="AJ112" s="54">
        <f>IFERROR(__xludf.DUMMYFUNCTION("IFERROR(
  VLOOKUP(
    A112,
    IMPORTRANGE(
      ""1SCYQd7_cobOYqT0r_F0IqD4tE4rYn5y8Eup4PJTH8es"",
      ""Snapshot!A:M""
    ),
    8,
    FALSE
  ),
  0
)
"),3.0)</f>
        <v>3</v>
      </c>
      <c r="AK112" s="54">
        <f>IFERROR(__xludf.DUMMYFUNCTION("IFERROR(
  VLOOKUP(
    A112,
    IMPORTRANGE(
      ""1SCYQd7_cobOYqT0r_F0IqD4tE4rYn5y8Eup4PJTH8es"",
      ""Snapshot!A:M""
    ),
    9,
    FALSE
  ),
  0
)
"),1.0)</f>
        <v>1</v>
      </c>
      <c r="AL112" s="54">
        <f>IFERROR(__xludf.DUMMYFUNCTION("IFERROR(
  VLOOKUP(
    A112,
    IMPORTRANGE(
      ""1SCYQd7_cobOYqT0r_F0IqD4tE4rYn5y8Eup4PJTH8es"",
      ""Snapshot!A:M""
    ),
    13,
    FALSE
  ),
  0
)
"),2.0)</f>
        <v>2</v>
      </c>
    </row>
    <row r="113">
      <c r="A113" s="3" t="s">
        <v>444</v>
      </c>
      <c r="B113" s="1" t="str">
        <f>IFERROR(__xludf.DUMMYFUNCTION("IFERROR(
  VLOOKUP(
    A113,
    IMPORTRANGE(
      ""1ZygntHC1J6IxzKbTidmOyf5nUyW4GCLurHCjexrLm_o"",
      ""HTMLキャッシュ!A:F""
    ),
    2,
    FALSE
  ),
  0
)
"),"SC")</f>
        <v>SC</v>
      </c>
      <c r="C113" s="1" t="str">
        <f>IFERROR(__xludf.DUMMYFUNCTION("IFERROR(
  VLOOKUP(
    A113,
    IMPORTRANGE(
      ""1ZygntHC1J6IxzKbTidmOyf5nUyW4GCLurHCjexrLm_o"",
      ""HTMLキャッシュ!A:F""
    ),
    5,
    FALSE
  ),
  0
)
"),"オンライン算数で算数嫌いを克服──ゲーム感覚で伸ばす中学受験算数オンライン個別指導 - 中学受験専門 夏井算数塾")</f>
        <v>オンライン算数で算数嫌いを克服──ゲーム感覚で伸ばす中学受験算数オンライン個別指導 - 中学受験専門 夏井算数塾</v>
      </c>
      <c r="D113" s="1" t="str">
        <f>IFERROR(__xludf.DUMMYFUNCTION("IFERROR(
  VLOOKUP(
    A113,
    IMPORTRANGE(
      ""1ZygntHC1J6IxzKbTidmOyf5nUyW4GCLurHCjexrLm_o        "",
      ""HTMLキャッシュ!A:F""
    ),
    6,
    FALSE
  ),
  0
)
"),"オンライン算数で「分からない」「続かない」を脱出し、中学受験算数オンライン個別指導でゲーム感覚の反復学習と学習診断を実現。自宅で苦手単元だけ集中的に鍛え、計算スピードと理解度を同時に伸ばしたい小学生・保護者向けガイド。")</f>
        <v>オンライン算数で「分からない」「続かない」を脱出し、中学受験算数オンライン個別指導でゲーム感覚の反復学習と学習診断を実現。自宅で苦手単元だけ集中的に鍛え、計算スピードと理解度を同時に伸ばしたい小学生・保護者向けガイド。</v>
      </c>
      <c r="E113" s="49">
        <f t="shared" ref="E113:F113" si="556">LEN(C113)</f>
        <v>56</v>
      </c>
      <c r="F113" s="49">
        <f t="shared" si="556"/>
        <v>109</v>
      </c>
      <c r="G113" s="32">
        <f>IFERROR(__xludf.DUMMYFUNCTION("IFERROR(
  VLOOKUP(
    A113,
    IMPORTRANGE(
      ""1ZygntHC1J6IxzKbTidmOyf5nUyW4GCLurHCjexrLm_o        "",
      ""HTMLキャッシュ!A:F""
    ),
    3,
    FALSE
  ),
  0
)
"),46076.6375)</f>
        <v>46076.6375</v>
      </c>
      <c r="H113" s="54">
        <f>IFERROR(__xludf.DUMMYFUNCTION("IFERROR(
  VLOOKUP(
    A113,
    IMPORTRANGE(
      ""1ZHMy3vVUd_0MrSduXTe1etBb1HNpAlGwQr006ljwMiM"",
      ""GSC最新!A:F""
    ),
    2,
    FALSE
  ),
  0
)
"),0.0)</f>
        <v>0</v>
      </c>
      <c r="I113" s="54">
        <f>IFERROR(__xludf.DUMMYFUNCTION("IFERROR(
  VLOOKUP(
    A113,
    IMPORTRANGE(
      ""1ZHMy3vVUd_0MrSduXTe1etBb1HNpAlGwQr006ljwMiM"",
      ""GSC最新!A:F""
    ),
    3,
    FALSE
  ),
  0
)
"),0.0)</f>
        <v>0</v>
      </c>
      <c r="J113" s="54">
        <f>IFERROR(__xludf.DUMMYFUNCTION("IFERROR(
  VLOOKUP(
    A113,
    IMPORTRANGE(
      ""1ZHMy3vVUd_0MrSduXTe1etBb1HNpAlGwQr006ljwMiM"",
      ""GSC最新!A:F""
    ),
    4,
    FALSE
  ),
  0
)
"),0.0)</f>
        <v>0</v>
      </c>
      <c r="K113" s="54">
        <f>IFERROR(__xludf.DUMMYFUNCTION("IFERROR(
  VLOOKUP(
    A113,
    IMPORTRANGE(
      ""1ZHMy3vVUd_0MrSduXTe1etBb1HNpAlGwQr006ljwMiM"",
      ""GSC最新!A:F""
    ),
    5,
    FALSE
  ),
  0
)
"),0.0)</f>
        <v>0</v>
      </c>
      <c r="L113" s="50" t="str">
        <f t="shared" ref="L113:M113" si="557">IFERROR(H113/J113,"-")</f>
        <v>-</v>
      </c>
      <c r="M113" s="50" t="str">
        <f t="shared" si="557"/>
        <v>-</v>
      </c>
      <c r="N113" s="59">
        <f>IFERROR(__xludf.DUMMYFUNCTION("IFERROR(
  VLOOKUP(
    A113,
    IMPORTRANGE(
      ""1ZHMy3vVUd_0MrSduXTe1etBb1HNpAlGwQr006ljwMiM"",
      ""GSC最新!A:R""
    ),
    7,
    FALSE
  ),
  0
)
"),3.0)</f>
        <v>3</v>
      </c>
      <c r="O113" s="59">
        <f>IFERROR(__xludf.DUMMYFUNCTION("IFERROR(
  VLOOKUP(
    A113,
    IMPORTRANGE(
      ""1ZHMy3vVUd_0MrSduXTe1etBb1HNpAlGwQr006ljwMiM"",
      ""GSC最新!A:R""
    ),
    10,
    FALSE
  ),
  0
)
"),12.0)</f>
        <v>12</v>
      </c>
      <c r="P113" s="59">
        <f>IFERROR(__xludf.DUMMYFUNCTION("IFERROR(
  VLOOKUP(
    A113,
    IMPORTRANGE(
      ""1ZHMy3vVUd_0MrSduXTe1etBb1HNpAlGwQr006ljwMiM"",
      ""GSC最新!A:R""
    ),
    13,
    FALSE
  ),
  0
)
"),0.0)</f>
        <v>0</v>
      </c>
      <c r="Q113" s="59">
        <f>IFERROR(__xludf.DUMMYFUNCTION("IFERROR(
  VLOOKUP(
    A113,
    IMPORTRANGE(
      ""1ZHMy3vVUd_0MrSduXTe1etBb1HNpAlGwQr006ljwMiM"",
      ""GSC最新!A:R""
    ),
    16,
    FALSE
  ),
  0
)
"),0.0)</f>
        <v>0</v>
      </c>
      <c r="R113" s="50" t="str">
        <f t="shared" ref="R113:S113" si="558">IFERROR(N113/P113,"-")</f>
        <v>-</v>
      </c>
      <c r="S113" s="50" t="str">
        <f t="shared" si="558"/>
        <v>-</v>
      </c>
      <c r="T113" s="60">
        <f>IFERROR(__xludf.DUMMYFUNCTION("IFERROR(
  VLOOKUP(
    A113,
    IMPORTRANGE(
      ""1ZHMy3vVUd_0MrSduXTe1etBb1HNpAlGwQr006ljwMiM"",
      ""GSC最新!A:R""
    ),
    8,
    FALSE
  ),
  0
)
"),0.0)</f>
        <v>0</v>
      </c>
      <c r="U113" s="60">
        <f>IFERROR(__xludf.DUMMYFUNCTION("IFERROR(
  VLOOKUP(
    A113,
    IMPORTRANGE(
      ""1ZHMy3vVUd_0MrSduXTe1etBb1HNpAlGwQr006ljwMiM"",
      ""GSC最新!A:R""
    ),
    11,
    FALSE
  ),
  0
)
"),0.0)</f>
        <v>0</v>
      </c>
      <c r="V113" s="60">
        <f>IFERROR(__xludf.DUMMYFUNCTION("IFERROR(
  VLOOKUP(
    A113,
    IMPORTRANGE(
      ""1ZHMy3vVUd_0MrSduXTe1etBb1HNpAlGwQr006ljwMiM"",
      ""GSC最新!A:R""
    ),
    14,
    FALSE
  ),
  0
)
"),0.0)</f>
        <v>0</v>
      </c>
      <c r="W113" s="60">
        <f>IFERROR(__xludf.DUMMYFUNCTION("IFERROR(
  VLOOKUP(
    A113,
    IMPORTRANGE(
      ""1ZHMy3vVUd_0MrSduXTe1etBb1HNpAlGwQr006ljwMiM"",
      ""GSC最新!A:R""
    ),
    17,
    FALSE
  ),
  0
)
"),0.0)</f>
        <v>0</v>
      </c>
      <c r="X113" s="60">
        <f t="shared" ref="X113:Y113" si="559">IFERROR(T113-V113,"-")</f>
        <v>0</v>
      </c>
      <c r="Y113" s="60">
        <f t="shared" si="559"/>
        <v>0</v>
      </c>
      <c r="Z113" s="52">
        <f>IFERROR(__xludf.DUMMYFUNCTION("IFERROR(
  VLOOKUP(
    A113,
    IMPORTRANGE(
      ""1ZHMy3vVUd_0MrSduXTe1etBb1HNpAlGwQr006ljwMiM"",
      ""GSC最新!A:R""
    ),
    9,
    FALSE
  ),
  0
)
"),10.666666666666666)</f>
        <v>10.66666667</v>
      </c>
      <c r="AA113" s="52">
        <f>IFERROR(__xludf.DUMMYFUNCTION("IFERROR(
  VLOOKUP(
    A113,
    IMPORTRANGE(
      ""1ZHMy3vVUd_0MrSduXTe1etBb1HNpAlGwQr006ljwMiM"",
      ""GSC最新!A:R""
    ),
    12,
    FALSE
  ),
  0
)
"),7.333333333333333)</f>
        <v>7.333333333</v>
      </c>
      <c r="AB113" s="52" t="str">
        <f>IFERROR(__xludf.DUMMYFUNCTION("IFERROR(
  VLOOKUP(
    A113,
    IMPORTRANGE(
      ""1ZHMy3vVUd_0MrSduXTe1etBb1HNpAlGwQr006ljwMiM"",
      ""GSC最新!A:R""
    ),
    15,
    FALSE
  ),
  0
)
"),"")</f>
        <v/>
      </c>
      <c r="AC113" s="52" t="str">
        <f>IFERROR(__xludf.DUMMYFUNCTION("IFERROR(
  VLOOKUP(
    A113,
    IMPORTRANGE(
      ""1ZHMy3vVUd_0MrSduXTe1etBb1HNpAlGwQr006ljwMiM"",
      ""GSC最新!A:R""
    ),
    18,
    FALSE
  ),
  0
)
"),"")</f>
        <v/>
      </c>
      <c r="AD113" s="52">
        <f t="shared" ref="AD113:AE113" si="560">Z113-AB113</f>
        <v>10.66666667</v>
      </c>
      <c r="AE113" s="52">
        <f t="shared" si="560"/>
        <v>7.333333333</v>
      </c>
      <c r="AF113" s="53">
        <f>IFERROR(__xludf.DUMMYFUNCTION("IFERROR(
  VLOOKUP(
    A113,
    IMPORTRANGE(
      ""1ZHMy3vVUd_0MrSduXTe1etBb1HNpAlGwQr006ljwMiM"",
      ""GSC最新!A:F""
    ),
    6,
    FALSE
  ),
  0
)
"),46081.0)</f>
        <v>46081</v>
      </c>
      <c r="AG113" s="54">
        <f>IFERROR(__xludf.DUMMYFUNCTION("IFERROR(
  VLOOKUP(
    A113,
    IMPORTRANGE(
      ""1SCYQd7_cobOYqT0r_F0IqD4tE4rYn5y8Eup4PJTH8es"",
      ""Snapshot!A:M""
    ),
    5,
    FALSE
  ),
  ""-""
)
"),11.0)</f>
        <v>11</v>
      </c>
      <c r="AH113" s="54">
        <f>IFERROR(__xludf.DUMMYFUNCTION("IFERROR(
  VLOOKUP(
    A113,
    IMPORTRANGE(
      ""1SCYQd7_cobOYqT0r_F0IqD4tE4rYn5y8Eup4PJTH8es"",
      ""Snapshot!A:M""
    ),
    6,
    FALSE
  ),
  0
)
"),13.0)</f>
        <v>13</v>
      </c>
      <c r="AI113" s="54">
        <f>IFERROR(__xludf.DUMMYFUNCTION("IFERROR(
  VLOOKUP(
    A113,
    IMPORTRANGE(
      ""1SCYQd7_cobOYqT0r_F0IqD4tE4rYn5y8Eup4PJTH8es"",
      ""Snapshot!A:M""
    ),
    7,
    FALSE
  ),
  0
)
"),5559.0)</f>
        <v>5559</v>
      </c>
      <c r="AJ113" s="54">
        <f>IFERROR(__xludf.DUMMYFUNCTION("IFERROR(
  VLOOKUP(
    A113,
    IMPORTRANGE(
      ""1SCYQd7_cobOYqT0r_F0IqD4tE4rYn5y8Eup4PJTH8es"",
      ""Snapshot!A:M""
    ),
    8,
    FALSE
  ),
  0
)
"),4.0)</f>
        <v>4</v>
      </c>
      <c r="AK113" s="54">
        <f>IFERROR(__xludf.DUMMYFUNCTION("IFERROR(
  VLOOKUP(
    A113,
    IMPORTRANGE(
      ""1SCYQd7_cobOYqT0r_F0IqD4tE4rYn5y8Eup4PJTH8es"",
      ""Snapshot!A:M""
    ),
    9,
    FALSE
  ),
  0
)
"),2.0)</f>
        <v>2</v>
      </c>
      <c r="AL113" s="54">
        <f>IFERROR(__xludf.DUMMYFUNCTION("IFERROR(
  VLOOKUP(
    A113,
    IMPORTRANGE(
      ""1SCYQd7_cobOYqT0r_F0IqD4tE4rYn5y8Eup4PJTH8es"",
      ""Snapshot!A:M""
    ),
    13,
    FALSE
  ),
  0
)
"),3.0)</f>
        <v>3</v>
      </c>
    </row>
    <row r="114">
      <c r="A114" s="3" t="s">
        <v>445</v>
      </c>
      <c r="B114" s="1" t="str">
        <f>IFERROR(__xludf.DUMMYFUNCTION("IFERROR(
  VLOOKUP(
    A114,
    IMPORTRANGE(
      ""1ZygntHC1J6IxzKbTidmOyf5nUyW4GCLurHCjexrLm_o"",
      ""HTMLキャッシュ!A:F""
    ),
    2,
    FALSE
  ),
  0
)
"),"MC")</f>
        <v>MC</v>
      </c>
      <c r="C114" s="1" t="str">
        <f>IFERROR(__xludf.DUMMYFUNCTION("IFERROR(
  VLOOKUP(
    A114,
    IMPORTRANGE(
      ""1ZygntHC1J6IxzKbTidmOyf5nUyW4GCLurHCjexrLm_o"",
      ""HTMLキャッシュ!A:F""
    ),
    5,
    FALSE
  ),
  0
)
"),"小4算数の壁を突破する！中学受験に向けた基礎固めのコツ")</f>
        <v>小4算数の壁を突破する！中学受験に向けた基礎固めのコツ</v>
      </c>
      <c r="D114" s="1" t="str">
        <f>IFERROR(__xludf.DUMMYFUNCTION("IFERROR(
  VLOOKUP(
    A114,
    IMPORTRANGE(
      ""1ZygntHC1J6IxzKbTidmOyf5nUyW4GCLurHCjexrLm_o        "",
      ""HTMLキャッシュ!A:F""
    ),
    6,
    FALSE
  ),
  0
)
"),"４年生の授業の特徴とは？──中学受験算数の「土台」になる学年 ４年生で行う算数の授業は、いわば「")</f>
        <v>４年生の授業の特徴とは？──中学受験算数の「土台」になる学年 ４年生で行う算数の授業は、いわば「</v>
      </c>
      <c r="E114" s="49">
        <f t="shared" ref="E114:F114" si="561">LEN(C114)</f>
        <v>27</v>
      </c>
      <c r="F114" s="49">
        <f t="shared" si="561"/>
        <v>48</v>
      </c>
      <c r="G114" s="32">
        <f>IFERROR(__xludf.DUMMYFUNCTION("IFERROR(
  VLOOKUP(
    A114,
    IMPORTRANGE(
      ""1ZygntHC1J6IxzKbTidmOyf5nUyW4GCLurHCjexrLm_o        "",
      ""HTMLキャッシュ!A:F""
    ),
    3,
    FALSE
  ),
  0
)
"),46073.695393518516)</f>
        <v>46073.69539</v>
      </c>
      <c r="H114" s="54">
        <f>IFERROR(__xludf.DUMMYFUNCTION("IFERROR(
  VLOOKUP(
    A114,
    IMPORTRANGE(
      ""1ZHMy3vVUd_0MrSduXTe1etBb1HNpAlGwQr006ljwMiM"",
      ""GSC最新!A:F""
    ),
    2,
    FALSE
  ),
  0
)
"),0.0)</f>
        <v>0</v>
      </c>
      <c r="I114" s="54">
        <f>IFERROR(__xludf.DUMMYFUNCTION("IFERROR(
  VLOOKUP(
    A114,
    IMPORTRANGE(
      ""1ZHMy3vVUd_0MrSduXTe1etBb1HNpAlGwQr006ljwMiM"",
      ""GSC最新!A:F""
    ),
    3,
    FALSE
  ),
  0
)
"),0.0)</f>
        <v>0</v>
      </c>
      <c r="J114" s="54">
        <f>IFERROR(__xludf.DUMMYFUNCTION("IFERROR(
  VLOOKUP(
    A114,
    IMPORTRANGE(
      ""1ZHMy3vVUd_0MrSduXTe1etBb1HNpAlGwQr006ljwMiM"",
      ""GSC最新!A:F""
    ),
    4,
    FALSE
  ),
  0
)
"),0.0)</f>
        <v>0</v>
      </c>
      <c r="K114" s="54">
        <f>IFERROR(__xludf.DUMMYFUNCTION("IFERROR(
  VLOOKUP(
    A114,
    IMPORTRANGE(
      ""1ZHMy3vVUd_0MrSduXTe1etBb1HNpAlGwQr006ljwMiM"",
      ""GSC最新!A:F""
    ),
    5,
    FALSE
  ),
  0
)
"),0.0)</f>
        <v>0</v>
      </c>
      <c r="L114" s="50" t="str">
        <f t="shared" ref="L114:M114" si="562">IFERROR(H114/J114,"-")</f>
        <v>-</v>
      </c>
      <c r="M114" s="50" t="str">
        <f t="shared" si="562"/>
        <v>-</v>
      </c>
      <c r="N114" s="59">
        <f>IFERROR(__xludf.DUMMYFUNCTION("IFERROR(
  VLOOKUP(
    A114,
    IMPORTRANGE(
      ""1ZHMy3vVUd_0MrSduXTe1etBb1HNpAlGwQr006ljwMiM"",
      ""GSC最新!A:R""
    ),
    7,
    FALSE
  ),
  0
)
"),0.0)</f>
        <v>0</v>
      </c>
      <c r="O114" s="59">
        <f>IFERROR(__xludf.DUMMYFUNCTION("IFERROR(
  VLOOKUP(
    A114,
    IMPORTRANGE(
      ""1ZHMy3vVUd_0MrSduXTe1etBb1HNpAlGwQr006ljwMiM"",
      ""GSC最新!A:R""
    ),
    10,
    FALSE
  ),
  0
)
"),11.0)</f>
        <v>11</v>
      </c>
      <c r="P114" s="59">
        <f>IFERROR(__xludf.DUMMYFUNCTION("IFERROR(
  VLOOKUP(
    A114,
    IMPORTRANGE(
      ""1ZHMy3vVUd_0MrSduXTe1etBb1HNpAlGwQr006ljwMiM"",
      ""GSC最新!A:R""
    ),
    13,
    FALSE
  ),
  0
)
"),7.0)</f>
        <v>7</v>
      </c>
      <c r="Q114" s="59">
        <f>IFERROR(__xludf.DUMMYFUNCTION("IFERROR(
  VLOOKUP(
    A114,
    IMPORTRANGE(
      ""1ZHMy3vVUd_0MrSduXTe1etBb1HNpAlGwQr006ljwMiM"",
      ""GSC最新!A:R""
    ),
    16,
    FALSE
  ),
  0
)
"),12.0)</f>
        <v>12</v>
      </c>
      <c r="R114" s="50">
        <f t="shared" ref="R114:S114" si="563">IFERROR(N114/P114,"-")</f>
        <v>0</v>
      </c>
      <c r="S114" s="50">
        <f t="shared" si="563"/>
        <v>0.9166666667</v>
      </c>
      <c r="T114" s="60">
        <f>IFERROR(__xludf.DUMMYFUNCTION("IFERROR(
  VLOOKUP(
    A114,
    IMPORTRANGE(
      ""1ZHMy3vVUd_0MrSduXTe1etBb1HNpAlGwQr006ljwMiM"",
      ""GSC最新!A:R""
    ),
    8,
    FALSE
  ),
  0
)
"),0.0)</f>
        <v>0</v>
      </c>
      <c r="U114" s="60">
        <f>IFERROR(__xludf.DUMMYFUNCTION("IFERROR(
  VLOOKUP(
    A114,
    IMPORTRANGE(
      ""1ZHMy3vVUd_0MrSduXTe1etBb1HNpAlGwQr006ljwMiM"",
      ""GSC最新!A:R""
    ),
    11,
    FALSE
  ),
  0
)
"),0.0)</f>
        <v>0</v>
      </c>
      <c r="V114" s="60">
        <f>IFERROR(__xludf.DUMMYFUNCTION("IFERROR(
  VLOOKUP(
    A114,
    IMPORTRANGE(
      ""1ZHMy3vVUd_0MrSduXTe1etBb1HNpAlGwQr006ljwMiM"",
      ""GSC最新!A:R""
    ),
    14,
    FALSE
  ),
  0
)
"),0.0)</f>
        <v>0</v>
      </c>
      <c r="W114" s="60">
        <f>IFERROR(__xludf.DUMMYFUNCTION("IFERROR(
  VLOOKUP(
    A114,
    IMPORTRANGE(
      ""1ZHMy3vVUd_0MrSduXTe1etBb1HNpAlGwQr006ljwMiM"",
      ""GSC最新!A:R""
    ),
    17,
    FALSE
  ),
  0
)
"),0.0)</f>
        <v>0</v>
      </c>
      <c r="X114" s="60">
        <f t="shared" ref="X114:Y114" si="564">IFERROR(T114-V114,"-")</f>
        <v>0</v>
      </c>
      <c r="Y114" s="60">
        <f t="shared" si="564"/>
        <v>0</v>
      </c>
      <c r="Z114" s="52" t="str">
        <f>IFERROR(__xludf.DUMMYFUNCTION("IFERROR(
  VLOOKUP(
    A114,
    IMPORTRANGE(
      ""1ZHMy3vVUd_0MrSduXTe1etBb1HNpAlGwQr006ljwMiM"",
      ""GSC最新!A:R""
    ),
    9,
    FALSE
  ),
  0
)
"),"")</f>
        <v/>
      </c>
      <c r="AA114" s="52">
        <f>IFERROR(__xludf.DUMMYFUNCTION("IFERROR(
  VLOOKUP(
    A114,
    IMPORTRANGE(
      ""1ZHMy3vVUd_0MrSduXTe1etBb1HNpAlGwQr006ljwMiM"",
      ""GSC最新!A:R""
    ),
    12,
    FALSE
  ),
  0
)
"),4.818181818181818)</f>
        <v>4.818181818</v>
      </c>
      <c r="AB114" s="52">
        <f>IFERROR(__xludf.DUMMYFUNCTION("IFERROR(
  VLOOKUP(
    A114,
    IMPORTRANGE(
      ""1ZHMy3vVUd_0MrSduXTe1etBb1HNpAlGwQr006ljwMiM"",
      ""GSC最新!A:R""
    ),
    15,
    FALSE
  ),
  0
)
"),32.285714285714285)</f>
        <v>32.28571429</v>
      </c>
      <c r="AC114" s="52">
        <f>IFERROR(__xludf.DUMMYFUNCTION("IFERROR(
  VLOOKUP(
    A114,
    IMPORTRANGE(
      ""1ZHMy3vVUd_0MrSduXTe1etBb1HNpAlGwQr006ljwMiM"",
      ""GSC最新!A:R""
    ),
    18,
    FALSE
  ),
  0
)
"),41.333333333333336)</f>
        <v>41.33333333</v>
      </c>
      <c r="AD114" s="52">
        <f t="shared" ref="AD114:AE114" si="565">Z114-AB114</f>
        <v>-32.28571429</v>
      </c>
      <c r="AE114" s="52">
        <f t="shared" si="565"/>
        <v>-36.51515152</v>
      </c>
      <c r="AF114" s="53">
        <f>IFERROR(__xludf.DUMMYFUNCTION("IFERROR(
  VLOOKUP(
    A114,
    IMPORTRANGE(
      ""1ZHMy3vVUd_0MrSduXTe1etBb1HNpAlGwQr006ljwMiM"",
      ""GSC最新!A:F""
    ),
    6,
    FALSE
  ),
  0
)
"),46081.0)</f>
        <v>46081</v>
      </c>
      <c r="AG114" s="54">
        <f>IFERROR(__xludf.DUMMYFUNCTION("IFERROR(
  VLOOKUP(
    A114,
    IMPORTRANGE(
      ""1SCYQd7_cobOYqT0r_F0IqD4tE4rYn5y8Eup4PJTH8es"",
      ""Snapshot!A:M""
    ),
    5,
    FALSE
  ),
  ""-""
)
"),6.0)</f>
        <v>6</v>
      </c>
      <c r="AH114" s="54">
        <f>IFERROR(__xludf.DUMMYFUNCTION("IFERROR(
  VLOOKUP(
    A114,
    IMPORTRANGE(
      ""1SCYQd7_cobOYqT0r_F0IqD4tE4rYn5y8Eup4PJTH8es"",
      ""Snapshot!A:M""
    ),
    6,
    FALSE
  ),
  0
)
"),10.0)</f>
        <v>10</v>
      </c>
      <c r="AI114" s="54">
        <f>IFERROR(__xludf.DUMMYFUNCTION("IFERROR(
  VLOOKUP(
    A114,
    IMPORTRANGE(
      ""1SCYQd7_cobOYqT0r_F0IqD4tE4rYn5y8Eup4PJTH8es"",
      ""Snapshot!A:M""
    ),
    7,
    FALSE
  ),
  0
)
"),4781.0)</f>
        <v>4781</v>
      </c>
      <c r="AJ114" s="54">
        <f>IFERROR(__xludf.DUMMYFUNCTION("IFERROR(
  VLOOKUP(
    A114,
    IMPORTRANGE(
      ""1SCYQd7_cobOYqT0r_F0IqD4tE4rYn5y8Eup4PJTH8es"",
      ""Snapshot!A:M""
    ),
    8,
    FALSE
  ),
  0
)
"),5.0)</f>
        <v>5</v>
      </c>
      <c r="AK114" s="54">
        <f>IFERROR(__xludf.DUMMYFUNCTION("IFERROR(
  VLOOKUP(
    A114,
    IMPORTRANGE(
      ""1SCYQd7_cobOYqT0r_F0IqD4tE4rYn5y8Eup4PJTH8es"",
      ""Snapshot!A:M""
    ),
    9,
    FALSE
  ),
  0
)
"),2.0)</f>
        <v>2</v>
      </c>
      <c r="AL114" s="54">
        <f>IFERROR(__xludf.DUMMYFUNCTION("IFERROR(
  VLOOKUP(
    A114,
    IMPORTRANGE(
      ""1SCYQd7_cobOYqT0r_F0IqD4tE4rYn5y8Eup4PJTH8es"",
      ""Snapshot!A:M""
    ),
    13,
    FALSE
  ),
  0
)
"),2.0)</f>
        <v>2</v>
      </c>
    </row>
    <row r="115">
      <c r="A115" s="1" t="s">
        <v>85</v>
      </c>
      <c r="B115" s="1" t="str">
        <f>IFERROR(__xludf.DUMMYFUNCTION("IFERROR(
  VLOOKUP(
    A115,
    IMPORTRANGE(
      ""1ZygntHC1J6IxzKbTidmOyf5nUyW4GCLurHCjexrLm_o"",
      ""HTMLキャッシュ!A:F""
    ),
    2,
    FALSE
  ),
  0
)
"),"-")</f>
        <v>-</v>
      </c>
      <c r="C115" s="1" t="str">
        <f>IFERROR(__xludf.DUMMYFUNCTION("IFERROR(
  VLOOKUP(
    A115,
    IMPORTRANGE(
      ""1ZygntHC1J6IxzKbTidmOyf5nUyW4GCLurHCjexrLm_o"",
      ""HTMLキャッシュ!A:F""
    ),
    5,
    FALSE
  ),
  0
)
"),"中学受験Q＆Ａ - 中学受験専門 夏井算数塾")</f>
        <v>中学受験Q＆Ａ - 中学受験専門 夏井算数塾</v>
      </c>
      <c r="D115" s="1" t="str">
        <f>IFERROR(__xludf.DUMMYFUNCTION("IFERROR(
  VLOOKUP(
    A115,
    IMPORTRANGE(
      ""1ZygntHC1J6IxzKbTidmOyf5nUyW4GCLurHCjexrLm_o        "",
      ""HTMLキャッシュ!A:F""
    ),
    6,
    FALSE
  ),
  0
)
"),"中学受験は、情報量の多さと判断の難しさから、 保護者の悩みが尽きない世界 です。 このQ&amp;amp;Aシリーズでは、実際のご相談内容をもとに、 よくある不安や疑問に対して、最短距離での答え をまとめています。 「何から手をつければいい？」「志望校の決め方は？」 そんな悩みを、動画と解説でわかりやすく整理しました。 まずは、気になるテーマからご覧ください。")</f>
        <v>中学受験は、情報量の多さと判断の難しさから、 保護者の悩みが尽きない世界 です。 このQ&amp;amp;Aシリーズでは、実際のご相談内容をもとに、 よくある不安や疑問に対して、最短距離での答え をまとめています。 「何から手をつければいい？」「志望校の決め方は？」 そんな悩みを、動画と解説でわかりやすく整理しました。 まずは、気になるテーマからご覧ください。</v>
      </c>
      <c r="E115" s="49">
        <f t="shared" ref="E115:F115" si="566">LEN(C115)</f>
        <v>22</v>
      </c>
      <c r="F115" s="49">
        <f t="shared" si="566"/>
        <v>177</v>
      </c>
      <c r="G115" s="32">
        <f>IFERROR(__xludf.DUMMYFUNCTION("IFERROR(
  VLOOKUP(
    A115,
    IMPORTRANGE(
      ""1ZygntHC1J6IxzKbTidmOyf5nUyW4GCLurHCjexrLm_o        "",
      ""HTMLキャッシュ!A:F""
    ),
    3,
    FALSE
  ),
  0
)
"),25569.375)</f>
        <v>25569.375</v>
      </c>
      <c r="H115" s="54">
        <f>IFERROR(__xludf.DUMMYFUNCTION("IFERROR(
  VLOOKUP(
    A115,
    IMPORTRANGE(
      ""1ZHMy3vVUd_0MrSduXTe1etBb1HNpAlGwQr006ljwMiM"",
      ""GSC最新!A:F""
    ),
    2,
    FALSE
  ),
  0
)
"),0.0)</f>
        <v>0</v>
      </c>
      <c r="I115" s="54">
        <f>IFERROR(__xludf.DUMMYFUNCTION("IFERROR(
  VLOOKUP(
    A115,
    IMPORTRANGE(
      ""1ZHMy3vVUd_0MrSduXTe1etBb1HNpAlGwQr006ljwMiM"",
      ""GSC最新!A:F""
    ),
    3,
    FALSE
  ),
  0
)
"),0.0)</f>
        <v>0</v>
      </c>
      <c r="J115" s="54">
        <f>IFERROR(__xludf.DUMMYFUNCTION("IFERROR(
  VLOOKUP(
    A115,
    IMPORTRANGE(
      ""1ZHMy3vVUd_0MrSduXTe1etBb1HNpAlGwQr006ljwMiM"",
      ""GSC最新!A:F""
    ),
    4,
    FALSE
  ),
  0
)
"),0.0)</f>
        <v>0</v>
      </c>
      <c r="K115" s="54">
        <f>IFERROR(__xludf.DUMMYFUNCTION("IFERROR(
  VLOOKUP(
    A115,
    IMPORTRANGE(
      ""1ZHMy3vVUd_0MrSduXTe1etBb1HNpAlGwQr006ljwMiM"",
      ""GSC最新!A:F""
    ),
    5,
    FALSE
  ),
  0
)
"),0.0)</f>
        <v>0</v>
      </c>
      <c r="L115" s="50" t="str">
        <f t="shared" ref="L115:M115" si="567">IFERROR(H115/J115,"-")</f>
        <v>-</v>
      </c>
      <c r="M115" s="50" t="str">
        <f t="shared" si="567"/>
        <v>-</v>
      </c>
      <c r="N115" s="59">
        <f>IFERROR(__xludf.DUMMYFUNCTION("IFERROR(
  VLOOKUP(
    A115,
    IMPORTRANGE(
      ""1ZHMy3vVUd_0MrSduXTe1etBb1HNpAlGwQr006ljwMiM"",
      ""GSC最新!A:R""
    ),
    7,
    FALSE
  ),
  0
)
"),4.0)</f>
        <v>4</v>
      </c>
      <c r="O115" s="59">
        <f>IFERROR(__xludf.DUMMYFUNCTION("IFERROR(
  VLOOKUP(
    A115,
    IMPORTRANGE(
      ""1ZHMy3vVUd_0MrSduXTe1etBb1HNpAlGwQr006ljwMiM"",
      ""GSC最新!A:R""
    ),
    10,
    FALSE
  ),
  0
)
"),10.0)</f>
        <v>10</v>
      </c>
      <c r="P115" s="59">
        <f>IFERROR(__xludf.DUMMYFUNCTION("IFERROR(
  VLOOKUP(
    A115,
    IMPORTRANGE(
      ""1ZHMy3vVUd_0MrSduXTe1etBb1HNpAlGwQr006ljwMiM"",
      ""GSC最新!A:R""
    ),
    13,
    FALSE
  ),
  0
)
"),0.0)</f>
        <v>0</v>
      </c>
      <c r="Q115" s="59">
        <f>IFERROR(__xludf.DUMMYFUNCTION("IFERROR(
  VLOOKUP(
    A115,
    IMPORTRANGE(
      ""1ZHMy3vVUd_0MrSduXTe1etBb1HNpAlGwQr006ljwMiM"",
      ""GSC最新!A:R""
    ),
    16,
    FALSE
  ),
  0
)
"),0.0)</f>
        <v>0</v>
      </c>
      <c r="R115" s="50" t="str">
        <f t="shared" ref="R115:S115" si="568">IFERROR(N115/P115,"-")</f>
        <v>-</v>
      </c>
      <c r="S115" s="50" t="str">
        <f t="shared" si="568"/>
        <v>-</v>
      </c>
      <c r="T115" s="60">
        <f>IFERROR(__xludf.DUMMYFUNCTION("IFERROR(
  VLOOKUP(
    A115,
    IMPORTRANGE(
      ""1ZHMy3vVUd_0MrSduXTe1etBb1HNpAlGwQr006ljwMiM"",
      ""GSC最新!A:R""
    ),
    8,
    FALSE
  ),
  0
)
"),0.0)</f>
        <v>0</v>
      </c>
      <c r="U115" s="60">
        <f>IFERROR(__xludf.DUMMYFUNCTION("IFERROR(
  VLOOKUP(
    A115,
    IMPORTRANGE(
      ""1ZHMy3vVUd_0MrSduXTe1etBb1HNpAlGwQr006ljwMiM"",
      ""GSC最新!A:R""
    ),
    11,
    FALSE
  ),
  0
)
"),0.0)</f>
        <v>0</v>
      </c>
      <c r="V115" s="60">
        <f>IFERROR(__xludf.DUMMYFUNCTION("IFERROR(
  VLOOKUP(
    A115,
    IMPORTRANGE(
      ""1ZHMy3vVUd_0MrSduXTe1etBb1HNpAlGwQr006ljwMiM"",
      ""GSC最新!A:R""
    ),
    14,
    FALSE
  ),
  0
)
"),0.0)</f>
        <v>0</v>
      </c>
      <c r="W115" s="60">
        <f>IFERROR(__xludf.DUMMYFUNCTION("IFERROR(
  VLOOKUP(
    A115,
    IMPORTRANGE(
      ""1ZHMy3vVUd_0MrSduXTe1etBb1HNpAlGwQr006ljwMiM"",
      ""GSC最新!A:R""
    ),
    17,
    FALSE
  ),
  0
)
"),0.0)</f>
        <v>0</v>
      </c>
      <c r="X115" s="60">
        <f t="shared" ref="X115:Y115" si="569">IFERROR(T115-V115,"-")</f>
        <v>0</v>
      </c>
      <c r="Y115" s="60">
        <f t="shared" si="569"/>
        <v>0</v>
      </c>
      <c r="Z115" s="52">
        <f>IFERROR(__xludf.DUMMYFUNCTION("IFERROR(
  VLOOKUP(
    A115,
    IMPORTRANGE(
      ""1ZHMy3vVUd_0MrSduXTe1etBb1HNpAlGwQr006ljwMiM"",
      ""GSC最新!A:R""
    ),
    9,
    FALSE
  ),
  0
)
"),3.25)</f>
        <v>3.25</v>
      </c>
      <c r="AA115" s="52">
        <f>IFERROR(__xludf.DUMMYFUNCTION("IFERROR(
  VLOOKUP(
    A115,
    IMPORTRANGE(
      ""1ZHMy3vVUd_0MrSduXTe1etBb1HNpAlGwQr006ljwMiM"",
      ""GSC最新!A:R""
    ),
    12,
    FALSE
  ),
  0
)
"),4.5)</f>
        <v>4.5</v>
      </c>
      <c r="AB115" s="52" t="str">
        <f>IFERROR(__xludf.DUMMYFUNCTION("IFERROR(
  VLOOKUP(
    A115,
    IMPORTRANGE(
      ""1ZHMy3vVUd_0MrSduXTe1etBb1HNpAlGwQr006ljwMiM"",
      ""GSC最新!A:R""
    ),
    15,
    FALSE
  ),
  0
)
"),"")</f>
        <v/>
      </c>
      <c r="AC115" s="52" t="str">
        <f>IFERROR(__xludf.DUMMYFUNCTION("IFERROR(
  VLOOKUP(
    A115,
    IMPORTRANGE(
      ""1ZHMy3vVUd_0MrSduXTe1etBb1HNpAlGwQr006ljwMiM"",
      ""GSC最新!A:R""
    ),
    18,
    FALSE
  ),
  0
)
"),"")</f>
        <v/>
      </c>
      <c r="AD115" s="52">
        <f t="shared" ref="AD115:AE115" si="570">Z115-AB115</f>
        <v>3.25</v>
      </c>
      <c r="AE115" s="52">
        <f t="shared" si="570"/>
        <v>4.5</v>
      </c>
      <c r="AF115" s="53">
        <f>IFERROR(__xludf.DUMMYFUNCTION("IFERROR(
  VLOOKUP(
    A115,
    IMPORTRANGE(
      ""1ZHMy3vVUd_0MrSduXTe1etBb1HNpAlGwQr006ljwMiM"",
      ""GSC最新!A:F""
    ),
    6,
    FALSE
  ),
  0
)
"),46081.0)</f>
        <v>46081</v>
      </c>
      <c r="AG115" s="54">
        <f>IFERROR(__xludf.DUMMYFUNCTION("IFERROR(
  VLOOKUP(
    A115,
    IMPORTRANGE(
      ""1SCYQd7_cobOYqT0r_F0IqD4tE4rYn5y8Eup4PJTH8es"",
      ""Snapshot!A:M""
    ),
    5,
    FALSE
  ),
  ""-""
)
"),0.0)</f>
        <v>0</v>
      </c>
      <c r="AH115" s="54">
        <f>IFERROR(__xludf.DUMMYFUNCTION("IFERROR(
  VLOOKUP(
    A115,
    IMPORTRANGE(
      ""1SCYQd7_cobOYqT0r_F0IqD4tE4rYn5y8Eup4PJTH8es"",
      ""Snapshot!A:M""
    ),
    6,
    FALSE
  ),
  0
)
"),0.0)</f>
        <v>0</v>
      </c>
      <c r="AI115" s="54">
        <f>IFERROR(__xludf.DUMMYFUNCTION("IFERROR(
  VLOOKUP(
    A115,
    IMPORTRANGE(
      ""1SCYQd7_cobOYqT0r_F0IqD4tE4rYn5y8Eup4PJTH8es"",
      ""Snapshot!A:M""
    ),
    7,
    FALSE
  ),
  0
)
"),0.0)</f>
        <v>0</v>
      </c>
      <c r="AJ115" s="54">
        <f>IFERROR(__xludf.DUMMYFUNCTION("IFERROR(
  VLOOKUP(
    A115,
    IMPORTRANGE(
      ""1SCYQd7_cobOYqT0r_F0IqD4tE4rYn5y8Eup4PJTH8es"",
      ""Snapshot!A:M""
    ),
    8,
    FALSE
  ),
  0
)
"),0.0)</f>
        <v>0</v>
      </c>
      <c r="AK115" s="54">
        <f>IFERROR(__xludf.DUMMYFUNCTION("IFERROR(
  VLOOKUP(
    A115,
    IMPORTRANGE(
      ""1SCYQd7_cobOYqT0r_F0IqD4tE4rYn5y8Eup4PJTH8es"",
      ""Snapshot!A:M""
    ),
    9,
    FALSE
  ),
  0
)
"),0.0)</f>
        <v>0</v>
      </c>
      <c r="AL115" s="54">
        <f>IFERROR(__xludf.DUMMYFUNCTION("IFERROR(
  VLOOKUP(
    A115,
    IMPORTRANGE(
      ""1SCYQd7_cobOYqT0r_F0IqD4tE4rYn5y8Eup4PJTH8es"",
      ""Snapshot!A:M""
    ),
    13,
    FALSE
  ),
  0
)
"),1.0)</f>
        <v>1</v>
      </c>
    </row>
    <row r="116">
      <c r="A116" s="3" t="s">
        <v>446</v>
      </c>
      <c r="B116" s="1" t="str">
        <f>IFERROR(__xludf.DUMMYFUNCTION("IFERROR(
  VLOOKUP(
    A116,
    IMPORTRANGE(
      ""1ZygntHC1J6IxzKbTidmOyf5nUyW4GCLurHCjexrLm_o"",
      ""HTMLキャッシュ!A:F""
    ),
    2,
    FALSE
  ),
  0
)
"),"NW")</f>
        <v>NW</v>
      </c>
      <c r="C116" s="1" t="str">
        <f>IFERROR(__xludf.DUMMYFUNCTION("IFERROR(
  VLOOKUP(
    A116,
    IMPORTRANGE(
      ""1ZygntHC1J6IxzKbTidmOyf5nUyW4GCLurHCjexrLm_o"",
      ""HTMLキャッシュ!A:F""
    ),
    5,
    FALSE
  ),
  0
)
"),"【Sapix小５マンスリー対策WEB講座】５月度プレテスト公開のお知らせ - 中学受験専門 夏井算数塾")</f>
        <v>【Sapix小５マンスリー対策WEB講座】５月度プレテスト公開のお知らせ - 中学受験専門 夏井算数塾</v>
      </c>
      <c r="D116" s="1" t="str">
        <f>IFERROR(__xludf.DUMMYFUNCTION("IFERROR(
  VLOOKUP(
    A116,
    IMPORTRANGE(
      ""1ZygntHC1J6IxzKbTidmOyf5nUyW4GCLurHCjexrLm_o        "",
      ""HTMLキャッシュ!A:F""
    ),
    6,
    FALSE
  ),
  0
)
"),"こんにちは。 昨年度開講いたしました「Sapix小５マンスリー確認テスト対策・WEB講座」ですが、今年度も開催")</f>
        <v>こんにちは。 昨年度開講いたしました「Sapix小５マンスリー確認テスト対策・WEB講座」ですが、今年度も開催</v>
      </c>
      <c r="E116" s="49">
        <f t="shared" ref="E116:F116" si="571">LEN(C116)</f>
        <v>51</v>
      </c>
      <c r="F116" s="49">
        <f t="shared" si="571"/>
        <v>55</v>
      </c>
      <c r="G116" s="32">
        <f>IFERROR(__xludf.DUMMYFUNCTION("IFERROR(
  VLOOKUP(
    A116,
    IMPORTRANGE(
      ""1ZygntHC1J6IxzKbTidmOyf5nUyW4GCLurHCjexrLm_o        "",
      ""HTMLキャッシュ!A:F""
    ),
    3,
    FALSE
  ),
  0
)
"),43221.801782407405)</f>
        <v>43221.80178</v>
      </c>
      <c r="H116" s="54">
        <f>IFERROR(__xludf.DUMMYFUNCTION("IFERROR(
  VLOOKUP(
    A116,
    IMPORTRANGE(
      ""1ZHMy3vVUd_0MrSduXTe1etBb1HNpAlGwQr006ljwMiM"",
      ""GSC最新!A:F""
    ),
    2,
    FALSE
  ),
  0
)
"),0.0)</f>
        <v>0</v>
      </c>
      <c r="I116" s="54">
        <f>IFERROR(__xludf.DUMMYFUNCTION("IFERROR(
  VLOOKUP(
    A116,
    IMPORTRANGE(
      ""1ZHMy3vVUd_0MrSduXTe1etBb1HNpAlGwQr006ljwMiM"",
      ""GSC最新!A:F""
    ),
    3,
    FALSE
  ),
  0
)
"),0.0)</f>
        <v>0</v>
      </c>
      <c r="J116" s="54">
        <f>IFERROR(__xludf.DUMMYFUNCTION("IFERROR(
  VLOOKUP(
    A116,
    IMPORTRANGE(
      ""1ZHMy3vVUd_0MrSduXTe1etBb1HNpAlGwQr006ljwMiM"",
      ""GSC最新!A:F""
    ),
    4,
    FALSE
  ),
  0
)
"),0.0)</f>
        <v>0</v>
      </c>
      <c r="K116" s="54">
        <f>IFERROR(__xludf.DUMMYFUNCTION("IFERROR(
  VLOOKUP(
    A116,
    IMPORTRANGE(
      ""1ZHMy3vVUd_0MrSduXTe1etBb1HNpAlGwQr006ljwMiM"",
      ""GSC最新!A:F""
    ),
    5,
    FALSE
  ),
  0
)
"),0.0)</f>
        <v>0</v>
      </c>
      <c r="L116" s="50" t="str">
        <f t="shared" ref="L116:M116" si="572">IFERROR(H116/J116,"-")</f>
        <v>-</v>
      </c>
      <c r="M116" s="50" t="str">
        <f t="shared" si="572"/>
        <v>-</v>
      </c>
      <c r="N116" s="59">
        <f>IFERROR(__xludf.DUMMYFUNCTION("IFERROR(
  VLOOKUP(
    A116,
    IMPORTRANGE(
      ""1ZHMy3vVUd_0MrSduXTe1etBb1HNpAlGwQr006ljwMiM"",
      ""GSC最新!A:R""
    ),
    7,
    FALSE
  ),
  0
)
"),8.0)</f>
        <v>8</v>
      </c>
      <c r="O116" s="59">
        <f>IFERROR(__xludf.DUMMYFUNCTION("IFERROR(
  VLOOKUP(
    A116,
    IMPORTRANGE(
      ""1ZHMy3vVUd_0MrSduXTe1etBb1HNpAlGwQr006ljwMiM"",
      ""GSC最新!A:R""
    ),
    10,
    FALSE
  ),
  0
)
"),10.0)</f>
        <v>10</v>
      </c>
      <c r="P116" s="59">
        <f>IFERROR(__xludf.DUMMYFUNCTION("IFERROR(
  VLOOKUP(
    A116,
    IMPORTRANGE(
      ""1ZHMy3vVUd_0MrSduXTe1etBb1HNpAlGwQr006ljwMiM"",
      ""GSC最新!A:R""
    ),
    13,
    FALSE
  ),
  0
)
"),58.0)</f>
        <v>58</v>
      </c>
      <c r="Q116" s="59">
        <f>IFERROR(__xludf.DUMMYFUNCTION("IFERROR(
  VLOOKUP(
    A116,
    IMPORTRANGE(
      ""1ZHMy3vVUd_0MrSduXTe1etBb1HNpAlGwQr006ljwMiM"",
      ""GSC最新!A:R""
    ),
    16,
    FALSE
  ),
  0
)
"),59.0)</f>
        <v>59</v>
      </c>
      <c r="R116" s="50">
        <f t="shared" ref="R116:S116" si="573">IFERROR(N116/P116,"-")</f>
        <v>0.1379310345</v>
      </c>
      <c r="S116" s="50">
        <f t="shared" si="573"/>
        <v>0.1694915254</v>
      </c>
      <c r="T116" s="60">
        <f>IFERROR(__xludf.DUMMYFUNCTION("IFERROR(
  VLOOKUP(
    A116,
    IMPORTRANGE(
      ""1ZHMy3vVUd_0MrSduXTe1etBb1HNpAlGwQr006ljwMiM"",
      ""GSC最新!A:R""
    ),
    8,
    FALSE
  ),
  0
)
"),0.0)</f>
        <v>0</v>
      </c>
      <c r="U116" s="60">
        <f>IFERROR(__xludf.DUMMYFUNCTION("IFERROR(
  VLOOKUP(
    A116,
    IMPORTRANGE(
      ""1ZHMy3vVUd_0MrSduXTe1etBb1HNpAlGwQr006ljwMiM"",
      ""GSC最新!A:R""
    ),
    11,
    FALSE
  ),
  0
)
"),0.0)</f>
        <v>0</v>
      </c>
      <c r="V116" s="60">
        <f>IFERROR(__xludf.DUMMYFUNCTION("IFERROR(
  VLOOKUP(
    A116,
    IMPORTRANGE(
      ""1ZHMy3vVUd_0MrSduXTe1etBb1HNpAlGwQr006ljwMiM"",
      ""GSC最新!A:R""
    ),
    14,
    FALSE
  ),
  0
)
"),0.0)</f>
        <v>0</v>
      </c>
      <c r="W116" s="60">
        <f>IFERROR(__xludf.DUMMYFUNCTION("IFERROR(
  VLOOKUP(
    A116,
    IMPORTRANGE(
      ""1ZHMy3vVUd_0MrSduXTe1etBb1HNpAlGwQr006ljwMiM"",
      ""GSC最新!A:R""
    ),
    17,
    FALSE
  ),
  0
)
"),0.0)</f>
        <v>0</v>
      </c>
      <c r="X116" s="60">
        <f t="shared" ref="X116:Y116" si="574">IFERROR(T116-V116,"-")</f>
        <v>0</v>
      </c>
      <c r="Y116" s="60">
        <f t="shared" si="574"/>
        <v>0</v>
      </c>
      <c r="Z116" s="52">
        <f>IFERROR(__xludf.DUMMYFUNCTION("IFERROR(
  VLOOKUP(
    A116,
    IMPORTRANGE(
      ""1ZHMy3vVUd_0MrSduXTe1etBb1HNpAlGwQr006ljwMiM"",
      ""GSC最新!A:R""
    ),
    9,
    FALSE
  ),
  0
)
"),27.375)</f>
        <v>27.375</v>
      </c>
      <c r="AA116" s="52">
        <f>IFERROR(__xludf.DUMMYFUNCTION("IFERROR(
  VLOOKUP(
    A116,
    IMPORTRANGE(
      ""1ZHMy3vVUd_0MrSduXTe1etBb1HNpAlGwQr006ljwMiM"",
      ""GSC最新!A:R""
    ),
    12,
    FALSE
  ),
  0
)
"),27.7)</f>
        <v>27.7</v>
      </c>
      <c r="AB116" s="52">
        <f>IFERROR(__xludf.DUMMYFUNCTION("IFERROR(
  VLOOKUP(
    A116,
    IMPORTRANGE(
      ""1ZHMy3vVUd_0MrSduXTe1etBb1HNpAlGwQr006ljwMiM"",
      ""GSC最新!A:R""
    ),
    15,
    FALSE
  ),
  0
)
"),83.32758620689656)</f>
        <v>83.32758621</v>
      </c>
      <c r="AC116" s="52">
        <f>IFERROR(__xludf.DUMMYFUNCTION("IFERROR(
  VLOOKUP(
    A116,
    IMPORTRANGE(
      ""1ZHMy3vVUd_0MrSduXTe1etBb1HNpAlGwQr006ljwMiM"",
      ""GSC最新!A:R""
    ),
    18,
    FALSE
  ),
  0
)
"),82.8135593220339)</f>
        <v>82.81355932</v>
      </c>
      <c r="AD116" s="52">
        <f t="shared" ref="AD116:AE116" si="575">Z116-AB116</f>
        <v>-55.95258621</v>
      </c>
      <c r="AE116" s="52">
        <f t="shared" si="575"/>
        <v>-55.11355932</v>
      </c>
      <c r="AF116" s="53">
        <f>IFERROR(__xludf.DUMMYFUNCTION("IFERROR(
  VLOOKUP(
    A116,
    IMPORTRANGE(
      ""1ZHMy3vVUd_0MrSduXTe1etBb1HNpAlGwQr006ljwMiM"",
      ""GSC最新!A:F""
    ),
    6,
    FALSE
  ),
  0
)
"),46081.0)</f>
        <v>46081</v>
      </c>
      <c r="AG116" s="54">
        <f>IFERROR(__xludf.DUMMYFUNCTION("IFERROR(
  VLOOKUP(
    A116,
    IMPORTRANGE(
      ""1SCYQd7_cobOYqT0r_F0IqD4tE4rYn5y8Eup4PJTH8es"",
      ""Snapshot!A:M""
    ),
    5,
    FALSE
  ),
  ""-""
)
"),0.0)</f>
        <v>0</v>
      </c>
      <c r="AH116" s="54">
        <f>IFERROR(__xludf.DUMMYFUNCTION("IFERROR(
  VLOOKUP(
    A116,
    IMPORTRANGE(
      ""1SCYQd7_cobOYqT0r_F0IqD4tE4rYn5y8Eup4PJTH8es"",
      ""Snapshot!A:M""
    ),
    6,
    FALSE
  ),
  0
)
"),0.0)</f>
        <v>0</v>
      </c>
      <c r="AI116" s="54">
        <f>IFERROR(__xludf.DUMMYFUNCTION("IFERROR(
  VLOOKUP(
    A116,
    IMPORTRANGE(
      ""1SCYQd7_cobOYqT0r_F0IqD4tE4rYn5y8Eup4PJTH8es"",
      ""Snapshot!A:M""
    ),
    7,
    FALSE
  ),
  0
)
"),386.0)</f>
        <v>386</v>
      </c>
      <c r="AJ116" s="54">
        <f>IFERROR(__xludf.DUMMYFUNCTION("IFERROR(
  VLOOKUP(
    A116,
    IMPORTRANGE(
      ""1SCYQd7_cobOYqT0r_F0IqD4tE4rYn5y8Eup4PJTH8es"",
      ""Snapshot!A:M""
    ),
    8,
    FALSE
  ),
  0
)
"),1.0)</f>
        <v>1</v>
      </c>
      <c r="AK116" s="54">
        <f>IFERROR(__xludf.DUMMYFUNCTION("IFERROR(
  VLOOKUP(
    A116,
    IMPORTRANGE(
      ""1SCYQd7_cobOYqT0r_F0IqD4tE4rYn5y8Eup4PJTH8es"",
      ""Snapshot!A:M""
    ),
    9,
    FALSE
  ),
  0
)
"),1.0)</f>
        <v>1</v>
      </c>
      <c r="AL116" s="54">
        <f>IFERROR(__xludf.DUMMYFUNCTION("IFERROR(
  VLOOKUP(
    A116,
    IMPORTRANGE(
      ""1SCYQd7_cobOYqT0r_F0IqD4tE4rYn5y8Eup4PJTH8es"",
      ""Snapshot!A:M""
    ),
    13,
    FALSE
  ),
  0
)
"),2.0)</f>
        <v>2</v>
      </c>
    </row>
    <row r="117">
      <c r="A117" s="3" t="s">
        <v>447</v>
      </c>
      <c r="B117" s="1" t="str">
        <f>IFERROR(__xludf.DUMMYFUNCTION("IFERROR(
  VLOOKUP(
    A117,
    IMPORTRANGE(
      ""1ZygntHC1J6IxzKbTidmOyf5nUyW4GCLurHCjexrLm_o"",
      ""HTMLキャッシュ!A:F""
    ),
    2,
    FALSE
  ),
  0
)
"),"MC")</f>
        <v>MC</v>
      </c>
      <c r="C117" s="1" t="str">
        <f>IFERROR(__xludf.DUMMYFUNCTION("IFERROR(
  VLOOKUP(
    A117,
    IMPORTRANGE(
      ""1ZygntHC1J6IxzKbTidmOyf5nUyW4GCLurHCjexrLm_o"",
      ""HTMLキャッシュ!A:F""
    ),
    5,
    FALSE
  ),
  0
)
"),"渋谷教育学園渋谷中学校・令和２年度 - 中学受験専門 夏井算数塾")</f>
        <v>渋谷教育学園渋谷中学校・令和２年度 - 中学受験専門 夏井算数塾</v>
      </c>
      <c r="D117" s="1" t="str">
        <f>IFERROR(__xludf.DUMMYFUNCTION("IFERROR(
  VLOOKUP(
    A117,
    IMPORTRANGE(
      ""1ZygntHC1J6IxzKbTidmOyf5nUyW4GCLurHCjexrLm_o        "",
      ""HTMLキャッシュ!A:F""
    ),
    6,
    FALSE
  ),
  0
)
"),"渋谷教育学園渋谷中学校 令和２年度 過去問解説 過去問演習の進め方（取り組む順番・復習の基準・時間配分など）の")</f>
        <v>渋谷教育学園渋谷中学校 令和２年度 過去問解説 過去問演習の進め方（取り組む順番・復習の基準・時間配分など）の</v>
      </c>
      <c r="E117" s="49">
        <f t="shared" ref="E117:F117" si="576">LEN(C117)</f>
        <v>32</v>
      </c>
      <c r="F117" s="49">
        <f t="shared" si="576"/>
        <v>55</v>
      </c>
      <c r="G117" s="32">
        <f>IFERROR(__xludf.DUMMYFUNCTION("IFERROR(
  VLOOKUP(
    A117,
    IMPORTRANGE(
      ""1ZygntHC1J6IxzKbTidmOyf5nUyW4GCLurHCjexrLm_o        "",
      ""HTMLキャッシュ!A:F""
    ),
    3,
    FALSE
  ),
  0
)
"),46048.70762731481)</f>
        <v>46048.70763</v>
      </c>
      <c r="H117" s="54">
        <f>IFERROR(__xludf.DUMMYFUNCTION("IFERROR(
  VLOOKUP(
    A117,
    IMPORTRANGE(
      ""1ZHMy3vVUd_0MrSduXTe1etBb1HNpAlGwQr006ljwMiM"",
      ""GSC最新!A:F""
    ),
    2,
    FALSE
  ),
  0
)
"),0.0)</f>
        <v>0</v>
      </c>
      <c r="I117" s="54">
        <f>IFERROR(__xludf.DUMMYFUNCTION("IFERROR(
  VLOOKUP(
    A117,
    IMPORTRANGE(
      ""1ZHMy3vVUd_0MrSduXTe1etBb1HNpAlGwQr006ljwMiM"",
      ""GSC最新!A:F""
    ),
    3,
    FALSE
  ),
  0
)
"),0.0)</f>
        <v>0</v>
      </c>
      <c r="J117" s="54">
        <f>IFERROR(__xludf.DUMMYFUNCTION("IFERROR(
  VLOOKUP(
    A117,
    IMPORTRANGE(
      ""1ZHMy3vVUd_0MrSduXTe1etBb1HNpAlGwQr006ljwMiM"",
      ""GSC最新!A:F""
    ),
    4,
    FALSE
  ),
  0
)
"),0.0)</f>
        <v>0</v>
      </c>
      <c r="K117" s="54">
        <f>IFERROR(__xludf.DUMMYFUNCTION("IFERROR(
  VLOOKUP(
    A117,
    IMPORTRANGE(
      ""1ZHMy3vVUd_0MrSduXTe1etBb1HNpAlGwQr006ljwMiM"",
      ""GSC最新!A:F""
    ),
    5,
    FALSE
  ),
  0
)
"),0.0)</f>
        <v>0</v>
      </c>
      <c r="L117" s="50" t="str">
        <f t="shared" ref="L117:M117" si="577">IFERROR(H117/J117,"-")</f>
        <v>-</v>
      </c>
      <c r="M117" s="50" t="str">
        <f t="shared" si="577"/>
        <v>-</v>
      </c>
      <c r="N117" s="59">
        <f>IFERROR(__xludf.DUMMYFUNCTION("IFERROR(
  VLOOKUP(
    A117,
    IMPORTRANGE(
      ""1ZHMy3vVUd_0MrSduXTe1etBb1HNpAlGwQr006ljwMiM"",
      ""GSC最新!A:R""
    ),
    7,
    FALSE
  ),
  0
)
"),10.0)</f>
        <v>10</v>
      </c>
      <c r="O117" s="59">
        <f>IFERROR(__xludf.DUMMYFUNCTION("IFERROR(
  VLOOKUP(
    A117,
    IMPORTRANGE(
      ""1ZHMy3vVUd_0MrSduXTe1etBb1HNpAlGwQr006ljwMiM"",
      ""GSC最新!A:R""
    ),
    10,
    FALSE
  ),
  0
)
"),12.0)</f>
        <v>12</v>
      </c>
      <c r="P117" s="59">
        <f>IFERROR(__xludf.DUMMYFUNCTION("IFERROR(
  VLOOKUP(
    A117,
    IMPORTRANGE(
      ""1ZHMy3vVUd_0MrSduXTe1etBb1HNpAlGwQr006ljwMiM"",
      ""GSC最新!A:R""
    ),
    13,
    FALSE
  ),
  0
)
"),0.0)</f>
        <v>0</v>
      </c>
      <c r="Q117" s="59">
        <f>IFERROR(__xludf.DUMMYFUNCTION("IFERROR(
  VLOOKUP(
    A117,
    IMPORTRANGE(
      ""1ZHMy3vVUd_0MrSduXTe1etBb1HNpAlGwQr006ljwMiM"",
      ""GSC最新!A:R""
    ),
    16,
    FALSE
  ),
  0
)
"),0.0)</f>
        <v>0</v>
      </c>
      <c r="R117" s="50" t="str">
        <f t="shared" ref="R117:S117" si="578">IFERROR(N117/P117,"-")</f>
        <v>-</v>
      </c>
      <c r="S117" s="50" t="str">
        <f t="shared" si="578"/>
        <v>-</v>
      </c>
      <c r="T117" s="60">
        <f>IFERROR(__xludf.DUMMYFUNCTION("IFERROR(
  VLOOKUP(
    A117,
    IMPORTRANGE(
      ""1ZHMy3vVUd_0MrSduXTe1etBb1HNpAlGwQr006ljwMiM"",
      ""GSC最新!A:R""
    ),
    8,
    FALSE
  ),
  0
)
"),0.0)</f>
        <v>0</v>
      </c>
      <c r="U117" s="60">
        <f>IFERROR(__xludf.DUMMYFUNCTION("IFERROR(
  VLOOKUP(
    A117,
    IMPORTRANGE(
      ""1ZHMy3vVUd_0MrSduXTe1etBb1HNpAlGwQr006ljwMiM"",
      ""GSC最新!A:R""
    ),
    11,
    FALSE
  ),
  0
)
"),0.0)</f>
        <v>0</v>
      </c>
      <c r="V117" s="60">
        <f>IFERROR(__xludf.DUMMYFUNCTION("IFERROR(
  VLOOKUP(
    A117,
    IMPORTRANGE(
      ""1ZHMy3vVUd_0MrSduXTe1etBb1HNpAlGwQr006ljwMiM"",
      ""GSC最新!A:R""
    ),
    14,
    FALSE
  ),
  0
)
"),0.0)</f>
        <v>0</v>
      </c>
      <c r="W117" s="60">
        <f>IFERROR(__xludf.DUMMYFUNCTION("IFERROR(
  VLOOKUP(
    A117,
    IMPORTRANGE(
      ""1ZHMy3vVUd_0MrSduXTe1etBb1HNpAlGwQr006ljwMiM"",
      ""GSC最新!A:R""
    ),
    17,
    FALSE
  ),
  0
)
"),0.0)</f>
        <v>0</v>
      </c>
      <c r="X117" s="60">
        <f t="shared" ref="X117:Y117" si="579">IFERROR(T117-V117,"-")</f>
        <v>0</v>
      </c>
      <c r="Y117" s="60">
        <f t="shared" si="579"/>
        <v>0</v>
      </c>
      <c r="Z117" s="52">
        <f>IFERROR(__xludf.DUMMYFUNCTION("IFERROR(
  VLOOKUP(
    A117,
    IMPORTRANGE(
      ""1ZHMy3vVUd_0MrSduXTe1etBb1HNpAlGwQr006ljwMiM"",
      ""GSC最新!A:R""
    ),
    9,
    FALSE
  ),
  0
)
"),9.0)</f>
        <v>9</v>
      </c>
      <c r="AA117" s="52">
        <f>IFERROR(__xludf.DUMMYFUNCTION("IFERROR(
  VLOOKUP(
    A117,
    IMPORTRANGE(
      ""1ZHMy3vVUd_0MrSduXTe1etBb1HNpAlGwQr006ljwMiM"",
      ""GSC最新!A:R""
    ),
    12,
    FALSE
  ),
  0
)
"),8.333333333333332)</f>
        <v>8.333333333</v>
      </c>
      <c r="AB117" s="52" t="str">
        <f>IFERROR(__xludf.DUMMYFUNCTION("IFERROR(
  VLOOKUP(
    A117,
    IMPORTRANGE(
      ""1ZHMy3vVUd_0MrSduXTe1etBb1HNpAlGwQr006ljwMiM"",
      ""GSC最新!A:R""
    ),
    15,
    FALSE
  ),
  0
)
"),"")</f>
        <v/>
      </c>
      <c r="AC117" s="52" t="str">
        <f>IFERROR(__xludf.DUMMYFUNCTION("IFERROR(
  VLOOKUP(
    A117,
    IMPORTRANGE(
      ""1ZHMy3vVUd_0MrSduXTe1etBb1HNpAlGwQr006ljwMiM"",
      ""GSC最新!A:R""
    ),
    18,
    FALSE
  ),
  0
)
"),"")</f>
        <v/>
      </c>
      <c r="AD117" s="52">
        <f t="shared" ref="AD117:AE117" si="580">Z117-AB117</f>
        <v>9</v>
      </c>
      <c r="AE117" s="52">
        <f t="shared" si="580"/>
        <v>8.333333333</v>
      </c>
      <c r="AF117" s="53">
        <f>IFERROR(__xludf.DUMMYFUNCTION("IFERROR(
  VLOOKUP(
    A117,
    IMPORTRANGE(
      ""1ZHMy3vVUd_0MrSduXTe1etBb1HNpAlGwQr006ljwMiM"",
      ""GSC最新!A:F""
    ),
    6,
    FALSE
  ),
  0
)
"),46081.0)</f>
        <v>46081</v>
      </c>
      <c r="AG117" s="54">
        <f>IFERROR(__xludf.DUMMYFUNCTION("IFERROR(
  VLOOKUP(
    A117,
    IMPORTRANGE(
      ""1SCYQd7_cobOYqT0r_F0IqD4tE4rYn5y8Eup4PJTH8es"",
      ""Snapshot!A:M""
    ),
    5,
    FALSE
  ),
  ""-""
)
"),2.0)</f>
        <v>2</v>
      </c>
      <c r="AH117" s="54">
        <f>IFERROR(__xludf.DUMMYFUNCTION("IFERROR(
  VLOOKUP(
    A117,
    IMPORTRANGE(
      ""1SCYQd7_cobOYqT0r_F0IqD4tE4rYn5y8Eup4PJTH8es"",
      ""Snapshot!A:M""
    ),
    6,
    FALSE
  ),
  0
)
"),4.0)</f>
        <v>4</v>
      </c>
      <c r="AI117" s="54">
        <f>IFERROR(__xludf.DUMMYFUNCTION("IFERROR(
  VLOOKUP(
    A117,
    IMPORTRANGE(
      ""1SCYQd7_cobOYqT0r_F0IqD4tE4rYn5y8Eup4PJTH8es"",
      ""Snapshot!A:M""
    ),
    7,
    FALSE
  ),
  0
)
"),359.0)</f>
        <v>359</v>
      </c>
      <c r="AJ117" s="54">
        <f>IFERROR(__xludf.DUMMYFUNCTION("IFERROR(
  VLOOKUP(
    A117,
    IMPORTRANGE(
      ""1SCYQd7_cobOYqT0r_F0IqD4tE4rYn5y8Eup4PJTH8es"",
      ""Snapshot!A:M""
    ),
    8,
    FALSE
  ),
  0
)
"),3.0)</f>
        <v>3</v>
      </c>
      <c r="AK117" s="54">
        <f>IFERROR(__xludf.DUMMYFUNCTION("IFERROR(
  VLOOKUP(
    A117,
    IMPORTRANGE(
      ""1SCYQd7_cobOYqT0r_F0IqD4tE4rYn5y8Eup4PJTH8es"",
      ""Snapshot!A:M""
    ),
    9,
    FALSE
  ),
  0
)
"),1.0)</f>
        <v>1</v>
      </c>
      <c r="AL117" s="54">
        <f>IFERROR(__xludf.DUMMYFUNCTION("IFERROR(
  VLOOKUP(
    A117,
    IMPORTRANGE(
      ""1SCYQd7_cobOYqT0r_F0IqD4tE4rYn5y8Eup4PJTH8es"",
      ""Snapshot!A:M""
    ),
    13,
    FALSE
  ),
  0
)
"),2.0)</f>
        <v>2</v>
      </c>
    </row>
    <row r="118">
      <c r="A118" s="3" t="s">
        <v>448</v>
      </c>
      <c r="B118" s="1" t="str">
        <f>IFERROR(__xludf.DUMMYFUNCTION("IFERROR(
  VLOOKUP(
    A118,
    IMPORTRANGE(
      ""1ZygntHC1J6IxzKbTidmOyf5nUyW4GCLurHCjexrLm_o"",
      ""HTMLキャッシュ!A:F""
    ),
    2,
    FALSE
  ),
  0
)
"),"NW")</f>
        <v>NW</v>
      </c>
      <c r="C118" s="1" t="str">
        <f>IFERROR(__xludf.DUMMYFUNCTION("IFERROR(
  VLOOKUP(
    A118,
    IMPORTRANGE(
      ""1ZygntHC1J6IxzKbTidmOyf5nUyW4GCLurHCjexrLm_o"",
      ""HTMLキャッシュ!A:F""
    ),
    5,
    FALSE
  ),
  0
)
"),"【新企画】算数の得点力向上をサポート！ライブ配信スタート🎥 - 中学受験専門 夏井算数塾")</f>
        <v>【新企画】算数の得点力向上をサポート！ライブ配信スタート🎥 - 中学受験専門 夏井算数塾</v>
      </c>
      <c r="D118" s="1" t="str">
        <f>IFERROR(__xludf.DUMMYFUNCTION("IFERROR(
  VLOOKUP(
    A118,
    IMPORTRANGE(
      ""1ZygntHC1J6IxzKbTidmOyf5nUyW4GCLurHCjexrLm_o        "",
      ""HTMLキャッシュ!A:F""
    ),
    6,
    FALSE
  ),
  0
)
"),"【中学受験生・保護者の皆さまへ】 夏井算数塾では、2025年2月15日より毎週土曜日20時からライブ配信を開始")</f>
        <v>【中学受験生・保護者の皆さまへ】 夏井算数塾では、2025年2月15日より毎週土曜日20時からライブ配信を開始</v>
      </c>
      <c r="E118" s="49">
        <f t="shared" ref="E118:F118" si="581">LEN(C118)</f>
        <v>45</v>
      </c>
      <c r="F118" s="49">
        <f t="shared" si="581"/>
        <v>55</v>
      </c>
      <c r="G118" s="32">
        <f>IFERROR(__xludf.DUMMYFUNCTION("IFERROR(
  VLOOKUP(
    A118,
    IMPORTRANGE(
      ""1ZygntHC1J6IxzKbTidmOyf5nUyW4GCLurHCjexrLm_o        "",
      ""HTMLキャッシュ!A:F""
    ),
    3,
    FALSE
  ),
  0
)
"),45969.71672453704)</f>
        <v>45969.71672</v>
      </c>
      <c r="H118" s="54">
        <f>IFERROR(__xludf.DUMMYFUNCTION("IFERROR(
  VLOOKUP(
    A118,
    IMPORTRANGE(
      ""1ZHMy3vVUd_0MrSduXTe1etBb1HNpAlGwQr006ljwMiM"",
      ""GSC最新!A:F""
    ),
    2,
    FALSE
  ),
  0
)
"),0.0)</f>
        <v>0</v>
      </c>
      <c r="I118" s="54">
        <f>IFERROR(__xludf.DUMMYFUNCTION("IFERROR(
  VLOOKUP(
    A118,
    IMPORTRANGE(
      ""1ZHMy3vVUd_0MrSduXTe1etBb1HNpAlGwQr006ljwMiM"",
      ""GSC最新!A:F""
    ),
    3,
    FALSE
  ),
  0
)
"),0.0)</f>
        <v>0</v>
      </c>
      <c r="J118" s="54">
        <f>IFERROR(__xludf.DUMMYFUNCTION("IFERROR(
  VLOOKUP(
    A118,
    IMPORTRANGE(
      ""1ZHMy3vVUd_0MrSduXTe1etBb1HNpAlGwQr006ljwMiM"",
      ""GSC最新!A:F""
    ),
    4,
    FALSE
  ),
  0
)
"),0.0)</f>
        <v>0</v>
      </c>
      <c r="K118" s="54">
        <f>IFERROR(__xludf.DUMMYFUNCTION("IFERROR(
  VLOOKUP(
    A118,
    IMPORTRANGE(
      ""1ZHMy3vVUd_0MrSduXTe1etBb1HNpAlGwQr006ljwMiM"",
      ""GSC最新!A:F""
    ),
    5,
    FALSE
  ),
  0
)
"),0.0)</f>
        <v>0</v>
      </c>
      <c r="L118" s="50" t="str">
        <f t="shared" ref="L118:M118" si="582">IFERROR(H118/J118,"-")</f>
        <v>-</v>
      </c>
      <c r="M118" s="50" t="str">
        <f t="shared" si="582"/>
        <v>-</v>
      </c>
      <c r="N118" s="59">
        <f>IFERROR(__xludf.DUMMYFUNCTION("IFERROR(
  VLOOKUP(
    A118,
    IMPORTRANGE(
      ""1ZHMy3vVUd_0MrSduXTe1etBb1HNpAlGwQr006ljwMiM"",
      ""GSC最新!A:R""
    ),
    7,
    FALSE
  ),
  0
)
"),1.0)</f>
        <v>1</v>
      </c>
      <c r="O118" s="59">
        <f>IFERROR(__xludf.DUMMYFUNCTION("IFERROR(
  VLOOKUP(
    A118,
    IMPORTRANGE(
      ""1ZHMy3vVUd_0MrSduXTe1etBb1HNpAlGwQr006ljwMiM"",
      ""GSC最新!A:R""
    ),
    10,
    FALSE
  ),
  0
)
"),7.0)</f>
        <v>7</v>
      </c>
      <c r="P118" s="59">
        <f>IFERROR(__xludf.DUMMYFUNCTION("IFERROR(
  VLOOKUP(
    A118,
    IMPORTRANGE(
      ""1ZHMy3vVUd_0MrSduXTe1etBb1HNpAlGwQr006ljwMiM"",
      ""GSC最新!A:R""
    ),
    13,
    FALSE
  ),
  0
)
"),0.0)</f>
        <v>0</v>
      </c>
      <c r="Q118" s="59">
        <f>IFERROR(__xludf.DUMMYFUNCTION("IFERROR(
  VLOOKUP(
    A118,
    IMPORTRANGE(
      ""1ZHMy3vVUd_0MrSduXTe1etBb1HNpAlGwQr006ljwMiM"",
      ""GSC最新!A:R""
    ),
    16,
    FALSE
  ),
  0
)
"),0.0)</f>
        <v>0</v>
      </c>
      <c r="R118" s="50" t="str">
        <f t="shared" ref="R118:S118" si="583">IFERROR(N118/P118,"-")</f>
        <v>-</v>
      </c>
      <c r="S118" s="50" t="str">
        <f t="shared" si="583"/>
        <v>-</v>
      </c>
      <c r="T118" s="60">
        <f>IFERROR(__xludf.DUMMYFUNCTION("IFERROR(
  VLOOKUP(
    A118,
    IMPORTRANGE(
      ""1ZHMy3vVUd_0MrSduXTe1etBb1HNpAlGwQr006ljwMiM"",
      ""GSC最新!A:R""
    ),
    8,
    FALSE
  ),
  0
)
"),0.0)</f>
        <v>0</v>
      </c>
      <c r="U118" s="60">
        <f>IFERROR(__xludf.DUMMYFUNCTION("IFERROR(
  VLOOKUP(
    A118,
    IMPORTRANGE(
      ""1ZHMy3vVUd_0MrSduXTe1etBb1HNpAlGwQr006ljwMiM"",
      ""GSC最新!A:R""
    ),
    11,
    FALSE
  ),
  0
)
"),0.0)</f>
        <v>0</v>
      </c>
      <c r="V118" s="60">
        <f>IFERROR(__xludf.DUMMYFUNCTION("IFERROR(
  VLOOKUP(
    A118,
    IMPORTRANGE(
      ""1ZHMy3vVUd_0MrSduXTe1etBb1HNpAlGwQr006ljwMiM"",
      ""GSC最新!A:R""
    ),
    14,
    FALSE
  ),
  0
)
"),0.0)</f>
        <v>0</v>
      </c>
      <c r="W118" s="60">
        <f>IFERROR(__xludf.DUMMYFUNCTION("IFERROR(
  VLOOKUP(
    A118,
    IMPORTRANGE(
      ""1ZHMy3vVUd_0MrSduXTe1etBb1HNpAlGwQr006ljwMiM"",
      ""GSC最新!A:R""
    ),
    17,
    FALSE
  ),
  0
)
"),0.0)</f>
        <v>0</v>
      </c>
      <c r="X118" s="60">
        <f t="shared" ref="X118:Y118" si="584">IFERROR(T118-V118,"-")</f>
        <v>0</v>
      </c>
      <c r="Y118" s="60">
        <f t="shared" si="584"/>
        <v>0</v>
      </c>
      <c r="Z118" s="52">
        <f>IFERROR(__xludf.DUMMYFUNCTION("IFERROR(
  VLOOKUP(
    A118,
    IMPORTRANGE(
      ""1ZHMy3vVUd_0MrSduXTe1etBb1HNpAlGwQr006ljwMiM"",
      ""GSC最新!A:R""
    ),
    9,
    FALSE
  ),
  0
)
"),2.0)</f>
        <v>2</v>
      </c>
      <c r="AA118" s="52">
        <f>IFERROR(__xludf.DUMMYFUNCTION("IFERROR(
  VLOOKUP(
    A118,
    IMPORTRANGE(
      ""1ZHMy3vVUd_0MrSduXTe1etBb1HNpAlGwQr006ljwMiM"",
      ""GSC最新!A:R""
    ),
    12,
    FALSE
  ),
  0
)
"),14.0)</f>
        <v>14</v>
      </c>
      <c r="AB118" s="52" t="str">
        <f>IFERROR(__xludf.DUMMYFUNCTION("IFERROR(
  VLOOKUP(
    A118,
    IMPORTRANGE(
      ""1ZHMy3vVUd_0MrSduXTe1etBb1HNpAlGwQr006ljwMiM"",
      ""GSC最新!A:R""
    ),
    15,
    FALSE
  ),
  0
)
"),"")</f>
        <v/>
      </c>
      <c r="AC118" s="52" t="str">
        <f>IFERROR(__xludf.DUMMYFUNCTION("IFERROR(
  VLOOKUP(
    A118,
    IMPORTRANGE(
      ""1ZHMy3vVUd_0MrSduXTe1etBb1HNpAlGwQr006ljwMiM"",
      ""GSC最新!A:R""
    ),
    18,
    FALSE
  ),
  0
)
"),"")</f>
        <v/>
      </c>
      <c r="AD118" s="52">
        <f t="shared" ref="AD118:AE118" si="585">Z118-AB118</f>
        <v>2</v>
      </c>
      <c r="AE118" s="52">
        <f t="shared" si="585"/>
        <v>14</v>
      </c>
      <c r="AF118" s="53">
        <f>IFERROR(__xludf.DUMMYFUNCTION("IFERROR(
  VLOOKUP(
    A118,
    IMPORTRANGE(
      ""1ZHMy3vVUd_0MrSduXTe1etBb1HNpAlGwQr006ljwMiM"",
      ""GSC最新!A:F""
    ),
    6,
    FALSE
  ),
  0
)
"),46081.0)</f>
        <v>46081</v>
      </c>
      <c r="AG118" s="54">
        <f>IFERROR(__xludf.DUMMYFUNCTION("IFERROR(
  VLOOKUP(
    A118,
    IMPORTRANGE(
      ""1SCYQd7_cobOYqT0r_F0IqD4tE4rYn5y8Eup4PJTH8es"",
      ""Snapshot!A:M""
    ),
    5,
    FALSE
  ),
  ""-""
)
"),1.0)</f>
        <v>1</v>
      </c>
      <c r="AH118" s="54">
        <f>IFERROR(__xludf.DUMMYFUNCTION("IFERROR(
  VLOOKUP(
    A118,
    IMPORTRANGE(
      ""1SCYQd7_cobOYqT0r_F0IqD4tE4rYn5y8Eup4PJTH8es"",
      ""Snapshot!A:M""
    ),
    6,
    FALSE
  ),
  0
)
"),6.0)</f>
        <v>6</v>
      </c>
      <c r="AI118" s="54">
        <f>IFERROR(__xludf.DUMMYFUNCTION("IFERROR(
  VLOOKUP(
    A118,
    IMPORTRANGE(
      ""1SCYQd7_cobOYqT0r_F0IqD4tE4rYn5y8Eup4PJTH8es"",
      ""Snapshot!A:M""
    ),
    7,
    FALSE
  ),
  0
)
"),782.0)</f>
        <v>782</v>
      </c>
      <c r="AJ118" s="54">
        <f>IFERROR(__xludf.DUMMYFUNCTION("IFERROR(
  VLOOKUP(
    A118,
    IMPORTRANGE(
      ""1SCYQd7_cobOYqT0r_F0IqD4tE4rYn5y8Eup4PJTH8es"",
      ""Snapshot!A:M""
    ),
    8,
    FALSE
  ),
  0
)
"),1.0)</f>
        <v>1</v>
      </c>
      <c r="AK118" s="54">
        <f>IFERROR(__xludf.DUMMYFUNCTION("IFERROR(
  VLOOKUP(
    A118,
    IMPORTRANGE(
      ""1SCYQd7_cobOYqT0r_F0IqD4tE4rYn5y8Eup4PJTH8es"",
      ""Snapshot!A:M""
    ),
    9,
    FALSE
  ),
  0
)
"),1.0)</f>
        <v>1</v>
      </c>
      <c r="AL118" s="54">
        <f>IFERROR(__xludf.DUMMYFUNCTION("IFERROR(
  VLOOKUP(
    A118,
    IMPORTRANGE(
      ""1SCYQd7_cobOYqT0r_F0IqD4tE4rYn5y8Eup4PJTH8es"",
      ""Snapshot!A:M""
    ),
    13,
    FALSE
  ),
  0
)
"),2.0)</f>
        <v>2</v>
      </c>
    </row>
    <row r="119">
      <c r="A119" s="3" t="s">
        <v>449</v>
      </c>
      <c r="B119" s="1" t="str">
        <f>IFERROR(__xludf.DUMMYFUNCTION("IFERROR(
  VLOOKUP(
    A119,
    IMPORTRANGE(
      ""1ZygntHC1J6IxzKbTidmOyf5nUyW4GCLurHCjexrLm_o"",
      ""HTMLキャッシュ!A:F""
    ),
    2,
    FALSE
  ),
  0
)
"),"NW")</f>
        <v>NW</v>
      </c>
      <c r="C119" s="1" t="str">
        <f>IFERROR(__xludf.DUMMYFUNCTION("IFERROR(
  VLOOKUP(
    A119,
    IMPORTRANGE(
      ""1ZygntHC1J6IxzKbTidmOyf5nUyW4GCLurHCjexrLm_o"",
      ""HTMLキャッシュ!A:F""
    ),
    5,
    FALSE
  ),
  0
)
"),"「小５算数マスター講座」開催のお知らせ - 中学受験専門 夏井算数塾")</f>
        <v>「小５算数マスター講座」開催のお知らせ - 中学受験専門 夏井算数塾</v>
      </c>
      <c r="D119" s="1" t="str">
        <f>IFERROR(__xludf.DUMMYFUNCTION("IFERROR(
  VLOOKUP(
    A119,
    IMPORTRANGE(
      ""1ZygntHC1J6IxzKbTidmOyf5nUyW4GCLurHCjexrLm_o        "",
      ""HTMLキャッシュ!A:F""
    ),
    6,
    FALSE
  ),
  0
)
"),"本日は掲題の件につきましてお知らせさせて頂きます。 夏井算数塾では、小学５年生を対象とした集団授業「小５算数マ")</f>
        <v>本日は掲題の件につきましてお知らせさせて頂きます。 夏井算数塾では、小学５年生を対象とした集団授業「小５算数マ</v>
      </c>
      <c r="E119" s="49">
        <f t="shared" ref="E119:F119" si="586">LEN(C119)</f>
        <v>34</v>
      </c>
      <c r="F119" s="49">
        <f t="shared" si="586"/>
        <v>55</v>
      </c>
      <c r="G119" s="32">
        <f>IFERROR(__xludf.DUMMYFUNCTION("IFERROR(
  VLOOKUP(
    A119,
    IMPORTRANGE(
      ""1ZygntHC1J6IxzKbTidmOyf5nUyW4GCLurHCjexrLm_o        "",
      ""HTMLキャッシュ!A:F""
    ),
    3,
    FALSE
  ),
  0
)
"),44460.519328703704)</f>
        <v>44460.51933</v>
      </c>
      <c r="H119" s="54">
        <f>IFERROR(__xludf.DUMMYFUNCTION("IFERROR(
  VLOOKUP(
    A119,
    IMPORTRANGE(
      ""1ZHMy3vVUd_0MrSduXTe1etBb1HNpAlGwQr006ljwMiM"",
      ""GSC最新!A:F""
    ),
    2,
    FALSE
  ),
  0
)
"),0.0)</f>
        <v>0</v>
      </c>
      <c r="I119" s="54">
        <f>IFERROR(__xludf.DUMMYFUNCTION("IFERROR(
  VLOOKUP(
    A119,
    IMPORTRANGE(
      ""1ZHMy3vVUd_0MrSduXTe1etBb1HNpAlGwQr006ljwMiM"",
      ""GSC最新!A:F""
    ),
    3,
    FALSE
  ),
  0
)
"),0.0)</f>
        <v>0</v>
      </c>
      <c r="J119" s="54">
        <f>IFERROR(__xludf.DUMMYFUNCTION("IFERROR(
  VLOOKUP(
    A119,
    IMPORTRANGE(
      ""1ZHMy3vVUd_0MrSduXTe1etBb1HNpAlGwQr006ljwMiM"",
      ""GSC最新!A:F""
    ),
    4,
    FALSE
  ),
  0
)
"),0.0)</f>
        <v>0</v>
      </c>
      <c r="K119" s="54">
        <f>IFERROR(__xludf.DUMMYFUNCTION("IFERROR(
  VLOOKUP(
    A119,
    IMPORTRANGE(
      ""1ZHMy3vVUd_0MrSduXTe1etBb1HNpAlGwQr006ljwMiM"",
      ""GSC最新!A:F""
    ),
    5,
    FALSE
  ),
  0
)
"),0.0)</f>
        <v>0</v>
      </c>
      <c r="L119" s="50" t="str">
        <f t="shared" ref="L119:M119" si="587">IFERROR(H119/J119,"-")</f>
        <v>-</v>
      </c>
      <c r="M119" s="50" t="str">
        <f t="shared" si="587"/>
        <v>-</v>
      </c>
      <c r="N119" s="59">
        <f>IFERROR(__xludf.DUMMYFUNCTION("IFERROR(
  VLOOKUP(
    A119,
    IMPORTRANGE(
      ""1ZHMy3vVUd_0MrSduXTe1etBb1HNpAlGwQr006ljwMiM"",
      ""GSC最新!A:R""
    ),
    7,
    FALSE
  ),
  0
)
"),8.0)</f>
        <v>8</v>
      </c>
      <c r="O119" s="59">
        <f>IFERROR(__xludf.DUMMYFUNCTION("IFERROR(
  VLOOKUP(
    A119,
    IMPORTRANGE(
      ""1ZHMy3vVUd_0MrSduXTe1etBb1HNpAlGwQr006ljwMiM"",
      ""GSC最新!A:R""
    ),
    10,
    FALSE
  ),
  0
)
"),8.0)</f>
        <v>8</v>
      </c>
      <c r="P119" s="59">
        <f>IFERROR(__xludf.DUMMYFUNCTION("IFERROR(
  VLOOKUP(
    A119,
    IMPORTRANGE(
      ""1ZHMy3vVUd_0MrSduXTe1etBb1HNpAlGwQr006ljwMiM"",
      ""GSC最新!A:R""
    ),
    13,
    FALSE
  ),
  0
)
"),1.0)</f>
        <v>1</v>
      </c>
      <c r="Q119" s="59">
        <f>IFERROR(__xludf.DUMMYFUNCTION("IFERROR(
  VLOOKUP(
    A119,
    IMPORTRANGE(
      ""1ZHMy3vVUd_0MrSduXTe1etBb1HNpAlGwQr006ljwMiM"",
      ""GSC最新!A:R""
    ),
    16,
    FALSE
  ),
  0
)
"),2.0)</f>
        <v>2</v>
      </c>
      <c r="R119" s="50">
        <f t="shared" ref="R119:S119" si="588">IFERROR(N119/P119,"-")</f>
        <v>8</v>
      </c>
      <c r="S119" s="50">
        <f t="shared" si="588"/>
        <v>4</v>
      </c>
      <c r="T119" s="60">
        <f>IFERROR(__xludf.DUMMYFUNCTION("IFERROR(
  VLOOKUP(
    A119,
    IMPORTRANGE(
      ""1ZHMy3vVUd_0MrSduXTe1etBb1HNpAlGwQr006ljwMiM"",
      ""GSC最新!A:R""
    ),
    8,
    FALSE
  ),
  0
)
"),0.0)</f>
        <v>0</v>
      </c>
      <c r="U119" s="60">
        <f>IFERROR(__xludf.DUMMYFUNCTION("IFERROR(
  VLOOKUP(
    A119,
    IMPORTRANGE(
      ""1ZHMy3vVUd_0MrSduXTe1etBb1HNpAlGwQr006ljwMiM"",
      ""GSC最新!A:R""
    ),
    11,
    FALSE
  ),
  0
)
"),0.0)</f>
        <v>0</v>
      </c>
      <c r="V119" s="60">
        <f>IFERROR(__xludf.DUMMYFUNCTION("IFERROR(
  VLOOKUP(
    A119,
    IMPORTRANGE(
      ""1ZHMy3vVUd_0MrSduXTe1etBb1HNpAlGwQr006ljwMiM"",
      ""GSC最新!A:R""
    ),
    14,
    FALSE
  ),
  0
)
"),0.0)</f>
        <v>0</v>
      </c>
      <c r="W119" s="60">
        <f>IFERROR(__xludf.DUMMYFUNCTION("IFERROR(
  VLOOKUP(
    A119,
    IMPORTRANGE(
      ""1ZHMy3vVUd_0MrSduXTe1etBb1HNpAlGwQr006ljwMiM"",
      ""GSC最新!A:R""
    ),
    17,
    FALSE
  ),
  0
)
"),0.0)</f>
        <v>0</v>
      </c>
      <c r="X119" s="60">
        <f t="shared" ref="X119:Y119" si="589">IFERROR(T119-V119,"-")</f>
        <v>0</v>
      </c>
      <c r="Y119" s="60">
        <f t="shared" si="589"/>
        <v>0</v>
      </c>
      <c r="Z119" s="52">
        <f>IFERROR(__xludf.DUMMYFUNCTION("IFERROR(
  VLOOKUP(
    A119,
    IMPORTRANGE(
      ""1ZHMy3vVUd_0MrSduXTe1etBb1HNpAlGwQr006ljwMiM"",
      ""GSC最新!A:R""
    ),
    9,
    FALSE
  ),
  0
)
"),8.875)</f>
        <v>8.875</v>
      </c>
      <c r="AA119" s="52">
        <f>IFERROR(__xludf.DUMMYFUNCTION("IFERROR(
  VLOOKUP(
    A119,
    IMPORTRANGE(
      ""1ZHMy3vVUd_0MrSduXTe1etBb1HNpAlGwQr006ljwMiM"",
      ""GSC最新!A:R""
    ),
    12,
    FALSE
  ),
  0
)
"),8.875)</f>
        <v>8.875</v>
      </c>
      <c r="AB119" s="52">
        <f>IFERROR(__xludf.DUMMYFUNCTION("IFERROR(
  VLOOKUP(
    A119,
    IMPORTRANGE(
      ""1ZHMy3vVUd_0MrSduXTe1etBb1HNpAlGwQr006ljwMiM"",
      ""GSC最新!A:R""
    ),
    15,
    FALSE
  ),
  0
)
"),10.0)</f>
        <v>10</v>
      </c>
      <c r="AC119" s="52">
        <f>IFERROR(__xludf.DUMMYFUNCTION("IFERROR(
  VLOOKUP(
    A119,
    IMPORTRANGE(
      ""1ZHMy3vVUd_0MrSduXTe1etBb1HNpAlGwQr006ljwMiM"",
      ""GSC最新!A:R""
    ),
    18,
    FALSE
  ),
  0
)
"),38.0)</f>
        <v>38</v>
      </c>
      <c r="AD119" s="52">
        <f t="shared" ref="AD119:AE119" si="590">Z119-AB119</f>
        <v>-1.125</v>
      </c>
      <c r="AE119" s="52">
        <f t="shared" si="590"/>
        <v>-29.125</v>
      </c>
      <c r="AF119" s="53">
        <f>IFERROR(__xludf.DUMMYFUNCTION("IFERROR(
  VLOOKUP(
    A119,
    IMPORTRANGE(
      ""1ZHMy3vVUd_0MrSduXTe1etBb1HNpAlGwQr006ljwMiM"",
      ""GSC最新!A:F""
    ),
    6,
    FALSE
  ),
  0
)
"),46081.0)</f>
        <v>46081</v>
      </c>
      <c r="AG119" s="54">
        <f>IFERROR(__xludf.DUMMYFUNCTION("IFERROR(
  VLOOKUP(
    A119,
    IMPORTRANGE(
      ""1SCYQd7_cobOYqT0r_F0IqD4tE4rYn5y8Eup4PJTH8es"",
      ""Snapshot!A:M""
    ),
    5,
    FALSE
  ),
  ""-""
)
"),3.0)</f>
        <v>3</v>
      </c>
      <c r="AH119" s="54">
        <f>IFERROR(__xludf.DUMMYFUNCTION("IFERROR(
  VLOOKUP(
    A119,
    IMPORTRANGE(
      ""1SCYQd7_cobOYqT0r_F0IqD4tE4rYn5y8Eup4PJTH8es"",
      ""Snapshot!A:M""
    ),
    6,
    FALSE
  ),
  0
)
"),13.0)</f>
        <v>13</v>
      </c>
      <c r="AI119" s="54">
        <f>IFERROR(__xludf.DUMMYFUNCTION("IFERROR(
  VLOOKUP(
    A119,
    IMPORTRANGE(
      ""1SCYQd7_cobOYqT0r_F0IqD4tE4rYn5y8Eup4PJTH8es"",
      ""Snapshot!A:M""
    ),
    7,
    FALSE
  ),
  0
)
"),1815.0)</f>
        <v>1815</v>
      </c>
      <c r="AJ119" s="54">
        <f>IFERROR(__xludf.DUMMYFUNCTION("IFERROR(
  VLOOKUP(
    A119,
    IMPORTRANGE(
      ""1SCYQd7_cobOYqT0r_F0IqD4tE4rYn5y8Eup4PJTH8es"",
      ""Snapshot!A:M""
    ),
    8,
    FALSE
  ),
  0
)
"),0.0)</f>
        <v>0</v>
      </c>
      <c r="AK119" s="54">
        <f>IFERROR(__xludf.DUMMYFUNCTION("IFERROR(
  VLOOKUP(
    A119,
    IMPORTRANGE(
      ""1SCYQd7_cobOYqT0r_F0IqD4tE4rYn5y8Eup4PJTH8es"",
      ""Snapshot!A:M""
    ),
    9,
    FALSE
  ),
  0
)
"),1.0)</f>
        <v>1</v>
      </c>
      <c r="AL119" s="54">
        <f>IFERROR(__xludf.DUMMYFUNCTION("IFERROR(
  VLOOKUP(
    A119,
    IMPORTRANGE(
      ""1SCYQd7_cobOYqT0r_F0IqD4tE4rYn5y8Eup4PJTH8es"",
      ""Snapshot!A:M""
    ),
    13,
    FALSE
  ),
  0
)
"),2.0)</f>
        <v>2</v>
      </c>
    </row>
    <row r="120">
      <c r="A120" s="3" t="s">
        <v>87</v>
      </c>
      <c r="B120" s="1" t="str">
        <f>IFERROR(__xludf.DUMMYFUNCTION("IFERROR(
  VLOOKUP(
    A120,
    IMPORTRANGE(
      ""1ZygntHC1J6IxzKbTidmOyf5nUyW4GCLurHCjexrLm_o"",
      ""HTMLキャッシュ!A:F""
    ),
    2,
    FALSE
  ),
  0
)
"),"-")</f>
        <v>-</v>
      </c>
      <c r="C120" s="1" t="str">
        <f>IFERROR(__xludf.DUMMYFUNCTION("IFERROR(
  VLOOKUP(
    A120,
    IMPORTRANGE(
      ""1ZygntHC1J6IxzKbTidmOyf5nUyW4GCLurHCjexrLm_o"",
      ""HTMLキャッシュ!A:F""
    ),
    5,
    FALSE
  ),
  0
)
"),"時期別対策 - 中学受験専門 夏井算数塾")</f>
        <v>時期別対策 - 中学受験専門 夏井算数塾</v>
      </c>
      <c r="D120" s="1" t="str">
        <f>IFERROR(__xludf.DUMMYFUNCTION("IFERROR(
  VLOOKUP(
    A120,
    IMPORTRANGE(
      ""1ZygntHC1J6IxzKbTidmOyf5nUyW4GCLurHCjexrLm_o        "",
      ""HTMLキャッシュ!A:F""
    ),
    6,
    FALSE
  ),
  0
)
"),"時期別対策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時期別対策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20" s="49">
        <f t="shared" ref="E120:F120" si="591">LEN(C120)</f>
        <v>20</v>
      </c>
      <c r="F120" s="49">
        <f t="shared" si="591"/>
        <v>163</v>
      </c>
      <c r="G120" s="32">
        <f>IFERROR(__xludf.DUMMYFUNCTION("IFERROR(
  VLOOKUP(
    A120,
    IMPORTRANGE(
      ""1ZygntHC1J6IxzKbTidmOyf5nUyW4GCLurHCjexrLm_o        "",
      ""HTMLキャッシュ!A:F""
    ),
    3,
    FALSE
  ),
  0
)
"),25569.375)</f>
        <v>25569.375</v>
      </c>
      <c r="H120" s="54">
        <f>IFERROR(__xludf.DUMMYFUNCTION("IFERROR(
  VLOOKUP(
    A120,
    IMPORTRANGE(
      ""1ZHMy3vVUd_0MrSduXTe1etBb1HNpAlGwQr006ljwMiM"",
      ""GSC最新!A:F""
    ),
    2,
    FALSE
  ),
  0
)
"),0.0)</f>
        <v>0</v>
      </c>
      <c r="I120" s="54">
        <f>IFERROR(__xludf.DUMMYFUNCTION("IFERROR(
  VLOOKUP(
    A120,
    IMPORTRANGE(
      ""1ZHMy3vVUd_0MrSduXTe1etBb1HNpAlGwQr006ljwMiM"",
      ""GSC最新!A:F""
    ),
    3,
    FALSE
  ),
  0
)
"),0.0)</f>
        <v>0</v>
      </c>
      <c r="J120" s="54">
        <f>IFERROR(__xludf.DUMMYFUNCTION("IFERROR(
  VLOOKUP(
    A120,
    IMPORTRANGE(
      ""1ZHMy3vVUd_0MrSduXTe1etBb1HNpAlGwQr006ljwMiM"",
      ""GSC最新!A:F""
    ),
    4,
    FALSE
  ),
  0
)
"),0.0)</f>
        <v>0</v>
      </c>
      <c r="K120" s="54">
        <f>IFERROR(__xludf.DUMMYFUNCTION("IFERROR(
  VLOOKUP(
    A120,
    IMPORTRANGE(
      ""1ZHMy3vVUd_0MrSduXTe1etBb1HNpAlGwQr006ljwMiM"",
      ""GSC最新!A:F""
    ),
    5,
    FALSE
  ),
  0
)
"),0.0)</f>
        <v>0</v>
      </c>
      <c r="L120" s="50" t="str">
        <f t="shared" ref="L120:M120" si="592">IFERROR(H120/J120,"-")</f>
        <v>-</v>
      </c>
      <c r="M120" s="50" t="str">
        <f t="shared" si="592"/>
        <v>-</v>
      </c>
      <c r="N120" s="59">
        <f>IFERROR(__xludf.DUMMYFUNCTION("IFERROR(
  VLOOKUP(
    A120,
    IMPORTRANGE(
      ""1ZHMy3vVUd_0MrSduXTe1etBb1HNpAlGwQr006ljwMiM"",
      ""GSC最新!A:R""
    ),
    7,
    FALSE
  ),
  0
)
"),6.0)</f>
        <v>6</v>
      </c>
      <c r="O120" s="59">
        <f>IFERROR(__xludf.DUMMYFUNCTION("IFERROR(
  VLOOKUP(
    A120,
    IMPORTRANGE(
      ""1ZHMy3vVUd_0MrSduXTe1etBb1HNpAlGwQr006ljwMiM"",
      ""GSC最新!A:R""
    ),
    10,
    FALSE
  ),
  0
)
"),7.0)</f>
        <v>7</v>
      </c>
      <c r="P120" s="59">
        <f>IFERROR(__xludf.DUMMYFUNCTION("IFERROR(
  VLOOKUP(
    A120,
    IMPORTRANGE(
      ""1ZHMy3vVUd_0MrSduXTe1etBb1HNpAlGwQr006ljwMiM"",
      ""GSC最新!A:R""
    ),
    13,
    FALSE
  ),
  0
)
"),0.0)</f>
        <v>0</v>
      </c>
      <c r="Q120" s="59">
        <f>IFERROR(__xludf.DUMMYFUNCTION("IFERROR(
  VLOOKUP(
    A120,
    IMPORTRANGE(
      ""1ZHMy3vVUd_0MrSduXTe1etBb1HNpAlGwQr006ljwMiM"",
      ""GSC最新!A:R""
    ),
    16,
    FALSE
  ),
  0
)
"),1.0)</f>
        <v>1</v>
      </c>
      <c r="R120" s="50" t="str">
        <f t="shared" ref="R120:S120" si="593">IFERROR(N120/P120,"-")</f>
        <v>-</v>
      </c>
      <c r="S120" s="50">
        <f t="shared" si="593"/>
        <v>7</v>
      </c>
      <c r="T120" s="60">
        <f>IFERROR(__xludf.DUMMYFUNCTION("IFERROR(
  VLOOKUP(
    A120,
    IMPORTRANGE(
      ""1ZHMy3vVUd_0MrSduXTe1etBb1HNpAlGwQr006ljwMiM"",
      ""GSC最新!A:R""
    ),
    8,
    FALSE
  ),
  0
)
"),0.0)</f>
        <v>0</v>
      </c>
      <c r="U120" s="60">
        <f>IFERROR(__xludf.DUMMYFUNCTION("IFERROR(
  VLOOKUP(
    A120,
    IMPORTRANGE(
      ""1ZHMy3vVUd_0MrSduXTe1etBb1HNpAlGwQr006ljwMiM"",
      ""GSC最新!A:R""
    ),
    11,
    FALSE
  ),
  0
)
"),0.0)</f>
        <v>0</v>
      </c>
      <c r="V120" s="60">
        <f>IFERROR(__xludf.DUMMYFUNCTION("IFERROR(
  VLOOKUP(
    A120,
    IMPORTRANGE(
      ""1ZHMy3vVUd_0MrSduXTe1etBb1HNpAlGwQr006ljwMiM"",
      ""GSC最新!A:R""
    ),
    14,
    FALSE
  ),
  0
)
"),0.0)</f>
        <v>0</v>
      </c>
      <c r="W120" s="60">
        <f>IFERROR(__xludf.DUMMYFUNCTION("IFERROR(
  VLOOKUP(
    A120,
    IMPORTRANGE(
      ""1ZHMy3vVUd_0MrSduXTe1etBb1HNpAlGwQr006ljwMiM"",
      ""GSC最新!A:R""
    ),
    17,
    FALSE
  ),
  0
)
"),0.0)</f>
        <v>0</v>
      </c>
      <c r="X120" s="60">
        <f t="shared" ref="X120:Y120" si="594">IFERROR(T120-V120,"-")</f>
        <v>0</v>
      </c>
      <c r="Y120" s="60">
        <f t="shared" si="594"/>
        <v>0</v>
      </c>
      <c r="Z120" s="52">
        <f>IFERROR(__xludf.DUMMYFUNCTION("IFERROR(
  VLOOKUP(
    A120,
    IMPORTRANGE(
      ""1ZHMy3vVUd_0MrSduXTe1etBb1HNpAlGwQr006ljwMiM"",
      ""GSC最新!A:R""
    ),
    9,
    FALSE
  ),
  0
)
"),2.333333333333333)</f>
        <v>2.333333333</v>
      </c>
      <c r="AA120" s="52">
        <f>IFERROR(__xludf.DUMMYFUNCTION("IFERROR(
  VLOOKUP(
    A120,
    IMPORTRANGE(
      ""1ZHMy3vVUd_0MrSduXTe1etBb1HNpAlGwQr006ljwMiM"",
      ""GSC最新!A:R""
    ),
    12,
    FALSE
  ),
  0
)
"),2.142857142857143)</f>
        <v>2.142857143</v>
      </c>
      <c r="AB120" s="52" t="str">
        <f>IFERROR(__xludf.DUMMYFUNCTION("IFERROR(
  VLOOKUP(
    A120,
    IMPORTRANGE(
      ""1ZHMy3vVUd_0MrSduXTe1etBb1HNpAlGwQr006ljwMiM"",
      ""GSC最新!A:R""
    ),
    15,
    FALSE
  ),
  0
)
"),"")</f>
        <v/>
      </c>
      <c r="AC120" s="52">
        <f>IFERROR(__xludf.DUMMYFUNCTION("IFERROR(
  VLOOKUP(
    A120,
    IMPORTRANGE(
      ""1ZHMy3vVUd_0MrSduXTe1etBb1HNpAlGwQr006ljwMiM"",
      ""GSC最新!A:R""
    ),
    18,
    FALSE
  ),
  0
)
"),47.0)</f>
        <v>47</v>
      </c>
      <c r="AD120" s="52">
        <f t="shared" ref="AD120:AE120" si="595">Z120-AB120</f>
        <v>2.333333333</v>
      </c>
      <c r="AE120" s="52">
        <f t="shared" si="595"/>
        <v>-44.85714286</v>
      </c>
      <c r="AF120" s="53">
        <f>IFERROR(__xludf.DUMMYFUNCTION("IFERROR(
  VLOOKUP(
    A120,
    IMPORTRANGE(
      ""1ZHMy3vVUd_0MrSduXTe1etBb1HNpAlGwQr006ljwMiM"",
      ""GSC最新!A:F""
    ),
    6,
    FALSE
  ),
  0
)
"),46081.0)</f>
        <v>46081</v>
      </c>
      <c r="AG120" s="54">
        <f>IFERROR(__xludf.DUMMYFUNCTION("IFERROR(
  VLOOKUP(
    A120,
    IMPORTRANGE(
      ""1SCYQd7_cobOYqT0r_F0IqD4tE4rYn5y8Eup4PJTH8es"",
      ""Snapshot!A:M""
    ),
    5,
    FALSE
  ),
  ""-""
)
"),0.0)</f>
        <v>0</v>
      </c>
      <c r="AH120" s="54">
        <f>IFERROR(__xludf.DUMMYFUNCTION("IFERROR(
  VLOOKUP(
    A120,
    IMPORTRANGE(
      ""1SCYQd7_cobOYqT0r_F0IqD4tE4rYn5y8Eup4PJTH8es"",
      ""Snapshot!A:M""
    ),
    6,
    FALSE
  ),
  0
)
"),0.0)</f>
        <v>0</v>
      </c>
      <c r="AI120" s="54">
        <f>IFERROR(__xludf.DUMMYFUNCTION("IFERROR(
  VLOOKUP(
    A120,
    IMPORTRANGE(
      ""1SCYQd7_cobOYqT0r_F0IqD4tE4rYn5y8Eup4PJTH8es"",
      ""Snapshot!A:M""
    ),
    7,
    FALSE
  ),
  0
)
"),0.0)</f>
        <v>0</v>
      </c>
      <c r="AJ120" s="54">
        <f>IFERROR(__xludf.DUMMYFUNCTION("IFERROR(
  VLOOKUP(
    A120,
    IMPORTRANGE(
      ""1SCYQd7_cobOYqT0r_F0IqD4tE4rYn5y8Eup4PJTH8es"",
      ""Snapshot!A:M""
    ),
    8,
    FALSE
  ),
  0
)
"),0.0)</f>
        <v>0</v>
      </c>
      <c r="AK120" s="54">
        <f>IFERROR(__xludf.DUMMYFUNCTION("IFERROR(
  VLOOKUP(
    A120,
    IMPORTRANGE(
      ""1SCYQd7_cobOYqT0r_F0IqD4tE4rYn5y8Eup4PJTH8es"",
      ""Snapshot!A:M""
    ),
    9,
    FALSE
  ),
  0
)
"),0.0)</f>
        <v>0</v>
      </c>
      <c r="AL120" s="54">
        <f>IFERROR(__xludf.DUMMYFUNCTION("IFERROR(
  VLOOKUP(
    A120,
    IMPORTRANGE(
      ""1SCYQd7_cobOYqT0r_F0IqD4tE4rYn5y8Eup4PJTH8es"",
      ""Snapshot!A:M""
    ),
    13,
    FALSE
  ),
  0
)
"),1.0)</f>
        <v>1</v>
      </c>
    </row>
    <row r="121">
      <c r="A121" s="3" t="s">
        <v>450</v>
      </c>
      <c r="B121" s="1" t="str">
        <f>IFERROR(__xludf.DUMMYFUNCTION("IFERROR(
  VLOOKUP(
    A121,
    IMPORTRANGE(
      ""1ZygntHC1J6IxzKbTidmOyf5nUyW4GCLurHCjexrLm_o"",
      ""HTMLキャッシュ!A:F""
    ),
    2,
    FALSE
  ),
  0
)
"),"NW")</f>
        <v>NW</v>
      </c>
      <c r="C121" s="1" t="str">
        <f>IFERROR(__xludf.DUMMYFUNCTION("IFERROR(
  VLOOKUP(
    A121,
    IMPORTRANGE(
      ""1ZygntHC1J6IxzKbTidmOyf5nUyW4GCLurHCjexrLm_o"",
      ""HTMLキャッシュ!A:F""
    ),
    5,
    FALSE
  ),
  0
)
"),"【出版】『ビジュアリクス 中学受験算数』刊行のお知らせ - 中学受験専門 夏井算数塾")</f>
        <v>【出版】『ビジュアリクス 中学受験算数』刊行のお知らせ - 中学受験専門 夏井算数塾</v>
      </c>
      <c r="D121" s="1" t="str">
        <f>IFERROR(__xludf.DUMMYFUNCTION("IFERROR(
  VLOOKUP(
    A121,
    IMPORTRANGE(
      ""1ZygntHC1J6IxzKbTidmOyf5nUyW4GCLurHCjexrLm_o        "",
      ""HTMLキャッシュ!A:F""
    ),
    6,
    FALSE
  ),
  0
)
"),"本日は掲題の件につきましてお知らせさせて頂きます。 2022年12月，ごま書房新社より『ビジュアリクス 中学受")</f>
        <v>本日は掲題の件につきましてお知らせさせて頂きます。 2022年12月，ごま書房新社より『ビジュアリクス 中学受</v>
      </c>
      <c r="E121" s="49">
        <f t="shared" ref="E121:F121" si="596">LEN(C121)</f>
        <v>42</v>
      </c>
      <c r="F121" s="49">
        <f t="shared" si="596"/>
        <v>55</v>
      </c>
      <c r="G121" s="32">
        <f>IFERROR(__xludf.DUMMYFUNCTION("IFERROR(
  VLOOKUP(
    A121,
    IMPORTRANGE(
      ""1ZygntHC1J6IxzKbTidmOyf5nUyW4GCLurHCjexrLm_o        "",
      ""HTMLキャッシュ!A:F""
    ),
    3,
    FALSE
  ),
  0
)
"),45037.73564814815)</f>
        <v>45037.73565</v>
      </c>
      <c r="H121" s="54">
        <f>IFERROR(__xludf.DUMMYFUNCTION("IFERROR(
  VLOOKUP(
    A121,
    IMPORTRANGE(
      ""1ZHMy3vVUd_0MrSduXTe1etBb1HNpAlGwQr006ljwMiM"",
      ""GSC最新!A:F""
    ),
    2,
    FALSE
  ),
  0
)
"),0.0)</f>
        <v>0</v>
      </c>
      <c r="I121" s="54">
        <f>IFERROR(__xludf.DUMMYFUNCTION("IFERROR(
  VLOOKUP(
    A121,
    IMPORTRANGE(
      ""1ZHMy3vVUd_0MrSduXTe1etBb1HNpAlGwQr006ljwMiM"",
      ""GSC最新!A:F""
    ),
    3,
    FALSE
  ),
  0
)
"),0.0)</f>
        <v>0</v>
      </c>
      <c r="J121" s="54">
        <f>IFERROR(__xludf.DUMMYFUNCTION("IFERROR(
  VLOOKUP(
    A121,
    IMPORTRANGE(
      ""1ZHMy3vVUd_0MrSduXTe1etBb1HNpAlGwQr006ljwMiM"",
      ""GSC最新!A:F""
    ),
    4,
    FALSE
  ),
  0
)
"),0.0)</f>
        <v>0</v>
      </c>
      <c r="K121" s="54">
        <f>IFERROR(__xludf.DUMMYFUNCTION("IFERROR(
  VLOOKUP(
    A121,
    IMPORTRANGE(
      ""1ZHMy3vVUd_0MrSduXTe1etBb1HNpAlGwQr006ljwMiM"",
      ""GSC最新!A:F""
    ),
    5,
    FALSE
  ),
  0
)
"),0.0)</f>
        <v>0</v>
      </c>
      <c r="L121" s="50" t="str">
        <f t="shared" ref="L121:M121" si="597">IFERROR(H121/J121,"-")</f>
        <v>-</v>
      </c>
      <c r="M121" s="50" t="str">
        <f t="shared" si="597"/>
        <v>-</v>
      </c>
      <c r="N121" s="59">
        <f>IFERROR(__xludf.DUMMYFUNCTION("IFERROR(
  VLOOKUP(
    A121,
    IMPORTRANGE(
      ""1ZHMy3vVUd_0MrSduXTe1etBb1HNpAlGwQr006ljwMiM"",
      ""GSC最新!A:R""
    ),
    7,
    FALSE
  ),
  0
)
"),1.0)</f>
        <v>1</v>
      </c>
      <c r="O121" s="59">
        <f>IFERROR(__xludf.DUMMYFUNCTION("IFERROR(
  VLOOKUP(
    A121,
    IMPORTRANGE(
      ""1ZHMy3vVUd_0MrSduXTe1etBb1HNpAlGwQr006ljwMiM"",
      ""GSC最新!A:R""
    ),
    10,
    FALSE
  ),
  0
)
"),7.0)</f>
        <v>7</v>
      </c>
      <c r="P121" s="59">
        <f>IFERROR(__xludf.DUMMYFUNCTION("IFERROR(
  VLOOKUP(
    A121,
    IMPORTRANGE(
      ""1ZHMy3vVUd_0MrSduXTe1etBb1HNpAlGwQr006ljwMiM"",
      ""GSC最新!A:R""
    ),
    13,
    FALSE
  ),
  0
)
"),2.0)</f>
        <v>2</v>
      </c>
      <c r="Q121" s="59">
        <f>IFERROR(__xludf.DUMMYFUNCTION("IFERROR(
  VLOOKUP(
    A121,
    IMPORTRANGE(
      ""1ZHMy3vVUd_0MrSduXTe1etBb1HNpAlGwQr006ljwMiM"",
      ""GSC最新!A:R""
    ),
    16,
    FALSE
  ),
  0
)
"),6.0)</f>
        <v>6</v>
      </c>
      <c r="R121" s="50">
        <f t="shared" ref="R121:S121" si="598">IFERROR(N121/P121,"-")</f>
        <v>0.5</v>
      </c>
      <c r="S121" s="50">
        <f t="shared" si="598"/>
        <v>1.166666667</v>
      </c>
      <c r="T121" s="60">
        <f>IFERROR(__xludf.DUMMYFUNCTION("IFERROR(
  VLOOKUP(
    A121,
    IMPORTRANGE(
      ""1ZHMy3vVUd_0MrSduXTe1etBb1HNpAlGwQr006ljwMiM"",
      ""GSC最新!A:R""
    ),
    8,
    FALSE
  ),
  0
)
"),0.0)</f>
        <v>0</v>
      </c>
      <c r="U121" s="60">
        <f>IFERROR(__xludf.DUMMYFUNCTION("IFERROR(
  VLOOKUP(
    A121,
    IMPORTRANGE(
      ""1ZHMy3vVUd_0MrSduXTe1etBb1HNpAlGwQr006ljwMiM"",
      ""GSC最新!A:R""
    ),
    11,
    FALSE
  ),
  0
)
"),0.0)</f>
        <v>0</v>
      </c>
      <c r="V121" s="60">
        <f>IFERROR(__xludf.DUMMYFUNCTION("IFERROR(
  VLOOKUP(
    A121,
    IMPORTRANGE(
      ""1ZHMy3vVUd_0MrSduXTe1etBb1HNpAlGwQr006ljwMiM"",
      ""GSC最新!A:R""
    ),
    14,
    FALSE
  ),
  0
)
"),0.0)</f>
        <v>0</v>
      </c>
      <c r="W121" s="60">
        <f>IFERROR(__xludf.DUMMYFUNCTION("IFERROR(
  VLOOKUP(
    A121,
    IMPORTRANGE(
      ""1ZHMy3vVUd_0MrSduXTe1etBb1HNpAlGwQr006ljwMiM"",
      ""GSC最新!A:R""
    ),
    17,
    FALSE
  ),
  0
)
"),0.0)</f>
        <v>0</v>
      </c>
      <c r="X121" s="60">
        <f t="shared" ref="X121:Y121" si="599">IFERROR(T121-V121,"-")</f>
        <v>0</v>
      </c>
      <c r="Y121" s="60">
        <f t="shared" si="599"/>
        <v>0</v>
      </c>
      <c r="Z121" s="52">
        <f>IFERROR(__xludf.DUMMYFUNCTION("IFERROR(
  VLOOKUP(
    A121,
    IMPORTRANGE(
      ""1ZHMy3vVUd_0MrSduXTe1etBb1HNpAlGwQr006ljwMiM"",
      ""GSC最新!A:R""
    ),
    9,
    FALSE
  ),
  0
)
"),2.0)</f>
        <v>2</v>
      </c>
      <c r="AA121" s="52">
        <f>IFERROR(__xludf.DUMMYFUNCTION("IFERROR(
  VLOOKUP(
    A121,
    IMPORTRANGE(
      ""1ZHMy3vVUd_0MrSduXTe1etBb1HNpAlGwQr006ljwMiM"",
      ""GSC最新!A:R""
    ),
    12,
    FALSE
  ),
  0
)
"),5.0)</f>
        <v>5</v>
      </c>
      <c r="AB121" s="52">
        <f>IFERROR(__xludf.DUMMYFUNCTION("IFERROR(
  VLOOKUP(
    A121,
    IMPORTRANGE(
      ""1ZHMy3vVUd_0MrSduXTe1etBb1HNpAlGwQr006ljwMiM"",
      ""GSC最新!A:R""
    ),
    15,
    FALSE
  ),
  0
)
"),8.5)</f>
        <v>8.5</v>
      </c>
      <c r="AC121" s="52">
        <f>IFERROR(__xludf.DUMMYFUNCTION("IFERROR(
  VLOOKUP(
    A121,
    IMPORTRANGE(
      ""1ZHMy3vVUd_0MrSduXTe1etBb1HNpAlGwQr006ljwMiM"",
      ""GSC最新!A:R""
    ),
    18,
    FALSE
  ),
  0
)
"),9.833333333333334)</f>
        <v>9.833333333</v>
      </c>
      <c r="AD121" s="52">
        <f t="shared" ref="AD121:AE121" si="600">Z121-AB121</f>
        <v>-6.5</v>
      </c>
      <c r="AE121" s="52">
        <f t="shared" si="600"/>
        <v>-4.833333333</v>
      </c>
      <c r="AF121" s="53">
        <f>IFERROR(__xludf.DUMMYFUNCTION("IFERROR(
  VLOOKUP(
    A121,
    IMPORTRANGE(
      ""1ZHMy3vVUd_0MrSduXTe1etBb1HNpAlGwQr006ljwMiM"",
      ""GSC最新!A:F""
    ),
    6,
    FALSE
  ),
  0
)
"),46081.0)</f>
        <v>46081</v>
      </c>
      <c r="AG121" s="54">
        <f>IFERROR(__xludf.DUMMYFUNCTION("IFERROR(
  VLOOKUP(
    A121,
    IMPORTRANGE(
      ""1SCYQd7_cobOYqT0r_F0IqD4tE4rYn5y8Eup4PJTH8es"",
      ""Snapshot!A:M""
    ),
    5,
    FALSE
  ),
  ""-""
)
"),0.0)</f>
        <v>0</v>
      </c>
      <c r="AH121" s="54">
        <f>IFERROR(__xludf.DUMMYFUNCTION("IFERROR(
  VLOOKUP(
    A121,
    IMPORTRANGE(
      ""1SCYQd7_cobOYqT0r_F0IqD4tE4rYn5y8Eup4PJTH8es"",
      ""Snapshot!A:M""
    ),
    6,
    FALSE
  ),
  0
)
"),0.0)</f>
        <v>0</v>
      </c>
      <c r="AI121" s="54">
        <f>IFERROR(__xludf.DUMMYFUNCTION("IFERROR(
  VLOOKUP(
    A121,
    IMPORTRANGE(
      ""1SCYQd7_cobOYqT0r_F0IqD4tE4rYn5y8Eup4PJTH8es"",
      ""Snapshot!A:M""
    ),
    7,
    FALSE
  ),
  0
)
"),994.0)</f>
        <v>994</v>
      </c>
      <c r="AJ121" s="54">
        <f>IFERROR(__xludf.DUMMYFUNCTION("IFERROR(
  VLOOKUP(
    A121,
    IMPORTRANGE(
      ""1SCYQd7_cobOYqT0r_F0IqD4tE4rYn5y8Eup4PJTH8es"",
      ""Snapshot!A:M""
    ),
    8,
    FALSE
  ),
  0
)
"),0.0)</f>
        <v>0</v>
      </c>
      <c r="AK121" s="54">
        <f>IFERROR(__xludf.DUMMYFUNCTION("IFERROR(
  VLOOKUP(
    A121,
    IMPORTRANGE(
      ""1SCYQd7_cobOYqT0r_F0IqD4tE4rYn5y8Eup4PJTH8es"",
      ""Snapshot!A:M""
    ),
    9,
    FALSE
  ),
  0
)
"),1.0)</f>
        <v>1</v>
      </c>
      <c r="AL121" s="54">
        <f>IFERROR(__xludf.DUMMYFUNCTION("IFERROR(
  VLOOKUP(
    A121,
    IMPORTRANGE(
      ""1SCYQd7_cobOYqT0r_F0IqD4tE4rYn5y8Eup4PJTH8es"",
      ""Snapshot!A:M""
    ),
    13,
    FALSE
  ),
  0
)
"),2.0)</f>
        <v>2</v>
      </c>
    </row>
    <row r="122">
      <c r="A122" s="3" t="s">
        <v>451</v>
      </c>
      <c r="B122" s="1" t="str">
        <f>IFERROR(__xludf.DUMMYFUNCTION("IFERROR(
  VLOOKUP(
    A122,
    IMPORTRANGE(
      ""1ZygntHC1J6IxzKbTidmOyf5nUyW4GCLurHCjexrLm_o"",
      ""HTMLキャッシュ!A:F""
    ),
    2,
    FALSE
  ),
  0
)
"),"NW")</f>
        <v>NW</v>
      </c>
      <c r="C122" s="1" t="str">
        <f>IFERROR(__xludf.DUMMYFUNCTION("IFERROR(
  VLOOKUP(
    A122,
    IMPORTRANGE(
      ""1ZygntHC1J6IxzKbTidmOyf5nUyW4GCLurHCjexrLm_o"",
      ""HTMLキャッシュ!A:F""
    ),
    5,
    FALSE
  ),
  0
)
"),"受験理科専門塾「しゅん吉クエスト」開校のお知らせ - 中学受験専門 夏井算数塾")</f>
        <v>受験理科専門塾「しゅん吉クエスト」開校のお知らせ - 中学受験専門 夏井算数塾</v>
      </c>
      <c r="D122" s="1" t="str">
        <f>IFERROR(__xludf.DUMMYFUNCTION("IFERROR(
  VLOOKUP(
    A122,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122" s="49">
        <f t="shared" ref="E122:F122" si="601">LEN(C122)</f>
        <v>39</v>
      </c>
      <c r="F122" s="49">
        <f t="shared" si="601"/>
        <v>55</v>
      </c>
      <c r="G122" s="32">
        <f>IFERROR(__xludf.DUMMYFUNCTION("IFERROR(
  VLOOKUP(
    A122,
    IMPORTRANGE(
      ""1ZygntHC1J6IxzKbTidmOyf5nUyW4GCLurHCjexrLm_o        "",
      ""HTMLキャッシュ!A:F""
    ),
    3,
    FALSE
  ),
  0
)
"),44400.67650462963)</f>
        <v>44400.6765</v>
      </c>
      <c r="H122" s="54">
        <f>IFERROR(__xludf.DUMMYFUNCTION("IFERROR(
  VLOOKUP(
    A122,
    IMPORTRANGE(
      ""1ZHMy3vVUd_0MrSduXTe1etBb1HNpAlGwQr006ljwMiM"",
      ""GSC最新!A:F""
    ),
    2,
    FALSE
  ),
  0
)
"),0.0)</f>
        <v>0</v>
      </c>
      <c r="I122" s="54">
        <f>IFERROR(__xludf.DUMMYFUNCTION("IFERROR(
  VLOOKUP(
    A122,
    IMPORTRANGE(
      ""1ZHMy3vVUd_0MrSduXTe1etBb1HNpAlGwQr006ljwMiM"",
      ""GSC最新!A:F""
    ),
    3,
    FALSE
  ),
  0
)
"),0.0)</f>
        <v>0</v>
      </c>
      <c r="J122" s="54">
        <f>IFERROR(__xludf.DUMMYFUNCTION("IFERROR(
  VLOOKUP(
    A122,
    IMPORTRANGE(
      ""1ZHMy3vVUd_0MrSduXTe1etBb1HNpAlGwQr006ljwMiM"",
      ""GSC最新!A:F""
    ),
    4,
    FALSE
  ),
  0
)
"),0.0)</f>
        <v>0</v>
      </c>
      <c r="K122" s="54">
        <f>IFERROR(__xludf.DUMMYFUNCTION("IFERROR(
  VLOOKUP(
    A122,
    IMPORTRANGE(
      ""1ZHMy3vVUd_0MrSduXTe1etBb1HNpAlGwQr006ljwMiM"",
      ""GSC最新!A:F""
    ),
    5,
    FALSE
  ),
  0
)
"),0.0)</f>
        <v>0</v>
      </c>
      <c r="L122" s="50" t="str">
        <f t="shared" ref="L122:M122" si="602">IFERROR(H122/J122,"-")</f>
        <v>-</v>
      </c>
      <c r="M122" s="50" t="str">
        <f t="shared" si="602"/>
        <v>-</v>
      </c>
      <c r="N122" s="59">
        <f>IFERROR(__xludf.DUMMYFUNCTION("IFERROR(
  VLOOKUP(
    A122,
    IMPORTRANGE(
      ""1ZHMy3vVUd_0MrSduXTe1etBb1HNpAlGwQr006ljwMiM"",
      ""GSC最新!A:R""
    ),
    7,
    FALSE
  ),
  0
)
"),5.0)</f>
        <v>5</v>
      </c>
      <c r="O122" s="59">
        <f>IFERROR(__xludf.DUMMYFUNCTION("IFERROR(
  VLOOKUP(
    A122,
    IMPORTRANGE(
      ""1ZHMy3vVUd_0MrSduXTe1etBb1HNpAlGwQr006ljwMiM"",
      ""GSC最新!A:R""
    ),
    10,
    FALSE
  ),
  0
)
"),6.0)</f>
        <v>6</v>
      </c>
      <c r="P122" s="59">
        <f>IFERROR(__xludf.DUMMYFUNCTION("IFERROR(
  VLOOKUP(
    A122,
    IMPORTRANGE(
      ""1ZHMy3vVUd_0MrSduXTe1etBb1HNpAlGwQr006ljwMiM"",
      ""GSC最新!A:R""
    ),
    13,
    FALSE
  ),
  0
)
"),1.0)</f>
        <v>1</v>
      </c>
      <c r="Q122" s="59">
        <f>IFERROR(__xludf.DUMMYFUNCTION("IFERROR(
  VLOOKUP(
    A122,
    IMPORTRANGE(
      ""1ZHMy3vVUd_0MrSduXTe1etBb1HNpAlGwQr006ljwMiM"",
      ""GSC最新!A:R""
    ),
    16,
    FALSE
  ),
  0
)
"),7.0)</f>
        <v>7</v>
      </c>
      <c r="R122" s="50">
        <f t="shared" ref="R122:S122" si="603">IFERROR(N122/P122,"-")</f>
        <v>5</v>
      </c>
      <c r="S122" s="50">
        <f t="shared" si="603"/>
        <v>0.8571428571</v>
      </c>
      <c r="T122" s="60">
        <f>IFERROR(__xludf.DUMMYFUNCTION("IFERROR(
  VLOOKUP(
    A122,
    IMPORTRANGE(
      ""1ZHMy3vVUd_0MrSduXTe1etBb1HNpAlGwQr006ljwMiM"",
      ""GSC最新!A:R""
    ),
    8,
    FALSE
  ),
  0
)
"),0.0)</f>
        <v>0</v>
      </c>
      <c r="U122" s="60">
        <f>IFERROR(__xludf.DUMMYFUNCTION("IFERROR(
  VLOOKUP(
    A122,
    IMPORTRANGE(
      ""1ZHMy3vVUd_0MrSduXTe1etBb1HNpAlGwQr006ljwMiM"",
      ""GSC最新!A:R""
    ),
    11,
    FALSE
  ),
  0
)
"),0.0)</f>
        <v>0</v>
      </c>
      <c r="V122" s="60">
        <f>IFERROR(__xludf.DUMMYFUNCTION("IFERROR(
  VLOOKUP(
    A122,
    IMPORTRANGE(
      ""1ZHMy3vVUd_0MrSduXTe1etBb1HNpAlGwQr006ljwMiM"",
      ""GSC最新!A:R""
    ),
    14,
    FALSE
  ),
  0
)
"),0.0)</f>
        <v>0</v>
      </c>
      <c r="W122" s="60">
        <f>IFERROR(__xludf.DUMMYFUNCTION("IFERROR(
  VLOOKUP(
    A122,
    IMPORTRANGE(
      ""1ZHMy3vVUd_0MrSduXTe1etBb1HNpAlGwQr006ljwMiM"",
      ""GSC最新!A:R""
    ),
    17,
    FALSE
  ),
  0
)
"),0.0)</f>
        <v>0</v>
      </c>
      <c r="X122" s="60">
        <f t="shared" ref="X122:Y122" si="604">IFERROR(T122-V122,"-")</f>
        <v>0</v>
      </c>
      <c r="Y122" s="60">
        <f t="shared" si="604"/>
        <v>0</v>
      </c>
      <c r="Z122" s="52">
        <f>IFERROR(__xludf.DUMMYFUNCTION("IFERROR(
  VLOOKUP(
    A122,
    IMPORTRANGE(
      ""1ZHMy3vVUd_0MrSduXTe1etBb1HNpAlGwQr006ljwMiM"",
      ""GSC最新!A:R""
    ),
    9,
    FALSE
  ),
  0
)
"),6.6)</f>
        <v>6.6</v>
      </c>
      <c r="AA122" s="52">
        <f>IFERROR(__xludf.DUMMYFUNCTION("IFERROR(
  VLOOKUP(
    A122,
    IMPORTRANGE(
      ""1ZHMy3vVUd_0MrSduXTe1etBb1HNpAlGwQr006ljwMiM"",
      ""GSC最新!A:R""
    ),
    12,
    FALSE
  ),
  0
)
"),7.333333333333333)</f>
        <v>7.333333333</v>
      </c>
      <c r="AB122" s="52">
        <f>IFERROR(__xludf.DUMMYFUNCTION("IFERROR(
  VLOOKUP(
    A122,
    IMPORTRANGE(
      ""1ZHMy3vVUd_0MrSduXTe1etBb1HNpAlGwQr006ljwMiM"",
      ""GSC最新!A:R""
    ),
    15,
    FALSE
  ),
  0
)
"),21.0)</f>
        <v>21</v>
      </c>
      <c r="AC122" s="52">
        <f>IFERROR(__xludf.DUMMYFUNCTION("IFERROR(
  VLOOKUP(
    A122,
    IMPORTRANGE(
      ""1ZHMy3vVUd_0MrSduXTe1etBb1HNpAlGwQr006ljwMiM"",
      ""GSC最新!A:R""
    ),
    18,
    FALSE
  ),
  0
)
"),23.857142857142858)</f>
        <v>23.85714286</v>
      </c>
      <c r="AD122" s="52">
        <f t="shared" ref="AD122:AE122" si="605">Z122-AB122</f>
        <v>-14.4</v>
      </c>
      <c r="AE122" s="52">
        <f t="shared" si="605"/>
        <v>-16.52380952</v>
      </c>
      <c r="AF122" s="53">
        <f>IFERROR(__xludf.DUMMYFUNCTION("IFERROR(
  VLOOKUP(
    A122,
    IMPORTRANGE(
      ""1ZHMy3vVUd_0MrSduXTe1etBb1HNpAlGwQr006ljwMiM"",
      ""GSC最新!A:F""
    ),
    6,
    FALSE
  ),
  0
)
"),46081.0)</f>
        <v>46081</v>
      </c>
      <c r="AG122" s="54">
        <f>IFERROR(__xludf.DUMMYFUNCTION("IFERROR(
  VLOOKUP(
    A122,
    IMPORTRANGE(
      ""1SCYQd7_cobOYqT0r_F0IqD4tE4rYn5y8Eup4PJTH8es"",
      ""Snapshot!A:M""
    ),
    5,
    FALSE
  ),
  ""-""
)
"),0.0)</f>
        <v>0</v>
      </c>
      <c r="AH122" s="54">
        <f>IFERROR(__xludf.DUMMYFUNCTION("IFERROR(
  VLOOKUP(
    A122,
    IMPORTRANGE(
      ""1SCYQd7_cobOYqT0r_F0IqD4tE4rYn5y8Eup4PJTH8es"",
      ""Snapshot!A:M""
    ),
    6,
    FALSE
  ),
  0
)
"),0.0)</f>
        <v>0</v>
      </c>
      <c r="AI122" s="54">
        <f>IFERROR(__xludf.DUMMYFUNCTION("IFERROR(
  VLOOKUP(
    A122,
    IMPORTRANGE(
      ""1SCYQd7_cobOYqT0r_F0IqD4tE4rYn5y8Eup4PJTH8es"",
      ""Snapshot!A:M""
    ),
    7,
    FALSE
  ),
  0
)
"),127.0)</f>
        <v>127</v>
      </c>
      <c r="AJ122" s="54">
        <f>IFERROR(__xludf.DUMMYFUNCTION("IFERROR(
  VLOOKUP(
    A122,
    IMPORTRANGE(
      ""1SCYQd7_cobOYqT0r_F0IqD4tE4rYn5y8Eup4PJTH8es"",
      ""Snapshot!A:M""
    ),
    8,
    FALSE
  ),
  0
)
"),0.0)</f>
        <v>0</v>
      </c>
      <c r="AK122" s="54">
        <f>IFERROR(__xludf.DUMMYFUNCTION("IFERROR(
  VLOOKUP(
    A122,
    IMPORTRANGE(
      ""1SCYQd7_cobOYqT0r_F0IqD4tE4rYn5y8Eup4PJTH8es"",
      ""Snapshot!A:M""
    ),
    9,
    FALSE
  ),
  0
)
"),1.0)</f>
        <v>1</v>
      </c>
      <c r="AL122" s="54">
        <f>IFERROR(__xludf.DUMMYFUNCTION("IFERROR(
  VLOOKUP(
    A122,
    IMPORTRANGE(
      ""1SCYQd7_cobOYqT0r_F0IqD4tE4rYn5y8Eup4PJTH8es"",
      ""Snapshot!A:M""
    ),
    13,
    FALSE
  ),
  0
)
"),2.0)</f>
        <v>2</v>
      </c>
    </row>
    <row r="123">
      <c r="A123" s="1" t="s">
        <v>452</v>
      </c>
      <c r="B123" s="1" t="str">
        <f>IFERROR(__xludf.DUMMYFUNCTION("IFERROR(
  VLOOKUP(
    A123,
    IMPORTRANGE(
      ""1ZygntHC1J6IxzKbTidmOyf5nUyW4GCLurHCjexrLm_o"",
      ""HTMLキャッシュ!A:F""
    ),
    2,
    FALSE
  ),
  0
)
"),"MC")</f>
        <v>MC</v>
      </c>
      <c r="C123" s="1" t="str">
        <f>IFERROR(__xludf.DUMMYFUNCTION("IFERROR(
  VLOOKUP(
    A123,
    IMPORTRANGE(
      ""1ZygntHC1J6IxzKbTidmOyf5nUyW4GCLurHCjexrLm_o"",
      ""HTMLキャッシュ!A:F""
    ),
    5,
    FALSE
  ),
  0
)
"),"中学受験Q＆A（3）～模試の活用法と伸び悩みの解消法～ - 中学受験専門 夏井算数塾")</f>
        <v>中学受験Q＆A（3）～模試の活用法と伸び悩みの解消法～ - 中学受験専門 夏井算数塾</v>
      </c>
      <c r="D123" s="1" t="str">
        <f>IFERROR(__xludf.DUMMYFUNCTION("IFERROR(
  VLOOKUP(
    A123,
    IMPORTRANGE(
      ""1ZygntHC1J6IxzKbTidmOyf5nUyW4GCLurHCjexrLm_o        "",
      ""HTMLキャッシュ!A:F""
    ),
    6,
    FALSE
  ),
  0
)
"),"中学受験に関する模試の受験タイミングや通信教育の効果、伸び悩み解消法を解説。具体的な勉強法や塾選びのポイントを知りたい方は必見です！")</f>
        <v>中学受験に関する模試の受験タイミングや通信教育の効果、伸び悩み解消法を解説。具体的な勉強法や塾選びのポイントを知りたい方は必見です！</v>
      </c>
      <c r="E123" s="49">
        <f t="shared" ref="E123:F123" si="606">LEN(C123)</f>
        <v>42</v>
      </c>
      <c r="F123" s="49">
        <f t="shared" si="606"/>
        <v>66</v>
      </c>
      <c r="G123" s="32">
        <f>IFERROR(__xludf.DUMMYFUNCTION("IFERROR(
  VLOOKUP(
    A123,
    IMPORTRANGE(
      ""1ZygntHC1J6IxzKbTidmOyf5nUyW4GCLurHCjexrLm_o        "",
      ""HTMLキャッシュ!A:F""
    ),
    3,
    FALSE
  ),
  0
)
"),46048.70332175926)</f>
        <v>46048.70332</v>
      </c>
      <c r="H123" s="54">
        <f>IFERROR(__xludf.DUMMYFUNCTION("IFERROR(
  VLOOKUP(
    A123,
    IMPORTRANGE(
      ""1ZHMy3vVUd_0MrSduXTe1etBb1HNpAlGwQr006ljwMiM"",
      ""GSC最新!A:F""
    ),
    2,
    FALSE
  ),
  0
)
"),0.0)</f>
        <v>0</v>
      </c>
      <c r="I123" s="54">
        <f>IFERROR(__xludf.DUMMYFUNCTION("IFERROR(
  VLOOKUP(
    A123,
    IMPORTRANGE(
      ""1ZHMy3vVUd_0MrSduXTe1etBb1HNpAlGwQr006ljwMiM"",
      ""GSC最新!A:F""
    ),
    3,
    FALSE
  ),
  0
)
"),0.0)</f>
        <v>0</v>
      </c>
      <c r="J123" s="54">
        <f>IFERROR(__xludf.DUMMYFUNCTION("IFERROR(
  VLOOKUP(
    A123,
    IMPORTRANGE(
      ""1ZHMy3vVUd_0MrSduXTe1etBb1HNpAlGwQr006ljwMiM"",
      ""GSC最新!A:F""
    ),
    4,
    FALSE
  ),
  0
)
"),0.0)</f>
        <v>0</v>
      </c>
      <c r="K123" s="54">
        <f>IFERROR(__xludf.DUMMYFUNCTION("IFERROR(
  VLOOKUP(
    A123,
    IMPORTRANGE(
      ""1ZHMy3vVUd_0MrSduXTe1etBb1HNpAlGwQr006ljwMiM"",
      ""GSC最新!A:F""
    ),
    5,
    FALSE
  ),
  0
)
"),0.0)</f>
        <v>0</v>
      </c>
      <c r="L123" s="50" t="str">
        <f t="shared" ref="L123:M123" si="607">IFERROR(H123/J123,"-")</f>
        <v>-</v>
      </c>
      <c r="M123" s="50" t="str">
        <f t="shared" si="607"/>
        <v>-</v>
      </c>
      <c r="N123" s="59">
        <f>IFERROR(__xludf.DUMMYFUNCTION("IFERROR(
  VLOOKUP(
    A123,
    IMPORTRANGE(
      ""1ZHMy3vVUd_0MrSduXTe1etBb1HNpAlGwQr006ljwMiM"",
      ""GSC最新!A:R""
    ),
    7,
    FALSE
  ),
  0
)
"),0.0)</f>
        <v>0</v>
      </c>
      <c r="O123" s="59">
        <f>IFERROR(__xludf.DUMMYFUNCTION("IFERROR(
  VLOOKUP(
    A123,
    IMPORTRANGE(
      ""1ZHMy3vVUd_0MrSduXTe1etBb1HNpAlGwQr006ljwMiM"",
      ""GSC最新!A:R""
    ),
    10,
    FALSE
  ),
  0
)
"),5.0)</f>
        <v>5</v>
      </c>
      <c r="P123" s="59">
        <f>IFERROR(__xludf.DUMMYFUNCTION("IFERROR(
  VLOOKUP(
    A123,
    IMPORTRANGE(
      ""1ZHMy3vVUd_0MrSduXTe1etBb1HNpAlGwQr006ljwMiM"",
      ""GSC最新!A:R""
    ),
    13,
    FALSE
  ),
  0
)
"),0.0)</f>
        <v>0</v>
      </c>
      <c r="Q123" s="59">
        <f>IFERROR(__xludf.DUMMYFUNCTION("IFERROR(
  VLOOKUP(
    A123,
    IMPORTRANGE(
      ""1ZHMy3vVUd_0MrSduXTe1etBb1HNpAlGwQr006ljwMiM"",
      ""GSC最新!A:R""
    ),
    16,
    FALSE
  ),
  0
)
"),0.0)</f>
        <v>0</v>
      </c>
      <c r="R123" s="50" t="str">
        <f t="shared" ref="R123:S123" si="608">IFERROR(N123/P123,"-")</f>
        <v>-</v>
      </c>
      <c r="S123" s="50" t="str">
        <f t="shared" si="608"/>
        <v>-</v>
      </c>
      <c r="T123" s="60">
        <f>IFERROR(__xludf.DUMMYFUNCTION("IFERROR(
  VLOOKUP(
    A123,
    IMPORTRANGE(
      ""1ZHMy3vVUd_0MrSduXTe1etBb1HNpAlGwQr006ljwMiM"",
      ""GSC最新!A:R""
    ),
    8,
    FALSE
  ),
  0
)
"),0.0)</f>
        <v>0</v>
      </c>
      <c r="U123" s="60">
        <f>IFERROR(__xludf.DUMMYFUNCTION("IFERROR(
  VLOOKUP(
    A123,
    IMPORTRANGE(
      ""1ZHMy3vVUd_0MrSduXTe1etBb1HNpAlGwQr006ljwMiM"",
      ""GSC最新!A:R""
    ),
    11,
    FALSE
  ),
  0
)
"),0.0)</f>
        <v>0</v>
      </c>
      <c r="V123" s="60">
        <f>IFERROR(__xludf.DUMMYFUNCTION("IFERROR(
  VLOOKUP(
    A123,
    IMPORTRANGE(
      ""1ZHMy3vVUd_0MrSduXTe1etBb1HNpAlGwQr006ljwMiM"",
      ""GSC最新!A:R""
    ),
    14,
    FALSE
  ),
  0
)
"),0.0)</f>
        <v>0</v>
      </c>
      <c r="W123" s="60">
        <f>IFERROR(__xludf.DUMMYFUNCTION("IFERROR(
  VLOOKUP(
    A123,
    IMPORTRANGE(
      ""1ZHMy3vVUd_0MrSduXTe1etBb1HNpAlGwQr006ljwMiM"",
      ""GSC最新!A:R""
    ),
    17,
    FALSE
  ),
  0
)
"),0.0)</f>
        <v>0</v>
      </c>
      <c r="X123" s="60">
        <f t="shared" ref="X123:Y123" si="609">IFERROR(T123-V123,"-")</f>
        <v>0</v>
      </c>
      <c r="Y123" s="60">
        <f t="shared" si="609"/>
        <v>0</v>
      </c>
      <c r="Z123" s="52" t="str">
        <f>IFERROR(__xludf.DUMMYFUNCTION("IFERROR(
  VLOOKUP(
    A123,
    IMPORTRANGE(
      ""1ZHMy3vVUd_0MrSduXTe1etBb1HNpAlGwQr006ljwMiM"",
      ""GSC最新!A:R""
    ),
    9,
    FALSE
  ),
  0
)
"),"")</f>
        <v/>
      </c>
      <c r="AA123" s="52">
        <f>IFERROR(__xludf.DUMMYFUNCTION("IFERROR(
  VLOOKUP(
    A123,
    IMPORTRANGE(
      ""1ZHMy3vVUd_0MrSduXTe1etBb1HNpAlGwQr006ljwMiM"",
      ""GSC最新!A:R""
    ),
    12,
    FALSE
  ),
  0
)
"),7.0)</f>
        <v>7</v>
      </c>
      <c r="AB123" s="52" t="str">
        <f>IFERROR(__xludf.DUMMYFUNCTION("IFERROR(
  VLOOKUP(
    A123,
    IMPORTRANGE(
      ""1ZHMy3vVUd_0MrSduXTe1etBb1HNpAlGwQr006ljwMiM"",
      ""GSC最新!A:R""
    ),
    15,
    FALSE
  ),
  0
)
"),"")</f>
        <v/>
      </c>
      <c r="AC123" s="52" t="str">
        <f>IFERROR(__xludf.DUMMYFUNCTION("IFERROR(
  VLOOKUP(
    A123,
    IMPORTRANGE(
      ""1ZHMy3vVUd_0MrSduXTe1etBb1HNpAlGwQr006ljwMiM"",
      ""GSC最新!A:R""
    ),
    18,
    FALSE
  ),
  0
)
"),"")</f>
        <v/>
      </c>
      <c r="AD123" s="52">
        <f t="shared" ref="AD123:AE123" si="610">Z123-AB123</f>
        <v>0</v>
      </c>
      <c r="AE123" s="52">
        <f t="shared" si="610"/>
        <v>7</v>
      </c>
      <c r="AF123" s="53">
        <f>IFERROR(__xludf.DUMMYFUNCTION("IFERROR(
  VLOOKUP(
    A123,
    IMPORTRANGE(
      ""1ZHMy3vVUd_0MrSduXTe1etBb1HNpAlGwQr006ljwMiM"",
      ""GSC最新!A:F""
    ),
    6,
    FALSE
  ),
  0
)
"),46081.0)</f>
        <v>46081</v>
      </c>
      <c r="AG123" s="54">
        <f>IFERROR(__xludf.DUMMYFUNCTION("IFERROR(
  VLOOKUP(
    A123,
    IMPORTRANGE(
      ""1SCYQd7_cobOYqT0r_F0IqD4tE4rYn5y8Eup4PJTH8es"",
      ""Snapshot!A:M""
    ),
    5,
    FALSE
  ),
  ""-""
)
"),7.0)</f>
        <v>7</v>
      </c>
      <c r="AH123" s="54">
        <f>IFERROR(__xludf.DUMMYFUNCTION("IFERROR(
  VLOOKUP(
    A123,
    IMPORTRANGE(
      ""1SCYQd7_cobOYqT0r_F0IqD4tE4rYn5y8Eup4PJTH8es"",
      ""Snapshot!A:M""
    ),
    6,
    FALSE
  ),
  0
)
"),0.0)</f>
        <v>0</v>
      </c>
      <c r="AI123" s="54">
        <f>IFERROR(__xludf.DUMMYFUNCTION("IFERROR(
  VLOOKUP(
    A123,
    IMPORTRANGE(
      ""1SCYQd7_cobOYqT0r_F0IqD4tE4rYn5y8Eup4PJTH8es"",
      ""Snapshot!A:M""
    ),
    7,
    FALSE
  ),
  0
)
"),5691.0)</f>
        <v>5691</v>
      </c>
      <c r="AJ123" s="54">
        <f>IFERROR(__xludf.DUMMYFUNCTION("IFERROR(
  VLOOKUP(
    A123,
    IMPORTRANGE(
      ""1SCYQd7_cobOYqT0r_F0IqD4tE4rYn5y8Eup4PJTH8es"",
      ""Snapshot!A:M""
    ),
    8,
    FALSE
  ),
  0
)
"),4.0)</f>
        <v>4</v>
      </c>
      <c r="AK123" s="54">
        <f>IFERROR(__xludf.DUMMYFUNCTION("IFERROR(
  VLOOKUP(
    A123,
    IMPORTRANGE(
      ""1SCYQd7_cobOYqT0r_F0IqD4tE4rYn5y8Eup4PJTH8es"",
      ""Snapshot!A:M""
    ),
    9,
    FALSE
  ),
  0
)
"),1.0)</f>
        <v>1</v>
      </c>
      <c r="AL123" s="54">
        <f>IFERROR(__xludf.DUMMYFUNCTION("IFERROR(
  VLOOKUP(
    A123,
    IMPORTRANGE(
      ""1SCYQd7_cobOYqT0r_F0IqD4tE4rYn5y8Eup4PJTH8es"",
      ""Snapshot!A:M""
    ),
    13,
    FALSE
  ),
  0
)
"),2.0)</f>
        <v>2</v>
      </c>
    </row>
    <row r="124">
      <c r="A124" s="3" t="s">
        <v>453</v>
      </c>
      <c r="B124" s="1" t="str">
        <f>IFERROR(__xludf.DUMMYFUNCTION("IFERROR(
  VLOOKUP(
    A124,
    IMPORTRANGE(
      ""1ZygntHC1J6IxzKbTidmOyf5nUyW4GCLurHCjexrLm_o"",
      ""HTMLキャッシュ!A:F""
    ),
    2,
    FALSE
  ),
  0
)
"),"NW")</f>
        <v>NW</v>
      </c>
      <c r="C124" s="1" t="str">
        <f>IFERROR(__xludf.DUMMYFUNCTION("IFERROR(
  VLOOKUP(
    A124,
    IMPORTRANGE(
      ""1ZygntHC1J6IxzKbTidmOyf5nUyW4GCLurHCjexrLm_o"",
      ""HTMLキャッシュ!A:F""
    ),
    5,
    FALSE
  ),
  0
)
"),"当塾・四谷教室の移転についてのお知らせ - 中学受験専門 夏井算数塾")</f>
        <v>当塾・四谷教室の移転についてのお知らせ - 中学受験専門 夏井算数塾</v>
      </c>
      <c r="D124" s="1" t="str">
        <f>IFERROR(__xludf.DUMMYFUNCTION("IFERROR(
  VLOOKUP(
    A124,
    IMPORTRANGE(
      ""1ZygntHC1J6IxzKbTidmOyf5nUyW4GCLurHCjexrLm_o        "",
      ""HTMLキャッシュ!A:F""
    ),
    6,
    FALSE
  ),
  0
)
"),"本日は掲題の件についてお知らせさせて頂きます。 当塾は、指導環境の向上を目的として 2021年２月１日に教室を")</f>
        <v>本日は掲題の件についてお知らせさせて頂きます。 当塾は、指導環境の向上を目的として 2021年２月１日に教室を</v>
      </c>
      <c r="E124" s="49">
        <f t="shared" ref="E124:F124" si="611">LEN(C124)</f>
        <v>34</v>
      </c>
      <c r="F124" s="49">
        <f t="shared" si="611"/>
        <v>55</v>
      </c>
      <c r="G124" s="32">
        <f>IFERROR(__xludf.DUMMYFUNCTION("IFERROR(
  VLOOKUP(
    A124,
    IMPORTRANGE(
      ""1ZygntHC1J6IxzKbTidmOyf5nUyW4GCLurHCjexrLm_o        "",
      ""HTMLキャッシュ!A:F""
    ),
    3,
    FALSE
  ),
  0
)
"),44199.45428240741)</f>
        <v>44199.45428</v>
      </c>
      <c r="H124" s="54">
        <f>IFERROR(__xludf.DUMMYFUNCTION("IFERROR(
  VLOOKUP(
    A124,
    IMPORTRANGE(
      ""1ZHMy3vVUd_0MrSduXTe1etBb1HNpAlGwQr006ljwMiM"",
      ""GSC最新!A:F""
    ),
    2,
    FALSE
  ),
  0
)
"),0.0)</f>
        <v>0</v>
      </c>
      <c r="I124" s="54">
        <f>IFERROR(__xludf.DUMMYFUNCTION("IFERROR(
  VLOOKUP(
    A124,
    IMPORTRANGE(
      ""1ZHMy3vVUd_0MrSduXTe1etBb1HNpAlGwQr006ljwMiM"",
      ""GSC最新!A:F""
    ),
    3,
    FALSE
  ),
  0
)
"),0.0)</f>
        <v>0</v>
      </c>
      <c r="J124" s="54">
        <f>IFERROR(__xludf.DUMMYFUNCTION("IFERROR(
  VLOOKUP(
    A124,
    IMPORTRANGE(
      ""1ZHMy3vVUd_0MrSduXTe1etBb1HNpAlGwQr006ljwMiM"",
      ""GSC最新!A:F""
    ),
    4,
    FALSE
  ),
  0
)
"),0.0)</f>
        <v>0</v>
      </c>
      <c r="K124" s="54">
        <f>IFERROR(__xludf.DUMMYFUNCTION("IFERROR(
  VLOOKUP(
    A124,
    IMPORTRANGE(
      ""1ZHMy3vVUd_0MrSduXTe1etBb1HNpAlGwQr006ljwMiM"",
      ""GSC最新!A:F""
    ),
    5,
    FALSE
  ),
  0
)
"),0.0)</f>
        <v>0</v>
      </c>
      <c r="L124" s="50" t="str">
        <f t="shared" ref="L124:M124" si="612">IFERROR(H124/J124,"-")</f>
        <v>-</v>
      </c>
      <c r="M124" s="50" t="str">
        <f t="shared" si="612"/>
        <v>-</v>
      </c>
      <c r="N124" s="59">
        <f>IFERROR(__xludf.DUMMYFUNCTION("IFERROR(
  VLOOKUP(
    A124,
    IMPORTRANGE(
      ""1ZHMy3vVUd_0MrSduXTe1etBb1HNpAlGwQr006ljwMiM"",
      ""GSC最新!A:R""
    ),
    7,
    FALSE
  ),
  0
)
"),0.0)</f>
        <v>0</v>
      </c>
      <c r="O124" s="59">
        <f>IFERROR(__xludf.DUMMYFUNCTION("IFERROR(
  VLOOKUP(
    A124,
    IMPORTRANGE(
      ""1ZHMy3vVUd_0MrSduXTe1etBb1HNpAlGwQr006ljwMiM"",
      ""GSC最新!A:R""
    ),
    10,
    FALSE
  ),
  0
)
"),2.0)</f>
        <v>2</v>
      </c>
      <c r="P124" s="59">
        <f>IFERROR(__xludf.DUMMYFUNCTION("IFERROR(
  VLOOKUP(
    A124,
    IMPORTRANGE(
      ""1ZHMy3vVUd_0MrSduXTe1etBb1HNpAlGwQr006ljwMiM"",
      ""GSC最新!A:R""
    ),
    13,
    FALSE
  ),
  0
)
"),0.0)</f>
        <v>0</v>
      </c>
      <c r="Q124" s="59">
        <f>IFERROR(__xludf.DUMMYFUNCTION("IFERROR(
  VLOOKUP(
    A124,
    IMPORTRANGE(
      ""1ZHMy3vVUd_0MrSduXTe1etBb1HNpAlGwQr006ljwMiM"",
      ""GSC最新!A:R""
    ),
    16,
    FALSE
  ),
  0
)
"),0.0)</f>
        <v>0</v>
      </c>
      <c r="R124" s="50" t="str">
        <f t="shared" ref="R124:S124" si="613">IFERROR(N124/P124,"-")</f>
        <v>-</v>
      </c>
      <c r="S124" s="50" t="str">
        <f t="shared" si="613"/>
        <v>-</v>
      </c>
      <c r="T124" s="60">
        <f>IFERROR(__xludf.DUMMYFUNCTION("IFERROR(
  VLOOKUP(
    A124,
    IMPORTRANGE(
      ""1ZHMy3vVUd_0MrSduXTe1etBb1HNpAlGwQr006ljwMiM"",
      ""GSC最新!A:R""
    ),
    8,
    FALSE
  ),
  0
)
"),0.0)</f>
        <v>0</v>
      </c>
      <c r="U124" s="60">
        <f>IFERROR(__xludf.DUMMYFUNCTION("IFERROR(
  VLOOKUP(
    A124,
    IMPORTRANGE(
      ""1ZHMy3vVUd_0MrSduXTe1etBb1HNpAlGwQr006ljwMiM"",
      ""GSC最新!A:R""
    ),
    11,
    FALSE
  ),
  0
)
"),0.0)</f>
        <v>0</v>
      </c>
      <c r="V124" s="60">
        <f>IFERROR(__xludf.DUMMYFUNCTION("IFERROR(
  VLOOKUP(
    A124,
    IMPORTRANGE(
      ""1ZHMy3vVUd_0MrSduXTe1etBb1HNpAlGwQr006ljwMiM"",
      ""GSC最新!A:R""
    ),
    14,
    FALSE
  ),
  0
)
"),0.0)</f>
        <v>0</v>
      </c>
      <c r="W124" s="60">
        <f>IFERROR(__xludf.DUMMYFUNCTION("IFERROR(
  VLOOKUP(
    A124,
    IMPORTRANGE(
      ""1ZHMy3vVUd_0MrSduXTe1etBb1HNpAlGwQr006ljwMiM"",
      ""GSC最新!A:R""
    ),
    17,
    FALSE
  ),
  0
)
"),0.0)</f>
        <v>0</v>
      </c>
      <c r="X124" s="60">
        <f t="shared" ref="X124:Y124" si="614">IFERROR(T124-V124,"-")</f>
        <v>0</v>
      </c>
      <c r="Y124" s="60">
        <f t="shared" si="614"/>
        <v>0</v>
      </c>
      <c r="Z124" s="52" t="str">
        <f>IFERROR(__xludf.DUMMYFUNCTION("IFERROR(
  VLOOKUP(
    A124,
    IMPORTRANGE(
      ""1ZHMy3vVUd_0MrSduXTe1etBb1HNpAlGwQr006ljwMiM"",
      ""GSC最新!A:R""
    ),
    9,
    FALSE
  ),
  0
)
"),"")</f>
        <v/>
      </c>
      <c r="AA124" s="52">
        <f>IFERROR(__xludf.DUMMYFUNCTION("IFERROR(
  VLOOKUP(
    A124,
    IMPORTRANGE(
      ""1ZHMy3vVUd_0MrSduXTe1etBb1HNpAlGwQr006ljwMiM"",
      ""GSC最新!A:R""
    ),
    12,
    FALSE
  ),
  0
)
"),6.5)</f>
        <v>6.5</v>
      </c>
      <c r="AB124" s="52" t="str">
        <f>IFERROR(__xludf.DUMMYFUNCTION("IFERROR(
  VLOOKUP(
    A124,
    IMPORTRANGE(
      ""1ZHMy3vVUd_0MrSduXTe1etBb1HNpAlGwQr006ljwMiM"",
      ""GSC最新!A:R""
    ),
    15,
    FALSE
  ),
  0
)
"),"")</f>
        <v/>
      </c>
      <c r="AC124" s="52" t="str">
        <f>IFERROR(__xludf.DUMMYFUNCTION("IFERROR(
  VLOOKUP(
    A124,
    IMPORTRANGE(
      ""1ZHMy3vVUd_0MrSduXTe1etBb1HNpAlGwQr006ljwMiM"",
      ""GSC最新!A:R""
    ),
    18,
    FALSE
  ),
  0
)
"),"")</f>
        <v/>
      </c>
      <c r="AD124" s="52">
        <f t="shared" ref="AD124:AE124" si="615">Z124-AB124</f>
        <v>0</v>
      </c>
      <c r="AE124" s="52">
        <f t="shared" si="615"/>
        <v>6.5</v>
      </c>
      <c r="AF124" s="53">
        <f>IFERROR(__xludf.DUMMYFUNCTION("IFERROR(
  VLOOKUP(
    A124,
    IMPORTRANGE(
      ""1ZHMy3vVUd_0MrSduXTe1etBb1HNpAlGwQr006ljwMiM"",
      ""GSC最新!A:F""
    ),
    6,
    FALSE
  ),
  0
)
"),46081.0)</f>
        <v>46081</v>
      </c>
      <c r="AG124" s="54">
        <f>IFERROR(__xludf.DUMMYFUNCTION("IFERROR(
  VLOOKUP(
    A124,
    IMPORTRANGE(
      ""1SCYQd7_cobOYqT0r_F0IqD4tE4rYn5y8Eup4PJTH8es"",
      ""Snapshot!A:M""
    ),
    5,
    FALSE
  ),
  ""-""
)
"),0.0)</f>
        <v>0</v>
      </c>
      <c r="AH124" s="54">
        <f>IFERROR(__xludf.DUMMYFUNCTION("IFERROR(
  VLOOKUP(
    A124,
    IMPORTRANGE(
      ""1SCYQd7_cobOYqT0r_F0IqD4tE4rYn5y8Eup4PJTH8es"",
      ""Snapshot!A:M""
    ),
    6,
    FALSE
  ),
  0
)
"),2.0)</f>
        <v>2</v>
      </c>
      <c r="AI124" s="54">
        <f>IFERROR(__xludf.DUMMYFUNCTION("IFERROR(
  VLOOKUP(
    A124,
    IMPORTRANGE(
      ""1SCYQd7_cobOYqT0r_F0IqD4tE4rYn5y8Eup4PJTH8es"",
      ""Snapshot!A:M""
    ),
    7,
    FALSE
  ),
  0
)
"),229.0)</f>
        <v>229</v>
      </c>
      <c r="AJ124" s="54">
        <f>IFERROR(__xludf.DUMMYFUNCTION("IFERROR(
  VLOOKUP(
    A124,
    IMPORTRANGE(
      ""1SCYQd7_cobOYqT0r_F0IqD4tE4rYn5y8Eup4PJTH8es"",
      ""Snapshot!A:M""
    ),
    8,
    FALSE
  ),
  0
)
"),0.0)</f>
        <v>0</v>
      </c>
      <c r="AK124" s="54">
        <f>IFERROR(__xludf.DUMMYFUNCTION("IFERROR(
  VLOOKUP(
    A124,
    IMPORTRANGE(
      ""1SCYQd7_cobOYqT0r_F0IqD4tE4rYn5y8Eup4PJTH8es"",
      ""Snapshot!A:M""
    ),
    9,
    FALSE
  ),
  0
)
"),1.0)</f>
        <v>1</v>
      </c>
      <c r="AL124" s="54">
        <f>IFERROR(__xludf.DUMMYFUNCTION("IFERROR(
  VLOOKUP(
    A124,
    IMPORTRANGE(
      ""1SCYQd7_cobOYqT0r_F0IqD4tE4rYn5y8Eup4PJTH8es"",
      ""Snapshot!A:M""
    ),
    13,
    FALSE
  ),
  0
)
"),2.0)</f>
        <v>2</v>
      </c>
    </row>
    <row r="125">
      <c r="A125" s="56" t="s">
        <v>454</v>
      </c>
      <c r="B125" s="1" t="str">
        <f>IFERROR(__xludf.DUMMYFUNCTION("IFERROR(
  VLOOKUP(
    A125,
    IMPORTRANGE(
      ""1ZygntHC1J6IxzKbTidmOyf5nUyW4GCLurHCjexrLm_o"",
      ""HTMLキャッシュ!A:F""
    ),
    2,
    FALSE
  ),
  0
)
"),"MC")</f>
        <v>MC</v>
      </c>
      <c r="C125" s="1" t="str">
        <f>IFERROR(__xludf.DUMMYFUNCTION("IFERROR(
  VLOOKUP(
    A125,
    IMPORTRANGE(
      ""1ZygntHC1J6IxzKbTidmOyf5nUyW4GCLurHCjexrLm_o"",
      ""HTMLキャッシュ!A:F""
    ),
    5,
    FALSE
  ),
  0
)
"),"夏井算数塾を検討している保護者の方へ～～いま外部の力を使うべきか迷っている場合の判断材料 - 中学受験専門 夏井算数塾")</f>
        <v>夏井算数塾を検討している保護者の方へ～～いま外部の力を使うべきか迷っている場合の判断材料 - 中学受験専門 夏井算数塾</v>
      </c>
      <c r="D125" s="1" t="str">
        <f>IFERROR(__xludf.DUMMYFUNCTION("IFERROR(
  VLOOKUP(
    A125,
    IMPORTRANGE(
      ""1ZygntHC1J6IxzKbTidmOyf5nUyW4GCLurHCjexrLm_o        "",
      ""HTMLキャッシュ!A:F""
    ),
    6,
    FALSE
  ),
  0
)
"),"「このまま今の勉強を続けていて大丈夫なのか」「塾を変えるほどではない気もするが、噛み合っていない」。 その迷いは自然です。ここでは、家庭で回せる段階か、第三者が入った方が早い段階かを整理します。")</f>
        <v>「このまま今の勉強を続けていて大丈夫なのか」「塾を変えるほどではない気もするが、噛み合っていない」。 その迷いは自然です。ここでは、家庭で回せる段階か、第三者が入った方が早い段階かを整理します。</v>
      </c>
      <c r="E125" s="49">
        <f t="shared" ref="E125:F125" si="616">LEN(C125)</f>
        <v>59</v>
      </c>
      <c r="F125" s="49">
        <f t="shared" si="616"/>
        <v>97</v>
      </c>
      <c r="G125" s="32">
        <f>IFERROR(__xludf.DUMMYFUNCTION("IFERROR(
  VLOOKUP(
    A125,
    IMPORTRANGE(
      ""1ZygntHC1J6IxzKbTidmOyf5nUyW4GCLurHCjexrLm_o        "",
      ""HTMLキャッシュ!A:F""
    ),
    3,
    FALSE
  ),
  0
)
"),46078.817511574074)</f>
        <v>46078.81751</v>
      </c>
      <c r="H125" s="54">
        <f>IFERROR(__xludf.DUMMYFUNCTION("IFERROR(
  VLOOKUP(
    A125,
    IMPORTRANGE(
      ""1ZHMy3vVUd_0MrSduXTe1etBb1HNpAlGwQr006ljwMiM"",
      ""GSC最新!A:F""
    ),
    2,
    FALSE
  ),
  0
)
"),0.0)</f>
        <v>0</v>
      </c>
      <c r="I125" s="54">
        <f>IFERROR(__xludf.DUMMYFUNCTION("IFERROR(
  VLOOKUP(
    A125,
    IMPORTRANGE(
      ""1ZHMy3vVUd_0MrSduXTe1etBb1HNpAlGwQr006ljwMiM"",
      ""GSC最新!A:F""
    ),
    3,
    FALSE
  ),
  0
)
"),0.0)</f>
        <v>0</v>
      </c>
      <c r="J125" s="54">
        <f>IFERROR(__xludf.DUMMYFUNCTION("IFERROR(
  VLOOKUP(
    A125,
    IMPORTRANGE(
      ""1ZHMy3vVUd_0MrSduXTe1etBb1HNpAlGwQr006ljwMiM"",
      ""GSC最新!A:F""
    ),
    4,
    FALSE
  ),
  0
)
"),0.0)</f>
        <v>0</v>
      </c>
      <c r="K125" s="54">
        <f>IFERROR(__xludf.DUMMYFUNCTION("IFERROR(
  VLOOKUP(
    A125,
    IMPORTRANGE(
      ""1ZHMy3vVUd_0MrSduXTe1etBb1HNpAlGwQr006ljwMiM"",
      ""GSC最新!A:F""
    ),
    5,
    FALSE
  ),
  0
)
"),0.0)</f>
        <v>0</v>
      </c>
      <c r="L125" s="50" t="str">
        <f t="shared" ref="L125:M125" si="617">IFERROR(H125/J125,"-")</f>
        <v>-</v>
      </c>
      <c r="M125" s="50" t="str">
        <f t="shared" si="617"/>
        <v>-</v>
      </c>
      <c r="N125" s="59">
        <f>IFERROR(__xludf.DUMMYFUNCTION("IFERROR(
  VLOOKUP(
    A125,
    IMPORTRANGE(
      ""1ZHMy3vVUd_0MrSduXTe1etBb1HNpAlGwQr006ljwMiM"",
      ""GSC最新!A:R""
    ),
    7,
    FALSE
  ),
  0
)
"),4.0)</f>
        <v>4</v>
      </c>
      <c r="O125" s="59">
        <f>IFERROR(__xludf.DUMMYFUNCTION("IFERROR(
  VLOOKUP(
    A125,
    IMPORTRANGE(
      ""1ZHMy3vVUd_0MrSduXTe1etBb1HNpAlGwQr006ljwMiM"",
      ""GSC最新!A:R""
    ),
    10,
    FALSE
  ),
  0
)
"),6.0)</f>
        <v>6</v>
      </c>
      <c r="P125" s="59">
        <f>IFERROR(__xludf.DUMMYFUNCTION("IFERROR(
  VLOOKUP(
    A125,
    IMPORTRANGE(
      ""1ZHMy3vVUd_0MrSduXTe1etBb1HNpAlGwQr006ljwMiM"",
      ""GSC最新!A:R""
    ),
    13,
    FALSE
  ),
  0
)
"),0.0)</f>
        <v>0</v>
      </c>
      <c r="Q125" s="59">
        <f>IFERROR(__xludf.DUMMYFUNCTION("IFERROR(
  VLOOKUP(
    A125,
    IMPORTRANGE(
      ""1ZHMy3vVUd_0MrSduXTe1etBb1HNpAlGwQr006ljwMiM"",
      ""GSC最新!A:R""
    ),
    16,
    FALSE
  ),
  0
)
"),0.0)</f>
        <v>0</v>
      </c>
      <c r="R125" s="50" t="str">
        <f t="shared" ref="R125:S125" si="618">IFERROR(N125/P125,"-")</f>
        <v>-</v>
      </c>
      <c r="S125" s="50" t="str">
        <f t="shared" si="618"/>
        <v>-</v>
      </c>
      <c r="T125" s="60">
        <f>IFERROR(__xludf.DUMMYFUNCTION("IFERROR(
  VLOOKUP(
    A125,
    IMPORTRANGE(
      ""1ZHMy3vVUd_0MrSduXTe1etBb1HNpAlGwQr006ljwMiM"",
      ""GSC最新!A:R""
    ),
    8,
    FALSE
  ),
  0
)
"),0.0)</f>
        <v>0</v>
      </c>
      <c r="U125" s="60">
        <f>IFERROR(__xludf.DUMMYFUNCTION("IFERROR(
  VLOOKUP(
    A125,
    IMPORTRANGE(
      ""1ZHMy3vVUd_0MrSduXTe1etBb1HNpAlGwQr006ljwMiM"",
      ""GSC最新!A:R""
    ),
    11,
    FALSE
  ),
  0
)
"),0.0)</f>
        <v>0</v>
      </c>
      <c r="V125" s="60">
        <f>IFERROR(__xludf.DUMMYFUNCTION("IFERROR(
  VLOOKUP(
    A125,
    IMPORTRANGE(
      ""1ZHMy3vVUd_0MrSduXTe1etBb1HNpAlGwQr006ljwMiM"",
      ""GSC最新!A:R""
    ),
    14,
    FALSE
  ),
  0
)
"),0.0)</f>
        <v>0</v>
      </c>
      <c r="W125" s="60">
        <f>IFERROR(__xludf.DUMMYFUNCTION("IFERROR(
  VLOOKUP(
    A125,
    IMPORTRANGE(
      ""1ZHMy3vVUd_0MrSduXTe1etBb1HNpAlGwQr006ljwMiM"",
      ""GSC最新!A:R""
    ),
    17,
    FALSE
  ),
  0
)
"),0.0)</f>
        <v>0</v>
      </c>
      <c r="X125" s="60">
        <f t="shared" ref="X125:Y125" si="619">IFERROR(T125-V125,"-")</f>
        <v>0</v>
      </c>
      <c r="Y125" s="60">
        <f t="shared" si="619"/>
        <v>0</v>
      </c>
      <c r="Z125" s="52">
        <f>IFERROR(__xludf.DUMMYFUNCTION("IFERROR(
  VLOOKUP(
    A125,
    IMPORTRANGE(
      ""1ZHMy3vVUd_0MrSduXTe1etBb1HNpAlGwQr006ljwMiM"",
      ""GSC最新!A:R""
    ),
    9,
    FALSE
  ),
  0
)
"),7.25)</f>
        <v>7.25</v>
      </c>
      <c r="AA125" s="52">
        <f>IFERROR(__xludf.DUMMYFUNCTION("IFERROR(
  VLOOKUP(
    A125,
    IMPORTRANGE(
      ""1ZHMy3vVUd_0MrSduXTe1etBb1HNpAlGwQr006ljwMiM"",
      ""GSC最新!A:R""
    ),
    12,
    FALSE
  ),
  0
)
"),6.666666666666667)</f>
        <v>6.666666667</v>
      </c>
      <c r="AB125" s="52" t="str">
        <f>IFERROR(__xludf.DUMMYFUNCTION("IFERROR(
  VLOOKUP(
    A125,
    IMPORTRANGE(
      ""1ZHMy3vVUd_0MrSduXTe1etBb1HNpAlGwQr006ljwMiM"",
      ""GSC最新!A:R""
    ),
    15,
    FALSE
  ),
  0
)
"),"")</f>
        <v/>
      </c>
      <c r="AC125" s="52" t="str">
        <f>IFERROR(__xludf.DUMMYFUNCTION("IFERROR(
  VLOOKUP(
    A125,
    IMPORTRANGE(
      ""1ZHMy3vVUd_0MrSduXTe1etBb1HNpAlGwQr006ljwMiM"",
      ""GSC最新!A:R""
    ),
    18,
    FALSE
  ),
  0
)
"),"")</f>
        <v/>
      </c>
      <c r="AD125" s="52">
        <f t="shared" ref="AD125:AE125" si="620">Z125-AB125</f>
        <v>7.25</v>
      </c>
      <c r="AE125" s="52">
        <f t="shared" si="620"/>
        <v>6.666666667</v>
      </c>
      <c r="AF125" s="53">
        <f>IFERROR(__xludf.DUMMYFUNCTION("IFERROR(
  VLOOKUP(
    A125,
    IMPORTRANGE(
      ""1ZHMy3vVUd_0MrSduXTe1etBb1HNpAlGwQr006ljwMiM"",
      ""GSC最新!A:F""
    ),
    6,
    FALSE
  ),
  0
)
"),46081.0)</f>
        <v>46081</v>
      </c>
      <c r="AG125" s="54">
        <f>IFERROR(__xludf.DUMMYFUNCTION("IFERROR(
  VLOOKUP(
    A125,
    IMPORTRANGE(
      ""1SCYQd7_cobOYqT0r_F0IqD4tE4rYn5y8Eup4PJTH8es"",
      ""Snapshot!A:M""
    ),
    5,
    FALSE
  ),
  ""-""
)
"),0.0)</f>
        <v>0</v>
      </c>
      <c r="AH125" s="54">
        <f>IFERROR(__xludf.DUMMYFUNCTION("IFERROR(
  VLOOKUP(
    A125,
    IMPORTRANGE(
      ""1SCYQd7_cobOYqT0r_F0IqD4tE4rYn5y8Eup4PJTH8es"",
      ""Snapshot!A:M""
    ),
    6,
    FALSE
  ),
  0
)
"),0.0)</f>
        <v>0</v>
      </c>
      <c r="AI125" s="54">
        <f>IFERROR(__xludf.DUMMYFUNCTION("IFERROR(
  VLOOKUP(
    A125,
    IMPORTRANGE(
      ""1SCYQd7_cobOYqT0r_F0IqD4tE4rYn5y8Eup4PJTH8es"",
      ""Snapshot!A:M""
    ),
    7,
    FALSE
  ),
  0
)
"),2988.0)</f>
        <v>2988</v>
      </c>
      <c r="AJ125" s="54">
        <f>IFERROR(__xludf.DUMMYFUNCTION("IFERROR(
  VLOOKUP(
    A125,
    IMPORTRANGE(
      ""1SCYQd7_cobOYqT0r_F0IqD4tE4rYn5y8Eup4PJTH8es"",
      ""Snapshot!A:M""
    ),
    8,
    FALSE
  ),
  0
)
"),10.0)</f>
        <v>10</v>
      </c>
      <c r="AK125" s="54">
        <f>IFERROR(__xludf.DUMMYFUNCTION("IFERROR(
  VLOOKUP(
    A125,
    IMPORTRANGE(
      ""1SCYQd7_cobOYqT0r_F0IqD4tE4rYn5y8Eup4PJTH8es"",
      ""Snapshot!A:M""
    ),
    9,
    FALSE
  ),
  0
)
"),4.0)</f>
        <v>4</v>
      </c>
      <c r="AL125" s="54">
        <f>IFERROR(__xludf.DUMMYFUNCTION("IFERROR(
  VLOOKUP(
    A125,
    IMPORTRANGE(
      ""1SCYQd7_cobOYqT0r_F0IqD4tE4rYn5y8Eup4PJTH8es"",
      ""Snapshot!A:M""
    ),
    13,
    FALSE
  ),
  0
)
"),2.0)</f>
        <v>2</v>
      </c>
    </row>
    <row r="126">
      <c r="A126" s="3" t="s">
        <v>455</v>
      </c>
      <c r="B126" s="1" t="str">
        <f>IFERROR(__xludf.DUMMYFUNCTION("IFERROR(
  VLOOKUP(
    A126,
    IMPORTRANGE(
      ""1ZygntHC1J6IxzKbTidmOyf5nUyW4GCLurHCjexrLm_o"",
      ""HTMLキャッシュ!A:F""
    ),
    2,
    FALSE
  ),
  0
)
"),"MC")</f>
        <v>MC</v>
      </c>
      <c r="C126" s="1" t="str">
        <f>IFERROR(__xludf.DUMMYFUNCTION("IFERROR(
  VLOOKUP(
    A126,
    IMPORTRANGE(
      ""1ZygntHC1J6IxzKbTidmOyf5nUyW4GCLurHCjexrLm_o"",
      ""HTMLキャッシュ!A:F""
    ),
    5,
    FALSE
  ),
  0
)
"),"得点力向上YoutubeLive～実施詳細～ - 中学受験専門 夏井算数塾")</f>
        <v>得点力向上YoutubeLive～実施詳細～ - 中学受験専門 夏井算数塾</v>
      </c>
      <c r="D126" s="1" t="str">
        <f>IFERROR(__xludf.DUMMYFUNCTION("IFERROR(
  VLOOKUP(
    A126,
    IMPORTRANGE(
      ""1ZygntHC1J6IxzKbTidmOyf5nUyW4GCLurHCjexrLm_o        "",
      ""HTMLキャッシュ!A:F""
    ),
    6,
    FALSE
  ),
  0
)
"),"得点力向上ライブ配信 詳細ページ 過去問演習の進め方（取り組む順番・復習の基準・時間配分など）の全体像は、中学")</f>
        <v>得点力向上ライブ配信 詳細ページ 過去問演習の進め方（取り組む順番・復習の基準・時間配分など）の全体像は、中学</v>
      </c>
      <c r="E126" s="49">
        <f t="shared" ref="E126:F126" si="621">LEN(C126)</f>
        <v>37</v>
      </c>
      <c r="F126" s="49">
        <f t="shared" si="621"/>
        <v>55</v>
      </c>
      <c r="G126" s="32">
        <f>IFERROR(__xludf.DUMMYFUNCTION("IFERROR(
  VLOOKUP(
    A126,
    IMPORTRANGE(
      ""1ZygntHC1J6IxzKbTidmOyf5nUyW4GCLurHCjexrLm_o        "",
      ""HTMLキャッシュ!A:F""
    ),
    3,
    FALSE
  ),
  0
)
"),46080.75753472222)</f>
        <v>46080.75753</v>
      </c>
      <c r="H126" s="54">
        <f>IFERROR(__xludf.DUMMYFUNCTION("IFERROR(
  VLOOKUP(
    A126,
    IMPORTRANGE(
      ""1ZHMy3vVUd_0MrSduXTe1etBb1HNpAlGwQr006ljwMiM"",
      ""GSC最新!A:F""
    ),
    2,
    FALSE
  ),
  0
)
"),0.0)</f>
        <v>0</v>
      </c>
      <c r="I126" s="54">
        <f>IFERROR(__xludf.DUMMYFUNCTION("IFERROR(
  VLOOKUP(
    A126,
    IMPORTRANGE(
      ""1ZHMy3vVUd_0MrSduXTe1etBb1HNpAlGwQr006ljwMiM"",
      ""GSC最新!A:F""
    ),
    3,
    FALSE
  ),
  0
)
"),0.0)</f>
        <v>0</v>
      </c>
      <c r="J126" s="54">
        <f>IFERROR(__xludf.DUMMYFUNCTION("IFERROR(
  VLOOKUP(
    A126,
    IMPORTRANGE(
      ""1ZHMy3vVUd_0MrSduXTe1etBb1HNpAlGwQr006ljwMiM"",
      ""GSC最新!A:F""
    ),
    4,
    FALSE
  ),
  0
)
"),0.0)</f>
        <v>0</v>
      </c>
      <c r="K126" s="54">
        <f>IFERROR(__xludf.DUMMYFUNCTION("IFERROR(
  VLOOKUP(
    A126,
    IMPORTRANGE(
      ""1ZHMy3vVUd_0MrSduXTe1etBb1HNpAlGwQr006ljwMiM"",
      ""GSC最新!A:F""
    ),
    5,
    FALSE
  ),
  0
)
"),0.0)</f>
        <v>0</v>
      </c>
      <c r="L126" s="50" t="str">
        <f t="shared" ref="L126:M126" si="622">IFERROR(H126/J126,"-")</f>
        <v>-</v>
      </c>
      <c r="M126" s="50" t="str">
        <f t="shared" si="622"/>
        <v>-</v>
      </c>
      <c r="N126" s="59">
        <f>IFERROR(__xludf.DUMMYFUNCTION("IFERROR(
  VLOOKUP(
    A126,
    IMPORTRANGE(
      ""1ZHMy3vVUd_0MrSduXTe1etBb1HNpAlGwQr006ljwMiM"",
      ""GSC最新!A:R""
    ),
    7,
    FALSE
  ),
  0
)
"),1.0)</f>
        <v>1</v>
      </c>
      <c r="O126" s="59">
        <f>IFERROR(__xludf.DUMMYFUNCTION("IFERROR(
  VLOOKUP(
    A126,
    IMPORTRANGE(
      ""1ZHMy3vVUd_0MrSduXTe1etBb1HNpAlGwQr006ljwMiM"",
      ""GSC最新!A:R""
    ),
    10,
    FALSE
  ),
  0
)
"),4.0)</f>
        <v>4</v>
      </c>
      <c r="P126" s="59">
        <f>IFERROR(__xludf.DUMMYFUNCTION("IFERROR(
  VLOOKUP(
    A126,
    IMPORTRANGE(
      ""1ZHMy3vVUd_0MrSduXTe1etBb1HNpAlGwQr006ljwMiM"",
      ""GSC最新!A:R""
    ),
    13,
    FALSE
  ),
  0
)
"),0.0)</f>
        <v>0</v>
      </c>
      <c r="Q126" s="59">
        <f>IFERROR(__xludf.DUMMYFUNCTION("IFERROR(
  VLOOKUP(
    A126,
    IMPORTRANGE(
      ""1ZHMy3vVUd_0MrSduXTe1etBb1HNpAlGwQr006ljwMiM"",
      ""GSC最新!A:R""
    ),
    16,
    FALSE
  ),
  0
)
"),0.0)</f>
        <v>0</v>
      </c>
      <c r="R126" s="50" t="str">
        <f t="shared" ref="R126:S126" si="623">IFERROR(N126/P126,"-")</f>
        <v>-</v>
      </c>
      <c r="S126" s="50" t="str">
        <f t="shared" si="623"/>
        <v>-</v>
      </c>
      <c r="T126" s="60">
        <f>IFERROR(__xludf.DUMMYFUNCTION("IFERROR(
  VLOOKUP(
    A126,
    IMPORTRANGE(
      ""1ZHMy3vVUd_0MrSduXTe1etBb1HNpAlGwQr006ljwMiM"",
      ""GSC最新!A:R""
    ),
    8,
    FALSE
  ),
  0
)
"),0.0)</f>
        <v>0</v>
      </c>
      <c r="U126" s="60">
        <f>IFERROR(__xludf.DUMMYFUNCTION("IFERROR(
  VLOOKUP(
    A126,
    IMPORTRANGE(
      ""1ZHMy3vVUd_0MrSduXTe1etBb1HNpAlGwQr006ljwMiM"",
      ""GSC最新!A:R""
    ),
    11,
    FALSE
  ),
  0
)
"),0.0)</f>
        <v>0</v>
      </c>
      <c r="V126" s="60">
        <f>IFERROR(__xludf.DUMMYFUNCTION("IFERROR(
  VLOOKUP(
    A126,
    IMPORTRANGE(
      ""1ZHMy3vVUd_0MrSduXTe1etBb1HNpAlGwQr006ljwMiM"",
      ""GSC最新!A:R""
    ),
    14,
    FALSE
  ),
  0
)
"),0.0)</f>
        <v>0</v>
      </c>
      <c r="W126" s="60">
        <f>IFERROR(__xludf.DUMMYFUNCTION("IFERROR(
  VLOOKUP(
    A126,
    IMPORTRANGE(
      ""1ZHMy3vVUd_0MrSduXTe1etBb1HNpAlGwQr006ljwMiM"",
      ""GSC最新!A:R""
    ),
    17,
    FALSE
  ),
  0
)
"),0.0)</f>
        <v>0</v>
      </c>
      <c r="X126" s="60">
        <f t="shared" ref="X126:Y126" si="624">IFERROR(T126-V126,"-")</f>
        <v>0</v>
      </c>
      <c r="Y126" s="60">
        <f t="shared" si="624"/>
        <v>0</v>
      </c>
      <c r="Z126" s="52">
        <f>IFERROR(__xludf.DUMMYFUNCTION("IFERROR(
  VLOOKUP(
    A126,
    IMPORTRANGE(
      ""1ZHMy3vVUd_0MrSduXTe1etBb1HNpAlGwQr006ljwMiM"",
      ""GSC最新!A:R""
    ),
    9,
    FALSE
  ),
  0
)
"),11.0)</f>
        <v>11</v>
      </c>
      <c r="AA126" s="52">
        <f>IFERROR(__xludf.DUMMYFUNCTION("IFERROR(
  VLOOKUP(
    A126,
    IMPORTRANGE(
      ""1ZHMy3vVUd_0MrSduXTe1etBb1HNpAlGwQr006ljwMiM"",
      ""GSC最新!A:R""
    ),
    12,
    FALSE
  ),
  0
)
"),4.0)</f>
        <v>4</v>
      </c>
      <c r="AB126" s="52" t="str">
        <f>IFERROR(__xludf.DUMMYFUNCTION("IFERROR(
  VLOOKUP(
    A126,
    IMPORTRANGE(
      ""1ZHMy3vVUd_0MrSduXTe1etBb1HNpAlGwQr006ljwMiM"",
      ""GSC最新!A:R""
    ),
    15,
    FALSE
  ),
  0
)
"),"")</f>
        <v/>
      </c>
      <c r="AC126" s="52" t="str">
        <f>IFERROR(__xludf.DUMMYFUNCTION("IFERROR(
  VLOOKUP(
    A126,
    IMPORTRANGE(
      ""1ZHMy3vVUd_0MrSduXTe1etBb1HNpAlGwQr006ljwMiM"",
      ""GSC最新!A:R""
    ),
    18,
    FALSE
  ),
  0
)
"),"")</f>
        <v/>
      </c>
      <c r="AD126" s="52">
        <f t="shared" ref="AD126:AE126" si="625">Z126-AB126</f>
        <v>11</v>
      </c>
      <c r="AE126" s="52">
        <f t="shared" si="625"/>
        <v>4</v>
      </c>
      <c r="AF126" s="53">
        <f>IFERROR(__xludf.DUMMYFUNCTION("IFERROR(
  VLOOKUP(
    A126,
    IMPORTRANGE(
      ""1ZHMy3vVUd_0MrSduXTe1etBb1HNpAlGwQr006ljwMiM"",
      ""GSC最新!A:F""
    ),
    6,
    FALSE
  ),
  0
)
"),46081.0)</f>
        <v>46081</v>
      </c>
      <c r="AG126" s="54">
        <f>IFERROR(__xludf.DUMMYFUNCTION("IFERROR(
  VLOOKUP(
    A126,
    IMPORTRANGE(
      ""1SCYQd7_cobOYqT0r_F0IqD4tE4rYn5y8Eup4PJTH8es"",
      ""Snapshot!A:M""
    ),
    5,
    FALSE
  ),
  ""-""
)
"),3.0)</f>
        <v>3</v>
      </c>
      <c r="AH126" s="54">
        <f>IFERROR(__xludf.DUMMYFUNCTION("IFERROR(
  VLOOKUP(
    A126,
    IMPORTRANGE(
      ""1SCYQd7_cobOYqT0r_F0IqD4tE4rYn5y8Eup4PJTH8es"",
      ""Snapshot!A:M""
    ),
    6,
    FALSE
  ),
  0
)
"),1.0)</f>
        <v>1</v>
      </c>
      <c r="AI126" s="54">
        <f>IFERROR(__xludf.DUMMYFUNCTION("IFERROR(
  VLOOKUP(
    A126,
    IMPORTRANGE(
      ""1SCYQd7_cobOYqT0r_F0IqD4tE4rYn5y8Eup4PJTH8es"",
      ""Snapshot!A:M""
    ),
    7,
    FALSE
  ),
  0
)
"),1585.0)</f>
        <v>1585</v>
      </c>
      <c r="AJ126" s="54">
        <f>IFERROR(__xludf.DUMMYFUNCTION("IFERROR(
  VLOOKUP(
    A126,
    IMPORTRANGE(
      ""1SCYQd7_cobOYqT0r_F0IqD4tE4rYn5y8Eup4PJTH8es"",
      ""Snapshot!A:M""
    ),
    8,
    FALSE
  ),
  0
)
"),9.0)</f>
        <v>9</v>
      </c>
      <c r="AK126" s="54">
        <f>IFERROR(__xludf.DUMMYFUNCTION("IFERROR(
  VLOOKUP(
    A126,
    IMPORTRANGE(
      ""1SCYQd7_cobOYqT0r_F0IqD4tE4rYn5y8Eup4PJTH8es"",
      ""Snapshot!A:M""
    ),
    9,
    FALSE
  ),
  0
)
"),1.0)</f>
        <v>1</v>
      </c>
      <c r="AL126" s="54">
        <f>IFERROR(__xludf.DUMMYFUNCTION("IFERROR(
  VLOOKUP(
    A126,
    IMPORTRANGE(
      ""1SCYQd7_cobOYqT0r_F0IqD4tE4rYn5y8Eup4PJTH8es"",
      ""Snapshot!A:M""
    ),
    13,
    FALSE
  ),
  0
)
"),2.0)</f>
        <v>2</v>
      </c>
    </row>
    <row r="127">
      <c r="A127" s="3" t="s">
        <v>456</v>
      </c>
      <c r="B127" s="1" t="str">
        <f>IFERROR(__xludf.DUMMYFUNCTION("IFERROR(
  VLOOKUP(
    A127,
    IMPORTRANGE(
      ""1ZygntHC1J6IxzKbTidmOyf5nUyW4GCLurHCjexrLm_o"",
      ""HTMLキャッシュ!A:F""
    ),
    2,
    FALSE
  ),
  0
)
"),"NW")</f>
        <v>NW</v>
      </c>
      <c r="C127" s="1" t="str">
        <f>IFERROR(__xludf.DUMMYFUNCTION("IFERROR(
  VLOOKUP(
    A127,
    IMPORTRANGE(
      ""1ZygntHC1J6IxzKbTidmOyf5nUyW4GCLurHCjexrLm_o"",
      ""HTMLキャッシュ!A:F""
    ),
    5,
    FALSE
  ),
  0
)
"),"「中高一貫専門塾 エスコット」開校のお知らせ - 中学受験専門 夏井算数塾")</f>
        <v>「中高一貫専門塾 エスコット」開校のお知らせ - 中学受験専門 夏井算数塾</v>
      </c>
      <c r="D127" s="1" t="str">
        <f>IFERROR(__xludf.DUMMYFUNCTION("IFERROR(
  VLOOKUP(
    A127,
    IMPORTRANGE(
      ""1ZygntHC1J6IxzKbTidmOyf5nUyW4GCLurHCjexrLm_o        "",
      ""HTMLキャッシュ!A:F""
    ),
    6,
    FALSE
  ),
  0
)
"),"本日は掲題の件につきましてお知らせさせて頂きます。 新塾「中高一貫専門塾 エスコット」を開校致しました。 中高")</f>
        <v>本日は掲題の件につきましてお知らせさせて頂きます。 新塾「中高一貫専門塾 エスコット」を開校致しました。 中高</v>
      </c>
      <c r="E127" s="49">
        <f t="shared" ref="E127:F127" si="626">LEN(C127)</f>
        <v>37</v>
      </c>
      <c r="F127" s="49">
        <f t="shared" si="626"/>
        <v>55</v>
      </c>
      <c r="G127" s="32">
        <f>IFERROR(__xludf.DUMMYFUNCTION("IFERROR(
  VLOOKUP(
    A127,
    IMPORTRANGE(
      ""1ZygntHC1J6IxzKbTidmOyf5nUyW4GCLurHCjexrLm_o        "",
      ""HTMLキャッシュ!A:F""
    ),
    3,
    FALSE
  ),
  0
)
"),43592.670069444444)</f>
        <v>43592.67007</v>
      </c>
      <c r="H127" s="54">
        <f>IFERROR(__xludf.DUMMYFUNCTION("IFERROR(
  VLOOKUP(
    A127,
    IMPORTRANGE(
      ""1ZHMy3vVUd_0MrSduXTe1etBb1HNpAlGwQr006ljwMiM"",
      ""GSC最新!A:F""
    ),
    2,
    FALSE
  ),
  0
)
"),0.0)</f>
        <v>0</v>
      </c>
      <c r="I127" s="54">
        <f>IFERROR(__xludf.DUMMYFUNCTION("IFERROR(
  VLOOKUP(
    A127,
    IMPORTRANGE(
      ""1ZHMy3vVUd_0MrSduXTe1etBb1HNpAlGwQr006ljwMiM"",
      ""GSC最新!A:F""
    ),
    3,
    FALSE
  ),
  0
)
"),0.0)</f>
        <v>0</v>
      </c>
      <c r="J127" s="54">
        <f>IFERROR(__xludf.DUMMYFUNCTION("IFERROR(
  VLOOKUP(
    A127,
    IMPORTRANGE(
      ""1ZHMy3vVUd_0MrSduXTe1etBb1HNpAlGwQr006ljwMiM"",
      ""GSC最新!A:F""
    ),
    4,
    FALSE
  ),
  0
)
"),0.0)</f>
        <v>0</v>
      </c>
      <c r="K127" s="54">
        <f>IFERROR(__xludf.DUMMYFUNCTION("IFERROR(
  VLOOKUP(
    A127,
    IMPORTRANGE(
      ""1ZHMy3vVUd_0MrSduXTe1etBb1HNpAlGwQr006ljwMiM"",
      ""GSC最新!A:F""
    ),
    5,
    FALSE
  ),
  0
)
"),0.0)</f>
        <v>0</v>
      </c>
      <c r="L127" s="50" t="str">
        <f t="shared" ref="L127:M127" si="627">IFERROR(H127/J127,"-")</f>
        <v>-</v>
      </c>
      <c r="M127" s="50" t="str">
        <f t="shared" si="627"/>
        <v>-</v>
      </c>
      <c r="N127" s="59">
        <f>IFERROR(__xludf.DUMMYFUNCTION("IFERROR(
  VLOOKUP(
    A127,
    IMPORTRANGE(
      ""1ZHMy3vVUd_0MrSduXTe1etBb1HNpAlGwQr006ljwMiM"",
      ""GSC最新!A:R""
    ),
    7,
    FALSE
  ),
  0
)
"),1.0)</f>
        <v>1</v>
      </c>
      <c r="O127" s="59">
        <f>IFERROR(__xludf.DUMMYFUNCTION("IFERROR(
  VLOOKUP(
    A127,
    IMPORTRANGE(
      ""1ZHMy3vVUd_0MrSduXTe1etBb1HNpAlGwQr006ljwMiM"",
      ""GSC最新!A:R""
    ),
    10,
    FALSE
  ),
  0
)
"),3.0)</f>
        <v>3</v>
      </c>
      <c r="P127" s="59">
        <f>IFERROR(__xludf.DUMMYFUNCTION("IFERROR(
  VLOOKUP(
    A127,
    IMPORTRANGE(
      ""1ZHMy3vVUd_0MrSduXTe1etBb1HNpAlGwQr006ljwMiM"",
      ""GSC最新!A:R""
    ),
    13,
    FALSE
  ),
  0
)
"),8.0)</f>
        <v>8</v>
      </c>
      <c r="Q127" s="59">
        <f>IFERROR(__xludf.DUMMYFUNCTION("IFERROR(
  VLOOKUP(
    A127,
    IMPORTRANGE(
      ""1ZHMy3vVUd_0MrSduXTe1etBb1HNpAlGwQr006ljwMiM"",
      ""GSC最新!A:R""
    ),
    16,
    FALSE
  ),
  0
)
"),10.0)</f>
        <v>10</v>
      </c>
      <c r="R127" s="50">
        <f t="shared" ref="R127:S127" si="628">IFERROR(N127/P127,"-")</f>
        <v>0.125</v>
      </c>
      <c r="S127" s="50">
        <f t="shared" si="628"/>
        <v>0.3</v>
      </c>
      <c r="T127" s="60">
        <f>IFERROR(__xludf.DUMMYFUNCTION("IFERROR(
  VLOOKUP(
    A127,
    IMPORTRANGE(
      ""1ZHMy3vVUd_0MrSduXTe1etBb1HNpAlGwQr006ljwMiM"",
      ""GSC最新!A:R""
    ),
    8,
    FALSE
  ),
  0
)
"),0.0)</f>
        <v>0</v>
      </c>
      <c r="U127" s="60">
        <f>IFERROR(__xludf.DUMMYFUNCTION("IFERROR(
  VLOOKUP(
    A127,
    IMPORTRANGE(
      ""1ZHMy3vVUd_0MrSduXTe1etBb1HNpAlGwQr006ljwMiM"",
      ""GSC最新!A:R""
    ),
    11,
    FALSE
  ),
  0
)
"),0.0)</f>
        <v>0</v>
      </c>
      <c r="V127" s="60">
        <f>IFERROR(__xludf.DUMMYFUNCTION("IFERROR(
  VLOOKUP(
    A127,
    IMPORTRANGE(
      ""1ZHMy3vVUd_0MrSduXTe1etBb1HNpAlGwQr006ljwMiM"",
      ""GSC最新!A:R""
    ),
    14,
    FALSE
  ),
  0
)
"),0.0)</f>
        <v>0</v>
      </c>
      <c r="W127" s="60">
        <f>IFERROR(__xludf.DUMMYFUNCTION("IFERROR(
  VLOOKUP(
    A127,
    IMPORTRANGE(
      ""1ZHMy3vVUd_0MrSduXTe1etBb1HNpAlGwQr006ljwMiM"",
      ""GSC最新!A:R""
    ),
    17,
    FALSE
  ),
  0
)
"),0.0)</f>
        <v>0</v>
      </c>
      <c r="X127" s="60">
        <f t="shared" ref="X127:Y127" si="629">IFERROR(T127-V127,"-")</f>
        <v>0</v>
      </c>
      <c r="Y127" s="60">
        <f t="shared" si="629"/>
        <v>0</v>
      </c>
      <c r="Z127" s="52">
        <f>IFERROR(__xludf.DUMMYFUNCTION("IFERROR(
  VLOOKUP(
    A127,
    IMPORTRANGE(
      ""1ZHMy3vVUd_0MrSduXTe1etBb1HNpAlGwQr006ljwMiM"",
      ""GSC最新!A:R""
    ),
    9,
    FALSE
  ),
  0
)
"),3.0)</f>
        <v>3</v>
      </c>
      <c r="AA127" s="52">
        <f>IFERROR(__xludf.DUMMYFUNCTION("IFERROR(
  VLOOKUP(
    A127,
    IMPORTRANGE(
      ""1ZHMy3vVUd_0MrSduXTe1etBb1HNpAlGwQr006ljwMiM"",
      ""GSC最新!A:R""
    ),
    12,
    FALSE
  ),
  0
)
"),7.0)</f>
        <v>7</v>
      </c>
      <c r="AB127" s="52">
        <f>IFERROR(__xludf.DUMMYFUNCTION("IFERROR(
  VLOOKUP(
    A127,
    IMPORTRANGE(
      ""1ZHMy3vVUd_0MrSduXTe1etBb1HNpAlGwQr006ljwMiM"",
      ""GSC最新!A:R""
    ),
    15,
    FALSE
  ),
  0
)
"),11.0)</f>
        <v>11</v>
      </c>
      <c r="AC127" s="52">
        <f>IFERROR(__xludf.DUMMYFUNCTION("IFERROR(
  VLOOKUP(
    A127,
    IMPORTRANGE(
      ""1ZHMy3vVUd_0MrSduXTe1etBb1HNpAlGwQr006ljwMiM"",
      ""GSC最新!A:R""
    ),
    18,
    FALSE
  ),
  0
)
"),24.7)</f>
        <v>24.7</v>
      </c>
      <c r="AD127" s="52">
        <f t="shared" ref="AD127:AE127" si="630">Z127-AB127</f>
        <v>-8</v>
      </c>
      <c r="AE127" s="52">
        <f t="shared" si="630"/>
        <v>-17.7</v>
      </c>
      <c r="AF127" s="53">
        <f>IFERROR(__xludf.DUMMYFUNCTION("IFERROR(
  VLOOKUP(
    A127,
    IMPORTRANGE(
      ""1ZHMy3vVUd_0MrSduXTe1etBb1HNpAlGwQr006ljwMiM"",
      ""GSC最新!A:F""
    ),
    6,
    FALSE
  ),
  0
)
"),46081.0)</f>
        <v>46081</v>
      </c>
      <c r="AG127" s="54">
        <f>IFERROR(__xludf.DUMMYFUNCTION("IFERROR(
  VLOOKUP(
    A127,
    IMPORTRANGE(
      ""1SCYQd7_cobOYqT0r_F0IqD4tE4rYn5y8Eup4PJTH8es"",
      ""Snapshot!A:M""
    ),
    5,
    FALSE
  ),
  ""-""
)
"),0.0)</f>
        <v>0</v>
      </c>
      <c r="AH127" s="54">
        <f>IFERROR(__xludf.DUMMYFUNCTION("IFERROR(
  VLOOKUP(
    A127,
    IMPORTRANGE(
      ""1SCYQd7_cobOYqT0r_F0IqD4tE4rYn5y8Eup4PJTH8es"",
      ""Snapshot!A:M""
    ),
    6,
    FALSE
  ),
  0
)
"),0.0)</f>
        <v>0</v>
      </c>
      <c r="AI127" s="54">
        <f>IFERROR(__xludf.DUMMYFUNCTION("IFERROR(
  VLOOKUP(
    A127,
    IMPORTRANGE(
      ""1SCYQd7_cobOYqT0r_F0IqD4tE4rYn5y8Eup4PJTH8es"",
      ""Snapshot!A:M""
    ),
    7,
    FALSE
  ),
  0
)
"),207.0)</f>
        <v>207</v>
      </c>
      <c r="AJ127" s="54">
        <f>IFERROR(__xludf.DUMMYFUNCTION("IFERROR(
  VLOOKUP(
    A127,
    IMPORTRANGE(
      ""1SCYQd7_cobOYqT0r_F0IqD4tE4rYn5y8Eup4PJTH8es"",
      ""Snapshot!A:M""
    ),
    8,
    FALSE
  ),
  0
)
"),0.0)</f>
        <v>0</v>
      </c>
      <c r="AK127" s="54">
        <f>IFERROR(__xludf.DUMMYFUNCTION("IFERROR(
  VLOOKUP(
    A127,
    IMPORTRANGE(
      ""1SCYQd7_cobOYqT0r_F0IqD4tE4rYn5y8Eup4PJTH8es"",
      ""Snapshot!A:M""
    ),
    9,
    FALSE
  ),
  0
)
"),1.0)</f>
        <v>1</v>
      </c>
      <c r="AL127" s="54">
        <f>IFERROR(__xludf.DUMMYFUNCTION("IFERROR(
  VLOOKUP(
    A127,
    IMPORTRANGE(
      ""1SCYQd7_cobOYqT0r_F0IqD4tE4rYn5y8Eup4PJTH8es"",
      ""Snapshot!A:M""
    ),
    13,
    FALSE
  ),
  0
)
"),2.0)</f>
        <v>2</v>
      </c>
    </row>
    <row r="128">
      <c r="A128" s="1" t="s">
        <v>457</v>
      </c>
      <c r="B128" s="1" t="str">
        <f>IFERROR(__xludf.DUMMYFUNCTION("IFERROR(
  VLOOKUP(
    A128,
    IMPORTRANGE(
      ""1ZygntHC1J6IxzKbTidmOyf5nUyW4GCLurHCjexrLm_o"",
      ""HTMLキャッシュ!A:F""
    ),
    2,
    FALSE
  ),
  0
)
"),"NW")</f>
        <v>NW</v>
      </c>
      <c r="C128" s="1" t="str">
        <f>IFERROR(__xludf.DUMMYFUNCTION("IFERROR(
  VLOOKUP(
    A128,
    IMPORTRANGE(
      ""1ZygntHC1J6IxzKbTidmOyf5nUyW4GCLurHCjexrLm_o"",
      ""HTMLキャッシュ!A:F""
    ),
    5,
    FALSE
  ),
  0
)
"),"2025年度冬期講習のお知らせ【個別指導】 - 中学受験専門 夏井算数塾")</f>
        <v>2025年度冬期講習のお知らせ【個別指導】 - 中学受験専門 夏井算数塾</v>
      </c>
      <c r="D128" s="1" t="str">
        <f>IFERROR(__xludf.DUMMYFUNCTION("IFERROR(
  VLOOKUP(
    A128,
    IMPORTRANGE(
      ""1ZygntHC1J6IxzKbTidmOyf5nUyW4GCLurHCjexrLm_o        "",
      ""HTMLキャッシュ!A:F""
    ),
    6,
    FALSE
  ),
  0
)
"),"夏井塾では、今年も冬期講習会を開催します！ 現在通塾中の塾生はもちろん、普段は他塾に通っている生徒さんも大歓迎")</f>
        <v>夏井塾では、今年も冬期講習会を開催します！ 現在通塾中の塾生はもちろん、普段は他塾に通っている生徒さんも大歓迎</v>
      </c>
      <c r="E128" s="49">
        <f t="shared" ref="E128:F128" si="631">LEN(C128)</f>
        <v>36</v>
      </c>
      <c r="F128" s="49">
        <f t="shared" si="631"/>
        <v>55</v>
      </c>
      <c r="G128" s="32">
        <f>IFERROR(__xludf.DUMMYFUNCTION("IFERROR(
  VLOOKUP(
    A128,
    IMPORTRANGE(
      ""1ZygntHC1J6IxzKbTidmOyf5nUyW4GCLurHCjexrLm_o        "",
      ""HTMLキャッシュ!A:F""
    ),
    3,
    FALSE
  ),
  0
)
"),45986.859351851854)</f>
        <v>45986.85935</v>
      </c>
      <c r="H128" s="54">
        <f>IFERROR(__xludf.DUMMYFUNCTION("IFERROR(
  VLOOKUP(
    A128,
    IMPORTRANGE(
      ""1ZHMy3vVUd_0MrSduXTe1etBb1HNpAlGwQr006ljwMiM"",
      ""GSC最新!A:F""
    ),
    2,
    FALSE
  ),
  0
)
"),0.0)</f>
        <v>0</v>
      </c>
      <c r="I128" s="54">
        <f>IFERROR(__xludf.DUMMYFUNCTION("IFERROR(
  VLOOKUP(
    A128,
    IMPORTRANGE(
      ""1ZHMy3vVUd_0MrSduXTe1etBb1HNpAlGwQr006ljwMiM"",
      ""GSC最新!A:F""
    ),
    3,
    FALSE
  ),
  0
)
"),0.0)</f>
        <v>0</v>
      </c>
      <c r="J128" s="54">
        <f>IFERROR(__xludf.DUMMYFUNCTION("IFERROR(
  VLOOKUP(
    A128,
    IMPORTRANGE(
      ""1ZHMy3vVUd_0MrSduXTe1etBb1HNpAlGwQr006ljwMiM"",
      ""GSC最新!A:F""
    ),
    4,
    FALSE
  ),
  0
)
"),0.0)</f>
        <v>0</v>
      </c>
      <c r="K128" s="54">
        <f>IFERROR(__xludf.DUMMYFUNCTION("IFERROR(
  VLOOKUP(
    A128,
    IMPORTRANGE(
      ""1ZHMy3vVUd_0MrSduXTe1etBb1HNpAlGwQr006ljwMiM"",
      ""GSC最新!A:F""
    ),
    5,
    FALSE
  ),
  0
)
"),0.0)</f>
        <v>0</v>
      </c>
      <c r="L128" s="50" t="str">
        <f t="shared" ref="L128:M128" si="632">IFERROR(H128/J128,"-")</f>
        <v>-</v>
      </c>
      <c r="M128" s="50" t="str">
        <f t="shared" si="632"/>
        <v>-</v>
      </c>
      <c r="N128" s="59">
        <f>IFERROR(__xludf.DUMMYFUNCTION("IFERROR(
  VLOOKUP(
    A128,
    IMPORTRANGE(
      ""1ZHMy3vVUd_0MrSduXTe1etBb1HNpAlGwQr006ljwMiM"",
      ""GSC最新!A:R""
    ),
    7,
    FALSE
  ),
  0
)
"),0.0)</f>
        <v>0</v>
      </c>
      <c r="O128" s="59">
        <f>IFERROR(__xludf.DUMMYFUNCTION("IFERROR(
  VLOOKUP(
    A128,
    IMPORTRANGE(
      ""1ZHMy3vVUd_0MrSduXTe1etBb1HNpAlGwQr006ljwMiM"",
      ""GSC最新!A:R""
    ),
    10,
    FALSE
  ),
  0
)
"),4.0)</f>
        <v>4</v>
      </c>
      <c r="P128" s="59">
        <f>IFERROR(__xludf.DUMMYFUNCTION("IFERROR(
  VLOOKUP(
    A128,
    IMPORTRANGE(
      ""1ZHMy3vVUd_0MrSduXTe1etBb1HNpAlGwQr006ljwMiM"",
      ""GSC最新!A:R""
    ),
    13,
    FALSE
  ),
  0
)
"),0.0)</f>
        <v>0</v>
      </c>
      <c r="Q128" s="59">
        <f>IFERROR(__xludf.DUMMYFUNCTION("IFERROR(
  VLOOKUP(
    A128,
    IMPORTRANGE(
      ""1ZHMy3vVUd_0MrSduXTe1etBb1HNpAlGwQr006ljwMiM"",
      ""GSC最新!A:R""
    ),
    16,
    FALSE
  ),
  0
)
"),0.0)</f>
        <v>0</v>
      </c>
      <c r="R128" s="50" t="str">
        <f t="shared" ref="R128:S128" si="633">IFERROR(N128/P128,"-")</f>
        <v>-</v>
      </c>
      <c r="S128" s="50" t="str">
        <f t="shared" si="633"/>
        <v>-</v>
      </c>
      <c r="T128" s="60">
        <f>IFERROR(__xludf.DUMMYFUNCTION("IFERROR(
  VLOOKUP(
    A128,
    IMPORTRANGE(
      ""1ZHMy3vVUd_0MrSduXTe1etBb1HNpAlGwQr006ljwMiM"",
      ""GSC最新!A:R""
    ),
    8,
    FALSE
  ),
  0
)
"),0.0)</f>
        <v>0</v>
      </c>
      <c r="U128" s="60">
        <f>IFERROR(__xludf.DUMMYFUNCTION("IFERROR(
  VLOOKUP(
    A128,
    IMPORTRANGE(
      ""1ZHMy3vVUd_0MrSduXTe1etBb1HNpAlGwQr006ljwMiM"",
      ""GSC最新!A:R""
    ),
    11,
    FALSE
  ),
  0
)
"),0.0)</f>
        <v>0</v>
      </c>
      <c r="V128" s="60">
        <f>IFERROR(__xludf.DUMMYFUNCTION("IFERROR(
  VLOOKUP(
    A128,
    IMPORTRANGE(
      ""1ZHMy3vVUd_0MrSduXTe1etBb1HNpAlGwQr006ljwMiM"",
      ""GSC最新!A:R""
    ),
    14,
    FALSE
  ),
  0
)
"),0.0)</f>
        <v>0</v>
      </c>
      <c r="W128" s="60">
        <f>IFERROR(__xludf.DUMMYFUNCTION("IFERROR(
  VLOOKUP(
    A128,
    IMPORTRANGE(
      ""1ZHMy3vVUd_0MrSduXTe1etBb1HNpAlGwQr006ljwMiM"",
      ""GSC最新!A:R""
    ),
    17,
    FALSE
  ),
  0
)
"),0.0)</f>
        <v>0</v>
      </c>
      <c r="X128" s="60">
        <f t="shared" ref="X128:Y128" si="634">IFERROR(T128-V128,"-")</f>
        <v>0</v>
      </c>
      <c r="Y128" s="60">
        <f t="shared" si="634"/>
        <v>0</v>
      </c>
      <c r="Z128" s="52" t="str">
        <f>IFERROR(__xludf.DUMMYFUNCTION("IFERROR(
  VLOOKUP(
    A128,
    IMPORTRANGE(
      ""1ZHMy3vVUd_0MrSduXTe1etBb1HNpAlGwQr006ljwMiM"",
      ""GSC最新!A:R""
    ),
    9,
    FALSE
  ),
  0
)
"),"")</f>
        <v/>
      </c>
      <c r="AA128" s="52">
        <f>IFERROR(__xludf.DUMMYFUNCTION("IFERROR(
  VLOOKUP(
    A128,
    IMPORTRANGE(
      ""1ZHMy3vVUd_0MrSduXTe1etBb1HNpAlGwQr006ljwMiM"",
      ""GSC最新!A:R""
    ),
    12,
    FALSE
  ),
  0
)
"),7.0)</f>
        <v>7</v>
      </c>
      <c r="AB128" s="52" t="str">
        <f>IFERROR(__xludf.DUMMYFUNCTION("IFERROR(
  VLOOKUP(
    A128,
    IMPORTRANGE(
      ""1ZHMy3vVUd_0MrSduXTe1etBb1HNpAlGwQr006ljwMiM"",
      ""GSC最新!A:R""
    ),
    15,
    FALSE
  ),
  0
)
"),"")</f>
        <v/>
      </c>
      <c r="AC128" s="52" t="str">
        <f>IFERROR(__xludf.DUMMYFUNCTION("IFERROR(
  VLOOKUP(
    A128,
    IMPORTRANGE(
      ""1ZHMy3vVUd_0MrSduXTe1etBb1HNpAlGwQr006ljwMiM"",
      ""GSC最新!A:R""
    ),
    18,
    FALSE
  ),
  0
)
"),"")</f>
        <v/>
      </c>
      <c r="AD128" s="52">
        <f t="shared" ref="AD128:AE128" si="635">Z128-AB128</f>
        <v>0</v>
      </c>
      <c r="AE128" s="52">
        <f t="shared" si="635"/>
        <v>7</v>
      </c>
      <c r="AF128" s="53">
        <f>IFERROR(__xludf.DUMMYFUNCTION("IFERROR(
  VLOOKUP(
    A128,
    IMPORTRANGE(
      ""1ZHMy3vVUd_0MrSduXTe1etBb1HNpAlGwQr006ljwMiM"",
      ""GSC最新!A:F""
    ),
    6,
    FALSE
  ),
  0
)
"),46081.0)</f>
        <v>46081</v>
      </c>
      <c r="AG128" s="54">
        <f>IFERROR(__xludf.DUMMYFUNCTION("IFERROR(
  VLOOKUP(
    A128,
    IMPORTRANGE(
      ""1SCYQd7_cobOYqT0r_F0IqD4tE4rYn5y8Eup4PJTH8es"",
      ""Snapshot!A:M""
    ),
    5,
    FALSE
  ),
  ""-""
)
"),0.0)</f>
        <v>0</v>
      </c>
      <c r="AH128" s="54">
        <f>IFERROR(__xludf.DUMMYFUNCTION("IFERROR(
  VLOOKUP(
    A128,
    IMPORTRANGE(
      ""1SCYQd7_cobOYqT0r_F0IqD4tE4rYn5y8Eup4PJTH8es"",
      ""Snapshot!A:M""
    ),
    6,
    FALSE
  ),
  0
)
"),0.0)</f>
        <v>0</v>
      </c>
      <c r="AI128" s="54">
        <f>IFERROR(__xludf.DUMMYFUNCTION("IFERROR(
  VLOOKUP(
    A128,
    IMPORTRANGE(
      ""1SCYQd7_cobOYqT0r_F0IqD4tE4rYn5y8Eup4PJTH8es"",
      ""Snapshot!A:M""
    ),
    7,
    FALSE
  ),
  0
)
"),512.0)</f>
        <v>512</v>
      </c>
      <c r="AJ128" s="54">
        <f>IFERROR(__xludf.DUMMYFUNCTION("IFERROR(
  VLOOKUP(
    A128,
    IMPORTRANGE(
      ""1SCYQd7_cobOYqT0r_F0IqD4tE4rYn5y8Eup4PJTH8es"",
      ""Snapshot!A:M""
    ),
    8,
    FALSE
  ),
  0
)
"),4.0)</f>
        <v>4</v>
      </c>
      <c r="AK128" s="54">
        <f>IFERROR(__xludf.DUMMYFUNCTION("IFERROR(
  VLOOKUP(
    A128,
    IMPORTRANGE(
      ""1SCYQd7_cobOYqT0r_F0IqD4tE4rYn5y8Eup4PJTH8es"",
      ""Snapshot!A:M""
    ),
    9,
    FALSE
  ),
  0
)
"),1.0)</f>
        <v>1</v>
      </c>
      <c r="AL128" s="54">
        <f>IFERROR(__xludf.DUMMYFUNCTION("IFERROR(
  VLOOKUP(
    A128,
    IMPORTRANGE(
      ""1SCYQd7_cobOYqT0r_F0IqD4tE4rYn5y8Eup4PJTH8es"",
      ""Snapshot!A:M""
    ),
    13,
    FALSE
  ),
  0
)
"),2.0)</f>
        <v>2</v>
      </c>
    </row>
    <row r="129">
      <c r="A129" s="3" t="s">
        <v>89</v>
      </c>
      <c r="B129" s="1" t="str">
        <f>IFERROR(__xludf.DUMMYFUNCTION("IFERROR(
  VLOOKUP(
    A129,
    IMPORTRANGE(
      ""1ZygntHC1J6IxzKbTidmOyf5nUyW4GCLurHCjexrLm_o"",
      ""HTMLキャッシュ!A:F""
    ),
    2,
    FALSE
  ),
  0
)
"),"-")</f>
        <v>-</v>
      </c>
      <c r="C129" s="1" t="str">
        <f>IFERROR(__xludf.DUMMYFUNCTION("IFERROR(
  VLOOKUP(
    A129,
    IMPORTRANGE(
      ""1ZygntHC1J6IxzKbTidmOyf5nUyW4GCLurHCjexrLm_o"",
      ""HTMLキャッシュ!A:F""
    ),
    5,
    FALSE
  ),
  0
)
"),"当塾のご紹介 - 中学受験専門 夏井算数塾")</f>
        <v>当塾のご紹介 - 中学受験専門 夏井算数塾</v>
      </c>
      <c r="D129" s="1" t="str">
        <f>IFERROR(__xludf.DUMMYFUNCTION("IFERROR(
  VLOOKUP(
    A129,
    IMPORTRANGE(
      ""1ZygntHC1J6IxzKbTidmOyf5nUyW4GCLurHCjexrLm_o        "",
      ""HTMLキャッシュ!A:F""
    ),
    6,
    FALSE
  ),
  0
)
"),"当塾のご紹介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当塾のご紹介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29" s="49">
        <f t="shared" ref="E129:F129" si="636">LEN(C129)</f>
        <v>21</v>
      </c>
      <c r="F129" s="49">
        <f t="shared" si="636"/>
        <v>164</v>
      </c>
      <c r="G129" s="32">
        <f>IFERROR(__xludf.DUMMYFUNCTION("IFERROR(
  VLOOKUP(
    A129,
    IMPORTRANGE(
      ""1ZygntHC1J6IxzKbTidmOyf5nUyW4GCLurHCjexrLm_o        "",
      ""HTMLキャッシュ!A:F""
    ),
    3,
    FALSE
  ),
  0
)
"),25569.375)</f>
        <v>25569.375</v>
      </c>
      <c r="H129" s="54">
        <f>IFERROR(__xludf.DUMMYFUNCTION("IFERROR(
  VLOOKUP(
    A129,
    IMPORTRANGE(
      ""1ZHMy3vVUd_0MrSduXTe1etBb1HNpAlGwQr006ljwMiM"",
      ""GSC最新!A:F""
    ),
    2,
    FALSE
  ),
  0
)
"),0.0)</f>
        <v>0</v>
      </c>
      <c r="I129" s="54">
        <f>IFERROR(__xludf.DUMMYFUNCTION("IFERROR(
  VLOOKUP(
    A129,
    IMPORTRANGE(
      ""1ZHMy3vVUd_0MrSduXTe1etBb1HNpAlGwQr006ljwMiM"",
      ""GSC最新!A:F""
    ),
    3,
    FALSE
  ),
  0
)
"),0.0)</f>
        <v>0</v>
      </c>
      <c r="J129" s="54">
        <f>IFERROR(__xludf.DUMMYFUNCTION("IFERROR(
  VLOOKUP(
    A129,
    IMPORTRANGE(
      ""1ZHMy3vVUd_0MrSduXTe1etBb1HNpAlGwQr006ljwMiM"",
      ""GSC最新!A:F""
    ),
    4,
    FALSE
  ),
  0
)
"),0.0)</f>
        <v>0</v>
      </c>
      <c r="K129" s="54">
        <f>IFERROR(__xludf.DUMMYFUNCTION("IFERROR(
  VLOOKUP(
    A129,
    IMPORTRANGE(
      ""1ZHMy3vVUd_0MrSduXTe1etBb1HNpAlGwQr006ljwMiM"",
      ""GSC最新!A:F""
    ),
    5,
    FALSE
  ),
  0
)
"),0.0)</f>
        <v>0</v>
      </c>
      <c r="L129" s="50" t="str">
        <f t="shared" ref="L129:M129" si="637">IFERROR(H129/J129,"-")</f>
        <v>-</v>
      </c>
      <c r="M129" s="50" t="str">
        <f t="shared" si="637"/>
        <v>-</v>
      </c>
      <c r="N129" s="59">
        <f>IFERROR(__xludf.DUMMYFUNCTION("IFERROR(
  VLOOKUP(
    A129,
    IMPORTRANGE(
      ""1ZHMy3vVUd_0MrSduXTe1etBb1HNpAlGwQr006ljwMiM"",
      ""GSC最新!A:R""
    ),
    7,
    FALSE
  ),
  0
)
"),2.0)</f>
        <v>2</v>
      </c>
      <c r="O129" s="59">
        <f>IFERROR(__xludf.DUMMYFUNCTION("IFERROR(
  VLOOKUP(
    A129,
    IMPORTRANGE(
      ""1ZHMy3vVUd_0MrSduXTe1etBb1HNpAlGwQr006ljwMiM"",
      ""GSC最新!A:R""
    ),
    10,
    FALSE
  ),
  0
)
"),3.0)</f>
        <v>3</v>
      </c>
      <c r="P129" s="59">
        <f>IFERROR(__xludf.DUMMYFUNCTION("IFERROR(
  VLOOKUP(
    A129,
    IMPORTRANGE(
      ""1ZHMy3vVUd_0MrSduXTe1etBb1HNpAlGwQr006ljwMiM"",
      ""GSC最新!A:R""
    ),
    13,
    FALSE
  ),
  0
)
"),0.0)</f>
        <v>0</v>
      </c>
      <c r="Q129" s="59">
        <f>IFERROR(__xludf.DUMMYFUNCTION("IFERROR(
  VLOOKUP(
    A129,
    IMPORTRANGE(
      ""1ZHMy3vVUd_0MrSduXTe1etBb1HNpAlGwQr006ljwMiM"",
      ""GSC最新!A:R""
    ),
    16,
    FALSE
  ),
  0
)
"),2.0)</f>
        <v>2</v>
      </c>
      <c r="R129" s="50" t="str">
        <f t="shared" ref="R129:S129" si="638">IFERROR(N129/P129,"-")</f>
        <v>-</v>
      </c>
      <c r="S129" s="50">
        <f t="shared" si="638"/>
        <v>1.5</v>
      </c>
      <c r="T129" s="60">
        <f>IFERROR(__xludf.DUMMYFUNCTION("IFERROR(
  VLOOKUP(
    A129,
    IMPORTRANGE(
      ""1ZHMy3vVUd_0MrSduXTe1etBb1HNpAlGwQr006ljwMiM"",
      ""GSC最新!A:R""
    ),
    8,
    FALSE
  ),
  0
)
"),0.0)</f>
        <v>0</v>
      </c>
      <c r="U129" s="60">
        <f>IFERROR(__xludf.DUMMYFUNCTION("IFERROR(
  VLOOKUP(
    A129,
    IMPORTRANGE(
      ""1ZHMy3vVUd_0MrSduXTe1etBb1HNpAlGwQr006ljwMiM"",
      ""GSC最新!A:R""
    ),
    11,
    FALSE
  ),
  0
)
"),0.0)</f>
        <v>0</v>
      </c>
      <c r="V129" s="60">
        <f>IFERROR(__xludf.DUMMYFUNCTION("IFERROR(
  VLOOKUP(
    A129,
    IMPORTRANGE(
      ""1ZHMy3vVUd_0MrSduXTe1etBb1HNpAlGwQr006ljwMiM"",
      ""GSC最新!A:R""
    ),
    14,
    FALSE
  ),
  0
)
"),0.0)</f>
        <v>0</v>
      </c>
      <c r="W129" s="60">
        <f>IFERROR(__xludf.DUMMYFUNCTION("IFERROR(
  VLOOKUP(
    A129,
    IMPORTRANGE(
      ""1ZHMy3vVUd_0MrSduXTe1etBb1HNpAlGwQr006ljwMiM"",
      ""GSC最新!A:R""
    ),
    17,
    FALSE
  ),
  0
)
"),0.0)</f>
        <v>0</v>
      </c>
      <c r="X129" s="60">
        <f t="shared" ref="X129:Y129" si="639">IFERROR(T129-V129,"-")</f>
        <v>0</v>
      </c>
      <c r="Y129" s="60">
        <f t="shared" si="639"/>
        <v>0</v>
      </c>
      <c r="Z129" s="52">
        <f>IFERROR(__xludf.DUMMYFUNCTION("IFERROR(
  VLOOKUP(
    A129,
    IMPORTRANGE(
      ""1ZHMy3vVUd_0MrSduXTe1etBb1HNpAlGwQr006ljwMiM"",
      ""GSC最新!A:R""
    ),
    9,
    FALSE
  ),
  0
)
"),22.0)</f>
        <v>22</v>
      </c>
      <c r="AA129" s="52">
        <f>IFERROR(__xludf.DUMMYFUNCTION("IFERROR(
  VLOOKUP(
    A129,
    IMPORTRANGE(
      ""1ZHMy3vVUd_0MrSduXTe1etBb1HNpAlGwQr006ljwMiM"",
      ""GSC最新!A:R""
    ),
    12,
    FALSE
  ),
  0
)
"),17.666666666666668)</f>
        <v>17.66666667</v>
      </c>
      <c r="AB129" s="52" t="str">
        <f>IFERROR(__xludf.DUMMYFUNCTION("IFERROR(
  VLOOKUP(
    A129,
    IMPORTRANGE(
      ""1ZHMy3vVUd_0MrSduXTe1etBb1HNpAlGwQr006ljwMiM"",
      ""GSC最新!A:R""
    ),
    15,
    FALSE
  ),
  0
)
"),"")</f>
        <v/>
      </c>
      <c r="AC129" s="52">
        <f>IFERROR(__xludf.DUMMYFUNCTION("IFERROR(
  VLOOKUP(
    A129,
    IMPORTRANGE(
      ""1ZHMy3vVUd_0MrSduXTe1etBb1HNpAlGwQr006ljwMiM"",
      ""GSC最新!A:R""
    ),
    18,
    FALSE
  ),
  0
)
"),24.0)</f>
        <v>24</v>
      </c>
      <c r="AD129" s="52">
        <f t="shared" ref="AD129:AE129" si="640">Z129-AB129</f>
        <v>22</v>
      </c>
      <c r="AE129" s="52">
        <f t="shared" si="640"/>
        <v>-6.333333333</v>
      </c>
      <c r="AF129" s="53">
        <f>IFERROR(__xludf.DUMMYFUNCTION("IFERROR(
  VLOOKUP(
    A129,
    IMPORTRANGE(
      ""1ZHMy3vVUd_0MrSduXTe1etBb1HNpAlGwQr006ljwMiM"",
      ""GSC最新!A:F""
    ),
    6,
    FALSE
  ),
  0
)
"),46081.0)</f>
        <v>46081</v>
      </c>
      <c r="AG129" s="54">
        <f>IFERROR(__xludf.DUMMYFUNCTION("IFERROR(
  VLOOKUP(
    A129,
    IMPORTRANGE(
      ""1SCYQd7_cobOYqT0r_F0IqD4tE4rYn5y8Eup4PJTH8es"",
      ""Snapshot!A:M""
    ),
    5,
    FALSE
  ),
  ""-""
)
"),0.0)</f>
        <v>0</v>
      </c>
      <c r="AH129" s="54">
        <f>IFERROR(__xludf.DUMMYFUNCTION("IFERROR(
  VLOOKUP(
    A129,
    IMPORTRANGE(
      ""1SCYQd7_cobOYqT0r_F0IqD4tE4rYn5y8Eup4PJTH8es"",
      ""Snapshot!A:M""
    ),
    6,
    FALSE
  ),
  0
)
"),0.0)</f>
        <v>0</v>
      </c>
      <c r="AI129" s="54">
        <f>IFERROR(__xludf.DUMMYFUNCTION("IFERROR(
  VLOOKUP(
    A129,
    IMPORTRANGE(
      ""1SCYQd7_cobOYqT0r_F0IqD4tE4rYn5y8Eup4PJTH8es"",
      ""Snapshot!A:M""
    ),
    7,
    FALSE
  ),
  0
)
"),0.0)</f>
        <v>0</v>
      </c>
      <c r="AJ129" s="54">
        <f>IFERROR(__xludf.DUMMYFUNCTION("IFERROR(
  VLOOKUP(
    A129,
    IMPORTRANGE(
      ""1SCYQd7_cobOYqT0r_F0IqD4tE4rYn5y8Eup4PJTH8es"",
      ""Snapshot!A:M""
    ),
    8,
    FALSE
  ),
  0
)
"),0.0)</f>
        <v>0</v>
      </c>
      <c r="AK129" s="54">
        <f>IFERROR(__xludf.DUMMYFUNCTION("IFERROR(
  VLOOKUP(
    A129,
    IMPORTRANGE(
      ""1SCYQd7_cobOYqT0r_F0IqD4tE4rYn5y8Eup4PJTH8es"",
      ""Snapshot!A:M""
    ),
    9,
    FALSE
  ),
  0
)
"),0.0)</f>
        <v>0</v>
      </c>
      <c r="AL129" s="54">
        <f>IFERROR(__xludf.DUMMYFUNCTION("IFERROR(
  VLOOKUP(
    A129,
    IMPORTRANGE(
      ""1SCYQd7_cobOYqT0r_F0IqD4tE4rYn5y8Eup4PJTH8es"",
      ""Snapshot!A:M""
    ),
    13,
    FALSE
  ),
  0
)
"),1.0)</f>
        <v>1</v>
      </c>
    </row>
    <row r="130">
      <c r="A130" s="1" t="s">
        <v>458</v>
      </c>
      <c r="B130" s="1" t="str">
        <f>IFERROR(__xludf.DUMMYFUNCTION("IFERROR(
  VLOOKUP(
    A130,
    IMPORTRANGE(
      ""1ZygntHC1J6IxzKbTidmOyf5nUyW4GCLurHCjexrLm_o"",
      ""HTMLキャッシュ!A:F""
    ),
    2,
    FALSE
  ),
  0
)
"),"NW")</f>
        <v>NW</v>
      </c>
      <c r="C130" s="1" t="str">
        <f>IFERROR(__xludf.DUMMYFUNCTION("IFERROR(
  VLOOKUP(
    A130,
    IMPORTRANGE(
      ""1ZygntHC1J6IxzKbTidmOyf5nUyW4GCLurHCjexrLm_o"",
      ""HTMLキャッシュ!A:F""
    ),
    5,
    FALSE
  ),
  0
)
"),"2024年度夏期講習のお知らせ【個別】 - 中学受験専門 夏井算数塾")</f>
        <v>2024年度夏期講習のお知らせ【個別】 - 中学受験専門 夏井算数塾</v>
      </c>
      <c r="D130" s="1" t="str">
        <f>IFERROR(__xludf.DUMMYFUNCTION("IFERROR(
  VLOOKUP(
    A130,
    IMPORTRANGE(
      ""1ZygntHC1J6IxzKbTidmOyf5nUyW4GCLurHCjexrLm_o        "",
      ""HTMLキャッシュ!A:F""
    ),
    6,
    FALSE
  ),
  0
)
"),"夏休みは、受験生にとってはまさに天王山であり、受験がまだ1年以上先の生徒にとっても、普段忙しくて取り組めない課")</f>
        <v>夏休みは、受験生にとってはまさに天王山であり、受験がまだ1年以上先の生徒にとっても、普段忙しくて取り組めない課</v>
      </c>
      <c r="E130" s="49">
        <f t="shared" ref="E130:F130" si="641">LEN(C130)</f>
        <v>34</v>
      </c>
      <c r="F130" s="49">
        <f t="shared" si="641"/>
        <v>55</v>
      </c>
      <c r="G130" s="32">
        <f>IFERROR(__xludf.DUMMYFUNCTION("IFERROR(
  VLOOKUP(
    A130,
    IMPORTRANGE(
      ""1ZygntHC1J6IxzKbTidmOyf5nUyW4GCLurHCjexrLm_o        "",
      ""HTMLキャッシュ!A:F""
    ),
    3,
    FALSE
  ),
  0
)
"),45593.55547453704)</f>
        <v>45593.55547</v>
      </c>
      <c r="H130" s="54">
        <f>IFERROR(__xludf.DUMMYFUNCTION("IFERROR(
  VLOOKUP(
    A130,
    IMPORTRANGE(
      ""1ZHMy3vVUd_0MrSduXTe1etBb1HNpAlGwQr006ljwMiM"",
      ""GSC最新!A:F""
    ),
    2,
    FALSE
  ),
  0
)
"),0.0)</f>
        <v>0</v>
      </c>
      <c r="I130" s="54">
        <f>IFERROR(__xludf.DUMMYFUNCTION("IFERROR(
  VLOOKUP(
    A130,
    IMPORTRANGE(
      ""1ZHMy3vVUd_0MrSduXTe1etBb1HNpAlGwQr006ljwMiM"",
      ""GSC最新!A:F""
    ),
    3,
    FALSE
  ),
  0
)
"),0.0)</f>
        <v>0</v>
      </c>
      <c r="J130" s="54">
        <f>IFERROR(__xludf.DUMMYFUNCTION("IFERROR(
  VLOOKUP(
    A130,
    IMPORTRANGE(
      ""1ZHMy3vVUd_0MrSduXTe1etBb1HNpAlGwQr006ljwMiM"",
      ""GSC最新!A:F""
    ),
    4,
    FALSE
  ),
  0
)
"),0.0)</f>
        <v>0</v>
      </c>
      <c r="K130" s="54">
        <f>IFERROR(__xludf.DUMMYFUNCTION("IFERROR(
  VLOOKUP(
    A130,
    IMPORTRANGE(
      ""1ZHMy3vVUd_0MrSduXTe1etBb1HNpAlGwQr006ljwMiM"",
      ""GSC最新!A:F""
    ),
    5,
    FALSE
  ),
  0
)
"),0.0)</f>
        <v>0</v>
      </c>
      <c r="L130" s="50" t="str">
        <f t="shared" ref="L130:M130" si="642">IFERROR(H130/J130,"-")</f>
        <v>-</v>
      </c>
      <c r="M130" s="50" t="str">
        <f t="shared" si="642"/>
        <v>-</v>
      </c>
      <c r="N130" s="59">
        <f>IFERROR(__xludf.DUMMYFUNCTION("IFERROR(
  VLOOKUP(
    A130,
    IMPORTRANGE(
      ""1ZHMy3vVUd_0MrSduXTe1etBb1HNpAlGwQr006ljwMiM"",
      ""GSC最新!A:R""
    ),
    7,
    FALSE
  ),
  0
)
"),0.0)</f>
        <v>0</v>
      </c>
      <c r="O130" s="59">
        <f>IFERROR(__xludf.DUMMYFUNCTION("IFERROR(
  VLOOKUP(
    A130,
    IMPORTRANGE(
      ""1ZHMy3vVUd_0MrSduXTe1etBb1HNpAlGwQr006ljwMiM"",
      ""GSC最新!A:R""
    ),
    10,
    FALSE
  ),
  0
)
"),3.0)</f>
        <v>3</v>
      </c>
      <c r="P130" s="59">
        <f>IFERROR(__xludf.DUMMYFUNCTION("IFERROR(
  VLOOKUP(
    A130,
    IMPORTRANGE(
      ""1ZHMy3vVUd_0MrSduXTe1etBb1HNpAlGwQr006ljwMiM"",
      ""GSC最新!A:R""
    ),
    13,
    FALSE
  ),
  0
)
"),11.0)</f>
        <v>11</v>
      </c>
      <c r="Q130" s="59">
        <f>IFERROR(__xludf.DUMMYFUNCTION("IFERROR(
  VLOOKUP(
    A130,
    IMPORTRANGE(
      ""1ZHMy3vVUd_0MrSduXTe1etBb1HNpAlGwQr006ljwMiM"",
      ""GSC最新!A:R""
    ),
    16,
    FALSE
  ),
  0
)
"),32.0)</f>
        <v>32</v>
      </c>
      <c r="R130" s="50">
        <f t="shared" ref="R130:S130" si="643">IFERROR(N130/P130,"-")</f>
        <v>0</v>
      </c>
      <c r="S130" s="50">
        <f t="shared" si="643"/>
        <v>0.09375</v>
      </c>
      <c r="T130" s="60">
        <f>IFERROR(__xludf.DUMMYFUNCTION("IFERROR(
  VLOOKUP(
    A130,
    IMPORTRANGE(
      ""1ZHMy3vVUd_0MrSduXTe1etBb1HNpAlGwQr006ljwMiM"",
      ""GSC最新!A:R""
    ),
    8,
    FALSE
  ),
  0
)
"),0.0)</f>
        <v>0</v>
      </c>
      <c r="U130" s="60">
        <f>IFERROR(__xludf.DUMMYFUNCTION("IFERROR(
  VLOOKUP(
    A130,
    IMPORTRANGE(
      ""1ZHMy3vVUd_0MrSduXTe1etBb1HNpAlGwQr006ljwMiM"",
      ""GSC最新!A:R""
    ),
    11,
    FALSE
  ),
  0
)
"),0.0)</f>
        <v>0</v>
      </c>
      <c r="V130" s="60">
        <f>IFERROR(__xludf.DUMMYFUNCTION("IFERROR(
  VLOOKUP(
    A130,
    IMPORTRANGE(
      ""1ZHMy3vVUd_0MrSduXTe1etBb1HNpAlGwQr006ljwMiM"",
      ""GSC最新!A:R""
    ),
    14,
    FALSE
  ),
  0
)
"),0.0)</f>
        <v>0</v>
      </c>
      <c r="W130" s="60">
        <f>IFERROR(__xludf.DUMMYFUNCTION("IFERROR(
  VLOOKUP(
    A130,
    IMPORTRANGE(
      ""1ZHMy3vVUd_0MrSduXTe1etBb1HNpAlGwQr006ljwMiM"",
      ""GSC最新!A:R""
    ),
    17,
    FALSE
  ),
  0
)
"),0.0)</f>
        <v>0</v>
      </c>
      <c r="X130" s="60">
        <f t="shared" ref="X130:Y130" si="644">IFERROR(T130-V130,"-")</f>
        <v>0</v>
      </c>
      <c r="Y130" s="60">
        <f t="shared" si="644"/>
        <v>0</v>
      </c>
      <c r="Z130" s="52" t="str">
        <f>IFERROR(__xludf.DUMMYFUNCTION("IFERROR(
  VLOOKUP(
    A130,
    IMPORTRANGE(
      ""1ZHMy3vVUd_0MrSduXTe1etBb1HNpAlGwQr006ljwMiM"",
      ""GSC最新!A:R""
    ),
    9,
    FALSE
  ),
  0
)
"),"")</f>
        <v/>
      </c>
      <c r="AA130" s="52">
        <f>IFERROR(__xludf.DUMMYFUNCTION("IFERROR(
  VLOOKUP(
    A130,
    IMPORTRANGE(
      ""1ZHMy3vVUd_0MrSduXTe1etBb1HNpAlGwQr006ljwMiM"",
      ""GSC最新!A:R""
    ),
    12,
    FALSE
  ),
  0
)
"),24.0)</f>
        <v>24</v>
      </c>
      <c r="AB130" s="52">
        <f>IFERROR(__xludf.DUMMYFUNCTION("IFERROR(
  VLOOKUP(
    A130,
    IMPORTRANGE(
      ""1ZHMy3vVUd_0MrSduXTe1etBb1HNpAlGwQr006ljwMiM"",
      ""GSC最新!A:R""
    ),
    15,
    FALSE
  ),
  0
)
"),67.81818181818181)</f>
        <v>67.81818182</v>
      </c>
      <c r="AC130" s="52">
        <f>IFERROR(__xludf.DUMMYFUNCTION("IFERROR(
  VLOOKUP(
    A130,
    IMPORTRANGE(
      ""1ZHMy3vVUd_0MrSduXTe1etBb1HNpAlGwQr006ljwMiM"",
      ""GSC最新!A:R""
    ),
    18,
    FALSE
  ),
  0
)
"),66.4375)</f>
        <v>66.4375</v>
      </c>
      <c r="AD130" s="52">
        <f t="shared" ref="AD130:AE130" si="645">Z130-AB130</f>
        <v>-67.81818182</v>
      </c>
      <c r="AE130" s="52">
        <f t="shared" si="645"/>
        <v>-42.4375</v>
      </c>
      <c r="AF130" s="53">
        <f>IFERROR(__xludf.DUMMYFUNCTION("IFERROR(
  VLOOKUP(
    A130,
    IMPORTRANGE(
      ""1ZHMy3vVUd_0MrSduXTe1etBb1HNpAlGwQr006ljwMiM"",
      ""GSC最新!A:F""
    ),
    6,
    FALSE
  ),
  0
)
"),46081.0)</f>
        <v>46081</v>
      </c>
      <c r="AG130" s="54">
        <f>IFERROR(__xludf.DUMMYFUNCTION("IFERROR(
  VLOOKUP(
    A130,
    IMPORTRANGE(
      ""1SCYQd7_cobOYqT0r_F0IqD4tE4rYn5y8Eup4PJTH8es"",
      ""Snapshot!A:M""
    ),
    5,
    FALSE
  ),
  ""-""
)
"),0.0)</f>
        <v>0</v>
      </c>
      <c r="AH130" s="54">
        <f>IFERROR(__xludf.DUMMYFUNCTION("IFERROR(
  VLOOKUP(
    A130,
    IMPORTRANGE(
      ""1SCYQd7_cobOYqT0r_F0IqD4tE4rYn5y8Eup4PJTH8es"",
      ""Snapshot!A:M""
    ),
    6,
    FALSE
  ),
  0
)
"),0.0)</f>
        <v>0</v>
      </c>
      <c r="AI130" s="54">
        <f>IFERROR(__xludf.DUMMYFUNCTION("IFERROR(
  VLOOKUP(
    A130,
    IMPORTRANGE(
      ""1SCYQd7_cobOYqT0r_F0IqD4tE4rYn5y8Eup4PJTH8es"",
      ""Snapshot!A:M""
    ),
    7,
    FALSE
  ),
  0
)
"),724.0)</f>
        <v>724</v>
      </c>
      <c r="AJ130" s="54">
        <f>IFERROR(__xludf.DUMMYFUNCTION("IFERROR(
  VLOOKUP(
    A130,
    IMPORTRANGE(
      ""1SCYQd7_cobOYqT0r_F0IqD4tE4rYn5y8Eup4PJTH8es"",
      ""Snapshot!A:M""
    ),
    8,
    FALSE
  ),
  0
)
"),5.0)</f>
        <v>5</v>
      </c>
      <c r="AK130" s="54">
        <f>IFERROR(__xludf.DUMMYFUNCTION("IFERROR(
  VLOOKUP(
    A130,
    IMPORTRANGE(
      ""1SCYQd7_cobOYqT0r_F0IqD4tE4rYn5y8Eup4PJTH8es"",
      ""Snapshot!A:M""
    ),
    9,
    FALSE
  ),
  0
)
"),1.0)</f>
        <v>1</v>
      </c>
      <c r="AL130" s="54">
        <f>IFERROR(__xludf.DUMMYFUNCTION("IFERROR(
  VLOOKUP(
    A130,
    IMPORTRANGE(
      ""1SCYQd7_cobOYqT0r_F0IqD4tE4rYn5y8Eup4PJTH8es"",
      ""Snapshot!A:M""
    ),
    13,
    FALSE
  ),
  0
)
"),2.0)</f>
        <v>2</v>
      </c>
    </row>
    <row r="131">
      <c r="A131" s="3" t="s">
        <v>91</v>
      </c>
      <c r="B131" s="1" t="str">
        <f>IFERROR(__xludf.DUMMYFUNCTION("IFERROR(
  VLOOKUP(
    A131,
    IMPORTRANGE(
      ""1ZygntHC1J6IxzKbTidmOyf5nUyW4GCLurHCjexrLm_o"",
      ""HTMLキャッシュ!A:F""
    ),
    2,
    FALSE
  ),
  0
)
"),"-")</f>
        <v>-</v>
      </c>
      <c r="C131" s="1" t="str">
        <f>IFERROR(__xludf.DUMMYFUNCTION("IFERROR(
  VLOOKUP(
    A131,
    IMPORTRANGE(
      ""1ZygntHC1J6IxzKbTidmOyf5nUyW4GCLurHCjexrLm_o"",
      ""HTMLキャッシュ!A:F""
    ),
    5,
    FALSE
  ),
  0
)
"),"つるかめ算(板書Ver) - 中学受験専門 夏井算数塾")</f>
        <v>つるかめ算(板書Ver) - 中学受験専門 夏井算数塾</v>
      </c>
      <c r="D131" s="1" t="str">
        <f>IFERROR(__xludf.DUMMYFUNCTION("IFERROR(
  VLOOKUP(
    A131,
    IMPORTRANGE(
      ""1ZygntHC1J6IxzKbTidmOyf5nUyW4GCLurHCjexrLm_o        "",
      ""HTMLキャッシュ!A:F""
    ),
    6,
    FALSE
  ),
  0
)
"),"授業を開始")</f>
        <v>授業を開始</v>
      </c>
      <c r="E131" s="49">
        <f t="shared" ref="E131:F131" si="646">LEN(C131)</f>
        <v>27</v>
      </c>
      <c r="F131" s="49">
        <f t="shared" si="646"/>
        <v>5</v>
      </c>
      <c r="G131" s="32">
        <f>IFERROR(__xludf.DUMMYFUNCTION("IFERROR(
  VLOOKUP(
    A131,
    IMPORTRANGE(
      ""1ZygntHC1J6IxzKbTidmOyf5nUyW4GCLurHCjexrLm_o        "",
      ""HTMLキャッシュ!A:F""
    ),
    3,
    FALSE
  ),
  0
)
"),45969.61744212963)</f>
        <v>45969.61744</v>
      </c>
      <c r="H131" s="54">
        <f>IFERROR(__xludf.DUMMYFUNCTION("IFERROR(
  VLOOKUP(
    A131,
    IMPORTRANGE(
      ""1ZHMy3vVUd_0MrSduXTe1etBb1HNpAlGwQr006ljwMiM"",
      ""GSC最新!A:F""
    ),
    2,
    FALSE
  ),
  0
)
"),0.0)</f>
        <v>0</v>
      </c>
      <c r="I131" s="54">
        <f>IFERROR(__xludf.DUMMYFUNCTION("IFERROR(
  VLOOKUP(
    A131,
    IMPORTRANGE(
      ""1ZHMy3vVUd_0MrSduXTe1etBb1HNpAlGwQr006ljwMiM"",
      ""GSC最新!A:F""
    ),
    3,
    FALSE
  ),
  0
)
"),0.0)</f>
        <v>0</v>
      </c>
      <c r="J131" s="54">
        <f>IFERROR(__xludf.DUMMYFUNCTION("IFERROR(
  VLOOKUP(
    A131,
    IMPORTRANGE(
      ""1ZHMy3vVUd_0MrSduXTe1etBb1HNpAlGwQr006ljwMiM"",
      ""GSC最新!A:F""
    ),
    4,
    FALSE
  ),
  0
)
"),0.0)</f>
        <v>0</v>
      </c>
      <c r="K131" s="54">
        <f>IFERROR(__xludf.DUMMYFUNCTION("IFERROR(
  VLOOKUP(
    A131,
    IMPORTRANGE(
      ""1ZHMy3vVUd_0MrSduXTe1etBb1HNpAlGwQr006ljwMiM"",
      ""GSC最新!A:F""
    ),
    5,
    FALSE
  ),
  0
)
"),0.0)</f>
        <v>0</v>
      </c>
      <c r="L131" s="50" t="str">
        <f t="shared" ref="L131:M131" si="647">IFERROR(H131/J131,"-")</f>
        <v>-</v>
      </c>
      <c r="M131" s="50" t="str">
        <f t="shared" si="647"/>
        <v>-</v>
      </c>
      <c r="N131" s="59">
        <f>IFERROR(__xludf.DUMMYFUNCTION("IFERROR(
  VLOOKUP(
    A131,
    IMPORTRANGE(
      ""1ZHMy3vVUd_0MrSduXTe1etBb1HNpAlGwQr006ljwMiM"",
      ""GSC最新!A:R""
    ),
    7,
    FALSE
  ),
  0
)
"),2.0)</f>
        <v>2</v>
      </c>
      <c r="O131" s="59">
        <f>IFERROR(__xludf.DUMMYFUNCTION("IFERROR(
  VLOOKUP(
    A131,
    IMPORTRANGE(
      ""1ZHMy3vVUd_0MrSduXTe1etBb1HNpAlGwQr006ljwMiM"",
      ""GSC最新!A:R""
    ),
    10,
    FALSE
  ),
  0
)
"),2.0)</f>
        <v>2</v>
      </c>
      <c r="P131" s="59">
        <f>IFERROR(__xludf.DUMMYFUNCTION("IFERROR(
  VLOOKUP(
    A131,
    IMPORTRANGE(
      ""1ZHMy3vVUd_0MrSduXTe1etBb1HNpAlGwQr006ljwMiM"",
      ""GSC最新!A:R""
    ),
    13,
    FALSE
  ),
  0
)
"),0.0)</f>
        <v>0</v>
      </c>
      <c r="Q131" s="59">
        <f>IFERROR(__xludf.DUMMYFUNCTION("IFERROR(
  VLOOKUP(
    A131,
    IMPORTRANGE(
      ""1ZHMy3vVUd_0MrSduXTe1etBb1HNpAlGwQr006ljwMiM"",
      ""GSC最新!A:R""
    ),
    16,
    FALSE
  ),
  0
)
"),0.0)</f>
        <v>0</v>
      </c>
      <c r="R131" s="50" t="str">
        <f t="shared" ref="R131:S131" si="648">IFERROR(N131/P131,"-")</f>
        <v>-</v>
      </c>
      <c r="S131" s="50" t="str">
        <f t="shared" si="648"/>
        <v>-</v>
      </c>
      <c r="T131" s="60">
        <f>IFERROR(__xludf.DUMMYFUNCTION("IFERROR(
  VLOOKUP(
    A131,
    IMPORTRANGE(
      ""1ZHMy3vVUd_0MrSduXTe1etBb1HNpAlGwQr006ljwMiM"",
      ""GSC最新!A:R""
    ),
    8,
    FALSE
  ),
  0
)
"),0.0)</f>
        <v>0</v>
      </c>
      <c r="U131" s="60">
        <f>IFERROR(__xludf.DUMMYFUNCTION("IFERROR(
  VLOOKUP(
    A131,
    IMPORTRANGE(
      ""1ZHMy3vVUd_0MrSduXTe1etBb1HNpAlGwQr006ljwMiM"",
      ""GSC最新!A:R""
    ),
    11,
    FALSE
  ),
  0
)
"),0.0)</f>
        <v>0</v>
      </c>
      <c r="V131" s="60">
        <f>IFERROR(__xludf.DUMMYFUNCTION("IFERROR(
  VLOOKUP(
    A131,
    IMPORTRANGE(
      ""1ZHMy3vVUd_0MrSduXTe1etBb1HNpAlGwQr006ljwMiM"",
      ""GSC最新!A:R""
    ),
    14,
    FALSE
  ),
  0
)
"),0.0)</f>
        <v>0</v>
      </c>
      <c r="W131" s="60">
        <f>IFERROR(__xludf.DUMMYFUNCTION("IFERROR(
  VLOOKUP(
    A131,
    IMPORTRANGE(
      ""1ZHMy3vVUd_0MrSduXTe1etBb1HNpAlGwQr006ljwMiM"",
      ""GSC最新!A:R""
    ),
    17,
    FALSE
  ),
  0
)
"),0.0)</f>
        <v>0</v>
      </c>
      <c r="X131" s="60">
        <f t="shared" ref="X131:Y131" si="649">IFERROR(T131-V131,"-")</f>
        <v>0</v>
      </c>
      <c r="Y131" s="60">
        <f t="shared" si="649"/>
        <v>0</v>
      </c>
      <c r="Z131" s="52">
        <f>IFERROR(__xludf.DUMMYFUNCTION("IFERROR(
  VLOOKUP(
    A131,
    IMPORTRANGE(
      ""1ZHMy3vVUd_0MrSduXTe1etBb1HNpAlGwQr006ljwMiM"",
      ""GSC最新!A:R""
    ),
    9,
    FALSE
  ),
  0
)
"),8.0)</f>
        <v>8</v>
      </c>
      <c r="AA131" s="52">
        <f>IFERROR(__xludf.DUMMYFUNCTION("IFERROR(
  VLOOKUP(
    A131,
    IMPORTRANGE(
      ""1ZHMy3vVUd_0MrSduXTe1etBb1HNpAlGwQr006ljwMiM"",
      ""GSC最新!A:R""
    ),
    12,
    FALSE
  ),
  0
)
"),8.0)</f>
        <v>8</v>
      </c>
      <c r="AB131" s="52" t="str">
        <f>IFERROR(__xludf.DUMMYFUNCTION("IFERROR(
  VLOOKUP(
    A131,
    IMPORTRANGE(
      ""1ZHMy3vVUd_0MrSduXTe1etBb1HNpAlGwQr006ljwMiM"",
      ""GSC最新!A:R""
    ),
    15,
    FALSE
  ),
  0
)
"),"")</f>
        <v/>
      </c>
      <c r="AC131" s="52" t="str">
        <f>IFERROR(__xludf.DUMMYFUNCTION("IFERROR(
  VLOOKUP(
    A131,
    IMPORTRANGE(
      ""1ZHMy3vVUd_0MrSduXTe1etBb1HNpAlGwQr006ljwMiM"",
      ""GSC最新!A:R""
    ),
    18,
    FALSE
  ),
  0
)
"),"")</f>
        <v/>
      </c>
      <c r="AD131" s="52">
        <f t="shared" ref="AD131:AE131" si="650">Z131-AB131</f>
        <v>8</v>
      </c>
      <c r="AE131" s="52">
        <f t="shared" si="650"/>
        <v>8</v>
      </c>
      <c r="AF131" s="53">
        <f>IFERROR(__xludf.DUMMYFUNCTION("IFERROR(
  VLOOKUP(
    A131,
    IMPORTRANGE(
      ""1ZHMy3vVUd_0MrSduXTe1etBb1HNpAlGwQr006ljwMiM"",
      ""GSC最新!A:F""
    ),
    6,
    FALSE
  ),
  0
)
"),46081.0)</f>
        <v>46081</v>
      </c>
      <c r="AG131" s="54">
        <f>IFERROR(__xludf.DUMMYFUNCTION("IFERROR(
  VLOOKUP(
    A131,
    IMPORTRANGE(
      ""1SCYQd7_cobOYqT0r_F0IqD4tE4rYn5y8Eup4PJTH8es"",
      ""Snapshot!A:M""
    ),
    5,
    FALSE
  ),
  ""-""
)
"),0.0)</f>
        <v>0</v>
      </c>
      <c r="AH131" s="54">
        <f>IFERROR(__xludf.DUMMYFUNCTION("IFERROR(
  VLOOKUP(
    A131,
    IMPORTRANGE(
      ""1SCYQd7_cobOYqT0r_F0IqD4tE4rYn5y8Eup4PJTH8es"",
      ""Snapshot!A:M""
    ),
    6,
    FALSE
  ),
  0
)
"),0.0)</f>
        <v>0</v>
      </c>
      <c r="AI131" s="54">
        <f>IFERROR(__xludf.DUMMYFUNCTION("IFERROR(
  VLOOKUP(
    A131,
    IMPORTRANGE(
      ""1SCYQd7_cobOYqT0r_F0IqD4tE4rYn5y8Eup4PJTH8es"",
      ""Snapshot!A:M""
    ),
    7,
    FALSE
  ),
  0
)
"),16.0)</f>
        <v>16</v>
      </c>
      <c r="AJ131" s="54">
        <f>IFERROR(__xludf.DUMMYFUNCTION("IFERROR(
  VLOOKUP(
    A131,
    IMPORTRANGE(
      ""1SCYQd7_cobOYqT0r_F0IqD4tE4rYn5y8Eup4PJTH8es"",
      ""Snapshot!A:M""
    ),
    8,
    FALSE
  ),
  0
)
"),0.0)</f>
        <v>0</v>
      </c>
      <c r="AK131" s="54">
        <f>IFERROR(__xludf.DUMMYFUNCTION("IFERROR(
  VLOOKUP(
    A131,
    IMPORTRANGE(
      ""1SCYQd7_cobOYqT0r_F0IqD4tE4rYn5y8Eup4PJTH8es"",
      ""Snapshot!A:M""
    ),
    9,
    FALSE
  ),
  0
)
"),1.0)</f>
        <v>1</v>
      </c>
      <c r="AL131" s="54">
        <f>IFERROR(__xludf.DUMMYFUNCTION("IFERROR(
  VLOOKUP(
    A131,
    IMPORTRANGE(
      ""1SCYQd7_cobOYqT0r_F0IqD4tE4rYn5y8Eup4PJTH8es"",
      ""Snapshot!A:M""
    ),
    13,
    FALSE
  ),
  0
)
"),2.0)</f>
        <v>2</v>
      </c>
    </row>
    <row r="132">
      <c r="A132" s="3" t="s">
        <v>459</v>
      </c>
      <c r="B132" s="1" t="str">
        <f>IFERROR(__xludf.DUMMYFUNCTION("IFERROR(
  VLOOKUP(
    A132,
    IMPORTRANGE(
      ""1ZygntHC1J6IxzKbTidmOyf5nUyW4GCLurHCjexrLm_o"",
      ""HTMLキャッシュ!A:F""
    ),
    2,
    FALSE
  ),
  0
)
"),"SC")</f>
        <v>SC</v>
      </c>
      <c r="C132" s="1" t="str">
        <f>IFERROR(__xludf.DUMMYFUNCTION("IFERROR(
  VLOOKUP(
    A132,
    IMPORTRANGE(
      ""1ZygntHC1J6IxzKbTidmOyf5nUyW4GCLurHCjexrLm_o"",
      ""HTMLキャッシュ!A:F""
    ),
    5,
    FALSE
  ),
  0
)
"),"中学受験における算数、文章題の勉強法 - 中学受験専門 夏井算数塾")</f>
        <v>中学受験における算数、文章題の勉強法 - 中学受験専門 夏井算数塾</v>
      </c>
      <c r="D132" s="1" t="str">
        <f>IFERROR(__xludf.DUMMYFUNCTION("IFERROR(
  VLOOKUP(
    A132,
    IMPORTRANGE(
      ""1ZygntHC1J6IxzKbTidmOyf5nUyW4GCLurHCjexrLm_o        "",
      ""HTMLキャッシュ!A:F""
    ),
    6,
    FALSE
  ),
  0
)
"),"中学受験算数の文章題克服法を解説！原因を特定して解決し、繰り返し学習で読解力を強化。苦手分野を減らし、合格への一歩を進めましょう！")</f>
        <v>中学受験算数の文章題克服法を解説！原因を特定して解決し、繰り返し学習で読解力を強化。苦手分野を減らし、合格への一歩を進めましょう！</v>
      </c>
      <c r="E132" s="49">
        <f t="shared" ref="E132:F132" si="651">LEN(C132)</f>
        <v>33</v>
      </c>
      <c r="F132" s="49">
        <f t="shared" si="651"/>
        <v>65</v>
      </c>
      <c r="G132" s="32">
        <f>IFERROR(__xludf.DUMMYFUNCTION("IFERROR(
  VLOOKUP(
    A132,
    IMPORTRANGE(
      ""1ZygntHC1J6IxzKbTidmOyf5nUyW4GCLurHCjexrLm_o        "",
      ""HTMLキャッシュ!A:F""
    ),
    3,
    FALSE
  ),
  0
)
"),46048.66774305556)</f>
        <v>46048.66774</v>
      </c>
      <c r="H132" s="54">
        <f>IFERROR(__xludf.DUMMYFUNCTION("IFERROR(
  VLOOKUP(
    A132,
    IMPORTRANGE(
      ""1ZHMy3vVUd_0MrSduXTe1etBb1HNpAlGwQr006ljwMiM"",
      ""GSC最新!A:F""
    ),
    2,
    FALSE
  ),
  0
)
"),0.0)</f>
        <v>0</v>
      </c>
      <c r="I132" s="54">
        <f>IFERROR(__xludf.DUMMYFUNCTION("IFERROR(
  VLOOKUP(
    A132,
    IMPORTRANGE(
      ""1ZHMy3vVUd_0MrSduXTe1etBb1HNpAlGwQr006ljwMiM"",
      ""GSC最新!A:F""
    ),
    3,
    FALSE
  ),
  0
)
"),0.0)</f>
        <v>0</v>
      </c>
      <c r="J132" s="54">
        <f>IFERROR(__xludf.DUMMYFUNCTION("IFERROR(
  VLOOKUP(
    A132,
    IMPORTRANGE(
      ""1ZHMy3vVUd_0MrSduXTe1etBb1HNpAlGwQr006ljwMiM"",
      ""GSC最新!A:F""
    ),
    4,
    FALSE
  ),
  0
)
"),2.0)</f>
        <v>2</v>
      </c>
      <c r="K132" s="54">
        <f>IFERROR(__xludf.DUMMYFUNCTION("IFERROR(
  VLOOKUP(
    A132,
    IMPORTRANGE(
      ""1ZHMy3vVUd_0MrSduXTe1etBb1HNpAlGwQr006ljwMiM"",
      ""GSC最新!A:F""
    ),
    5,
    FALSE
  ),
  0
)
"),3.0)</f>
        <v>3</v>
      </c>
      <c r="L132" s="50">
        <f t="shared" ref="L132:M132" si="652">IFERROR(H132/J132,"-")</f>
        <v>0</v>
      </c>
      <c r="M132" s="50">
        <f t="shared" si="652"/>
        <v>0</v>
      </c>
      <c r="N132" s="59">
        <f>IFERROR(__xludf.DUMMYFUNCTION("IFERROR(
  VLOOKUP(
    A132,
    IMPORTRANGE(
      ""1ZHMy3vVUd_0MrSduXTe1etBb1HNpAlGwQr006ljwMiM"",
      ""GSC最新!A:R""
    ),
    7,
    FALSE
  ),
  0
)
"),1.0)</f>
        <v>1</v>
      </c>
      <c r="O132" s="59">
        <f>IFERROR(__xludf.DUMMYFUNCTION("IFERROR(
  VLOOKUP(
    A132,
    IMPORTRANGE(
      ""1ZHMy3vVUd_0MrSduXTe1etBb1HNpAlGwQr006ljwMiM"",
      ""GSC最新!A:R""
    ),
    10,
    FALSE
  ),
  0
)
"),2.0)</f>
        <v>2</v>
      </c>
      <c r="P132" s="59">
        <f>IFERROR(__xludf.DUMMYFUNCTION("IFERROR(
  VLOOKUP(
    A132,
    IMPORTRANGE(
      ""1ZHMy3vVUd_0MrSduXTe1etBb1HNpAlGwQr006ljwMiM"",
      ""GSC最新!A:R""
    ),
    13,
    FALSE
  ),
  0
)
"),32.0)</f>
        <v>32</v>
      </c>
      <c r="Q132" s="59">
        <f>IFERROR(__xludf.DUMMYFUNCTION("IFERROR(
  VLOOKUP(
    A132,
    IMPORTRANGE(
      ""1ZHMy3vVUd_0MrSduXTe1etBb1HNpAlGwQr006ljwMiM"",
      ""GSC最新!A:R""
    ),
    16,
    FALSE
  ),
  0
)
"),88.0)</f>
        <v>88</v>
      </c>
      <c r="R132" s="50">
        <f t="shared" ref="R132:S132" si="653">IFERROR(N132/P132,"-")</f>
        <v>0.03125</v>
      </c>
      <c r="S132" s="50">
        <f t="shared" si="653"/>
        <v>0.02272727273</v>
      </c>
      <c r="T132" s="60">
        <f>IFERROR(__xludf.DUMMYFUNCTION("IFERROR(
  VLOOKUP(
    A132,
    IMPORTRANGE(
      ""1ZHMy3vVUd_0MrSduXTe1etBb1HNpAlGwQr006ljwMiM"",
      ""GSC最新!A:R""
    ),
    8,
    FALSE
  ),
  0
)
"),0.0)</f>
        <v>0</v>
      </c>
      <c r="U132" s="60">
        <f>IFERROR(__xludf.DUMMYFUNCTION("IFERROR(
  VLOOKUP(
    A132,
    IMPORTRANGE(
      ""1ZHMy3vVUd_0MrSduXTe1etBb1HNpAlGwQr006ljwMiM"",
      ""GSC最新!A:R""
    ),
    11,
    FALSE
  ),
  0
)
"),0.0)</f>
        <v>0</v>
      </c>
      <c r="V132" s="60">
        <f>IFERROR(__xludf.DUMMYFUNCTION("IFERROR(
  VLOOKUP(
    A132,
    IMPORTRANGE(
      ""1ZHMy3vVUd_0MrSduXTe1etBb1HNpAlGwQr006ljwMiM"",
      ""GSC最新!A:R""
    ),
    14,
    FALSE
  ),
  0
)
"),0.0625)</f>
        <v>0.0625</v>
      </c>
      <c r="W132" s="60">
        <f>IFERROR(__xludf.DUMMYFUNCTION("IFERROR(
  VLOOKUP(
    A132,
    IMPORTRANGE(
      ""1ZHMy3vVUd_0MrSduXTe1etBb1HNpAlGwQr006ljwMiM"",
      ""GSC最新!A:R""
    ),
    17,
    FALSE
  ),
  0
)
"),0.03409090909090909)</f>
        <v>0.03409090909</v>
      </c>
      <c r="X132" s="60">
        <f t="shared" ref="X132:Y132" si="654">IFERROR(T132-V132,"-")</f>
        <v>-0.0625</v>
      </c>
      <c r="Y132" s="60">
        <f t="shared" si="654"/>
        <v>-0.03409090909</v>
      </c>
      <c r="Z132" s="52">
        <f>IFERROR(__xludf.DUMMYFUNCTION("IFERROR(
  VLOOKUP(
    A132,
    IMPORTRANGE(
      ""1ZHMy3vVUd_0MrSduXTe1etBb1HNpAlGwQr006ljwMiM"",
      ""GSC最新!A:R""
    ),
    9,
    FALSE
  ),
  0
)
"),10.0)</f>
        <v>10</v>
      </c>
      <c r="AA132" s="52">
        <f>IFERROR(__xludf.DUMMYFUNCTION("IFERROR(
  VLOOKUP(
    A132,
    IMPORTRANGE(
      ""1ZHMy3vVUd_0MrSduXTe1etBb1HNpAlGwQr006ljwMiM"",
      ""GSC最新!A:R""
    ),
    12,
    FALSE
  ),
  0
)
"),9.0)</f>
        <v>9</v>
      </c>
      <c r="AB132" s="52">
        <f>IFERROR(__xludf.DUMMYFUNCTION("IFERROR(
  VLOOKUP(
    A132,
    IMPORTRANGE(
      ""1ZHMy3vVUd_0MrSduXTe1etBb1HNpAlGwQr006ljwMiM"",
      ""GSC最新!A:R""
    ),
    15,
    FALSE
  ),
  0
)
"),51.78125)</f>
        <v>51.78125</v>
      </c>
      <c r="AC132" s="52">
        <f>IFERROR(__xludf.DUMMYFUNCTION("IFERROR(
  VLOOKUP(
    A132,
    IMPORTRANGE(
      ""1ZHMy3vVUd_0MrSduXTe1etBb1HNpAlGwQr006ljwMiM"",
      ""GSC最新!A:R""
    ),
    18,
    FALSE
  ),
  0
)
"),55.11363636363637)</f>
        <v>55.11363636</v>
      </c>
      <c r="AD132" s="52">
        <f t="shared" ref="AD132:AE132" si="655">Z132-AB132</f>
        <v>-41.78125</v>
      </c>
      <c r="AE132" s="52">
        <f t="shared" si="655"/>
        <v>-46.11363636</v>
      </c>
      <c r="AF132" s="53">
        <f>IFERROR(__xludf.DUMMYFUNCTION("IFERROR(
  VLOOKUP(
    A132,
    IMPORTRANGE(
      ""1ZHMy3vVUd_0MrSduXTe1etBb1HNpAlGwQr006ljwMiM"",
      ""GSC最新!A:F""
    ),
    6,
    FALSE
  ),
  0
)
"),46081.0)</f>
        <v>46081</v>
      </c>
      <c r="AG132" s="54">
        <f>IFERROR(__xludf.DUMMYFUNCTION("IFERROR(
  VLOOKUP(
    A132,
    IMPORTRANGE(
      ""1SCYQd7_cobOYqT0r_F0IqD4tE4rYn5y8Eup4PJTH8es"",
      ""Snapshot!A:M""
    ),
    5,
    FALSE
  ),
  ""-""
)
"),6.0)</f>
        <v>6</v>
      </c>
      <c r="AH132" s="54">
        <f>IFERROR(__xludf.DUMMYFUNCTION("IFERROR(
  VLOOKUP(
    A132,
    IMPORTRANGE(
      ""1SCYQd7_cobOYqT0r_F0IqD4tE4rYn5y8Eup4PJTH8es"",
      ""Snapshot!A:M""
    ),
    6,
    FALSE
  ),
  0
)
"),3.0)</f>
        <v>3</v>
      </c>
      <c r="AI132" s="54">
        <f>IFERROR(__xludf.DUMMYFUNCTION("IFERROR(
  VLOOKUP(
    A132,
    IMPORTRANGE(
      ""1SCYQd7_cobOYqT0r_F0IqD4tE4rYn5y8Eup4PJTH8es"",
      ""Snapshot!A:M""
    ),
    7,
    FALSE
  ),
  0
)
"),2609.0)</f>
        <v>2609</v>
      </c>
      <c r="AJ132" s="54">
        <f>IFERROR(__xludf.DUMMYFUNCTION("IFERROR(
  VLOOKUP(
    A132,
    IMPORTRANGE(
      ""1SCYQd7_cobOYqT0r_F0IqD4tE4rYn5y8Eup4PJTH8es"",
      ""Snapshot!A:M""
    ),
    8,
    FALSE
  ),
  0
)
"),4.0)</f>
        <v>4</v>
      </c>
      <c r="AK132" s="54">
        <f>IFERROR(__xludf.DUMMYFUNCTION("IFERROR(
  VLOOKUP(
    A132,
    IMPORTRANGE(
      ""1SCYQd7_cobOYqT0r_F0IqD4tE4rYn5y8Eup4PJTH8es"",
      ""Snapshot!A:M""
    ),
    9,
    FALSE
  ),
  0
)
"),1.0)</f>
        <v>1</v>
      </c>
      <c r="AL132" s="54">
        <f>IFERROR(__xludf.DUMMYFUNCTION("IFERROR(
  VLOOKUP(
    A132,
    IMPORTRANGE(
      ""1SCYQd7_cobOYqT0r_F0IqD4tE4rYn5y8Eup4PJTH8es"",
      ""Snapshot!A:M""
    ),
    13,
    FALSE
  ),
  0
)
"),2.0)</f>
        <v>2</v>
      </c>
    </row>
    <row r="133">
      <c r="A133" s="3" t="s">
        <v>460</v>
      </c>
      <c r="B133" s="1" t="str">
        <f>IFERROR(__xludf.DUMMYFUNCTION("IFERROR(
  VLOOKUP(
    A133,
    IMPORTRANGE(
      ""1ZygntHC1J6IxzKbTidmOyf5nUyW4GCLurHCjexrLm_o"",
      ""HTMLキャッシュ!A:F""
    ),
    2,
    FALSE
  ),
  0
)
"),"SC")</f>
        <v>SC</v>
      </c>
      <c r="C133" s="1" t="str">
        <f>IFERROR(__xludf.DUMMYFUNCTION("IFERROR(
  VLOOKUP(
    A133,
    IMPORTRANGE(
      ""1ZygntHC1J6IxzKbTidmOyf5nUyW4GCLurHCjexrLm_o"",
      ""HTMLキャッシュ!A:F""
    ),
    5,
    FALSE
  ),
  0
)
"),"算数オンライン学習で成績アップ！──「オンライン算数 個別指導」で中学受験に備える方法 - 中学受験専門 夏井算数塾")</f>
        <v>算数オンライン学習で成績アップ！──「オンライン算数 個別指導」で中学受験に備える方法 - 中学受験専門 夏井算数塾</v>
      </c>
      <c r="D133" s="1" t="str">
        <f>IFERROR(__xludf.DUMMYFUNCTION("IFERROR(
  VLOOKUP(
    A133,
    IMPORTRANGE(
      ""1ZygntHC1J6IxzKbTidmOyf5nUyW4GCLurHCjexrLm_o        "",
      ""HTMLキャッシュ!A:F""
    ),
    6,
    FALSE
  ),
  0
)
"),"算数をオンラインで学ぶメリットから、学校フォロー・苦手克服・中学受験対策までを一気に整理。「オンライン算数 個別指導」「中学受験算数オンライン」の活用法や、偏差値アップにつながる習慣化のコツも具体的に解説します。")</f>
        <v>算数をオンラインで学ぶメリットから、学校フォロー・苦手克服・中学受験対策までを一気に整理。「オンライン算数 個別指導」「中学受験算数オンライン」の活用法や、偏差値アップにつながる習慣化のコツも具体的に解説します。</v>
      </c>
      <c r="E133" s="49">
        <f t="shared" ref="E133:F133" si="656">LEN(C133)</f>
        <v>58</v>
      </c>
      <c r="F133" s="49">
        <f t="shared" si="656"/>
        <v>106</v>
      </c>
      <c r="G133" s="32">
        <f>IFERROR(__xludf.DUMMYFUNCTION("IFERROR(
  VLOOKUP(
    A133,
    IMPORTRANGE(
      ""1ZygntHC1J6IxzKbTidmOyf5nUyW4GCLurHCjexrLm_o        "",
      ""HTMLキャッシュ!A:F""
    ),
    3,
    FALSE
  ),
  0
)
"),46069.849490740744)</f>
        <v>46069.84949</v>
      </c>
      <c r="H133" s="54">
        <f>IFERROR(__xludf.DUMMYFUNCTION("IFERROR(
  VLOOKUP(
    A133,
    IMPORTRANGE(
      ""1ZHMy3vVUd_0MrSduXTe1etBb1HNpAlGwQr006ljwMiM"",
      ""GSC最新!A:F""
    ),
    2,
    FALSE
  ),
  0
)
"),0.0)</f>
        <v>0</v>
      </c>
      <c r="I133" s="54">
        <f>IFERROR(__xludf.DUMMYFUNCTION("IFERROR(
  VLOOKUP(
    A133,
    IMPORTRANGE(
      ""1ZHMy3vVUd_0MrSduXTe1etBb1HNpAlGwQr006ljwMiM"",
      ""GSC最新!A:F""
    ),
    3,
    FALSE
  ),
  0
)
"),0.0)</f>
        <v>0</v>
      </c>
      <c r="J133" s="54">
        <f>IFERROR(__xludf.DUMMYFUNCTION("IFERROR(
  VLOOKUP(
    A133,
    IMPORTRANGE(
      ""1ZHMy3vVUd_0MrSduXTe1etBb1HNpAlGwQr006ljwMiM"",
      ""GSC最新!A:F""
    ),
    4,
    FALSE
  ),
  0
)
"),0.0)</f>
        <v>0</v>
      </c>
      <c r="K133" s="54">
        <f>IFERROR(__xludf.DUMMYFUNCTION("IFERROR(
  VLOOKUP(
    A133,
    IMPORTRANGE(
      ""1ZHMy3vVUd_0MrSduXTe1etBb1HNpAlGwQr006ljwMiM"",
      ""GSC最新!A:F""
    ),
    5,
    FALSE
  ),
  0
)
"),0.0)</f>
        <v>0</v>
      </c>
      <c r="L133" s="50" t="str">
        <f t="shared" ref="L133:M133" si="657">IFERROR(H133/J133,"-")</f>
        <v>-</v>
      </c>
      <c r="M133" s="50" t="str">
        <f t="shared" si="657"/>
        <v>-</v>
      </c>
      <c r="N133" s="59">
        <f>IFERROR(__xludf.DUMMYFUNCTION("IFERROR(
  VLOOKUP(
    A133,
    IMPORTRANGE(
      ""1ZHMy3vVUd_0MrSduXTe1etBb1HNpAlGwQr006ljwMiM"",
      ""GSC最新!A:R""
    ),
    7,
    FALSE
  ),
  0
)
"),1.0)</f>
        <v>1</v>
      </c>
      <c r="O133" s="59">
        <f>IFERROR(__xludf.DUMMYFUNCTION("IFERROR(
  VLOOKUP(
    A133,
    IMPORTRANGE(
      ""1ZHMy3vVUd_0MrSduXTe1etBb1HNpAlGwQr006ljwMiM"",
      ""GSC最新!A:R""
    ),
    10,
    FALSE
  ),
  0
)
"),1.0)</f>
        <v>1</v>
      </c>
      <c r="P133" s="59">
        <f>IFERROR(__xludf.DUMMYFUNCTION("IFERROR(
  VLOOKUP(
    A133,
    IMPORTRANGE(
      ""1ZHMy3vVUd_0MrSduXTe1etBb1HNpAlGwQr006ljwMiM"",
      ""GSC最新!A:R""
    ),
    13,
    FALSE
  ),
  0
)
"),0.0)</f>
        <v>0</v>
      </c>
      <c r="Q133" s="59">
        <f>IFERROR(__xludf.DUMMYFUNCTION("IFERROR(
  VLOOKUP(
    A133,
    IMPORTRANGE(
      ""1ZHMy3vVUd_0MrSduXTe1etBb1HNpAlGwQr006ljwMiM"",
      ""GSC最新!A:R""
    ),
    16,
    FALSE
  ),
  0
)
"),0.0)</f>
        <v>0</v>
      </c>
      <c r="R133" s="50" t="str">
        <f t="shared" ref="R133:S133" si="658">IFERROR(N133/P133,"-")</f>
        <v>-</v>
      </c>
      <c r="S133" s="50" t="str">
        <f t="shared" si="658"/>
        <v>-</v>
      </c>
      <c r="T133" s="60">
        <f>IFERROR(__xludf.DUMMYFUNCTION("IFERROR(
  VLOOKUP(
    A133,
    IMPORTRANGE(
      ""1ZHMy3vVUd_0MrSduXTe1etBb1HNpAlGwQr006ljwMiM"",
      ""GSC最新!A:R""
    ),
    8,
    FALSE
  ),
  0
)
"),0.0)</f>
        <v>0</v>
      </c>
      <c r="U133" s="60">
        <f>IFERROR(__xludf.DUMMYFUNCTION("IFERROR(
  VLOOKUP(
    A133,
    IMPORTRANGE(
      ""1ZHMy3vVUd_0MrSduXTe1etBb1HNpAlGwQr006ljwMiM"",
      ""GSC最新!A:R""
    ),
    11,
    FALSE
  ),
  0
)
"),0.0)</f>
        <v>0</v>
      </c>
      <c r="V133" s="60">
        <f>IFERROR(__xludf.DUMMYFUNCTION("IFERROR(
  VLOOKUP(
    A133,
    IMPORTRANGE(
      ""1ZHMy3vVUd_0MrSduXTe1etBb1HNpAlGwQr006ljwMiM"",
      ""GSC最新!A:R""
    ),
    14,
    FALSE
  ),
  0
)
"),0.0)</f>
        <v>0</v>
      </c>
      <c r="W133" s="60">
        <f>IFERROR(__xludf.DUMMYFUNCTION("IFERROR(
  VLOOKUP(
    A133,
    IMPORTRANGE(
      ""1ZHMy3vVUd_0MrSduXTe1etBb1HNpAlGwQr006ljwMiM"",
      ""GSC最新!A:R""
    ),
    17,
    FALSE
  ),
  0
)
"),0.0)</f>
        <v>0</v>
      </c>
      <c r="X133" s="60">
        <f t="shared" ref="X133:Y133" si="659">IFERROR(T133-V133,"-")</f>
        <v>0</v>
      </c>
      <c r="Y133" s="60">
        <f t="shared" si="659"/>
        <v>0</v>
      </c>
      <c r="Z133" s="52">
        <f>IFERROR(__xludf.DUMMYFUNCTION("IFERROR(
  VLOOKUP(
    A133,
    IMPORTRANGE(
      ""1ZHMy3vVUd_0MrSduXTe1etBb1HNpAlGwQr006ljwMiM"",
      ""GSC最新!A:R""
    ),
    9,
    FALSE
  ),
  0
)
"),30.0)</f>
        <v>30</v>
      </c>
      <c r="AA133" s="52">
        <f>IFERROR(__xludf.DUMMYFUNCTION("IFERROR(
  VLOOKUP(
    A133,
    IMPORTRANGE(
      ""1ZHMy3vVUd_0MrSduXTe1etBb1HNpAlGwQr006ljwMiM"",
      ""GSC最新!A:R""
    ),
    12,
    FALSE
  ),
  0
)
"),30.0)</f>
        <v>30</v>
      </c>
      <c r="AB133" s="52" t="str">
        <f>IFERROR(__xludf.DUMMYFUNCTION("IFERROR(
  VLOOKUP(
    A133,
    IMPORTRANGE(
      ""1ZHMy3vVUd_0MrSduXTe1etBb1HNpAlGwQr006ljwMiM"",
      ""GSC最新!A:R""
    ),
    15,
    FALSE
  ),
  0
)
"),"")</f>
        <v/>
      </c>
      <c r="AC133" s="52" t="str">
        <f>IFERROR(__xludf.DUMMYFUNCTION("IFERROR(
  VLOOKUP(
    A133,
    IMPORTRANGE(
      ""1ZHMy3vVUd_0MrSduXTe1etBb1HNpAlGwQr006ljwMiM"",
      ""GSC最新!A:R""
    ),
    18,
    FALSE
  ),
  0
)
"),"")</f>
        <v/>
      </c>
      <c r="AD133" s="52">
        <f t="shared" ref="AD133:AE133" si="660">Z133-AB133</f>
        <v>30</v>
      </c>
      <c r="AE133" s="52">
        <f t="shared" si="660"/>
        <v>30</v>
      </c>
      <c r="AF133" s="53">
        <f>IFERROR(__xludf.DUMMYFUNCTION("IFERROR(
  VLOOKUP(
    A133,
    IMPORTRANGE(
      ""1ZHMy3vVUd_0MrSduXTe1etBb1HNpAlGwQr006ljwMiM"",
      ""GSC最新!A:F""
    ),
    6,
    FALSE
  ),
  0
)
"),46081.0)</f>
        <v>46081</v>
      </c>
      <c r="AG133" s="54">
        <f>IFERROR(__xludf.DUMMYFUNCTION("IFERROR(
  VLOOKUP(
    A133,
    IMPORTRANGE(
      ""1SCYQd7_cobOYqT0r_F0IqD4tE4rYn5y8Eup4PJTH8es"",
      ""Snapshot!A:M""
    ),
    5,
    FALSE
  ),
  ""-""
)
"),9.0)</f>
        <v>9</v>
      </c>
      <c r="AH133" s="54">
        <f>IFERROR(__xludf.DUMMYFUNCTION("IFERROR(
  VLOOKUP(
    A133,
    IMPORTRANGE(
      ""1SCYQd7_cobOYqT0r_F0IqD4tE4rYn5y8Eup4PJTH8es"",
      ""Snapshot!A:M""
    ),
    6,
    FALSE
  ),
  0
)
"),5.0)</f>
        <v>5</v>
      </c>
      <c r="AI133" s="54">
        <f>IFERROR(__xludf.DUMMYFUNCTION("IFERROR(
  VLOOKUP(
    A133,
    IMPORTRANGE(
      ""1SCYQd7_cobOYqT0r_F0IqD4tE4rYn5y8Eup4PJTH8es"",
      ""Snapshot!A:M""
    ),
    7,
    FALSE
  ),
  0
)
"),4131.0)</f>
        <v>4131</v>
      </c>
      <c r="AJ133" s="54">
        <f>IFERROR(__xludf.DUMMYFUNCTION("IFERROR(
  VLOOKUP(
    A133,
    IMPORTRANGE(
      ""1SCYQd7_cobOYqT0r_F0IqD4tE4rYn5y8Eup4PJTH8es"",
      ""Snapshot!A:M""
    ),
    8,
    FALSE
  ),
  0
)
"),4.0)</f>
        <v>4</v>
      </c>
      <c r="AK133" s="54">
        <f>IFERROR(__xludf.DUMMYFUNCTION("IFERROR(
  VLOOKUP(
    A133,
    IMPORTRANGE(
      ""1SCYQd7_cobOYqT0r_F0IqD4tE4rYn5y8Eup4PJTH8es"",
      ""Snapshot!A:M""
    ),
    9,
    FALSE
  ),
  0
)
"),2.0)</f>
        <v>2</v>
      </c>
      <c r="AL133" s="54">
        <f>IFERROR(__xludf.DUMMYFUNCTION("IFERROR(
  VLOOKUP(
    A133,
    IMPORTRANGE(
      ""1SCYQd7_cobOYqT0r_F0IqD4tE4rYn5y8Eup4PJTH8es"",
      ""Snapshot!A:M""
    ),
    13,
    FALSE
  ),
  0
)
"),3.0)</f>
        <v>3</v>
      </c>
    </row>
    <row r="134">
      <c r="A134" s="3" t="s">
        <v>461</v>
      </c>
      <c r="B134" s="1" t="str">
        <f>IFERROR(__xludf.DUMMYFUNCTION("IFERROR(
  VLOOKUP(
    A134,
    IMPORTRANGE(
      ""1ZygntHC1J6IxzKbTidmOyf5nUyW4GCLurHCjexrLm_o"",
      ""HTMLキャッシュ!A:F""
    ),
    2,
    FALSE
  ),
  0
)
"),"NW")</f>
        <v>NW</v>
      </c>
      <c r="C134" s="1" t="str">
        <f>IFERROR(__xludf.DUMMYFUNCTION("IFERROR(
  VLOOKUP(
    A134,
    IMPORTRANGE(
      ""1ZygntHC1J6IxzKbTidmOyf5nUyW4GCLurHCjexrLm_o"",
      ""HTMLキャッシュ!A:F""
    ),
    5,
    FALSE
  ),
  0
)
"),"2019年度春期講習会開催のお知らせ - 中学受験専門 夏井算数塾")</f>
        <v>2019年度春期講習会開催のお知らせ - 中学受験専門 夏井算数塾</v>
      </c>
      <c r="D134" s="1" t="str">
        <f>IFERROR(__xludf.DUMMYFUNCTION("IFERROR(
  VLOOKUP(
    A134,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34" s="49">
        <f t="shared" ref="E134:F134" si="661">LEN(C134)</f>
        <v>33</v>
      </c>
      <c r="F134" s="49">
        <f t="shared" si="661"/>
        <v>55</v>
      </c>
      <c r="G134" s="32">
        <f>IFERROR(__xludf.DUMMYFUNCTION("IFERROR(
  VLOOKUP(
    A134,
    IMPORTRANGE(
      ""1ZygntHC1J6IxzKbTidmOyf5nUyW4GCLurHCjexrLm_o        "",
      ""HTMLキャッシュ!A:F""
    ),
    3,
    FALSE
  ),
  0
)
"),43527.701469907406)</f>
        <v>43527.70147</v>
      </c>
      <c r="H134" s="54">
        <f>IFERROR(__xludf.DUMMYFUNCTION("IFERROR(
  VLOOKUP(
    A134,
    IMPORTRANGE(
      ""1ZHMy3vVUd_0MrSduXTe1etBb1HNpAlGwQr006ljwMiM"",
      ""GSC最新!A:F""
    ),
    2,
    FALSE
  ),
  0
)
"),0.0)</f>
        <v>0</v>
      </c>
      <c r="I134" s="54">
        <f>IFERROR(__xludf.DUMMYFUNCTION("IFERROR(
  VLOOKUP(
    A134,
    IMPORTRANGE(
      ""1ZHMy3vVUd_0MrSduXTe1etBb1HNpAlGwQr006ljwMiM"",
      ""GSC最新!A:F""
    ),
    3,
    FALSE
  ),
  0
)
"),0.0)</f>
        <v>0</v>
      </c>
      <c r="J134" s="54">
        <f>IFERROR(__xludf.DUMMYFUNCTION("IFERROR(
  VLOOKUP(
    A134,
    IMPORTRANGE(
      ""1ZHMy3vVUd_0MrSduXTe1etBb1HNpAlGwQr006ljwMiM"",
      ""GSC最新!A:F""
    ),
    4,
    FALSE
  ),
  0
)
"),0.0)</f>
        <v>0</v>
      </c>
      <c r="K134" s="54">
        <f>IFERROR(__xludf.DUMMYFUNCTION("IFERROR(
  VLOOKUP(
    A134,
    IMPORTRANGE(
      ""1ZHMy3vVUd_0MrSduXTe1etBb1HNpAlGwQr006ljwMiM"",
      ""GSC最新!A:F""
    ),
    5,
    FALSE
  ),
  0
)
"),0.0)</f>
        <v>0</v>
      </c>
      <c r="L134" s="50" t="str">
        <f t="shared" ref="L134:M134" si="662">IFERROR(H134/J134,"-")</f>
        <v>-</v>
      </c>
      <c r="M134" s="50" t="str">
        <f t="shared" si="662"/>
        <v>-</v>
      </c>
      <c r="N134" s="59">
        <f>IFERROR(__xludf.DUMMYFUNCTION("IFERROR(
  VLOOKUP(
    A134,
    IMPORTRANGE(
      ""1ZHMy3vVUd_0MrSduXTe1etBb1HNpAlGwQr006ljwMiM"",
      ""GSC最新!A:R""
    ),
    7,
    FALSE
  ),
  0
)
"),1.0)</f>
        <v>1</v>
      </c>
      <c r="O134" s="59">
        <f>IFERROR(__xludf.DUMMYFUNCTION("IFERROR(
  VLOOKUP(
    A134,
    IMPORTRANGE(
      ""1ZHMy3vVUd_0MrSduXTe1etBb1HNpAlGwQr006ljwMiM"",
      ""GSC最新!A:R""
    ),
    10,
    FALSE
  ),
  0
)
"),2.0)</f>
        <v>2</v>
      </c>
      <c r="P134" s="59">
        <f>IFERROR(__xludf.DUMMYFUNCTION("IFERROR(
  VLOOKUP(
    A134,
    IMPORTRANGE(
      ""1ZHMy3vVUd_0MrSduXTe1etBb1HNpAlGwQr006ljwMiM"",
      ""GSC最新!A:R""
    ),
    13,
    FALSE
  ),
  0
)
"),0.0)</f>
        <v>0</v>
      </c>
      <c r="Q134" s="59">
        <f>IFERROR(__xludf.DUMMYFUNCTION("IFERROR(
  VLOOKUP(
    A134,
    IMPORTRANGE(
      ""1ZHMy3vVUd_0MrSduXTe1etBb1HNpAlGwQr006ljwMiM"",
      ""GSC最新!A:R""
    ),
    16,
    FALSE
  ),
  0
)
"),2.0)</f>
        <v>2</v>
      </c>
      <c r="R134" s="50" t="str">
        <f t="shared" ref="R134:S134" si="663">IFERROR(N134/P134,"-")</f>
        <v>-</v>
      </c>
      <c r="S134" s="50">
        <f t="shared" si="663"/>
        <v>1</v>
      </c>
      <c r="T134" s="60">
        <f>IFERROR(__xludf.DUMMYFUNCTION("IFERROR(
  VLOOKUP(
    A134,
    IMPORTRANGE(
      ""1ZHMy3vVUd_0MrSduXTe1etBb1HNpAlGwQr006ljwMiM"",
      ""GSC最新!A:R""
    ),
    8,
    FALSE
  ),
  0
)
"),0.0)</f>
        <v>0</v>
      </c>
      <c r="U134" s="60">
        <f>IFERROR(__xludf.DUMMYFUNCTION("IFERROR(
  VLOOKUP(
    A134,
    IMPORTRANGE(
      ""1ZHMy3vVUd_0MrSduXTe1etBb1HNpAlGwQr006ljwMiM"",
      ""GSC最新!A:R""
    ),
    11,
    FALSE
  ),
  0
)
"),0.0)</f>
        <v>0</v>
      </c>
      <c r="V134" s="60">
        <f>IFERROR(__xludf.DUMMYFUNCTION("IFERROR(
  VLOOKUP(
    A134,
    IMPORTRANGE(
      ""1ZHMy3vVUd_0MrSduXTe1etBb1HNpAlGwQr006ljwMiM"",
      ""GSC最新!A:R""
    ),
    14,
    FALSE
  ),
  0
)
"),0.0)</f>
        <v>0</v>
      </c>
      <c r="W134" s="60">
        <f>IFERROR(__xludf.DUMMYFUNCTION("IFERROR(
  VLOOKUP(
    A134,
    IMPORTRANGE(
      ""1ZHMy3vVUd_0MrSduXTe1etBb1HNpAlGwQr006ljwMiM"",
      ""GSC最新!A:R""
    ),
    17,
    FALSE
  ),
  0
)
"),0.0)</f>
        <v>0</v>
      </c>
      <c r="X134" s="60">
        <f t="shared" ref="X134:Y134" si="664">IFERROR(T134-V134,"-")</f>
        <v>0</v>
      </c>
      <c r="Y134" s="60">
        <f t="shared" si="664"/>
        <v>0</v>
      </c>
      <c r="Z134" s="52">
        <f>IFERROR(__xludf.DUMMYFUNCTION("IFERROR(
  VLOOKUP(
    A134,
    IMPORTRANGE(
      ""1ZHMy3vVUd_0MrSduXTe1etBb1HNpAlGwQr006ljwMiM"",
      ""GSC最新!A:R""
    ),
    9,
    FALSE
  ),
  0
)
"),3.0)</f>
        <v>3</v>
      </c>
      <c r="AA134" s="52">
        <f>IFERROR(__xludf.DUMMYFUNCTION("IFERROR(
  VLOOKUP(
    A134,
    IMPORTRANGE(
      ""1ZHMy3vVUd_0MrSduXTe1etBb1HNpAlGwQr006ljwMiM"",
      ""GSC最新!A:R""
    ),
    12,
    FALSE
  ),
  0
)
"),5.0)</f>
        <v>5</v>
      </c>
      <c r="AB134" s="52" t="str">
        <f>IFERROR(__xludf.DUMMYFUNCTION("IFERROR(
  VLOOKUP(
    A134,
    IMPORTRANGE(
      ""1ZHMy3vVUd_0MrSduXTe1etBb1HNpAlGwQr006ljwMiM"",
      ""GSC最新!A:R""
    ),
    15,
    FALSE
  ),
  0
)
"),"")</f>
        <v/>
      </c>
      <c r="AC134" s="52">
        <f>IFERROR(__xludf.DUMMYFUNCTION("IFERROR(
  VLOOKUP(
    A134,
    IMPORTRANGE(
      ""1ZHMy3vVUd_0MrSduXTe1etBb1HNpAlGwQr006ljwMiM"",
      ""GSC最新!A:R""
    ),
    18,
    FALSE
  ),
  0
)
"),39.0)</f>
        <v>39</v>
      </c>
      <c r="AD134" s="52">
        <f t="shared" ref="AD134:AE134" si="665">Z134-AB134</f>
        <v>3</v>
      </c>
      <c r="AE134" s="52">
        <f t="shared" si="665"/>
        <v>-34</v>
      </c>
      <c r="AF134" s="53">
        <f>IFERROR(__xludf.DUMMYFUNCTION("IFERROR(
  VLOOKUP(
    A134,
    IMPORTRANGE(
      ""1ZHMy3vVUd_0MrSduXTe1etBb1HNpAlGwQr006ljwMiM"",
      ""GSC最新!A:F""
    ),
    6,
    FALSE
  ),
  0
)
"),46081.0)</f>
        <v>46081</v>
      </c>
      <c r="AG134" s="54">
        <f>IFERROR(__xludf.DUMMYFUNCTION("IFERROR(
  VLOOKUP(
    A134,
    IMPORTRANGE(
      ""1SCYQd7_cobOYqT0r_F0IqD4tE4rYn5y8Eup4PJTH8es"",
      ""Snapshot!A:M""
    ),
    5,
    FALSE
  ),
  ""-""
)
"),0.0)</f>
        <v>0</v>
      </c>
      <c r="AH134" s="54">
        <f>IFERROR(__xludf.DUMMYFUNCTION("IFERROR(
  VLOOKUP(
    A134,
    IMPORTRANGE(
      ""1SCYQd7_cobOYqT0r_F0IqD4tE4rYn5y8Eup4PJTH8es"",
      ""Snapshot!A:M""
    ),
    6,
    FALSE
  ),
  0
)
"),0.0)</f>
        <v>0</v>
      </c>
      <c r="AI134" s="54">
        <f>IFERROR(__xludf.DUMMYFUNCTION("IFERROR(
  VLOOKUP(
    A134,
    IMPORTRANGE(
      ""1SCYQd7_cobOYqT0r_F0IqD4tE4rYn5y8Eup4PJTH8es"",
      ""Snapshot!A:M""
    ),
    7,
    FALSE
  ),
  0
)
"),743.0)</f>
        <v>743</v>
      </c>
      <c r="AJ134" s="54">
        <f>IFERROR(__xludf.DUMMYFUNCTION("IFERROR(
  VLOOKUP(
    A134,
    IMPORTRANGE(
      ""1SCYQd7_cobOYqT0r_F0IqD4tE4rYn5y8Eup4PJTH8es"",
      ""Snapshot!A:M""
    ),
    8,
    FALSE
  ),
  0
)
"),1.0)</f>
        <v>1</v>
      </c>
      <c r="AK134" s="54">
        <f>IFERROR(__xludf.DUMMYFUNCTION("IFERROR(
  VLOOKUP(
    A134,
    IMPORTRANGE(
      ""1SCYQd7_cobOYqT0r_F0IqD4tE4rYn5y8Eup4PJTH8es"",
      ""Snapshot!A:M""
    ),
    9,
    FALSE
  ),
  0
)
"),1.0)</f>
        <v>1</v>
      </c>
      <c r="AL134" s="54">
        <f>IFERROR(__xludf.DUMMYFUNCTION("IFERROR(
  VLOOKUP(
    A134,
    IMPORTRANGE(
      ""1SCYQd7_cobOYqT0r_F0IqD4tE4rYn5y8Eup4PJTH8es"",
      ""Snapshot!A:M""
    ),
    13,
    FALSE
  ),
  0
)
"),2.0)</f>
        <v>2</v>
      </c>
    </row>
    <row r="135">
      <c r="A135" s="1" t="s">
        <v>462</v>
      </c>
      <c r="B135" s="1" t="str">
        <f>IFERROR(__xludf.DUMMYFUNCTION("IFERROR(
  VLOOKUP(
    A135,
    IMPORTRANGE(
      ""1ZygntHC1J6IxzKbTidmOyf5nUyW4GCLurHCjexrLm_o"",
      ""HTMLキャッシュ!A:F""
    ),
    2,
    FALSE
  ),
  0
)
"),"NW")</f>
        <v>NW</v>
      </c>
      <c r="C135" s="1" t="str">
        <f>IFERROR(__xludf.DUMMYFUNCTION("IFERROR(
  VLOOKUP(
    A135,
    IMPORTRANGE(
      ""1ZygntHC1J6IxzKbTidmOyf5nUyW4GCLurHCjexrLm_o"",
      ""HTMLキャッシュ!A:F""
    ),
    5,
    FALSE
  ),
  0
)
"),"2024年度冬期講習のお知らせ【個別指導】 - 中学受験専門 夏井算数塾")</f>
        <v>2024年度冬期講習のお知らせ【個別指導】 - 中学受験専門 夏井算数塾</v>
      </c>
      <c r="D135" s="1" t="str">
        <f>IFERROR(__xludf.DUMMYFUNCTION("IFERROR(
  VLOOKUP(
    A135,
    IMPORTRANGE(
      ""1ZygntHC1J6IxzKbTidmOyf5nUyW4GCLurHCjexrLm_o        "",
      ""HTMLキャッシュ!A:F""
    ),
    6,
    FALSE
  ),
  0
)
"),"夏井塾では、今年も冬期講習会を開催します！ 現在通塾中の塾生はもちろん、普段は他塾に通っている生徒さんも大歓迎")</f>
        <v>夏井塾では、今年も冬期講習会を開催します！ 現在通塾中の塾生はもちろん、普段は他塾に通っている生徒さんも大歓迎</v>
      </c>
      <c r="E135" s="49">
        <f t="shared" ref="E135:F135" si="666">LEN(C135)</f>
        <v>36</v>
      </c>
      <c r="F135" s="49">
        <f t="shared" si="666"/>
        <v>55</v>
      </c>
      <c r="G135" s="32">
        <f>IFERROR(__xludf.DUMMYFUNCTION("IFERROR(
  VLOOKUP(
    A135,
    IMPORTRANGE(
      ""1ZygntHC1J6IxzKbTidmOyf5nUyW4GCLurHCjexrLm_o        "",
      ""HTMLキャッシュ!A:F""
    ),
    3,
    FALSE
  ),
  0
)
"),45643.37913194444)</f>
        <v>45643.37913</v>
      </c>
      <c r="H135" s="54">
        <f>IFERROR(__xludf.DUMMYFUNCTION("IFERROR(
  VLOOKUP(
    A135,
    IMPORTRANGE(
      ""1ZHMy3vVUd_0MrSduXTe1etBb1HNpAlGwQr006ljwMiM"",
      ""GSC最新!A:F""
    ),
    2,
    FALSE
  ),
  0
)
"),0.0)</f>
        <v>0</v>
      </c>
      <c r="I135" s="54">
        <f>IFERROR(__xludf.DUMMYFUNCTION("IFERROR(
  VLOOKUP(
    A135,
    IMPORTRANGE(
      ""1ZHMy3vVUd_0MrSduXTe1etBb1HNpAlGwQr006ljwMiM"",
      ""GSC最新!A:F""
    ),
    3,
    FALSE
  ),
  0
)
"),0.0)</f>
        <v>0</v>
      </c>
      <c r="J135" s="54">
        <f>IFERROR(__xludf.DUMMYFUNCTION("IFERROR(
  VLOOKUP(
    A135,
    IMPORTRANGE(
      ""1ZHMy3vVUd_0MrSduXTe1etBb1HNpAlGwQr006ljwMiM"",
      ""GSC最新!A:F""
    ),
    4,
    FALSE
  ),
  0
)
"),0.0)</f>
        <v>0</v>
      </c>
      <c r="K135" s="54">
        <f>IFERROR(__xludf.DUMMYFUNCTION("IFERROR(
  VLOOKUP(
    A135,
    IMPORTRANGE(
      ""1ZHMy3vVUd_0MrSduXTe1etBb1HNpAlGwQr006ljwMiM"",
      ""GSC最新!A:F""
    ),
    5,
    FALSE
  ),
  0
)
"),1.0)</f>
        <v>1</v>
      </c>
      <c r="L135" s="50" t="str">
        <f t="shared" ref="L135:M135" si="667">IFERROR(H135/J135,"-")</f>
        <v>-</v>
      </c>
      <c r="M135" s="50">
        <f t="shared" si="667"/>
        <v>0</v>
      </c>
      <c r="N135" s="59">
        <f>IFERROR(__xludf.DUMMYFUNCTION("IFERROR(
  VLOOKUP(
    A135,
    IMPORTRANGE(
      ""1ZHMy3vVUd_0MrSduXTe1etBb1HNpAlGwQr006ljwMiM"",
      ""GSC最新!A:R""
    ),
    7,
    FALSE
  ),
  0
)
"),0.0)</f>
        <v>0</v>
      </c>
      <c r="O135" s="59">
        <f>IFERROR(__xludf.DUMMYFUNCTION("IFERROR(
  VLOOKUP(
    A135,
    IMPORTRANGE(
      ""1ZHMy3vVUd_0MrSduXTe1etBb1HNpAlGwQr006ljwMiM"",
      ""GSC最新!A:R""
    ),
    10,
    FALSE
  ),
  0
)
"),2.0)</f>
        <v>2</v>
      </c>
      <c r="P135" s="59">
        <f>IFERROR(__xludf.DUMMYFUNCTION("IFERROR(
  VLOOKUP(
    A135,
    IMPORTRANGE(
      ""1ZHMy3vVUd_0MrSduXTe1etBb1HNpAlGwQr006ljwMiM"",
      ""GSC最新!A:R""
    ),
    13,
    FALSE
  ),
  0
)
"),0.0)</f>
        <v>0</v>
      </c>
      <c r="Q135" s="59">
        <f>IFERROR(__xludf.DUMMYFUNCTION("IFERROR(
  VLOOKUP(
    A135,
    IMPORTRANGE(
      ""1ZHMy3vVUd_0MrSduXTe1etBb1HNpAlGwQr006ljwMiM"",
      ""GSC最新!A:R""
    ),
    16,
    FALSE
  ),
  0
)
"),6.0)</f>
        <v>6</v>
      </c>
      <c r="R135" s="50" t="str">
        <f t="shared" ref="R135:S135" si="668">IFERROR(N135/P135,"-")</f>
        <v>-</v>
      </c>
      <c r="S135" s="50">
        <f t="shared" si="668"/>
        <v>0.3333333333</v>
      </c>
      <c r="T135" s="60">
        <f>IFERROR(__xludf.DUMMYFUNCTION("IFERROR(
  VLOOKUP(
    A135,
    IMPORTRANGE(
      ""1ZHMy3vVUd_0MrSduXTe1etBb1HNpAlGwQr006ljwMiM"",
      ""GSC最新!A:R""
    ),
    8,
    FALSE
  ),
  0
)
"),0.0)</f>
        <v>0</v>
      </c>
      <c r="U135" s="60">
        <f>IFERROR(__xludf.DUMMYFUNCTION("IFERROR(
  VLOOKUP(
    A135,
    IMPORTRANGE(
      ""1ZHMy3vVUd_0MrSduXTe1etBb1HNpAlGwQr006ljwMiM"",
      ""GSC最新!A:R""
    ),
    11,
    FALSE
  ),
  0
)
"),0.0)</f>
        <v>0</v>
      </c>
      <c r="V135" s="60">
        <f>IFERROR(__xludf.DUMMYFUNCTION("IFERROR(
  VLOOKUP(
    A135,
    IMPORTRANGE(
      ""1ZHMy3vVUd_0MrSduXTe1etBb1HNpAlGwQr006ljwMiM"",
      ""GSC最新!A:R""
    ),
    14,
    FALSE
  ),
  0
)
"),0.0)</f>
        <v>0</v>
      </c>
      <c r="W135" s="60">
        <f>IFERROR(__xludf.DUMMYFUNCTION("IFERROR(
  VLOOKUP(
    A135,
    IMPORTRANGE(
      ""1ZHMy3vVUd_0MrSduXTe1etBb1HNpAlGwQr006ljwMiM"",
      ""GSC最新!A:R""
    ),
    17,
    FALSE
  ),
  0
)
"),0.16666666666666666)</f>
        <v>0.1666666667</v>
      </c>
      <c r="X135" s="60">
        <f t="shared" ref="X135:Y135" si="669">IFERROR(T135-V135,"-")</f>
        <v>0</v>
      </c>
      <c r="Y135" s="60">
        <f t="shared" si="669"/>
        <v>-0.1666666667</v>
      </c>
      <c r="Z135" s="52" t="str">
        <f>IFERROR(__xludf.DUMMYFUNCTION("IFERROR(
  VLOOKUP(
    A135,
    IMPORTRANGE(
      ""1ZHMy3vVUd_0MrSduXTe1etBb1HNpAlGwQr006ljwMiM"",
      ""GSC最新!A:R""
    ),
    9,
    FALSE
  ),
  0
)
"),"")</f>
        <v/>
      </c>
      <c r="AA135" s="52">
        <f>IFERROR(__xludf.DUMMYFUNCTION("IFERROR(
  VLOOKUP(
    A135,
    IMPORTRANGE(
      ""1ZHMy3vVUd_0MrSduXTe1etBb1HNpAlGwQr006ljwMiM"",
      ""GSC最新!A:R""
    ),
    12,
    FALSE
  ),
  0
)
"),1.0)</f>
        <v>1</v>
      </c>
      <c r="AB135" s="52" t="str">
        <f>IFERROR(__xludf.DUMMYFUNCTION("IFERROR(
  VLOOKUP(
    A135,
    IMPORTRANGE(
      ""1ZHMy3vVUd_0MrSduXTe1etBb1HNpAlGwQr006ljwMiM"",
      ""GSC最新!A:R""
    ),
    15,
    FALSE
  ),
  0
)
"),"")</f>
        <v/>
      </c>
      <c r="AC135" s="52">
        <f>IFERROR(__xludf.DUMMYFUNCTION("IFERROR(
  VLOOKUP(
    A135,
    IMPORTRANGE(
      ""1ZHMy3vVUd_0MrSduXTe1etBb1HNpAlGwQr006ljwMiM"",
      ""GSC最新!A:R""
    ),
    18,
    FALSE
  ),
  0
)
"),31.333333333333332)</f>
        <v>31.33333333</v>
      </c>
      <c r="AD135" s="52">
        <f t="shared" ref="AD135:AE135" si="670">Z135-AB135</f>
        <v>0</v>
      </c>
      <c r="AE135" s="52">
        <f t="shared" si="670"/>
        <v>-30.33333333</v>
      </c>
      <c r="AF135" s="53">
        <f>IFERROR(__xludf.DUMMYFUNCTION("IFERROR(
  VLOOKUP(
    A135,
    IMPORTRANGE(
      ""1ZHMy3vVUd_0MrSduXTe1etBb1HNpAlGwQr006ljwMiM"",
      ""GSC最新!A:F""
    ),
    6,
    FALSE
  ),
  0
)
"),46081.0)</f>
        <v>46081</v>
      </c>
      <c r="AG135" s="54">
        <f>IFERROR(__xludf.DUMMYFUNCTION("IFERROR(
  VLOOKUP(
    A135,
    IMPORTRANGE(
      ""1SCYQd7_cobOYqT0r_F0IqD4tE4rYn5y8Eup4PJTH8es"",
      ""Snapshot!A:M""
    ),
    5,
    FALSE
  ),
  ""-""
)
"),0.0)</f>
        <v>0</v>
      </c>
      <c r="AH135" s="54">
        <f>IFERROR(__xludf.DUMMYFUNCTION("IFERROR(
  VLOOKUP(
    A135,
    IMPORTRANGE(
      ""1SCYQd7_cobOYqT0r_F0IqD4tE4rYn5y8Eup4PJTH8es"",
      ""Snapshot!A:M""
    ),
    6,
    FALSE
  ),
  0
)
"),0.0)</f>
        <v>0</v>
      </c>
      <c r="AI135" s="54">
        <f>IFERROR(__xludf.DUMMYFUNCTION("IFERROR(
  VLOOKUP(
    A135,
    IMPORTRANGE(
      ""1SCYQd7_cobOYqT0r_F0IqD4tE4rYn5y8Eup4PJTH8es"",
      ""Snapshot!A:M""
    ),
    7,
    FALSE
  ),
  0
)
"),512.0)</f>
        <v>512</v>
      </c>
      <c r="AJ135" s="54">
        <f>IFERROR(__xludf.DUMMYFUNCTION("IFERROR(
  VLOOKUP(
    A135,
    IMPORTRANGE(
      ""1SCYQd7_cobOYqT0r_F0IqD4tE4rYn5y8Eup4PJTH8es"",
      ""Snapshot!A:M""
    ),
    8,
    FALSE
  ),
  0
)
"),4.0)</f>
        <v>4</v>
      </c>
      <c r="AK135" s="54">
        <f>IFERROR(__xludf.DUMMYFUNCTION("IFERROR(
  VLOOKUP(
    A135,
    IMPORTRANGE(
      ""1SCYQd7_cobOYqT0r_F0IqD4tE4rYn5y8Eup4PJTH8es"",
      ""Snapshot!A:M""
    ),
    9,
    FALSE
  ),
  0
)
"),1.0)</f>
        <v>1</v>
      </c>
      <c r="AL135" s="54">
        <f>IFERROR(__xludf.DUMMYFUNCTION("IFERROR(
  VLOOKUP(
    A135,
    IMPORTRANGE(
      ""1SCYQd7_cobOYqT0r_F0IqD4tE4rYn5y8Eup4PJTH8es"",
      ""Snapshot!A:M""
    ),
    13,
    FALSE
  ),
  0
)
"),2.0)</f>
        <v>2</v>
      </c>
    </row>
    <row r="136">
      <c r="A136" s="3" t="s">
        <v>463</v>
      </c>
      <c r="B136" s="1" t="str">
        <f>IFERROR(__xludf.DUMMYFUNCTION("IFERROR(
  VLOOKUP(
    A136,
    IMPORTRANGE(
      ""1ZygntHC1J6IxzKbTidmOyf5nUyW4GCLurHCjexrLm_o"",
      ""HTMLキャッシュ!A:F""
    ),
    2,
    FALSE
  ),
  0
)
"),"MC")</f>
        <v>MC</v>
      </c>
      <c r="C136" s="1" t="str">
        <f>IFERROR(__xludf.DUMMYFUNCTION("IFERROR(
  VLOOKUP(
    A136,
    IMPORTRANGE(
      ""1ZygntHC1J6IxzKbTidmOyf5nUyW4GCLurHCjexrLm_o"",
      ""HTMLキャッシュ!A:F""
    ),
    5,
    FALSE
  ),
  0
)
"),"小6算数・Aコース解説：重要単元を基礎から固め実戦力を養う")</f>
        <v>小6算数・Aコース解説：重要単元を基礎から固め実戦力を養う</v>
      </c>
      <c r="D136" s="1" t="str">
        <f>IFERROR(__xludf.DUMMYFUNCTION("IFERROR(
  VLOOKUP(
    A136,
    IMPORTRANGE(
      ""1ZygntHC1J6IxzKbTidmOyf5nUyW4GCLurHCjexrLm_o        "",
      ""HTMLキャッシュ!A:F""
    ),
    6,
    FALSE
  ),
  0
)
"),"６年生前半は、「単元学習の総仕上げ」と「志望校対策の準備」を同時に進める時期です。 模試・テストの回数も増え、")</f>
        <v>６年生前半は、「単元学習の総仕上げ」と「志望校対策の準備」を同時に進める時期です。 模試・テストの回数も増え、</v>
      </c>
      <c r="E136" s="49">
        <f t="shared" ref="E136:F136" si="671">LEN(C136)</f>
        <v>29</v>
      </c>
      <c r="F136" s="49">
        <f t="shared" si="671"/>
        <v>55</v>
      </c>
      <c r="G136" s="32">
        <f>IFERROR(__xludf.DUMMYFUNCTION("IFERROR(
  VLOOKUP(
    A136,
    IMPORTRANGE(
      ""1ZygntHC1J6IxzKbTidmOyf5nUyW4GCLurHCjexrLm_o        "",
      ""HTMLキャッシュ!A:F""
    ),
    3,
    FALSE
  ),
  0
)
"),46073.69966435185)</f>
        <v>46073.69966</v>
      </c>
      <c r="H136" s="54">
        <f>IFERROR(__xludf.DUMMYFUNCTION("IFERROR(
  VLOOKUP(
    A136,
    IMPORTRANGE(
      ""1ZHMy3vVUd_0MrSduXTe1etBb1HNpAlGwQr006ljwMiM"",
      ""GSC最新!A:F""
    ),
    2,
    FALSE
  ),
  0
)
"),0.0)</f>
        <v>0</v>
      </c>
      <c r="I136" s="54">
        <f>IFERROR(__xludf.DUMMYFUNCTION("IFERROR(
  VLOOKUP(
    A136,
    IMPORTRANGE(
      ""1ZHMy3vVUd_0MrSduXTe1etBb1HNpAlGwQr006ljwMiM"",
      ""GSC最新!A:F""
    ),
    3,
    FALSE
  ),
  0
)
"),0.0)</f>
        <v>0</v>
      </c>
      <c r="J136" s="54">
        <f>IFERROR(__xludf.DUMMYFUNCTION("IFERROR(
  VLOOKUP(
    A136,
    IMPORTRANGE(
      ""1ZHMy3vVUd_0MrSduXTe1etBb1HNpAlGwQr006ljwMiM"",
      ""GSC最新!A:F""
    ),
    4,
    FALSE
  ),
  0
)
"),0.0)</f>
        <v>0</v>
      </c>
      <c r="K136" s="54">
        <f>IFERROR(__xludf.DUMMYFUNCTION("IFERROR(
  VLOOKUP(
    A136,
    IMPORTRANGE(
      ""1ZHMy3vVUd_0MrSduXTe1etBb1HNpAlGwQr006ljwMiM"",
      ""GSC最新!A:F""
    ),
    5,
    FALSE
  ),
  0
)
"),0.0)</f>
        <v>0</v>
      </c>
      <c r="L136" s="50" t="str">
        <f t="shared" ref="L136:M136" si="672">IFERROR(H136/J136,"-")</f>
        <v>-</v>
      </c>
      <c r="M136" s="50" t="str">
        <f t="shared" si="672"/>
        <v>-</v>
      </c>
      <c r="N136" s="59">
        <f>IFERROR(__xludf.DUMMYFUNCTION("IFERROR(
  VLOOKUP(
    A136,
    IMPORTRANGE(
      ""1ZHMy3vVUd_0MrSduXTe1etBb1HNpAlGwQr006ljwMiM"",
      ""GSC最新!A:R""
    ),
    7,
    FALSE
  ),
  0
)
"),0.0)</f>
        <v>0</v>
      </c>
      <c r="O136" s="59">
        <f>IFERROR(__xludf.DUMMYFUNCTION("IFERROR(
  VLOOKUP(
    A136,
    IMPORTRANGE(
      ""1ZHMy3vVUd_0MrSduXTe1etBb1HNpAlGwQr006ljwMiM"",
      ""GSC最新!A:R""
    ),
    10,
    FALSE
  ),
  0
)
"),2.0)</f>
        <v>2</v>
      </c>
      <c r="P136" s="59">
        <f>IFERROR(__xludf.DUMMYFUNCTION("IFERROR(
  VLOOKUP(
    A136,
    IMPORTRANGE(
      ""1ZHMy3vVUd_0MrSduXTe1etBb1HNpAlGwQr006ljwMiM"",
      ""GSC最新!A:R""
    ),
    13,
    FALSE
  ),
  0
)
"),0.0)</f>
        <v>0</v>
      </c>
      <c r="Q136" s="59">
        <f>IFERROR(__xludf.DUMMYFUNCTION("IFERROR(
  VLOOKUP(
    A136,
    IMPORTRANGE(
      ""1ZHMy3vVUd_0MrSduXTe1etBb1HNpAlGwQr006ljwMiM"",
      ""GSC最新!A:R""
    ),
    16,
    FALSE
  ),
  0
)
"),0.0)</f>
        <v>0</v>
      </c>
      <c r="R136" s="50" t="str">
        <f t="shared" ref="R136:S136" si="673">IFERROR(N136/P136,"-")</f>
        <v>-</v>
      </c>
      <c r="S136" s="50" t="str">
        <f t="shared" si="673"/>
        <v>-</v>
      </c>
      <c r="T136" s="60">
        <f>IFERROR(__xludf.DUMMYFUNCTION("IFERROR(
  VLOOKUP(
    A136,
    IMPORTRANGE(
      ""1ZHMy3vVUd_0MrSduXTe1etBb1HNpAlGwQr006ljwMiM"",
      ""GSC最新!A:R""
    ),
    8,
    FALSE
  ),
  0
)
"),0.0)</f>
        <v>0</v>
      </c>
      <c r="U136" s="60">
        <f>IFERROR(__xludf.DUMMYFUNCTION("IFERROR(
  VLOOKUP(
    A136,
    IMPORTRANGE(
      ""1ZHMy3vVUd_0MrSduXTe1etBb1HNpAlGwQr006ljwMiM"",
      ""GSC最新!A:R""
    ),
    11,
    FALSE
  ),
  0
)
"),0.0)</f>
        <v>0</v>
      </c>
      <c r="V136" s="60">
        <f>IFERROR(__xludf.DUMMYFUNCTION("IFERROR(
  VLOOKUP(
    A136,
    IMPORTRANGE(
      ""1ZHMy3vVUd_0MrSduXTe1etBb1HNpAlGwQr006ljwMiM"",
      ""GSC最新!A:R""
    ),
    14,
    FALSE
  ),
  0
)
"),0.0)</f>
        <v>0</v>
      </c>
      <c r="W136" s="60">
        <f>IFERROR(__xludf.DUMMYFUNCTION("IFERROR(
  VLOOKUP(
    A136,
    IMPORTRANGE(
      ""1ZHMy3vVUd_0MrSduXTe1etBb1HNpAlGwQr006ljwMiM"",
      ""GSC最新!A:R""
    ),
    17,
    FALSE
  ),
  0
)
"),0.0)</f>
        <v>0</v>
      </c>
      <c r="X136" s="60">
        <f t="shared" ref="X136:Y136" si="674">IFERROR(T136-V136,"-")</f>
        <v>0</v>
      </c>
      <c r="Y136" s="60">
        <f t="shared" si="674"/>
        <v>0</v>
      </c>
      <c r="Z136" s="52" t="str">
        <f>IFERROR(__xludf.DUMMYFUNCTION("IFERROR(
  VLOOKUP(
    A136,
    IMPORTRANGE(
      ""1ZHMy3vVUd_0MrSduXTe1etBb1HNpAlGwQr006ljwMiM"",
      ""GSC最新!A:R""
    ),
    9,
    FALSE
  ),
  0
)
"),"")</f>
        <v/>
      </c>
      <c r="AA136" s="52">
        <f>IFERROR(__xludf.DUMMYFUNCTION("IFERROR(
  VLOOKUP(
    A136,
    IMPORTRANGE(
      ""1ZHMy3vVUd_0MrSduXTe1etBb1HNpAlGwQr006ljwMiM"",
      ""GSC最新!A:R""
    ),
    12,
    FALSE
  ),
  0
)
"),2.0)</f>
        <v>2</v>
      </c>
      <c r="AB136" s="52" t="str">
        <f>IFERROR(__xludf.DUMMYFUNCTION("IFERROR(
  VLOOKUP(
    A136,
    IMPORTRANGE(
      ""1ZHMy3vVUd_0MrSduXTe1etBb1HNpAlGwQr006ljwMiM"",
      ""GSC最新!A:R""
    ),
    15,
    FALSE
  ),
  0
)
"),"")</f>
        <v/>
      </c>
      <c r="AC136" s="52" t="str">
        <f>IFERROR(__xludf.DUMMYFUNCTION("IFERROR(
  VLOOKUP(
    A136,
    IMPORTRANGE(
      ""1ZHMy3vVUd_0MrSduXTe1etBb1HNpAlGwQr006ljwMiM"",
      ""GSC最新!A:R""
    ),
    18,
    FALSE
  ),
  0
)
"),"")</f>
        <v/>
      </c>
      <c r="AD136" s="52">
        <f t="shared" ref="AD136:AE136" si="675">Z136-AB136</f>
        <v>0</v>
      </c>
      <c r="AE136" s="52">
        <f t="shared" si="675"/>
        <v>2</v>
      </c>
      <c r="AF136" s="53">
        <f>IFERROR(__xludf.DUMMYFUNCTION("IFERROR(
  VLOOKUP(
    A136,
    IMPORTRANGE(
      ""1ZHMy3vVUd_0MrSduXTe1etBb1HNpAlGwQr006ljwMiM"",
      ""GSC最新!A:F""
    ),
    6,
    FALSE
  ),
  0
)
"),46081.0)</f>
        <v>46081</v>
      </c>
      <c r="AG136" s="54">
        <f>IFERROR(__xludf.DUMMYFUNCTION("IFERROR(
  VLOOKUP(
    A136,
    IMPORTRANGE(
      ""1SCYQd7_cobOYqT0r_F0IqD4tE4rYn5y8Eup4PJTH8es"",
      ""Snapshot!A:M""
    ),
    5,
    FALSE
  ),
  ""-""
)
"),3.0)</f>
        <v>3</v>
      </c>
      <c r="AH136" s="54">
        <f>IFERROR(__xludf.DUMMYFUNCTION("IFERROR(
  VLOOKUP(
    A136,
    IMPORTRANGE(
      ""1SCYQd7_cobOYqT0r_F0IqD4tE4rYn5y8Eup4PJTH8es"",
      ""Snapshot!A:M""
    ),
    6,
    FALSE
  ),
  0
)
"),0.0)</f>
        <v>0</v>
      </c>
      <c r="AI136" s="54">
        <f>IFERROR(__xludf.DUMMYFUNCTION("IFERROR(
  VLOOKUP(
    A136,
    IMPORTRANGE(
      ""1SCYQd7_cobOYqT0r_F0IqD4tE4rYn5y8Eup4PJTH8es"",
      ""Snapshot!A:M""
    ),
    7,
    FALSE
  ),
  0
)
"),1678.0)</f>
        <v>1678</v>
      </c>
      <c r="AJ136" s="54">
        <f>IFERROR(__xludf.DUMMYFUNCTION("IFERROR(
  VLOOKUP(
    A136,
    IMPORTRANGE(
      ""1SCYQd7_cobOYqT0r_F0IqD4tE4rYn5y8Eup4PJTH8es"",
      ""Snapshot!A:M""
    ),
    8,
    FALSE
  ),
  0
)
"),4.0)</f>
        <v>4</v>
      </c>
      <c r="AK136" s="54">
        <f>IFERROR(__xludf.DUMMYFUNCTION("IFERROR(
  VLOOKUP(
    A136,
    IMPORTRANGE(
      ""1SCYQd7_cobOYqT0r_F0IqD4tE4rYn5y8Eup4PJTH8es"",
      ""Snapshot!A:M""
    ),
    9,
    FALSE
  ),
  0
)
"),4.0)</f>
        <v>4</v>
      </c>
      <c r="AL136" s="54">
        <f>IFERROR(__xludf.DUMMYFUNCTION("IFERROR(
  VLOOKUP(
    A136,
    IMPORTRANGE(
      ""1SCYQd7_cobOYqT0r_F0IqD4tE4rYn5y8Eup4PJTH8es"",
      ""Snapshot!A:M""
    ),
    13,
    FALSE
  ),
  0
)
"),1.0)</f>
        <v>1</v>
      </c>
    </row>
    <row r="137">
      <c r="A137" s="1" t="s">
        <v>464</v>
      </c>
      <c r="B137" s="1" t="str">
        <f>IFERROR(__xludf.DUMMYFUNCTION("IFERROR(
  VLOOKUP(
    A137,
    IMPORTRANGE(
      ""1ZygntHC1J6IxzKbTidmOyf5nUyW4GCLurHCjexrLm_o"",
      ""HTMLキャッシュ!A:F""
    ),
    2,
    FALSE
  ),
  0
)
"),"NW")</f>
        <v>NW</v>
      </c>
      <c r="C137" s="1" t="str">
        <f>IFERROR(__xludf.DUMMYFUNCTION("IFERROR(
  VLOOKUP(
    A137,
    IMPORTRANGE(
      ""1ZygntHC1J6IxzKbTidmOyf5nUyW4GCLurHCjexrLm_o"",
      ""HTMLキャッシュ!A:F""
    ),
    5,
    FALSE
  ),
  0
)
"),"2024年度春期講習のお知らせ【個別】 - 中学受験専門 夏井算数塾")</f>
        <v>2024年度春期講習のお知らせ【個別】 - 中学受験専門 夏井算数塾</v>
      </c>
      <c r="D137" s="1" t="str">
        <f>IFERROR(__xludf.DUMMYFUNCTION("IFERROR(
  VLOOKUP(
    A137,
    IMPORTRANGE(
      ""1ZygntHC1J6IxzKbTidmOyf5nUyW4GCLurHCjexrLm_o        "",
      ""HTMLキャッシュ!A:F""
    ),
    6,
    FALSE
  ),
  0
)
"),"春休みは、短期間ながらも日頃の学習で残した課題を解決し、力を蓄えるのに最適な時期です。 当塾では、この春休みを")</f>
        <v>春休みは、短期間ながらも日頃の学習で残した課題を解決し、力を蓄えるのに最適な時期です。 当塾では、この春休みを</v>
      </c>
      <c r="E137" s="49">
        <f t="shared" ref="E137:F137" si="676">LEN(C137)</f>
        <v>34</v>
      </c>
      <c r="F137" s="49">
        <f t="shared" si="676"/>
        <v>55</v>
      </c>
      <c r="G137" s="32">
        <f>IFERROR(__xludf.DUMMYFUNCTION("IFERROR(
  VLOOKUP(
    A137,
    IMPORTRANGE(
      ""1ZygntHC1J6IxzKbTidmOyf5nUyW4GCLurHCjexrLm_o        "",
      ""HTMLキャッシュ!A:F""
    ),
    3,
    FALSE
  ),
  0
)
"),45593.55621527778)</f>
        <v>45593.55622</v>
      </c>
      <c r="H137" s="54">
        <f>IFERROR(__xludf.DUMMYFUNCTION("IFERROR(
  VLOOKUP(
    A137,
    IMPORTRANGE(
      ""1ZHMy3vVUd_0MrSduXTe1etBb1HNpAlGwQr006ljwMiM"",
      ""GSC最新!A:F""
    ),
    2,
    FALSE
  ),
  0
)
"),0.0)</f>
        <v>0</v>
      </c>
      <c r="I137" s="54">
        <f>IFERROR(__xludf.DUMMYFUNCTION("IFERROR(
  VLOOKUP(
    A137,
    IMPORTRANGE(
      ""1ZHMy3vVUd_0MrSduXTe1etBb1HNpAlGwQr006ljwMiM"",
      ""GSC最新!A:F""
    ),
    3,
    FALSE
  ),
  0
)
"),0.0)</f>
        <v>0</v>
      </c>
      <c r="J137" s="54">
        <f>IFERROR(__xludf.DUMMYFUNCTION("IFERROR(
  VLOOKUP(
    A137,
    IMPORTRANGE(
      ""1ZHMy3vVUd_0MrSduXTe1etBb1HNpAlGwQr006ljwMiM"",
      ""GSC最新!A:F""
    ),
    4,
    FALSE
  ),
  0
)
"),0.0)</f>
        <v>0</v>
      </c>
      <c r="K137" s="54">
        <f>IFERROR(__xludf.DUMMYFUNCTION("IFERROR(
  VLOOKUP(
    A137,
    IMPORTRANGE(
      ""1ZHMy3vVUd_0MrSduXTe1etBb1HNpAlGwQr006ljwMiM"",
      ""GSC最新!A:F""
    ),
    5,
    FALSE
  ),
  0
)
"),0.0)</f>
        <v>0</v>
      </c>
      <c r="L137" s="50" t="str">
        <f t="shared" ref="L137:M137" si="677">IFERROR(H137/J137,"-")</f>
        <v>-</v>
      </c>
      <c r="M137" s="50" t="str">
        <f t="shared" si="677"/>
        <v>-</v>
      </c>
      <c r="N137" s="59">
        <f>IFERROR(__xludf.DUMMYFUNCTION("IFERROR(
  VLOOKUP(
    A137,
    IMPORTRANGE(
      ""1ZHMy3vVUd_0MrSduXTe1etBb1HNpAlGwQr006ljwMiM"",
      ""GSC最新!A:R""
    ),
    7,
    FALSE
  ),
  0
)
"),0.0)</f>
        <v>0</v>
      </c>
      <c r="O137" s="59">
        <f>IFERROR(__xludf.DUMMYFUNCTION("IFERROR(
  VLOOKUP(
    A137,
    IMPORTRANGE(
      ""1ZHMy3vVUd_0MrSduXTe1etBb1HNpAlGwQr006ljwMiM"",
      ""GSC最新!A:R""
    ),
    10,
    FALSE
  ),
  0
)
"),1.0)</f>
        <v>1</v>
      </c>
      <c r="P137" s="59">
        <f>IFERROR(__xludf.DUMMYFUNCTION("IFERROR(
  VLOOKUP(
    A137,
    IMPORTRANGE(
      ""1ZHMy3vVUd_0MrSduXTe1etBb1HNpAlGwQr006ljwMiM"",
      ""GSC最新!A:R""
    ),
    13,
    FALSE
  ),
  0
)
"),6.0)</f>
        <v>6</v>
      </c>
      <c r="Q137" s="59">
        <f>IFERROR(__xludf.DUMMYFUNCTION("IFERROR(
  VLOOKUP(
    A137,
    IMPORTRANGE(
      ""1ZHMy3vVUd_0MrSduXTe1etBb1HNpAlGwQr006ljwMiM"",
      ""GSC最新!A:R""
    ),
    16,
    FALSE
  ),
  0
)
"),11.0)</f>
        <v>11</v>
      </c>
      <c r="R137" s="50">
        <f t="shared" ref="R137:S137" si="678">IFERROR(N137/P137,"-")</f>
        <v>0</v>
      </c>
      <c r="S137" s="50">
        <f t="shared" si="678"/>
        <v>0.09090909091</v>
      </c>
      <c r="T137" s="60">
        <f>IFERROR(__xludf.DUMMYFUNCTION("IFERROR(
  VLOOKUP(
    A137,
    IMPORTRANGE(
      ""1ZHMy3vVUd_0MrSduXTe1etBb1HNpAlGwQr006ljwMiM"",
      ""GSC最新!A:R""
    ),
    8,
    FALSE
  ),
  0
)
"),0.0)</f>
        <v>0</v>
      </c>
      <c r="U137" s="60">
        <f>IFERROR(__xludf.DUMMYFUNCTION("IFERROR(
  VLOOKUP(
    A137,
    IMPORTRANGE(
      ""1ZHMy3vVUd_0MrSduXTe1etBb1HNpAlGwQr006ljwMiM"",
      ""GSC最新!A:R""
    ),
    11,
    FALSE
  ),
  0
)
"),0.0)</f>
        <v>0</v>
      </c>
      <c r="V137" s="60">
        <f>IFERROR(__xludf.DUMMYFUNCTION("IFERROR(
  VLOOKUP(
    A137,
    IMPORTRANGE(
      ""1ZHMy3vVUd_0MrSduXTe1etBb1HNpAlGwQr006ljwMiM"",
      ""GSC最新!A:R""
    ),
    14,
    FALSE
  ),
  0
)
"),0.0)</f>
        <v>0</v>
      </c>
      <c r="W137" s="60">
        <f>IFERROR(__xludf.DUMMYFUNCTION("IFERROR(
  VLOOKUP(
    A137,
    IMPORTRANGE(
      ""1ZHMy3vVUd_0MrSduXTe1etBb1HNpAlGwQr006ljwMiM"",
      ""GSC最新!A:R""
    ),
    17,
    FALSE
  ),
  0
)
"),0.0)</f>
        <v>0</v>
      </c>
      <c r="X137" s="60">
        <f t="shared" ref="X137:Y137" si="679">IFERROR(T137-V137,"-")</f>
        <v>0</v>
      </c>
      <c r="Y137" s="60">
        <f t="shared" si="679"/>
        <v>0</v>
      </c>
      <c r="Z137" s="52" t="str">
        <f>IFERROR(__xludf.DUMMYFUNCTION("IFERROR(
  VLOOKUP(
    A137,
    IMPORTRANGE(
      ""1ZHMy3vVUd_0MrSduXTe1etBb1HNpAlGwQr006ljwMiM"",
      ""GSC最新!A:R""
    ),
    9,
    FALSE
  ),
  0
)
"),"")</f>
        <v/>
      </c>
      <c r="AA137" s="52">
        <f>IFERROR(__xludf.DUMMYFUNCTION("IFERROR(
  VLOOKUP(
    A137,
    IMPORTRANGE(
      ""1ZHMy3vVUd_0MrSduXTe1etBb1HNpAlGwQr006ljwMiM"",
      ""GSC最新!A:R""
    ),
    12,
    FALSE
  ),
  0
)
"),5.0)</f>
        <v>5</v>
      </c>
      <c r="AB137" s="52">
        <f>IFERROR(__xludf.DUMMYFUNCTION("IFERROR(
  VLOOKUP(
    A137,
    IMPORTRANGE(
      ""1ZHMy3vVUd_0MrSduXTe1etBb1HNpAlGwQr006ljwMiM"",
      ""GSC最新!A:R""
    ),
    15,
    FALSE
  ),
  0
)
"),72.66666666666667)</f>
        <v>72.66666667</v>
      </c>
      <c r="AC137" s="52">
        <f>IFERROR(__xludf.DUMMYFUNCTION("IFERROR(
  VLOOKUP(
    A137,
    IMPORTRANGE(
      ""1ZHMy3vVUd_0MrSduXTe1etBb1HNpAlGwQr006ljwMiM"",
      ""GSC最新!A:R""
    ),
    18,
    FALSE
  ),
  0
)
"),84.54545454545455)</f>
        <v>84.54545455</v>
      </c>
      <c r="AD137" s="52">
        <f t="shared" ref="AD137:AE137" si="680">Z137-AB137</f>
        <v>-72.66666667</v>
      </c>
      <c r="AE137" s="52">
        <f t="shared" si="680"/>
        <v>-79.54545455</v>
      </c>
      <c r="AF137" s="53">
        <f>IFERROR(__xludf.DUMMYFUNCTION("IFERROR(
  VLOOKUP(
    A137,
    IMPORTRANGE(
      ""1ZHMy3vVUd_0MrSduXTe1etBb1HNpAlGwQr006ljwMiM"",
      ""GSC最新!A:F""
    ),
    6,
    FALSE
  ),
  0
)
"),46081.0)</f>
        <v>46081</v>
      </c>
      <c r="AG137" s="54">
        <f>IFERROR(__xludf.DUMMYFUNCTION("IFERROR(
  VLOOKUP(
    A137,
    IMPORTRANGE(
      ""1SCYQd7_cobOYqT0r_F0IqD4tE4rYn5y8Eup4PJTH8es"",
      ""Snapshot!A:M""
    ),
    5,
    FALSE
  ),
  ""-""
)
"),0.0)</f>
        <v>0</v>
      </c>
      <c r="AH137" s="54">
        <f>IFERROR(__xludf.DUMMYFUNCTION("IFERROR(
  VLOOKUP(
    A137,
    IMPORTRANGE(
      ""1SCYQd7_cobOYqT0r_F0IqD4tE4rYn5y8Eup4PJTH8es"",
      ""Snapshot!A:M""
    ),
    6,
    FALSE
  ),
  0
)
"),0.0)</f>
        <v>0</v>
      </c>
      <c r="AI137" s="54">
        <f>IFERROR(__xludf.DUMMYFUNCTION("IFERROR(
  VLOOKUP(
    A137,
    IMPORTRANGE(
      ""1SCYQd7_cobOYqT0r_F0IqD4tE4rYn5y8Eup4PJTH8es"",
      ""Snapshot!A:M""
    ),
    7,
    FALSE
  ),
  0
)
"),763.0)</f>
        <v>763</v>
      </c>
      <c r="AJ137" s="54">
        <f>IFERROR(__xludf.DUMMYFUNCTION("IFERROR(
  VLOOKUP(
    A137,
    IMPORTRANGE(
      ""1SCYQd7_cobOYqT0r_F0IqD4tE4rYn5y8Eup4PJTH8es"",
      ""Snapshot!A:M""
    ),
    8,
    FALSE
  ),
  0
)
"),5.0)</f>
        <v>5</v>
      </c>
      <c r="AK137" s="54">
        <f>IFERROR(__xludf.DUMMYFUNCTION("IFERROR(
  VLOOKUP(
    A137,
    IMPORTRANGE(
      ""1SCYQd7_cobOYqT0r_F0IqD4tE4rYn5y8Eup4PJTH8es"",
      ""Snapshot!A:M""
    ),
    9,
    FALSE
  ),
  0
)
"),1.0)</f>
        <v>1</v>
      </c>
      <c r="AL137" s="54">
        <f>IFERROR(__xludf.DUMMYFUNCTION("IFERROR(
  VLOOKUP(
    A137,
    IMPORTRANGE(
      ""1SCYQd7_cobOYqT0r_F0IqD4tE4rYn5y8Eup4PJTH8es"",
      ""Snapshot!A:M""
    ),
    13,
    FALSE
  ),
  0
)
"),2.0)</f>
        <v>2</v>
      </c>
    </row>
    <row r="138">
      <c r="A138" s="1" t="s">
        <v>465</v>
      </c>
      <c r="B138" s="1" t="str">
        <f>IFERROR(__xludf.DUMMYFUNCTION("IFERROR(
  VLOOKUP(
    A138,
    IMPORTRANGE(
      ""1ZygntHC1J6IxzKbTidmOyf5nUyW4GCLurHCjexrLm_o"",
      ""HTMLキャッシュ!A:F""
    ),
    2,
    FALSE
  ),
  0
)
"),"NW")</f>
        <v>NW</v>
      </c>
      <c r="C138" s="1" t="str">
        <f>IFERROR(__xludf.DUMMYFUNCTION("IFERROR(
  VLOOKUP(
    A138,
    IMPORTRANGE(
      ""1ZygntHC1J6IxzKbTidmOyf5nUyW4GCLurHCjexrLm_o"",
      ""HTMLキャッシュ!A:F""
    ),
    5,
    FALSE
  ),
  0
)
"),"2024年度生徒募集のお知らせ【個別】 - 中学受験専門 夏井算数塾")</f>
        <v>2024年度生徒募集のお知らせ【個別】 - 中学受験専門 夏井算数塾</v>
      </c>
      <c r="D138" s="1" t="str">
        <f>IFERROR(__xludf.DUMMYFUNCTION("IFERROR(
  VLOOKUP(
    A138,
    IMPORTRANGE(
      ""1ZygntHC1J6IxzKbTidmOyf5nUyW4GCLurHCjexrLm_o        "",
      ""HTMLキャッシュ!A:F""
    ),
    6,
    FALSE
  ),
  0
)
"),"本日より、2024年度の生徒募集を開始いたします。 2月開講講座、個別指導の詳細については、下記をご確認くださ")</f>
        <v>本日より、2024年度の生徒募集を開始いたします。 2月開講講座、個別指導の詳細については、下記をご確認くださ</v>
      </c>
      <c r="E138" s="49">
        <f t="shared" ref="E138:F138" si="681">LEN(C138)</f>
        <v>34</v>
      </c>
      <c r="F138" s="49">
        <f t="shared" si="681"/>
        <v>55</v>
      </c>
      <c r="G138" s="32">
        <f>IFERROR(__xludf.DUMMYFUNCTION("IFERROR(
  VLOOKUP(
    A138,
    IMPORTRANGE(
      ""1ZygntHC1J6IxzKbTidmOyf5nUyW4GCLurHCjexrLm_o        "",
      ""HTMLキャッシュ!A:F""
    ),
    3,
    FALSE
  ),
  0
)
"),45593.556435185186)</f>
        <v>45593.55644</v>
      </c>
      <c r="H138" s="54">
        <f>IFERROR(__xludf.DUMMYFUNCTION("IFERROR(
  VLOOKUP(
    A138,
    IMPORTRANGE(
      ""1ZHMy3vVUd_0MrSduXTe1etBb1HNpAlGwQr006ljwMiM"",
      ""GSC最新!A:F""
    ),
    2,
    FALSE
  ),
  0
)
"),0.0)</f>
        <v>0</v>
      </c>
      <c r="I138" s="54">
        <f>IFERROR(__xludf.DUMMYFUNCTION("IFERROR(
  VLOOKUP(
    A138,
    IMPORTRANGE(
      ""1ZHMy3vVUd_0MrSduXTe1etBb1HNpAlGwQr006ljwMiM"",
      ""GSC最新!A:F""
    ),
    3,
    FALSE
  ),
  0
)
"),0.0)</f>
        <v>0</v>
      </c>
      <c r="J138" s="54">
        <f>IFERROR(__xludf.DUMMYFUNCTION("IFERROR(
  VLOOKUP(
    A138,
    IMPORTRANGE(
      ""1ZHMy3vVUd_0MrSduXTe1etBb1HNpAlGwQr006ljwMiM"",
      ""GSC最新!A:F""
    ),
    4,
    FALSE
  ),
  0
)
"),0.0)</f>
        <v>0</v>
      </c>
      <c r="K138" s="54">
        <f>IFERROR(__xludf.DUMMYFUNCTION("IFERROR(
  VLOOKUP(
    A138,
    IMPORTRANGE(
      ""1ZHMy3vVUd_0MrSduXTe1etBb1HNpAlGwQr006ljwMiM"",
      ""GSC最新!A:F""
    ),
    5,
    FALSE
  ),
  0
)
"),0.0)</f>
        <v>0</v>
      </c>
      <c r="L138" s="50" t="str">
        <f t="shared" ref="L138:M138" si="682">IFERROR(H138/J138,"-")</f>
        <v>-</v>
      </c>
      <c r="M138" s="50" t="str">
        <f t="shared" si="682"/>
        <v>-</v>
      </c>
      <c r="N138" s="59">
        <f>IFERROR(__xludf.DUMMYFUNCTION("IFERROR(
  VLOOKUP(
    A138,
    IMPORTRANGE(
      ""1ZHMy3vVUd_0MrSduXTe1etBb1HNpAlGwQr006ljwMiM"",
      ""GSC最新!A:R""
    ),
    7,
    FALSE
  ),
  0
)
"),1.0)</f>
        <v>1</v>
      </c>
      <c r="O138" s="59">
        <f>IFERROR(__xludf.DUMMYFUNCTION("IFERROR(
  VLOOKUP(
    A138,
    IMPORTRANGE(
      ""1ZHMy3vVUd_0MrSduXTe1etBb1HNpAlGwQr006ljwMiM"",
      ""GSC最新!A:R""
    ),
    10,
    FALSE
  ),
  0
)
"),1.0)</f>
        <v>1</v>
      </c>
      <c r="P138" s="59">
        <f>IFERROR(__xludf.DUMMYFUNCTION("IFERROR(
  VLOOKUP(
    A138,
    IMPORTRANGE(
      ""1ZHMy3vVUd_0MrSduXTe1etBb1HNpAlGwQr006ljwMiM"",
      ""GSC最新!A:R""
    ),
    13,
    FALSE
  ),
  0
)
"),0.0)</f>
        <v>0</v>
      </c>
      <c r="Q138" s="59">
        <f>IFERROR(__xludf.DUMMYFUNCTION("IFERROR(
  VLOOKUP(
    A138,
    IMPORTRANGE(
      ""1ZHMy3vVUd_0MrSduXTe1etBb1HNpAlGwQr006ljwMiM"",
      ""GSC最新!A:R""
    ),
    16,
    FALSE
  ),
  0
)
"),4.0)</f>
        <v>4</v>
      </c>
      <c r="R138" s="50" t="str">
        <f t="shared" ref="R138:S138" si="683">IFERROR(N138/P138,"-")</f>
        <v>-</v>
      </c>
      <c r="S138" s="50">
        <f t="shared" si="683"/>
        <v>0.25</v>
      </c>
      <c r="T138" s="60">
        <f>IFERROR(__xludf.DUMMYFUNCTION("IFERROR(
  VLOOKUP(
    A138,
    IMPORTRANGE(
      ""1ZHMy3vVUd_0MrSduXTe1etBb1HNpAlGwQr006ljwMiM"",
      ""GSC最新!A:R""
    ),
    8,
    FALSE
  ),
  0
)
"),0.0)</f>
        <v>0</v>
      </c>
      <c r="U138" s="60">
        <f>IFERROR(__xludf.DUMMYFUNCTION("IFERROR(
  VLOOKUP(
    A138,
    IMPORTRANGE(
      ""1ZHMy3vVUd_0MrSduXTe1etBb1HNpAlGwQr006ljwMiM"",
      ""GSC最新!A:R""
    ),
    11,
    FALSE
  ),
  0
)
"),0.0)</f>
        <v>0</v>
      </c>
      <c r="V138" s="60">
        <f>IFERROR(__xludf.DUMMYFUNCTION("IFERROR(
  VLOOKUP(
    A138,
    IMPORTRANGE(
      ""1ZHMy3vVUd_0MrSduXTe1etBb1HNpAlGwQr006ljwMiM"",
      ""GSC最新!A:R""
    ),
    14,
    FALSE
  ),
  0
)
"),0.0)</f>
        <v>0</v>
      </c>
      <c r="W138" s="60">
        <f>IFERROR(__xludf.DUMMYFUNCTION("IFERROR(
  VLOOKUP(
    A138,
    IMPORTRANGE(
      ""1ZHMy3vVUd_0MrSduXTe1etBb1HNpAlGwQr006ljwMiM"",
      ""GSC最新!A:R""
    ),
    17,
    FALSE
  ),
  0
)
"),0.0)</f>
        <v>0</v>
      </c>
      <c r="X138" s="60">
        <f t="shared" ref="X138:Y138" si="684">IFERROR(T138-V138,"-")</f>
        <v>0</v>
      </c>
      <c r="Y138" s="60">
        <f t="shared" si="684"/>
        <v>0</v>
      </c>
      <c r="Z138" s="52">
        <f>IFERROR(__xludf.DUMMYFUNCTION("IFERROR(
  VLOOKUP(
    A138,
    IMPORTRANGE(
      ""1ZHMy3vVUd_0MrSduXTe1etBb1HNpAlGwQr006ljwMiM"",
      ""GSC最新!A:R""
    ),
    9,
    FALSE
  ),
  0
)
"),12.0)</f>
        <v>12</v>
      </c>
      <c r="AA138" s="52">
        <f>IFERROR(__xludf.DUMMYFUNCTION("IFERROR(
  VLOOKUP(
    A138,
    IMPORTRANGE(
      ""1ZHMy3vVUd_0MrSduXTe1etBb1HNpAlGwQr006ljwMiM"",
      ""GSC最新!A:R""
    ),
    12,
    FALSE
  ),
  0
)
"),12.0)</f>
        <v>12</v>
      </c>
      <c r="AB138" s="52" t="str">
        <f>IFERROR(__xludf.DUMMYFUNCTION("IFERROR(
  VLOOKUP(
    A138,
    IMPORTRANGE(
      ""1ZHMy3vVUd_0MrSduXTe1etBb1HNpAlGwQr006ljwMiM"",
      ""GSC最新!A:R""
    ),
    15,
    FALSE
  ),
  0
)
"),"")</f>
        <v/>
      </c>
      <c r="AC138" s="52">
        <f>IFERROR(__xludf.DUMMYFUNCTION("IFERROR(
  VLOOKUP(
    A138,
    IMPORTRANGE(
      ""1ZHMy3vVUd_0MrSduXTe1etBb1HNpAlGwQr006ljwMiM"",
      ""GSC最新!A:R""
    ),
    18,
    FALSE
  ),
  0
)
"),32.25)</f>
        <v>32.25</v>
      </c>
      <c r="AD138" s="52">
        <f t="shared" ref="AD138:AE138" si="685">Z138-AB138</f>
        <v>12</v>
      </c>
      <c r="AE138" s="52">
        <f t="shared" si="685"/>
        <v>-20.25</v>
      </c>
      <c r="AF138" s="53">
        <f>IFERROR(__xludf.DUMMYFUNCTION("IFERROR(
  VLOOKUP(
    A138,
    IMPORTRANGE(
      ""1ZHMy3vVUd_0MrSduXTe1etBb1HNpAlGwQr006ljwMiM"",
      ""GSC最新!A:F""
    ),
    6,
    FALSE
  ),
  0
)
"),46081.0)</f>
        <v>46081</v>
      </c>
      <c r="AG138" s="54">
        <f>IFERROR(__xludf.DUMMYFUNCTION("IFERROR(
  VLOOKUP(
    A138,
    IMPORTRANGE(
      ""1SCYQd7_cobOYqT0r_F0IqD4tE4rYn5y8Eup4PJTH8es"",
      ""Snapshot!A:M""
    ),
    5,
    FALSE
  ),
  ""-""
)
"),0.0)</f>
        <v>0</v>
      </c>
      <c r="AH138" s="54">
        <f>IFERROR(__xludf.DUMMYFUNCTION("IFERROR(
  VLOOKUP(
    A138,
    IMPORTRANGE(
      ""1SCYQd7_cobOYqT0r_F0IqD4tE4rYn5y8Eup4PJTH8es"",
      ""Snapshot!A:M""
    ),
    6,
    FALSE
  ),
  0
)
"),0.0)</f>
        <v>0</v>
      </c>
      <c r="AI138" s="54">
        <f>IFERROR(__xludf.DUMMYFUNCTION("IFERROR(
  VLOOKUP(
    A138,
    IMPORTRANGE(
      ""1SCYQd7_cobOYqT0r_F0IqD4tE4rYn5y8Eup4PJTH8es"",
      ""Snapshot!A:M""
    ),
    7,
    FALSE
  ),
  0
)
"),358.0)</f>
        <v>358</v>
      </c>
      <c r="AJ138" s="54">
        <f>IFERROR(__xludf.DUMMYFUNCTION("IFERROR(
  VLOOKUP(
    A138,
    IMPORTRANGE(
      ""1SCYQd7_cobOYqT0r_F0IqD4tE4rYn5y8Eup4PJTH8es"",
      ""Snapshot!A:M""
    ),
    8,
    FALSE
  ),
  0
)
"),3.0)</f>
        <v>3</v>
      </c>
      <c r="AK138" s="54">
        <f>IFERROR(__xludf.DUMMYFUNCTION("IFERROR(
  VLOOKUP(
    A138,
    IMPORTRANGE(
      ""1SCYQd7_cobOYqT0r_F0IqD4tE4rYn5y8Eup4PJTH8es"",
      ""Snapshot!A:M""
    ),
    9,
    FALSE
  ),
  0
)
"),1.0)</f>
        <v>1</v>
      </c>
      <c r="AL138" s="54">
        <f>IFERROR(__xludf.DUMMYFUNCTION("IFERROR(
  VLOOKUP(
    A138,
    IMPORTRANGE(
      ""1SCYQd7_cobOYqT0r_F0IqD4tE4rYn5y8Eup4PJTH8es"",
      ""Snapshot!A:M""
    ),
    13,
    FALSE
  ),
  0
)
"),2.0)</f>
        <v>2</v>
      </c>
    </row>
    <row r="139">
      <c r="A139" s="3" t="s">
        <v>466</v>
      </c>
      <c r="B139" s="1" t="str">
        <f>IFERROR(__xludf.DUMMYFUNCTION("IFERROR(
  VLOOKUP(
    A139,
    IMPORTRANGE(
      ""1ZygntHC1J6IxzKbTidmOyf5nUyW4GCLurHCjexrLm_o"",
      ""HTMLキャッシュ!A:F""
    ),
    2,
    FALSE
  ),
  0
)
"),"NW")</f>
        <v>NW</v>
      </c>
      <c r="C139" s="1" t="str">
        <f>IFERROR(__xludf.DUMMYFUNCTION("IFERROR(
  VLOOKUP(
    A139,
    IMPORTRANGE(
      ""1ZygntHC1J6IxzKbTidmOyf5nUyW4GCLurHCjexrLm_o"",
      ""HTMLキャッシュ!A:F""
    ),
    5,
    FALSE
  ),
  0
)
"),"2025年 春期講習のお知らせ【個別】 - 中学受験専門 夏井算数塾")</f>
        <v>2025年 春期講習のお知らせ【個別】 - 中学受験専門 夏井算数塾</v>
      </c>
      <c r="D139" s="1" t="str">
        <f>IFERROR(__xludf.DUMMYFUNCTION("IFERROR(
  VLOOKUP(
    A139,
    IMPORTRANGE(
      ""1ZygntHC1J6IxzKbTidmOyf5nUyW4GCLurHCjexrLm_o        "",
      ""HTMLキャッシュ!A:F""
    ),
    6,
    FALSE
  ),
  0
)
"),"春休みは、短い期間ながらも日頃の学習で残った課題を解決し、力を蓄える絶好のタイミングです。 夏井算数塾では、こ")</f>
        <v>春休みは、短い期間ながらも日頃の学習で残った課題を解決し、力を蓄える絶好のタイミングです。 夏井算数塾では、こ</v>
      </c>
      <c r="E139" s="49">
        <f t="shared" ref="E139:F139" si="686">LEN(C139)</f>
        <v>34</v>
      </c>
      <c r="F139" s="49">
        <f t="shared" si="686"/>
        <v>55</v>
      </c>
      <c r="G139" s="32">
        <f>IFERROR(__xludf.DUMMYFUNCTION("IFERROR(
  VLOOKUP(
    A139,
    IMPORTRANGE(
      ""1ZygntHC1J6IxzKbTidmOyf5nUyW4GCLurHCjexrLm_o        "",
      ""HTMLキャッシュ!A:F""
    ),
    3,
    FALSE
  ),
  0
)
"),45970.721284722225)</f>
        <v>45970.72128</v>
      </c>
      <c r="H139" s="54">
        <f>IFERROR(__xludf.DUMMYFUNCTION("IFERROR(
  VLOOKUP(
    A139,
    IMPORTRANGE(
      ""1ZHMy3vVUd_0MrSduXTe1etBb1HNpAlGwQr006ljwMiM"",
      ""GSC最新!A:F""
    ),
    2,
    FALSE
  ),
  0
)
"),0.0)</f>
        <v>0</v>
      </c>
      <c r="I139" s="54">
        <f>IFERROR(__xludf.DUMMYFUNCTION("IFERROR(
  VLOOKUP(
    A139,
    IMPORTRANGE(
      ""1ZHMy3vVUd_0MrSduXTe1etBb1HNpAlGwQr006ljwMiM"",
      ""GSC最新!A:F""
    ),
    3,
    FALSE
  ),
  0
)
"),0.0)</f>
        <v>0</v>
      </c>
      <c r="J139" s="54">
        <f>IFERROR(__xludf.DUMMYFUNCTION("IFERROR(
  VLOOKUP(
    A139,
    IMPORTRANGE(
      ""1ZHMy3vVUd_0MrSduXTe1etBb1HNpAlGwQr006ljwMiM"",
      ""GSC最新!A:F""
    ),
    4,
    FALSE
  ),
  0
)
"),0.0)</f>
        <v>0</v>
      </c>
      <c r="K139" s="54">
        <f>IFERROR(__xludf.DUMMYFUNCTION("IFERROR(
  VLOOKUP(
    A139,
    IMPORTRANGE(
      ""1ZHMy3vVUd_0MrSduXTe1etBb1HNpAlGwQr006ljwMiM"",
      ""GSC最新!A:F""
    ),
    5,
    FALSE
  ),
  0
)
"),0.0)</f>
        <v>0</v>
      </c>
      <c r="L139" s="50" t="str">
        <f t="shared" ref="L139:M139" si="687">IFERROR(H139/J139,"-")</f>
        <v>-</v>
      </c>
      <c r="M139" s="50" t="str">
        <f t="shared" si="687"/>
        <v>-</v>
      </c>
      <c r="N139" s="59">
        <f>IFERROR(__xludf.DUMMYFUNCTION("IFERROR(
  VLOOKUP(
    A139,
    IMPORTRANGE(
      ""1ZHMy3vVUd_0MrSduXTe1etBb1HNpAlGwQr006ljwMiM"",
      ""GSC最新!A:R""
    ),
    7,
    FALSE
  ),
  0
)
"),0.0)</f>
        <v>0</v>
      </c>
      <c r="O139" s="59">
        <f>IFERROR(__xludf.DUMMYFUNCTION("IFERROR(
  VLOOKUP(
    A139,
    IMPORTRANGE(
      ""1ZHMy3vVUd_0MrSduXTe1etBb1HNpAlGwQr006ljwMiM"",
      ""GSC最新!A:R""
    ),
    10,
    FALSE
  ),
  0
)
"),1.0)</f>
        <v>1</v>
      </c>
      <c r="P139" s="59">
        <f>IFERROR(__xludf.DUMMYFUNCTION("IFERROR(
  VLOOKUP(
    A139,
    IMPORTRANGE(
      ""1ZHMy3vVUd_0MrSduXTe1etBb1HNpAlGwQr006ljwMiM"",
      ""GSC最新!A:R""
    ),
    13,
    FALSE
  ),
  0
)
"),0.0)</f>
        <v>0</v>
      </c>
      <c r="Q139" s="59">
        <f>IFERROR(__xludf.DUMMYFUNCTION("IFERROR(
  VLOOKUP(
    A139,
    IMPORTRANGE(
      ""1ZHMy3vVUd_0MrSduXTe1etBb1HNpAlGwQr006ljwMiM"",
      ""GSC最新!A:R""
    ),
    16,
    FALSE
  ),
  0
)
"),0.0)</f>
        <v>0</v>
      </c>
      <c r="R139" s="50" t="str">
        <f t="shared" ref="R139:S139" si="688">IFERROR(N139/P139,"-")</f>
        <v>-</v>
      </c>
      <c r="S139" s="50" t="str">
        <f t="shared" si="688"/>
        <v>-</v>
      </c>
      <c r="T139" s="60">
        <f>IFERROR(__xludf.DUMMYFUNCTION("IFERROR(
  VLOOKUP(
    A139,
    IMPORTRANGE(
      ""1ZHMy3vVUd_0MrSduXTe1etBb1HNpAlGwQr006ljwMiM"",
      ""GSC最新!A:R""
    ),
    8,
    FALSE
  ),
  0
)
"),0.0)</f>
        <v>0</v>
      </c>
      <c r="U139" s="60">
        <f>IFERROR(__xludf.DUMMYFUNCTION("IFERROR(
  VLOOKUP(
    A139,
    IMPORTRANGE(
      ""1ZHMy3vVUd_0MrSduXTe1etBb1HNpAlGwQr006ljwMiM"",
      ""GSC最新!A:R""
    ),
    11,
    FALSE
  ),
  0
)
"),0.0)</f>
        <v>0</v>
      </c>
      <c r="V139" s="60">
        <f>IFERROR(__xludf.DUMMYFUNCTION("IFERROR(
  VLOOKUP(
    A139,
    IMPORTRANGE(
      ""1ZHMy3vVUd_0MrSduXTe1etBb1HNpAlGwQr006ljwMiM"",
      ""GSC最新!A:R""
    ),
    14,
    FALSE
  ),
  0
)
"),0.0)</f>
        <v>0</v>
      </c>
      <c r="W139" s="60">
        <f>IFERROR(__xludf.DUMMYFUNCTION("IFERROR(
  VLOOKUP(
    A139,
    IMPORTRANGE(
      ""1ZHMy3vVUd_0MrSduXTe1etBb1HNpAlGwQr006ljwMiM"",
      ""GSC最新!A:R""
    ),
    17,
    FALSE
  ),
  0
)
"),0.0)</f>
        <v>0</v>
      </c>
      <c r="X139" s="60">
        <f t="shared" ref="X139:Y139" si="689">IFERROR(T139-V139,"-")</f>
        <v>0</v>
      </c>
      <c r="Y139" s="60">
        <f t="shared" si="689"/>
        <v>0</v>
      </c>
      <c r="Z139" s="52" t="str">
        <f>IFERROR(__xludf.DUMMYFUNCTION("IFERROR(
  VLOOKUP(
    A139,
    IMPORTRANGE(
      ""1ZHMy3vVUd_0MrSduXTe1etBb1HNpAlGwQr006ljwMiM"",
      ""GSC最新!A:R""
    ),
    9,
    FALSE
  ),
  0
)
"),"")</f>
        <v/>
      </c>
      <c r="AA139" s="52">
        <f>IFERROR(__xludf.DUMMYFUNCTION("IFERROR(
  VLOOKUP(
    A139,
    IMPORTRANGE(
      ""1ZHMy3vVUd_0MrSduXTe1etBb1HNpAlGwQr006ljwMiM"",
      ""GSC最新!A:R""
    ),
    12,
    FALSE
  ),
  0
)
"),2.0)</f>
        <v>2</v>
      </c>
      <c r="AB139" s="52" t="str">
        <f>IFERROR(__xludf.DUMMYFUNCTION("IFERROR(
  VLOOKUP(
    A139,
    IMPORTRANGE(
      ""1ZHMy3vVUd_0MrSduXTe1etBb1HNpAlGwQr006ljwMiM"",
      ""GSC最新!A:R""
    ),
    15,
    FALSE
  ),
  0
)
"),"")</f>
        <v/>
      </c>
      <c r="AC139" s="52" t="str">
        <f>IFERROR(__xludf.DUMMYFUNCTION("IFERROR(
  VLOOKUP(
    A139,
    IMPORTRANGE(
      ""1ZHMy3vVUd_0MrSduXTe1etBb1HNpAlGwQr006ljwMiM"",
      ""GSC最新!A:R""
    ),
    18,
    FALSE
  ),
  0
)
"),"")</f>
        <v/>
      </c>
      <c r="AD139" s="52">
        <f t="shared" ref="AD139:AE139" si="690">Z139-AB139</f>
        <v>0</v>
      </c>
      <c r="AE139" s="52">
        <f t="shared" si="690"/>
        <v>2</v>
      </c>
      <c r="AF139" s="53">
        <f>IFERROR(__xludf.DUMMYFUNCTION("IFERROR(
  VLOOKUP(
    A139,
    IMPORTRANGE(
      ""1ZHMy3vVUd_0MrSduXTe1etBb1HNpAlGwQr006ljwMiM"",
      ""GSC最新!A:F""
    ),
    6,
    FALSE
  ),
  0
)
"),46081.0)</f>
        <v>46081</v>
      </c>
      <c r="AG139" s="54">
        <f>IFERROR(__xludf.DUMMYFUNCTION("IFERROR(
  VLOOKUP(
    A139,
    IMPORTRANGE(
      ""1SCYQd7_cobOYqT0r_F0IqD4tE4rYn5y8Eup4PJTH8es"",
      ""Snapshot!A:M""
    ),
    5,
    FALSE
  ),
  ""-""
)
"),0.0)</f>
        <v>0</v>
      </c>
      <c r="AH139" s="54">
        <f>IFERROR(__xludf.DUMMYFUNCTION("IFERROR(
  VLOOKUP(
    A139,
    IMPORTRANGE(
      ""1SCYQd7_cobOYqT0r_F0IqD4tE4rYn5y8Eup4PJTH8es"",
      ""Snapshot!A:M""
    ),
    6,
    FALSE
  ),
  0
)
"),0.0)</f>
        <v>0</v>
      </c>
      <c r="AI139" s="54">
        <f>IFERROR(__xludf.DUMMYFUNCTION("IFERROR(
  VLOOKUP(
    A139,
    IMPORTRANGE(
      ""1SCYQd7_cobOYqT0r_F0IqD4tE4rYn5y8Eup4PJTH8es"",
      ""Snapshot!A:M""
    ),
    7,
    FALSE
  ),
  0
)
"),686.0)</f>
        <v>686</v>
      </c>
      <c r="AJ139" s="54">
        <f>IFERROR(__xludf.DUMMYFUNCTION("IFERROR(
  VLOOKUP(
    A139,
    IMPORTRANGE(
      ""1SCYQd7_cobOYqT0r_F0IqD4tE4rYn5y8Eup4PJTH8es"",
      ""Snapshot!A:M""
    ),
    8,
    FALSE
  ),
  0
)
"),5.0)</f>
        <v>5</v>
      </c>
      <c r="AK139" s="54">
        <f>IFERROR(__xludf.DUMMYFUNCTION("IFERROR(
  VLOOKUP(
    A139,
    IMPORTRANGE(
      ""1SCYQd7_cobOYqT0r_F0IqD4tE4rYn5y8Eup4PJTH8es"",
      ""Snapshot!A:M""
    ),
    9,
    FALSE
  ),
  0
)
"),1.0)</f>
        <v>1</v>
      </c>
      <c r="AL139" s="54">
        <f>IFERROR(__xludf.DUMMYFUNCTION("IFERROR(
  VLOOKUP(
    A139,
    IMPORTRANGE(
      ""1SCYQd7_cobOYqT0r_F0IqD4tE4rYn5y8Eup4PJTH8es"",
      ""Snapshot!A:M""
    ),
    13,
    FALSE
  ),
  0
)
"),2.0)</f>
        <v>2</v>
      </c>
    </row>
    <row r="140">
      <c r="A140" s="1" t="s">
        <v>93</v>
      </c>
      <c r="B140" s="1" t="str">
        <f>IFERROR(__xludf.DUMMYFUNCTION("IFERROR(
  VLOOKUP(
    A140,
    IMPORTRANGE(
      ""1ZygntHC1J6IxzKbTidmOyf5nUyW4GCLurHCjexrLm_o"",
      ""HTMLキャッシュ!A:F""
    ),
    2,
    FALSE
  ),
  0
)
"),"-")</f>
        <v>-</v>
      </c>
      <c r="C140" s="1" t="str">
        <f>IFERROR(__xludf.DUMMYFUNCTION("IFERROR(
  VLOOKUP(
    A140,
    IMPORTRANGE(
      ""1ZygntHC1J6IxzKbTidmOyf5nUyW4GCLurHCjexrLm_o"",
      ""HTMLキャッシュ!A:F""
    ),
    5,
    FALSE
  ),
  0
)
"),"未分類 - 中学受験専門 夏井算数塾")</f>
        <v>未分類 - 中学受験専門 夏井算数塾</v>
      </c>
      <c r="D140" s="1" t="str">
        <f>IFERROR(__xludf.DUMMYFUNCTION("IFERROR(
  VLOOKUP(
    A140,
    IMPORTRANGE(
      ""1ZygntHC1J6IxzKbTidmOyf5nUyW4GCLurHCjexrLm_o        "",
      ""HTMLキャッシュ!A:F""
    ),
    6,
    FALSE
  ),
  0
)
"),"未分類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未分類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40" s="49">
        <f t="shared" ref="E140:F140" si="691">LEN(C140)</f>
        <v>18</v>
      </c>
      <c r="F140" s="49">
        <f t="shared" si="691"/>
        <v>161</v>
      </c>
      <c r="G140" s="32">
        <f>IFERROR(__xludf.DUMMYFUNCTION("IFERROR(
  VLOOKUP(
    A140,
    IMPORTRANGE(
      ""1ZygntHC1J6IxzKbTidmOyf5nUyW4GCLurHCjexrLm_o        "",
      ""HTMLキャッシュ!A:F""
    ),
    3,
    FALSE
  ),
  0
)
"),25569.375)</f>
        <v>25569.375</v>
      </c>
      <c r="H140" s="54">
        <f>IFERROR(__xludf.DUMMYFUNCTION("IFERROR(
  VLOOKUP(
    A140,
    IMPORTRANGE(
      ""1ZHMy3vVUd_0MrSduXTe1etBb1HNpAlGwQr006ljwMiM"",
      ""GSC最新!A:F""
    ),
    2,
    FALSE
  ),
  0
)
"),0.0)</f>
        <v>0</v>
      </c>
      <c r="I140" s="54">
        <f>IFERROR(__xludf.DUMMYFUNCTION("IFERROR(
  VLOOKUP(
    A140,
    IMPORTRANGE(
      ""1ZHMy3vVUd_0MrSduXTe1etBb1HNpAlGwQr006ljwMiM"",
      ""GSC最新!A:F""
    ),
    3,
    FALSE
  ),
  0
)
"),0.0)</f>
        <v>0</v>
      </c>
      <c r="J140" s="54">
        <f>IFERROR(__xludf.DUMMYFUNCTION("IFERROR(
  VLOOKUP(
    A140,
    IMPORTRANGE(
      ""1ZHMy3vVUd_0MrSduXTe1etBb1HNpAlGwQr006ljwMiM"",
      ""GSC最新!A:F""
    ),
    4,
    FALSE
  ),
  0
)
"),0.0)</f>
        <v>0</v>
      </c>
      <c r="K140" s="54">
        <f>IFERROR(__xludf.DUMMYFUNCTION("IFERROR(
  VLOOKUP(
    A140,
    IMPORTRANGE(
      ""1ZHMy3vVUd_0MrSduXTe1etBb1HNpAlGwQr006ljwMiM"",
      ""GSC最新!A:F""
    ),
    5,
    FALSE
  ),
  0
)
"),0.0)</f>
        <v>0</v>
      </c>
      <c r="L140" s="50" t="str">
        <f t="shared" ref="L140:M140" si="692">IFERROR(H140/J140,"-")</f>
        <v>-</v>
      </c>
      <c r="M140" s="50" t="str">
        <f t="shared" si="692"/>
        <v>-</v>
      </c>
      <c r="N140" s="59">
        <f>IFERROR(__xludf.DUMMYFUNCTION("IFERROR(
  VLOOKUP(
    A140,
    IMPORTRANGE(
      ""1ZHMy3vVUd_0MrSduXTe1etBb1HNpAlGwQr006ljwMiM"",
      ""GSC最新!A:R""
    ),
    7,
    FALSE
  ),
  0
)
"),0.0)</f>
        <v>0</v>
      </c>
      <c r="O140" s="59">
        <f>IFERROR(__xludf.DUMMYFUNCTION("IFERROR(
  VLOOKUP(
    A140,
    IMPORTRANGE(
      ""1ZHMy3vVUd_0MrSduXTe1etBb1HNpAlGwQr006ljwMiM"",
      ""GSC最新!A:R""
    ),
    10,
    FALSE
  ),
  0
)
"),0.0)</f>
        <v>0</v>
      </c>
      <c r="P140" s="59">
        <f>IFERROR(__xludf.DUMMYFUNCTION("IFERROR(
  VLOOKUP(
    A140,
    IMPORTRANGE(
      ""1ZHMy3vVUd_0MrSduXTe1etBb1HNpAlGwQr006ljwMiM"",
      ""GSC最新!A:R""
    ),
    13,
    FALSE
  ),
  0
)
"),0.0)</f>
        <v>0</v>
      </c>
      <c r="Q140" s="59">
        <f>IFERROR(__xludf.DUMMYFUNCTION("IFERROR(
  VLOOKUP(
    A140,
    IMPORTRANGE(
      ""1ZHMy3vVUd_0MrSduXTe1etBb1HNpAlGwQr006ljwMiM"",
      ""GSC最新!A:R""
    ),
    16,
    FALSE
  ),
  0
)
"),0.0)</f>
        <v>0</v>
      </c>
      <c r="R140" s="50" t="str">
        <f t="shared" ref="R140:S140" si="693">IFERROR(N140/P140,"-")</f>
        <v>-</v>
      </c>
      <c r="S140" s="50" t="str">
        <f t="shared" si="693"/>
        <v>-</v>
      </c>
      <c r="T140" s="60">
        <f>IFERROR(__xludf.DUMMYFUNCTION("IFERROR(
  VLOOKUP(
    A140,
    IMPORTRANGE(
      ""1ZHMy3vVUd_0MrSduXTe1etBb1HNpAlGwQr006ljwMiM"",
      ""GSC最新!A:R""
    ),
    8,
    FALSE
  ),
  0
)
"),0.0)</f>
        <v>0</v>
      </c>
      <c r="U140" s="60">
        <f>IFERROR(__xludf.DUMMYFUNCTION("IFERROR(
  VLOOKUP(
    A140,
    IMPORTRANGE(
      ""1ZHMy3vVUd_0MrSduXTe1etBb1HNpAlGwQr006ljwMiM"",
      ""GSC最新!A:R""
    ),
    11,
    FALSE
  ),
  0
)
"),0.0)</f>
        <v>0</v>
      </c>
      <c r="V140" s="60">
        <f>IFERROR(__xludf.DUMMYFUNCTION("IFERROR(
  VLOOKUP(
    A140,
    IMPORTRANGE(
      ""1ZHMy3vVUd_0MrSduXTe1etBb1HNpAlGwQr006ljwMiM"",
      ""GSC最新!A:R""
    ),
    14,
    FALSE
  ),
  0
)
"),0.0)</f>
        <v>0</v>
      </c>
      <c r="W140" s="60">
        <f>IFERROR(__xludf.DUMMYFUNCTION("IFERROR(
  VLOOKUP(
    A140,
    IMPORTRANGE(
      ""1ZHMy3vVUd_0MrSduXTe1etBb1HNpAlGwQr006ljwMiM"",
      ""GSC最新!A:R""
    ),
    17,
    FALSE
  ),
  0
)
"),0.0)</f>
        <v>0</v>
      </c>
      <c r="X140" s="60">
        <f t="shared" ref="X140:Y140" si="694">IFERROR(T140-V140,"-")</f>
        <v>0</v>
      </c>
      <c r="Y140" s="60">
        <f t="shared" si="694"/>
        <v>0</v>
      </c>
      <c r="Z140" s="52" t="str">
        <f>IFERROR(__xludf.DUMMYFUNCTION("IFERROR(
  VLOOKUP(
    A140,
    IMPORTRANGE(
      ""1ZHMy3vVUd_0MrSduXTe1etBb1HNpAlGwQr006ljwMiM"",
      ""GSC最新!A:R""
    ),
    9,
    FALSE
  ),
  0
)
"),"")</f>
        <v/>
      </c>
      <c r="AA140" s="52" t="str">
        <f>IFERROR(__xludf.DUMMYFUNCTION("IFERROR(
  VLOOKUP(
    A140,
    IMPORTRANGE(
      ""1ZHMy3vVUd_0MrSduXTe1etBb1HNpAlGwQr006ljwMiM"",
      ""GSC最新!A:R""
    ),
    12,
    FALSE
  ),
  0
)
"),"")</f>
        <v/>
      </c>
      <c r="AB140" s="52" t="str">
        <f>IFERROR(__xludf.DUMMYFUNCTION("IFERROR(
  VLOOKUP(
    A140,
    IMPORTRANGE(
      ""1ZHMy3vVUd_0MrSduXTe1etBb1HNpAlGwQr006ljwMiM"",
      ""GSC最新!A:R""
    ),
    15,
    FALSE
  ),
  0
)
"),"")</f>
        <v/>
      </c>
      <c r="AC140" s="52" t="str">
        <f>IFERROR(__xludf.DUMMYFUNCTION("IFERROR(
  VLOOKUP(
    A140,
    IMPORTRANGE(
      ""1ZHMy3vVUd_0MrSduXTe1etBb1HNpAlGwQr006ljwMiM"",
      ""GSC最新!A:R""
    ),
    18,
    FALSE
  ),
  0
)
"),"")</f>
        <v/>
      </c>
      <c r="AD140" s="52">
        <f t="shared" ref="AD140:AE140" si="695">Z140-AB140</f>
        <v>0</v>
      </c>
      <c r="AE140" s="52">
        <f t="shared" si="695"/>
        <v>0</v>
      </c>
      <c r="AF140" s="53">
        <f>IFERROR(__xludf.DUMMYFUNCTION("IFERROR(
  VLOOKUP(
    A140,
    IMPORTRANGE(
      ""1ZHMy3vVUd_0MrSduXTe1etBb1HNpAlGwQr006ljwMiM"",
      ""GSC最新!A:F""
    ),
    6,
    FALSE
  ),
  0
)
"),46081.0)</f>
        <v>46081</v>
      </c>
      <c r="AG140" s="54">
        <f>IFERROR(__xludf.DUMMYFUNCTION("IFERROR(
  VLOOKUP(
    A140,
    IMPORTRANGE(
      ""1SCYQd7_cobOYqT0r_F0IqD4tE4rYn5y8Eup4PJTH8es"",
      ""Snapshot!A:M""
    ),
    5,
    FALSE
  ),
  ""-""
)
"),0.0)</f>
        <v>0</v>
      </c>
      <c r="AH140" s="54">
        <f>IFERROR(__xludf.DUMMYFUNCTION("IFERROR(
  VLOOKUP(
    A140,
    IMPORTRANGE(
      ""1SCYQd7_cobOYqT0r_F0IqD4tE4rYn5y8Eup4PJTH8es"",
      ""Snapshot!A:M""
    ),
    6,
    FALSE
  ),
  0
)
"),0.0)</f>
        <v>0</v>
      </c>
      <c r="AI140" s="54">
        <f>IFERROR(__xludf.DUMMYFUNCTION("IFERROR(
  VLOOKUP(
    A140,
    IMPORTRANGE(
      ""1SCYQd7_cobOYqT0r_F0IqD4tE4rYn5y8Eup4PJTH8es"",
      ""Snapshot!A:M""
    ),
    7,
    FALSE
  ),
  0
)
"),0.0)</f>
        <v>0</v>
      </c>
      <c r="AJ140" s="54">
        <f>IFERROR(__xludf.DUMMYFUNCTION("IFERROR(
  VLOOKUP(
    A140,
    IMPORTRANGE(
      ""1SCYQd7_cobOYqT0r_F0IqD4tE4rYn5y8Eup4PJTH8es"",
      ""Snapshot!A:M""
    ),
    8,
    FALSE
  ),
  0
)
"),0.0)</f>
        <v>0</v>
      </c>
      <c r="AK140" s="54">
        <f>IFERROR(__xludf.DUMMYFUNCTION("IFERROR(
  VLOOKUP(
    A140,
    IMPORTRANGE(
      ""1SCYQd7_cobOYqT0r_F0IqD4tE4rYn5y8Eup4PJTH8es"",
      ""Snapshot!A:M""
    ),
    9,
    FALSE
  ),
  0
)
"),0.0)</f>
        <v>0</v>
      </c>
      <c r="AL140" s="54">
        <f>IFERROR(__xludf.DUMMYFUNCTION("IFERROR(
  VLOOKUP(
    A140,
    IMPORTRANGE(
      ""1SCYQd7_cobOYqT0r_F0IqD4tE4rYn5y8Eup4PJTH8es"",
      ""Snapshot!A:M""
    ),
    13,
    FALSE
  ),
  0
)
"),1.0)</f>
        <v>1</v>
      </c>
    </row>
    <row r="141">
      <c r="A141" s="3" t="s">
        <v>95</v>
      </c>
      <c r="B141" s="1" t="str">
        <f>IFERROR(__xludf.DUMMYFUNCTION("IFERROR(
  VLOOKUP(
    A141,
    IMPORTRANGE(
      ""1ZygntHC1J6IxzKbTidmOyf5nUyW4GCLurHCjexrLm_o"",
      ""HTMLキャッシュ!A:F""
    ),
    2,
    FALSE
  ),
  0
)
"),"-")</f>
        <v>-</v>
      </c>
      <c r="C141" s="1" t="str">
        <f>IFERROR(__xludf.DUMMYFUNCTION("IFERROR(
  VLOOKUP(
    A141,
    IMPORTRANGE(
      ""1ZygntHC1J6IxzKbTidmOyf5nUyW4GCLurHCjexrLm_o"",
      ""HTMLキャッシュ!A:F""
    ),
    5,
    FALSE
  ),
  0
)
"),"ブログ - 中学受験専門 夏井算数塾")</f>
        <v>ブログ - 中学受験専門 夏井算数塾</v>
      </c>
      <c r="D141" s="1" t="str">
        <f>IFERROR(__xludf.DUMMYFUNCTION("IFERROR(
  VLOOKUP(
    A141,
    IMPORTRANGE(
      ""1ZygntHC1J6IxzKbTidmOyf5nUyW4GCLurHCjexrLm_o        "",
      ""HTMLキャッシュ!A:F""
    ),
    6,
    FALSE
  ),
  0
)
"),"[1ページ目] ブログ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[1ページ目] ブログ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41" s="49">
        <f t="shared" ref="E141:F141" si="696">LEN(C141)</f>
        <v>18</v>
      </c>
      <c r="F141" s="49">
        <f t="shared" si="696"/>
        <v>168</v>
      </c>
      <c r="G141" s="32">
        <f>IFERROR(__xludf.DUMMYFUNCTION("IFERROR(
  VLOOKUP(
    A141,
    IMPORTRANGE(
      ""1ZygntHC1J6IxzKbTidmOyf5nUyW4GCLurHCjexrLm_o        "",
      ""HTMLキャッシュ!A:F""
    ),
    3,
    FALSE
  ),
  0
)
"),46025.737025462964)</f>
        <v>46025.73703</v>
      </c>
      <c r="H141" s="54">
        <f>IFERROR(__xludf.DUMMYFUNCTION("IFERROR(
  VLOOKUP(
    A141,
    IMPORTRANGE(
      ""1ZHMy3vVUd_0MrSduXTe1etBb1HNpAlGwQr006ljwMiM"",
      ""GSC最新!A:F""
    ),
    2,
    FALSE
  ),
  0
)
"),0.0)</f>
        <v>0</v>
      </c>
      <c r="I141" s="54">
        <f>IFERROR(__xludf.DUMMYFUNCTION("IFERROR(
  VLOOKUP(
    A141,
    IMPORTRANGE(
      ""1ZHMy3vVUd_0MrSduXTe1etBb1HNpAlGwQr006ljwMiM"",
      ""GSC最新!A:F""
    ),
    3,
    FALSE
  ),
  0
)
"),0.0)</f>
        <v>0</v>
      </c>
      <c r="J141" s="54">
        <f>IFERROR(__xludf.DUMMYFUNCTION("IFERROR(
  VLOOKUP(
    A141,
    IMPORTRANGE(
      ""1ZHMy3vVUd_0MrSduXTe1etBb1HNpAlGwQr006ljwMiM"",
      ""GSC最新!A:F""
    ),
    4,
    FALSE
  ),
  0
)
"),0.0)</f>
        <v>0</v>
      </c>
      <c r="K141" s="54">
        <f>IFERROR(__xludf.DUMMYFUNCTION("IFERROR(
  VLOOKUP(
    A141,
    IMPORTRANGE(
      ""1ZHMy3vVUd_0MrSduXTe1etBb1HNpAlGwQr006ljwMiM"",
      ""GSC最新!A:F""
    ),
    5,
    FALSE
  ),
  0
)
"),0.0)</f>
        <v>0</v>
      </c>
      <c r="L141" s="50" t="str">
        <f t="shared" ref="L141:M141" si="697">IFERROR(H141/J141,"-")</f>
        <v>-</v>
      </c>
      <c r="M141" s="50" t="str">
        <f t="shared" si="697"/>
        <v>-</v>
      </c>
      <c r="N141" s="59">
        <f>IFERROR(__xludf.DUMMYFUNCTION("IFERROR(
  VLOOKUP(
    A141,
    IMPORTRANGE(
      ""1ZHMy3vVUd_0MrSduXTe1etBb1HNpAlGwQr006ljwMiM"",
      ""GSC最新!A:R""
    ),
    7,
    FALSE
  ),
  0
)
"),0.0)</f>
        <v>0</v>
      </c>
      <c r="O141" s="59">
        <f>IFERROR(__xludf.DUMMYFUNCTION("IFERROR(
  VLOOKUP(
    A141,
    IMPORTRANGE(
      ""1ZHMy3vVUd_0MrSduXTe1etBb1HNpAlGwQr006ljwMiM"",
      ""GSC最新!A:R""
    ),
    10,
    FALSE
  ),
  0
)
"),0.0)</f>
        <v>0</v>
      </c>
      <c r="P141" s="59">
        <f>IFERROR(__xludf.DUMMYFUNCTION("IFERROR(
  VLOOKUP(
    A141,
    IMPORTRANGE(
      ""1ZHMy3vVUd_0MrSduXTe1etBb1HNpAlGwQr006ljwMiM"",
      ""GSC最新!A:R""
    ),
    13,
    FALSE
  ),
  0
)
"),0.0)</f>
        <v>0</v>
      </c>
      <c r="Q141" s="59">
        <f>IFERROR(__xludf.DUMMYFUNCTION("IFERROR(
  VLOOKUP(
    A141,
    IMPORTRANGE(
      ""1ZHMy3vVUd_0MrSduXTe1etBb1HNpAlGwQr006ljwMiM"",
      ""GSC最新!A:R""
    ),
    16,
    FALSE
  ),
  0
)
"),0.0)</f>
        <v>0</v>
      </c>
      <c r="R141" s="50" t="str">
        <f t="shared" ref="R141:S141" si="698">IFERROR(N141/P141,"-")</f>
        <v>-</v>
      </c>
      <c r="S141" s="50" t="str">
        <f t="shared" si="698"/>
        <v>-</v>
      </c>
      <c r="T141" s="60">
        <f>IFERROR(__xludf.DUMMYFUNCTION("IFERROR(
  VLOOKUP(
    A141,
    IMPORTRANGE(
      ""1ZHMy3vVUd_0MrSduXTe1etBb1HNpAlGwQr006ljwMiM"",
      ""GSC最新!A:R""
    ),
    8,
    FALSE
  ),
  0
)
"),0.0)</f>
        <v>0</v>
      </c>
      <c r="U141" s="60">
        <f>IFERROR(__xludf.DUMMYFUNCTION("IFERROR(
  VLOOKUP(
    A141,
    IMPORTRANGE(
      ""1ZHMy3vVUd_0MrSduXTe1etBb1HNpAlGwQr006ljwMiM"",
      ""GSC最新!A:R""
    ),
    11,
    FALSE
  ),
  0
)
"),0.0)</f>
        <v>0</v>
      </c>
      <c r="V141" s="60">
        <f>IFERROR(__xludf.DUMMYFUNCTION("IFERROR(
  VLOOKUP(
    A141,
    IMPORTRANGE(
      ""1ZHMy3vVUd_0MrSduXTe1etBb1HNpAlGwQr006ljwMiM"",
      ""GSC最新!A:R""
    ),
    14,
    FALSE
  ),
  0
)
"),0.0)</f>
        <v>0</v>
      </c>
      <c r="W141" s="60">
        <f>IFERROR(__xludf.DUMMYFUNCTION("IFERROR(
  VLOOKUP(
    A141,
    IMPORTRANGE(
      ""1ZHMy3vVUd_0MrSduXTe1etBb1HNpAlGwQr006ljwMiM"",
      ""GSC最新!A:R""
    ),
    17,
    FALSE
  ),
  0
)
"),0.0)</f>
        <v>0</v>
      </c>
      <c r="X141" s="60">
        <f t="shared" ref="X141:Y141" si="699">IFERROR(T141-V141,"-")</f>
        <v>0</v>
      </c>
      <c r="Y141" s="60">
        <f t="shared" si="699"/>
        <v>0</v>
      </c>
      <c r="Z141" s="52" t="str">
        <f>IFERROR(__xludf.DUMMYFUNCTION("IFERROR(
  VLOOKUP(
    A141,
    IMPORTRANGE(
      ""1ZHMy3vVUd_0MrSduXTe1etBb1HNpAlGwQr006ljwMiM"",
      ""GSC最新!A:R""
    ),
    9,
    FALSE
  ),
  0
)
"),"")</f>
        <v/>
      </c>
      <c r="AA141" s="52" t="str">
        <f>IFERROR(__xludf.DUMMYFUNCTION("IFERROR(
  VLOOKUP(
    A141,
    IMPORTRANGE(
      ""1ZHMy3vVUd_0MrSduXTe1etBb1HNpAlGwQr006ljwMiM"",
      ""GSC最新!A:R""
    ),
    12,
    FALSE
  ),
  0
)
"),"")</f>
        <v/>
      </c>
      <c r="AB141" s="52" t="str">
        <f>IFERROR(__xludf.DUMMYFUNCTION("IFERROR(
  VLOOKUP(
    A141,
    IMPORTRANGE(
      ""1ZHMy3vVUd_0MrSduXTe1etBb1HNpAlGwQr006ljwMiM"",
      ""GSC最新!A:R""
    ),
    15,
    FALSE
  ),
  0
)
"),"")</f>
        <v/>
      </c>
      <c r="AC141" s="52" t="str">
        <f>IFERROR(__xludf.DUMMYFUNCTION("IFERROR(
  VLOOKUP(
    A141,
    IMPORTRANGE(
      ""1ZHMy3vVUd_0MrSduXTe1etBb1HNpAlGwQr006ljwMiM"",
      ""GSC最新!A:R""
    ),
    18,
    FALSE
  ),
  0
)
"),"")</f>
        <v/>
      </c>
      <c r="AD141" s="52">
        <f t="shared" ref="AD141:AE141" si="700">Z141-AB141</f>
        <v>0</v>
      </c>
      <c r="AE141" s="52">
        <f t="shared" si="700"/>
        <v>0</v>
      </c>
      <c r="AF141" s="53">
        <f>IFERROR(__xludf.DUMMYFUNCTION("IFERROR(
  VLOOKUP(
    A141,
    IMPORTRANGE(
      ""1ZHMy3vVUd_0MrSduXTe1etBb1HNpAlGwQr006ljwMiM"",
      ""GSC最新!A:F""
    ),
    6,
    FALSE
  ),
  0
)
"),46081.0)</f>
        <v>46081</v>
      </c>
      <c r="AG141" s="54">
        <f>IFERROR(__xludf.DUMMYFUNCTION("IFERROR(
  VLOOKUP(
    A141,
    IMPORTRANGE(
      ""1SCYQd7_cobOYqT0r_F0IqD4tE4rYn5y8Eup4PJTH8es"",
      ""Snapshot!A:M""
    ),
    5,
    FALSE
  ),
  ""-""
)
"),0.0)</f>
        <v>0</v>
      </c>
      <c r="AH141" s="54">
        <f>IFERROR(__xludf.DUMMYFUNCTION("IFERROR(
  VLOOKUP(
    A141,
    IMPORTRANGE(
      ""1SCYQd7_cobOYqT0r_F0IqD4tE4rYn5y8Eup4PJTH8es"",
      ""Snapshot!A:M""
    ),
    6,
    FALSE
  ),
  0
)
"),0.0)</f>
        <v>0</v>
      </c>
      <c r="AI141" s="54">
        <f>IFERROR(__xludf.DUMMYFUNCTION("IFERROR(
  VLOOKUP(
    A141,
    IMPORTRANGE(
      ""1SCYQd7_cobOYqT0r_F0IqD4tE4rYn5y8Eup4PJTH8es"",
      ""Snapshot!A:M""
    ),
    7,
    FALSE
  ),
  0
)
"),0.0)</f>
        <v>0</v>
      </c>
      <c r="AJ141" s="54">
        <f>IFERROR(__xludf.DUMMYFUNCTION("IFERROR(
  VLOOKUP(
    A141,
    IMPORTRANGE(
      ""1SCYQd7_cobOYqT0r_F0IqD4tE4rYn5y8Eup4PJTH8es"",
      ""Snapshot!A:M""
    ),
    8,
    FALSE
  ),
  0
)
"),0.0)</f>
        <v>0</v>
      </c>
      <c r="AK141" s="54">
        <f>IFERROR(__xludf.DUMMYFUNCTION("IFERROR(
  VLOOKUP(
    A141,
    IMPORTRANGE(
      ""1SCYQd7_cobOYqT0r_F0IqD4tE4rYn5y8Eup4PJTH8es"",
      ""Snapshot!A:M""
    ),
    9,
    FALSE
  ),
  0
)
"),0.0)</f>
        <v>0</v>
      </c>
      <c r="AL141" s="54">
        <f>IFERROR(__xludf.DUMMYFUNCTION("IFERROR(
  VLOOKUP(
    A141,
    IMPORTRANGE(
      ""1SCYQd7_cobOYqT0r_F0IqD4tE4rYn5y8Eup4PJTH8es"",
      ""Snapshot!A:M""
    ),
    13,
    FALSE
  ),
  0
)
"),1.0)</f>
        <v>1</v>
      </c>
    </row>
    <row r="142">
      <c r="A142" s="3" t="s">
        <v>467</v>
      </c>
      <c r="B142" s="1" t="str">
        <f>IFERROR(__xludf.DUMMYFUNCTION("IFERROR(
  VLOOKUP(
    A142,
    IMPORTRANGE(
      ""1ZygntHC1J6IxzKbTidmOyf5nUyW4GCLurHCjexrLm_o"",
      ""HTMLキャッシュ!A:F""
    ),
    2,
    FALSE
  ),
  0
)
"),"ST")</f>
        <v>ST</v>
      </c>
      <c r="C142" s="1" t="str">
        <f>IFERROR(__xludf.DUMMYFUNCTION("IFERROR(
  VLOOKUP(
    A142,
    IMPORTRANGE(
      ""1ZygntHC1J6IxzKbTidmOyf5nUyW4GCLurHCjexrLm_o"",
      ""HTMLキャッシュ!A:F""
    ),
    5,
    FALSE
  ),
  0
)
"),"時期別対策 - 中学受験専門 夏井算数塾")</f>
        <v>時期別対策 - 中学受験専門 夏井算数塾</v>
      </c>
      <c r="D142" s="1" t="str">
        <f>IFERROR(__xludf.DUMMYFUNCTION("IFERROR(
  VLOOKUP(
    A142,
    IMPORTRANGE(
      ""1ZygntHC1J6IxzKbTidmOyf5nUyW4GCLurHCjexrLm_o        "",
      ""HTMLキャッシュ!A:F""
    ),
    6,
    FALSE
  ),
  0
)
"),"Under Costruction...")</f>
        <v>Under Costruction...</v>
      </c>
      <c r="E142" s="49">
        <f t="shared" ref="E142:F142" si="701">LEN(C142)</f>
        <v>20</v>
      </c>
      <c r="F142" s="49">
        <f t="shared" si="701"/>
        <v>20</v>
      </c>
      <c r="G142" s="32">
        <f>IFERROR(__xludf.DUMMYFUNCTION("IFERROR(
  VLOOKUP(
    A142,
    IMPORTRANGE(
      ""1ZygntHC1J6IxzKbTidmOyf5nUyW4GCLurHCjexrLm_o        "",
      ""HTMLキャッシュ!A:F""
    ),
    3,
    FALSE
  ),
  0
)
"),43262.57738425926)</f>
        <v>43262.57738</v>
      </c>
      <c r="H142" s="54">
        <f>IFERROR(__xludf.DUMMYFUNCTION("IFERROR(
  VLOOKUP(
    A142,
    IMPORTRANGE(
      ""1ZHMy3vVUd_0MrSduXTe1etBb1HNpAlGwQr006ljwMiM"",
      ""GSC最新!A:F""
    ),
    2,
    FALSE
  ),
  0
)
"),0.0)</f>
        <v>0</v>
      </c>
      <c r="I142" s="54">
        <f>IFERROR(__xludf.DUMMYFUNCTION("IFERROR(
  VLOOKUP(
    A142,
    IMPORTRANGE(
      ""1ZHMy3vVUd_0MrSduXTe1etBb1HNpAlGwQr006ljwMiM"",
      ""GSC最新!A:F""
    ),
    3,
    FALSE
  ),
  0
)
"),0.0)</f>
        <v>0</v>
      </c>
      <c r="J142" s="54">
        <f>IFERROR(__xludf.DUMMYFUNCTION("IFERROR(
  VLOOKUP(
    A142,
    IMPORTRANGE(
      ""1ZHMy3vVUd_0MrSduXTe1etBb1HNpAlGwQr006ljwMiM"",
      ""GSC最新!A:F""
    ),
    4,
    FALSE
  ),
  0
)
"),0.0)</f>
        <v>0</v>
      </c>
      <c r="K142" s="54">
        <f>IFERROR(__xludf.DUMMYFUNCTION("IFERROR(
  VLOOKUP(
    A142,
    IMPORTRANGE(
      ""1ZHMy3vVUd_0MrSduXTe1etBb1HNpAlGwQr006ljwMiM"",
      ""GSC最新!A:F""
    ),
    5,
    FALSE
  ),
  0
)
"),0.0)</f>
        <v>0</v>
      </c>
      <c r="L142" s="50" t="str">
        <f t="shared" ref="L142:M142" si="702">IFERROR(H142/J142,"-")</f>
        <v>-</v>
      </c>
      <c r="M142" s="50" t="str">
        <f t="shared" si="702"/>
        <v>-</v>
      </c>
      <c r="N142" s="59">
        <f>IFERROR(__xludf.DUMMYFUNCTION("IFERROR(
  VLOOKUP(
    A142,
    IMPORTRANGE(
      ""1ZHMy3vVUd_0MrSduXTe1etBb1HNpAlGwQr006ljwMiM"",
      ""GSC最新!A:R""
    ),
    7,
    FALSE
  ),
  0
)
"),0.0)</f>
        <v>0</v>
      </c>
      <c r="O142" s="59">
        <f>IFERROR(__xludf.DUMMYFUNCTION("IFERROR(
  VLOOKUP(
    A142,
    IMPORTRANGE(
      ""1ZHMy3vVUd_0MrSduXTe1etBb1HNpAlGwQr006ljwMiM"",
      ""GSC最新!A:R""
    ),
    10,
    FALSE
  ),
  0
)
"),0.0)</f>
        <v>0</v>
      </c>
      <c r="P142" s="59">
        <f>IFERROR(__xludf.DUMMYFUNCTION("IFERROR(
  VLOOKUP(
    A142,
    IMPORTRANGE(
      ""1ZHMy3vVUd_0MrSduXTe1etBb1HNpAlGwQr006ljwMiM"",
      ""GSC最新!A:R""
    ),
    13,
    FALSE
  ),
  0
)
"),0.0)</f>
        <v>0</v>
      </c>
      <c r="Q142" s="59">
        <f>IFERROR(__xludf.DUMMYFUNCTION("IFERROR(
  VLOOKUP(
    A142,
    IMPORTRANGE(
      ""1ZHMy3vVUd_0MrSduXTe1etBb1HNpAlGwQr006ljwMiM"",
      ""GSC最新!A:R""
    ),
    16,
    FALSE
  ),
  0
)
"),0.0)</f>
        <v>0</v>
      </c>
      <c r="R142" s="50" t="str">
        <f t="shared" ref="R142:S142" si="703">IFERROR(N142/P142,"-")</f>
        <v>-</v>
      </c>
      <c r="S142" s="50" t="str">
        <f t="shared" si="703"/>
        <v>-</v>
      </c>
      <c r="T142" s="60">
        <f>IFERROR(__xludf.DUMMYFUNCTION("IFERROR(
  VLOOKUP(
    A142,
    IMPORTRANGE(
      ""1ZHMy3vVUd_0MrSduXTe1etBb1HNpAlGwQr006ljwMiM"",
      ""GSC最新!A:R""
    ),
    8,
    FALSE
  ),
  0
)
"),0.0)</f>
        <v>0</v>
      </c>
      <c r="U142" s="60">
        <f>IFERROR(__xludf.DUMMYFUNCTION("IFERROR(
  VLOOKUP(
    A142,
    IMPORTRANGE(
      ""1ZHMy3vVUd_0MrSduXTe1etBb1HNpAlGwQr006ljwMiM"",
      ""GSC最新!A:R""
    ),
    11,
    FALSE
  ),
  0
)
"),0.0)</f>
        <v>0</v>
      </c>
      <c r="V142" s="60">
        <f>IFERROR(__xludf.DUMMYFUNCTION("IFERROR(
  VLOOKUP(
    A142,
    IMPORTRANGE(
      ""1ZHMy3vVUd_0MrSduXTe1etBb1HNpAlGwQr006ljwMiM"",
      ""GSC最新!A:R""
    ),
    14,
    FALSE
  ),
  0
)
"),0.0)</f>
        <v>0</v>
      </c>
      <c r="W142" s="60">
        <f>IFERROR(__xludf.DUMMYFUNCTION("IFERROR(
  VLOOKUP(
    A142,
    IMPORTRANGE(
      ""1ZHMy3vVUd_0MrSduXTe1etBb1HNpAlGwQr006ljwMiM"",
      ""GSC最新!A:R""
    ),
    17,
    FALSE
  ),
  0
)
"),0.0)</f>
        <v>0</v>
      </c>
      <c r="X142" s="60">
        <f t="shared" ref="X142:Y142" si="704">IFERROR(T142-V142,"-")</f>
        <v>0</v>
      </c>
      <c r="Y142" s="60">
        <f t="shared" si="704"/>
        <v>0</v>
      </c>
      <c r="Z142" s="52" t="str">
        <f>IFERROR(__xludf.DUMMYFUNCTION("IFERROR(
  VLOOKUP(
    A142,
    IMPORTRANGE(
      ""1ZHMy3vVUd_0MrSduXTe1etBb1HNpAlGwQr006ljwMiM"",
      ""GSC最新!A:R""
    ),
    9,
    FALSE
  ),
  0
)
"),"")</f>
        <v/>
      </c>
      <c r="AA142" s="52" t="str">
        <f>IFERROR(__xludf.DUMMYFUNCTION("IFERROR(
  VLOOKUP(
    A142,
    IMPORTRANGE(
      ""1ZHMy3vVUd_0MrSduXTe1etBb1HNpAlGwQr006ljwMiM"",
      ""GSC最新!A:R""
    ),
    12,
    FALSE
  ),
  0
)
"),"")</f>
        <v/>
      </c>
      <c r="AB142" s="52" t="str">
        <f>IFERROR(__xludf.DUMMYFUNCTION("IFERROR(
  VLOOKUP(
    A142,
    IMPORTRANGE(
      ""1ZHMy3vVUd_0MrSduXTe1etBb1HNpAlGwQr006ljwMiM"",
      ""GSC最新!A:R""
    ),
    15,
    FALSE
  ),
  0
)
"),"")</f>
        <v/>
      </c>
      <c r="AC142" s="52" t="str">
        <f>IFERROR(__xludf.DUMMYFUNCTION("IFERROR(
  VLOOKUP(
    A142,
    IMPORTRANGE(
      ""1ZHMy3vVUd_0MrSduXTe1etBb1HNpAlGwQr006ljwMiM"",
      ""GSC最新!A:R""
    ),
    18,
    FALSE
  ),
  0
)
"),"")</f>
        <v/>
      </c>
      <c r="AD142" s="52">
        <f t="shared" ref="AD142:AE142" si="705">Z142-AB142</f>
        <v>0</v>
      </c>
      <c r="AE142" s="52">
        <f t="shared" si="705"/>
        <v>0</v>
      </c>
      <c r="AF142" s="53">
        <f>IFERROR(__xludf.DUMMYFUNCTION("IFERROR(
  VLOOKUP(
    A142,
    IMPORTRANGE(
      ""1ZHMy3vVUd_0MrSduXTe1etBb1HNpAlGwQr006ljwMiM"",
      ""GSC最新!A:F""
    ),
    6,
    FALSE
  ),
  0
)
"),46081.0)</f>
        <v>46081</v>
      </c>
      <c r="AG142" s="54">
        <f>IFERROR(__xludf.DUMMYFUNCTION("IFERROR(
  VLOOKUP(
    A142,
    IMPORTRANGE(
      ""1SCYQd7_cobOYqT0r_F0IqD4tE4rYn5y8Eup4PJTH8es"",
      ""Snapshot!A:M""
    ),
    5,
    FALSE
  ),
  ""-""
)
"),0.0)</f>
        <v>0</v>
      </c>
      <c r="AH142" s="54">
        <f>IFERROR(__xludf.DUMMYFUNCTION("IFERROR(
  VLOOKUP(
    A142,
    IMPORTRANGE(
      ""1SCYQd7_cobOYqT0r_F0IqD4tE4rYn5y8Eup4PJTH8es"",
      ""Snapshot!A:M""
    ),
    6,
    FALSE
  ),
  0
)
"),0.0)</f>
        <v>0</v>
      </c>
      <c r="AI142" s="54">
        <f>IFERROR(__xludf.DUMMYFUNCTION("IFERROR(
  VLOOKUP(
    A142,
    IMPORTRANGE(
      ""1SCYQd7_cobOYqT0r_F0IqD4tE4rYn5y8Eup4PJTH8es"",
      ""Snapshot!A:M""
    ),
    7,
    FALSE
  ),
  0
)
"),24.0)</f>
        <v>24</v>
      </c>
      <c r="AJ142" s="54">
        <f>IFERROR(__xludf.DUMMYFUNCTION("IFERROR(
  VLOOKUP(
    A142,
    IMPORTRANGE(
      ""1SCYQd7_cobOYqT0r_F0IqD4tE4rYn5y8Eup4PJTH8es"",
      ""Snapshot!A:M""
    ),
    8,
    FALSE
  ),
  0
)
"),0.0)</f>
        <v>0</v>
      </c>
      <c r="AK142" s="54">
        <f>IFERROR(__xludf.DUMMYFUNCTION("IFERROR(
  VLOOKUP(
    A142,
    IMPORTRANGE(
      ""1SCYQd7_cobOYqT0r_F0IqD4tE4rYn5y8Eup4PJTH8es"",
      ""Snapshot!A:M""
    ),
    9,
    FALSE
  ),
  0
)
"),1.0)</f>
        <v>1</v>
      </c>
      <c r="AL142" s="54">
        <f>IFERROR(__xludf.DUMMYFUNCTION("IFERROR(
  VLOOKUP(
    A142,
    IMPORTRANGE(
      ""1SCYQd7_cobOYqT0r_F0IqD4tE4rYn5y8Eup4PJTH8es"",
      ""Snapshot!A:M""
    ),
    13,
    FALSE
  ),
  0
)
"),1.0)</f>
        <v>1</v>
      </c>
    </row>
    <row r="143">
      <c r="A143" s="3" t="s">
        <v>347</v>
      </c>
      <c r="B143" s="1" t="str">
        <f>IFERROR(__xludf.DUMMYFUNCTION("IFERROR(
  VLOOKUP(
    A143,
    IMPORTRANGE(
      ""1ZygntHC1J6IxzKbTidmOyf5nUyW4GCLurHCjexrLm_o"",
      ""HTMLキャッシュ!A:F""
    ),
    2,
    FALSE
  ),
  0
)
"),"SP")</f>
        <v>SP</v>
      </c>
      <c r="C143" s="1" t="str">
        <f>IFERROR(__xludf.DUMMYFUNCTION("IFERROR(
  VLOOKUP(
    A143,
    IMPORTRANGE(
      ""1ZygntHC1J6IxzKbTidmOyf5nUyW4GCLurHCjexrLm_o"",
      ""HTMLキャッシュ!A:F""
    ),
    5,
    FALSE
  ),
  0
)
"),"夏井算数塾の個別指導講座一覧｜学年別・目的別対応オンライン塾")</f>
        <v>夏井算数塾の個別指導講座一覧｜学年別・目的別対応オンライン塾</v>
      </c>
      <c r="D143" s="1" t="str">
        <f>IFERROR(__xludf.DUMMYFUNCTION("IFERROR(
  VLOOKUP(
    A143,
    IMPORTRANGE(
      ""1ZygntHC1J6IxzKbTidmOyf5nUyW4GCLurHCjexrLm_o        "",
      ""HTMLキャッシュ!A:F""
    ),
    6,
    FALSE
  ),
  0
)
"),"算数が伸び悩む小中生へ。1対1個別・オンライン・短期講座を一覧で比較し最適な学習法を選べる。体験受付中今すぐ相談可")</f>
        <v>算数が伸び悩む小中生へ。1対1個別・オンライン・短期講座を一覧で比較し最適な学習法を選べる。体験受付中今すぐ相談可</v>
      </c>
      <c r="E143" s="49">
        <f t="shared" ref="E143:F143" si="706">LEN(C143)</f>
        <v>30</v>
      </c>
      <c r="F143" s="49">
        <f t="shared" si="706"/>
        <v>57</v>
      </c>
      <c r="G143" s="32">
        <f>IFERROR(__xludf.DUMMYFUNCTION("IFERROR(
  VLOOKUP(
    A143,
    IMPORTRANGE(
      ""1ZygntHC1J6IxzKbTidmOyf5nUyW4GCLurHCjexrLm_o        "",
      ""HTMLキャッシュ!A:F""
    ),
    3,
    FALSE
  ),
  0
)
"),46083.72033564815)</f>
        <v>46083.72034</v>
      </c>
      <c r="H143" s="54">
        <f>IFERROR(__xludf.DUMMYFUNCTION("IFERROR(
  VLOOKUP(
    A143,
    IMPORTRANGE(
      ""1ZHMy3vVUd_0MrSduXTe1etBb1HNpAlGwQr006ljwMiM"",
      ""GSC最新!A:F""
    ),
    2,
    FALSE
  ),
  0
)
"),0.0)</f>
        <v>0</v>
      </c>
      <c r="I143" s="54">
        <f>IFERROR(__xludf.DUMMYFUNCTION("IFERROR(
  VLOOKUP(
    A143,
    IMPORTRANGE(
      ""1ZHMy3vVUd_0MrSduXTe1etBb1HNpAlGwQr006ljwMiM"",
      ""GSC最新!A:F""
    ),
    3,
    FALSE
  ),
  0
)
"),0.0)</f>
        <v>0</v>
      </c>
      <c r="J143" s="54">
        <f>IFERROR(__xludf.DUMMYFUNCTION("IFERROR(
  VLOOKUP(
    A143,
    IMPORTRANGE(
      ""1ZHMy3vVUd_0MrSduXTe1etBb1HNpAlGwQr006ljwMiM"",
      ""GSC最新!A:F""
    ),
    4,
    FALSE
  ),
  0
)
"),0.0)</f>
        <v>0</v>
      </c>
      <c r="K143" s="54">
        <f>IFERROR(__xludf.DUMMYFUNCTION("IFERROR(
  VLOOKUP(
    A143,
    IMPORTRANGE(
      ""1ZHMy3vVUd_0MrSduXTe1etBb1HNpAlGwQr006ljwMiM"",
      ""GSC最新!A:F""
    ),
    5,
    FALSE
  ),
  0
)
"),0.0)</f>
        <v>0</v>
      </c>
      <c r="L143" s="50" t="str">
        <f t="shared" ref="L143:M143" si="707">IFERROR(H143/J143,"-")</f>
        <v>-</v>
      </c>
      <c r="M143" s="50" t="str">
        <f t="shared" si="707"/>
        <v>-</v>
      </c>
      <c r="N143" s="59">
        <f>IFERROR(__xludf.DUMMYFUNCTION("IFERROR(
  VLOOKUP(
    A143,
    IMPORTRANGE(
      ""1ZHMy3vVUd_0MrSduXTe1etBb1HNpAlGwQr006ljwMiM"",
      ""GSC最新!A:R""
    ),
    7,
    FALSE
  ),
  0
)
"),0.0)</f>
        <v>0</v>
      </c>
      <c r="O143" s="59">
        <f>IFERROR(__xludf.DUMMYFUNCTION("IFERROR(
  VLOOKUP(
    A143,
    IMPORTRANGE(
      ""1ZHMy3vVUd_0MrSduXTe1etBb1HNpAlGwQr006ljwMiM"",
      ""GSC最新!A:R""
    ),
    10,
    FALSE
  ),
  0
)
"),0.0)</f>
        <v>0</v>
      </c>
      <c r="P143" s="59">
        <f>IFERROR(__xludf.DUMMYFUNCTION("IFERROR(
  VLOOKUP(
    A143,
    IMPORTRANGE(
      ""1ZHMy3vVUd_0MrSduXTe1etBb1HNpAlGwQr006ljwMiM"",
      ""GSC最新!A:R""
    ),
    13,
    FALSE
  ),
  0
)
"),0.0)</f>
        <v>0</v>
      </c>
      <c r="Q143" s="59">
        <f>IFERROR(__xludf.DUMMYFUNCTION("IFERROR(
  VLOOKUP(
    A143,
    IMPORTRANGE(
      ""1ZHMy3vVUd_0MrSduXTe1etBb1HNpAlGwQr006ljwMiM"",
      ""GSC最新!A:R""
    ),
    16,
    FALSE
  ),
  0
)
"),0.0)</f>
        <v>0</v>
      </c>
      <c r="R143" s="50" t="str">
        <f t="shared" ref="R143:S143" si="708">IFERROR(N143/P143,"-")</f>
        <v>-</v>
      </c>
      <c r="S143" s="50" t="str">
        <f t="shared" si="708"/>
        <v>-</v>
      </c>
      <c r="T143" s="60">
        <f>IFERROR(__xludf.DUMMYFUNCTION("IFERROR(
  VLOOKUP(
    A143,
    IMPORTRANGE(
      ""1ZHMy3vVUd_0MrSduXTe1etBb1HNpAlGwQr006ljwMiM"",
      ""GSC最新!A:R""
    ),
    8,
    FALSE
  ),
  0
)
"),0.0)</f>
        <v>0</v>
      </c>
      <c r="U143" s="60">
        <f>IFERROR(__xludf.DUMMYFUNCTION("IFERROR(
  VLOOKUP(
    A143,
    IMPORTRANGE(
      ""1ZHMy3vVUd_0MrSduXTe1etBb1HNpAlGwQr006ljwMiM"",
      ""GSC最新!A:R""
    ),
    11,
    FALSE
  ),
  0
)
"),0.0)</f>
        <v>0</v>
      </c>
      <c r="V143" s="60">
        <f>IFERROR(__xludf.DUMMYFUNCTION("IFERROR(
  VLOOKUP(
    A143,
    IMPORTRANGE(
      ""1ZHMy3vVUd_0MrSduXTe1etBb1HNpAlGwQr006ljwMiM"",
      ""GSC最新!A:R""
    ),
    14,
    FALSE
  ),
  0
)
"),0.0)</f>
        <v>0</v>
      </c>
      <c r="W143" s="60">
        <f>IFERROR(__xludf.DUMMYFUNCTION("IFERROR(
  VLOOKUP(
    A143,
    IMPORTRANGE(
      ""1ZHMy3vVUd_0MrSduXTe1etBb1HNpAlGwQr006ljwMiM"",
      ""GSC最新!A:R""
    ),
    17,
    FALSE
  ),
  0
)
"),0.0)</f>
        <v>0</v>
      </c>
      <c r="X143" s="60">
        <f t="shared" ref="X143:Y143" si="709">IFERROR(T143-V143,"-")</f>
        <v>0</v>
      </c>
      <c r="Y143" s="60">
        <f t="shared" si="709"/>
        <v>0</v>
      </c>
      <c r="Z143" s="52" t="str">
        <f>IFERROR(__xludf.DUMMYFUNCTION("IFERROR(
  VLOOKUP(
    A143,
    IMPORTRANGE(
      ""1ZHMy3vVUd_0MrSduXTe1etBb1HNpAlGwQr006ljwMiM"",
      ""GSC最新!A:R""
    ),
    9,
    FALSE
  ),
  0
)
"),"")</f>
        <v/>
      </c>
      <c r="AA143" s="52" t="str">
        <f>IFERROR(__xludf.DUMMYFUNCTION("IFERROR(
  VLOOKUP(
    A143,
    IMPORTRANGE(
      ""1ZHMy3vVUd_0MrSduXTe1etBb1HNpAlGwQr006ljwMiM"",
      ""GSC最新!A:R""
    ),
    12,
    FALSE
  ),
  0
)
"),"")</f>
        <v/>
      </c>
      <c r="AB143" s="52" t="str">
        <f>IFERROR(__xludf.DUMMYFUNCTION("IFERROR(
  VLOOKUP(
    A143,
    IMPORTRANGE(
      ""1ZHMy3vVUd_0MrSduXTe1etBb1HNpAlGwQr006ljwMiM"",
      ""GSC最新!A:R""
    ),
    15,
    FALSE
  ),
  0
)
"),"")</f>
        <v/>
      </c>
      <c r="AC143" s="52" t="str">
        <f>IFERROR(__xludf.DUMMYFUNCTION("IFERROR(
  VLOOKUP(
    A143,
    IMPORTRANGE(
      ""1ZHMy3vVUd_0MrSduXTe1etBb1HNpAlGwQr006ljwMiM"",
      ""GSC最新!A:R""
    ),
    18,
    FALSE
  ),
  0
)
"),"")</f>
        <v/>
      </c>
      <c r="AD143" s="52">
        <f t="shared" ref="AD143:AE143" si="710">Z143-AB143</f>
        <v>0</v>
      </c>
      <c r="AE143" s="52">
        <f t="shared" si="710"/>
        <v>0</v>
      </c>
      <c r="AF143" s="53">
        <f>IFERROR(__xludf.DUMMYFUNCTION("IFERROR(
  VLOOKUP(
    A143,
    IMPORTRANGE(
      ""1ZHMy3vVUd_0MrSduXTe1etBb1HNpAlGwQr006ljwMiM"",
      ""GSC最新!A:F""
    ),
    6,
    FALSE
  ),
  0
)
"),46081.0)</f>
        <v>46081</v>
      </c>
      <c r="AG143" s="54">
        <f>IFERROR(__xludf.DUMMYFUNCTION("IFERROR(
  VLOOKUP(
    A143,
    IMPORTRANGE(
      ""1SCYQd7_cobOYqT0r_F0IqD4tE4rYn5y8Eup4PJTH8es"",
      ""Snapshot!A:M""
    ),
    5,
    FALSE
  ),
  ""-""
)
"),6.0)</f>
        <v>6</v>
      </c>
      <c r="AH143" s="54">
        <f>IFERROR(__xludf.DUMMYFUNCTION("IFERROR(
  VLOOKUP(
    A143,
    IMPORTRANGE(
      ""1SCYQd7_cobOYqT0r_F0IqD4tE4rYn5y8Eup4PJTH8es"",
      ""Snapshot!A:M""
    ),
    6,
    FALSE
  ),
  0
)
"),1.0)</f>
        <v>1</v>
      </c>
      <c r="AI143" s="54">
        <f>IFERROR(__xludf.DUMMYFUNCTION("IFERROR(
  VLOOKUP(
    A143,
    IMPORTRANGE(
      ""1SCYQd7_cobOYqT0r_F0IqD4tE4rYn5y8Eup4PJTH8es"",
      ""Snapshot!A:M""
    ),
    7,
    FALSE
  ),
  0
)
"),1647.0)</f>
        <v>1647</v>
      </c>
      <c r="AJ143" s="54">
        <f>IFERROR(__xludf.DUMMYFUNCTION("IFERROR(
  VLOOKUP(
    A143,
    IMPORTRANGE(
      ""1SCYQd7_cobOYqT0r_F0IqD4tE4rYn5y8Eup4PJTH8es"",
      ""Snapshot!A:M""
    ),
    8,
    FALSE
  ),
  0
)
"),6.0)</f>
        <v>6</v>
      </c>
      <c r="AK143" s="54">
        <f>IFERROR(__xludf.DUMMYFUNCTION("IFERROR(
  VLOOKUP(
    A143,
    IMPORTRANGE(
      ""1SCYQd7_cobOYqT0r_F0IqD4tE4rYn5y8Eup4PJTH8es"",
      ""Snapshot!A:M""
    ),
    9,
    FALSE
  ),
  0
)
"),3.0)</f>
        <v>3</v>
      </c>
      <c r="AL143" s="54">
        <f>IFERROR(__xludf.DUMMYFUNCTION("IFERROR(
  VLOOKUP(
    A143,
    IMPORTRANGE(
      ""1SCYQd7_cobOYqT0r_F0IqD4tE4rYn5y8Eup4PJTH8es"",
      ""Snapshot!A:M""
    ),
    13,
    FALSE
  ),
  0
)
"),1.0)</f>
        <v>1</v>
      </c>
    </row>
    <row r="144">
      <c r="A144" s="3" t="s">
        <v>468</v>
      </c>
      <c r="B144" s="1" t="str">
        <f>IFERROR(__xludf.DUMMYFUNCTION("IFERROR(
  VLOOKUP(
    A144,
    IMPORTRANGE(
      ""1ZygntHC1J6IxzKbTidmOyf5nUyW4GCLurHCjexrLm_o"",
      ""HTMLキャッシュ!A:F""
    ),
    2,
    FALSE
  ),
  0
)
"),"MC")</f>
        <v>MC</v>
      </c>
      <c r="C144" s="1" t="str">
        <f>IFERROR(__xludf.DUMMYFUNCTION("IFERROR(
  VLOOKUP(
    A144,
    IMPORTRANGE(
      ""1ZygntHC1J6IxzKbTidmOyf5nUyW4GCLurHCjexrLm_o"",
      ""HTMLキャッシュ!A:F""
    ),
    5,
    FALSE
  ),
  0
)
"),"入試直前期の算数対策｜ミス減らし・時間配分・再現性を高める法")</f>
        <v>入試直前期の算数対策｜ミス減らし・時間配分・再現性を高める法</v>
      </c>
      <c r="D144" s="1" t="str">
        <f>IFERROR(__xludf.DUMMYFUNCTION("IFERROR(
  VLOOKUP(
    A144,
    IMPORTRANGE(
      ""1ZygntHC1J6IxzKbTidmOyf5nUyW4GCLurHCjexrLm_o        "",
      ""HTMLキャッシュ!A:F""
    ),
    6,
    FALSE
  ),
  0
)
"),"直前期 算数 入試直前期は「落とさない仕組み」で点を上げる 入試直前期は、「新しいことを増やす時期」ではありま")</f>
        <v>直前期 算数 入試直前期は「落とさない仕組み」で点を上げる 入試直前期は、「新しいことを増やす時期」ではありま</v>
      </c>
      <c r="E144" s="49">
        <f t="shared" ref="E144:F144" si="711">LEN(C144)</f>
        <v>30</v>
      </c>
      <c r="F144" s="49">
        <f t="shared" si="711"/>
        <v>55</v>
      </c>
      <c r="G144" s="32">
        <f>IFERROR(__xludf.DUMMYFUNCTION("IFERROR(
  VLOOKUP(
    A144,
    IMPORTRANGE(
      ""1ZygntHC1J6IxzKbTidmOyf5nUyW4GCLurHCjexrLm_o        "",
      ""HTMLキャッシュ!A:F""
    ),
    3,
    FALSE
  ),
  0
)
"),46084.572858796295)</f>
        <v>46084.57286</v>
      </c>
      <c r="H144" s="54">
        <f>IFERROR(__xludf.DUMMYFUNCTION("IFERROR(
  VLOOKUP(
    A144,
    IMPORTRANGE(
      ""1ZHMy3vVUd_0MrSduXTe1etBb1HNpAlGwQr006ljwMiM"",
      ""GSC最新!A:F""
    ),
    2,
    FALSE
  ),
  0
)
"),0.0)</f>
        <v>0</v>
      </c>
      <c r="I144" s="54">
        <f>IFERROR(__xludf.DUMMYFUNCTION("IFERROR(
  VLOOKUP(
    A144,
    IMPORTRANGE(
      ""1ZHMy3vVUd_0MrSduXTe1etBb1HNpAlGwQr006ljwMiM"",
      ""GSC最新!A:F""
    ),
    3,
    FALSE
  ),
  0
)
"),0.0)</f>
        <v>0</v>
      </c>
      <c r="J144" s="54">
        <f>IFERROR(__xludf.DUMMYFUNCTION("IFERROR(
  VLOOKUP(
    A144,
    IMPORTRANGE(
      ""1ZHMy3vVUd_0MrSduXTe1etBb1HNpAlGwQr006ljwMiM"",
      ""GSC最新!A:F""
    ),
    4,
    FALSE
  ),
  0
)
"),0.0)</f>
        <v>0</v>
      </c>
      <c r="K144" s="54">
        <f>IFERROR(__xludf.DUMMYFUNCTION("IFERROR(
  VLOOKUP(
    A144,
    IMPORTRANGE(
      ""1ZHMy3vVUd_0MrSduXTe1etBb1HNpAlGwQr006ljwMiM"",
      ""GSC最新!A:F""
    ),
    5,
    FALSE
  ),
  0
)
"),0.0)</f>
        <v>0</v>
      </c>
      <c r="L144" s="50" t="str">
        <f t="shared" ref="L144:M144" si="712">IFERROR(H144/J144,"-")</f>
        <v>-</v>
      </c>
      <c r="M144" s="50" t="str">
        <f t="shared" si="712"/>
        <v>-</v>
      </c>
      <c r="N144" s="59">
        <f>IFERROR(__xludf.DUMMYFUNCTION("IFERROR(
  VLOOKUP(
    A144,
    IMPORTRANGE(
      ""1ZHMy3vVUd_0MrSduXTe1etBb1HNpAlGwQr006ljwMiM"",
      ""GSC最新!A:R""
    ),
    7,
    FALSE
  ),
  0
)
"),0.0)</f>
        <v>0</v>
      </c>
      <c r="O144" s="59">
        <f>IFERROR(__xludf.DUMMYFUNCTION("IFERROR(
  VLOOKUP(
    A144,
    IMPORTRANGE(
      ""1ZHMy3vVUd_0MrSduXTe1etBb1HNpAlGwQr006ljwMiM"",
      ""GSC最新!A:R""
    ),
    10,
    FALSE
  ),
  0
)
"),0.0)</f>
        <v>0</v>
      </c>
      <c r="P144" s="59">
        <f>IFERROR(__xludf.DUMMYFUNCTION("IFERROR(
  VLOOKUP(
    A144,
    IMPORTRANGE(
      ""1ZHMy3vVUd_0MrSduXTe1etBb1HNpAlGwQr006ljwMiM"",
      ""GSC最新!A:R""
    ),
    13,
    FALSE
  ),
  0
)
"),0.0)</f>
        <v>0</v>
      </c>
      <c r="Q144" s="59">
        <f>IFERROR(__xludf.DUMMYFUNCTION("IFERROR(
  VLOOKUP(
    A144,
    IMPORTRANGE(
      ""1ZHMy3vVUd_0MrSduXTe1etBb1HNpAlGwQr006ljwMiM"",
      ""GSC最新!A:R""
    ),
    16,
    FALSE
  ),
  0
)
"),0.0)</f>
        <v>0</v>
      </c>
      <c r="R144" s="50" t="str">
        <f t="shared" ref="R144:S144" si="713">IFERROR(N144/P144,"-")</f>
        <v>-</v>
      </c>
      <c r="S144" s="50" t="str">
        <f t="shared" si="713"/>
        <v>-</v>
      </c>
      <c r="T144" s="60">
        <f>IFERROR(__xludf.DUMMYFUNCTION("IFERROR(
  VLOOKUP(
    A144,
    IMPORTRANGE(
      ""1ZHMy3vVUd_0MrSduXTe1etBb1HNpAlGwQr006ljwMiM"",
      ""GSC最新!A:R""
    ),
    8,
    FALSE
  ),
  0
)
"),0.0)</f>
        <v>0</v>
      </c>
      <c r="U144" s="60">
        <f>IFERROR(__xludf.DUMMYFUNCTION("IFERROR(
  VLOOKUP(
    A144,
    IMPORTRANGE(
      ""1ZHMy3vVUd_0MrSduXTe1etBb1HNpAlGwQr006ljwMiM"",
      ""GSC最新!A:R""
    ),
    11,
    FALSE
  ),
  0
)
"),0.0)</f>
        <v>0</v>
      </c>
      <c r="V144" s="60">
        <f>IFERROR(__xludf.DUMMYFUNCTION("IFERROR(
  VLOOKUP(
    A144,
    IMPORTRANGE(
      ""1ZHMy3vVUd_0MrSduXTe1etBb1HNpAlGwQr006ljwMiM"",
      ""GSC最新!A:R""
    ),
    14,
    FALSE
  ),
  0
)
"),0.0)</f>
        <v>0</v>
      </c>
      <c r="W144" s="60">
        <f>IFERROR(__xludf.DUMMYFUNCTION("IFERROR(
  VLOOKUP(
    A144,
    IMPORTRANGE(
      ""1ZHMy3vVUd_0MrSduXTe1etBb1HNpAlGwQr006ljwMiM"",
      ""GSC最新!A:R""
    ),
    17,
    FALSE
  ),
  0
)
"),0.0)</f>
        <v>0</v>
      </c>
      <c r="X144" s="60">
        <f t="shared" ref="X144:Y144" si="714">IFERROR(T144-V144,"-")</f>
        <v>0</v>
      </c>
      <c r="Y144" s="60">
        <f t="shared" si="714"/>
        <v>0</v>
      </c>
      <c r="Z144" s="52" t="str">
        <f>IFERROR(__xludf.DUMMYFUNCTION("IFERROR(
  VLOOKUP(
    A144,
    IMPORTRANGE(
      ""1ZHMy3vVUd_0MrSduXTe1etBb1HNpAlGwQr006ljwMiM"",
      ""GSC最新!A:R""
    ),
    9,
    FALSE
  ),
  0
)
"),"")</f>
        <v/>
      </c>
      <c r="AA144" s="52" t="str">
        <f>IFERROR(__xludf.DUMMYFUNCTION("IFERROR(
  VLOOKUP(
    A144,
    IMPORTRANGE(
      ""1ZHMy3vVUd_0MrSduXTe1etBb1HNpAlGwQr006ljwMiM"",
      ""GSC最新!A:R""
    ),
    12,
    FALSE
  ),
  0
)
"),"")</f>
        <v/>
      </c>
      <c r="AB144" s="52" t="str">
        <f>IFERROR(__xludf.DUMMYFUNCTION("IFERROR(
  VLOOKUP(
    A144,
    IMPORTRANGE(
      ""1ZHMy3vVUd_0MrSduXTe1etBb1HNpAlGwQr006ljwMiM"",
      ""GSC最新!A:R""
    ),
    15,
    FALSE
  ),
  0
)
"),"")</f>
        <v/>
      </c>
      <c r="AC144" s="52" t="str">
        <f>IFERROR(__xludf.DUMMYFUNCTION("IFERROR(
  VLOOKUP(
    A144,
    IMPORTRANGE(
      ""1ZHMy3vVUd_0MrSduXTe1etBb1HNpAlGwQr006ljwMiM"",
      ""GSC最新!A:R""
    ),
    18,
    FALSE
  ),
  0
)
"),"")</f>
        <v/>
      </c>
      <c r="AD144" s="52">
        <f t="shared" ref="AD144:AE144" si="715">Z144-AB144</f>
        <v>0</v>
      </c>
      <c r="AE144" s="52">
        <f t="shared" si="715"/>
        <v>0</v>
      </c>
      <c r="AF144" s="53">
        <f>IFERROR(__xludf.DUMMYFUNCTION("IFERROR(
  VLOOKUP(
    A144,
    IMPORTRANGE(
      ""1ZHMy3vVUd_0MrSduXTe1etBb1HNpAlGwQr006ljwMiM"",
      ""GSC最新!A:F""
    ),
    6,
    FALSE
  ),
  0
)
"),46081.0)</f>
        <v>46081</v>
      </c>
      <c r="AG144" s="54">
        <f>IFERROR(__xludf.DUMMYFUNCTION("IFERROR(
  VLOOKUP(
    A144,
    IMPORTRANGE(
      ""1SCYQd7_cobOYqT0r_F0IqD4tE4rYn5y8Eup4PJTH8es"",
      ""Snapshot!A:M""
    ),
    5,
    FALSE
  ),
  ""-""
)
"),4.0)</f>
        <v>4</v>
      </c>
      <c r="AH144" s="54">
        <f>IFERROR(__xludf.DUMMYFUNCTION("IFERROR(
  VLOOKUP(
    A144,
    IMPORTRANGE(
      ""1SCYQd7_cobOYqT0r_F0IqD4tE4rYn5y8Eup4PJTH8es"",
      ""Snapshot!A:M""
    ),
    6,
    FALSE
  ),
  0
)
"),0.0)</f>
        <v>0</v>
      </c>
      <c r="AI144" s="54">
        <f>IFERROR(__xludf.DUMMYFUNCTION("IFERROR(
  VLOOKUP(
    A144,
    IMPORTRANGE(
      ""1SCYQd7_cobOYqT0r_F0IqD4tE4rYn5y8Eup4PJTH8es"",
      ""Snapshot!A:M""
    ),
    7,
    FALSE
  ),
  0
)
"),2657.0)</f>
        <v>2657</v>
      </c>
      <c r="AJ144" s="54">
        <f>IFERROR(__xludf.DUMMYFUNCTION("IFERROR(
  VLOOKUP(
    A144,
    IMPORTRANGE(
      ""1SCYQd7_cobOYqT0r_F0IqD4tE4rYn5y8Eup4PJTH8es"",
      ""Snapshot!A:M""
    ),
    8,
    FALSE
  ),
  0
)
"),4.0)</f>
        <v>4</v>
      </c>
      <c r="AK144" s="54">
        <f>IFERROR(__xludf.DUMMYFUNCTION("IFERROR(
  VLOOKUP(
    A144,
    IMPORTRANGE(
      ""1SCYQd7_cobOYqT0r_F0IqD4tE4rYn5y8Eup4PJTH8es"",
      ""Snapshot!A:M""
    ),
    9,
    FALSE
  ),
  0
)
"),3.0)</f>
        <v>3</v>
      </c>
      <c r="AL144" s="54">
        <f>IFERROR(__xludf.DUMMYFUNCTION("IFERROR(
  VLOOKUP(
    A144,
    IMPORTRANGE(
      ""1SCYQd7_cobOYqT0r_F0IqD4tE4rYn5y8Eup4PJTH8es"",
      ""Snapshot!A:M""
    ),
    13,
    FALSE
  ),
  0
)
"),1.0)</f>
        <v>1</v>
      </c>
    </row>
    <row r="145">
      <c r="A145" s="3" t="s">
        <v>469</v>
      </c>
      <c r="B145" s="1" t="str">
        <f>IFERROR(__xludf.DUMMYFUNCTION("IFERROR(
  VLOOKUP(
    A145,
    IMPORTRANGE(
      ""1ZygntHC1J6IxzKbTidmOyf5nUyW4GCLurHCjexrLm_o"",
      ""HTMLキャッシュ!A:F""
    ),
    2,
    FALSE
  ),
  0
)
"),"MC")</f>
        <v>MC</v>
      </c>
      <c r="C145" s="1" t="str">
        <f>IFERROR(__xludf.DUMMYFUNCTION("IFERROR(
  VLOOKUP(
    A145,
    IMPORTRANGE(
      ""1ZygntHC1J6IxzKbTidmOyf5nUyW4GCLurHCjexrLm_o"",
      ""HTMLキャッシュ!A:F""
    ),
    5,
    FALSE
  ),
  0
)
"),"小5算数・Aコースの内容解説｜重要単元を基礎から徹底攻略")</f>
        <v>小5算数・Aコースの内容解説｜重要単元を基礎から徹底攻略</v>
      </c>
      <c r="D145" s="1" t="str">
        <f>IFERROR(__xludf.DUMMYFUNCTION("IFERROR(
  VLOOKUP(
    A145,
    IMPORTRANGE(
      ""1ZygntHC1J6IxzKbTidmOyf5nUyW4GCLurHCjexrLm_o        "",
      ""HTMLキャッシュ!A:F""
    ),
    6,
    FALSE
  ),
  0
)
"),"5年生前半は受験算数の要となる時期。当塾では苦手分野をデータ化し、効率的な学習法を提案。習い事との両立もサポートします。体験授業受付中！")</f>
        <v>5年生前半は受験算数の要となる時期。当塾では苦手分野をデータ化し、効率的な学習法を提案。習い事との両立もサポートします。体験授業受付中！</v>
      </c>
      <c r="E145" s="49">
        <f t="shared" ref="E145:F145" si="716">LEN(C145)</f>
        <v>28</v>
      </c>
      <c r="F145" s="49">
        <f t="shared" si="716"/>
        <v>68</v>
      </c>
      <c r="G145" s="32">
        <f>IFERROR(__xludf.DUMMYFUNCTION("IFERROR(
  VLOOKUP(
    A145,
    IMPORTRANGE(
      ""1ZygntHC1J6IxzKbTidmOyf5nUyW4GCLurHCjexrLm_o        "",
      ""HTMLキャッシュ!A:F""
    ),
    3,
    FALSE
  ),
  0
)
"),46084.56271990741)</f>
        <v>46084.56272</v>
      </c>
      <c r="H145" s="54">
        <f>IFERROR(__xludf.DUMMYFUNCTION("IFERROR(
  VLOOKUP(
    A145,
    IMPORTRANGE(
      ""1ZHMy3vVUd_0MrSduXTe1etBb1HNpAlGwQr006ljwMiM"",
      ""GSC最新!A:F""
    ),
    2,
    FALSE
  ),
  0
)
"),0.0)</f>
        <v>0</v>
      </c>
      <c r="I145" s="54">
        <f>IFERROR(__xludf.DUMMYFUNCTION("IFERROR(
  VLOOKUP(
    A145,
    IMPORTRANGE(
      ""1ZHMy3vVUd_0MrSduXTe1etBb1HNpAlGwQr006ljwMiM"",
      ""GSC最新!A:F""
    ),
    3,
    FALSE
  ),
  0
)
"),0.0)</f>
        <v>0</v>
      </c>
      <c r="J145" s="54">
        <f>IFERROR(__xludf.DUMMYFUNCTION("IFERROR(
  VLOOKUP(
    A145,
    IMPORTRANGE(
      ""1ZHMy3vVUd_0MrSduXTe1etBb1HNpAlGwQr006ljwMiM"",
      ""GSC最新!A:F""
    ),
    4,
    FALSE
  ),
  0
)
"),0.0)</f>
        <v>0</v>
      </c>
      <c r="K145" s="54">
        <f>IFERROR(__xludf.DUMMYFUNCTION("IFERROR(
  VLOOKUP(
    A145,
    IMPORTRANGE(
      ""1ZHMy3vVUd_0MrSduXTe1etBb1HNpAlGwQr006ljwMiM"",
      ""GSC最新!A:F""
    ),
    5,
    FALSE
  ),
  0
)
"),1.0)</f>
        <v>1</v>
      </c>
      <c r="L145" s="50" t="str">
        <f t="shared" ref="L145:M145" si="717">IFERROR(H145/J145,"-")</f>
        <v>-</v>
      </c>
      <c r="M145" s="50">
        <f t="shared" si="717"/>
        <v>0</v>
      </c>
      <c r="N145" s="59">
        <f>IFERROR(__xludf.DUMMYFUNCTION("IFERROR(
  VLOOKUP(
    A145,
    IMPORTRANGE(
      ""1ZHMy3vVUd_0MrSduXTe1etBb1HNpAlGwQr006ljwMiM"",
      ""GSC最新!A:R""
    ),
    7,
    FALSE
  ),
  0
)
"),0.0)</f>
        <v>0</v>
      </c>
      <c r="O145" s="59">
        <f>IFERROR(__xludf.DUMMYFUNCTION("IFERROR(
  VLOOKUP(
    A145,
    IMPORTRANGE(
      ""1ZHMy3vVUd_0MrSduXTe1etBb1HNpAlGwQr006ljwMiM"",
      ""GSC最新!A:R""
    ),
    10,
    FALSE
  ),
  0
)
"),0.0)</f>
        <v>0</v>
      </c>
      <c r="P145" s="59">
        <f>IFERROR(__xludf.DUMMYFUNCTION("IFERROR(
  VLOOKUP(
    A145,
    IMPORTRANGE(
      ""1ZHMy3vVUd_0MrSduXTe1etBb1HNpAlGwQr006ljwMiM"",
      ""GSC最新!A:R""
    ),
    13,
    FALSE
  ),
  0
)
"),0.0)</f>
        <v>0</v>
      </c>
      <c r="Q145" s="59">
        <f>IFERROR(__xludf.DUMMYFUNCTION("IFERROR(
  VLOOKUP(
    A145,
    IMPORTRANGE(
      ""1ZHMy3vVUd_0MrSduXTe1etBb1HNpAlGwQr006ljwMiM"",
      ""GSC最新!A:R""
    ),
    16,
    FALSE
  ),
  0
)
"),1.0)</f>
        <v>1</v>
      </c>
      <c r="R145" s="50" t="str">
        <f t="shared" ref="R145:S145" si="718">IFERROR(N145/P145,"-")</f>
        <v>-</v>
      </c>
      <c r="S145" s="50">
        <f t="shared" si="718"/>
        <v>0</v>
      </c>
      <c r="T145" s="60">
        <f>IFERROR(__xludf.DUMMYFUNCTION("IFERROR(
  VLOOKUP(
    A145,
    IMPORTRANGE(
      ""1ZHMy3vVUd_0MrSduXTe1etBb1HNpAlGwQr006ljwMiM"",
      ""GSC最新!A:R""
    ),
    8,
    FALSE
  ),
  0
)
"),0.0)</f>
        <v>0</v>
      </c>
      <c r="U145" s="60">
        <f>IFERROR(__xludf.DUMMYFUNCTION("IFERROR(
  VLOOKUP(
    A145,
    IMPORTRANGE(
      ""1ZHMy3vVUd_0MrSduXTe1etBb1HNpAlGwQr006ljwMiM"",
      ""GSC最新!A:R""
    ),
    11,
    FALSE
  ),
  0
)
"),0.0)</f>
        <v>0</v>
      </c>
      <c r="V145" s="60">
        <f>IFERROR(__xludf.DUMMYFUNCTION("IFERROR(
  VLOOKUP(
    A145,
    IMPORTRANGE(
      ""1ZHMy3vVUd_0MrSduXTe1etBb1HNpAlGwQr006ljwMiM"",
      ""GSC最新!A:R""
    ),
    14,
    FALSE
  ),
  0
)
"),0.0)</f>
        <v>0</v>
      </c>
      <c r="W145" s="60">
        <f>IFERROR(__xludf.DUMMYFUNCTION("IFERROR(
  VLOOKUP(
    A145,
    IMPORTRANGE(
      ""1ZHMy3vVUd_0MrSduXTe1etBb1HNpAlGwQr006ljwMiM"",
      ""GSC最新!A:R""
    ),
    17,
    FALSE
  ),
  0
)
"),1.0)</f>
        <v>1</v>
      </c>
      <c r="X145" s="60">
        <f t="shared" ref="X145:Y145" si="719">IFERROR(T145-V145,"-")</f>
        <v>0</v>
      </c>
      <c r="Y145" s="60">
        <f t="shared" si="719"/>
        <v>-1</v>
      </c>
      <c r="Z145" s="52" t="str">
        <f>IFERROR(__xludf.DUMMYFUNCTION("IFERROR(
  VLOOKUP(
    A145,
    IMPORTRANGE(
      ""1ZHMy3vVUd_0MrSduXTe1etBb1HNpAlGwQr006ljwMiM"",
      ""GSC最新!A:R""
    ),
    9,
    FALSE
  ),
  0
)
"),"")</f>
        <v/>
      </c>
      <c r="AA145" s="52" t="str">
        <f>IFERROR(__xludf.DUMMYFUNCTION("IFERROR(
  VLOOKUP(
    A145,
    IMPORTRANGE(
      ""1ZHMy3vVUd_0MrSduXTe1etBb1HNpAlGwQr006ljwMiM"",
      ""GSC最新!A:R""
    ),
    12,
    FALSE
  ),
  0
)
"),"")</f>
        <v/>
      </c>
      <c r="AB145" s="52" t="str">
        <f>IFERROR(__xludf.DUMMYFUNCTION("IFERROR(
  VLOOKUP(
    A145,
    IMPORTRANGE(
      ""1ZHMy3vVUd_0MrSduXTe1etBb1HNpAlGwQr006ljwMiM"",
      ""GSC最新!A:R""
    ),
    15,
    FALSE
  ),
  0
)
"),"")</f>
        <v/>
      </c>
      <c r="AC145" s="52">
        <f>IFERROR(__xludf.DUMMYFUNCTION("IFERROR(
  VLOOKUP(
    A145,
    IMPORTRANGE(
      ""1ZHMy3vVUd_0MrSduXTe1etBb1HNpAlGwQr006ljwMiM"",
      ""GSC最新!A:R""
    ),
    18,
    FALSE
  ),
  0
)
"),1.0)</f>
        <v>1</v>
      </c>
      <c r="AD145" s="52">
        <f t="shared" ref="AD145:AE145" si="720">Z145-AB145</f>
        <v>0</v>
      </c>
      <c r="AE145" s="52">
        <f t="shared" si="720"/>
        <v>-1</v>
      </c>
      <c r="AF145" s="53">
        <f>IFERROR(__xludf.DUMMYFUNCTION("IFERROR(
  VLOOKUP(
    A145,
    IMPORTRANGE(
      ""1ZHMy3vVUd_0MrSduXTe1etBb1HNpAlGwQr006ljwMiM"",
      ""GSC最新!A:F""
    ),
    6,
    FALSE
  ),
  0
)
"),46081.0)</f>
        <v>46081</v>
      </c>
      <c r="AG145" s="54">
        <f>IFERROR(__xludf.DUMMYFUNCTION("IFERROR(
  VLOOKUP(
    A145,
    IMPORTRANGE(
      ""1SCYQd7_cobOYqT0r_F0IqD4tE4rYn5y8Eup4PJTH8es"",
      ""Snapshot!A:M""
    ),
    5,
    FALSE
  ),
  ""-""
)
"),4.0)</f>
        <v>4</v>
      </c>
      <c r="AH145" s="54">
        <f>IFERROR(__xludf.DUMMYFUNCTION("IFERROR(
  VLOOKUP(
    A145,
    IMPORTRANGE(
      ""1SCYQd7_cobOYqT0r_F0IqD4tE4rYn5y8Eup4PJTH8es"",
      ""Snapshot!A:M""
    ),
    6,
    FALSE
  ),
  0
)
"),0.0)</f>
        <v>0</v>
      </c>
      <c r="AI145" s="54">
        <f>IFERROR(__xludf.DUMMYFUNCTION("IFERROR(
  VLOOKUP(
    A145,
    IMPORTRANGE(
      ""1SCYQd7_cobOYqT0r_F0IqD4tE4rYn5y8Eup4PJTH8es"",
      ""Snapshot!A:M""
    ),
    7,
    FALSE
  ),
  0
)
"),3633.0)</f>
        <v>3633</v>
      </c>
      <c r="AJ145" s="54">
        <f>IFERROR(__xludf.DUMMYFUNCTION("IFERROR(
  VLOOKUP(
    A145,
    IMPORTRANGE(
      ""1SCYQd7_cobOYqT0r_F0IqD4tE4rYn5y8Eup4PJTH8es"",
      ""Snapshot!A:M""
    ),
    8,
    FALSE
  ),
  0
)
"),3.0)</f>
        <v>3</v>
      </c>
      <c r="AK145" s="54">
        <f>IFERROR(__xludf.DUMMYFUNCTION("IFERROR(
  VLOOKUP(
    A145,
    IMPORTRANGE(
      ""1SCYQd7_cobOYqT0r_F0IqD4tE4rYn5y8Eup4PJTH8es"",
      ""Snapshot!A:M""
    ),
    9,
    FALSE
  ),
  0
)
"),1.0)</f>
        <v>1</v>
      </c>
      <c r="AL145" s="54">
        <f>IFERROR(__xludf.DUMMYFUNCTION("IFERROR(
  VLOOKUP(
    A145,
    IMPORTRANGE(
      ""1SCYQd7_cobOYqT0r_F0IqD4tE4rYn5y8Eup4PJTH8es"",
      ""Snapshot!A:M""
    ),
    13,
    FALSE
  ),
  0
)
"),1.0)</f>
        <v>1</v>
      </c>
    </row>
    <row r="146">
      <c r="A146" s="3" t="s">
        <v>470</v>
      </c>
      <c r="B146" s="1" t="str">
        <f>IFERROR(__xludf.DUMMYFUNCTION("IFERROR(
  VLOOKUP(
    A146,
    IMPORTRANGE(
      ""1ZygntHC1J6IxzKbTidmOyf5nUyW4GCLurHCjexrLm_o"",
      ""HTMLキャッシュ!A:F""
    ),
    2,
    FALSE
  ),
  0
)
"),"MC")</f>
        <v>MC</v>
      </c>
      <c r="C146" s="1" t="str">
        <f>IFERROR(__xludf.DUMMYFUNCTION("IFERROR(
  VLOOKUP(
    A146,
    IMPORTRANGE(
      ""1ZygntHC1J6IxzKbTidmOyf5nUyW4GCLurHCjexrLm_o"",
      ""HTMLキャッシュ!A:F""
    ),
    5,
    FALSE
  ),
  0
)
"),"小5前半の算数 解法ポイントと基礎整理｜夏井算数塾")</f>
        <v>小5前半の算数 解法ポイントと基礎整理｜夏井算数塾</v>
      </c>
      <c r="D146" s="1" t="str">
        <f>IFERROR(__xludf.DUMMYFUNCTION("IFERROR(
  VLOOKUP(
    A146,
    IMPORTRANGE(
      ""1ZygntHC1J6IxzKbTidmOyf5nUyW4GCLurHCjexrLm_o        "",
      ""HTMLキャッシュ!A:F""
    ),
    6,
    FALSE
  ),
  0
)
"),"小5前半 算数 ５年生前半は「基礎の発展＋密度」でつまずきやすい ４年生の延長で進めると、量と難度の上昇で「分")</f>
        <v>小5前半 算数 ５年生前半は「基礎の発展＋密度」でつまずきやすい ４年生の延長で進めると、量と難度の上昇で「分</v>
      </c>
      <c r="E146" s="49">
        <f t="shared" ref="E146:F146" si="721">LEN(C146)</f>
        <v>25</v>
      </c>
      <c r="F146" s="49">
        <f t="shared" si="721"/>
        <v>55</v>
      </c>
      <c r="G146" s="32">
        <f>IFERROR(__xludf.DUMMYFUNCTION("IFERROR(
  VLOOKUP(
    A146,
    IMPORTRANGE(
      ""1ZygntHC1J6IxzKbTidmOyf5nUyW4GCLurHCjexrLm_o        "",
      ""HTMLキャッシュ!A:F""
    ),
    3,
    FALSE
  ),
  0
)
"),46084.55888888889)</f>
        <v>46084.55889</v>
      </c>
      <c r="H146" s="54">
        <f>IFERROR(__xludf.DUMMYFUNCTION("IFERROR(
  VLOOKUP(
    A146,
    IMPORTRANGE(
      ""1ZHMy3vVUd_0MrSduXTe1etBb1HNpAlGwQr006ljwMiM"",
      ""GSC最新!A:F""
    ),
    2,
    FALSE
  ),
  0
)
"),0.0)</f>
        <v>0</v>
      </c>
      <c r="I146" s="54">
        <f>IFERROR(__xludf.DUMMYFUNCTION("IFERROR(
  VLOOKUP(
    A146,
    IMPORTRANGE(
      ""1ZHMy3vVUd_0MrSduXTe1etBb1HNpAlGwQr006ljwMiM"",
      ""GSC最新!A:F""
    ),
    3,
    FALSE
  ),
  0
)
"),0.0)</f>
        <v>0</v>
      </c>
      <c r="J146" s="54">
        <f>IFERROR(__xludf.DUMMYFUNCTION("IFERROR(
  VLOOKUP(
    A146,
    IMPORTRANGE(
      ""1ZHMy3vVUd_0MrSduXTe1etBb1HNpAlGwQr006ljwMiM"",
      ""GSC最新!A:F""
    ),
    4,
    FALSE
  ),
  0
)
"),0.0)</f>
        <v>0</v>
      </c>
      <c r="K146" s="54">
        <f>IFERROR(__xludf.DUMMYFUNCTION("IFERROR(
  VLOOKUP(
    A146,
    IMPORTRANGE(
      ""1ZHMy3vVUd_0MrSduXTe1etBb1HNpAlGwQr006ljwMiM"",
      ""GSC最新!A:F""
    ),
    5,
    FALSE
  ),
  0
)
"),0.0)</f>
        <v>0</v>
      </c>
      <c r="L146" s="50" t="str">
        <f t="shared" ref="L146:M146" si="722">IFERROR(H146/J146,"-")</f>
        <v>-</v>
      </c>
      <c r="M146" s="50" t="str">
        <f t="shared" si="722"/>
        <v>-</v>
      </c>
      <c r="N146" s="59">
        <f>IFERROR(__xludf.DUMMYFUNCTION("IFERROR(
  VLOOKUP(
    A146,
    IMPORTRANGE(
      ""1ZHMy3vVUd_0MrSduXTe1etBb1HNpAlGwQr006ljwMiM"",
      ""GSC最新!A:R""
    ),
    7,
    FALSE
  ),
  0
)
"),0.0)</f>
        <v>0</v>
      </c>
      <c r="O146" s="59">
        <f>IFERROR(__xludf.DUMMYFUNCTION("IFERROR(
  VLOOKUP(
    A146,
    IMPORTRANGE(
      ""1ZHMy3vVUd_0MrSduXTe1etBb1HNpAlGwQr006ljwMiM"",
      ""GSC最新!A:R""
    ),
    10,
    FALSE
  ),
  0
)
"),0.0)</f>
        <v>0</v>
      </c>
      <c r="P146" s="59">
        <f>IFERROR(__xludf.DUMMYFUNCTION("IFERROR(
  VLOOKUP(
    A146,
    IMPORTRANGE(
      ""1ZHMy3vVUd_0MrSduXTe1etBb1HNpAlGwQr006ljwMiM"",
      ""GSC最新!A:R""
    ),
    13,
    FALSE
  ),
  0
)
"),0.0)</f>
        <v>0</v>
      </c>
      <c r="Q146" s="59">
        <f>IFERROR(__xludf.DUMMYFUNCTION("IFERROR(
  VLOOKUP(
    A146,
    IMPORTRANGE(
      ""1ZHMy3vVUd_0MrSduXTe1etBb1HNpAlGwQr006ljwMiM"",
      ""GSC最新!A:R""
    ),
    16,
    FALSE
  ),
  0
)
"),0.0)</f>
        <v>0</v>
      </c>
      <c r="R146" s="50" t="str">
        <f t="shared" ref="R146:S146" si="723">IFERROR(N146/P146,"-")</f>
        <v>-</v>
      </c>
      <c r="S146" s="50" t="str">
        <f t="shared" si="723"/>
        <v>-</v>
      </c>
      <c r="T146" s="60">
        <f>IFERROR(__xludf.DUMMYFUNCTION("IFERROR(
  VLOOKUP(
    A146,
    IMPORTRANGE(
      ""1ZHMy3vVUd_0MrSduXTe1etBb1HNpAlGwQr006ljwMiM"",
      ""GSC最新!A:R""
    ),
    8,
    FALSE
  ),
  0
)
"),0.0)</f>
        <v>0</v>
      </c>
      <c r="U146" s="60">
        <f>IFERROR(__xludf.DUMMYFUNCTION("IFERROR(
  VLOOKUP(
    A146,
    IMPORTRANGE(
      ""1ZHMy3vVUd_0MrSduXTe1etBb1HNpAlGwQr006ljwMiM"",
      ""GSC最新!A:R""
    ),
    11,
    FALSE
  ),
  0
)
"),0.0)</f>
        <v>0</v>
      </c>
      <c r="V146" s="60">
        <f>IFERROR(__xludf.DUMMYFUNCTION("IFERROR(
  VLOOKUP(
    A146,
    IMPORTRANGE(
      ""1ZHMy3vVUd_0MrSduXTe1etBb1HNpAlGwQr006ljwMiM"",
      ""GSC最新!A:R""
    ),
    14,
    FALSE
  ),
  0
)
"),0.0)</f>
        <v>0</v>
      </c>
      <c r="W146" s="60">
        <f>IFERROR(__xludf.DUMMYFUNCTION("IFERROR(
  VLOOKUP(
    A146,
    IMPORTRANGE(
      ""1ZHMy3vVUd_0MrSduXTe1etBb1HNpAlGwQr006ljwMiM"",
      ""GSC最新!A:R""
    ),
    17,
    FALSE
  ),
  0
)
"),0.0)</f>
        <v>0</v>
      </c>
      <c r="X146" s="60">
        <f t="shared" ref="X146:Y146" si="724">IFERROR(T146-V146,"-")</f>
        <v>0</v>
      </c>
      <c r="Y146" s="60">
        <f t="shared" si="724"/>
        <v>0</v>
      </c>
      <c r="Z146" s="52" t="str">
        <f>IFERROR(__xludf.DUMMYFUNCTION("IFERROR(
  VLOOKUP(
    A146,
    IMPORTRANGE(
      ""1ZHMy3vVUd_0MrSduXTe1etBb1HNpAlGwQr006ljwMiM"",
      ""GSC最新!A:R""
    ),
    9,
    FALSE
  ),
  0
)
"),"")</f>
        <v/>
      </c>
      <c r="AA146" s="52" t="str">
        <f>IFERROR(__xludf.DUMMYFUNCTION("IFERROR(
  VLOOKUP(
    A146,
    IMPORTRANGE(
      ""1ZHMy3vVUd_0MrSduXTe1etBb1HNpAlGwQr006ljwMiM"",
      ""GSC最新!A:R""
    ),
    12,
    FALSE
  ),
  0
)
"),"")</f>
        <v/>
      </c>
      <c r="AB146" s="52" t="str">
        <f>IFERROR(__xludf.DUMMYFUNCTION("IFERROR(
  VLOOKUP(
    A146,
    IMPORTRANGE(
      ""1ZHMy3vVUd_0MrSduXTe1etBb1HNpAlGwQr006ljwMiM"",
      ""GSC最新!A:R""
    ),
    15,
    FALSE
  ),
  0
)
"),"")</f>
        <v/>
      </c>
      <c r="AC146" s="52" t="str">
        <f>IFERROR(__xludf.DUMMYFUNCTION("IFERROR(
  VLOOKUP(
    A146,
    IMPORTRANGE(
      ""1ZHMy3vVUd_0MrSduXTe1etBb1HNpAlGwQr006ljwMiM"",
      ""GSC最新!A:R""
    ),
    18,
    FALSE
  ),
  0
)
"),"")</f>
        <v/>
      </c>
      <c r="AD146" s="52">
        <f t="shared" ref="AD146:AE146" si="725">Z146-AB146</f>
        <v>0</v>
      </c>
      <c r="AE146" s="52">
        <f t="shared" si="725"/>
        <v>0</v>
      </c>
      <c r="AF146" s="53">
        <f>IFERROR(__xludf.DUMMYFUNCTION("IFERROR(
  VLOOKUP(
    A146,
    IMPORTRANGE(
      ""1ZHMy3vVUd_0MrSduXTe1etBb1HNpAlGwQr006ljwMiM"",
      ""GSC最新!A:F""
    ),
    6,
    FALSE
  ),
  0
)
"),46081.0)</f>
        <v>46081</v>
      </c>
      <c r="AG146" s="54">
        <f>IFERROR(__xludf.DUMMYFUNCTION("IFERROR(
  VLOOKUP(
    A146,
    IMPORTRANGE(
      ""1SCYQd7_cobOYqT0r_F0IqD4tE4rYn5y8Eup4PJTH8es"",
      ""Snapshot!A:M""
    ),
    5,
    FALSE
  ),
  ""-""
)
"),4.0)</f>
        <v>4</v>
      </c>
      <c r="AH146" s="54">
        <f>IFERROR(__xludf.DUMMYFUNCTION("IFERROR(
  VLOOKUP(
    A146,
    IMPORTRANGE(
      ""1SCYQd7_cobOYqT0r_F0IqD4tE4rYn5y8Eup4PJTH8es"",
      ""Snapshot!A:M""
    ),
    6,
    FALSE
  ),
  0
)
"),3.0)</f>
        <v>3</v>
      </c>
      <c r="AI146" s="54">
        <f>IFERROR(__xludf.DUMMYFUNCTION("IFERROR(
  VLOOKUP(
    A146,
    IMPORTRANGE(
      ""1SCYQd7_cobOYqT0r_F0IqD4tE4rYn5y8Eup4PJTH8es"",
      ""Snapshot!A:M""
    ),
    7,
    FALSE
  ),
  0
)
"),3313.0)</f>
        <v>3313</v>
      </c>
      <c r="AJ146" s="54">
        <f>IFERROR(__xludf.DUMMYFUNCTION("IFERROR(
  VLOOKUP(
    A146,
    IMPORTRANGE(
      ""1SCYQd7_cobOYqT0r_F0IqD4tE4rYn5y8Eup4PJTH8es"",
      ""Snapshot!A:M""
    ),
    8,
    FALSE
  ),
  0
)
"),4.0)</f>
        <v>4</v>
      </c>
      <c r="AK146" s="54">
        <f>IFERROR(__xludf.DUMMYFUNCTION("IFERROR(
  VLOOKUP(
    A146,
    IMPORTRANGE(
      ""1SCYQd7_cobOYqT0r_F0IqD4tE4rYn5y8Eup4PJTH8es"",
      ""Snapshot!A:M""
    ),
    9,
    FALSE
  ),
  0
)
"),1.0)</f>
        <v>1</v>
      </c>
      <c r="AL146" s="54">
        <f>IFERROR(__xludf.DUMMYFUNCTION("IFERROR(
  VLOOKUP(
    A146,
    IMPORTRANGE(
      ""1SCYQd7_cobOYqT0r_F0IqD4tE4rYn5y8Eup4PJTH8es"",
      ""Snapshot!A:M""
    ),
    13,
    FALSE
  ),
  0
)
"),2.0)</f>
        <v>2</v>
      </c>
    </row>
    <row r="147">
      <c r="A147" s="3" t="s">
        <v>471</v>
      </c>
      <c r="B147" s="1" t="str">
        <f>IFERROR(__xludf.DUMMYFUNCTION("IFERROR(
  VLOOKUP(
    A147,
    IMPORTRANGE(
      ""1ZygntHC1J6IxzKbTidmOyf5nUyW4GCLurHCjexrLm_o"",
      ""HTMLキャッシュ!A:F""
    ),
    2,
    FALSE
  ),
  0
)
"),"MC")</f>
        <v>MC</v>
      </c>
      <c r="C147" s="1" t="str">
        <f>IFERROR(__xludf.DUMMYFUNCTION("IFERROR(
  VLOOKUP(
    A147,
    IMPORTRANGE(
      ""1ZygntHC1J6IxzKbTidmOyf5nUyW4GCLurHCjexrLm_o"",
      ""HTMLキャッシュ!A:F""
    ),
    5,
    FALSE
  ),
  0
)
"),"中学受験算数の成績を「オンライン個別指導」で伸ばすことができる３つの理由 - 中学受験専門 夏井算数塾")</f>
        <v>中学受験算数の成績を「オンライン個別指導」で伸ばすことができる３つの理由 - 中学受験専門 夏井算数塾</v>
      </c>
      <c r="D147" s="1" t="str">
        <f>IFERROR(__xludf.DUMMYFUNCTION("IFERROR(
  VLOOKUP(
    A147,
    IMPORTRANGE(
      ""1ZygntHC1J6IxzKbTidmOyf5nUyW4GCLurHCjexrLm_o        "",
      ""HTMLキャッシュ!A:F""
    ),
    6,
    FALSE
  ),
  0
)
"),"夏井算数塾のオンライン個別指導で中学受験算数を効率よく克服！集中しやすい環境、的確な指導、体力温存で成績向上を実現。詳細はこちらをご覧ください。")</f>
        <v>夏井算数塾のオンライン個別指導で中学受験算数を効率よく克服！集中しやすい環境、的確な指導、体力温存で成績向上を実現。詳細はこちらをご覧ください。</v>
      </c>
      <c r="E147" s="49">
        <f t="shared" ref="E147:F147" si="726">LEN(C147)</f>
        <v>51</v>
      </c>
      <c r="F147" s="49">
        <f t="shared" si="726"/>
        <v>72</v>
      </c>
      <c r="G147" s="32">
        <f>IFERROR(__xludf.DUMMYFUNCTION("IFERROR(
  VLOOKUP(
    A147,
    IMPORTRANGE(
      ""1ZygntHC1J6IxzKbTidmOyf5nUyW4GCLurHCjexrLm_o        "",
      ""HTMLキャッシュ!A:F""
    ),
    3,
    FALSE
  ),
  0
)
"),46084.605219907404)</f>
        <v>46084.60522</v>
      </c>
      <c r="H147" s="54">
        <f>IFERROR(__xludf.DUMMYFUNCTION("IFERROR(
  VLOOKUP(
    A147,
    IMPORTRANGE(
      ""1ZHMy3vVUd_0MrSduXTe1etBb1HNpAlGwQr006ljwMiM"",
      ""GSC最新!A:F""
    ),
    2,
    FALSE
  ),
  0
)
"),0.0)</f>
        <v>0</v>
      </c>
      <c r="I147" s="54">
        <f>IFERROR(__xludf.DUMMYFUNCTION("IFERROR(
  VLOOKUP(
    A147,
    IMPORTRANGE(
      ""1ZHMy3vVUd_0MrSduXTe1etBb1HNpAlGwQr006ljwMiM"",
      ""GSC最新!A:F""
    ),
    3,
    FALSE
  ),
  0
)
"),0.0)</f>
        <v>0</v>
      </c>
      <c r="J147" s="54">
        <f>IFERROR(__xludf.DUMMYFUNCTION("IFERROR(
  VLOOKUP(
    A147,
    IMPORTRANGE(
      ""1ZHMy3vVUd_0MrSduXTe1etBb1HNpAlGwQr006ljwMiM"",
      ""GSC最新!A:F""
    ),
    4,
    FALSE
  ),
  0
)
"),0.0)</f>
        <v>0</v>
      </c>
      <c r="K147" s="54">
        <f>IFERROR(__xludf.DUMMYFUNCTION("IFERROR(
  VLOOKUP(
    A147,
    IMPORTRANGE(
      ""1ZHMy3vVUd_0MrSduXTe1etBb1HNpAlGwQr006ljwMiM"",
      ""GSC最新!A:F""
    ),
    5,
    FALSE
  ),
  0
)
"),0.0)</f>
        <v>0</v>
      </c>
      <c r="L147" s="50" t="str">
        <f t="shared" ref="L147:M147" si="727">IFERROR(H147/J147,"-")</f>
        <v>-</v>
      </c>
      <c r="M147" s="50" t="str">
        <f t="shared" si="727"/>
        <v>-</v>
      </c>
      <c r="N147" s="59">
        <f>IFERROR(__xludf.DUMMYFUNCTION("IFERROR(
  VLOOKUP(
    A147,
    IMPORTRANGE(
      ""1ZHMy3vVUd_0MrSduXTe1etBb1HNpAlGwQr006ljwMiM"",
      ""GSC最新!A:R""
    ),
    7,
    FALSE
  ),
  0
)
"),0.0)</f>
        <v>0</v>
      </c>
      <c r="O147" s="59">
        <f>IFERROR(__xludf.DUMMYFUNCTION("IFERROR(
  VLOOKUP(
    A147,
    IMPORTRANGE(
      ""1ZHMy3vVUd_0MrSduXTe1etBb1HNpAlGwQr006ljwMiM"",
      ""GSC最新!A:R""
    ),
    10,
    FALSE
  ),
  0
)
"),0.0)</f>
        <v>0</v>
      </c>
      <c r="P147" s="59">
        <f>IFERROR(__xludf.DUMMYFUNCTION("IFERROR(
  VLOOKUP(
    A147,
    IMPORTRANGE(
      ""1ZHMy3vVUd_0MrSduXTe1etBb1HNpAlGwQr006ljwMiM"",
      ""GSC最新!A:R""
    ),
    13,
    FALSE
  ),
  0
)
"),1.0)</f>
        <v>1</v>
      </c>
      <c r="Q147" s="59">
        <f>IFERROR(__xludf.DUMMYFUNCTION("IFERROR(
  VLOOKUP(
    A147,
    IMPORTRANGE(
      ""1ZHMy3vVUd_0MrSduXTe1etBb1HNpAlGwQr006ljwMiM"",
      ""GSC最新!A:R""
    ),
    16,
    FALSE
  ),
  0
)
"),2.0)</f>
        <v>2</v>
      </c>
      <c r="R147" s="50">
        <f t="shared" ref="R147:S147" si="728">IFERROR(N147/P147,"-")</f>
        <v>0</v>
      </c>
      <c r="S147" s="50">
        <f t="shared" si="728"/>
        <v>0</v>
      </c>
      <c r="T147" s="60">
        <f>IFERROR(__xludf.DUMMYFUNCTION("IFERROR(
  VLOOKUP(
    A147,
    IMPORTRANGE(
      ""1ZHMy3vVUd_0MrSduXTe1etBb1HNpAlGwQr006ljwMiM"",
      ""GSC最新!A:R""
    ),
    8,
    FALSE
  ),
  0
)
"),0.0)</f>
        <v>0</v>
      </c>
      <c r="U147" s="60">
        <f>IFERROR(__xludf.DUMMYFUNCTION("IFERROR(
  VLOOKUP(
    A147,
    IMPORTRANGE(
      ""1ZHMy3vVUd_0MrSduXTe1etBb1HNpAlGwQr006ljwMiM"",
      ""GSC最新!A:R""
    ),
    11,
    FALSE
  ),
  0
)
"),0.0)</f>
        <v>0</v>
      </c>
      <c r="V147" s="60">
        <f>IFERROR(__xludf.DUMMYFUNCTION("IFERROR(
  VLOOKUP(
    A147,
    IMPORTRANGE(
      ""1ZHMy3vVUd_0MrSduXTe1etBb1HNpAlGwQr006ljwMiM"",
      ""GSC最新!A:R""
    ),
    14,
    FALSE
  ),
  0
)
"),0.0)</f>
        <v>0</v>
      </c>
      <c r="W147" s="60">
        <f>IFERROR(__xludf.DUMMYFUNCTION("IFERROR(
  VLOOKUP(
    A147,
    IMPORTRANGE(
      ""1ZHMy3vVUd_0MrSduXTe1etBb1HNpAlGwQr006ljwMiM"",
      ""GSC最新!A:R""
    ),
    17,
    FALSE
  ),
  0
)
"),0.0)</f>
        <v>0</v>
      </c>
      <c r="X147" s="60">
        <f t="shared" ref="X147:Y147" si="729">IFERROR(T147-V147,"-")</f>
        <v>0</v>
      </c>
      <c r="Y147" s="60">
        <f t="shared" si="729"/>
        <v>0</v>
      </c>
      <c r="Z147" s="52" t="str">
        <f>IFERROR(__xludf.DUMMYFUNCTION("IFERROR(
  VLOOKUP(
    A147,
    IMPORTRANGE(
      ""1ZHMy3vVUd_0MrSduXTe1etBb1HNpAlGwQr006ljwMiM"",
      ""GSC最新!A:R""
    ),
    9,
    FALSE
  ),
  0
)
"),"")</f>
        <v/>
      </c>
      <c r="AA147" s="52" t="str">
        <f>IFERROR(__xludf.DUMMYFUNCTION("IFERROR(
  VLOOKUP(
    A147,
    IMPORTRANGE(
      ""1ZHMy3vVUd_0MrSduXTe1etBb1HNpAlGwQr006ljwMiM"",
      ""GSC最新!A:R""
    ),
    12,
    FALSE
  ),
  0
)
"),"")</f>
        <v/>
      </c>
      <c r="AB147" s="52">
        <f>IFERROR(__xludf.DUMMYFUNCTION("IFERROR(
  VLOOKUP(
    A147,
    IMPORTRANGE(
      ""1ZHMy3vVUd_0MrSduXTe1etBb1HNpAlGwQr006ljwMiM"",
      ""GSC最新!A:R""
    ),
    15,
    FALSE
  ),
  0
)
"),2.0)</f>
        <v>2</v>
      </c>
      <c r="AC147" s="52">
        <f>IFERROR(__xludf.DUMMYFUNCTION("IFERROR(
  VLOOKUP(
    A147,
    IMPORTRANGE(
      ""1ZHMy3vVUd_0MrSduXTe1etBb1HNpAlGwQr006ljwMiM"",
      ""GSC最新!A:R""
    ),
    18,
    FALSE
  ),
  0
)
"),4.0)</f>
        <v>4</v>
      </c>
      <c r="AD147" s="52">
        <f t="shared" ref="AD147:AE147" si="730">Z147-AB147</f>
        <v>-2</v>
      </c>
      <c r="AE147" s="52">
        <f t="shared" si="730"/>
        <v>-4</v>
      </c>
      <c r="AF147" s="53">
        <f>IFERROR(__xludf.DUMMYFUNCTION("IFERROR(
  VLOOKUP(
    A147,
    IMPORTRANGE(
      ""1ZHMy3vVUd_0MrSduXTe1etBb1HNpAlGwQr006ljwMiM"",
      ""GSC最新!A:F""
    ),
    6,
    FALSE
  ),
  0
)
"),46081.0)</f>
        <v>46081</v>
      </c>
      <c r="AG147" s="54">
        <f>IFERROR(__xludf.DUMMYFUNCTION("IFERROR(
  VLOOKUP(
    A147,
    IMPORTRANGE(
      ""1SCYQd7_cobOYqT0r_F0IqD4tE4rYn5y8Eup4PJTH8es"",
      ""Snapshot!A:M""
    ),
    5,
    FALSE
  ),
  ""-""
)
"),3.0)</f>
        <v>3</v>
      </c>
      <c r="AH147" s="54">
        <f>IFERROR(__xludf.DUMMYFUNCTION("IFERROR(
  VLOOKUP(
    A147,
    IMPORTRANGE(
      ""1SCYQd7_cobOYqT0r_F0IqD4tE4rYn5y8Eup4PJTH8es"",
      ""Snapshot!A:M""
    ),
    6,
    FALSE
  ),
  0
)
"),4.0)</f>
        <v>4</v>
      </c>
      <c r="AI147" s="54">
        <f>IFERROR(__xludf.DUMMYFUNCTION("IFERROR(
  VLOOKUP(
    A147,
    IMPORTRANGE(
      ""1SCYQd7_cobOYqT0r_F0IqD4tE4rYn5y8Eup4PJTH8es"",
      ""Snapshot!A:M""
    ),
    7,
    FALSE
  ),
  0
)
"),3319.0)</f>
        <v>3319</v>
      </c>
      <c r="AJ147" s="54">
        <f>IFERROR(__xludf.DUMMYFUNCTION("IFERROR(
  VLOOKUP(
    A147,
    IMPORTRANGE(
      ""1SCYQd7_cobOYqT0r_F0IqD4tE4rYn5y8Eup4PJTH8es"",
      ""Snapshot!A:M""
    ),
    8,
    FALSE
  ),
  0
)
"),8.0)</f>
        <v>8</v>
      </c>
      <c r="AK147" s="54">
        <f>IFERROR(__xludf.DUMMYFUNCTION("IFERROR(
  VLOOKUP(
    A147,
    IMPORTRANGE(
      ""1SCYQd7_cobOYqT0r_F0IqD4tE4rYn5y8Eup4PJTH8es"",
      ""Snapshot!A:M""
    ),
    9,
    FALSE
  ),
  0
)
"),2.0)</f>
        <v>2</v>
      </c>
      <c r="AL147" s="54">
        <f>IFERROR(__xludf.DUMMYFUNCTION("IFERROR(
  VLOOKUP(
    A147,
    IMPORTRANGE(
      ""1SCYQd7_cobOYqT0r_F0IqD4tE4rYn5y8Eup4PJTH8es"",
      ""Snapshot!A:M""
    ),
    13,
    FALSE
  ),
  0
)
"),2.0)</f>
        <v>2</v>
      </c>
    </row>
    <row r="148">
      <c r="A148" s="3" t="s">
        <v>472</v>
      </c>
      <c r="B148" s="1" t="str">
        <f>IFERROR(__xludf.DUMMYFUNCTION("IFERROR(
  VLOOKUP(
    A148,
    IMPORTRANGE(
      ""1ZygntHC1J6IxzKbTidmOyf5nUyW4GCLurHCjexrLm_o"",
      ""HTMLキャッシュ!A:F""
    ),
    2,
    FALSE
  ),
  0
)
"),"MC")</f>
        <v>MC</v>
      </c>
      <c r="C148" s="1" t="str">
        <f>IFERROR(__xludf.DUMMYFUNCTION("IFERROR(
  VLOOKUP(
    A148,
    IMPORTRANGE(
      ""1ZygntHC1J6IxzKbTidmOyf5nUyW4GCLurHCjexrLm_o"",
      ""HTMLキャッシュ!A:F""
    ),
    5,
    FALSE
  ),
  0
)
"),"中学受験算数｜学習状況別の課題と対策をケースで整理")</f>
        <v>中学受験算数｜学習状況別の課題と対策をケースで整理</v>
      </c>
      <c r="D148" s="1" t="str">
        <f>IFERROR(__xludf.DUMMYFUNCTION("IFERROR(
  VLOOKUP(
    A148,
    IMPORTRANGE(
      ""1ZygntHC1J6IxzKbTidmOyf5nUyW4GCLurHCjexrLm_o        "",
      ""HTMLキャッシュ!A:F""
    ),
    6,
    FALSE
  ),
  0
)
"),"中学受験算数 状況別指導方針 学年・時期で原因は変わる｜算数不安の整理と優先順位 中学受験の算数は、同じ「算数")</f>
        <v>中学受験算数 状況別指導方針 学年・時期で原因は変わる｜算数不安の整理と優先順位 中学受験の算数は、同じ「算数</v>
      </c>
      <c r="E148" s="49">
        <f t="shared" ref="E148:F148" si="731">LEN(C148)</f>
        <v>25</v>
      </c>
      <c r="F148" s="49">
        <f t="shared" si="731"/>
        <v>55</v>
      </c>
      <c r="G148" s="32">
        <f>IFERROR(__xludf.DUMMYFUNCTION("IFERROR(
  VLOOKUP(
    A148,
    IMPORTRANGE(
      ""1ZygntHC1J6IxzKbTidmOyf5nUyW4GCLurHCjexrLm_o        "",
      ""HTMLキャッシュ!A:F""
    ),
    3,
    FALSE
  ),
  0
)
"),46084.545023148145)</f>
        <v>46084.54502</v>
      </c>
      <c r="H148" s="54">
        <f>IFERROR(__xludf.DUMMYFUNCTION("IFERROR(
  VLOOKUP(
    A148,
    IMPORTRANGE(
      ""1ZHMy3vVUd_0MrSduXTe1etBb1HNpAlGwQr006ljwMiM"",
      ""GSC最新!A:F""
    ),
    2,
    FALSE
  ),
  0
)
"),0.0)</f>
        <v>0</v>
      </c>
      <c r="I148" s="54">
        <f>IFERROR(__xludf.DUMMYFUNCTION("IFERROR(
  VLOOKUP(
    A148,
    IMPORTRANGE(
      ""1ZHMy3vVUd_0MrSduXTe1etBb1HNpAlGwQr006ljwMiM"",
      ""GSC最新!A:F""
    ),
    3,
    FALSE
  ),
  0
)
"),0.0)</f>
        <v>0</v>
      </c>
      <c r="J148" s="54">
        <f>IFERROR(__xludf.DUMMYFUNCTION("IFERROR(
  VLOOKUP(
    A148,
    IMPORTRANGE(
      ""1ZHMy3vVUd_0MrSduXTe1etBb1HNpAlGwQr006ljwMiM"",
      ""GSC最新!A:F""
    ),
    4,
    FALSE
  ),
  0
)
"),0.0)</f>
        <v>0</v>
      </c>
      <c r="K148" s="54">
        <f>IFERROR(__xludf.DUMMYFUNCTION("IFERROR(
  VLOOKUP(
    A148,
    IMPORTRANGE(
      ""1ZHMy3vVUd_0MrSduXTe1etBb1HNpAlGwQr006ljwMiM"",
      ""GSC最新!A:F""
    ),
    5,
    FALSE
  ),
  0
)
"),0.0)</f>
        <v>0</v>
      </c>
      <c r="L148" s="50" t="str">
        <f t="shared" ref="L148:M148" si="732">IFERROR(H148/J148,"-")</f>
        <v>-</v>
      </c>
      <c r="M148" s="50" t="str">
        <f t="shared" si="732"/>
        <v>-</v>
      </c>
      <c r="N148" s="59">
        <f>IFERROR(__xludf.DUMMYFUNCTION("IFERROR(
  VLOOKUP(
    A148,
    IMPORTRANGE(
      ""1ZHMy3vVUd_0MrSduXTe1etBb1HNpAlGwQr006ljwMiM"",
      ""GSC最新!A:R""
    ),
    7,
    FALSE
  ),
  0
)
"),0.0)</f>
        <v>0</v>
      </c>
      <c r="O148" s="59">
        <f>IFERROR(__xludf.DUMMYFUNCTION("IFERROR(
  VLOOKUP(
    A148,
    IMPORTRANGE(
      ""1ZHMy3vVUd_0MrSduXTe1etBb1HNpAlGwQr006ljwMiM"",
      ""GSC最新!A:R""
    ),
    10,
    FALSE
  ),
  0
)
"),0.0)</f>
        <v>0</v>
      </c>
      <c r="P148" s="59">
        <f>IFERROR(__xludf.DUMMYFUNCTION("IFERROR(
  VLOOKUP(
    A148,
    IMPORTRANGE(
      ""1ZHMy3vVUd_0MrSduXTe1etBb1HNpAlGwQr006ljwMiM"",
      ""GSC最新!A:R""
    ),
    13,
    FALSE
  ),
  0
)
"),0.0)</f>
        <v>0</v>
      </c>
      <c r="Q148" s="59">
        <f>IFERROR(__xludf.DUMMYFUNCTION("IFERROR(
  VLOOKUP(
    A148,
    IMPORTRANGE(
      ""1ZHMy3vVUd_0MrSduXTe1etBb1HNpAlGwQr006ljwMiM"",
      ""GSC最新!A:R""
    ),
    16,
    FALSE
  ),
  0
)
"),0.0)</f>
        <v>0</v>
      </c>
      <c r="R148" s="50" t="str">
        <f t="shared" ref="R148:S148" si="733">IFERROR(N148/P148,"-")</f>
        <v>-</v>
      </c>
      <c r="S148" s="50" t="str">
        <f t="shared" si="733"/>
        <v>-</v>
      </c>
      <c r="T148" s="60">
        <f>IFERROR(__xludf.DUMMYFUNCTION("IFERROR(
  VLOOKUP(
    A148,
    IMPORTRANGE(
      ""1ZHMy3vVUd_0MrSduXTe1etBb1HNpAlGwQr006ljwMiM"",
      ""GSC最新!A:R""
    ),
    8,
    FALSE
  ),
  0
)
"),0.0)</f>
        <v>0</v>
      </c>
      <c r="U148" s="60">
        <f>IFERROR(__xludf.DUMMYFUNCTION("IFERROR(
  VLOOKUP(
    A148,
    IMPORTRANGE(
      ""1ZHMy3vVUd_0MrSduXTe1etBb1HNpAlGwQr006ljwMiM"",
      ""GSC最新!A:R""
    ),
    11,
    FALSE
  ),
  0
)
"),0.0)</f>
        <v>0</v>
      </c>
      <c r="V148" s="60">
        <f>IFERROR(__xludf.DUMMYFUNCTION("IFERROR(
  VLOOKUP(
    A148,
    IMPORTRANGE(
      ""1ZHMy3vVUd_0MrSduXTe1etBb1HNpAlGwQr006ljwMiM"",
      ""GSC最新!A:R""
    ),
    14,
    FALSE
  ),
  0
)
"),0.0)</f>
        <v>0</v>
      </c>
      <c r="W148" s="60">
        <f>IFERROR(__xludf.DUMMYFUNCTION("IFERROR(
  VLOOKUP(
    A148,
    IMPORTRANGE(
      ""1ZHMy3vVUd_0MrSduXTe1etBb1HNpAlGwQr006ljwMiM"",
      ""GSC最新!A:R""
    ),
    17,
    FALSE
  ),
  0
)
"),0.0)</f>
        <v>0</v>
      </c>
      <c r="X148" s="60">
        <f t="shared" ref="X148:Y148" si="734">IFERROR(T148-V148,"-")</f>
        <v>0</v>
      </c>
      <c r="Y148" s="60">
        <f t="shared" si="734"/>
        <v>0</v>
      </c>
      <c r="Z148" s="52" t="str">
        <f>IFERROR(__xludf.DUMMYFUNCTION("IFERROR(
  VLOOKUP(
    A148,
    IMPORTRANGE(
      ""1ZHMy3vVUd_0MrSduXTe1etBb1HNpAlGwQr006ljwMiM"",
      ""GSC最新!A:R""
    ),
    9,
    FALSE
  ),
  0
)
"),"")</f>
        <v/>
      </c>
      <c r="AA148" s="52" t="str">
        <f>IFERROR(__xludf.DUMMYFUNCTION("IFERROR(
  VLOOKUP(
    A148,
    IMPORTRANGE(
      ""1ZHMy3vVUd_0MrSduXTe1etBb1HNpAlGwQr006ljwMiM"",
      ""GSC最新!A:R""
    ),
    12,
    FALSE
  ),
  0
)
"),"")</f>
        <v/>
      </c>
      <c r="AB148" s="52" t="str">
        <f>IFERROR(__xludf.DUMMYFUNCTION("IFERROR(
  VLOOKUP(
    A148,
    IMPORTRANGE(
      ""1ZHMy3vVUd_0MrSduXTe1etBb1HNpAlGwQr006ljwMiM"",
      ""GSC最新!A:R""
    ),
    15,
    FALSE
  ),
  0
)
"),"")</f>
        <v/>
      </c>
      <c r="AC148" s="52" t="str">
        <f>IFERROR(__xludf.DUMMYFUNCTION("IFERROR(
  VLOOKUP(
    A148,
    IMPORTRANGE(
      ""1ZHMy3vVUd_0MrSduXTe1etBb1HNpAlGwQr006ljwMiM"",
      ""GSC最新!A:R""
    ),
    18,
    FALSE
  ),
  0
)
"),"")</f>
        <v/>
      </c>
      <c r="AD148" s="52">
        <f t="shared" ref="AD148:AE148" si="735">Z148-AB148</f>
        <v>0</v>
      </c>
      <c r="AE148" s="52">
        <f t="shared" si="735"/>
        <v>0</v>
      </c>
      <c r="AF148" s="53">
        <f>IFERROR(__xludf.DUMMYFUNCTION("IFERROR(
  VLOOKUP(
    A148,
    IMPORTRANGE(
      ""1ZHMy3vVUd_0MrSduXTe1etBb1HNpAlGwQr006ljwMiM"",
      ""GSC最新!A:F""
    ),
    6,
    FALSE
  ),
  0
)
"),46081.0)</f>
        <v>46081</v>
      </c>
      <c r="AG148" s="54">
        <f>IFERROR(__xludf.DUMMYFUNCTION("IFERROR(
  VLOOKUP(
    A148,
    IMPORTRANGE(
      ""1SCYQd7_cobOYqT0r_F0IqD4tE4rYn5y8Eup4PJTH8es"",
      ""Snapshot!A:M""
    ),
    5,
    FALSE
  ),
  ""-""
)
"),3.0)</f>
        <v>3</v>
      </c>
      <c r="AH148" s="54">
        <f>IFERROR(__xludf.DUMMYFUNCTION("IFERROR(
  VLOOKUP(
    A148,
    IMPORTRANGE(
      ""1SCYQd7_cobOYqT0r_F0IqD4tE4rYn5y8Eup4PJTH8es"",
      ""Snapshot!A:M""
    ),
    6,
    FALSE
  ),
  0
)
"),5.0)</f>
        <v>5</v>
      </c>
      <c r="AI148" s="54">
        <f>IFERROR(__xludf.DUMMYFUNCTION("IFERROR(
  VLOOKUP(
    A148,
    IMPORTRANGE(
      ""1SCYQd7_cobOYqT0r_F0IqD4tE4rYn5y8Eup4PJTH8es"",
      ""Snapshot!A:M""
    ),
    7,
    FALSE
  ),
  0
)
"),3762.0)</f>
        <v>3762</v>
      </c>
      <c r="AJ148" s="54">
        <f>IFERROR(__xludf.DUMMYFUNCTION("IFERROR(
  VLOOKUP(
    A148,
    IMPORTRANGE(
      ""1SCYQd7_cobOYqT0r_F0IqD4tE4rYn5y8Eup4PJTH8es"",
      ""Snapshot!A:M""
    ),
    8,
    FALSE
  ),
  0
)
"),7.0)</f>
        <v>7</v>
      </c>
      <c r="AK148" s="54">
        <f>IFERROR(__xludf.DUMMYFUNCTION("IFERROR(
  VLOOKUP(
    A148,
    IMPORTRANGE(
      ""1SCYQd7_cobOYqT0r_F0IqD4tE4rYn5y8Eup4PJTH8es"",
      ""Snapshot!A:M""
    ),
    9,
    FALSE
  ),
  0
)
"),3.0)</f>
        <v>3</v>
      </c>
      <c r="AL148" s="54">
        <f>IFERROR(__xludf.DUMMYFUNCTION("IFERROR(
  VLOOKUP(
    A148,
    IMPORTRANGE(
      ""1SCYQd7_cobOYqT0r_F0IqD4tE4rYn5y8Eup4PJTH8es"",
      ""Snapshot!A:M""
    ),
    13,
    FALSE
  ),
  0
)
"),1.0)</f>
        <v>1</v>
      </c>
    </row>
    <row r="149">
      <c r="A149" s="3" t="s">
        <v>473</v>
      </c>
      <c r="B149" s="1" t="str">
        <f>IFERROR(__xludf.DUMMYFUNCTION("IFERROR(
  VLOOKUP(
    A149,
    IMPORTRANGE(
      ""1ZygntHC1J6IxzKbTidmOyf5nUyW4GCLurHCjexrLm_o"",
      ""HTMLキャッシュ!A:F""
    ),
    2,
    FALSE
  ),
  0
)
"),"MC")</f>
        <v>MC</v>
      </c>
      <c r="C149" s="1" t="str">
        <f>IFERROR(__xludf.DUMMYFUNCTION("IFERROR(
  VLOOKUP(
    A149,
    IMPORTRANGE(
      ""1ZygntHC1J6IxzKbTidmOyf5nUyW4GCLurHCjexrLm_o"",
      ""HTMLキャッシュ!A:F""
    ),
    5,
    FALSE
  ),
  0
)
"),"中学校入試の算数で必ず登場する「計算問題」を得意にする「３つのルーティーン」 - 中学受験専門 夏井算数塾")</f>
        <v>中学校入試の算数で必ず登場する「計算問題」を得意にする「３つのルーティーン」 - 中学受験専門 夏井算数塾</v>
      </c>
      <c r="D149" s="1" t="str">
        <f>IFERROR(__xludf.DUMMYFUNCTION("IFERROR(
  VLOOKUP(
    A149,
    IMPORTRANGE(
      ""1ZygntHC1J6IxzKbTidmOyf5nUyW4GCLurHCjexrLm_o        "",
      ""HTMLキャッシュ!A:F""
    ),
    6,
    FALSE
  ),
  0
)
"),"中学入試の算数で必ず登場する「計算問題」を得意にする３つのルーティーン 中学入試の算数では、「計")</f>
        <v>中学入試の算数で必ず登場する「計算問題」を得意にする３つのルーティーン 中学入試の算数では、「計</v>
      </c>
      <c r="E149" s="49">
        <f t="shared" ref="E149:F149" si="736">LEN(C149)</f>
        <v>53</v>
      </c>
      <c r="F149" s="49">
        <f t="shared" si="736"/>
        <v>48</v>
      </c>
      <c r="G149" s="32">
        <f>IFERROR(__xludf.DUMMYFUNCTION("IFERROR(
  VLOOKUP(
    A149,
    IMPORTRANGE(
      ""1ZygntHC1J6IxzKbTidmOyf5nUyW4GCLurHCjexrLm_o        "",
      ""HTMLキャッシュ!A:F""
    ),
    3,
    FALSE
  ),
  0
)
"),46048.668344907404)</f>
        <v>46048.66834</v>
      </c>
      <c r="H149" s="54">
        <f>IFERROR(__xludf.DUMMYFUNCTION("IFERROR(
  VLOOKUP(
    A149,
    IMPORTRANGE(
      ""1ZHMy3vVUd_0MrSduXTe1etBb1HNpAlGwQr006ljwMiM"",
      ""GSC最新!A:F""
    ),
    2,
    FALSE
  ),
  0
)
"),0.0)</f>
        <v>0</v>
      </c>
      <c r="I149" s="54">
        <f>IFERROR(__xludf.DUMMYFUNCTION("IFERROR(
  VLOOKUP(
    A149,
    IMPORTRANGE(
      ""1ZHMy3vVUd_0MrSduXTe1etBb1HNpAlGwQr006ljwMiM"",
      ""GSC最新!A:F""
    ),
    3,
    FALSE
  ),
  0
)
"),0.0)</f>
        <v>0</v>
      </c>
      <c r="J149" s="54">
        <f>IFERROR(__xludf.DUMMYFUNCTION("IFERROR(
  VLOOKUP(
    A149,
    IMPORTRANGE(
      ""1ZHMy3vVUd_0MrSduXTe1etBb1HNpAlGwQr006ljwMiM"",
      ""GSC最新!A:F""
    ),
    4,
    FALSE
  ),
  0
)
"),0.0)</f>
        <v>0</v>
      </c>
      <c r="K149" s="54">
        <f>IFERROR(__xludf.DUMMYFUNCTION("IFERROR(
  VLOOKUP(
    A149,
    IMPORTRANGE(
      ""1ZHMy3vVUd_0MrSduXTe1etBb1HNpAlGwQr006ljwMiM"",
      ""GSC最新!A:F""
    ),
    5,
    FALSE
  ),
  0
)
"),3.0)</f>
        <v>3</v>
      </c>
      <c r="L149" s="50" t="str">
        <f t="shared" ref="L149:M149" si="737">IFERROR(H149/J149,"-")</f>
        <v>-</v>
      </c>
      <c r="M149" s="50">
        <f t="shared" si="737"/>
        <v>0</v>
      </c>
      <c r="N149" s="59">
        <f>IFERROR(__xludf.DUMMYFUNCTION("IFERROR(
  VLOOKUP(
    A149,
    IMPORTRANGE(
      ""1ZHMy3vVUd_0MrSduXTe1etBb1HNpAlGwQr006ljwMiM"",
      ""GSC最新!A:R""
    ),
    7,
    FALSE
  ),
  0
)
"),0.0)</f>
        <v>0</v>
      </c>
      <c r="O149" s="59">
        <f>IFERROR(__xludf.DUMMYFUNCTION("IFERROR(
  VLOOKUP(
    A149,
    IMPORTRANGE(
      ""1ZHMy3vVUd_0MrSduXTe1etBb1HNpAlGwQr006ljwMiM"",
      ""GSC最新!A:R""
    ),
    10,
    FALSE
  ),
  0
)
"),0.0)</f>
        <v>0</v>
      </c>
      <c r="P149" s="59">
        <f>IFERROR(__xludf.DUMMYFUNCTION("IFERROR(
  VLOOKUP(
    A149,
    IMPORTRANGE(
      ""1ZHMy3vVUd_0MrSduXTe1etBb1HNpAlGwQr006ljwMiM"",
      ""GSC最新!A:R""
    ),
    13,
    FALSE
  ),
  0
)
"),0.0)</f>
        <v>0</v>
      </c>
      <c r="Q149" s="59">
        <f>IFERROR(__xludf.DUMMYFUNCTION("IFERROR(
  VLOOKUP(
    A149,
    IMPORTRANGE(
      ""1ZHMy3vVUd_0MrSduXTe1etBb1HNpAlGwQr006ljwMiM"",
      ""GSC最新!A:R""
    ),
    16,
    FALSE
  ),
  0
)
"),71.0)</f>
        <v>71</v>
      </c>
      <c r="R149" s="50" t="str">
        <f t="shared" ref="R149:S149" si="738">IFERROR(N149/P149,"-")</f>
        <v>-</v>
      </c>
      <c r="S149" s="50">
        <f t="shared" si="738"/>
        <v>0</v>
      </c>
      <c r="T149" s="60">
        <f>IFERROR(__xludf.DUMMYFUNCTION("IFERROR(
  VLOOKUP(
    A149,
    IMPORTRANGE(
      ""1ZHMy3vVUd_0MrSduXTe1etBb1HNpAlGwQr006ljwMiM"",
      ""GSC最新!A:R""
    ),
    8,
    FALSE
  ),
  0
)
"),0.0)</f>
        <v>0</v>
      </c>
      <c r="U149" s="60">
        <f>IFERROR(__xludf.DUMMYFUNCTION("IFERROR(
  VLOOKUP(
    A149,
    IMPORTRANGE(
      ""1ZHMy3vVUd_0MrSduXTe1etBb1HNpAlGwQr006ljwMiM"",
      ""GSC最新!A:R""
    ),
    11,
    FALSE
  ),
  0
)
"),0.0)</f>
        <v>0</v>
      </c>
      <c r="V149" s="60">
        <f>IFERROR(__xludf.DUMMYFUNCTION("IFERROR(
  VLOOKUP(
    A149,
    IMPORTRANGE(
      ""1ZHMy3vVUd_0MrSduXTe1etBb1HNpAlGwQr006ljwMiM"",
      ""GSC最新!A:R""
    ),
    14,
    FALSE
  ),
  0
)
"),0.0)</f>
        <v>0</v>
      </c>
      <c r="W149" s="60">
        <f>IFERROR(__xludf.DUMMYFUNCTION("IFERROR(
  VLOOKUP(
    A149,
    IMPORTRANGE(
      ""1ZHMy3vVUd_0MrSduXTe1etBb1HNpAlGwQr006ljwMiM"",
      ""GSC最新!A:R""
    ),
    17,
    FALSE
  ),
  0
)
"),0.04225352112676056)</f>
        <v>0.04225352113</v>
      </c>
      <c r="X149" s="60">
        <f t="shared" ref="X149:Y149" si="739">IFERROR(T149-V149,"-")</f>
        <v>0</v>
      </c>
      <c r="Y149" s="60">
        <f t="shared" si="739"/>
        <v>-0.04225352113</v>
      </c>
      <c r="Z149" s="52" t="str">
        <f>IFERROR(__xludf.DUMMYFUNCTION("IFERROR(
  VLOOKUP(
    A149,
    IMPORTRANGE(
      ""1ZHMy3vVUd_0MrSduXTe1etBb1HNpAlGwQr006ljwMiM"",
      ""GSC最新!A:R""
    ),
    9,
    FALSE
  ),
  0
)
"),"")</f>
        <v/>
      </c>
      <c r="AA149" s="52" t="str">
        <f>IFERROR(__xludf.DUMMYFUNCTION("IFERROR(
  VLOOKUP(
    A149,
    IMPORTRANGE(
      ""1ZHMy3vVUd_0MrSduXTe1etBb1HNpAlGwQr006ljwMiM"",
      ""GSC最新!A:R""
    ),
    12,
    FALSE
  ),
  0
)
"),"")</f>
        <v/>
      </c>
      <c r="AB149" s="52" t="str">
        <f>IFERROR(__xludf.DUMMYFUNCTION("IFERROR(
  VLOOKUP(
    A149,
    IMPORTRANGE(
      ""1ZHMy3vVUd_0MrSduXTe1etBb1HNpAlGwQr006ljwMiM"",
      ""GSC最新!A:R""
    ),
    15,
    FALSE
  ),
  0
)
"),"")</f>
        <v/>
      </c>
      <c r="AC149" s="52">
        <f>IFERROR(__xludf.DUMMYFUNCTION("IFERROR(
  VLOOKUP(
    A149,
    IMPORTRANGE(
      ""1ZHMy3vVUd_0MrSduXTe1etBb1HNpAlGwQr006ljwMiM"",
      ""GSC最新!A:R""
    ),
    18,
    FALSE
  ),
  0
)
"),54.2112676056338)</f>
        <v>54.21126761</v>
      </c>
      <c r="AD149" s="52">
        <f t="shared" ref="AD149:AE149" si="740">Z149-AB149</f>
        <v>0</v>
      </c>
      <c r="AE149" s="52">
        <f t="shared" si="740"/>
        <v>-54.21126761</v>
      </c>
      <c r="AF149" s="53">
        <f>IFERROR(__xludf.DUMMYFUNCTION("IFERROR(
  VLOOKUP(
    A149,
    IMPORTRANGE(
      ""1ZHMy3vVUd_0MrSduXTe1etBb1HNpAlGwQr006ljwMiM"",
      ""GSC最新!A:F""
    ),
    6,
    FALSE
  ),
  0
)
"),46081.0)</f>
        <v>46081</v>
      </c>
      <c r="AG149" s="54">
        <f>IFERROR(__xludf.DUMMYFUNCTION("IFERROR(
  VLOOKUP(
    A149,
    IMPORTRANGE(
      ""1SCYQd7_cobOYqT0r_F0IqD4tE4rYn5y8Eup4PJTH8es"",
      ""Snapshot!A:M""
    ),
    5,
    FALSE
  ),
  ""-""
)
"),5.0)</f>
        <v>5</v>
      </c>
      <c r="AH149" s="54">
        <f>IFERROR(__xludf.DUMMYFUNCTION("IFERROR(
  VLOOKUP(
    A149,
    IMPORTRANGE(
      ""1SCYQd7_cobOYqT0r_F0IqD4tE4rYn5y8Eup4PJTH8es"",
      ""Snapshot!A:M""
    ),
    6,
    FALSE
  ),
  0
)
"),4.0)</f>
        <v>4</v>
      </c>
      <c r="AI149" s="54">
        <f>IFERROR(__xludf.DUMMYFUNCTION("IFERROR(
  VLOOKUP(
    A149,
    IMPORTRANGE(
      ""1SCYQd7_cobOYqT0r_F0IqD4tE4rYn5y8Eup4PJTH8es"",
      ""Snapshot!A:M""
    ),
    7,
    FALSE
  ),
  0
)
"),2809.0)</f>
        <v>2809</v>
      </c>
      <c r="AJ149" s="54">
        <f>IFERROR(__xludf.DUMMYFUNCTION("IFERROR(
  VLOOKUP(
    A149,
    IMPORTRANGE(
      ""1SCYQd7_cobOYqT0r_F0IqD4tE4rYn5y8Eup4PJTH8es"",
      ""Snapshot!A:M""
    ),
    8,
    FALSE
  ),
  0
)
"),8.0)</f>
        <v>8</v>
      </c>
      <c r="AK149" s="54">
        <f>IFERROR(__xludf.DUMMYFUNCTION("IFERROR(
  VLOOKUP(
    A149,
    IMPORTRANGE(
      ""1SCYQd7_cobOYqT0r_F0IqD4tE4rYn5y8Eup4PJTH8es"",
      ""Snapshot!A:M""
    ),
    9,
    FALSE
  ),
  0
)
"),1.0)</f>
        <v>1</v>
      </c>
      <c r="AL149" s="54">
        <f>IFERROR(__xludf.DUMMYFUNCTION("IFERROR(
  VLOOKUP(
    A149,
    IMPORTRANGE(
      ""1SCYQd7_cobOYqT0r_F0IqD4tE4rYn5y8Eup4PJTH8es"",
      ""Snapshot!A:M""
    ),
    13,
    FALSE
  ),
  0
)
"),2.0)</f>
        <v>2</v>
      </c>
    </row>
    <row r="150">
      <c r="A150" s="3" t="s">
        <v>474</v>
      </c>
      <c r="B150" s="1" t="str">
        <f>IFERROR(__xludf.DUMMYFUNCTION("IFERROR(
  VLOOKUP(
    A150,
    IMPORTRANGE(
      ""1ZygntHC1J6IxzKbTidmOyf5nUyW4GCLurHCjexrLm_o"",
      ""HTMLキャッシュ!A:F""
    ),
    2,
    FALSE
  ),
  0
)
"),"SC")</f>
        <v>SC</v>
      </c>
      <c r="C150" s="1" t="str">
        <f>IFERROR(__xludf.DUMMYFUNCTION("IFERROR(
  VLOOKUP(
    A150,
    IMPORTRANGE(
      ""1ZygntHC1J6IxzKbTidmOyf5nUyW4GCLurHCjexrLm_o"",
      ""HTMLキャッシュ!A:F""
    ),
    5,
    FALSE
  ),
  0
)
"),"中学受験算数のオンライン授業はなぜ難しい？通信環境・端末・指導体制とオンライン算数 個別指導の活かし方 - 中学受験専門 夏井算数塾")</f>
        <v>中学受験算数のオンライン授業はなぜ難しい？通信環境・端末・指導体制とオンライン算数 個別指導の活かし方 - 中学受験専門 夏井算数塾</v>
      </c>
      <c r="D150" s="1" t="str">
        <f>IFERROR(__xludf.DUMMYFUNCTION("IFERROR(
  VLOOKUP(
    A150,
    IMPORTRANGE(
      ""1ZygntHC1J6IxzKbTidmOyf5nUyW4GCLurHCjexrLm_o        "",
      ""HTMLキャッシュ!A:F""
    ),
    6,
    FALSE
  ),
  0
)
"),"算数のオンライン授業で「わかりづらい・続かない」と感じる原因を、通信環境・端末・講師体制の3点から徹底解説。中学受験算数オンラインを成功させるための環境づくり、オンライン算数 個別指導の使い分け、他サービスとの比較ポイントまで具体的にまとめました。")</f>
        <v>算数のオンライン授業で「わかりづらい・続かない」と感じる原因を、通信環境・端末・講師体制の3点から徹底解説。中学受験算数オンラインを成功させるための環境づくり、オンライン算数 個別指導の使い分け、他サービスとの比較ポイントまで具体的にまとめました。</v>
      </c>
      <c r="E150" s="49">
        <f t="shared" ref="E150:F150" si="741">LEN(C150)</f>
        <v>66</v>
      </c>
      <c r="F150" s="49">
        <f t="shared" si="741"/>
        <v>124</v>
      </c>
      <c r="G150" s="32">
        <f>IFERROR(__xludf.DUMMYFUNCTION("IFERROR(
  VLOOKUP(
    A150,
    IMPORTRANGE(
      ""1ZygntHC1J6IxzKbTidmOyf5nUyW4GCLurHCjexrLm_o        "",
      ""HTMLキャッシュ!A:F""
    ),
    3,
    FALSE
  ),
  0
)
"),46084.64320601852)</f>
        <v>46084.64321</v>
      </c>
      <c r="H150" s="54">
        <f>IFERROR(__xludf.DUMMYFUNCTION("IFERROR(
  VLOOKUP(
    A150,
    IMPORTRANGE(
      ""1ZHMy3vVUd_0MrSduXTe1etBb1HNpAlGwQr006ljwMiM"",
      ""GSC最新!A:F""
    ),
    2,
    FALSE
  ),
  0
)
"),0.0)</f>
        <v>0</v>
      </c>
      <c r="I150" s="54">
        <f>IFERROR(__xludf.DUMMYFUNCTION("IFERROR(
  VLOOKUP(
    A150,
    IMPORTRANGE(
      ""1ZHMy3vVUd_0MrSduXTe1etBb1HNpAlGwQr006ljwMiM"",
      ""GSC最新!A:F""
    ),
    3,
    FALSE
  ),
  0
)
"),0.0)</f>
        <v>0</v>
      </c>
      <c r="J150" s="54">
        <f>IFERROR(__xludf.DUMMYFUNCTION("IFERROR(
  VLOOKUP(
    A150,
    IMPORTRANGE(
      ""1ZHMy3vVUd_0MrSduXTe1etBb1HNpAlGwQr006ljwMiM"",
      ""GSC最新!A:F""
    ),
    4,
    FALSE
  ),
  0
)
"),0.0)</f>
        <v>0</v>
      </c>
      <c r="K150" s="54">
        <f>IFERROR(__xludf.DUMMYFUNCTION("IFERROR(
  VLOOKUP(
    A150,
    IMPORTRANGE(
      ""1ZHMy3vVUd_0MrSduXTe1etBb1HNpAlGwQr006ljwMiM"",
      ""GSC最新!A:F""
    ),
    5,
    FALSE
  ),
  0
)
"),0.0)</f>
        <v>0</v>
      </c>
      <c r="L150" s="50" t="str">
        <f t="shared" ref="L150:M150" si="742">IFERROR(H150/J150,"-")</f>
        <v>-</v>
      </c>
      <c r="M150" s="50" t="str">
        <f t="shared" si="742"/>
        <v>-</v>
      </c>
      <c r="N150" s="59">
        <f>IFERROR(__xludf.DUMMYFUNCTION("IFERROR(
  VLOOKUP(
    A150,
    IMPORTRANGE(
      ""1ZHMy3vVUd_0MrSduXTe1etBb1HNpAlGwQr006ljwMiM"",
      ""GSC最新!A:R""
    ),
    7,
    FALSE
  ),
  0
)
"),0.0)</f>
        <v>0</v>
      </c>
      <c r="O150" s="59">
        <f>IFERROR(__xludf.DUMMYFUNCTION("IFERROR(
  VLOOKUP(
    A150,
    IMPORTRANGE(
      ""1ZHMy3vVUd_0MrSduXTe1etBb1HNpAlGwQr006ljwMiM"",
      ""GSC最新!A:R""
    ),
    10,
    FALSE
  ),
  0
)
"),0.0)</f>
        <v>0</v>
      </c>
      <c r="P150" s="59">
        <f>IFERROR(__xludf.DUMMYFUNCTION("IFERROR(
  VLOOKUP(
    A150,
    IMPORTRANGE(
      ""1ZHMy3vVUd_0MrSduXTe1etBb1HNpAlGwQr006ljwMiM"",
      ""GSC最新!A:R""
    ),
    13,
    FALSE
  ),
  0
)
"),0.0)</f>
        <v>0</v>
      </c>
      <c r="Q150" s="59">
        <f>IFERROR(__xludf.DUMMYFUNCTION("IFERROR(
  VLOOKUP(
    A150,
    IMPORTRANGE(
      ""1ZHMy3vVUd_0MrSduXTe1etBb1HNpAlGwQr006ljwMiM"",
      ""GSC最新!A:R""
    ),
    16,
    FALSE
  ),
  0
)
"),0.0)</f>
        <v>0</v>
      </c>
      <c r="R150" s="50" t="str">
        <f t="shared" ref="R150:S150" si="743">IFERROR(N150/P150,"-")</f>
        <v>-</v>
      </c>
      <c r="S150" s="50" t="str">
        <f t="shared" si="743"/>
        <v>-</v>
      </c>
      <c r="T150" s="60">
        <f>IFERROR(__xludf.DUMMYFUNCTION("IFERROR(
  VLOOKUP(
    A150,
    IMPORTRANGE(
      ""1ZHMy3vVUd_0MrSduXTe1etBb1HNpAlGwQr006ljwMiM"",
      ""GSC最新!A:R""
    ),
    8,
    FALSE
  ),
  0
)
"),0.0)</f>
        <v>0</v>
      </c>
      <c r="U150" s="60">
        <f>IFERROR(__xludf.DUMMYFUNCTION("IFERROR(
  VLOOKUP(
    A150,
    IMPORTRANGE(
      ""1ZHMy3vVUd_0MrSduXTe1etBb1HNpAlGwQr006ljwMiM"",
      ""GSC最新!A:R""
    ),
    11,
    FALSE
  ),
  0
)
"),0.0)</f>
        <v>0</v>
      </c>
      <c r="V150" s="60">
        <f>IFERROR(__xludf.DUMMYFUNCTION("IFERROR(
  VLOOKUP(
    A150,
    IMPORTRANGE(
      ""1ZHMy3vVUd_0MrSduXTe1etBb1HNpAlGwQr006ljwMiM"",
      ""GSC最新!A:R""
    ),
    14,
    FALSE
  ),
  0
)
"),0.0)</f>
        <v>0</v>
      </c>
      <c r="W150" s="60">
        <f>IFERROR(__xludf.DUMMYFUNCTION("IFERROR(
  VLOOKUP(
    A150,
    IMPORTRANGE(
      ""1ZHMy3vVUd_0MrSduXTe1etBb1HNpAlGwQr006ljwMiM"",
      ""GSC最新!A:R""
    ),
    17,
    FALSE
  ),
  0
)
"),0.0)</f>
        <v>0</v>
      </c>
      <c r="X150" s="60">
        <f t="shared" ref="X150:Y150" si="744">IFERROR(T150-V150,"-")</f>
        <v>0</v>
      </c>
      <c r="Y150" s="60">
        <f t="shared" si="744"/>
        <v>0</v>
      </c>
      <c r="Z150" s="52" t="str">
        <f>IFERROR(__xludf.DUMMYFUNCTION("IFERROR(
  VLOOKUP(
    A150,
    IMPORTRANGE(
      ""1ZHMy3vVUd_0MrSduXTe1etBb1HNpAlGwQr006ljwMiM"",
      ""GSC最新!A:R""
    ),
    9,
    FALSE
  ),
  0
)
"),"")</f>
        <v/>
      </c>
      <c r="AA150" s="52" t="str">
        <f>IFERROR(__xludf.DUMMYFUNCTION("IFERROR(
  VLOOKUP(
    A150,
    IMPORTRANGE(
      ""1ZHMy3vVUd_0MrSduXTe1etBb1HNpAlGwQr006ljwMiM"",
      ""GSC最新!A:R""
    ),
    12,
    FALSE
  ),
  0
)
"),"")</f>
        <v/>
      </c>
      <c r="AB150" s="52" t="str">
        <f>IFERROR(__xludf.DUMMYFUNCTION("IFERROR(
  VLOOKUP(
    A150,
    IMPORTRANGE(
      ""1ZHMy3vVUd_0MrSduXTe1etBb1HNpAlGwQr006ljwMiM"",
      ""GSC最新!A:R""
    ),
    15,
    FALSE
  ),
  0
)
"),"")</f>
        <v/>
      </c>
      <c r="AC150" s="52" t="str">
        <f>IFERROR(__xludf.DUMMYFUNCTION("IFERROR(
  VLOOKUP(
    A150,
    IMPORTRANGE(
      ""1ZHMy3vVUd_0MrSduXTe1etBb1HNpAlGwQr006ljwMiM"",
      ""GSC最新!A:R""
    ),
    18,
    FALSE
  ),
  0
)
"),"")</f>
        <v/>
      </c>
      <c r="AD150" s="52">
        <f t="shared" ref="AD150:AE150" si="745">Z150-AB150</f>
        <v>0</v>
      </c>
      <c r="AE150" s="52">
        <f t="shared" si="745"/>
        <v>0</v>
      </c>
      <c r="AF150" s="53">
        <f>IFERROR(__xludf.DUMMYFUNCTION("IFERROR(
  VLOOKUP(
    A150,
    IMPORTRANGE(
      ""1ZHMy3vVUd_0MrSduXTe1etBb1HNpAlGwQr006ljwMiM"",
      ""GSC最新!A:F""
    ),
    6,
    FALSE
  ),
  0
)
"),46081.0)</f>
        <v>46081</v>
      </c>
      <c r="AG150" s="54">
        <f>IFERROR(__xludf.DUMMYFUNCTION("IFERROR(
  VLOOKUP(
    A150,
    IMPORTRANGE(
      ""1SCYQd7_cobOYqT0r_F0IqD4tE4rYn5y8Eup4PJTH8es"",
      ""Snapshot!A:M""
    ),
    5,
    FALSE
  ),
  ""-""
)
"),9.0)</f>
        <v>9</v>
      </c>
      <c r="AH150" s="54">
        <f>IFERROR(__xludf.DUMMYFUNCTION("IFERROR(
  VLOOKUP(
    A150,
    IMPORTRANGE(
      ""1SCYQd7_cobOYqT0r_F0IqD4tE4rYn5y8Eup4PJTH8es"",
      ""Snapshot!A:M""
    ),
    6,
    FALSE
  ),
  0
)
"),7.0)</f>
        <v>7</v>
      </c>
      <c r="AI150" s="54">
        <f>IFERROR(__xludf.DUMMYFUNCTION("IFERROR(
  VLOOKUP(
    A150,
    IMPORTRANGE(
      ""1SCYQd7_cobOYqT0r_F0IqD4tE4rYn5y8Eup4PJTH8es"",
      ""Snapshot!A:M""
    ),
    7,
    FALSE
  ),
  0
)
"),4828.0)</f>
        <v>4828</v>
      </c>
      <c r="AJ150" s="54">
        <f>IFERROR(__xludf.DUMMYFUNCTION("IFERROR(
  VLOOKUP(
    A150,
    IMPORTRANGE(
      ""1SCYQd7_cobOYqT0r_F0IqD4tE4rYn5y8Eup4PJTH8es"",
      ""Snapshot!A:M""
    ),
    8,
    FALSE
  ),
  0
)
"),4.0)</f>
        <v>4</v>
      </c>
      <c r="AK150" s="54">
        <f>IFERROR(__xludf.DUMMYFUNCTION("IFERROR(
  VLOOKUP(
    A150,
    IMPORTRANGE(
      ""1SCYQd7_cobOYqT0r_F0IqD4tE4rYn5y8Eup4PJTH8es"",
      ""Snapshot!A:M""
    ),
    9,
    FALSE
  ),
  0
)
"),2.0)</f>
        <v>2</v>
      </c>
      <c r="AL150" s="54">
        <f>IFERROR(__xludf.DUMMYFUNCTION("IFERROR(
  VLOOKUP(
    A150,
    IMPORTRANGE(
      ""1SCYQd7_cobOYqT0r_F0IqD4tE4rYn5y8Eup4PJTH8es"",
      ""Snapshot!A:M""
    ),
    13,
    FALSE
  ),
  0
)
"),2.0)</f>
        <v>2</v>
      </c>
    </row>
    <row r="151">
      <c r="A151" s="3" t="s">
        <v>475</v>
      </c>
      <c r="B151" s="1" t="str">
        <f>IFERROR(__xludf.DUMMYFUNCTION("IFERROR(
  VLOOKUP(
    A151,
    IMPORTRANGE(
      ""1ZygntHC1J6IxzKbTidmOyf5nUyW4GCLurHCjexrLm_o"",
      ""HTMLキャッシュ!A:F""
    ),
    2,
    FALSE
  ),
  0
)
"),"SC")</f>
        <v>SC</v>
      </c>
      <c r="C151" s="1" t="str">
        <f>IFERROR(__xludf.DUMMYFUNCTION("IFERROR(
  VLOOKUP(
    A151,
    IMPORTRANGE(
      ""1ZygntHC1J6IxzKbTidmOyf5nUyW4GCLurHCjexrLm_o"",
      ""HTMLキャッシュ!A:F""
    ),
    5,
    FALSE
  ),
  0
)
"),"オンライン算数教室で本当に成績は伸びる？塾との違いと中学受験算数オンラインの活かし方 - 中学受験専門 夏井算数塾")</f>
        <v>オンライン算数教室で本当に成績は伸びる？塾との違いと中学受験算数オンラインの活かし方 - 中学受験専門 夏井算数塾</v>
      </c>
      <c r="D151" s="1" t="str">
        <f>IFERROR(__xludf.DUMMYFUNCTION("IFERROR(
  VLOOKUP(
    A151,
    IMPORTRANGE(
      ""1ZygntHC1J6IxzKbTidmOyf5nUyW4GCLurHCjexrLm_o        "",
      ""HTMLキャッシュ!A:F""
    ),
    6,
    FALSE
  ),
  0
)
"),"オンライン算数教室で本当に成績は伸びるのか不安な保護者向けに、講師の質・マンツーマン指導の効果・集団塾との違いを具体的に解説。中学受験算数オンラインをどう併用すれば偏差値アップと学習習慣づくりの両立につながるかを、ケースごとの対策例やチェックポイントとともに2025年版の視点で詳しくまとめました。")</f>
        <v>オンライン算数教室で本当に成績は伸びるのか不安な保護者向けに、講師の質・マンツーマン指導の効果・集団塾との違いを具体的に解説。中学受験算数オンラインをどう併用すれば偏差値アップと学習習慣づくりの両立につながるかを、ケースごとの対策例やチェックポイントとともに2025年版の視点で詳しくまとめました。</v>
      </c>
      <c r="E151" s="49">
        <f t="shared" ref="E151:F151" si="746">LEN(C151)</f>
        <v>57</v>
      </c>
      <c r="F151" s="49">
        <f t="shared" si="746"/>
        <v>149</v>
      </c>
      <c r="G151" s="32">
        <f>IFERROR(__xludf.DUMMYFUNCTION("IFERROR(
  VLOOKUP(
    A151,
    IMPORTRANGE(
      ""1ZygntHC1J6IxzKbTidmOyf5nUyW4GCLurHCjexrLm_o        "",
      ""HTMLキャッシュ!A:F""
    ),
    3,
    FALSE
  ),
  0
)
"),46059.62179398148)</f>
        <v>46059.62179</v>
      </c>
      <c r="H151" s="54">
        <f>IFERROR(__xludf.DUMMYFUNCTION("IFERROR(
  VLOOKUP(
    A151,
    IMPORTRANGE(
      ""1ZHMy3vVUd_0MrSduXTe1etBb1HNpAlGwQr006ljwMiM"",
      ""GSC最新!A:F""
    ),
    2,
    FALSE
  ),
  0
)
"),0.0)</f>
        <v>0</v>
      </c>
      <c r="I151" s="54">
        <f>IFERROR(__xludf.DUMMYFUNCTION("IFERROR(
  VLOOKUP(
    A151,
    IMPORTRANGE(
      ""1ZHMy3vVUd_0MrSduXTe1etBb1HNpAlGwQr006ljwMiM"",
      ""GSC最新!A:F""
    ),
    3,
    FALSE
  ),
  0
)
"),0.0)</f>
        <v>0</v>
      </c>
      <c r="J151" s="54">
        <f>IFERROR(__xludf.DUMMYFUNCTION("IFERROR(
  VLOOKUP(
    A151,
    IMPORTRANGE(
      ""1ZHMy3vVUd_0MrSduXTe1etBb1HNpAlGwQr006ljwMiM"",
      ""GSC最新!A:F""
    ),
    4,
    FALSE
  ),
  0
)
"),0.0)</f>
        <v>0</v>
      </c>
      <c r="K151" s="54">
        <f>IFERROR(__xludf.DUMMYFUNCTION("IFERROR(
  VLOOKUP(
    A151,
    IMPORTRANGE(
      ""1ZHMy3vVUd_0MrSduXTe1etBb1HNpAlGwQr006ljwMiM"",
      ""GSC最新!A:F""
    ),
    5,
    FALSE
  ),
  0
)
"),0.0)</f>
        <v>0</v>
      </c>
      <c r="L151" s="50" t="str">
        <f t="shared" ref="L151:M151" si="747">IFERROR(H151/J151,"-")</f>
        <v>-</v>
      </c>
      <c r="M151" s="50" t="str">
        <f t="shared" si="747"/>
        <v>-</v>
      </c>
      <c r="N151" s="59">
        <f>IFERROR(__xludf.DUMMYFUNCTION("IFERROR(
  VLOOKUP(
    A151,
    IMPORTRANGE(
      ""1ZHMy3vVUd_0MrSduXTe1etBb1HNpAlGwQr006ljwMiM"",
      ""GSC最新!A:R""
    ),
    7,
    FALSE
  ),
  0
)
"),0.0)</f>
        <v>0</v>
      </c>
      <c r="O151" s="59">
        <f>IFERROR(__xludf.DUMMYFUNCTION("IFERROR(
  VLOOKUP(
    A151,
    IMPORTRANGE(
      ""1ZHMy3vVUd_0MrSduXTe1etBb1HNpAlGwQr006ljwMiM"",
      ""GSC最新!A:R""
    ),
    10,
    FALSE
  ),
  0
)
"),0.0)</f>
        <v>0</v>
      </c>
      <c r="P151" s="59">
        <f>IFERROR(__xludf.DUMMYFUNCTION("IFERROR(
  VLOOKUP(
    A151,
    IMPORTRANGE(
      ""1ZHMy3vVUd_0MrSduXTe1etBb1HNpAlGwQr006ljwMiM"",
      ""GSC最新!A:R""
    ),
    13,
    FALSE
  ),
  0
)
"),2.0)</f>
        <v>2</v>
      </c>
      <c r="Q151" s="59">
        <f>IFERROR(__xludf.DUMMYFUNCTION("IFERROR(
  VLOOKUP(
    A151,
    IMPORTRANGE(
      ""1ZHMy3vVUd_0MrSduXTe1etBb1HNpAlGwQr006ljwMiM"",
      ""GSC最新!A:R""
    ),
    16,
    FALSE
  ),
  0
)
"),2.0)</f>
        <v>2</v>
      </c>
      <c r="R151" s="50">
        <f t="shared" ref="R151:S151" si="748">IFERROR(N151/P151,"-")</f>
        <v>0</v>
      </c>
      <c r="S151" s="50">
        <f t="shared" si="748"/>
        <v>0</v>
      </c>
      <c r="T151" s="60">
        <f>IFERROR(__xludf.DUMMYFUNCTION("IFERROR(
  VLOOKUP(
    A151,
    IMPORTRANGE(
      ""1ZHMy3vVUd_0MrSduXTe1etBb1HNpAlGwQr006ljwMiM"",
      ""GSC最新!A:R""
    ),
    8,
    FALSE
  ),
  0
)
"),0.0)</f>
        <v>0</v>
      </c>
      <c r="U151" s="60">
        <f>IFERROR(__xludf.DUMMYFUNCTION("IFERROR(
  VLOOKUP(
    A151,
    IMPORTRANGE(
      ""1ZHMy3vVUd_0MrSduXTe1etBb1HNpAlGwQr006ljwMiM"",
      ""GSC最新!A:R""
    ),
    11,
    FALSE
  ),
  0
)
"),0.0)</f>
        <v>0</v>
      </c>
      <c r="V151" s="60">
        <f>IFERROR(__xludf.DUMMYFUNCTION("IFERROR(
  VLOOKUP(
    A151,
    IMPORTRANGE(
      ""1ZHMy3vVUd_0MrSduXTe1etBb1HNpAlGwQr006ljwMiM"",
      ""GSC最新!A:R""
    ),
    14,
    FALSE
  ),
  0
)
"),0.0)</f>
        <v>0</v>
      </c>
      <c r="W151" s="60">
        <f>IFERROR(__xludf.DUMMYFUNCTION("IFERROR(
  VLOOKUP(
    A151,
    IMPORTRANGE(
      ""1ZHMy3vVUd_0MrSduXTe1etBb1HNpAlGwQr006ljwMiM"",
      ""GSC最新!A:R""
    ),
    17,
    FALSE
  ),
  0
)
"),0.0)</f>
        <v>0</v>
      </c>
      <c r="X151" s="60">
        <f t="shared" ref="X151:Y151" si="749">IFERROR(T151-V151,"-")</f>
        <v>0</v>
      </c>
      <c r="Y151" s="60">
        <f t="shared" si="749"/>
        <v>0</v>
      </c>
      <c r="Z151" s="52" t="str">
        <f>IFERROR(__xludf.DUMMYFUNCTION("IFERROR(
  VLOOKUP(
    A151,
    IMPORTRANGE(
      ""1ZHMy3vVUd_0MrSduXTe1etBb1HNpAlGwQr006ljwMiM"",
      ""GSC最新!A:R""
    ),
    9,
    FALSE
  ),
  0
)
"),"")</f>
        <v/>
      </c>
      <c r="AA151" s="52" t="str">
        <f>IFERROR(__xludf.DUMMYFUNCTION("IFERROR(
  VLOOKUP(
    A151,
    IMPORTRANGE(
      ""1ZHMy3vVUd_0MrSduXTe1etBb1HNpAlGwQr006ljwMiM"",
      ""GSC最新!A:R""
    ),
    12,
    FALSE
  ),
  0
)
"),"")</f>
        <v/>
      </c>
      <c r="AB151" s="52">
        <f>IFERROR(__xludf.DUMMYFUNCTION("IFERROR(
  VLOOKUP(
    A151,
    IMPORTRANGE(
      ""1ZHMy3vVUd_0MrSduXTe1etBb1HNpAlGwQr006ljwMiM"",
      ""GSC最新!A:R""
    ),
    15,
    FALSE
  ),
  0
)
"),5.5)</f>
        <v>5.5</v>
      </c>
      <c r="AC151" s="52">
        <f>IFERROR(__xludf.DUMMYFUNCTION("IFERROR(
  VLOOKUP(
    A151,
    IMPORTRANGE(
      ""1ZHMy3vVUd_0MrSduXTe1etBb1HNpAlGwQr006ljwMiM"",
      ""GSC最新!A:R""
    ),
    18,
    FALSE
  ),
  0
)
"),5.5)</f>
        <v>5.5</v>
      </c>
      <c r="AD151" s="52">
        <f t="shared" ref="AD151:AE151" si="750">Z151-AB151</f>
        <v>-5.5</v>
      </c>
      <c r="AE151" s="52">
        <f t="shared" si="750"/>
        <v>-5.5</v>
      </c>
      <c r="AF151" s="53">
        <f>IFERROR(__xludf.DUMMYFUNCTION("IFERROR(
  VLOOKUP(
    A151,
    IMPORTRANGE(
      ""1ZHMy3vVUd_0MrSduXTe1etBb1HNpAlGwQr006ljwMiM"",
      ""GSC最新!A:F""
    ),
    6,
    FALSE
  ),
  0
)
"),46081.0)</f>
        <v>46081</v>
      </c>
      <c r="AG151" s="54">
        <f>IFERROR(__xludf.DUMMYFUNCTION("IFERROR(
  VLOOKUP(
    A151,
    IMPORTRANGE(
      ""1SCYQd7_cobOYqT0r_F0IqD4tE4rYn5y8Eup4PJTH8es"",
      ""Snapshot!A:M""
    ),
    5,
    FALSE
  ),
  ""-""
)
"),9.0)</f>
        <v>9</v>
      </c>
      <c r="AH151" s="54">
        <f>IFERROR(__xludf.DUMMYFUNCTION("IFERROR(
  VLOOKUP(
    A151,
    IMPORTRANGE(
      ""1SCYQd7_cobOYqT0r_F0IqD4tE4rYn5y8Eup4PJTH8es"",
      ""Snapshot!A:M""
    ),
    6,
    FALSE
  ),
  0
)
"),10.0)</f>
        <v>10</v>
      </c>
      <c r="AI151" s="54">
        <f>IFERROR(__xludf.DUMMYFUNCTION("IFERROR(
  VLOOKUP(
    A151,
    IMPORTRANGE(
      ""1SCYQd7_cobOYqT0r_F0IqD4tE4rYn5y8Eup4PJTH8es"",
      ""Snapshot!A:M""
    ),
    7,
    FALSE
  ),
  0
)
"),5176.0)</f>
        <v>5176</v>
      </c>
      <c r="AJ151" s="54">
        <f>IFERROR(__xludf.DUMMYFUNCTION("IFERROR(
  VLOOKUP(
    A151,
    IMPORTRANGE(
      ""1SCYQd7_cobOYqT0r_F0IqD4tE4rYn5y8Eup4PJTH8es"",
      ""Snapshot!A:M""
    ),
    8,
    FALSE
  ),
  0
)
"),4.0)</f>
        <v>4</v>
      </c>
      <c r="AK151" s="54">
        <f>IFERROR(__xludf.DUMMYFUNCTION("IFERROR(
  VLOOKUP(
    A151,
    IMPORTRANGE(
      ""1SCYQd7_cobOYqT0r_F0IqD4tE4rYn5y8Eup4PJTH8es"",
      ""Snapshot!A:M""
    ),
    9,
    FALSE
  ),
  0
)
"),2.0)</f>
        <v>2</v>
      </c>
      <c r="AL151" s="54">
        <f>IFERROR(__xludf.DUMMYFUNCTION("IFERROR(
  VLOOKUP(
    A151,
    IMPORTRANGE(
      ""1SCYQd7_cobOYqT0r_F0IqD4tE4rYn5y8Eup4PJTH8es"",
      ""Snapshot!A:M""
    ),
    13,
    FALSE
  ),
  0
)
"),4.0)</f>
        <v>4</v>
      </c>
    </row>
    <row r="152">
      <c r="A152" s="3" t="s">
        <v>476</v>
      </c>
      <c r="B152" s="1" t="str">
        <f>IFERROR(__xludf.DUMMYFUNCTION("IFERROR(
  VLOOKUP(
    A152,
    IMPORTRANGE(
      ""1ZygntHC1J6IxzKbTidmOyf5nUyW4GCLurHCjexrLm_o"",
      ""HTMLキャッシュ!A:F""
    ),
    2,
    FALSE
  ),
  0
)
"),"SC")</f>
        <v>SC</v>
      </c>
      <c r="C152" s="1" t="str">
        <f>IFERROR(__xludf.DUMMYFUNCTION("IFERROR(
  VLOOKUP(
    A152,
    IMPORTRANGE(
      ""1ZygntHC1J6IxzKbTidmOyf5nUyW4GCLurHCjexrLm_o"",
      ""HTMLキャッシュ!A:F""
    ),
    5,
    FALSE
  ),
  0
)
"),"速さが苦手な小学生がオンライン算数で改善する理由 - 中学受験専門 夏井算数塾")</f>
        <v>速さが苦手な小学生がオンライン算数で改善する理由 - 中学受験専門 夏井算数塾</v>
      </c>
      <c r="D152" s="1" t="str">
        <f>IFERROR(__xludf.DUMMYFUNCTION("IFERROR(
  VLOOKUP(
    A152,
    IMPORTRANGE(
      ""1ZygntHC1J6IxzKbTidmOyf5nUyW4GCLurHCjexrLm_o        "",
      ""HTMLキャッシュ!A:F""
    ),
    6,
    FALSE
  ),
  0
)
"),"中学受験の算数で「速さ」が弱点になっている小学生向けに、つまずきの原因とオンライン算数個別指導で改善する具体的ステップを解説。動きの可視化・図の描き方・家庭でのフォローまで丁寧にまとめます。")</f>
        <v>中学受験の算数で「速さ」が弱点になっている小学生向けに、つまずきの原因とオンライン算数個別指導で改善する具体的ステップを解説。動きの可視化・図の描き方・家庭でのフォローまで丁寧にまとめます。</v>
      </c>
      <c r="E152" s="49">
        <f t="shared" ref="E152:F152" si="751">LEN(C152)</f>
        <v>39</v>
      </c>
      <c r="F152" s="49">
        <f t="shared" si="751"/>
        <v>95</v>
      </c>
      <c r="G152" s="32">
        <f>IFERROR(__xludf.DUMMYFUNCTION("IFERROR(
  VLOOKUP(
    A152,
    IMPORTRANGE(
      ""1ZygntHC1J6IxzKbTidmOyf5nUyW4GCLurHCjexrLm_o        "",
      ""HTMLキャッシュ!A:F""
    ),
    3,
    FALSE
  ),
  0
)
"),46059.84509259259)</f>
        <v>46059.84509</v>
      </c>
      <c r="H152" s="54">
        <f>IFERROR(__xludf.DUMMYFUNCTION("IFERROR(
  VLOOKUP(
    A152,
    IMPORTRANGE(
      ""1ZHMy3vVUd_0MrSduXTe1etBb1HNpAlGwQr006ljwMiM"",
      ""GSC最新!A:F""
    ),
    2,
    FALSE
  ),
  0
)
"),0.0)</f>
        <v>0</v>
      </c>
      <c r="I152" s="54">
        <f>IFERROR(__xludf.DUMMYFUNCTION("IFERROR(
  VLOOKUP(
    A152,
    IMPORTRANGE(
      ""1ZHMy3vVUd_0MrSduXTe1etBb1HNpAlGwQr006ljwMiM"",
      ""GSC最新!A:F""
    ),
    3,
    FALSE
  ),
  0
)
"),0.0)</f>
        <v>0</v>
      </c>
      <c r="J152" s="54">
        <f>IFERROR(__xludf.DUMMYFUNCTION("IFERROR(
  VLOOKUP(
    A152,
    IMPORTRANGE(
      ""1ZHMy3vVUd_0MrSduXTe1etBb1HNpAlGwQr006ljwMiM"",
      ""GSC最新!A:F""
    ),
    4,
    FALSE
  ),
  0
)
"),0.0)</f>
        <v>0</v>
      </c>
      <c r="K152" s="54">
        <f>IFERROR(__xludf.DUMMYFUNCTION("IFERROR(
  VLOOKUP(
    A152,
    IMPORTRANGE(
      ""1ZHMy3vVUd_0MrSduXTe1etBb1HNpAlGwQr006ljwMiM"",
      ""GSC最新!A:F""
    ),
    5,
    FALSE
  ),
  0
)
"),0.0)</f>
        <v>0</v>
      </c>
      <c r="L152" s="50" t="str">
        <f t="shared" ref="L152:M152" si="752">IFERROR(H152/J152,"-")</f>
        <v>-</v>
      </c>
      <c r="M152" s="50" t="str">
        <f t="shared" si="752"/>
        <v>-</v>
      </c>
      <c r="N152" s="59">
        <f>IFERROR(__xludf.DUMMYFUNCTION("IFERROR(
  VLOOKUP(
    A152,
    IMPORTRANGE(
      ""1ZHMy3vVUd_0MrSduXTe1etBb1HNpAlGwQr006ljwMiM"",
      ""GSC最新!A:R""
    ),
    7,
    FALSE
  ),
  0
)
"),0.0)</f>
        <v>0</v>
      </c>
      <c r="O152" s="59">
        <f>IFERROR(__xludf.DUMMYFUNCTION("IFERROR(
  VLOOKUP(
    A152,
    IMPORTRANGE(
      ""1ZHMy3vVUd_0MrSduXTe1etBb1HNpAlGwQr006ljwMiM"",
      ""GSC最新!A:R""
    ),
    10,
    FALSE
  ),
  0
)
"),0.0)</f>
        <v>0</v>
      </c>
      <c r="P152" s="59">
        <f>IFERROR(__xludf.DUMMYFUNCTION("IFERROR(
  VLOOKUP(
    A152,
    IMPORTRANGE(
      ""1ZHMy3vVUd_0MrSduXTe1etBb1HNpAlGwQr006ljwMiM"",
      ""GSC最新!A:R""
    ),
    13,
    FALSE
  ),
  0
)
"),0.0)</f>
        <v>0</v>
      </c>
      <c r="Q152" s="59">
        <f>IFERROR(__xludf.DUMMYFUNCTION("IFERROR(
  VLOOKUP(
    A152,
    IMPORTRANGE(
      ""1ZHMy3vVUd_0MrSduXTe1etBb1HNpAlGwQr006ljwMiM"",
      ""GSC最新!A:R""
    ),
    16,
    FALSE
  ),
  0
)
"),0.0)</f>
        <v>0</v>
      </c>
      <c r="R152" s="50" t="str">
        <f t="shared" ref="R152:S152" si="753">IFERROR(N152/P152,"-")</f>
        <v>-</v>
      </c>
      <c r="S152" s="50" t="str">
        <f t="shared" si="753"/>
        <v>-</v>
      </c>
      <c r="T152" s="60">
        <f>IFERROR(__xludf.DUMMYFUNCTION("IFERROR(
  VLOOKUP(
    A152,
    IMPORTRANGE(
      ""1ZHMy3vVUd_0MrSduXTe1etBb1HNpAlGwQr006ljwMiM"",
      ""GSC最新!A:R""
    ),
    8,
    FALSE
  ),
  0
)
"),0.0)</f>
        <v>0</v>
      </c>
      <c r="U152" s="60">
        <f>IFERROR(__xludf.DUMMYFUNCTION("IFERROR(
  VLOOKUP(
    A152,
    IMPORTRANGE(
      ""1ZHMy3vVUd_0MrSduXTe1etBb1HNpAlGwQr006ljwMiM"",
      ""GSC最新!A:R""
    ),
    11,
    FALSE
  ),
  0
)
"),0.0)</f>
        <v>0</v>
      </c>
      <c r="V152" s="60">
        <f>IFERROR(__xludf.DUMMYFUNCTION("IFERROR(
  VLOOKUP(
    A152,
    IMPORTRANGE(
      ""1ZHMy3vVUd_0MrSduXTe1etBb1HNpAlGwQr006ljwMiM"",
      ""GSC最新!A:R""
    ),
    14,
    FALSE
  ),
  0
)
"),0.0)</f>
        <v>0</v>
      </c>
      <c r="W152" s="60">
        <f>IFERROR(__xludf.DUMMYFUNCTION("IFERROR(
  VLOOKUP(
    A152,
    IMPORTRANGE(
      ""1ZHMy3vVUd_0MrSduXTe1etBb1HNpAlGwQr006ljwMiM"",
      ""GSC最新!A:R""
    ),
    17,
    FALSE
  ),
  0
)
"),0.0)</f>
        <v>0</v>
      </c>
      <c r="X152" s="60">
        <f t="shared" ref="X152:Y152" si="754">IFERROR(T152-V152,"-")</f>
        <v>0</v>
      </c>
      <c r="Y152" s="60">
        <f t="shared" si="754"/>
        <v>0</v>
      </c>
      <c r="Z152" s="52" t="str">
        <f>IFERROR(__xludf.DUMMYFUNCTION("IFERROR(
  VLOOKUP(
    A152,
    IMPORTRANGE(
      ""1ZHMy3vVUd_0MrSduXTe1etBb1HNpAlGwQr006ljwMiM"",
      ""GSC最新!A:R""
    ),
    9,
    FALSE
  ),
  0
)
"),"")</f>
        <v/>
      </c>
      <c r="AA152" s="52" t="str">
        <f>IFERROR(__xludf.DUMMYFUNCTION("IFERROR(
  VLOOKUP(
    A152,
    IMPORTRANGE(
      ""1ZHMy3vVUd_0MrSduXTe1etBb1HNpAlGwQr006ljwMiM"",
      ""GSC最新!A:R""
    ),
    12,
    FALSE
  ),
  0
)
"),"")</f>
        <v/>
      </c>
      <c r="AB152" s="52" t="str">
        <f>IFERROR(__xludf.DUMMYFUNCTION("IFERROR(
  VLOOKUP(
    A152,
    IMPORTRANGE(
      ""1ZHMy3vVUd_0MrSduXTe1etBb1HNpAlGwQr006ljwMiM"",
      ""GSC最新!A:R""
    ),
    15,
    FALSE
  ),
  0
)
"),"")</f>
        <v/>
      </c>
      <c r="AC152" s="52" t="str">
        <f>IFERROR(__xludf.DUMMYFUNCTION("IFERROR(
  VLOOKUP(
    A152,
    IMPORTRANGE(
      ""1ZHMy3vVUd_0MrSduXTe1etBb1HNpAlGwQr006ljwMiM"",
      ""GSC最新!A:R""
    ),
    18,
    FALSE
  ),
  0
)
"),"")</f>
        <v/>
      </c>
      <c r="AD152" s="52">
        <f t="shared" ref="AD152:AE152" si="755">Z152-AB152</f>
        <v>0</v>
      </c>
      <c r="AE152" s="52">
        <f t="shared" si="755"/>
        <v>0</v>
      </c>
      <c r="AF152" s="53">
        <f>IFERROR(__xludf.DUMMYFUNCTION("IFERROR(
  VLOOKUP(
    A152,
    IMPORTRANGE(
      ""1ZHMy3vVUd_0MrSduXTe1etBb1HNpAlGwQr006ljwMiM"",
      ""GSC最新!A:F""
    ),
    6,
    FALSE
  ),
  0
)
"),46081.0)</f>
        <v>46081</v>
      </c>
      <c r="AG152" s="54">
        <f>IFERROR(__xludf.DUMMYFUNCTION("IFERROR(
  VLOOKUP(
    A152,
    IMPORTRANGE(
      ""1SCYQd7_cobOYqT0r_F0IqD4tE4rYn5y8Eup4PJTH8es"",
      ""Snapshot!A:M""
    ),
    5,
    FALSE
  ),
  ""-""
)
"),7.0)</f>
        <v>7</v>
      </c>
      <c r="AH152" s="54">
        <f>IFERROR(__xludf.DUMMYFUNCTION("IFERROR(
  VLOOKUP(
    A152,
    IMPORTRANGE(
      ""1SCYQd7_cobOYqT0r_F0IqD4tE4rYn5y8Eup4PJTH8es"",
      ""Snapshot!A:M""
    ),
    6,
    FALSE
  ),
  0
)
"),18.0)</f>
        <v>18</v>
      </c>
      <c r="AI152" s="54">
        <f>IFERROR(__xludf.DUMMYFUNCTION("IFERROR(
  VLOOKUP(
    A152,
    IMPORTRANGE(
      ""1SCYQd7_cobOYqT0r_F0IqD4tE4rYn5y8Eup4PJTH8es"",
      ""Snapshot!A:M""
    ),
    7,
    FALSE
  ),
  0
)
"),6128.0)</f>
        <v>6128</v>
      </c>
      <c r="AJ152" s="54">
        <f>IFERROR(__xludf.DUMMYFUNCTION("IFERROR(
  VLOOKUP(
    A152,
    IMPORTRANGE(
      ""1SCYQd7_cobOYqT0r_F0IqD4tE4rYn5y8Eup4PJTH8es"",
      ""Snapshot!A:M""
    ),
    8,
    FALSE
  ),
  0
)
"),2.0)</f>
        <v>2</v>
      </c>
      <c r="AK152" s="54">
        <f>IFERROR(__xludf.DUMMYFUNCTION("IFERROR(
  VLOOKUP(
    A152,
    IMPORTRANGE(
      ""1SCYQd7_cobOYqT0r_F0IqD4tE4rYn5y8Eup4PJTH8es"",
      ""Snapshot!A:M""
    ),
    9,
    FALSE
  ),
  0
)
"),2.0)</f>
        <v>2</v>
      </c>
      <c r="AL152" s="54">
        <f>IFERROR(__xludf.DUMMYFUNCTION("IFERROR(
  VLOOKUP(
    A152,
    IMPORTRANGE(
      ""1SCYQd7_cobOYqT0r_F0IqD4tE4rYn5y8Eup4PJTH8es"",
      ""Snapshot!A:M""
    ),
    13,
    FALSE
  ),
  0
)
"),2.0)</f>
        <v>2</v>
      </c>
    </row>
    <row r="153">
      <c r="A153" s="3" t="s">
        <v>477</v>
      </c>
      <c r="B153" s="1" t="str">
        <f>IFERROR(__xludf.DUMMYFUNCTION("IFERROR(
  VLOOKUP(
    A153,
    IMPORTRANGE(
      ""1ZygntHC1J6IxzKbTidmOyf5nUyW4GCLurHCjexrLm_o"",
      ""HTMLキャッシュ!A:F""
    ),
    2,
    FALSE
  ),
  0
)
"),"SC")</f>
        <v>SC</v>
      </c>
      <c r="C153" s="1" t="str">
        <f>IFERROR(__xludf.DUMMYFUNCTION("IFERROR(
  VLOOKUP(
    A153,
    IMPORTRANGE(
      ""1ZygntHC1J6IxzKbTidmOyf5nUyW4GCLurHCjexrLm_o"",
      ""HTMLキャッシュ!A:F""
    ),
    5,
    FALSE
  ),
  0
)
"),"比・割合が苦手な子のためのオンライン算数 個別指導ガイド - 中学受験専門 夏井算数塾")</f>
        <v>比・割合が苦手な子のためのオンライン算数 個別指導ガイド - 中学受験専門 夏井算数塾</v>
      </c>
      <c r="D153" s="1" t="str">
        <f>IFERROR(__xludf.DUMMYFUNCTION("IFERROR(
  VLOOKUP(
    A153,
    IMPORTRANGE(
      ""1ZygntHC1J6IxzKbTidmOyf5nUyW4GCLurHCjexrLm_o        "",
      ""HTMLキャッシュ!A:F""
    ),
    6,
    FALSE
  ),
  0
)
"),"中学受験／オンライン算数 比・割合の弱点克服ガイド 比や割合の単元になると、急に算数が分からなくなったように感")</f>
        <v>中学受験／オンライン算数 比・割合の弱点克服ガイド 比や割合の単元になると、急に算数が分からなくなったように感</v>
      </c>
      <c r="E153" s="49">
        <f t="shared" ref="E153:F153" si="756">LEN(C153)</f>
        <v>43</v>
      </c>
      <c r="F153" s="49">
        <f t="shared" si="756"/>
        <v>55</v>
      </c>
      <c r="G153" s="32">
        <f>IFERROR(__xludf.DUMMYFUNCTION("IFERROR(
  VLOOKUP(
    A153,
    IMPORTRANGE(
      ""1ZygntHC1J6IxzKbTidmOyf5nUyW4GCLurHCjexrLm_o        "",
      ""HTMLキャッシュ!A:F""
    ),
    3,
    FALSE
  ),
  0
)
"),46076.63179398148)</f>
        <v>46076.63179</v>
      </c>
      <c r="H153" s="54">
        <f>IFERROR(__xludf.DUMMYFUNCTION("IFERROR(
  VLOOKUP(
    A153,
    IMPORTRANGE(
      ""1ZHMy3vVUd_0MrSduXTe1etBb1HNpAlGwQr006ljwMiM"",
      ""GSC最新!A:F""
    ),
    2,
    FALSE
  ),
  0
)
"),0.0)</f>
        <v>0</v>
      </c>
      <c r="I153" s="54">
        <f>IFERROR(__xludf.DUMMYFUNCTION("IFERROR(
  VLOOKUP(
    A153,
    IMPORTRANGE(
      ""1ZHMy3vVUd_0MrSduXTe1etBb1HNpAlGwQr006ljwMiM"",
      ""GSC最新!A:F""
    ),
    3,
    FALSE
  ),
  0
)
"),0.0)</f>
        <v>0</v>
      </c>
      <c r="J153" s="54">
        <f>IFERROR(__xludf.DUMMYFUNCTION("IFERROR(
  VLOOKUP(
    A153,
    IMPORTRANGE(
      ""1ZHMy3vVUd_0MrSduXTe1etBb1HNpAlGwQr006ljwMiM"",
      ""GSC最新!A:F""
    ),
    4,
    FALSE
  ),
  0
)
"),0.0)</f>
        <v>0</v>
      </c>
      <c r="K153" s="54">
        <f>IFERROR(__xludf.DUMMYFUNCTION("IFERROR(
  VLOOKUP(
    A153,
    IMPORTRANGE(
      ""1ZHMy3vVUd_0MrSduXTe1etBb1HNpAlGwQr006ljwMiM"",
      ""GSC最新!A:F""
    ),
    5,
    FALSE
  ),
  0
)
"),0.0)</f>
        <v>0</v>
      </c>
      <c r="L153" s="50" t="str">
        <f t="shared" ref="L153:M153" si="757">IFERROR(H153/J153,"-")</f>
        <v>-</v>
      </c>
      <c r="M153" s="50" t="str">
        <f t="shared" si="757"/>
        <v>-</v>
      </c>
      <c r="N153" s="59">
        <f>IFERROR(__xludf.DUMMYFUNCTION("IFERROR(
  VLOOKUP(
    A153,
    IMPORTRANGE(
      ""1ZHMy3vVUd_0MrSduXTe1etBb1HNpAlGwQr006ljwMiM"",
      ""GSC最新!A:R""
    ),
    7,
    FALSE
  ),
  0
)
"),0.0)</f>
        <v>0</v>
      </c>
      <c r="O153" s="59">
        <f>IFERROR(__xludf.DUMMYFUNCTION("IFERROR(
  VLOOKUP(
    A153,
    IMPORTRANGE(
      ""1ZHMy3vVUd_0MrSduXTe1etBb1HNpAlGwQr006ljwMiM"",
      ""GSC最新!A:R""
    ),
    10,
    FALSE
  ),
  0
)
"),0.0)</f>
        <v>0</v>
      </c>
      <c r="P153" s="59">
        <f>IFERROR(__xludf.DUMMYFUNCTION("IFERROR(
  VLOOKUP(
    A153,
    IMPORTRANGE(
      ""1ZHMy3vVUd_0MrSduXTe1etBb1HNpAlGwQr006ljwMiM"",
      ""GSC最新!A:R""
    ),
    13,
    FALSE
  ),
  0
)
"),0.0)</f>
        <v>0</v>
      </c>
      <c r="Q153" s="59">
        <f>IFERROR(__xludf.DUMMYFUNCTION("IFERROR(
  VLOOKUP(
    A153,
    IMPORTRANGE(
      ""1ZHMy3vVUd_0MrSduXTe1etBb1HNpAlGwQr006ljwMiM"",
      ""GSC最新!A:R""
    ),
    16,
    FALSE
  ),
  0
)
"),0.0)</f>
        <v>0</v>
      </c>
      <c r="R153" s="50" t="str">
        <f t="shared" ref="R153:S153" si="758">IFERROR(N153/P153,"-")</f>
        <v>-</v>
      </c>
      <c r="S153" s="50" t="str">
        <f t="shared" si="758"/>
        <v>-</v>
      </c>
      <c r="T153" s="60">
        <f>IFERROR(__xludf.DUMMYFUNCTION("IFERROR(
  VLOOKUP(
    A153,
    IMPORTRANGE(
      ""1ZHMy3vVUd_0MrSduXTe1etBb1HNpAlGwQr006ljwMiM"",
      ""GSC最新!A:R""
    ),
    8,
    FALSE
  ),
  0
)
"),0.0)</f>
        <v>0</v>
      </c>
      <c r="U153" s="60">
        <f>IFERROR(__xludf.DUMMYFUNCTION("IFERROR(
  VLOOKUP(
    A153,
    IMPORTRANGE(
      ""1ZHMy3vVUd_0MrSduXTe1etBb1HNpAlGwQr006ljwMiM"",
      ""GSC最新!A:R""
    ),
    11,
    FALSE
  ),
  0
)
"),0.0)</f>
        <v>0</v>
      </c>
      <c r="V153" s="60">
        <f>IFERROR(__xludf.DUMMYFUNCTION("IFERROR(
  VLOOKUP(
    A153,
    IMPORTRANGE(
      ""1ZHMy3vVUd_0MrSduXTe1etBb1HNpAlGwQr006ljwMiM"",
      ""GSC最新!A:R""
    ),
    14,
    FALSE
  ),
  0
)
"),0.0)</f>
        <v>0</v>
      </c>
      <c r="W153" s="60">
        <f>IFERROR(__xludf.DUMMYFUNCTION("IFERROR(
  VLOOKUP(
    A153,
    IMPORTRANGE(
      ""1ZHMy3vVUd_0MrSduXTe1etBb1HNpAlGwQr006ljwMiM"",
      ""GSC最新!A:R""
    ),
    17,
    FALSE
  ),
  0
)
"),0.0)</f>
        <v>0</v>
      </c>
      <c r="X153" s="60">
        <f t="shared" ref="X153:Y153" si="759">IFERROR(T153-V153,"-")</f>
        <v>0</v>
      </c>
      <c r="Y153" s="60">
        <f t="shared" si="759"/>
        <v>0</v>
      </c>
      <c r="Z153" s="52" t="str">
        <f>IFERROR(__xludf.DUMMYFUNCTION("IFERROR(
  VLOOKUP(
    A153,
    IMPORTRANGE(
      ""1ZHMy3vVUd_0MrSduXTe1etBb1HNpAlGwQr006ljwMiM"",
      ""GSC最新!A:R""
    ),
    9,
    FALSE
  ),
  0
)
"),"")</f>
        <v/>
      </c>
      <c r="AA153" s="52" t="str">
        <f>IFERROR(__xludf.DUMMYFUNCTION("IFERROR(
  VLOOKUP(
    A153,
    IMPORTRANGE(
      ""1ZHMy3vVUd_0MrSduXTe1etBb1HNpAlGwQr006ljwMiM"",
      ""GSC最新!A:R""
    ),
    12,
    FALSE
  ),
  0
)
"),"")</f>
        <v/>
      </c>
      <c r="AB153" s="52" t="str">
        <f>IFERROR(__xludf.DUMMYFUNCTION("IFERROR(
  VLOOKUP(
    A153,
    IMPORTRANGE(
      ""1ZHMy3vVUd_0MrSduXTe1etBb1HNpAlGwQr006ljwMiM"",
      ""GSC最新!A:R""
    ),
    15,
    FALSE
  ),
  0
)
"),"")</f>
        <v/>
      </c>
      <c r="AC153" s="52" t="str">
        <f>IFERROR(__xludf.DUMMYFUNCTION("IFERROR(
  VLOOKUP(
    A153,
    IMPORTRANGE(
      ""1ZHMy3vVUd_0MrSduXTe1etBb1HNpAlGwQr006ljwMiM"",
      ""GSC最新!A:R""
    ),
    18,
    FALSE
  ),
  0
)
"),"")</f>
        <v/>
      </c>
      <c r="AD153" s="52">
        <f t="shared" ref="AD153:AE153" si="760">Z153-AB153</f>
        <v>0</v>
      </c>
      <c r="AE153" s="52">
        <f t="shared" si="760"/>
        <v>0</v>
      </c>
      <c r="AF153" s="53">
        <f>IFERROR(__xludf.DUMMYFUNCTION("IFERROR(
  VLOOKUP(
    A153,
    IMPORTRANGE(
      ""1ZHMy3vVUd_0MrSduXTe1etBb1HNpAlGwQr006ljwMiM"",
      ""GSC最新!A:F""
    ),
    6,
    FALSE
  ),
  0
)
"),46081.0)</f>
        <v>46081</v>
      </c>
      <c r="AG153" s="54">
        <f>IFERROR(__xludf.DUMMYFUNCTION("IFERROR(
  VLOOKUP(
    A153,
    IMPORTRANGE(
      ""1SCYQd7_cobOYqT0r_F0IqD4tE4rYn5y8Eup4PJTH8es"",
      ""Snapshot!A:M""
    ),
    5,
    FALSE
  ),
  ""-""
)
"),7.0)</f>
        <v>7</v>
      </c>
      <c r="AH153" s="54">
        <f>IFERROR(__xludf.DUMMYFUNCTION("IFERROR(
  VLOOKUP(
    A153,
    IMPORTRANGE(
      ""1SCYQd7_cobOYqT0r_F0IqD4tE4rYn5y8Eup4PJTH8es"",
      ""Snapshot!A:M""
    ),
    6,
    FALSE
  ),
  0
)
"),18.0)</f>
        <v>18</v>
      </c>
      <c r="AI153" s="54">
        <f>IFERROR(__xludf.DUMMYFUNCTION("IFERROR(
  VLOOKUP(
    A153,
    IMPORTRANGE(
      ""1SCYQd7_cobOYqT0r_F0IqD4tE4rYn5y8Eup4PJTH8es"",
      ""Snapshot!A:M""
    ),
    7,
    FALSE
  ),
  0
)
"),6202.0)</f>
        <v>6202</v>
      </c>
      <c r="AJ153" s="54">
        <f>IFERROR(__xludf.DUMMYFUNCTION("IFERROR(
  VLOOKUP(
    A153,
    IMPORTRANGE(
      ""1SCYQd7_cobOYqT0r_F0IqD4tE4rYn5y8Eup4PJTH8es"",
      ""Snapshot!A:M""
    ),
    8,
    FALSE
  ),
  0
)
"),2.0)</f>
        <v>2</v>
      </c>
      <c r="AK153" s="54">
        <f>IFERROR(__xludf.DUMMYFUNCTION("IFERROR(
  VLOOKUP(
    A153,
    IMPORTRANGE(
      ""1SCYQd7_cobOYqT0r_F0IqD4tE4rYn5y8Eup4PJTH8es"",
      ""Snapshot!A:M""
    ),
    9,
    FALSE
  ),
  0
)
"),2.0)</f>
        <v>2</v>
      </c>
      <c r="AL153" s="54">
        <f>IFERROR(__xludf.DUMMYFUNCTION("IFERROR(
  VLOOKUP(
    A153,
    IMPORTRANGE(
      ""1SCYQd7_cobOYqT0r_F0IqD4tE4rYn5y8Eup4PJTH8es"",
      ""Snapshot!A:M""
    ),
    13,
    FALSE
  ),
  0
)
"),2.0)</f>
        <v>2</v>
      </c>
    </row>
    <row r="154">
      <c r="A154" s="3" t="s">
        <v>97</v>
      </c>
      <c r="B154" s="1" t="str">
        <f>IFERROR(__xludf.DUMMYFUNCTION("IFERROR(
  VLOOKUP(
    A154,
    IMPORTRANGE(
      ""1ZygntHC1J6IxzKbTidmOyf5nUyW4GCLurHCjexrLm_o"",
      ""HTMLキャッシュ!A:F""
    ),
    2,
    FALSE
  ),
  0
)
"),"-")</f>
        <v>-</v>
      </c>
      <c r="C154" s="1" t="str">
        <f>IFERROR(__xludf.DUMMYFUNCTION("IFERROR(
  VLOOKUP(
    A154,
    IMPORTRANGE(
      ""1ZygntHC1J6IxzKbTidmOyf5nUyW4GCLurHCjexrLm_o"",
      ""HTMLキャッシュ!A:F""
    ),
    5,
    FALSE
  ),
  0
)
"),"得点力向上LIVE - 中学受験専門 夏井算数塾")</f>
        <v>得点力向上LIVE - 中学受験専門 夏井算数塾</v>
      </c>
      <c r="D154" s="1" t="str">
        <f>IFERROR(__xludf.DUMMYFUNCTION("IFERROR(
  VLOOKUP(
    A154,
    IMPORTRANGE(
      ""1ZygntHC1J6IxzKbTidmOyf5nUyW4GCLurHCjexrLm_o        "",
      ""HTMLキャッシュ!A:F""
    ),
    6,
    FALSE
  ),
  0
)
"),"得点力向上LIVE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得点力向上LIVE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54" s="49">
        <f t="shared" ref="E154:F154" si="761">LEN(C154)</f>
        <v>24</v>
      </c>
      <c r="F154" s="49">
        <f t="shared" si="761"/>
        <v>167</v>
      </c>
      <c r="G154" s="32">
        <f>IFERROR(__xludf.DUMMYFUNCTION("IFERROR(
  VLOOKUP(
    A154,
    IMPORTRANGE(
      ""1ZygntHC1J6IxzKbTidmOyf5nUyW4GCLurHCjexrLm_o        "",
      ""HTMLキャッシュ!A:F""
    ),
    3,
    FALSE
  ),
  0
)
"),25569.375)</f>
        <v>25569.375</v>
      </c>
      <c r="H154" s="54">
        <f>IFERROR(__xludf.DUMMYFUNCTION("IFERROR(
  VLOOKUP(
    A154,
    IMPORTRANGE(
      ""1ZHMy3vVUd_0MrSduXTe1etBb1HNpAlGwQr006ljwMiM"",
      ""GSC最新!A:F""
    ),
    2,
    FALSE
  ),
  0
)
"),0.0)</f>
        <v>0</v>
      </c>
      <c r="I154" s="54">
        <f>IFERROR(__xludf.DUMMYFUNCTION("IFERROR(
  VLOOKUP(
    A154,
    IMPORTRANGE(
      ""1ZHMy3vVUd_0MrSduXTe1etBb1HNpAlGwQr006ljwMiM"",
      ""GSC最新!A:F""
    ),
    3,
    FALSE
  ),
  0
)
"),0.0)</f>
        <v>0</v>
      </c>
      <c r="J154" s="54">
        <f>IFERROR(__xludf.DUMMYFUNCTION("IFERROR(
  VLOOKUP(
    A154,
    IMPORTRANGE(
      ""1ZHMy3vVUd_0MrSduXTe1etBb1HNpAlGwQr006ljwMiM"",
      ""GSC最新!A:F""
    ),
    4,
    FALSE
  ),
  0
)
"),0.0)</f>
        <v>0</v>
      </c>
      <c r="K154" s="54">
        <f>IFERROR(__xludf.DUMMYFUNCTION("IFERROR(
  VLOOKUP(
    A154,
    IMPORTRANGE(
      ""1ZHMy3vVUd_0MrSduXTe1etBb1HNpAlGwQr006ljwMiM"",
      ""GSC最新!A:F""
    ),
    5,
    FALSE
  ),
  0
)
"),0.0)</f>
        <v>0</v>
      </c>
      <c r="L154" s="50" t="str">
        <f t="shared" ref="L154:M154" si="762">IFERROR(H154/J154,"-")</f>
        <v>-</v>
      </c>
      <c r="M154" s="50" t="str">
        <f t="shared" si="762"/>
        <v>-</v>
      </c>
      <c r="N154" s="59">
        <f>IFERROR(__xludf.DUMMYFUNCTION("IFERROR(
  VLOOKUP(
    A154,
    IMPORTRANGE(
      ""1ZHMy3vVUd_0MrSduXTe1etBb1HNpAlGwQr006ljwMiM"",
      ""GSC最新!A:R""
    ),
    7,
    FALSE
  ),
  0
)
"),0.0)</f>
        <v>0</v>
      </c>
      <c r="O154" s="59">
        <f>IFERROR(__xludf.DUMMYFUNCTION("IFERROR(
  VLOOKUP(
    A154,
    IMPORTRANGE(
      ""1ZHMy3vVUd_0MrSduXTe1etBb1HNpAlGwQr006ljwMiM"",
      ""GSC最新!A:R""
    ),
    10,
    FALSE
  ),
  0
)
"),0.0)</f>
        <v>0</v>
      </c>
      <c r="P154" s="59">
        <f>IFERROR(__xludf.DUMMYFUNCTION("IFERROR(
  VLOOKUP(
    A154,
    IMPORTRANGE(
      ""1ZHMy3vVUd_0MrSduXTe1etBb1HNpAlGwQr006ljwMiM"",
      ""GSC最新!A:R""
    ),
    13,
    FALSE
  ),
  0
)
"),0.0)</f>
        <v>0</v>
      </c>
      <c r="Q154" s="59">
        <f>IFERROR(__xludf.DUMMYFUNCTION("IFERROR(
  VLOOKUP(
    A154,
    IMPORTRANGE(
      ""1ZHMy3vVUd_0MrSduXTe1etBb1HNpAlGwQr006ljwMiM"",
      ""GSC最新!A:R""
    ),
    16,
    FALSE
  ),
  0
)
"),0.0)</f>
        <v>0</v>
      </c>
      <c r="R154" s="50" t="str">
        <f t="shared" ref="R154:S154" si="763">IFERROR(N154/P154,"-")</f>
        <v>-</v>
      </c>
      <c r="S154" s="50" t="str">
        <f t="shared" si="763"/>
        <v>-</v>
      </c>
      <c r="T154" s="60">
        <f>IFERROR(__xludf.DUMMYFUNCTION("IFERROR(
  VLOOKUP(
    A154,
    IMPORTRANGE(
      ""1ZHMy3vVUd_0MrSduXTe1etBb1HNpAlGwQr006ljwMiM"",
      ""GSC最新!A:R""
    ),
    8,
    FALSE
  ),
  0
)
"),0.0)</f>
        <v>0</v>
      </c>
      <c r="U154" s="60">
        <f>IFERROR(__xludf.DUMMYFUNCTION("IFERROR(
  VLOOKUP(
    A154,
    IMPORTRANGE(
      ""1ZHMy3vVUd_0MrSduXTe1etBb1HNpAlGwQr006ljwMiM"",
      ""GSC最新!A:R""
    ),
    11,
    FALSE
  ),
  0
)
"),0.0)</f>
        <v>0</v>
      </c>
      <c r="V154" s="60">
        <f>IFERROR(__xludf.DUMMYFUNCTION("IFERROR(
  VLOOKUP(
    A154,
    IMPORTRANGE(
      ""1ZHMy3vVUd_0MrSduXTe1etBb1HNpAlGwQr006ljwMiM"",
      ""GSC最新!A:R""
    ),
    14,
    FALSE
  ),
  0
)
"),0.0)</f>
        <v>0</v>
      </c>
      <c r="W154" s="60">
        <f>IFERROR(__xludf.DUMMYFUNCTION("IFERROR(
  VLOOKUP(
    A154,
    IMPORTRANGE(
      ""1ZHMy3vVUd_0MrSduXTe1etBb1HNpAlGwQr006ljwMiM"",
      ""GSC最新!A:R""
    ),
    17,
    FALSE
  ),
  0
)
"),0.0)</f>
        <v>0</v>
      </c>
      <c r="X154" s="60">
        <f t="shared" ref="X154:Y154" si="764">IFERROR(T154-V154,"-")</f>
        <v>0</v>
      </c>
      <c r="Y154" s="60">
        <f t="shared" si="764"/>
        <v>0</v>
      </c>
      <c r="Z154" s="52" t="str">
        <f>IFERROR(__xludf.DUMMYFUNCTION("IFERROR(
  VLOOKUP(
    A154,
    IMPORTRANGE(
      ""1ZHMy3vVUd_0MrSduXTe1etBb1HNpAlGwQr006ljwMiM"",
      ""GSC最新!A:R""
    ),
    9,
    FALSE
  ),
  0
)
"),"")</f>
        <v/>
      </c>
      <c r="AA154" s="52" t="str">
        <f>IFERROR(__xludf.DUMMYFUNCTION("IFERROR(
  VLOOKUP(
    A154,
    IMPORTRANGE(
      ""1ZHMy3vVUd_0MrSduXTe1etBb1HNpAlGwQr006ljwMiM"",
      ""GSC最新!A:R""
    ),
    12,
    FALSE
  ),
  0
)
"),"")</f>
        <v/>
      </c>
      <c r="AB154" s="52" t="str">
        <f>IFERROR(__xludf.DUMMYFUNCTION("IFERROR(
  VLOOKUP(
    A154,
    IMPORTRANGE(
      ""1ZHMy3vVUd_0MrSduXTe1etBb1HNpAlGwQr006ljwMiM"",
      ""GSC最新!A:R""
    ),
    15,
    FALSE
  ),
  0
)
"),"")</f>
        <v/>
      </c>
      <c r="AC154" s="52" t="str">
        <f>IFERROR(__xludf.DUMMYFUNCTION("IFERROR(
  VLOOKUP(
    A154,
    IMPORTRANGE(
      ""1ZHMy3vVUd_0MrSduXTe1etBb1HNpAlGwQr006ljwMiM"",
      ""GSC最新!A:R""
    ),
    18,
    FALSE
  ),
  0
)
"),"")</f>
        <v/>
      </c>
      <c r="AD154" s="52">
        <f t="shared" ref="AD154:AE154" si="765">Z154-AB154</f>
        <v>0</v>
      </c>
      <c r="AE154" s="52">
        <f t="shared" si="765"/>
        <v>0</v>
      </c>
      <c r="AF154" s="53">
        <f>IFERROR(__xludf.DUMMYFUNCTION("IFERROR(
  VLOOKUP(
    A154,
    IMPORTRANGE(
      ""1ZHMy3vVUd_0MrSduXTe1etBb1HNpAlGwQr006ljwMiM"",
      ""GSC最新!A:F""
    ),
    6,
    FALSE
  ),
  0
)
"),46081.0)</f>
        <v>46081</v>
      </c>
      <c r="AG154" s="54">
        <f>IFERROR(__xludf.DUMMYFUNCTION("IFERROR(
  VLOOKUP(
    A154,
    IMPORTRANGE(
      ""1SCYQd7_cobOYqT0r_F0IqD4tE4rYn5y8Eup4PJTH8es"",
      ""Snapshot!A:M""
    ),
    5,
    FALSE
  ),
  ""-""
)
"),0.0)</f>
        <v>0</v>
      </c>
      <c r="AH154" s="54">
        <f>IFERROR(__xludf.DUMMYFUNCTION("IFERROR(
  VLOOKUP(
    A154,
    IMPORTRANGE(
      ""1SCYQd7_cobOYqT0r_F0IqD4tE4rYn5y8Eup4PJTH8es"",
      ""Snapshot!A:M""
    ),
    6,
    FALSE
  ),
  0
)
"),0.0)</f>
        <v>0</v>
      </c>
      <c r="AI154" s="54">
        <f>IFERROR(__xludf.DUMMYFUNCTION("IFERROR(
  VLOOKUP(
    A154,
    IMPORTRANGE(
      ""1SCYQd7_cobOYqT0r_F0IqD4tE4rYn5y8Eup4PJTH8es"",
      ""Snapshot!A:M""
    ),
    7,
    FALSE
  ),
  0
)
"),0.0)</f>
        <v>0</v>
      </c>
      <c r="AJ154" s="54">
        <f>IFERROR(__xludf.DUMMYFUNCTION("IFERROR(
  VLOOKUP(
    A154,
    IMPORTRANGE(
      ""1SCYQd7_cobOYqT0r_F0IqD4tE4rYn5y8Eup4PJTH8es"",
      ""Snapshot!A:M""
    ),
    8,
    FALSE
  ),
  0
)
"),0.0)</f>
        <v>0</v>
      </c>
      <c r="AK154" s="54">
        <f>IFERROR(__xludf.DUMMYFUNCTION("IFERROR(
  VLOOKUP(
    A154,
    IMPORTRANGE(
      ""1SCYQd7_cobOYqT0r_F0IqD4tE4rYn5y8Eup4PJTH8es"",
      ""Snapshot!A:M""
    ),
    9,
    FALSE
  ),
  0
)
"),0.0)</f>
        <v>0</v>
      </c>
      <c r="AL154" s="54">
        <f>IFERROR(__xludf.DUMMYFUNCTION("IFERROR(
  VLOOKUP(
    A154,
    IMPORTRANGE(
      ""1SCYQd7_cobOYqT0r_F0IqD4tE4rYn5y8Eup4PJTH8es"",
      ""Snapshot!A:M""
    ),
    13,
    FALSE
  ),
  0
)
"),1.0)</f>
        <v>1</v>
      </c>
    </row>
    <row r="155">
      <c r="A155" s="1" t="s">
        <v>478</v>
      </c>
      <c r="B155" s="1" t="str">
        <f>IFERROR(__xludf.DUMMYFUNCTION("IFERROR(
  VLOOKUP(
    A155,
    IMPORTRANGE(
      ""1ZygntHC1J6IxzKbTidmOyf5nUyW4GCLurHCjexrLm_o"",
      ""HTMLキャッシュ!A:F""
    ),
    2,
    FALSE
  ),
  0
)
"),"SC")</f>
        <v>SC</v>
      </c>
      <c r="C155" s="1" t="str">
        <f>IFERROR(__xludf.DUMMYFUNCTION("IFERROR(
  VLOOKUP(
    A155,
    IMPORTRANGE(
      ""1ZygntHC1J6IxzKbTidmOyf5nUyW4GCLurHCjexrLm_o"",
      ""HTMLキャッシュ!A:F""
    ),
    5,
    FALSE
  ),
  0
)
"),"SAPIX算数の弱点をオンライン個別で効率よく補強する方法 - 中学受験専門 夏井算数塾")</f>
        <v>SAPIX算数の弱点をオンライン個別で効率よく補強する方法 - 中学受験専門 夏井算数塾</v>
      </c>
      <c r="D155" s="1" t="str">
        <f>IFERROR(__xludf.DUMMYFUNCTION("IFERROR(
  VLOOKUP(
    A155,
    IMPORTRANGE(
      ""1ZygntHC1J6IxzKbTidmOyf5nUyW4GCLurHCjexrLm_o        "",
      ""HTMLキャッシュ!A:F""
    ),
    6,
    FALSE
  ),
  0
)
"),"SAPIX算数の大量な教材に追われて弱点復習まで手が回らないご家庭向けの中学受験算数ガイド。オンライン算数の個別指導で単元ごとの弱点を選び、絞り、型にして効率よく補強する三つのステップと、家庭でのフォローや教室選びのポイントを解説します。")</f>
        <v>SAPIX算数の大量な教材に追われて弱点復習まで手が回らないご家庭向けの中学受験算数ガイド。オンライン算数の個別指導で単元ごとの弱点を選び、絞り、型にして効率よく補強する三つのステップと、家庭でのフォローや教室選びのポイントを解説します。</v>
      </c>
      <c r="E155" s="49">
        <f t="shared" ref="E155:F155" si="766">LEN(C155)</f>
        <v>44</v>
      </c>
      <c r="F155" s="49">
        <f t="shared" si="766"/>
        <v>119</v>
      </c>
      <c r="G155" s="32">
        <f>IFERROR(__xludf.DUMMYFUNCTION("IFERROR(
  VLOOKUP(
    A155,
    IMPORTRANGE(
      ""1ZygntHC1J6IxzKbTidmOyf5nUyW4GCLurHCjexrLm_o        "",
      ""HTMLキャッシュ!A:F""
    ),
    3,
    FALSE
  ),
  0
)
"),46059.71832175926)</f>
        <v>46059.71832</v>
      </c>
      <c r="H155" s="54">
        <f>IFERROR(__xludf.DUMMYFUNCTION("IFERROR(
  VLOOKUP(
    A155,
    IMPORTRANGE(
      ""1ZHMy3vVUd_0MrSduXTe1etBb1HNpAlGwQr006ljwMiM"",
      ""GSC最新!A:F""
    ),
    2,
    FALSE
  ),
  0
)
"),0.0)</f>
        <v>0</v>
      </c>
      <c r="I155" s="54">
        <f>IFERROR(__xludf.DUMMYFUNCTION("IFERROR(
  VLOOKUP(
    A155,
    IMPORTRANGE(
      ""1ZHMy3vVUd_0MrSduXTe1etBb1HNpAlGwQr006ljwMiM"",
      ""GSC最新!A:F""
    ),
    3,
    FALSE
  ),
  0
)
"),0.0)</f>
        <v>0</v>
      </c>
      <c r="J155" s="54">
        <f>IFERROR(__xludf.DUMMYFUNCTION("IFERROR(
  VLOOKUP(
    A155,
    IMPORTRANGE(
      ""1ZHMy3vVUd_0MrSduXTe1etBb1HNpAlGwQr006ljwMiM"",
      ""GSC最新!A:F""
    ),
    4,
    FALSE
  ),
  0
)
"),0.0)</f>
        <v>0</v>
      </c>
      <c r="K155" s="54">
        <f>IFERROR(__xludf.DUMMYFUNCTION("IFERROR(
  VLOOKUP(
    A155,
    IMPORTRANGE(
      ""1ZHMy3vVUd_0MrSduXTe1etBb1HNpAlGwQr006ljwMiM"",
      ""GSC最新!A:F""
    ),
    5,
    FALSE
  ),
  0
)
"),0.0)</f>
        <v>0</v>
      </c>
      <c r="L155" s="50" t="str">
        <f t="shared" ref="L155:M155" si="767">IFERROR(H155/J155,"-")</f>
        <v>-</v>
      </c>
      <c r="M155" s="50" t="str">
        <f t="shared" si="767"/>
        <v>-</v>
      </c>
      <c r="N155" s="59">
        <f>IFERROR(__xludf.DUMMYFUNCTION("IFERROR(
  VLOOKUP(
    A155,
    IMPORTRANGE(
      ""1ZHMy3vVUd_0MrSduXTe1etBb1HNpAlGwQr006ljwMiM"",
      ""GSC最新!A:R""
    ),
    7,
    FALSE
  ),
  0
)
"),0.0)</f>
        <v>0</v>
      </c>
      <c r="O155" s="59">
        <f>IFERROR(__xludf.DUMMYFUNCTION("IFERROR(
  VLOOKUP(
    A155,
    IMPORTRANGE(
      ""1ZHMy3vVUd_0MrSduXTe1etBb1HNpAlGwQr006ljwMiM"",
      ""GSC最新!A:R""
    ),
    10,
    FALSE
  ),
  0
)
"),0.0)</f>
        <v>0</v>
      </c>
      <c r="P155" s="59">
        <f>IFERROR(__xludf.DUMMYFUNCTION("IFERROR(
  VLOOKUP(
    A155,
    IMPORTRANGE(
      ""1ZHMy3vVUd_0MrSduXTe1etBb1HNpAlGwQr006ljwMiM"",
      ""GSC最新!A:R""
    ),
    13,
    FALSE
  ),
  0
)
"),0.0)</f>
        <v>0</v>
      </c>
      <c r="Q155" s="59">
        <f>IFERROR(__xludf.DUMMYFUNCTION("IFERROR(
  VLOOKUP(
    A155,
    IMPORTRANGE(
      ""1ZHMy3vVUd_0MrSduXTe1etBb1HNpAlGwQr006ljwMiM"",
      ""GSC最新!A:R""
    ),
    16,
    FALSE
  ),
  0
)
"),0.0)</f>
        <v>0</v>
      </c>
      <c r="R155" s="50" t="str">
        <f t="shared" ref="R155:S155" si="768">IFERROR(N155/P155,"-")</f>
        <v>-</v>
      </c>
      <c r="S155" s="50" t="str">
        <f t="shared" si="768"/>
        <v>-</v>
      </c>
      <c r="T155" s="60">
        <f>IFERROR(__xludf.DUMMYFUNCTION("IFERROR(
  VLOOKUP(
    A155,
    IMPORTRANGE(
      ""1ZHMy3vVUd_0MrSduXTe1etBb1HNpAlGwQr006ljwMiM"",
      ""GSC最新!A:R""
    ),
    8,
    FALSE
  ),
  0
)
"),0.0)</f>
        <v>0</v>
      </c>
      <c r="U155" s="60">
        <f>IFERROR(__xludf.DUMMYFUNCTION("IFERROR(
  VLOOKUP(
    A155,
    IMPORTRANGE(
      ""1ZHMy3vVUd_0MrSduXTe1etBb1HNpAlGwQr006ljwMiM"",
      ""GSC最新!A:R""
    ),
    11,
    FALSE
  ),
  0
)
"),0.0)</f>
        <v>0</v>
      </c>
      <c r="V155" s="60">
        <f>IFERROR(__xludf.DUMMYFUNCTION("IFERROR(
  VLOOKUP(
    A155,
    IMPORTRANGE(
      ""1ZHMy3vVUd_0MrSduXTe1etBb1HNpAlGwQr006ljwMiM"",
      ""GSC最新!A:R""
    ),
    14,
    FALSE
  ),
  0
)
"),0.0)</f>
        <v>0</v>
      </c>
      <c r="W155" s="60">
        <f>IFERROR(__xludf.DUMMYFUNCTION("IFERROR(
  VLOOKUP(
    A155,
    IMPORTRANGE(
      ""1ZHMy3vVUd_0MrSduXTe1etBb1HNpAlGwQr006ljwMiM"",
      ""GSC最新!A:R""
    ),
    17,
    FALSE
  ),
  0
)
"),0.0)</f>
        <v>0</v>
      </c>
      <c r="X155" s="60">
        <f t="shared" ref="X155:Y155" si="769">IFERROR(T155-V155,"-")</f>
        <v>0</v>
      </c>
      <c r="Y155" s="60">
        <f t="shared" si="769"/>
        <v>0</v>
      </c>
      <c r="Z155" s="52" t="str">
        <f>IFERROR(__xludf.DUMMYFUNCTION("IFERROR(
  VLOOKUP(
    A155,
    IMPORTRANGE(
      ""1ZHMy3vVUd_0MrSduXTe1etBb1HNpAlGwQr006ljwMiM"",
      ""GSC最新!A:R""
    ),
    9,
    FALSE
  ),
  0
)
"),"")</f>
        <v/>
      </c>
      <c r="AA155" s="52" t="str">
        <f>IFERROR(__xludf.DUMMYFUNCTION("IFERROR(
  VLOOKUP(
    A155,
    IMPORTRANGE(
      ""1ZHMy3vVUd_0MrSduXTe1etBb1HNpAlGwQr006ljwMiM"",
      ""GSC最新!A:R""
    ),
    12,
    FALSE
  ),
  0
)
"),"")</f>
        <v/>
      </c>
      <c r="AB155" s="52" t="str">
        <f>IFERROR(__xludf.DUMMYFUNCTION("IFERROR(
  VLOOKUP(
    A155,
    IMPORTRANGE(
      ""1ZHMy3vVUd_0MrSduXTe1etBb1HNpAlGwQr006ljwMiM"",
      ""GSC最新!A:R""
    ),
    15,
    FALSE
  ),
  0
)
"),"")</f>
        <v/>
      </c>
      <c r="AC155" s="52" t="str">
        <f>IFERROR(__xludf.DUMMYFUNCTION("IFERROR(
  VLOOKUP(
    A155,
    IMPORTRANGE(
      ""1ZHMy3vVUd_0MrSduXTe1etBb1HNpAlGwQr006ljwMiM"",
      ""GSC最新!A:R""
    ),
    18,
    FALSE
  ),
  0
)
"),"")</f>
        <v/>
      </c>
      <c r="AD155" s="52">
        <f t="shared" ref="AD155:AE155" si="770">Z155-AB155</f>
        <v>0</v>
      </c>
      <c r="AE155" s="52">
        <f t="shared" si="770"/>
        <v>0</v>
      </c>
      <c r="AF155" s="53">
        <f>IFERROR(__xludf.DUMMYFUNCTION("IFERROR(
  VLOOKUP(
    A155,
    IMPORTRANGE(
      ""1ZHMy3vVUd_0MrSduXTe1etBb1HNpAlGwQr006ljwMiM"",
      ""GSC最新!A:F""
    ),
    6,
    FALSE
  ),
  0
)
"),46081.0)</f>
        <v>46081</v>
      </c>
      <c r="AG155" s="54">
        <f>IFERROR(__xludf.DUMMYFUNCTION("IFERROR(
  VLOOKUP(
    A155,
    IMPORTRANGE(
      ""1SCYQd7_cobOYqT0r_F0IqD4tE4rYn5y8Eup4PJTH8es"",
      ""Snapshot!A:M""
    ),
    5,
    FALSE
  ),
  ""-""
)
"),7.0)</f>
        <v>7</v>
      </c>
      <c r="AH155" s="54">
        <f>IFERROR(__xludf.DUMMYFUNCTION("IFERROR(
  VLOOKUP(
    A155,
    IMPORTRANGE(
      ""1SCYQd7_cobOYqT0r_F0IqD4tE4rYn5y8Eup4PJTH8es"",
      ""Snapshot!A:M""
    ),
    6,
    FALSE
  ),
  0
)
"),21.0)</f>
        <v>21</v>
      </c>
      <c r="AI155" s="54">
        <f>IFERROR(__xludf.DUMMYFUNCTION("IFERROR(
  VLOOKUP(
    A155,
    IMPORTRANGE(
      ""1SCYQd7_cobOYqT0r_F0IqD4tE4rYn5y8Eup4PJTH8es"",
      ""Snapshot!A:M""
    ),
    7,
    FALSE
  ),
  0
)
"),6245.0)</f>
        <v>6245</v>
      </c>
      <c r="AJ155" s="54">
        <f>IFERROR(__xludf.DUMMYFUNCTION("IFERROR(
  VLOOKUP(
    A155,
    IMPORTRANGE(
      ""1SCYQd7_cobOYqT0r_F0IqD4tE4rYn5y8Eup4PJTH8es"",
      ""Snapshot!A:M""
    ),
    8,
    FALSE
  ),
  0
)
"),3.0)</f>
        <v>3</v>
      </c>
      <c r="AK155" s="54">
        <f>IFERROR(__xludf.DUMMYFUNCTION("IFERROR(
  VLOOKUP(
    A155,
    IMPORTRANGE(
      ""1SCYQd7_cobOYqT0r_F0IqD4tE4rYn5y8Eup4PJTH8es"",
      ""Snapshot!A:M""
    ),
    9,
    FALSE
  ),
  0
)
"),3.0)</f>
        <v>3</v>
      </c>
      <c r="AL155" s="54">
        <f>IFERROR(__xludf.DUMMYFUNCTION("IFERROR(
  VLOOKUP(
    A155,
    IMPORTRANGE(
      ""1SCYQd7_cobOYqT0r_F0IqD4tE4rYn5y8Eup4PJTH8es"",
      ""Snapshot!A:M""
    ),
    13,
    FALSE
  ),
  0
)
"),2.0)</f>
        <v>2</v>
      </c>
    </row>
    <row r="156">
      <c r="A156" s="3" t="s">
        <v>479</v>
      </c>
      <c r="B156" s="1" t="str">
        <f>IFERROR(__xludf.DUMMYFUNCTION("IFERROR(
  VLOOKUP(
    A156,
    IMPORTRANGE(
      ""1ZygntHC1J6IxzKbTidmOyf5nUyW4GCLurHCjexrLm_o"",
      ""HTMLキャッシュ!A:F""
    ),
    2,
    FALSE
  ),
  0
)
"),"NW")</f>
        <v>NW</v>
      </c>
      <c r="C156" s="1" t="str">
        <f>IFERROR(__xludf.DUMMYFUNCTION("IFERROR(
  VLOOKUP(
    A156,
    IMPORTRANGE(
      ""1ZygntHC1J6IxzKbTidmOyf5nUyW4GCLurHCjexrLm_o"",
      ""HTMLキャッシュ!A:F""
    ),
    5,
    FALSE
  ),
  0
)
"),"2017年度生徒募集開始のお知らせ - 中学受験専門 夏井算数塾")</f>
        <v>2017年度生徒募集開始のお知らせ - 中学受験専門 夏井算数塾</v>
      </c>
      <c r="D156" s="1" t="str">
        <f>IFERROR(__xludf.DUMMYFUNCTION("IFERROR(
  VLOOKUP(
    A156,
    IMPORTRANGE(
      ""1ZygntHC1J6IxzKbTidmOyf5nUyW4GCLurHCjexrLm_o        "",
      ""HTMLキャッシュ!A:F""
    ),
    6,
    FALSE
  ),
  0
)
"),"本日より、2017年度の生徒募集を開始致します。 ２月開講講座は個別指導のみとなります。詳細については、下記を")</f>
        <v>本日より、2017年度の生徒募集を開始致します。 ２月開講講座は個別指導のみとなります。詳細については、下記を</v>
      </c>
      <c r="E156" s="49">
        <f t="shared" ref="E156:F156" si="771">LEN(C156)</f>
        <v>32</v>
      </c>
      <c r="F156" s="49">
        <f t="shared" si="771"/>
        <v>55</v>
      </c>
      <c r="G156" s="32">
        <f>IFERROR(__xludf.DUMMYFUNCTION("IFERROR(
  VLOOKUP(
    A156,
    IMPORTRANGE(
      ""1ZygntHC1J6IxzKbTidmOyf5nUyW4GCLurHCjexrLm_o        "",
      ""HTMLキャッシュ!A:F""
    ),
    3,
    FALSE
  ),
  0
)
"),42755.55672453704)</f>
        <v>42755.55672</v>
      </c>
      <c r="H156" s="54">
        <f>IFERROR(__xludf.DUMMYFUNCTION("IFERROR(
  VLOOKUP(
    A156,
    IMPORTRANGE(
      ""1ZHMy3vVUd_0MrSduXTe1etBb1HNpAlGwQr006ljwMiM"",
      ""GSC最新!A:F""
    ),
    2,
    FALSE
  ),
  0
)
"),0.0)</f>
        <v>0</v>
      </c>
      <c r="I156" s="54">
        <f>IFERROR(__xludf.DUMMYFUNCTION("IFERROR(
  VLOOKUP(
    A156,
    IMPORTRANGE(
      ""1ZHMy3vVUd_0MrSduXTe1etBb1HNpAlGwQr006ljwMiM"",
      ""GSC最新!A:F""
    ),
    3,
    FALSE
  ),
  0
)
"),0.0)</f>
        <v>0</v>
      </c>
      <c r="J156" s="54">
        <f>IFERROR(__xludf.DUMMYFUNCTION("IFERROR(
  VLOOKUP(
    A156,
    IMPORTRANGE(
      ""1ZHMy3vVUd_0MrSduXTe1etBb1HNpAlGwQr006ljwMiM"",
      ""GSC最新!A:F""
    ),
    4,
    FALSE
  ),
  0
)
"),0.0)</f>
        <v>0</v>
      </c>
      <c r="K156" s="54">
        <f>IFERROR(__xludf.DUMMYFUNCTION("IFERROR(
  VLOOKUP(
    A156,
    IMPORTRANGE(
      ""1ZHMy3vVUd_0MrSduXTe1etBb1HNpAlGwQr006ljwMiM"",
      ""GSC最新!A:F""
    ),
    5,
    FALSE
  ),
  0
)
"),0.0)</f>
        <v>0</v>
      </c>
      <c r="L156" s="50" t="str">
        <f t="shared" ref="L156:M156" si="772">IFERROR(H156/J156,"-")</f>
        <v>-</v>
      </c>
      <c r="M156" s="50" t="str">
        <f t="shared" si="772"/>
        <v>-</v>
      </c>
      <c r="N156" s="59">
        <f>IFERROR(__xludf.DUMMYFUNCTION("IFERROR(
  VLOOKUP(
    A156,
    IMPORTRANGE(
      ""1ZHMy3vVUd_0MrSduXTe1etBb1HNpAlGwQr006ljwMiM"",
      ""GSC最新!A:R""
    ),
    7,
    FALSE
  ),
  0
)
"),0.0)</f>
        <v>0</v>
      </c>
      <c r="O156" s="59">
        <f>IFERROR(__xludf.DUMMYFUNCTION("IFERROR(
  VLOOKUP(
    A156,
    IMPORTRANGE(
      ""1ZHMy3vVUd_0MrSduXTe1etBb1HNpAlGwQr006ljwMiM"",
      ""GSC最新!A:R""
    ),
    10,
    FALSE
  ),
  0
)
"),0.0)</f>
        <v>0</v>
      </c>
      <c r="P156" s="59">
        <f>IFERROR(__xludf.DUMMYFUNCTION("IFERROR(
  VLOOKUP(
    A156,
    IMPORTRANGE(
      ""1ZHMy3vVUd_0MrSduXTe1etBb1HNpAlGwQr006ljwMiM"",
      ""GSC最新!A:R""
    ),
    13,
    FALSE
  ),
  0
)
"),0.0)</f>
        <v>0</v>
      </c>
      <c r="Q156" s="59">
        <f>IFERROR(__xludf.DUMMYFUNCTION("IFERROR(
  VLOOKUP(
    A156,
    IMPORTRANGE(
      ""1ZHMy3vVUd_0MrSduXTe1etBb1HNpAlGwQr006ljwMiM"",
      ""GSC最新!A:R""
    ),
    16,
    FALSE
  ),
  0
)
"),0.0)</f>
        <v>0</v>
      </c>
      <c r="R156" s="50" t="str">
        <f t="shared" ref="R156:S156" si="773">IFERROR(N156/P156,"-")</f>
        <v>-</v>
      </c>
      <c r="S156" s="50" t="str">
        <f t="shared" si="773"/>
        <v>-</v>
      </c>
      <c r="T156" s="60">
        <f>IFERROR(__xludf.DUMMYFUNCTION("IFERROR(
  VLOOKUP(
    A156,
    IMPORTRANGE(
      ""1ZHMy3vVUd_0MrSduXTe1etBb1HNpAlGwQr006ljwMiM"",
      ""GSC最新!A:R""
    ),
    8,
    FALSE
  ),
  0
)
"),0.0)</f>
        <v>0</v>
      </c>
      <c r="U156" s="60">
        <f>IFERROR(__xludf.DUMMYFUNCTION("IFERROR(
  VLOOKUP(
    A156,
    IMPORTRANGE(
      ""1ZHMy3vVUd_0MrSduXTe1etBb1HNpAlGwQr006ljwMiM"",
      ""GSC最新!A:R""
    ),
    11,
    FALSE
  ),
  0
)
"),0.0)</f>
        <v>0</v>
      </c>
      <c r="V156" s="60">
        <f>IFERROR(__xludf.DUMMYFUNCTION("IFERROR(
  VLOOKUP(
    A156,
    IMPORTRANGE(
      ""1ZHMy3vVUd_0MrSduXTe1etBb1HNpAlGwQr006ljwMiM"",
      ""GSC最新!A:R""
    ),
    14,
    FALSE
  ),
  0
)
"),0.0)</f>
        <v>0</v>
      </c>
      <c r="W156" s="60">
        <f>IFERROR(__xludf.DUMMYFUNCTION("IFERROR(
  VLOOKUP(
    A156,
    IMPORTRANGE(
      ""1ZHMy3vVUd_0MrSduXTe1etBb1HNpAlGwQr006ljwMiM"",
      ""GSC最新!A:R""
    ),
    17,
    FALSE
  ),
  0
)
"),0.0)</f>
        <v>0</v>
      </c>
      <c r="X156" s="60">
        <f t="shared" ref="X156:Y156" si="774">IFERROR(T156-V156,"-")</f>
        <v>0</v>
      </c>
      <c r="Y156" s="60">
        <f t="shared" si="774"/>
        <v>0</v>
      </c>
      <c r="Z156" s="52" t="str">
        <f>IFERROR(__xludf.DUMMYFUNCTION("IFERROR(
  VLOOKUP(
    A156,
    IMPORTRANGE(
      ""1ZHMy3vVUd_0MrSduXTe1etBb1HNpAlGwQr006ljwMiM"",
      ""GSC最新!A:R""
    ),
    9,
    FALSE
  ),
  0
)
"),"")</f>
        <v/>
      </c>
      <c r="AA156" s="52" t="str">
        <f>IFERROR(__xludf.DUMMYFUNCTION("IFERROR(
  VLOOKUP(
    A156,
    IMPORTRANGE(
      ""1ZHMy3vVUd_0MrSduXTe1etBb1HNpAlGwQr006ljwMiM"",
      ""GSC最新!A:R""
    ),
    12,
    FALSE
  ),
  0
)
"),"")</f>
        <v/>
      </c>
      <c r="AB156" s="52" t="str">
        <f>IFERROR(__xludf.DUMMYFUNCTION("IFERROR(
  VLOOKUP(
    A156,
    IMPORTRANGE(
      ""1ZHMy3vVUd_0MrSduXTe1etBb1HNpAlGwQr006ljwMiM"",
      ""GSC最新!A:R""
    ),
    15,
    FALSE
  ),
  0
)
"),"")</f>
        <v/>
      </c>
      <c r="AC156" s="52" t="str">
        <f>IFERROR(__xludf.DUMMYFUNCTION("IFERROR(
  VLOOKUP(
    A156,
    IMPORTRANGE(
      ""1ZHMy3vVUd_0MrSduXTe1etBb1HNpAlGwQr006ljwMiM"",
      ""GSC最新!A:R""
    ),
    18,
    FALSE
  ),
  0
)
"),"")</f>
        <v/>
      </c>
      <c r="AD156" s="52">
        <f t="shared" ref="AD156:AE156" si="775">Z156-AB156</f>
        <v>0</v>
      </c>
      <c r="AE156" s="52">
        <f t="shared" si="775"/>
        <v>0</v>
      </c>
      <c r="AF156" s="53">
        <f>IFERROR(__xludf.DUMMYFUNCTION("IFERROR(
  VLOOKUP(
    A156,
    IMPORTRANGE(
      ""1ZHMy3vVUd_0MrSduXTe1etBb1HNpAlGwQr006ljwMiM"",
      ""GSC最新!A:F""
    ),
    6,
    FALSE
  ),
  0
)
"),46081.0)</f>
        <v>46081</v>
      </c>
      <c r="AG156" s="54">
        <f>IFERROR(__xludf.DUMMYFUNCTION("IFERROR(
  VLOOKUP(
    A156,
    IMPORTRANGE(
      ""1SCYQd7_cobOYqT0r_F0IqD4tE4rYn5y8Eup4PJTH8es"",
      ""Snapshot!A:M""
    ),
    5,
    FALSE
  ),
  ""-""
)
"),0.0)</f>
        <v>0</v>
      </c>
      <c r="AH156" s="54">
        <f>IFERROR(__xludf.DUMMYFUNCTION("IFERROR(
  VLOOKUP(
    A156,
    IMPORTRANGE(
      ""1SCYQd7_cobOYqT0r_F0IqD4tE4rYn5y8Eup4PJTH8es"",
      ""Snapshot!A:M""
    ),
    6,
    FALSE
  ),
  0
)
"),0.0)</f>
        <v>0</v>
      </c>
      <c r="AI156" s="54">
        <f>IFERROR(__xludf.DUMMYFUNCTION("IFERROR(
  VLOOKUP(
    A156,
    IMPORTRANGE(
      ""1SCYQd7_cobOYqT0r_F0IqD4tE4rYn5y8Eup4PJTH8es"",
      ""Snapshot!A:M""
    ),
    7,
    FALSE
  ),
  0
)
"),407.0)</f>
        <v>407</v>
      </c>
      <c r="AJ156" s="54">
        <f>IFERROR(__xludf.DUMMYFUNCTION("IFERROR(
  VLOOKUP(
    A156,
    IMPORTRANGE(
      ""1SCYQd7_cobOYqT0r_F0IqD4tE4rYn5y8Eup4PJTH8es"",
      ""Snapshot!A:M""
    ),
    8,
    FALSE
  ),
  0
)
"),2.0)</f>
        <v>2</v>
      </c>
      <c r="AK156" s="54">
        <f>IFERROR(__xludf.DUMMYFUNCTION("IFERROR(
  VLOOKUP(
    A156,
    IMPORTRANGE(
      ""1SCYQd7_cobOYqT0r_F0IqD4tE4rYn5y8Eup4PJTH8es"",
      ""Snapshot!A:M""
    ),
    9,
    FALSE
  ),
  0
)
"),1.0)</f>
        <v>1</v>
      </c>
      <c r="AL156" s="54">
        <f>IFERROR(__xludf.DUMMYFUNCTION("IFERROR(
  VLOOKUP(
    A156,
    IMPORTRANGE(
      ""1SCYQd7_cobOYqT0r_F0IqD4tE4rYn5y8Eup4PJTH8es"",
      ""Snapshot!A:M""
    ),
    13,
    FALSE
  ),
  0
)
"),2.0)</f>
        <v>2</v>
      </c>
    </row>
    <row r="157">
      <c r="A157" s="3" t="s">
        <v>480</v>
      </c>
      <c r="B157" s="1" t="str">
        <f>IFERROR(__xludf.DUMMYFUNCTION("IFERROR(
  VLOOKUP(
    A157,
    IMPORTRANGE(
      ""1ZygntHC1J6IxzKbTidmOyf5nUyW4GCLurHCjexrLm_o"",
      ""HTMLキャッシュ!A:F""
    ),
    2,
    FALSE
  ),
  0
)
"),"NW")</f>
        <v>NW</v>
      </c>
      <c r="C157" s="1" t="str">
        <f>IFERROR(__xludf.DUMMYFUNCTION("IFERROR(
  VLOOKUP(
    A157,
    IMPORTRANGE(
      ""1ZygntHC1J6IxzKbTidmOyf5nUyW4GCLurHCjexrLm_o"",
      ""HTMLキャッシュ!A:F""
    ),
    5,
    FALSE
  ),
  0
)
"),"2017年度春期講習会開催のご案内 - 中学受験専門 夏井算数塾")</f>
        <v>2017年度春期講習会開催のご案内 - 中学受験専門 夏井算数塾</v>
      </c>
      <c r="D157" s="1" t="str">
        <f>IFERROR(__xludf.DUMMYFUNCTION("IFERROR(
  VLOOKUP(
    A157,
    IMPORTRANGE(
      ""1ZygntHC1J6IxzKbTidmOyf5nUyW4GCLurHCjexrLm_o        "",
      ""HTMLキャッシュ!A:F""
    ),
    6,
    FALSE
  ),
  0
)
"),"春休みは、短いながらも日頃の積み残しを消化するのには最適のタイミングです。 夏井算数塾では、この春休みを有意義")</f>
        <v>春休みは、短いながらも日頃の積み残しを消化するのには最適のタイミングです。 夏井算数塾では、この春休みを有意義</v>
      </c>
      <c r="E157" s="49">
        <f t="shared" ref="E157:F157" si="776">LEN(C157)</f>
        <v>32</v>
      </c>
      <c r="F157" s="49">
        <f t="shared" si="776"/>
        <v>55</v>
      </c>
      <c r="G157" s="32">
        <f>IFERROR(__xludf.DUMMYFUNCTION("IFERROR(
  VLOOKUP(
    A157,
    IMPORTRANGE(
      ""1ZygntHC1J6IxzKbTidmOyf5nUyW4GCLurHCjexrLm_o        "",
      ""HTMLキャッシュ!A:F""
    ),
    3,
    FALSE
  ),
  0
)
"),42813.72524305555)</f>
        <v>42813.72524</v>
      </c>
      <c r="H157" s="54">
        <f>IFERROR(__xludf.DUMMYFUNCTION("IFERROR(
  VLOOKUP(
    A157,
    IMPORTRANGE(
      ""1ZHMy3vVUd_0MrSduXTe1etBb1HNpAlGwQr006ljwMiM"",
      ""GSC最新!A:F""
    ),
    2,
    FALSE
  ),
  0
)
"),0.0)</f>
        <v>0</v>
      </c>
      <c r="I157" s="54">
        <f>IFERROR(__xludf.DUMMYFUNCTION("IFERROR(
  VLOOKUP(
    A157,
    IMPORTRANGE(
      ""1ZHMy3vVUd_0MrSduXTe1etBb1HNpAlGwQr006ljwMiM"",
      ""GSC最新!A:F""
    ),
    3,
    FALSE
  ),
  0
)
"),0.0)</f>
        <v>0</v>
      </c>
      <c r="J157" s="54">
        <f>IFERROR(__xludf.DUMMYFUNCTION("IFERROR(
  VLOOKUP(
    A157,
    IMPORTRANGE(
      ""1ZHMy3vVUd_0MrSduXTe1etBb1HNpAlGwQr006ljwMiM"",
      ""GSC最新!A:F""
    ),
    4,
    FALSE
  ),
  0
)
"),0.0)</f>
        <v>0</v>
      </c>
      <c r="K157" s="54">
        <f>IFERROR(__xludf.DUMMYFUNCTION("IFERROR(
  VLOOKUP(
    A157,
    IMPORTRANGE(
      ""1ZHMy3vVUd_0MrSduXTe1etBb1HNpAlGwQr006ljwMiM"",
      ""GSC最新!A:F""
    ),
    5,
    FALSE
  ),
  0
)
"),0.0)</f>
        <v>0</v>
      </c>
      <c r="L157" s="50" t="str">
        <f t="shared" ref="L157:M157" si="777">IFERROR(H157/J157,"-")</f>
        <v>-</v>
      </c>
      <c r="M157" s="50" t="str">
        <f t="shared" si="777"/>
        <v>-</v>
      </c>
      <c r="N157" s="59">
        <f>IFERROR(__xludf.DUMMYFUNCTION("IFERROR(
  VLOOKUP(
    A157,
    IMPORTRANGE(
      ""1ZHMy3vVUd_0MrSduXTe1etBb1HNpAlGwQr006ljwMiM"",
      ""GSC最新!A:R""
    ),
    7,
    FALSE
  ),
  0
)
"),0.0)</f>
        <v>0</v>
      </c>
      <c r="O157" s="59">
        <f>IFERROR(__xludf.DUMMYFUNCTION("IFERROR(
  VLOOKUP(
    A157,
    IMPORTRANGE(
      ""1ZHMy3vVUd_0MrSduXTe1etBb1HNpAlGwQr006ljwMiM"",
      ""GSC最新!A:R""
    ),
    10,
    FALSE
  ),
  0
)
"),0.0)</f>
        <v>0</v>
      </c>
      <c r="P157" s="59">
        <f>IFERROR(__xludf.DUMMYFUNCTION("IFERROR(
  VLOOKUP(
    A157,
    IMPORTRANGE(
      ""1ZHMy3vVUd_0MrSduXTe1etBb1HNpAlGwQr006ljwMiM"",
      ""GSC最新!A:R""
    ),
    13,
    FALSE
  ),
  0
)
"),0.0)</f>
        <v>0</v>
      </c>
      <c r="Q157" s="59">
        <f>IFERROR(__xludf.DUMMYFUNCTION("IFERROR(
  VLOOKUP(
    A157,
    IMPORTRANGE(
      ""1ZHMy3vVUd_0MrSduXTe1etBb1HNpAlGwQr006ljwMiM"",
      ""GSC最新!A:R""
    ),
    16,
    FALSE
  ),
  0
)
"),0.0)</f>
        <v>0</v>
      </c>
      <c r="R157" s="50" t="str">
        <f t="shared" ref="R157:S157" si="778">IFERROR(N157/P157,"-")</f>
        <v>-</v>
      </c>
      <c r="S157" s="50" t="str">
        <f t="shared" si="778"/>
        <v>-</v>
      </c>
      <c r="T157" s="60">
        <f>IFERROR(__xludf.DUMMYFUNCTION("IFERROR(
  VLOOKUP(
    A157,
    IMPORTRANGE(
      ""1ZHMy3vVUd_0MrSduXTe1etBb1HNpAlGwQr006ljwMiM"",
      ""GSC最新!A:R""
    ),
    8,
    FALSE
  ),
  0
)
"),0.0)</f>
        <v>0</v>
      </c>
      <c r="U157" s="60">
        <f>IFERROR(__xludf.DUMMYFUNCTION("IFERROR(
  VLOOKUP(
    A157,
    IMPORTRANGE(
      ""1ZHMy3vVUd_0MrSduXTe1etBb1HNpAlGwQr006ljwMiM"",
      ""GSC最新!A:R""
    ),
    11,
    FALSE
  ),
  0
)
"),0.0)</f>
        <v>0</v>
      </c>
      <c r="V157" s="60">
        <f>IFERROR(__xludf.DUMMYFUNCTION("IFERROR(
  VLOOKUP(
    A157,
    IMPORTRANGE(
      ""1ZHMy3vVUd_0MrSduXTe1etBb1HNpAlGwQr006ljwMiM"",
      ""GSC最新!A:R""
    ),
    14,
    FALSE
  ),
  0
)
"),0.0)</f>
        <v>0</v>
      </c>
      <c r="W157" s="60">
        <f>IFERROR(__xludf.DUMMYFUNCTION("IFERROR(
  VLOOKUP(
    A157,
    IMPORTRANGE(
      ""1ZHMy3vVUd_0MrSduXTe1etBb1HNpAlGwQr006ljwMiM"",
      ""GSC最新!A:R""
    ),
    17,
    FALSE
  ),
  0
)
"),0.0)</f>
        <v>0</v>
      </c>
      <c r="X157" s="60">
        <f t="shared" ref="X157:Y157" si="779">IFERROR(T157-V157,"-")</f>
        <v>0</v>
      </c>
      <c r="Y157" s="60">
        <f t="shared" si="779"/>
        <v>0</v>
      </c>
      <c r="Z157" s="52" t="str">
        <f>IFERROR(__xludf.DUMMYFUNCTION("IFERROR(
  VLOOKUP(
    A157,
    IMPORTRANGE(
      ""1ZHMy3vVUd_0MrSduXTe1etBb1HNpAlGwQr006ljwMiM"",
      ""GSC最新!A:R""
    ),
    9,
    FALSE
  ),
  0
)
"),"")</f>
        <v/>
      </c>
      <c r="AA157" s="52" t="str">
        <f>IFERROR(__xludf.DUMMYFUNCTION("IFERROR(
  VLOOKUP(
    A157,
    IMPORTRANGE(
      ""1ZHMy3vVUd_0MrSduXTe1etBb1HNpAlGwQr006ljwMiM"",
      ""GSC最新!A:R""
    ),
    12,
    FALSE
  ),
  0
)
"),"")</f>
        <v/>
      </c>
      <c r="AB157" s="52" t="str">
        <f>IFERROR(__xludf.DUMMYFUNCTION("IFERROR(
  VLOOKUP(
    A157,
    IMPORTRANGE(
      ""1ZHMy3vVUd_0MrSduXTe1etBb1HNpAlGwQr006ljwMiM"",
      ""GSC最新!A:R""
    ),
    15,
    FALSE
  ),
  0
)
"),"")</f>
        <v/>
      </c>
      <c r="AC157" s="52" t="str">
        <f>IFERROR(__xludf.DUMMYFUNCTION("IFERROR(
  VLOOKUP(
    A157,
    IMPORTRANGE(
      ""1ZHMy3vVUd_0MrSduXTe1etBb1HNpAlGwQr006ljwMiM"",
      ""GSC最新!A:R""
    ),
    18,
    FALSE
  ),
  0
)
"),"")</f>
        <v/>
      </c>
      <c r="AD157" s="52">
        <f t="shared" ref="AD157:AE157" si="780">Z157-AB157</f>
        <v>0</v>
      </c>
      <c r="AE157" s="52">
        <f t="shared" si="780"/>
        <v>0</v>
      </c>
      <c r="AF157" s="53">
        <f>IFERROR(__xludf.DUMMYFUNCTION("IFERROR(
  VLOOKUP(
    A157,
    IMPORTRANGE(
      ""1ZHMy3vVUd_0MrSduXTe1etBb1HNpAlGwQr006ljwMiM"",
      ""GSC最新!A:F""
    ),
    6,
    FALSE
  ),
  0
)
"),46081.0)</f>
        <v>46081</v>
      </c>
      <c r="AG157" s="54">
        <f>IFERROR(__xludf.DUMMYFUNCTION("IFERROR(
  VLOOKUP(
    A157,
    IMPORTRANGE(
      ""1SCYQd7_cobOYqT0r_F0IqD4tE4rYn5y8Eup4PJTH8es"",
      ""Snapshot!A:M""
    ),
    5,
    FALSE
  ),
  ""-""
)
"),0.0)</f>
        <v>0</v>
      </c>
      <c r="AH157" s="54">
        <f>IFERROR(__xludf.DUMMYFUNCTION("IFERROR(
  VLOOKUP(
    A157,
    IMPORTRANGE(
      ""1SCYQd7_cobOYqT0r_F0IqD4tE4rYn5y8Eup4PJTH8es"",
      ""Snapshot!A:M""
    ),
    6,
    FALSE
  ),
  0
)
"),0.0)</f>
        <v>0</v>
      </c>
      <c r="AI157" s="54">
        <f>IFERROR(__xludf.DUMMYFUNCTION("IFERROR(
  VLOOKUP(
    A157,
    IMPORTRANGE(
      ""1SCYQd7_cobOYqT0r_F0IqD4tE4rYn5y8Eup4PJTH8es"",
      ""Snapshot!A:M""
    ),
    7,
    FALSE
  ),
  0
)
"),730.0)</f>
        <v>730</v>
      </c>
      <c r="AJ157" s="54">
        <f>IFERROR(__xludf.DUMMYFUNCTION("IFERROR(
  VLOOKUP(
    A157,
    IMPORTRANGE(
      ""1SCYQd7_cobOYqT0r_F0IqD4tE4rYn5y8Eup4PJTH8es"",
      ""Snapshot!A:M""
    ),
    8,
    FALSE
  ),
  0
)
"),2.0)</f>
        <v>2</v>
      </c>
      <c r="AK157" s="54">
        <f>IFERROR(__xludf.DUMMYFUNCTION("IFERROR(
  VLOOKUP(
    A157,
    IMPORTRANGE(
      ""1SCYQd7_cobOYqT0r_F0IqD4tE4rYn5y8Eup4PJTH8es"",
      ""Snapshot!A:M""
    ),
    9,
    FALSE
  ),
  0
)
"),1.0)</f>
        <v>1</v>
      </c>
      <c r="AL157" s="54">
        <f>IFERROR(__xludf.DUMMYFUNCTION("IFERROR(
  VLOOKUP(
    A157,
    IMPORTRANGE(
      ""1SCYQd7_cobOYqT0r_F0IqD4tE4rYn5y8Eup4PJTH8es"",
      ""Snapshot!A:M""
    ),
    13,
    FALSE
  ),
  0
)
"),2.0)</f>
        <v>2</v>
      </c>
    </row>
    <row r="158">
      <c r="A158" s="3" t="s">
        <v>481</v>
      </c>
      <c r="B158" s="1" t="str">
        <f>IFERROR(__xludf.DUMMYFUNCTION("IFERROR(
  VLOOKUP(
    A158,
    IMPORTRANGE(
      ""1ZygntHC1J6IxzKbTidmOyf5nUyW4GCLurHCjexrLm_o"",
      ""HTMLキャッシュ!A:F""
    ),
    2,
    FALSE
  ),
  0
)
"),"NW")</f>
        <v>NW</v>
      </c>
      <c r="C158" s="1" t="str">
        <f>IFERROR(__xludf.DUMMYFUNCTION("IFERROR(
  VLOOKUP(
    A158,
    IMPORTRANGE(
      ""1ZygntHC1J6IxzKbTidmOyf5nUyW4GCLurHCjexrLm_o"",
      ""HTMLキャッシュ!A:F""
    ),
    5,
    FALSE
  ),
  0
)
"),"2017年度時間割更新のお知らせ(５月24日) - 中学受験専門 夏井算数塾")</f>
        <v>2017年度時間割更新のお知らせ(５月24日) - 中学受験専門 夏井算数塾</v>
      </c>
      <c r="D158" s="1" t="str">
        <f>IFERROR(__xludf.DUMMYFUNCTION("IFERROR(
  VLOOKUP(
    A158,
    IMPORTRANGE(
      ""1ZygntHC1J6IxzKbTidmOyf5nUyW4GCLurHCjexrLm_o        "",
      ""HTMLキャッシュ!A:F""
    ),
    6,
    FALSE
  ),
  0
)
"),"最新の時間割を公開致しました。2017年度については、残りのコマ数も少なくなって参りましたので、ご参加を希望さ")</f>
        <v>最新の時間割を公開致しました。2017年度については、残りのコマ数も少なくなって参りましたので、ご参加を希望さ</v>
      </c>
      <c r="E158" s="49">
        <f t="shared" ref="E158:F158" si="781">LEN(C158)</f>
        <v>38</v>
      </c>
      <c r="F158" s="49">
        <f t="shared" si="781"/>
        <v>55</v>
      </c>
      <c r="G158" s="32">
        <f>IFERROR(__xludf.DUMMYFUNCTION("IFERROR(
  VLOOKUP(
    A158,
    IMPORTRANGE(
      ""1ZygntHC1J6IxzKbTidmOyf5nUyW4GCLurHCjexrLm_o        "",
      ""HTMLキャッシュ!A:F""
    ),
    3,
    FALSE
  ),
  0
)
"),42879.627280092594)</f>
        <v>42879.62728</v>
      </c>
      <c r="H158" s="54">
        <f>IFERROR(__xludf.DUMMYFUNCTION("IFERROR(
  VLOOKUP(
    A158,
    IMPORTRANGE(
      ""1ZHMy3vVUd_0MrSduXTe1etBb1HNpAlGwQr006ljwMiM"",
      ""GSC最新!A:F""
    ),
    2,
    FALSE
  ),
  0
)
"),0.0)</f>
        <v>0</v>
      </c>
      <c r="I158" s="54">
        <f>IFERROR(__xludf.DUMMYFUNCTION("IFERROR(
  VLOOKUP(
    A158,
    IMPORTRANGE(
      ""1ZHMy3vVUd_0MrSduXTe1etBb1HNpAlGwQr006ljwMiM"",
      ""GSC最新!A:F""
    ),
    3,
    FALSE
  ),
  0
)
"),0.0)</f>
        <v>0</v>
      </c>
      <c r="J158" s="54">
        <f>IFERROR(__xludf.DUMMYFUNCTION("IFERROR(
  VLOOKUP(
    A158,
    IMPORTRANGE(
      ""1ZHMy3vVUd_0MrSduXTe1etBb1HNpAlGwQr006ljwMiM"",
      ""GSC最新!A:F""
    ),
    4,
    FALSE
  ),
  0
)
"),0.0)</f>
        <v>0</v>
      </c>
      <c r="K158" s="54">
        <f>IFERROR(__xludf.DUMMYFUNCTION("IFERROR(
  VLOOKUP(
    A158,
    IMPORTRANGE(
      ""1ZHMy3vVUd_0MrSduXTe1etBb1HNpAlGwQr006ljwMiM"",
      ""GSC最新!A:F""
    ),
    5,
    FALSE
  ),
  0
)
"),0.0)</f>
        <v>0</v>
      </c>
      <c r="L158" s="50" t="str">
        <f t="shared" ref="L158:M158" si="782">IFERROR(H158/J158,"-")</f>
        <v>-</v>
      </c>
      <c r="M158" s="50" t="str">
        <f t="shared" si="782"/>
        <v>-</v>
      </c>
      <c r="N158" s="59">
        <f>IFERROR(__xludf.DUMMYFUNCTION("IFERROR(
  VLOOKUP(
    A158,
    IMPORTRANGE(
      ""1ZHMy3vVUd_0MrSduXTe1etBb1HNpAlGwQr006ljwMiM"",
      ""GSC最新!A:R""
    ),
    7,
    FALSE
  ),
  0
)
"),0.0)</f>
        <v>0</v>
      </c>
      <c r="O158" s="59">
        <f>IFERROR(__xludf.DUMMYFUNCTION("IFERROR(
  VLOOKUP(
    A158,
    IMPORTRANGE(
      ""1ZHMy3vVUd_0MrSduXTe1etBb1HNpAlGwQr006ljwMiM"",
      ""GSC最新!A:R""
    ),
    10,
    FALSE
  ),
  0
)
"),0.0)</f>
        <v>0</v>
      </c>
      <c r="P158" s="59">
        <f>IFERROR(__xludf.DUMMYFUNCTION("IFERROR(
  VLOOKUP(
    A158,
    IMPORTRANGE(
      ""1ZHMy3vVUd_0MrSduXTe1etBb1HNpAlGwQr006ljwMiM"",
      ""GSC最新!A:R""
    ),
    13,
    FALSE
  ),
  0
)
"),0.0)</f>
        <v>0</v>
      </c>
      <c r="Q158" s="59">
        <f>IFERROR(__xludf.DUMMYFUNCTION("IFERROR(
  VLOOKUP(
    A158,
    IMPORTRANGE(
      ""1ZHMy3vVUd_0MrSduXTe1etBb1HNpAlGwQr006ljwMiM"",
      ""GSC最新!A:R""
    ),
    16,
    FALSE
  ),
  0
)
"),0.0)</f>
        <v>0</v>
      </c>
      <c r="R158" s="50" t="str">
        <f t="shared" ref="R158:S158" si="783">IFERROR(N158/P158,"-")</f>
        <v>-</v>
      </c>
      <c r="S158" s="50" t="str">
        <f t="shared" si="783"/>
        <v>-</v>
      </c>
      <c r="T158" s="60">
        <f>IFERROR(__xludf.DUMMYFUNCTION("IFERROR(
  VLOOKUP(
    A158,
    IMPORTRANGE(
      ""1ZHMy3vVUd_0MrSduXTe1etBb1HNpAlGwQr006ljwMiM"",
      ""GSC最新!A:R""
    ),
    8,
    FALSE
  ),
  0
)
"),0.0)</f>
        <v>0</v>
      </c>
      <c r="U158" s="60">
        <f>IFERROR(__xludf.DUMMYFUNCTION("IFERROR(
  VLOOKUP(
    A158,
    IMPORTRANGE(
      ""1ZHMy3vVUd_0MrSduXTe1etBb1HNpAlGwQr006ljwMiM"",
      ""GSC最新!A:R""
    ),
    11,
    FALSE
  ),
  0
)
"),0.0)</f>
        <v>0</v>
      </c>
      <c r="V158" s="60">
        <f>IFERROR(__xludf.DUMMYFUNCTION("IFERROR(
  VLOOKUP(
    A158,
    IMPORTRANGE(
      ""1ZHMy3vVUd_0MrSduXTe1etBb1HNpAlGwQr006ljwMiM"",
      ""GSC最新!A:R""
    ),
    14,
    FALSE
  ),
  0
)
"),0.0)</f>
        <v>0</v>
      </c>
      <c r="W158" s="60">
        <f>IFERROR(__xludf.DUMMYFUNCTION("IFERROR(
  VLOOKUP(
    A158,
    IMPORTRANGE(
      ""1ZHMy3vVUd_0MrSduXTe1etBb1HNpAlGwQr006ljwMiM"",
      ""GSC最新!A:R""
    ),
    17,
    FALSE
  ),
  0
)
"),0.0)</f>
        <v>0</v>
      </c>
      <c r="X158" s="60">
        <f t="shared" ref="X158:Y158" si="784">IFERROR(T158-V158,"-")</f>
        <v>0</v>
      </c>
      <c r="Y158" s="60">
        <f t="shared" si="784"/>
        <v>0</v>
      </c>
      <c r="Z158" s="52" t="str">
        <f>IFERROR(__xludf.DUMMYFUNCTION("IFERROR(
  VLOOKUP(
    A158,
    IMPORTRANGE(
      ""1ZHMy3vVUd_0MrSduXTe1etBb1HNpAlGwQr006ljwMiM"",
      ""GSC最新!A:R""
    ),
    9,
    FALSE
  ),
  0
)
"),"")</f>
        <v/>
      </c>
      <c r="AA158" s="52" t="str">
        <f>IFERROR(__xludf.DUMMYFUNCTION("IFERROR(
  VLOOKUP(
    A158,
    IMPORTRANGE(
      ""1ZHMy3vVUd_0MrSduXTe1etBb1HNpAlGwQr006ljwMiM"",
      ""GSC最新!A:R""
    ),
    12,
    FALSE
  ),
  0
)
"),"")</f>
        <v/>
      </c>
      <c r="AB158" s="52" t="str">
        <f>IFERROR(__xludf.DUMMYFUNCTION("IFERROR(
  VLOOKUP(
    A158,
    IMPORTRANGE(
      ""1ZHMy3vVUd_0MrSduXTe1etBb1HNpAlGwQr006ljwMiM"",
      ""GSC最新!A:R""
    ),
    15,
    FALSE
  ),
  0
)
"),"")</f>
        <v/>
      </c>
      <c r="AC158" s="52" t="str">
        <f>IFERROR(__xludf.DUMMYFUNCTION("IFERROR(
  VLOOKUP(
    A158,
    IMPORTRANGE(
      ""1ZHMy3vVUd_0MrSduXTe1etBb1HNpAlGwQr006ljwMiM"",
      ""GSC最新!A:R""
    ),
    18,
    FALSE
  ),
  0
)
"),"")</f>
        <v/>
      </c>
      <c r="AD158" s="52">
        <f t="shared" ref="AD158:AE158" si="785">Z158-AB158</f>
        <v>0</v>
      </c>
      <c r="AE158" s="52">
        <f t="shared" si="785"/>
        <v>0</v>
      </c>
      <c r="AF158" s="53">
        <f>IFERROR(__xludf.DUMMYFUNCTION("IFERROR(
  VLOOKUP(
    A158,
    IMPORTRANGE(
      ""1ZHMy3vVUd_0MrSduXTe1etBb1HNpAlGwQr006ljwMiM"",
      ""GSC最新!A:F""
    ),
    6,
    FALSE
  ),
  0
)
"),46081.0)</f>
        <v>46081</v>
      </c>
      <c r="AG158" s="54">
        <f>IFERROR(__xludf.DUMMYFUNCTION("IFERROR(
  VLOOKUP(
    A158,
    IMPORTRANGE(
      ""1SCYQd7_cobOYqT0r_F0IqD4tE4rYn5y8Eup4PJTH8es"",
      ""Snapshot!A:M""
    ),
    5,
    FALSE
  ),
  ""-""
)
"),0.0)</f>
        <v>0</v>
      </c>
      <c r="AH158" s="54">
        <f>IFERROR(__xludf.DUMMYFUNCTION("IFERROR(
  VLOOKUP(
    A158,
    IMPORTRANGE(
      ""1SCYQd7_cobOYqT0r_F0IqD4tE4rYn5y8Eup4PJTH8es"",
      ""Snapshot!A:M""
    ),
    6,
    FALSE
  ),
  0
)
"),0.0)</f>
        <v>0</v>
      </c>
      <c r="AI158" s="54">
        <f>IFERROR(__xludf.DUMMYFUNCTION("IFERROR(
  VLOOKUP(
    A158,
    IMPORTRANGE(
      ""1SCYQd7_cobOYqT0r_F0IqD4tE4rYn5y8Eup4PJTH8es"",
      ""Snapshot!A:M""
    ),
    7,
    FALSE
  ),
  0
)
"),195.0)</f>
        <v>195</v>
      </c>
      <c r="AJ158" s="54">
        <f>IFERROR(__xludf.DUMMYFUNCTION("IFERROR(
  VLOOKUP(
    A158,
    IMPORTRANGE(
      ""1SCYQd7_cobOYqT0r_F0IqD4tE4rYn5y8Eup4PJTH8es"",
      ""Snapshot!A:M""
    ),
    8,
    FALSE
  ),
  0
)
"),2.0)</f>
        <v>2</v>
      </c>
      <c r="AK158" s="54">
        <f>IFERROR(__xludf.DUMMYFUNCTION("IFERROR(
  VLOOKUP(
    A158,
    IMPORTRANGE(
      ""1SCYQd7_cobOYqT0r_F0IqD4tE4rYn5y8Eup4PJTH8es"",
      ""Snapshot!A:M""
    ),
    9,
    FALSE
  ),
  0
)
"),1.0)</f>
        <v>1</v>
      </c>
      <c r="AL158" s="54">
        <f>IFERROR(__xludf.DUMMYFUNCTION("IFERROR(
  VLOOKUP(
    A158,
    IMPORTRANGE(
      ""1SCYQd7_cobOYqT0r_F0IqD4tE4rYn5y8Eup4PJTH8es"",
      ""Snapshot!A:M""
    ),
    13,
    FALSE
  ),
  0
)
"),2.0)</f>
        <v>2</v>
      </c>
    </row>
    <row r="159">
      <c r="A159" s="3" t="s">
        <v>482</v>
      </c>
      <c r="B159" s="1" t="str">
        <f>IFERROR(__xludf.DUMMYFUNCTION("IFERROR(
  VLOOKUP(
    A159,
    IMPORTRANGE(
      ""1ZygntHC1J6IxzKbTidmOyf5nUyW4GCLurHCjexrLm_o"",
      ""HTMLキャッシュ!A:F""
    ),
    2,
    FALSE
  ),
  0
)
"),"NW")</f>
        <v>NW</v>
      </c>
      <c r="C159" s="1" t="str">
        <f>IFERROR(__xludf.DUMMYFUNCTION("IFERROR(
  VLOOKUP(
    A159,
    IMPORTRANGE(
      ""1ZygntHC1J6IxzKbTidmOyf5nUyW4GCLurHCjexrLm_o"",
      ""HTMLキャッシュ!A:F""
    ),
    5,
    FALSE
  ),
  0
)
"),"2017年度夏期講習会開催のお知らせ - 中学受験専門 夏井算数塾")</f>
        <v>2017年度夏期講習会開催のお知らせ - 中学受験専門 夏井算数塾</v>
      </c>
      <c r="D159" s="1" t="str">
        <f>IFERROR(__xludf.DUMMYFUNCTION("IFERROR(
  VLOOKUP(
    A159,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59" s="49">
        <f t="shared" ref="E159:F159" si="786">LEN(C159)</f>
        <v>33</v>
      </c>
      <c r="F159" s="49">
        <f t="shared" si="786"/>
        <v>55</v>
      </c>
      <c r="G159" s="32">
        <f>IFERROR(__xludf.DUMMYFUNCTION("IFERROR(
  VLOOKUP(
    A159,
    IMPORTRANGE(
      ""1ZygntHC1J6IxzKbTidmOyf5nUyW4GCLurHCjexrLm_o        "",
      ""HTMLキャッシュ!A:F""
    ),
    3,
    FALSE
  ),
  0
)
"),46015.67357638889)</f>
        <v>46015.67358</v>
      </c>
      <c r="H159" s="54">
        <f>IFERROR(__xludf.DUMMYFUNCTION("IFERROR(
  VLOOKUP(
    A159,
    IMPORTRANGE(
      ""1ZHMy3vVUd_0MrSduXTe1etBb1HNpAlGwQr006ljwMiM"",
      ""GSC最新!A:F""
    ),
    2,
    FALSE
  ),
  0
)
"),0.0)</f>
        <v>0</v>
      </c>
      <c r="I159" s="54">
        <f>IFERROR(__xludf.DUMMYFUNCTION("IFERROR(
  VLOOKUP(
    A159,
    IMPORTRANGE(
      ""1ZHMy3vVUd_0MrSduXTe1etBb1HNpAlGwQr006ljwMiM"",
      ""GSC最新!A:F""
    ),
    3,
    FALSE
  ),
  0
)
"),0.0)</f>
        <v>0</v>
      </c>
      <c r="J159" s="54">
        <f>IFERROR(__xludf.DUMMYFUNCTION("IFERROR(
  VLOOKUP(
    A159,
    IMPORTRANGE(
      ""1ZHMy3vVUd_0MrSduXTe1etBb1HNpAlGwQr006ljwMiM"",
      ""GSC最新!A:F""
    ),
    4,
    FALSE
  ),
  0
)
"),0.0)</f>
        <v>0</v>
      </c>
      <c r="K159" s="54">
        <f>IFERROR(__xludf.DUMMYFUNCTION("IFERROR(
  VLOOKUP(
    A159,
    IMPORTRANGE(
      ""1ZHMy3vVUd_0MrSduXTe1etBb1HNpAlGwQr006ljwMiM"",
      ""GSC最新!A:F""
    ),
    5,
    FALSE
  ),
  0
)
"),0.0)</f>
        <v>0</v>
      </c>
      <c r="L159" s="50" t="str">
        <f t="shared" ref="L159:M159" si="787">IFERROR(H159/J159,"-")</f>
        <v>-</v>
      </c>
      <c r="M159" s="50" t="str">
        <f t="shared" si="787"/>
        <v>-</v>
      </c>
      <c r="N159" s="59">
        <f>IFERROR(__xludf.DUMMYFUNCTION("IFERROR(
  VLOOKUP(
    A159,
    IMPORTRANGE(
      ""1ZHMy3vVUd_0MrSduXTe1etBb1HNpAlGwQr006ljwMiM"",
      ""GSC最新!A:R""
    ),
    7,
    FALSE
  ),
  0
)
"),0.0)</f>
        <v>0</v>
      </c>
      <c r="O159" s="59">
        <f>IFERROR(__xludf.DUMMYFUNCTION("IFERROR(
  VLOOKUP(
    A159,
    IMPORTRANGE(
      ""1ZHMy3vVUd_0MrSduXTe1etBb1HNpAlGwQr006ljwMiM"",
      ""GSC最新!A:R""
    ),
    10,
    FALSE
  ),
  0
)
"),0.0)</f>
        <v>0</v>
      </c>
      <c r="P159" s="59">
        <f>IFERROR(__xludf.DUMMYFUNCTION("IFERROR(
  VLOOKUP(
    A159,
    IMPORTRANGE(
      ""1ZHMy3vVUd_0MrSduXTe1etBb1HNpAlGwQr006ljwMiM"",
      ""GSC最新!A:R""
    ),
    13,
    FALSE
  ),
  0
)
"),0.0)</f>
        <v>0</v>
      </c>
      <c r="Q159" s="59">
        <f>IFERROR(__xludf.DUMMYFUNCTION("IFERROR(
  VLOOKUP(
    A159,
    IMPORTRANGE(
      ""1ZHMy3vVUd_0MrSduXTe1etBb1HNpAlGwQr006ljwMiM"",
      ""GSC最新!A:R""
    ),
    16,
    FALSE
  ),
  0
)
"),0.0)</f>
        <v>0</v>
      </c>
      <c r="R159" s="50" t="str">
        <f t="shared" ref="R159:S159" si="788">IFERROR(N159/P159,"-")</f>
        <v>-</v>
      </c>
      <c r="S159" s="50" t="str">
        <f t="shared" si="788"/>
        <v>-</v>
      </c>
      <c r="T159" s="60">
        <f>IFERROR(__xludf.DUMMYFUNCTION("IFERROR(
  VLOOKUP(
    A159,
    IMPORTRANGE(
      ""1ZHMy3vVUd_0MrSduXTe1etBb1HNpAlGwQr006ljwMiM"",
      ""GSC最新!A:R""
    ),
    8,
    FALSE
  ),
  0
)
"),0.0)</f>
        <v>0</v>
      </c>
      <c r="U159" s="60">
        <f>IFERROR(__xludf.DUMMYFUNCTION("IFERROR(
  VLOOKUP(
    A159,
    IMPORTRANGE(
      ""1ZHMy3vVUd_0MrSduXTe1etBb1HNpAlGwQr006ljwMiM"",
      ""GSC最新!A:R""
    ),
    11,
    FALSE
  ),
  0
)
"),0.0)</f>
        <v>0</v>
      </c>
      <c r="V159" s="60">
        <f>IFERROR(__xludf.DUMMYFUNCTION("IFERROR(
  VLOOKUP(
    A159,
    IMPORTRANGE(
      ""1ZHMy3vVUd_0MrSduXTe1etBb1HNpAlGwQr006ljwMiM"",
      ""GSC最新!A:R""
    ),
    14,
    FALSE
  ),
  0
)
"),0.0)</f>
        <v>0</v>
      </c>
      <c r="W159" s="60">
        <f>IFERROR(__xludf.DUMMYFUNCTION("IFERROR(
  VLOOKUP(
    A159,
    IMPORTRANGE(
      ""1ZHMy3vVUd_0MrSduXTe1etBb1HNpAlGwQr006ljwMiM"",
      ""GSC最新!A:R""
    ),
    17,
    FALSE
  ),
  0
)
"),0.0)</f>
        <v>0</v>
      </c>
      <c r="X159" s="60">
        <f t="shared" ref="X159:Y159" si="789">IFERROR(T159-V159,"-")</f>
        <v>0</v>
      </c>
      <c r="Y159" s="60">
        <f t="shared" si="789"/>
        <v>0</v>
      </c>
      <c r="Z159" s="52" t="str">
        <f>IFERROR(__xludf.DUMMYFUNCTION("IFERROR(
  VLOOKUP(
    A159,
    IMPORTRANGE(
      ""1ZHMy3vVUd_0MrSduXTe1etBb1HNpAlGwQr006ljwMiM"",
      ""GSC最新!A:R""
    ),
    9,
    FALSE
  ),
  0
)
"),"")</f>
        <v/>
      </c>
      <c r="AA159" s="52" t="str">
        <f>IFERROR(__xludf.DUMMYFUNCTION("IFERROR(
  VLOOKUP(
    A159,
    IMPORTRANGE(
      ""1ZHMy3vVUd_0MrSduXTe1etBb1HNpAlGwQr006ljwMiM"",
      ""GSC最新!A:R""
    ),
    12,
    FALSE
  ),
  0
)
"),"")</f>
        <v/>
      </c>
      <c r="AB159" s="52" t="str">
        <f>IFERROR(__xludf.DUMMYFUNCTION("IFERROR(
  VLOOKUP(
    A159,
    IMPORTRANGE(
      ""1ZHMy3vVUd_0MrSduXTe1etBb1HNpAlGwQr006ljwMiM"",
      ""GSC最新!A:R""
    ),
    15,
    FALSE
  ),
  0
)
"),"")</f>
        <v/>
      </c>
      <c r="AC159" s="52" t="str">
        <f>IFERROR(__xludf.DUMMYFUNCTION("IFERROR(
  VLOOKUP(
    A159,
    IMPORTRANGE(
      ""1ZHMy3vVUd_0MrSduXTe1etBb1HNpAlGwQr006ljwMiM"",
      ""GSC最新!A:R""
    ),
    18,
    FALSE
  ),
  0
)
"),"")</f>
        <v/>
      </c>
      <c r="AD159" s="52">
        <f t="shared" ref="AD159:AE159" si="790">Z159-AB159</f>
        <v>0</v>
      </c>
      <c r="AE159" s="52">
        <f t="shared" si="790"/>
        <v>0</v>
      </c>
      <c r="AF159" s="53">
        <f>IFERROR(__xludf.DUMMYFUNCTION("IFERROR(
  VLOOKUP(
    A159,
    IMPORTRANGE(
      ""1ZHMy3vVUd_0MrSduXTe1etBb1HNpAlGwQr006ljwMiM"",
      ""GSC最新!A:F""
    ),
    6,
    FALSE
  ),
  0
)
"),46081.0)</f>
        <v>46081</v>
      </c>
      <c r="AG159" s="54">
        <f>IFERROR(__xludf.DUMMYFUNCTION("IFERROR(
  VLOOKUP(
    A159,
    IMPORTRANGE(
      ""1SCYQd7_cobOYqT0r_F0IqD4tE4rYn5y8Eup4PJTH8es"",
      ""Snapshot!A:M""
    ),
    5,
    FALSE
  ),
  ""-""
)
"),0.0)</f>
        <v>0</v>
      </c>
      <c r="AH159" s="54">
        <f>IFERROR(__xludf.DUMMYFUNCTION("IFERROR(
  VLOOKUP(
    A159,
    IMPORTRANGE(
      ""1SCYQd7_cobOYqT0r_F0IqD4tE4rYn5y8Eup4PJTH8es"",
      ""Snapshot!A:M""
    ),
    6,
    FALSE
  ),
  0
)
"),0.0)</f>
        <v>0</v>
      </c>
      <c r="AI159" s="54">
        <f>IFERROR(__xludf.DUMMYFUNCTION("IFERROR(
  VLOOKUP(
    A159,
    IMPORTRANGE(
      ""1SCYQd7_cobOYqT0r_F0IqD4tE4rYn5y8Eup4PJTH8es"",
      ""Snapshot!A:M""
    ),
    7,
    FALSE
  ),
  0
)
"),838.0)</f>
        <v>838</v>
      </c>
      <c r="AJ159" s="54">
        <f>IFERROR(__xludf.DUMMYFUNCTION("IFERROR(
  VLOOKUP(
    A159,
    IMPORTRANGE(
      ""1SCYQd7_cobOYqT0r_F0IqD4tE4rYn5y8Eup4PJTH8es"",
      ""Snapshot!A:M""
    ),
    8,
    FALSE
  ),
  0
)
"),3.0)</f>
        <v>3</v>
      </c>
      <c r="AK159" s="54">
        <f>IFERROR(__xludf.DUMMYFUNCTION("IFERROR(
  VLOOKUP(
    A159,
    IMPORTRANGE(
      ""1SCYQd7_cobOYqT0r_F0IqD4tE4rYn5y8Eup4PJTH8es"",
      ""Snapshot!A:M""
    ),
    9,
    FALSE
  ),
  0
)
"),1.0)</f>
        <v>1</v>
      </c>
      <c r="AL159" s="54">
        <f>IFERROR(__xludf.DUMMYFUNCTION("IFERROR(
  VLOOKUP(
    A159,
    IMPORTRANGE(
      ""1SCYQd7_cobOYqT0r_F0IqD4tE4rYn5y8Eup4PJTH8es"",
      ""Snapshot!A:M""
    ),
    13,
    FALSE
  ),
  0
)
"),2.0)</f>
        <v>2</v>
      </c>
    </row>
    <row r="160">
      <c r="A160" s="3" t="s">
        <v>483</v>
      </c>
      <c r="B160" s="1" t="str">
        <f>IFERROR(__xludf.DUMMYFUNCTION("IFERROR(
  VLOOKUP(
    A160,
    IMPORTRANGE(
      ""1ZygntHC1J6IxzKbTidmOyf5nUyW4GCLurHCjexrLm_o"",
      ""HTMLキャッシュ!A:F""
    ),
    2,
    FALSE
  ),
  0
)
"),"NW")</f>
        <v>NW</v>
      </c>
      <c r="C160" s="1" t="str">
        <f>IFERROR(__xludf.DUMMYFUNCTION("IFERROR(
  VLOOKUP(
    A160,
    IMPORTRANGE(
      ""1ZygntHC1J6IxzKbTidmOyf5nUyW4GCLurHCjexrLm_o"",
      ""HTMLキャッシュ!A:F""
    ),
    5,
    FALSE
  ),
  0
)
"),"Sapix小５マンスリー確認テスト対策・WEB講座開講のお知らせ - 中学受験専門 夏井算数塾")</f>
        <v>Sapix小５マンスリー確認テスト対策・WEB講座開講のお知らせ - 中学受験専門 夏井算数塾</v>
      </c>
      <c r="D160" s="1" t="str">
        <f>IFERROR(__xludf.DUMMYFUNCTION("IFERROR(
  VLOOKUP(
    A160,
    IMPORTRANGE(
      ""1ZygntHC1J6IxzKbTidmOyf5nUyW4GCLurHCjexrLm_o        "",
      ""HTMLキャッシュ!A:F""
    ),
    6,
    FALSE
  ),
  0
)
"),"こんにちは。すっかり秋らしい気候となり、当塾の受験生たちは全力の過去問演習を日々繰り返しております。 本日は掲")</f>
        <v>こんにちは。すっかり秋らしい気候となり、当塾の受験生たちは全力の過去問演習を日々繰り返しております。 本日は掲</v>
      </c>
      <c r="E160" s="49">
        <f t="shared" ref="E160:F160" si="791">LEN(C160)</f>
        <v>47</v>
      </c>
      <c r="F160" s="49">
        <f t="shared" si="791"/>
        <v>55</v>
      </c>
      <c r="G160" s="32">
        <f>IFERROR(__xludf.DUMMYFUNCTION("IFERROR(
  VLOOKUP(
    A160,
    IMPORTRANGE(
      ""1ZygntHC1J6IxzKbTidmOyf5nUyW4GCLurHCjexrLm_o        "",
      ""HTMLキャッシュ!A:F""
    ),
    3,
    FALSE
  ),
  0
)
"),43044.538518518515)</f>
        <v>43044.53852</v>
      </c>
      <c r="H160" s="54">
        <f>IFERROR(__xludf.DUMMYFUNCTION("IFERROR(
  VLOOKUP(
    A160,
    IMPORTRANGE(
      ""1ZHMy3vVUd_0MrSduXTe1etBb1HNpAlGwQr006ljwMiM"",
      ""GSC最新!A:F""
    ),
    2,
    FALSE
  ),
  0
)
"),0.0)</f>
        <v>0</v>
      </c>
      <c r="I160" s="54">
        <f>IFERROR(__xludf.DUMMYFUNCTION("IFERROR(
  VLOOKUP(
    A160,
    IMPORTRANGE(
      ""1ZHMy3vVUd_0MrSduXTe1etBb1HNpAlGwQr006ljwMiM"",
      ""GSC最新!A:F""
    ),
    3,
    FALSE
  ),
  0
)
"),0.0)</f>
        <v>0</v>
      </c>
      <c r="J160" s="54">
        <f>IFERROR(__xludf.DUMMYFUNCTION("IFERROR(
  VLOOKUP(
    A160,
    IMPORTRANGE(
      ""1ZHMy3vVUd_0MrSduXTe1etBb1HNpAlGwQr006ljwMiM"",
      ""GSC最新!A:F""
    ),
    4,
    FALSE
  ),
  0
)
"),0.0)</f>
        <v>0</v>
      </c>
      <c r="K160" s="54">
        <f>IFERROR(__xludf.DUMMYFUNCTION("IFERROR(
  VLOOKUP(
    A160,
    IMPORTRANGE(
      ""1ZHMy3vVUd_0MrSduXTe1etBb1HNpAlGwQr006ljwMiM"",
      ""GSC最新!A:F""
    ),
    5,
    FALSE
  ),
  0
)
"),0.0)</f>
        <v>0</v>
      </c>
      <c r="L160" s="50" t="str">
        <f t="shared" ref="L160:M160" si="792">IFERROR(H160/J160,"-")</f>
        <v>-</v>
      </c>
      <c r="M160" s="50" t="str">
        <f t="shared" si="792"/>
        <v>-</v>
      </c>
      <c r="N160" s="59">
        <f>IFERROR(__xludf.DUMMYFUNCTION("IFERROR(
  VLOOKUP(
    A160,
    IMPORTRANGE(
      ""1ZHMy3vVUd_0MrSduXTe1etBb1HNpAlGwQr006ljwMiM"",
      ""GSC最新!A:R""
    ),
    7,
    FALSE
  ),
  0
)
"),0.0)</f>
        <v>0</v>
      </c>
      <c r="O160" s="59">
        <f>IFERROR(__xludf.DUMMYFUNCTION("IFERROR(
  VLOOKUP(
    A160,
    IMPORTRANGE(
      ""1ZHMy3vVUd_0MrSduXTe1etBb1HNpAlGwQr006ljwMiM"",
      ""GSC最新!A:R""
    ),
    10,
    FALSE
  ),
  0
)
"),0.0)</f>
        <v>0</v>
      </c>
      <c r="P160" s="59">
        <f>IFERROR(__xludf.DUMMYFUNCTION("IFERROR(
  VLOOKUP(
    A160,
    IMPORTRANGE(
      ""1ZHMy3vVUd_0MrSduXTe1etBb1HNpAlGwQr006ljwMiM"",
      ""GSC最新!A:R""
    ),
    13,
    FALSE
  ),
  0
)
"),0.0)</f>
        <v>0</v>
      </c>
      <c r="Q160" s="59">
        <f>IFERROR(__xludf.DUMMYFUNCTION("IFERROR(
  VLOOKUP(
    A160,
    IMPORTRANGE(
      ""1ZHMy3vVUd_0MrSduXTe1etBb1HNpAlGwQr006ljwMiM"",
      ""GSC最新!A:R""
    ),
    16,
    FALSE
  ),
  0
)
"),0.0)</f>
        <v>0</v>
      </c>
      <c r="R160" s="50" t="str">
        <f t="shared" ref="R160:S160" si="793">IFERROR(N160/P160,"-")</f>
        <v>-</v>
      </c>
      <c r="S160" s="50" t="str">
        <f t="shared" si="793"/>
        <v>-</v>
      </c>
      <c r="T160" s="60">
        <f>IFERROR(__xludf.DUMMYFUNCTION("IFERROR(
  VLOOKUP(
    A160,
    IMPORTRANGE(
      ""1ZHMy3vVUd_0MrSduXTe1etBb1HNpAlGwQr006ljwMiM"",
      ""GSC最新!A:R""
    ),
    8,
    FALSE
  ),
  0
)
"),0.0)</f>
        <v>0</v>
      </c>
      <c r="U160" s="60">
        <f>IFERROR(__xludf.DUMMYFUNCTION("IFERROR(
  VLOOKUP(
    A160,
    IMPORTRANGE(
      ""1ZHMy3vVUd_0MrSduXTe1etBb1HNpAlGwQr006ljwMiM"",
      ""GSC最新!A:R""
    ),
    11,
    FALSE
  ),
  0
)
"),0.0)</f>
        <v>0</v>
      </c>
      <c r="V160" s="60">
        <f>IFERROR(__xludf.DUMMYFUNCTION("IFERROR(
  VLOOKUP(
    A160,
    IMPORTRANGE(
      ""1ZHMy3vVUd_0MrSduXTe1etBb1HNpAlGwQr006ljwMiM"",
      ""GSC最新!A:R""
    ),
    14,
    FALSE
  ),
  0
)
"),0.0)</f>
        <v>0</v>
      </c>
      <c r="W160" s="60">
        <f>IFERROR(__xludf.DUMMYFUNCTION("IFERROR(
  VLOOKUP(
    A160,
    IMPORTRANGE(
      ""1ZHMy3vVUd_0MrSduXTe1etBb1HNpAlGwQr006ljwMiM"",
      ""GSC最新!A:R""
    ),
    17,
    FALSE
  ),
  0
)
"),0.0)</f>
        <v>0</v>
      </c>
      <c r="X160" s="60">
        <f t="shared" ref="X160:Y160" si="794">IFERROR(T160-V160,"-")</f>
        <v>0</v>
      </c>
      <c r="Y160" s="60">
        <f t="shared" si="794"/>
        <v>0</v>
      </c>
      <c r="Z160" s="52" t="str">
        <f>IFERROR(__xludf.DUMMYFUNCTION("IFERROR(
  VLOOKUP(
    A160,
    IMPORTRANGE(
      ""1ZHMy3vVUd_0MrSduXTe1etBb1HNpAlGwQr006ljwMiM"",
      ""GSC最新!A:R""
    ),
    9,
    FALSE
  ),
  0
)
"),"")</f>
        <v/>
      </c>
      <c r="AA160" s="52" t="str">
        <f>IFERROR(__xludf.DUMMYFUNCTION("IFERROR(
  VLOOKUP(
    A160,
    IMPORTRANGE(
      ""1ZHMy3vVUd_0MrSduXTe1etBb1HNpAlGwQr006ljwMiM"",
      ""GSC最新!A:R""
    ),
    12,
    FALSE
  ),
  0
)
"),"")</f>
        <v/>
      </c>
      <c r="AB160" s="52" t="str">
        <f>IFERROR(__xludf.DUMMYFUNCTION("IFERROR(
  VLOOKUP(
    A160,
    IMPORTRANGE(
      ""1ZHMy3vVUd_0MrSduXTe1etBb1HNpAlGwQr006ljwMiM"",
      ""GSC最新!A:R""
    ),
    15,
    FALSE
  ),
  0
)
"),"")</f>
        <v/>
      </c>
      <c r="AC160" s="52" t="str">
        <f>IFERROR(__xludf.DUMMYFUNCTION("IFERROR(
  VLOOKUP(
    A160,
    IMPORTRANGE(
      ""1ZHMy3vVUd_0MrSduXTe1etBb1HNpAlGwQr006ljwMiM"",
      ""GSC最新!A:R""
    ),
    18,
    FALSE
  ),
  0
)
"),"")</f>
        <v/>
      </c>
      <c r="AD160" s="52">
        <f t="shared" ref="AD160:AE160" si="795">Z160-AB160</f>
        <v>0</v>
      </c>
      <c r="AE160" s="52">
        <f t="shared" si="795"/>
        <v>0</v>
      </c>
      <c r="AF160" s="53">
        <f>IFERROR(__xludf.DUMMYFUNCTION("IFERROR(
  VLOOKUP(
    A160,
    IMPORTRANGE(
      ""1ZHMy3vVUd_0MrSduXTe1etBb1HNpAlGwQr006ljwMiM"",
      ""GSC最新!A:F""
    ),
    6,
    FALSE
  ),
  0
)
"),46081.0)</f>
        <v>46081</v>
      </c>
      <c r="AG160" s="54">
        <f>IFERROR(__xludf.DUMMYFUNCTION("IFERROR(
  VLOOKUP(
    A160,
    IMPORTRANGE(
      ""1SCYQd7_cobOYqT0r_F0IqD4tE4rYn5y8Eup4PJTH8es"",
      ""Snapshot!A:M""
    ),
    5,
    FALSE
  ),
  ""-""
)
"),0.0)</f>
        <v>0</v>
      </c>
      <c r="AH160" s="54">
        <f>IFERROR(__xludf.DUMMYFUNCTION("IFERROR(
  VLOOKUP(
    A160,
    IMPORTRANGE(
      ""1SCYQd7_cobOYqT0r_F0IqD4tE4rYn5y8Eup4PJTH8es"",
      ""Snapshot!A:M""
    ),
    6,
    FALSE
  ),
  0
)
"),0.0)</f>
        <v>0</v>
      </c>
      <c r="AI160" s="54">
        <f>IFERROR(__xludf.DUMMYFUNCTION("IFERROR(
  VLOOKUP(
    A160,
    IMPORTRANGE(
      ""1SCYQd7_cobOYqT0r_F0IqD4tE4rYn5y8Eup4PJTH8es"",
      ""Snapshot!A:M""
    ),
    7,
    FALSE
  ),
  0
)
"),605.0)</f>
        <v>605</v>
      </c>
      <c r="AJ160" s="54">
        <f>IFERROR(__xludf.DUMMYFUNCTION("IFERROR(
  VLOOKUP(
    A160,
    IMPORTRANGE(
      ""1SCYQd7_cobOYqT0r_F0IqD4tE4rYn5y8Eup4PJTH8es"",
      ""Snapshot!A:M""
    ),
    8,
    FALSE
  ),
  0
)
"),1.0)</f>
        <v>1</v>
      </c>
      <c r="AK160" s="54">
        <f>IFERROR(__xludf.DUMMYFUNCTION("IFERROR(
  VLOOKUP(
    A160,
    IMPORTRANGE(
      ""1SCYQd7_cobOYqT0r_F0IqD4tE4rYn5y8Eup4PJTH8es"",
      ""Snapshot!A:M""
    ),
    9,
    FALSE
  ),
  0
)
"),1.0)</f>
        <v>1</v>
      </c>
      <c r="AL160" s="54">
        <f>IFERROR(__xludf.DUMMYFUNCTION("IFERROR(
  VLOOKUP(
    A160,
    IMPORTRANGE(
      ""1SCYQd7_cobOYqT0r_F0IqD4tE4rYn5y8Eup4PJTH8es"",
      ""Snapshot!A:M""
    ),
    13,
    FALSE
  ),
  0
)
"),2.0)</f>
        <v>2</v>
      </c>
    </row>
    <row r="161">
      <c r="A161" s="3" t="s">
        <v>484</v>
      </c>
      <c r="B161" s="1" t="str">
        <f>IFERROR(__xludf.DUMMYFUNCTION("IFERROR(
  VLOOKUP(
    A161,
    IMPORTRANGE(
      ""1ZygntHC1J6IxzKbTidmOyf5nUyW4GCLurHCjexrLm_o"",
      ""HTMLキャッシュ!A:F""
    ),
    2,
    FALSE
  ),
  0
)
"),"NW")</f>
        <v>NW</v>
      </c>
      <c r="C161" s="1" t="str">
        <f>IFERROR(__xludf.DUMMYFUNCTION("IFERROR(
  VLOOKUP(
    A161,
    IMPORTRANGE(
      ""1ZygntHC1J6IxzKbTidmOyf5nUyW4GCLurHCjexrLm_o"",
      ""HTMLキャッシュ!A:F""
    ),
    5,
    FALSE
  ),
  0
)
"),"【Sapix小５マンスリー対策WEB講座】11月度プレテスト公開のお知らせ - 中学受験専門 夏井算数塾")</f>
        <v>【Sapix小５マンスリー対策WEB講座】11月度プレテスト公開のお知らせ - 中学受験専門 夏井算数塾</v>
      </c>
      <c r="D161" s="1" t="str">
        <f>IFERROR(__xludf.DUMMYFUNCTION("IFERROR(
  VLOOKUP(
    A161,
    IMPORTRANGE(
      ""1ZygntHC1J6IxzKbTidmOyf5nUyW4GCLurHCjexrLm_o        "",
      ""HTMLキャッシュ!A:F""
    ),
    6,
    FALSE
  ),
  0
)
"),"こんにちは。 先月開講いたしました「Sapix小５マンスリー確認テスト対策・WEB講座」ですが、好評につき、今")</f>
        <v>こんにちは。 先月開講いたしました「Sapix小５マンスリー確認テスト対策・WEB講座」ですが、好評につき、今</v>
      </c>
      <c r="E161" s="49">
        <f t="shared" ref="E161:F161" si="796">LEN(C161)</f>
        <v>52</v>
      </c>
      <c r="F161" s="49">
        <f t="shared" si="796"/>
        <v>55</v>
      </c>
      <c r="G161" s="32">
        <f>IFERROR(__xludf.DUMMYFUNCTION("IFERROR(
  VLOOKUP(
    A161,
    IMPORTRANGE(
      ""1ZygntHC1J6IxzKbTidmOyf5nUyW4GCLurHCjexrLm_o        "",
      ""HTMLキャッシュ!A:F""
    ),
    3,
    FALSE
  ),
  0
)
"),43051.70050925926)</f>
        <v>43051.70051</v>
      </c>
      <c r="H161" s="54">
        <f>IFERROR(__xludf.DUMMYFUNCTION("IFERROR(
  VLOOKUP(
    A161,
    IMPORTRANGE(
      ""1ZHMy3vVUd_0MrSduXTe1etBb1HNpAlGwQr006ljwMiM"",
      ""GSC最新!A:F""
    ),
    2,
    FALSE
  ),
  0
)
"),0.0)</f>
        <v>0</v>
      </c>
      <c r="I161" s="54">
        <f>IFERROR(__xludf.DUMMYFUNCTION("IFERROR(
  VLOOKUP(
    A161,
    IMPORTRANGE(
      ""1ZHMy3vVUd_0MrSduXTe1etBb1HNpAlGwQr006ljwMiM"",
      ""GSC最新!A:F""
    ),
    3,
    FALSE
  ),
  0
)
"),0.0)</f>
        <v>0</v>
      </c>
      <c r="J161" s="54">
        <f>IFERROR(__xludf.DUMMYFUNCTION("IFERROR(
  VLOOKUP(
    A161,
    IMPORTRANGE(
      ""1ZHMy3vVUd_0MrSduXTe1etBb1HNpAlGwQr006ljwMiM"",
      ""GSC最新!A:F""
    ),
    4,
    FALSE
  ),
  0
)
"),0.0)</f>
        <v>0</v>
      </c>
      <c r="K161" s="54">
        <f>IFERROR(__xludf.DUMMYFUNCTION("IFERROR(
  VLOOKUP(
    A161,
    IMPORTRANGE(
      ""1ZHMy3vVUd_0MrSduXTe1etBb1HNpAlGwQr006ljwMiM"",
      ""GSC最新!A:F""
    ),
    5,
    FALSE
  ),
  0
)
"),0.0)</f>
        <v>0</v>
      </c>
      <c r="L161" s="50" t="str">
        <f t="shared" ref="L161:M161" si="797">IFERROR(H161/J161,"-")</f>
        <v>-</v>
      </c>
      <c r="M161" s="50" t="str">
        <f t="shared" si="797"/>
        <v>-</v>
      </c>
      <c r="N161" s="59">
        <f>IFERROR(__xludf.DUMMYFUNCTION("IFERROR(
  VLOOKUP(
    A161,
    IMPORTRANGE(
      ""1ZHMy3vVUd_0MrSduXTe1etBb1HNpAlGwQr006ljwMiM"",
      ""GSC最新!A:R""
    ),
    7,
    FALSE
  ),
  0
)
"),0.0)</f>
        <v>0</v>
      </c>
      <c r="O161" s="59">
        <f>IFERROR(__xludf.DUMMYFUNCTION("IFERROR(
  VLOOKUP(
    A161,
    IMPORTRANGE(
      ""1ZHMy3vVUd_0MrSduXTe1etBb1HNpAlGwQr006ljwMiM"",
      ""GSC最新!A:R""
    ),
    10,
    FALSE
  ),
  0
)
"),0.0)</f>
        <v>0</v>
      </c>
      <c r="P161" s="59">
        <f>IFERROR(__xludf.DUMMYFUNCTION("IFERROR(
  VLOOKUP(
    A161,
    IMPORTRANGE(
      ""1ZHMy3vVUd_0MrSduXTe1etBb1HNpAlGwQr006ljwMiM"",
      ""GSC最新!A:R""
    ),
    13,
    FALSE
  ),
  0
)
"),0.0)</f>
        <v>0</v>
      </c>
      <c r="Q161" s="59">
        <f>IFERROR(__xludf.DUMMYFUNCTION("IFERROR(
  VLOOKUP(
    A161,
    IMPORTRANGE(
      ""1ZHMy3vVUd_0MrSduXTe1etBb1HNpAlGwQr006ljwMiM"",
      ""GSC最新!A:R""
    ),
    16,
    FALSE
  ),
  0
)
"),2.0)</f>
        <v>2</v>
      </c>
      <c r="R161" s="50" t="str">
        <f t="shared" ref="R161:S161" si="798">IFERROR(N161/P161,"-")</f>
        <v>-</v>
      </c>
      <c r="S161" s="50">
        <f t="shared" si="798"/>
        <v>0</v>
      </c>
      <c r="T161" s="60">
        <f>IFERROR(__xludf.DUMMYFUNCTION("IFERROR(
  VLOOKUP(
    A161,
    IMPORTRANGE(
      ""1ZHMy3vVUd_0MrSduXTe1etBb1HNpAlGwQr006ljwMiM"",
      ""GSC最新!A:R""
    ),
    8,
    FALSE
  ),
  0
)
"),0.0)</f>
        <v>0</v>
      </c>
      <c r="U161" s="60">
        <f>IFERROR(__xludf.DUMMYFUNCTION("IFERROR(
  VLOOKUP(
    A161,
    IMPORTRANGE(
      ""1ZHMy3vVUd_0MrSduXTe1etBb1HNpAlGwQr006ljwMiM"",
      ""GSC最新!A:R""
    ),
    11,
    FALSE
  ),
  0
)
"),0.0)</f>
        <v>0</v>
      </c>
      <c r="V161" s="60">
        <f>IFERROR(__xludf.DUMMYFUNCTION("IFERROR(
  VLOOKUP(
    A161,
    IMPORTRANGE(
      ""1ZHMy3vVUd_0MrSduXTe1etBb1HNpAlGwQr006ljwMiM"",
      ""GSC最新!A:R""
    ),
    14,
    FALSE
  ),
  0
)
"),0.0)</f>
        <v>0</v>
      </c>
      <c r="W161" s="60">
        <f>IFERROR(__xludf.DUMMYFUNCTION("IFERROR(
  VLOOKUP(
    A161,
    IMPORTRANGE(
      ""1ZHMy3vVUd_0MrSduXTe1etBb1HNpAlGwQr006ljwMiM"",
      ""GSC最新!A:R""
    ),
    17,
    FALSE
  ),
  0
)
"),0.0)</f>
        <v>0</v>
      </c>
      <c r="X161" s="60">
        <f t="shared" ref="X161:Y161" si="799">IFERROR(T161-V161,"-")</f>
        <v>0</v>
      </c>
      <c r="Y161" s="60">
        <f t="shared" si="799"/>
        <v>0</v>
      </c>
      <c r="Z161" s="52" t="str">
        <f>IFERROR(__xludf.DUMMYFUNCTION("IFERROR(
  VLOOKUP(
    A161,
    IMPORTRANGE(
      ""1ZHMy3vVUd_0MrSduXTe1etBb1HNpAlGwQr006ljwMiM"",
      ""GSC最新!A:R""
    ),
    9,
    FALSE
  ),
  0
)
"),"")</f>
        <v/>
      </c>
      <c r="AA161" s="52" t="str">
        <f>IFERROR(__xludf.DUMMYFUNCTION("IFERROR(
  VLOOKUP(
    A161,
    IMPORTRANGE(
      ""1ZHMy3vVUd_0MrSduXTe1etBb1HNpAlGwQr006ljwMiM"",
      ""GSC最新!A:R""
    ),
    12,
    FALSE
  ),
  0
)
"),"")</f>
        <v/>
      </c>
      <c r="AB161" s="52" t="str">
        <f>IFERROR(__xludf.DUMMYFUNCTION("IFERROR(
  VLOOKUP(
    A161,
    IMPORTRANGE(
      ""1ZHMy3vVUd_0MrSduXTe1etBb1HNpAlGwQr006ljwMiM"",
      ""GSC最新!A:R""
    ),
    15,
    FALSE
  ),
  0
)
"),"")</f>
        <v/>
      </c>
      <c r="AC161" s="52">
        <f>IFERROR(__xludf.DUMMYFUNCTION("IFERROR(
  VLOOKUP(
    A161,
    IMPORTRANGE(
      ""1ZHMy3vVUd_0MrSduXTe1etBb1HNpAlGwQr006ljwMiM"",
      ""GSC最新!A:R""
    ),
    18,
    FALSE
  ),
  0
)
"),92.0)</f>
        <v>92</v>
      </c>
      <c r="AD161" s="52">
        <f t="shared" ref="AD161:AE161" si="800">Z161-AB161</f>
        <v>0</v>
      </c>
      <c r="AE161" s="52">
        <f t="shared" si="800"/>
        <v>-92</v>
      </c>
      <c r="AF161" s="53">
        <f>IFERROR(__xludf.DUMMYFUNCTION("IFERROR(
  VLOOKUP(
    A161,
    IMPORTRANGE(
      ""1ZHMy3vVUd_0MrSduXTe1etBb1HNpAlGwQr006ljwMiM"",
      ""GSC最新!A:F""
    ),
    6,
    FALSE
  ),
  0
)
"),46081.0)</f>
        <v>46081</v>
      </c>
      <c r="AG161" s="54">
        <f>IFERROR(__xludf.DUMMYFUNCTION("IFERROR(
  VLOOKUP(
    A161,
    IMPORTRANGE(
      ""1SCYQd7_cobOYqT0r_F0IqD4tE4rYn5y8Eup4PJTH8es"",
      ""Snapshot!A:M""
    ),
    5,
    FALSE
  ),
  ""-""
)
"),0.0)</f>
        <v>0</v>
      </c>
      <c r="AH161" s="54">
        <f>IFERROR(__xludf.DUMMYFUNCTION("IFERROR(
  VLOOKUP(
    A161,
    IMPORTRANGE(
      ""1SCYQd7_cobOYqT0r_F0IqD4tE4rYn5y8Eup4PJTH8es"",
      ""Snapshot!A:M""
    ),
    6,
    FALSE
  ),
  0
)
"),0.0)</f>
        <v>0</v>
      </c>
      <c r="AI161" s="54">
        <f>IFERROR(__xludf.DUMMYFUNCTION("IFERROR(
  VLOOKUP(
    A161,
    IMPORTRANGE(
      ""1SCYQd7_cobOYqT0r_F0IqD4tE4rYn5y8Eup4PJTH8es"",
      ""Snapshot!A:M""
    ),
    7,
    FALSE
  ),
  0
)
"),639.0)</f>
        <v>639</v>
      </c>
      <c r="AJ161" s="54">
        <f>IFERROR(__xludf.DUMMYFUNCTION("IFERROR(
  VLOOKUP(
    A161,
    IMPORTRANGE(
      ""1SCYQd7_cobOYqT0r_F0IqD4tE4rYn5y8Eup4PJTH8es"",
      ""Snapshot!A:M""
    ),
    8,
    FALSE
  ),
  0
)
"),1.0)</f>
        <v>1</v>
      </c>
      <c r="AK161" s="54">
        <f>IFERROR(__xludf.DUMMYFUNCTION("IFERROR(
  VLOOKUP(
    A161,
    IMPORTRANGE(
      ""1SCYQd7_cobOYqT0r_F0IqD4tE4rYn5y8Eup4PJTH8es"",
      ""Snapshot!A:M""
    ),
    9,
    FALSE
  ),
  0
)
"),1.0)</f>
        <v>1</v>
      </c>
      <c r="AL161" s="54">
        <f>IFERROR(__xludf.DUMMYFUNCTION("IFERROR(
  VLOOKUP(
    A161,
    IMPORTRANGE(
      ""1SCYQd7_cobOYqT0r_F0IqD4tE4rYn5y8Eup4PJTH8es"",
      ""Snapshot!A:M""
    ),
    13,
    FALSE
  ),
  0
)
"),2.0)</f>
        <v>2</v>
      </c>
    </row>
    <row r="162">
      <c r="A162" s="3" t="s">
        <v>485</v>
      </c>
      <c r="B162" s="1" t="str">
        <f>IFERROR(__xludf.DUMMYFUNCTION("IFERROR(
  VLOOKUP(
    A162,
    IMPORTRANGE(
      ""1ZygntHC1J6IxzKbTidmOyf5nUyW4GCLurHCjexrLm_o"",
      ""HTMLキャッシュ!A:F""
    ),
    2,
    FALSE
  ),
  0
)
"),"NW")</f>
        <v>NW</v>
      </c>
      <c r="C162" s="1" t="str">
        <f>IFERROR(__xludf.DUMMYFUNCTION("IFERROR(
  VLOOKUP(
    A162,
    IMPORTRANGE(
      ""1ZygntHC1J6IxzKbTidmOyf5nUyW4GCLurHCjexrLm_o"",
      ""HTMLキャッシュ!A:F""
    ),
    5,
    FALSE
  ),
  0
)
"),"2018年度生徒募集開始のお知らせ - 中学受験専門 夏井算数塾")</f>
        <v>2018年度生徒募集開始のお知らせ - 中学受験専門 夏井算数塾</v>
      </c>
      <c r="D162" s="1" t="str">
        <f>IFERROR(__xludf.DUMMYFUNCTION("IFERROR(
  VLOOKUP(
    A162,
    IMPORTRANGE(
      ""1ZygntHC1J6IxzKbTidmOyf5nUyW4GCLurHCjexrLm_o        "",
      ""HTMLキャッシュ!A:F""
    ),
    6,
    FALSE
  ),
  0
)
"),"本日より、2018年度の生徒募集を開始致します。 ２月開講講座は個別指導のみとなります。詳細については、下記を")</f>
        <v>本日より、2018年度の生徒募集を開始致します。 ２月開講講座は個別指導のみとなります。詳細については、下記を</v>
      </c>
      <c r="E162" s="49">
        <f t="shared" ref="E162:F162" si="801">LEN(C162)</f>
        <v>32</v>
      </c>
      <c r="F162" s="49">
        <f t="shared" si="801"/>
        <v>55</v>
      </c>
      <c r="G162" s="32">
        <f>IFERROR(__xludf.DUMMYFUNCTION("IFERROR(
  VLOOKUP(
    A162,
    IMPORTRANGE(
      ""1ZygntHC1J6IxzKbTidmOyf5nUyW4GCLurHCjexrLm_o        "",
      ""HTMLキャッシュ!A:F""
    ),
    3,
    FALSE
  ),
  0
)
"),43101.000081018516)</f>
        <v>43101.00008</v>
      </c>
      <c r="H162" s="54">
        <f>IFERROR(__xludf.DUMMYFUNCTION("IFERROR(
  VLOOKUP(
    A162,
    IMPORTRANGE(
      ""1ZHMy3vVUd_0MrSduXTe1etBb1HNpAlGwQr006ljwMiM"",
      ""GSC最新!A:F""
    ),
    2,
    FALSE
  ),
  0
)
"),0.0)</f>
        <v>0</v>
      </c>
      <c r="I162" s="54">
        <f>IFERROR(__xludf.DUMMYFUNCTION("IFERROR(
  VLOOKUP(
    A162,
    IMPORTRANGE(
      ""1ZHMy3vVUd_0MrSduXTe1etBb1HNpAlGwQr006ljwMiM"",
      ""GSC最新!A:F""
    ),
    3,
    FALSE
  ),
  0
)
"),0.0)</f>
        <v>0</v>
      </c>
      <c r="J162" s="54">
        <f>IFERROR(__xludf.DUMMYFUNCTION("IFERROR(
  VLOOKUP(
    A162,
    IMPORTRANGE(
      ""1ZHMy3vVUd_0MrSduXTe1etBb1HNpAlGwQr006ljwMiM"",
      ""GSC最新!A:F""
    ),
    4,
    FALSE
  ),
  0
)
"),0.0)</f>
        <v>0</v>
      </c>
      <c r="K162" s="54">
        <f>IFERROR(__xludf.DUMMYFUNCTION("IFERROR(
  VLOOKUP(
    A162,
    IMPORTRANGE(
      ""1ZHMy3vVUd_0MrSduXTe1etBb1HNpAlGwQr006ljwMiM"",
      ""GSC最新!A:F""
    ),
    5,
    FALSE
  ),
  0
)
"),0.0)</f>
        <v>0</v>
      </c>
      <c r="L162" s="50" t="str">
        <f t="shared" ref="L162:M162" si="802">IFERROR(H162/J162,"-")</f>
        <v>-</v>
      </c>
      <c r="M162" s="50" t="str">
        <f t="shared" si="802"/>
        <v>-</v>
      </c>
      <c r="N162" s="59">
        <f>IFERROR(__xludf.DUMMYFUNCTION("IFERROR(
  VLOOKUP(
    A162,
    IMPORTRANGE(
      ""1ZHMy3vVUd_0MrSduXTe1etBb1HNpAlGwQr006ljwMiM"",
      ""GSC最新!A:R""
    ),
    7,
    FALSE
  ),
  0
)
"),0.0)</f>
        <v>0</v>
      </c>
      <c r="O162" s="59">
        <f>IFERROR(__xludf.DUMMYFUNCTION("IFERROR(
  VLOOKUP(
    A162,
    IMPORTRANGE(
      ""1ZHMy3vVUd_0MrSduXTe1etBb1HNpAlGwQr006ljwMiM"",
      ""GSC最新!A:R""
    ),
    10,
    FALSE
  ),
  0
)
"),0.0)</f>
        <v>0</v>
      </c>
      <c r="P162" s="59">
        <f>IFERROR(__xludf.DUMMYFUNCTION("IFERROR(
  VLOOKUP(
    A162,
    IMPORTRANGE(
      ""1ZHMy3vVUd_0MrSduXTe1etBb1HNpAlGwQr006ljwMiM"",
      ""GSC最新!A:R""
    ),
    13,
    FALSE
  ),
  0
)
"),0.0)</f>
        <v>0</v>
      </c>
      <c r="Q162" s="59">
        <f>IFERROR(__xludf.DUMMYFUNCTION("IFERROR(
  VLOOKUP(
    A162,
    IMPORTRANGE(
      ""1ZHMy3vVUd_0MrSduXTe1etBb1HNpAlGwQr006ljwMiM"",
      ""GSC最新!A:R""
    ),
    16,
    FALSE
  ),
  0
)
"),1.0)</f>
        <v>1</v>
      </c>
      <c r="R162" s="50" t="str">
        <f t="shared" ref="R162:S162" si="803">IFERROR(N162/P162,"-")</f>
        <v>-</v>
      </c>
      <c r="S162" s="50">
        <f t="shared" si="803"/>
        <v>0</v>
      </c>
      <c r="T162" s="60">
        <f>IFERROR(__xludf.DUMMYFUNCTION("IFERROR(
  VLOOKUP(
    A162,
    IMPORTRANGE(
      ""1ZHMy3vVUd_0MrSduXTe1etBb1HNpAlGwQr006ljwMiM"",
      ""GSC最新!A:R""
    ),
    8,
    FALSE
  ),
  0
)
"),0.0)</f>
        <v>0</v>
      </c>
      <c r="U162" s="60">
        <f>IFERROR(__xludf.DUMMYFUNCTION("IFERROR(
  VLOOKUP(
    A162,
    IMPORTRANGE(
      ""1ZHMy3vVUd_0MrSduXTe1etBb1HNpAlGwQr006ljwMiM"",
      ""GSC最新!A:R""
    ),
    11,
    FALSE
  ),
  0
)
"),0.0)</f>
        <v>0</v>
      </c>
      <c r="V162" s="60">
        <f>IFERROR(__xludf.DUMMYFUNCTION("IFERROR(
  VLOOKUP(
    A162,
    IMPORTRANGE(
      ""1ZHMy3vVUd_0MrSduXTe1etBb1HNpAlGwQr006ljwMiM"",
      ""GSC最新!A:R""
    ),
    14,
    FALSE
  ),
  0
)
"),0.0)</f>
        <v>0</v>
      </c>
      <c r="W162" s="60">
        <f>IFERROR(__xludf.DUMMYFUNCTION("IFERROR(
  VLOOKUP(
    A162,
    IMPORTRANGE(
      ""1ZHMy3vVUd_0MrSduXTe1etBb1HNpAlGwQr006ljwMiM"",
      ""GSC最新!A:R""
    ),
    17,
    FALSE
  ),
  0
)
"),0.0)</f>
        <v>0</v>
      </c>
      <c r="X162" s="60">
        <f t="shared" ref="X162:Y162" si="804">IFERROR(T162-V162,"-")</f>
        <v>0</v>
      </c>
      <c r="Y162" s="60">
        <f t="shared" si="804"/>
        <v>0</v>
      </c>
      <c r="Z162" s="52" t="str">
        <f>IFERROR(__xludf.DUMMYFUNCTION("IFERROR(
  VLOOKUP(
    A162,
    IMPORTRANGE(
      ""1ZHMy3vVUd_0MrSduXTe1etBb1HNpAlGwQr006ljwMiM"",
      ""GSC最新!A:R""
    ),
    9,
    FALSE
  ),
  0
)
"),"")</f>
        <v/>
      </c>
      <c r="AA162" s="52" t="str">
        <f>IFERROR(__xludf.DUMMYFUNCTION("IFERROR(
  VLOOKUP(
    A162,
    IMPORTRANGE(
      ""1ZHMy3vVUd_0MrSduXTe1etBb1HNpAlGwQr006ljwMiM"",
      ""GSC最新!A:R""
    ),
    12,
    FALSE
  ),
  0
)
"),"")</f>
        <v/>
      </c>
      <c r="AB162" s="52" t="str">
        <f>IFERROR(__xludf.DUMMYFUNCTION("IFERROR(
  VLOOKUP(
    A162,
    IMPORTRANGE(
      ""1ZHMy3vVUd_0MrSduXTe1etBb1HNpAlGwQr006ljwMiM"",
      ""GSC最新!A:R""
    ),
    15,
    FALSE
  ),
  0
)
"),"")</f>
        <v/>
      </c>
      <c r="AC162" s="52">
        <f>IFERROR(__xludf.DUMMYFUNCTION("IFERROR(
  VLOOKUP(
    A162,
    IMPORTRANGE(
      ""1ZHMy3vVUd_0MrSduXTe1etBb1HNpAlGwQr006ljwMiM"",
      ""GSC最新!A:R""
    ),
    18,
    FALSE
  ),
  0
)
"),34.0)</f>
        <v>34</v>
      </c>
      <c r="AD162" s="52">
        <f t="shared" ref="AD162:AE162" si="805">Z162-AB162</f>
        <v>0</v>
      </c>
      <c r="AE162" s="52">
        <f t="shared" si="805"/>
        <v>-34</v>
      </c>
      <c r="AF162" s="53">
        <f>IFERROR(__xludf.DUMMYFUNCTION("IFERROR(
  VLOOKUP(
    A162,
    IMPORTRANGE(
      ""1ZHMy3vVUd_0MrSduXTe1etBb1HNpAlGwQr006ljwMiM"",
      ""GSC最新!A:F""
    ),
    6,
    FALSE
  ),
  0
)
"),46081.0)</f>
        <v>46081</v>
      </c>
      <c r="AG162" s="54">
        <f>IFERROR(__xludf.DUMMYFUNCTION("IFERROR(
  VLOOKUP(
    A162,
    IMPORTRANGE(
      ""1SCYQd7_cobOYqT0r_F0IqD4tE4rYn5y8Eup4PJTH8es"",
      ""Snapshot!A:M""
    ),
    5,
    FALSE
  ),
  ""-""
)
"),0.0)</f>
        <v>0</v>
      </c>
      <c r="AH162" s="54">
        <f>IFERROR(__xludf.DUMMYFUNCTION("IFERROR(
  VLOOKUP(
    A162,
    IMPORTRANGE(
      ""1SCYQd7_cobOYqT0r_F0IqD4tE4rYn5y8Eup4PJTH8es"",
      ""Snapshot!A:M""
    ),
    6,
    FALSE
  ),
  0
)
"),0.0)</f>
        <v>0</v>
      </c>
      <c r="AI162" s="54">
        <f>IFERROR(__xludf.DUMMYFUNCTION("IFERROR(
  VLOOKUP(
    A162,
    IMPORTRANGE(
      ""1SCYQd7_cobOYqT0r_F0IqD4tE4rYn5y8Eup4PJTH8es"",
      ""Snapshot!A:M""
    ),
    7,
    FALSE
  ),
  0
)
"),354.0)</f>
        <v>354</v>
      </c>
      <c r="AJ162" s="54">
        <f>IFERROR(__xludf.DUMMYFUNCTION("IFERROR(
  VLOOKUP(
    A162,
    IMPORTRANGE(
      ""1SCYQd7_cobOYqT0r_F0IqD4tE4rYn5y8Eup4PJTH8es"",
      ""Snapshot!A:M""
    ),
    8,
    FALSE
  ),
  0
)
"),3.0)</f>
        <v>3</v>
      </c>
      <c r="AK162" s="54">
        <f>IFERROR(__xludf.DUMMYFUNCTION("IFERROR(
  VLOOKUP(
    A162,
    IMPORTRANGE(
      ""1SCYQd7_cobOYqT0r_F0IqD4tE4rYn5y8Eup4PJTH8es"",
      ""Snapshot!A:M""
    ),
    9,
    FALSE
  ),
  0
)
"),1.0)</f>
        <v>1</v>
      </c>
      <c r="AL162" s="54">
        <f>IFERROR(__xludf.DUMMYFUNCTION("IFERROR(
  VLOOKUP(
    A162,
    IMPORTRANGE(
      ""1SCYQd7_cobOYqT0r_F0IqD4tE4rYn5y8Eup4PJTH8es"",
      ""Snapshot!A:M""
    ),
    13,
    FALSE
  ),
  0
)
"),2.0)</f>
        <v>2</v>
      </c>
    </row>
    <row r="163">
      <c r="A163" s="3" t="s">
        <v>486</v>
      </c>
      <c r="B163" s="1" t="str">
        <f>IFERROR(__xludf.DUMMYFUNCTION("IFERROR(
  VLOOKUP(
    A163,
    IMPORTRANGE(
      ""1ZygntHC1J6IxzKbTidmOyf5nUyW4GCLurHCjexrLm_o"",
      ""HTMLキャッシュ!A:F""
    ),
    2,
    FALSE
  ),
  0
)
"),"NW")</f>
        <v>NW</v>
      </c>
      <c r="C163" s="1" t="str">
        <f>IFERROR(__xludf.DUMMYFUNCTION("IFERROR(
  VLOOKUP(
    A163,
    IMPORTRANGE(
      ""1ZygntHC1J6IxzKbTidmOyf5nUyW4GCLurHCjexrLm_o"",
      ""HTMLキャッシュ!A:F""
    ),
    5,
    FALSE
  ),
  0
)
"),"2018年度時間割更新のお知らせ(２月28日) - 中学受験専門 夏井算数塾")</f>
        <v>2018年度時間割更新のお知らせ(２月28日) - 中学受験専門 夏井算数塾</v>
      </c>
      <c r="D163" s="1" t="str">
        <f>IFERROR(__xludf.DUMMYFUNCTION("IFERROR(
  VLOOKUP(
    A163,
    IMPORTRANGE(
      ""1ZygntHC1J6IxzKbTidmOyf5nUyW4GCLurHCjexrLm_o        "",
      ""HTMLキャッシュ!A:F""
    ),
    6,
    FALSE
  ),
  0
)
"),"最新の時間割を公開致しました。2018年度については、残りのコマ数も少なくなって参りましたので、ご参加を希望さ")</f>
        <v>最新の時間割を公開致しました。2018年度については、残りのコマ数も少なくなって参りましたので、ご参加を希望さ</v>
      </c>
      <c r="E163" s="49">
        <f t="shared" ref="E163:F163" si="806">LEN(C163)</f>
        <v>38</v>
      </c>
      <c r="F163" s="49">
        <f t="shared" si="806"/>
        <v>55</v>
      </c>
      <c r="G163" s="32">
        <f>IFERROR(__xludf.DUMMYFUNCTION("IFERROR(
  VLOOKUP(
    A163,
    IMPORTRANGE(
      ""1ZygntHC1J6IxzKbTidmOyf5nUyW4GCLurHCjexrLm_o        "",
      ""HTMLキャッシュ!A:F""
    ),
    3,
    FALSE
  ),
  0
)
"),43159.69633101852)</f>
        <v>43159.69633</v>
      </c>
      <c r="H163" s="54">
        <f>IFERROR(__xludf.DUMMYFUNCTION("IFERROR(
  VLOOKUP(
    A163,
    IMPORTRANGE(
      ""1ZHMy3vVUd_0MrSduXTe1etBb1HNpAlGwQr006ljwMiM"",
      ""GSC最新!A:F""
    ),
    2,
    FALSE
  ),
  0
)
"),0.0)</f>
        <v>0</v>
      </c>
      <c r="I163" s="54">
        <f>IFERROR(__xludf.DUMMYFUNCTION("IFERROR(
  VLOOKUP(
    A163,
    IMPORTRANGE(
      ""1ZHMy3vVUd_0MrSduXTe1etBb1HNpAlGwQr006ljwMiM"",
      ""GSC最新!A:F""
    ),
    3,
    FALSE
  ),
  0
)
"),0.0)</f>
        <v>0</v>
      </c>
      <c r="J163" s="54">
        <f>IFERROR(__xludf.DUMMYFUNCTION("IFERROR(
  VLOOKUP(
    A163,
    IMPORTRANGE(
      ""1ZHMy3vVUd_0MrSduXTe1etBb1HNpAlGwQr006ljwMiM"",
      ""GSC最新!A:F""
    ),
    4,
    FALSE
  ),
  0
)
"),0.0)</f>
        <v>0</v>
      </c>
      <c r="K163" s="54">
        <f>IFERROR(__xludf.DUMMYFUNCTION("IFERROR(
  VLOOKUP(
    A163,
    IMPORTRANGE(
      ""1ZHMy3vVUd_0MrSduXTe1etBb1HNpAlGwQr006ljwMiM"",
      ""GSC最新!A:F""
    ),
    5,
    FALSE
  ),
  0
)
"),0.0)</f>
        <v>0</v>
      </c>
      <c r="L163" s="50" t="str">
        <f t="shared" ref="L163:M163" si="807">IFERROR(H163/J163,"-")</f>
        <v>-</v>
      </c>
      <c r="M163" s="50" t="str">
        <f t="shared" si="807"/>
        <v>-</v>
      </c>
      <c r="N163" s="59">
        <f>IFERROR(__xludf.DUMMYFUNCTION("IFERROR(
  VLOOKUP(
    A163,
    IMPORTRANGE(
      ""1ZHMy3vVUd_0MrSduXTe1etBb1HNpAlGwQr006ljwMiM"",
      ""GSC最新!A:R""
    ),
    7,
    FALSE
  ),
  0
)
"),0.0)</f>
        <v>0</v>
      </c>
      <c r="O163" s="59">
        <f>IFERROR(__xludf.DUMMYFUNCTION("IFERROR(
  VLOOKUP(
    A163,
    IMPORTRANGE(
      ""1ZHMy3vVUd_0MrSduXTe1etBb1HNpAlGwQr006ljwMiM"",
      ""GSC最新!A:R""
    ),
    10,
    FALSE
  ),
  0
)
"),0.0)</f>
        <v>0</v>
      </c>
      <c r="P163" s="59">
        <f>IFERROR(__xludf.DUMMYFUNCTION("IFERROR(
  VLOOKUP(
    A163,
    IMPORTRANGE(
      ""1ZHMy3vVUd_0MrSduXTe1etBb1HNpAlGwQr006ljwMiM"",
      ""GSC最新!A:R""
    ),
    13,
    FALSE
  ),
  0
)
"),0.0)</f>
        <v>0</v>
      </c>
      <c r="Q163" s="59">
        <f>IFERROR(__xludf.DUMMYFUNCTION("IFERROR(
  VLOOKUP(
    A163,
    IMPORTRANGE(
      ""1ZHMy3vVUd_0MrSduXTe1etBb1HNpAlGwQr006ljwMiM"",
      ""GSC最新!A:R""
    ),
    16,
    FALSE
  ),
  0
)
"),0.0)</f>
        <v>0</v>
      </c>
      <c r="R163" s="50" t="str">
        <f t="shared" ref="R163:S163" si="808">IFERROR(N163/P163,"-")</f>
        <v>-</v>
      </c>
      <c r="S163" s="50" t="str">
        <f t="shared" si="808"/>
        <v>-</v>
      </c>
      <c r="T163" s="60">
        <f>IFERROR(__xludf.DUMMYFUNCTION("IFERROR(
  VLOOKUP(
    A163,
    IMPORTRANGE(
      ""1ZHMy3vVUd_0MrSduXTe1etBb1HNpAlGwQr006ljwMiM"",
      ""GSC最新!A:R""
    ),
    8,
    FALSE
  ),
  0
)
"),0.0)</f>
        <v>0</v>
      </c>
      <c r="U163" s="60">
        <f>IFERROR(__xludf.DUMMYFUNCTION("IFERROR(
  VLOOKUP(
    A163,
    IMPORTRANGE(
      ""1ZHMy3vVUd_0MrSduXTe1etBb1HNpAlGwQr006ljwMiM"",
      ""GSC最新!A:R""
    ),
    11,
    FALSE
  ),
  0
)
"),0.0)</f>
        <v>0</v>
      </c>
      <c r="V163" s="60">
        <f>IFERROR(__xludf.DUMMYFUNCTION("IFERROR(
  VLOOKUP(
    A163,
    IMPORTRANGE(
      ""1ZHMy3vVUd_0MrSduXTe1etBb1HNpAlGwQr006ljwMiM"",
      ""GSC最新!A:R""
    ),
    14,
    FALSE
  ),
  0
)
"),0.0)</f>
        <v>0</v>
      </c>
      <c r="W163" s="60">
        <f>IFERROR(__xludf.DUMMYFUNCTION("IFERROR(
  VLOOKUP(
    A163,
    IMPORTRANGE(
      ""1ZHMy3vVUd_0MrSduXTe1etBb1HNpAlGwQr006ljwMiM"",
      ""GSC最新!A:R""
    ),
    17,
    FALSE
  ),
  0
)
"),0.0)</f>
        <v>0</v>
      </c>
      <c r="X163" s="60">
        <f t="shared" ref="X163:Y163" si="809">IFERROR(T163-V163,"-")</f>
        <v>0</v>
      </c>
      <c r="Y163" s="60">
        <f t="shared" si="809"/>
        <v>0</v>
      </c>
      <c r="Z163" s="52" t="str">
        <f>IFERROR(__xludf.DUMMYFUNCTION("IFERROR(
  VLOOKUP(
    A163,
    IMPORTRANGE(
      ""1ZHMy3vVUd_0MrSduXTe1etBb1HNpAlGwQr006ljwMiM"",
      ""GSC最新!A:R""
    ),
    9,
    FALSE
  ),
  0
)
"),"")</f>
        <v/>
      </c>
      <c r="AA163" s="52" t="str">
        <f>IFERROR(__xludf.DUMMYFUNCTION("IFERROR(
  VLOOKUP(
    A163,
    IMPORTRANGE(
      ""1ZHMy3vVUd_0MrSduXTe1etBb1HNpAlGwQr006ljwMiM"",
      ""GSC最新!A:R""
    ),
    12,
    FALSE
  ),
  0
)
"),"")</f>
        <v/>
      </c>
      <c r="AB163" s="52" t="str">
        <f>IFERROR(__xludf.DUMMYFUNCTION("IFERROR(
  VLOOKUP(
    A163,
    IMPORTRANGE(
      ""1ZHMy3vVUd_0MrSduXTe1etBb1HNpAlGwQr006ljwMiM"",
      ""GSC最新!A:R""
    ),
    15,
    FALSE
  ),
  0
)
"),"")</f>
        <v/>
      </c>
      <c r="AC163" s="52" t="str">
        <f>IFERROR(__xludf.DUMMYFUNCTION("IFERROR(
  VLOOKUP(
    A163,
    IMPORTRANGE(
      ""1ZHMy3vVUd_0MrSduXTe1etBb1HNpAlGwQr006ljwMiM"",
      ""GSC最新!A:R""
    ),
    18,
    FALSE
  ),
  0
)
"),"")</f>
        <v/>
      </c>
      <c r="AD163" s="52">
        <f t="shared" ref="AD163:AE163" si="810">Z163-AB163</f>
        <v>0</v>
      </c>
      <c r="AE163" s="52">
        <f t="shared" si="810"/>
        <v>0</v>
      </c>
      <c r="AF163" s="53">
        <f>IFERROR(__xludf.DUMMYFUNCTION("IFERROR(
  VLOOKUP(
    A163,
    IMPORTRANGE(
      ""1ZHMy3vVUd_0MrSduXTe1etBb1HNpAlGwQr006ljwMiM"",
      ""GSC最新!A:F""
    ),
    6,
    FALSE
  ),
  0
)
"),46081.0)</f>
        <v>46081</v>
      </c>
      <c r="AG163" s="54">
        <f>IFERROR(__xludf.DUMMYFUNCTION("IFERROR(
  VLOOKUP(
    A163,
    IMPORTRANGE(
      ""1SCYQd7_cobOYqT0r_F0IqD4tE4rYn5y8Eup4PJTH8es"",
      ""Snapshot!A:M""
    ),
    5,
    FALSE
  ),
  ""-""
)
"),0.0)</f>
        <v>0</v>
      </c>
      <c r="AH163" s="54">
        <f>IFERROR(__xludf.DUMMYFUNCTION("IFERROR(
  VLOOKUP(
    A163,
    IMPORTRANGE(
      ""1SCYQd7_cobOYqT0r_F0IqD4tE4rYn5y8Eup4PJTH8es"",
      ""Snapshot!A:M""
    ),
    6,
    FALSE
  ),
  0
)
"),0.0)</f>
        <v>0</v>
      </c>
      <c r="AI163" s="54">
        <f>IFERROR(__xludf.DUMMYFUNCTION("IFERROR(
  VLOOKUP(
    A163,
    IMPORTRANGE(
      ""1SCYQd7_cobOYqT0r_F0IqD4tE4rYn5y8Eup4PJTH8es"",
      ""Snapshot!A:M""
    ),
    7,
    FALSE
  ),
  0
)
"),195.0)</f>
        <v>195</v>
      </c>
      <c r="AJ163" s="54">
        <f>IFERROR(__xludf.DUMMYFUNCTION("IFERROR(
  VLOOKUP(
    A163,
    IMPORTRANGE(
      ""1SCYQd7_cobOYqT0r_F0IqD4tE4rYn5y8Eup4PJTH8es"",
      ""Snapshot!A:M""
    ),
    8,
    FALSE
  ),
  0
)
"),2.0)</f>
        <v>2</v>
      </c>
      <c r="AK163" s="54">
        <f>IFERROR(__xludf.DUMMYFUNCTION("IFERROR(
  VLOOKUP(
    A163,
    IMPORTRANGE(
      ""1SCYQd7_cobOYqT0r_F0IqD4tE4rYn5y8Eup4PJTH8es"",
      ""Snapshot!A:M""
    ),
    9,
    FALSE
  ),
  0
)
"),1.0)</f>
        <v>1</v>
      </c>
      <c r="AL163" s="54">
        <f>IFERROR(__xludf.DUMMYFUNCTION("IFERROR(
  VLOOKUP(
    A163,
    IMPORTRANGE(
      ""1SCYQd7_cobOYqT0r_F0IqD4tE4rYn5y8Eup4PJTH8es"",
      ""Snapshot!A:M""
    ),
    13,
    FALSE
  ),
  0
)
"),2.0)</f>
        <v>2</v>
      </c>
    </row>
    <row r="164">
      <c r="A164" s="3" t="s">
        <v>487</v>
      </c>
      <c r="B164" s="1" t="str">
        <f>IFERROR(__xludf.DUMMYFUNCTION("IFERROR(
  VLOOKUP(
    A164,
    IMPORTRANGE(
      ""1ZygntHC1J6IxzKbTidmOyf5nUyW4GCLurHCjexrLm_o"",
      ""HTMLキャッシュ!A:F""
    ),
    2,
    FALSE
  ),
  0
)
"),"NW")</f>
        <v>NW</v>
      </c>
      <c r="C164" s="1" t="str">
        <f>IFERROR(__xludf.DUMMYFUNCTION("IFERROR(
  VLOOKUP(
    A164,
    IMPORTRANGE(
      ""1ZygntHC1J6IxzKbTidmOyf5nUyW4GCLurHCjexrLm_o"",
      ""HTMLキャッシュ!A:F""
    ),
    5,
    FALSE
  ),
  0
)
"),"2018年度春期講習会開催のご案内 - 中学受験専門 夏井算数塾")</f>
        <v>2018年度春期講習会開催のご案内 - 中学受験専門 夏井算数塾</v>
      </c>
      <c r="D164" s="1" t="str">
        <f>IFERROR(__xludf.DUMMYFUNCTION("IFERROR(
  VLOOKUP(
    A164,
    IMPORTRANGE(
      ""1ZygntHC1J6IxzKbTidmOyf5nUyW4GCLurHCjexrLm_o        "",
      ""HTMLキャッシュ!A:F""
    ),
    6,
    FALSE
  ),
  0
)
"),"春休みは、短いながらも日頃の積み残しを消化するのには最適のタイミングです。 夏井算数塾では、この春休みを有意義")</f>
        <v>春休みは、短いながらも日頃の積み残しを消化するのには最適のタイミングです。 夏井算数塾では、この春休みを有意義</v>
      </c>
      <c r="E164" s="49">
        <f t="shared" ref="E164:F164" si="811">LEN(C164)</f>
        <v>32</v>
      </c>
      <c r="F164" s="49">
        <f t="shared" si="811"/>
        <v>55</v>
      </c>
      <c r="G164" s="32">
        <f>IFERROR(__xludf.DUMMYFUNCTION("IFERROR(
  VLOOKUP(
    A164,
    IMPORTRANGE(
      ""1ZygntHC1J6IxzKbTidmOyf5nUyW4GCLurHCjexrLm_o        "",
      ""HTMLキャッシュ!A:F""
    ),
    3,
    FALSE
  ),
  0
)
"),43168.953726851854)</f>
        <v>43168.95373</v>
      </c>
      <c r="H164" s="54">
        <f>IFERROR(__xludf.DUMMYFUNCTION("IFERROR(
  VLOOKUP(
    A164,
    IMPORTRANGE(
      ""1ZHMy3vVUd_0MrSduXTe1etBb1HNpAlGwQr006ljwMiM"",
      ""GSC最新!A:F""
    ),
    2,
    FALSE
  ),
  0
)
"),0.0)</f>
        <v>0</v>
      </c>
      <c r="I164" s="54">
        <f>IFERROR(__xludf.DUMMYFUNCTION("IFERROR(
  VLOOKUP(
    A164,
    IMPORTRANGE(
      ""1ZHMy3vVUd_0MrSduXTe1etBb1HNpAlGwQr006ljwMiM"",
      ""GSC最新!A:F""
    ),
    3,
    FALSE
  ),
  0
)
"),0.0)</f>
        <v>0</v>
      </c>
      <c r="J164" s="54">
        <f>IFERROR(__xludf.DUMMYFUNCTION("IFERROR(
  VLOOKUP(
    A164,
    IMPORTRANGE(
      ""1ZHMy3vVUd_0MrSduXTe1etBb1HNpAlGwQr006ljwMiM"",
      ""GSC最新!A:F""
    ),
    4,
    FALSE
  ),
  0
)
"),0.0)</f>
        <v>0</v>
      </c>
      <c r="K164" s="54">
        <f>IFERROR(__xludf.DUMMYFUNCTION("IFERROR(
  VLOOKUP(
    A164,
    IMPORTRANGE(
      ""1ZHMy3vVUd_0MrSduXTe1etBb1HNpAlGwQr006ljwMiM"",
      ""GSC最新!A:F""
    ),
    5,
    FALSE
  ),
  0
)
"),0.0)</f>
        <v>0</v>
      </c>
      <c r="L164" s="50" t="str">
        <f t="shared" ref="L164:M164" si="812">IFERROR(H164/J164,"-")</f>
        <v>-</v>
      </c>
      <c r="M164" s="50" t="str">
        <f t="shared" si="812"/>
        <v>-</v>
      </c>
      <c r="N164" s="59">
        <f>IFERROR(__xludf.DUMMYFUNCTION("IFERROR(
  VLOOKUP(
    A164,
    IMPORTRANGE(
      ""1ZHMy3vVUd_0MrSduXTe1etBb1HNpAlGwQr006ljwMiM"",
      ""GSC最新!A:R""
    ),
    7,
    FALSE
  ),
  0
)
"),0.0)</f>
        <v>0</v>
      </c>
      <c r="O164" s="59">
        <f>IFERROR(__xludf.DUMMYFUNCTION("IFERROR(
  VLOOKUP(
    A164,
    IMPORTRANGE(
      ""1ZHMy3vVUd_0MrSduXTe1etBb1HNpAlGwQr006ljwMiM"",
      ""GSC最新!A:R""
    ),
    10,
    FALSE
  ),
  0
)
"),0.0)</f>
        <v>0</v>
      </c>
      <c r="P164" s="59">
        <f>IFERROR(__xludf.DUMMYFUNCTION("IFERROR(
  VLOOKUP(
    A164,
    IMPORTRANGE(
      ""1ZHMy3vVUd_0MrSduXTe1etBb1HNpAlGwQr006ljwMiM"",
      ""GSC最新!A:R""
    ),
    13,
    FALSE
  ),
  0
)
"),0.0)</f>
        <v>0</v>
      </c>
      <c r="Q164" s="59">
        <f>IFERROR(__xludf.DUMMYFUNCTION("IFERROR(
  VLOOKUP(
    A164,
    IMPORTRANGE(
      ""1ZHMy3vVUd_0MrSduXTe1etBb1HNpAlGwQr006ljwMiM"",
      ""GSC最新!A:R""
    ),
    16,
    FALSE
  ),
  0
)
"),0.0)</f>
        <v>0</v>
      </c>
      <c r="R164" s="50" t="str">
        <f t="shared" ref="R164:S164" si="813">IFERROR(N164/P164,"-")</f>
        <v>-</v>
      </c>
      <c r="S164" s="50" t="str">
        <f t="shared" si="813"/>
        <v>-</v>
      </c>
      <c r="T164" s="60">
        <f>IFERROR(__xludf.DUMMYFUNCTION("IFERROR(
  VLOOKUP(
    A164,
    IMPORTRANGE(
      ""1ZHMy3vVUd_0MrSduXTe1etBb1HNpAlGwQr006ljwMiM"",
      ""GSC最新!A:R""
    ),
    8,
    FALSE
  ),
  0
)
"),0.0)</f>
        <v>0</v>
      </c>
      <c r="U164" s="60">
        <f>IFERROR(__xludf.DUMMYFUNCTION("IFERROR(
  VLOOKUP(
    A164,
    IMPORTRANGE(
      ""1ZHMy3vVUd_0MrSduXTe1etBb1HNpAlGwQr006ljwMiM"",
      ""GSC最新!A:R""
    ),
    11,
    FALSE
  ),
  0
)
"),0.0)</f>
        <v>0</v>
      </c>
      <c r="V164" s="60">
        <f>IFERROR(__xludf.DUMMYFUNCTION("IFERROR(
  VLOOKUP(
    A164,
    IMPORTRANGE(
      ""1ZHMy3vVUd_0MrSduXTe1etBb1HNpAlGwQr006ljwMiM"",
      ""GSC最新!A:R""
    ),
    14,
    FALSE
  ),
  0
)
"),0.0)</f>
        <v>0</v>
      </c>
      <c r="W164" s="60">
        <f>IFERROR(__xludf.DUMMYFUNCTION("IFERROR(
  VLOOKUP(
    A164,
    IMPORTRANGE(
      ""1ZHMy3vVUd_0MrSduXTe1etBb1HNpAlGwQr006ljwMiM"",
      ""GSC最新!A:R""
    ),
    17,
    FALSE
  ),
  0
)
"),0.0)</f>
        <v>0</v>
      </c>
      <c r="X164" s="60">
        <f t="shared" ref="X164:Y164" si="814">IFERROR(T164-V164,"-")</f>
        <v>0</v>
      </c>
      <c r="Y164" s="60">
        <f t="shared" si="814"/>
        <v>0</v>
      </c>
      <c r="Z164" s="52" t="str">
        <f>IFERROR(__xludf.DUMMYFUNCTION("IFERROR(
  VLOOKUP(
    A164,
    IMPORTRANGE(
      ""1ZHMy3vVUd_0MrSduXTe1etBb1HNpAlGwQr006ljwMiM"",
      ""GSC最新!A:R""
    ),
    9,
    FALSE
  ),
  0
)
"),"")</f>
        <v/>
      </c>
      <c r="AA164" s="52" t="str">
        <f>IFERROR(__xludf.DUMMYFUNCTION("IFERROR(
  VLOOKUP(
    A164,
    IMPORTRANGE(
      ""1ZHMy3vVUd_0MrSduXTe1etBb1HNpAlGwQr006ljwMiM"",
      ""GSC最新!A:R""
    ),
    12,
    FALSE
  ),
  0
)
"),"")</f>
        <v/>
      </c>
      <c r="AB164" s="52" t="str">
        <f>IFERROR(__xludf.DUMMYFUNCTION("IFERROR(
  VLOOKUP(
    A164,
    IMPORTRANGE(
      ""1ZHMy3vVUd_0MrSduXTe1etBb1HNpAlGwQr006ljwMiM"",
      ""GSC最新!A:R""
    ),
    15,
    FALSE
  ),
  0
)
"),"")</f>
        <v/>
      </c>
      <c r="AC164" s="52" t="str">
        <f>IFERROR(__xludf.DUMMYFUNCTION("IFERROR(
  VLOOKUP(
    A164,
    IMPORTRANGE(
      ""1ZHMy3vVUd_0MrSduXTe1etBb1HNpAlGwQr006ljwMiM"",
      ""GSC最新!A:R""
    ),
    18,
    FALSE
  ),
  0
)
"),"")</f>
        <v/>
      </c>
      <c r="AD164" s="52">
        <f t="shared" ref="AD164:AE164" si="815">Z164-AB164</f>
        <v>0</v>
      </c>
      <c r="AE164" s="52">
        <f t="shared" si="815"/>
        <v>0</v>
      </c>
      <c r="AF164" s="53">
        <f>IFERROR(__xludf.DUMMYFUNCTION("IFERROR(
  VLOOKUP(
    A164,
    IMPORTRANGE(
      ""1ZHMy3vVUd_0MrSduXTe1etBb1HNpAlGwQr006ljwMiM"",
      ""GSC最新!A:F""
    ),
    6,
    FALSE
  ),
  0
)
"),46081.0)</f>
        <v>46081</v>
      </c>
      <c r="AG164" s="54">
        <f>IFERROR(__xludf.DUMMYFUNCTION("IFERROR(
  VLOOKUP(
    A164,
    IMPORTRANGE(
      ""1SCYQd7_cobOYqT0r_F0IqD4tE4rYn5y8Eup4PJTH8es"",
      ""Snapshot!A:M""
    ),
    5,
    FALSE
  ),
  ""-""
)
"),0.0)</f>
        <v>0</v>
      </c>
      <c r="AH164" s="54">
        <f>IFERROR(__xludf.DUMMYFUNCTION("IFERROR(
  VLOOKUP(
    A164,
    IMPORTRANGE(
      ""1SCYQd7_cobOYqT0r_F0IqD4tE4rYn5y8Eup4PJTH8es"",
      ""Snapshot!A:M""
    ),
    6,
    FALSE
  ),
  0
)
"),0.0)</f>
        <v>0</v>
      </c>
      <c r="AI164" s="54">
        <f>IFERROR(__xludf.DUMMYFUNCTION("IFERROR(
  VLOOKUP(
    A164,
    IMPORTRANGE(
      ""1SCYQd7_cobOYqT0r_F0IqD4tE4rYn5y8Eup4PJTH8es"",
      ""Snapshot!A:M""
    ),
    7,
    FALSE
  ),
  0
)
"),722.0)</f>
        <v>722</v>
      </c>
      <c r="AJ164" s="54">
        <f>IFERROR(__xludf.DUMMYFUNCTION("IFERROR(
  VLOOKUP(
    A164,
    IMPORTRANGE(
      ""1SCYQd7_cobOYqT0r_F0IqD4tE4rYn5y8Eup4PJTH8es"",
      ""Snapshot!A:M""
    ),
    8,
    FALSE
  ),
  0
)
"),2.0)</f>
        <v>2</v>
      </c>
      <c r="AK164" s="54">
        <f>IFERROR(__xludf.DUMMYFUNCTION("IFERROR(
  VLOOKUP(
    A164,
    IMPORTRANGE(
      ""1SCYQd7_cobOYqT0r_F0IqD4tE4rYn5y8Eup4PJTH8es"",
      ""Snapshot!A:M""
    ),
    9,
    FALSE
  ),
  0
)
"),1.0)</f>
        <v>1</v>
      </c>
      <c r="AL164" s="54">
        <f>IFERROR(__xludf.DUMMYFUNCTION("IFERROR(
  VLOOKUP(
    A164,
    IMPORTRANGE(
      ""1SCYQd7_cobOYqT0r_F0IqD4tE4rYn5y8Eup4PJTH8es"",
      ""Snapshot!A:M""
    ),
    13,
    FALSE
  ),
  0
)
"),2.0)</f>
        <v>2</v>
      </c>
    </row>
    <row r="165">
      <c r="A165" s="3" t="s">
        <v>488</v>
      </c>
      <c r="B165" s="1" t="str">
        <f>IFERROR(__xludf.DUMMYFUNCTION("IFERROR(
  VLOOKUP(
    A165,
    IMPORTRANGE(
      ""1ZygntHC1J6IxzKbTidmOyf5nUyW4GCLurHCjexrLm_o"",
      ""HTMLキャッシュ!A:F""
    ),
    2,
    FALSE
  ),
  0
)
"),"NW")</f>
        <v>NW</v>
      </c>
      <c r="C165" s="1" t="str">
        <f>IFERROR(__xludf.DUMMYFUNCTION("IFERROR(
  VLOOKUP(
    A165,
    IMPORTRANGE(
      ""1ZygntHC1J6IxzKbTidmOyf5nUyW4GCLurHCjexrLm_o"",
      ""HTMLキャッシュ!A:F""
    ),
    5,
    FALSE
  ),
  0
)
"),"2018年度夏期講習会開催のお知らせ【個別指導】 - 中学受験専門 夏井算数塾")</f>
        <v>2018年度夏期講習会開催のお知らせ【個別指導】 - 中学受験専門 夏井算数塾</v>
      </c>
      <c r="D165" s="1" t="str">
        <f>IFERROR(__xludf.DUMMYFUNCTION("IFERROR(
  VLOOKUP(
    A165,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65" s="49">
        <f t="shared" ref="E165:F165" si="816">LEN(C165)</f>
        <v>39</v>
      </c>
      <c r="F165" s="49">
        <f t="shared" si="816"/>
        <v>55</v>
      </c>
      <c r="G165" s="32">
        <f>IFERROR(__xludf.DUMMYFUNCTION("IFERROR(
  VLOOKUP(
    A165,
    IMPORTRANGE(
      ""1ZygntHC1J6IxzKbTidmOyf5nUyW4GCLurHCjexrLm_o        "",
      ""HTMLキャッシュ!A:F""
    ),
    3,
    FALSE
  ),
  0
)
"),46015.67521990741)</f>
        <v>46015.67522</v>
      </c>
      <c r="H165" s="54">
        <f>IFERROR(__xludf.DUMMYFUNCTION("IFERROR(
  VLOOKUP(
    A165,
    IMPORTRANGE(
      ""1ZHMy3vVUd_0MrSduXTe1etBb1HNpAlGwQr006ljwMiM"",
      ""GSC最新!A:F""
    ),
    2,
    FALSE
  ),
  0
)
"),0.0)</f>
        <v>0</v>
      </c>
      <c r="I165" s="54">
        <f>IFERROR(__xludf.DUMMYFUNCTION("IFERROR(
  VLOOKUP(
    A165,
    IMPORTRANGE(
      ""1ZHMy3vVUd_0MrSduXTe1etBb1HNpAlGwQr006ljwMiM"",
      ""GSC最新!A:F""
    ),
    3,
    FALSE
  ),
  0
)
"),0.0)</f>
        <v>0</v>
      </c>
      <c r="J165" s="54">
        <f>IFERROR(__xludf.DUMMYFUNCTION("IFERROR(
  VLOOKUP(
    A165,
    IMPORTRANGE(
      ""1ZHMy3vVUd_0MrSduXTe1etBb1HNpAlGwQr006ljwMiM"",
      ""GSC最新!A:F""
    ),
    4,
    FALSE
  ),
  0
)
"),0.0)</f>
        <v>0</v>
      </c>
      <c r="K165" s="54">
        <f>IFERROR(__xludf.DUMMYFUNCTION("IFERROR(
  VLOOKUP(
    A165,
    IMPORTRANGE(
      ""1ZHMy3vVUd_0MrSduXTe1etBb1HNpAlGwQr006ljwMiM"",
      ""GSC最新!A:F""
    ),
    5,
    FALSE
  ),
  0
)
"),0.0)</f>
        <v>0</v>
      </c>
      <c r="L165" s="50" t="str">
        <f t="shared" ref="L165:M165" si="817">IFERROR(H165/J165,"-")</f>
        <v>-</v>
      </c>
      <c r="M165" s="50" t="str">
        <f t="shared" si="817"/>
        <v>-</v>
      </c>
      <c r="N165" s="59">
        <f>IFERROR(__xludf.DUMMYFUNCTION("IFERROR(
  VLOOKUP(
    A165,
    IMPORTRANGE(
      ""1ZHMy3vVUd_0MrSduXTe1etBb1HNpAlGwQr006ljwMiM"",
      ""GSC最新!A:R""
    ),
    7,
    FALSE
  ),
  0
)
"),0.0)</f>
        <v>0</v>
      </c>
      <c r="O165" s="59">
        <f>IFERROR(__xludf.DUMMYFUNCTION("IFERROR(
  VLOOKUP(
    A165,
    IMPORTRANGE(
      ""1ZHMy3vVUd_0MrSduXTe1etBb1HNpAlGwQr006ljwMiM"",
      ""GSC最新!A:R""
    ),
    10,
    FALSE
  ),
  0
)
"),0.0)</f>
        <v>0</v>
      </c>
      <c r="P165" s="59">
        <f>IFERROR(__xludf.DUMMYFUNCTION("IFERROR(
  VLOOKUP(
    A165,
    IMPORTRANGE(
      ""1ZHMy3vVUd_0MrSduXTe1etBb1HNpAlGwQr006ljwMiM"",
      ""GSC最新!A:R""
    ),
    13,
    FALSE
  ),
  0
)
"),0.0)</f>
        <v>0</v>
      </c>
      <c r="Q165" s="59">
        <f>IFERROR(__xludf.DUMMYFUNCTION("IFERROR(
  VLOOKUP(
    A165,
    IMPORTRANGE(
      ""1ZHMy3vVUd_0MrSduXTe1etBb1HNpAlGwQr006ljwMiM"",
      ""GSC最新!A:R""
    ),
    16,
    FALSE
  ),
  0
)
"),0.0)</f>
        <v>0</v>
      </c>
      <c r="R165" s="50" t="str">
        <f t="shared" ref="R165:S165" si="818">IFERROR(N165/P165,"-")</f>
        <v>-</v>
      </c>
      <c r="S165" s="50" t="str">
        <f t="shared" si="818"/>
        <v>-</v>
      </c>
      <c r="T165" s="60">
        <f>IFERROR(__xludf.DUMMYFUNCTION("IFERROR(
  VLOOKUP(
    A165,
    IMPORTRANGE(
      ""1ZHMy3vVUd_0MrSduXTe1etBb1HNpAlGwQr006ljwMiM"",
      ""GSC最新!A:R""
    ),
    8,
    FALSE
  ),
  0
)
"),0.0)</f>
        <v>0</v>
      </c>
      <c r="U165" s="60">
        <f>IFERROR(__xludf.DUMMYFUNCTION("IFERROR(
  VLOOKUP(
    A165,
    IMPORTRANGE(
      ""1ZHMy3vVUd_0MrSduXTe1etBb1HNpAlGwQr006ljwMiM"",
      ""GSC最新!A:R""
    ),
    11,
    FALSE
  ),
  0
)
"),0.0)</f>
        <v>0</v>
      </c>
      <c r="V165" s="60">
        <f>IFERROR(__xludf.DUMMYFUNCTION("IFERROR(
  VLOOKUP(
    A165,
    IMPORTRANGE(
      ""1ZHMy3vVUd_0MrSduXTe1etBb1HNpAlGwQr006ljwMiM"",
      ""GSC最新!A:R""
    ),
    14,
    FALSE
  ),
  0
)
"),0.0)</f>
        <v>0</v>
      </c>
      <c r="W165" s="60">
        <f>IFERROR(__xludf.DUMMYFUNCTION("IFERROR(
  VLOOKUP(
    A165,
    IMPORTRANGE(
      ""1ZHMy3vVUd_0MrSduXTe1etBb1HNpAlGwQr006ljwMiM"",
      ""GSC最新!A:R""
    ),
    17,
    FALSE
  ),
  0
)
"),0.0)</f>
        <v>0</v>
      </c>
      <c r="X165" s="60">
        <f t="shared" ref="X165:Y165" si="819">IFERROR(T165-V165,"-")</f>
        <v>0</v>
      </c>
      <c r="Y165" s="60">
        <f t="shared" si="819"/>
        <v>0</v>
      </c>
      <c r="Z165" s="52" t="str">
        <f>IFERROR(__xludf.DUMMYFUNCTION("IFERROR(
  VLOOKUP(
    A165,
    IMPORTRANGE(
      ""1ZHMy3vVUd_0MrSduXTe1etBb1HNpAlGwQr006ljwMiM"",
      ""GSC最新!A:R""
    ),
    9,
    FALSE
  ),
  0
)
"),"")</f>
        <v/>
      </c>
      <c r="AA165" s="52" t="str">
        <f>IFERROR(__xludf.DUMMYFUNCTION("IFERROR(
  VLOOKUP(
    A165,
    IMPORTRANGE(
      ""1ZHMy3vVUd_0MrSduXTe1etBb1HNpAlGwQr006ljwMiM"",
      ""GSC最新!A:R""
    ),
    12,
    FALSE
  ),
  0
)
"),"")</f>
        <v/>
      </c>
      <c r="AB165" s="52" t="str">
        <f>IFERROR(__xludf.DUMMYFUNCTION("IFERROR(
  VLOOKUP(
    A165,
    IMPORTRANGE(
      ""1ZHMy3vVUd_0MrSduXTe1etBb1HNpAlGwQr006ljwMiM"",
      ""GSC最新!A:R""
    ),
    15,
    FALSE
  ),
  0
)
"),"")</f>
        <v/>
      </c>
      <c r="AC165" s="52" t="str">
        <f>IFERROR(__xludf.DUMMYFUNCTION("IFERROR(
  VLOOKUP(
    A165,
    IMPORTRANGE(
      ""1ZHMy3vVUd_0MrSduXTe1etBb1HNpAlGwQr006ljwMiM"",
      ""GSC最新!A:R""
    ),
    18,
    FALSE
  ),
  0
)
"),"")</f>
        <v/>
      </c>
      <c r="AD165" s="52">
        <f t="shared" ref="AD165:AE165" si="820">Z165-AB165</f>
        <v>0</v>
      </c>
      <c r="AE165" s="52">
        <f t="shared" si="820"/>
        <v>0</v>
      </c>
      <c r="AF165" s="53">
        <f>IFERROR(__xludf.DUMMYFUNCTION("IFERROR(
  VLOOKUP(
    A165,
    IMPORTRANGE(
      ""1ZHMy3vVUd_0MrSduXTe1etBb1HNpAlGwQr006ljwMiM"",
      ""GSC最新!A:F""
    ),
    6,
    FALSE
  ),
  0
)
"),46081.0)</f>
        <v>46081</v>
      </c>
      <c r="AG165" s="54">
        <f>IFERROR(__xludf.DUMMYFUNCTION("IFERROR(
  VLOOKUP(
    A165,
    IMPORTRANGE(
      ""1SCYQd7_cobOYqT0r_F0IqD4tE4rYn5y8Eup4PJTH8es"",
      ""Snapshot!A:M""
    ),
    5,
    FALSE
  ),
  ""-""
)
"),0.0)</f>
        <v>0</v>
      </c>
      <c r="AH165" s="54">
        <f>IFERROR(__xludf.DUMMYFUNCTION("IFERROR(
  VLOOKUP(
    A165,
    IMPORTRANGE(
      ""1SCYQd7_cobOYqT0r_F0IqD4tE4rYn5y8Eup4PJTH8es"",
      ""Snapshot!A:M""
    ),
    6,
    FALSE
  ),
  0
)
"),0.0)</f>
        <v>0</v>
      </c>
      <c r="AI165" s="54">
        <f>IFERROR(__xludf.DUMMYFUNCTION("IFERROR(
  VLOOKUP(
    A165,
    IMPORTRANGE(
      ""1SCYQd7_cobOYqT0r_F0IqD4tE4rYn5y8Eup4PJTH8es"",
      ""Snapshot!A:M""
    ),
    7,
    FALSE
  ),
  0
)
"),985.0)</f>
        <v>985</v>
      </c>
      <c r="AJ165" s="54">
        <f>IFERROR(__xludf.DUMMYFUNCTION("IFERROR(
  VLOOKUP(
    A165,
    IMPORTRANGE(
      ""1SCYQd7_cobOYqT0r_F0IqD4tE4rYn5y8Eup4PJTH8es"",
      ""Snapshot!A:M""
    ),
    8,
    FALSE
  ),
  0
)
"),3.0)</f>
        <v>3</v>
      </c>
      <c r="AK165" s="54">
        <f>IFERROR(__xludf.DUMMYFUNCTION("IFERROR(
  VLOOKUP(
    A165,
    IMPORTRANGE(
      ""1SCYQd7_cobOYqT0r_F0IqD4tE4rYn5y8Eup4PJTH8es"",
      ""Snapshot!A:M""
    ),
    9,
    FALSE
  ),
  0
)
"),1.0)</f>
        <v>1</v>
      </c>
      <c r="AL165" s="54">
        <f>IFERROR(__xludf.DUMMYFUNCTION("IFERROR(
  VLOOKUP(
    A165,
    IMPORTRANGE(
      ""1SCYQd7_cobOYqT0r_F0IqD4tE4rYn5y8Eup4PJTH8es"",
      ""Snapshot!A:M""
    ),
    13,
    FALSE
  ),
  0
)
"),2.0)</f>
        <v>2</v>
      </c>
    </row>
    <row r="166">
      <c r="A166" s="3" t="s">
        <v>489</v>
      </c>
      <c r="B166" s="1" t="str">
        <f>IFERROR(__xludf.DUMMYFUNCTION("IFERROR(
  VLOOKUP(
    A166,
    IMPORTRANGE(
      ""1ZygntHC1J6IxzKbTidmOyf5nUyW4GCLurHCjexrLm_o"",
      ""HTMLキャッシュ!A:F""
    ),
    2,
    FALSE
  ),
  0
)
"),"NW")</f>
        <v>NW</v>
      </c>
      <c r="C166" s="1" t="str">
        <f>IFERROR(__xludf.DUMMYFUNCTION("IFERROR(
  VLOOKUP(
    A166,
    IMPORTRANGE(
      ""1ZygntHC1J6IxzKbTidmOyf5nUyW4GCLurHCjexrLm_o"",
      ""HTMLキャッシュ!A:F""
    ),
    5,
    FALSE
  ),
  0
)
"),"2020年度生徒募集のお知らせ【個別】 - 中学受験専門 夏井算数塾")</f>
        <v>2020年度生徒募集のお知らせ【個別】 - 中学受験専門 夏井算数塾</v>
      </c>
      <c r="D166" s="1" t="str">
        <f>IFERROR(__xludf.DUMMYFUNCTION("IFERROR(
  VLOOKUP(
    A166,
    IMPORTRANGE(
      ""1ZygntHC1J6IxzKbTidmOyf5nUyW4GCLurHCjexrLm_o        "",
      ""HTMLキャッシュ!A:F""
    ),
    6,
    FALSE
  ),
  0
)
"),"本日より、2020年度の生徒募集を開始致します。 ２月開講講座、個別指導の詳細については、下記をご覧下さいませ")</f>
        <v>本日より、2020年度の生徒募集を開始致します。 ２月開講講座、個別指導の詳細については、下記をご覧下さいませ</v>
      </c>
      <c r="E166" s="49">
        <f t="shared" ref="E166:F166" si="821">LEN(C166)</f>
        <v>34</v>
      </c>
      <c r="F166" s="49">
        <f t="shared" si="821"/>
        <v>55</v>
      </c>
      <c r="G166" s="32">
        <f>IFERROR(__xludf.DUMMYFUNCTION("IFERROR(
  VLOOKUP(
    A166,
    IMPORTRANGE(
      ""1ZygntHC1J6IxzKbTidmOyf5nUyW4GCLurHCjexrLm_o        "",
      ""HTMLキャッシュ!A:F""
    ),
    3,
    FALSE
  ),
  0
)
"),43831.00020833333)</f>
        <v>43831.00021</v>
      </c>
      <c r="H166" s="54">
        <f>IFERROR(__xludf.DUMMYFUNCTION("IFERROR(
  VLOOKUP(
    A166,
    IMPORTRANGE(
      ""1ZHMy3vVUd_0MrSduXTe1etBb1HNpAlGwQr006ljwMiM"",
      ""GSC最新!A:F""
    ),
    2,
    FALSE
  ),
  0
)
"),0.0)</f>
        <v>0</v>
      </c>
      <c r="I166" s="54">
        <f>IFERROR(__xludf.DUMMYFUNCTION("IFERROR(
  VLOOKUP(
    A166,
    IMPORTRANGE(
      ""1ZHMy3vVUd_0MrSduXTe1etBb1HNpAlGwQr006ljwMiM"",
      ""GSC最新!A:F""
    ),
    3,
    FALSE
  ),
  0
)
"),0.0)</f>
        <v>0</v>
      </c>
      <c r="J166" s="54">
        <f>IFERROR(__xludf.DUMMYFUNCTION("IFERROR(
  VLOOKUP(
    A166,
    IMPORTRANGE(
      ""1ZHMy3vVUd_0MrSduXTe1etBb1HNpAlGwQr006ljwMiM"",
      ""GSC最新!A:F""
    ),
    4,
    FALSE
  ),
  0
)
"),0.0)</f>
        <v>0</v>
      </c>
      <c r="K166" s="54">
        <f>IFERROR(__xludf.DUMMYFUNCTION("IFERROR(
  VLOOKUP(
    A166,
    IMPORTRANGE(
      ""1ZHMy3vVUd_0MrSduXTe1etBb1HNpAlGwQr006ljwMiM"",
      ""GSC最新!A:F""
    ),
    5,
    FALSE
  ),
  0
)
"),0.0)</f>
        <v>0</v>
      </c>
      <c r="L166" s="50" t="str">
        <f t="shared" ref="L166:M166" si="822">IFERROR(H166/J166,"-")</f>
        <v>-</v>
      </c>
      <c r="M166" s="50" t="str">
        <f t="shared" si="822"/>
        <v>-</v>
      </c>
      <c r="N166" s="59">
        <f>IFERROR(__xludf.DUMMYFUNCTION("IFERROR(
  VLOOKUP(
    A166,
    IMPORTRANGE(
      ""1ZHMy3vVUd_0MrSduXTe1etBb1HNpAlGwQr006ljwMiM"",
      ""GSC最新!A:R""
    ),
    7,
    FALSE
  ),
  0
)
"),0.0)</f>
        <v>0</v>
      </c>
      <c r="O166" s="59">
        <f>IFERROR(__xludf.DUMMYFUNCTION("IFERROR(
  VLOOKUP(
    A166,
    IMPORTRANGE(
      ""1ZHMy3vVUd_0MrSduXTe1etBb1HNpAlGwQr006ljwMiM"",
      ""GSC最新!A:R""
    ),
    10,
    FALSE
  ),
  0
)
"),0.0)</f>
        <v>0</v>
      </c>
      <c r="P166" s="59">
        <f>IFERROR(__xludf.DUMMYFUNCTION("IFERROR(
  VLOOKUP(
    A166,
    IMPORTRANGE(
      ""1ZHMy3vVUd_0MrSduXTe1etBb1HNpAlGwQr006ljwMiM"",
      ""GSC最新!A:R""
    ),
    13,
    FALSE
  ),
  0
)
"),0.0)</f>
        <v>0</v>
      </c>
      <c r="Q166" s="59">
        <f>IFERROR(__xludf.DUMMYFUNCTION("IFERROR(
  VLOOKUP(
    A166,
    IMPORTRANGE(
      ""1ZHMy3vVUd_0MrSduXTe1etBb1HNpAlGwQr006ljwMiM"",
      ""GSC最新!A:R""
    ),
    16,
    FALSE
  ),
  0
)
"),1.0)</f>
        <v>1</v>
      </c>
      <c r="R166" s="50" t="str">
        <f t="shared" ref="R166:S166" si="823">IFERROR(N166/P166,"-")</f>
        <v>-</v>
      </c>
      <c r="S166" s="50">
        <f t="shared" si="823"/>
        <v>0</v>
      </c>
      <c r="T166" s="60">
        <f>IFERROR(__xludf.DUMMYFUNCTION("IFERROR(
  VLOOKUP(
    A166,
    IMPORTRANGE(
      ""1ZHMy3vVUd_0MrSduXTe1etBb1HNpAlGwQr006ljwMiM"",
      ""GSC最新!A:R""
    ),
    8,
    FALSE
  ),
  0
)
"),0.0)</f>
        <v>0</v>
      </c>
      <c r="U166" s="60">
        <f>IFERROR(__xludf.DUMMYFUNCTION("IFERROR(
  VLOOKUP(
    A166,
    IMPORTRANGE(
      ""1ZHMy3vVUd_0MrSduXTe1etBb1HNpAlGwQr006ljwMiM"",
      ""GSC最新!A:R""
    ),
    11,
    FALSE
  ),
  0
)
"),0.0)</f>
        <v>0</v>
      </c>
      <c r="V166" s="60">
        <f>IFERROR(__xludf.DUMMYFUNCTION("IFERROR(
  VLOOKUP(
    A166,
    IMPORTRANGE(
      ""1ZHMy3vVUd_0MrSduXTe1etBb1HNpAlGwQr006ljwMiM"",
      ""GSC最新!A:R""
    ),
    14,
    FALSE
  ),
  0
)
"),0.0)</f>
        <v>0</v>
      </c>
      <c r="W166" s="60">
        <f>IFERROR(__xludf.DUMMYFUNCTION("IFERROR(
  VLOOKUP(
    A166,
    IMPORTRANGE(
      ""1ZHMy3vVUd_0MrSduXTe1etBb1HNpAlGwQr006ljwMiM"",
      ""GSC最新!A:R""
    ),
    17,
    FALSE
  ),
  0
)
"),0.0)</f>
        <v>0</v>
      </c>
      <c r="X166" s="60">
        <f t="shared" ref="X166:Y166" si="824">IFERROR(T166-V166,"-")</f>
        <v>0</v>
      </c>
      <c r="Y166" s="60">
        <f t="shared" si="824"/>
        <v>0</v>
      </c>
      <c r="Z166" s="52" t="str">
        <f>IFERROR(__xludf.DUMMYFUNCTION("IFERROR(
  VLOOKUP(
    A166,
    IMPORTRANGE(
      ""1ZHMy3vVUd_0MrSduXTe1etBb1HNpAlGwQr006ljwMiM"",
      ""GSC最新!A:R""
    ),
    9,
    FALSE
  ),
  0
)
"),"")</f>
        <v/>
      </c>
      <c r="AA166" s="52" t="str">
        <f>IFERROR(__xludf.DUMMYFUNCTION("IFERROR(
  VLOOKUP(
    A166,
    IMPORTRANGE(
      ""1ZHMy3vVUd_0MrSduXTe1etBb1HNpAlGwQr006ljwMiM"",
      ""GSC最新!A:R""
    ),
    12,
    FALSE
  ),
  0
)
"),"")</f>
        <v/>
      </c>
      <c r="AB166" s="52" t="str">
        <f>IFERROR(__xludf.DUMMYFUNCTION("IFERROR(
  VLOOKUP(
    A166,
    IMPORTRANGE(
      ""1ZHMy3vVUd_0MrSduXTe1etBb1HNpAlGwQr006ljwMiM"",
      ""GSC最新!A:R""
    ),
    15,
    FALSE
  ),
  0
)
"),"")</f>
        <v/>
      </c>
      <c r="AC166" s="52">
        <f>IFERROR(__xludf.DUMMYFUNCTION("IFERROR(
  VLOOKUP(
    A166,
    IMPORTRANGE(
      ""1ZHMy3vVUd_0MrSduXTe1etBb1HNpAlGwQr006ljwMiM"",
      ""GSC最新!A:R""
    ),
    18,
    FALSE
  ),
  0
)
"),8.0)</f>
        <v>8</v>
      </c>
      <c r="AD166" s="52">
        <f t="shared" ref="AD166:AE166" si="825">Z166-AB166</f>
        <v>0</v>
      </c>
      <c r="AE166" s="52">
        <f t="shared" si="825"/>
        <v>-8</v>
      </c>
      <c r="AF166" s="53">
        <f>IFERROR(__xludf.DUMMYFUNCTION("IFERROR(
  VLOOKUP(
    A166,
    IMPORTRANGE(
      ""1ZHMy3vVUd_0MrSduXTe1etBb1HNpAlGwQr006ljwMiM"",
      ""GSC最新!A:F""
    ),
    6,
    FALSE
  ),
  0
)
"),46081.0)</f>
        <v>46081</v>
      </c>
      <c r="AG166" s="54">
        <f>IFERROR(__xludf.DUMMYFUNCTION("IFERROR(
  VLOOKUP(
    A166,
    IMPORTRANGE(
      ""1SCYQd7_cobOYqT0r_F0IqD4tE4rYn5y8Eup4PJTH8es"",
      ""Snapshot!A:M""
    ),
    5,
    FALSE
  ),
  ""-""
)
"),0.0)</f>
        <v>0</v>
      </c>
      <c r="AH166" s="54">
        <f>IFERROR(__xludf.DUMMYFUNCTION("IFERROR(
  VLOOKUP(
    A166,
    IMPORTRANGE(
      ""1SCYQd7_cobOYqT0r_F0IqD4tE4rYn5y8Eup4PJTH8es"",
      ""Snapshot!A:M""
    ),
    6,
    FALSE
  ),
  0
)
"),0.0)</f>
        <v>0</v>
      </c>
      <c r="AI166" s="54">
        <f>IFERROR(__xludf.DUMMYFUNCTION("IFERROR(
  VLOOKUP(
    A166,
    IMPORTRANGE(
      ""1SCYQd7_cobOYqT0r_F0IqD4tE4rYn5y8Eup4PJTH8es"",
      ""Snapshot!A:M""
    ),
    7,
    FALSE
  ),
  0
)
"),360.0)</f>
        <v>360</v>
      </c>
      <c r="AJ166" s="54">
        <f>IFERROR(__xludf.DUMMYFUNCTION("IFERROR(
  VLOOKUP(
    A166,
    IMPORTRANGE(
      ""1SCYQd7_cobOYqT0r_F0IqD4tE4rYn5y8Eup4PJTH8es"",
      ""Snapshot!A:M""
    ),
    8,
    FALSE
  ),
  0
)
"),3.0)</f>
        <v>3</v>
      </c>
      <c r="AK166" s="54">
        <f>IFERROR(__xludf.DUMMYFUNCTION("IFERROR(
  VLOOKUP(
    A166,
    IMPORTRANGE(
      ""1SCYQd7_cobOYqT0r_F0IqD4tE4rYn5y8Eup4PJTH8es"",
      ""Snapshot!A:M""
    ),
    9,
    FALSE
  ),
  0
)
"),1.0)</f>
        <v>1</v>
      </c>
      <c r="AL166" s="54">
        <f>IFERROR(__xludf.DUMMYFUNCTION("IFERROR(
  VLOOKUP(
    A166,
    IMPORTRANGE(
      ""1SCYQd7_cobOYqT0r_F0IqD4tE4rYn5y8Eup4PJTH8es"",
      ""Snapshot!A:M""
    ),
    13,
    FALSE
  ),
  0
)
"),2.0)</f>
        <v>2</v>
      </c>
    </row>
    <row r="167">
      <c r="A167" s="3" t="s">
        <v>490</v>
      </c>
      <c r="B167" s="1" t="str">
        <f>IFERROR(__xludf.DUMMYFUNCTION("IFERROR(
  VLOOKUP(
    A167,
    IMPORTRANGE(
      ""1ZygntHC1J6IxzKbTidmOyf5nUyW4GCLurHCjexrLm_o"",
      ""HTMLキャッシュ!A:F""
    ),
    2,
    FALSE
  ),
  0
)
"),"NW")</f>
        <v>NW</v>
      </c>
      <c r="C167" s="1" t="str">
        <f>IFERROR(__xludf.DUMMYFUNCTION("IFERROR(
  VLOOKUP(
    A167,
    IMPORTRANGE(
      ""1ZygntHC1J6IxzKbTidmOyf5nUyW4GCLurHCjexrLm_o"",
      ""HTMLキャッシュ!A:F""
    ),
    5,
    FALSE
  ),
  0
)
"),"2020年度夏期講習会開催のお知らせ【個別指導】 - 中学受験専門 夏井算数塾")</f>
        <v>2020年度夏期講習会開催のお知らせ【個別指導】 - 中学受験専門 夏井算数塾</v>
      </c>
      <c r="D167" s="1" t="str">
        <f>IFERROR(__xludf.DUMMYFUNCTION("IFERROR(
  VLOOKUP(
    A167,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67" s="49">
        <f t="shared" ref="E167:F167" si="826">LEN(C167)</f>
        <v>39</v>
      </c>
      <c r="F167" s="49">
        <f t="shared" si="826"/>
        <v>55</v>
      </c>
      <c r="G167" s="32">
        <f>IFERROR(__xludf.DUMMYFUNCTION("IFERROR(
  VLOOKUP(
    A167,
    IMPORTRANGE(
      ""1ZygntHC1J6IxzKbTidmOyf5nUyW4GCLurHCjexrLm_o        "",
      ""HTMLキャッシュ!A:F""
    ),
    3,
    FALSE
  ),
  0
)
"),45591.802824074075)</f>
        <v>45591.80282</v>
      </c>
      <c r="H167" s="54">
        <f>IFERROR(__xludf.DUMMYFUNCTION("IFERROR(
  VLOOKUP(
    A167,
    IMPORTRANGE(
      ""1ZHMy3vVUd_0MrSduXTe1etBb1HNpAlGwQr006ljwMiM"",
      ""GSC最新!A:F""
    ),
    2,
    FALSE
  ),
  0
)
"),0.0)</f>
        <v>0</v>
      </c>
      <c r="I167" s="54">
        <f>IFERROR(__xludf.DUMMYFUNCTION("IFERROR(
  VLOOKUP(
    A167,
    IMPORTRANGE(
      ""1ZHMy3vVUd_0MrSduXTe1etBb1HNpAlGwQr006ljwMiM"",
      ""GSC最新!A:F""
    ),
    3,
    FALSE
  ),
  0
)
"),0.0)</f>
        <v>0</v>
      </c>
      <c r="J167" s="54">
        <f>IFERROR(__xludf.DUMMYFUNCTION("IFERROR(
  VLOOKUP(
    A167,
    IMPORTRANGE(
      ""1ZHMy3vVUd_0MrSduXTe1etBb1HNpAlGwQr006ljwMiM"",
      ""GSC最新!A:F""
    ),
    4,
    FALSE
  ),
  0
)
"),0.0)</f>
        <v>0</v>
      </c>
      <c r="K167" s="54">
        <f>IFERROR(__xludf.DUMMYFUNCTION("IFERROR(
  VLOOKUP(
    A167,
    IMPORTRANGE(
      ""1ZHMy3vVUd_0MrSduXTe1etBb1HNpAlGwQr006ljwMiM"",
      ""GSC最新!A:F""
    ),
    5,
    FALSE
  ),
  0
)
"),0.0)</f>
        <v>0</v>
      </c>
      <c r="L167" s="50" t="str">
        <f t="shared" ref="L167:M167" si="827">IFERROR(H167/J167,"-")</f>
        <v>-</v>
      </c>
      <c r="M167" s="50" t="str">
        <f t="shared" si="827"/>
        <v>-</v>
      </c>
      <c r="N167" s="59">
        <f>IFERROR(__xludf.DUMMYFUNCTION("IFERROR(
  VLOOKUP(
    A167,
    IMPORTRANGE(
      ""1ZHMy3vVUd_0MrSduXTe1etBb1HNpAlGwQr006ljwMiM"",
      ""GSC最新!A:R""
    ),
    7,
    FALSE
  ),
  0
)
"),0.0)</f>
        <v>0</v>
      </c>
      <c r="O167" s="59">
        <f>IFERROR(__xludf.DUMMYFUNCTION("IFERROR(
  VLOOKUP(
    A167,
    IMPORTRANGE(
      ""1ZHMy3vVUd_0MrSduXTe1etBb1HNpAlGwQr006ljwMiM"",
      ""GSC最新!A:R""
    ),
    10,
    FALSE
  ),
  0
)
"),0.0)</f>
        <v>0</v>
      </c>
      <c r="P167" s="59">
        <f>IFERROR(__xludf.DUMMYFUNCTION("IFERROR(
  VLOOKUP(
    A167,
    IMPORTRANGE(
      ""1ZHMy3vVUd_0MrSduXTe1etBb1HNpAlGwQr006ljwMiM"",
      ""GSC最新!A:R""
    ),
    13,
    FALSE
  ),
  0
)
"),0.0)</f>
        <v>0</v>
      </c>
      <c r="Q167" s="59">
        <f>IFERROR(__xludf.DUMMYFUNCTION("IFERROR(
  VLOOKUP(
    A167,
    IMPORTRANGE(
      ""1ZHMy3vVUd_0MrSduXTe1etBb1HNpAlGwQr006ljwMiM"",
      ""GSC最新!A:R""
    ),
    16,
    FALSE
  ),
  0
)
"),0.0)</f>
        <v>0</v>
      </c>
      <c r="R167" s="50" t="str">
        <f t="shared" ref="R167:S167" si="828">IFERROR(N167/P167,"-")</f>
        <v>-</v>
      </c>
      <c r="S167" s="50" t="str">
        <f t="shared" si="828"/>
        <v>-</v>
      </c>
      <c r="T167" s="60">
        <f>IFERROR(__xludf.DUMMYFUNCTION("IFERROR(
  VLOOKUP(
    A167,
    IMPORTRANGE(
      ""1ZHMy3vVUd_0MrSduXTe1etBb1HNpAlGwQr006ljwMiM"",
      ""GSC最新!A:R""
    ),
    8,
    FALSE
  ),
  0
)
"),0.0)</f>
        <v>0</v>
      </c>
      <c r="U167" s="60">
        <f>IFERROR(__xludf.DUMMYFUNCTION("IFERROR(
  VLOOKUP(
    A167,
    IMPORTRANGE(
      ""1ZHMy3vVUd_0MrSduXTe1etBb1HNpAlGwQr006ljwMiM"",
      ""GSC最新!A:R""
    ),
    11,
    FALSE
  ),
  0
)
"),0.0)</f>
        <v>0</v>
      </c>
      <c r="V167" s="60">
        <f>IFERROR(__xludf.DUMMYFUNCTION("IFERROR(
  VLOOKUP(
    A167,
    IMPORTRANGE(
      ""1ZHMy3vVUd_0MrSduXTe1etBb1HNpAlGwQr006ljwMiM"",
      ""GSC最新!A:R""
    ),
    14,
    FALSE
  ),
  0
)
"),0.0)</f>
        <v>0</v>
      </c>
      <c r="W167" s="60">
        <f>IFERROR(__xludf.DUMMYFUNCTION("IFERROR(
  VLOOKUP(
    A167,
    IMPORTRANGE(
      ""1ZHMy3vVUd_0MrSduXTe1etBb1HNpAlGwQr006ljwMiM"",
      ""GSC最新!A:R""
    ),
    17,
    FALSE
  ),
  0
)
"),0.0)</f>
        <v>0</v>
      </c>
      <c r="X167" s="60">
        <f t="shared" ref="X167:Y167" si="829">IFERROR(T167-V167,"-")</f>
        <v>0</v>
      </c>
      <c r="Y167" s="60">
        <f t="shared" si="829"/>
        <v>0</v>
      </c>
      <c r="Z167" s="52" t="str">
        <f>IFERROR(__xludf.DUMMYFUNCTION("IFERROR(
  VLOOKUP(
    A167,
    IMPORTRANGE(
      ""1ZHMy3vVUd_0MrSduXTe1etBb1HNpAlGwQr006ljwMiM"",
      ""GSC最新!A:R""
    ),
    9,
    FALSE
  ),
  0
)
"),"")</f>
        <v/>
      </c>
      <c r="AA167" s="52" t="str">
        <f>IFERROR(__xludf.DUMMYFUNCTION("IFERROR(
  VLOOKUP(
    A167,
    IMPORTRANGE(
      ""1ZHMy3vVUd_0MrSduXTe1etBb1HNpAlGwQr006ljwMiM"",
      ""GSC最新!A:R""
    ),
    12,
    FALSE
  ),
  0
)
"),"")</f>
        <v/>
      </c>
      <c r="AB167" s="52" t="str">
        <f>IFERROR(__xludf.DUMMYFUNCTION("IFERROR(
  VLOOKUP(
    A167,
    IMPORTRANGE(
      ""1ZHMy3vVUd_0MrSduXTe1etBb1HNpAlGwQr006ljwMiM"",
      ""GSC最新!A:R""
    ),
    15,
    FALSE
  ),
  0
)
"),"")</f>
        <v/>
      </c>
      <c r="AC167" s="52" t="str">
        <f>IFERROR(__xludf.DUMMYFUNCTION("IFERROR(
  VLOOKUP(
    A167,
    IMPORTRANGE(
      ""1ZHMy3vVUd_0MrSduXTe1etBb1HNpAlGwQr006ljwMiM"",
      ""GSC最新!A:R""
    ),
    18,
    FALSE
  ),
  0
)
"),"")</f>
        <v/>
      </c>
      <c r="AD167" s="52">
        <f t="shared" ref="AD167:AE167" si="830">Z167-AB167</f>
        <v>0</v>
      </c>
      <c r="AE167" s="52">
        <f t="shared" si="830"/>
        <v>0</v>
      </c>
      <c r="AF167" s="53">
        <f>IFERROR(__xludf.DUMMYFUNCTION("IFERROR(
  VLOOKUP(
    A167,
    IMPORTRANGE(
      ""1ZHMy3vVUd_0MrSduXTe1etBb1HNpAlGwQr006ljwMiM"",
      ""GSC最新!A:F""
    ),
    6,
    FALSE
  ),
  0
)
"),46081.0)</f>
        <v>46081</v>
      </c>
      <c r="AG167" s="54">
        <f>IFERROR(__xludf.DUMMYFUNCTION("IFERROR(
  VLOOKUP(
    A167,
    IMPORTRANGE(
      ""1SCYQd7_cobOYqT0r_F0IqD4tE4rYn5y8Eup4PJTH8es"",
      ""Snapshot!A:M""
    ),
    5,
    FALSE
  ),
  ""-""
)
"),0.0)</f>
        <v>0</v>
      </c>
      <c r="AH167" s="54">
        <f>IFERROR(__xludf.DUMMYFUNCTION("IFERROR(
  VLOOKUP(
    A167,
    IMPORTRANGE(
      ""1SCYQd7_cobOYqT0r_F0IqD4tE4rYn5y8Eup4PJTH8es"",
      ""Snapshot!A:M""
    ),
    6,
    FALSE
  ),
  0
)
"),0.0)</f>
        <v>0</v>
      </c>
      <c r="AI167" s="54">
        <f>IFERROR(__xludf.DUMMYFUNCTION("IFERROR(
  VLOOKUP(
    A167,
    IMPORTRANGE(
      ""1SCYQd7_cobOYqT0r_F0IqD4tE4rYn5y8Eup4PJTH8es"",
      ""Snapshot!A:M""
    ),
    7,
    FALSE
  ),
  0
)
"),1022.0)</f>
        <v>1022</v>
      </c>
      <c r="AJ167" s="54">
        <f>IFERROR(__xludf.DUMMYFUNCTION("IFERROR(
  VLOOKUP(
    A167,
    IMPORTRANGE(
      ""1SCYQd7_cobOYqT0r_F0IqD4tE4rYn5y8Eup4PJTH8es"",
      ""Snapshot!A:M""
    ),
    8,
    FALSE
  ),
  0
)
"),4.0)</f>
        <v>4</v>
      </c>
      <c r="AK167" s="54">
        <f>IFERROR(__xludf.DUMMYFUNCTION("IFERROR(
  VLOOKUP(
    A167,
    IMPORTRANGE(
      ""1SCYQd7_cobOYqT0r_F0IqD4tE4rYn5y8Eup4PJTH8es"",
      ""Snapshot!A:M""
    ),
    9,
    FALSE
  ),
  0
)
"),1.0)</f>
        <v>1</v>
      </c>
      <c r="AL167" s="54">
        <f>IFERROR(__xludf.DUMMYFUNCTION("IFERROR(
  VLOOKUP(
    A167,
    IMPORTRANGE(
      ""1SCYQd7_cobOYqT0r_F0IqD4tE4rYn5y8Eup4PJTH8es"",
      ""Snapshot!A:M""
    ),
    13,
    FALSE
  ),
  0
)
"),2.0)</f>
        <v>2</v>
      </c>
    </row>
    <row r="168">
      <c r="A168" s="3" t="s">
        <v>491</v>
      </c>
      <c r="B168" s="1" t="str">
        <f>IFERROR(__xludf.DUMMYFUNCTION("IFERROR(
  VLOOKUP(
    A168,
    IMPORTRANGE(
      ""1ZygntHC1J6IxzKbTidmOyf5nUyW4GCLurHCjexrLm_o"",
      ""HTMLキャッシュ!A:F""
    ),
    2,
    FALSE
  ),
  0
)
"),"NW")</f>
        <v>NW</v>
      </c>
      <c r="C168" s="1" t="str">
        <f>IFERROR(__xludf.DUMMYFUNCTION("IFERROR(
  VLOOKUP(
    A168,
    IMPORTRANGE(
      ""1ZygntHC1J6IxzKbTidmOyf5nUyW4GCLurHCjexrLm_o"",
      ""HTMLキャッシュ!A:F""
    ),
    5,
    FALSE
  ),
  0
)
"),"2018年度冬期講習開講のお知らせ【個別】 - 中学受験専門 夏井算数塾")</f>
        <v>2018年度冬期講習開講のお知らせ【個別】 - 中学受験専門 夏井算数塾</v>
      </c>
      <c r="D168" s="1" t="str">
        <f>IFERROR(__xludf.DUMMYFUNCTION("IFERROR(
  VLOOKUP(
    A168,
    IMPORTRANGE(
      ""1ZygntHC1J6IxzKbTidmOyf5nUyW4GCLurHCjexrLm_o        "",
      ""HTMLキャッシュ!A:F""
    ),
    6,
    FALSE
  ),
  0
)
"),"弊塾では冬期講習会を実施させて頂く運びとなりました。 現在当塾に通塾されている塾生の皆さんは勿論")</f>
        <v>弊塾では冬期講習会を実施させて頂く運びとなりました。 現在当塾に通塾されている塾生の皆さんは勿論</v>
      </c>
      <c r="E168" s="49">
        <f t="shared" ref="E168:F168" si="831">LEN(C168)</f>
        <v>36</v>
      </c>
      <c r="F168" s="49">
        <f t="shared" si="831"/>
        <v>48</v>
      </c>
      <c r="G168" s="32">
        <f>IFERROR(__xludf.DUMMYFUNCTION("IFERROR(
  VLOOKUP(
    A168,
    IMPORTRANGE(
      ""1ZygntHC1J6IxzKbTidmOyf5nUyW4GCLurHCjexrLm_o        "",
      ""HTMLキャッシュ!A:F""
    ),
    3,
    FALSE
  ),
  0
)
"),46015.67633101852)</f>
        <v>46015.67633</v>
      </c>
      <c r="H168" s="54">
        <f>IFERROR(__xludf.DUMMYFUNCTION("IFERROR(
  VLOOKUP(
    A168,
    IMPORTRANGE(
      ""1ZHMy3vVUd_0MrSduXTe1etBb1HNpAlGwQr006ljwMiM"",
      ""GSC最新!A:F""
    ),
    2,
    FALSE
  ),
  0
)
"),0.0)</f>
        <v>0</v>
      </c>
      <c r="I168" s="54">
        <f>IFERROR(__xludf.DUMMYFUNCTION("IFERROR(
  VLOOKUP(
    A168,
    IMPORTRANGE(
      ""1ZHMy3vVUd_0MrSduXTe1etBb1HNpAlGwQr006ljwMiM"",
      ""GSC最新!A:F""
    ),
    3,
    FALSE
  ),
  0
)
"),0.0)</f>
        <v>0</v>
      </c>
      <c r="J168" s="54">
        <f>IFERROR(__xludf.DUMMYFUNCTION("IFERROR(
  VLOOKUP(
    A168,
    IMPORTRANGE(
      ""1ZHMy3vVUd_0MrSduXTe1etBb1HNpAlGwQr006ljwMiM"",
      ""GSC最新!A:F""
    ),
    4,
    FALSE
  ),
  0
)
"),0.0)</f>
        <v>0</v>
      </c>
      <c r="K168" s="54">
        <f>IFERROR(__xludf.DUMMYFUNCTION("IFERROR(
  VLOOKUP(
    A168,
    IMPORTRANGE(
      ""1ZHMy3vVUd_0MrSduXTe1etBb1HNpAlGwQr006ljwMiM"",
      ""GSC最新!A:F""
    ),
    5,
    FALSE
  ),
  0
)
"),0.0)</f>
        <v>0</v>
      </c>
      <c r="L168" s="50" t="str">
        <f t="shared" ref="L168:M168" si="832">IFERROR(H168/J168,"-")</f>
        <v>-</v>
      </c>
      <c r="M168" s="50" t="str">
        <f t="shared" si="832"/>
        <v>-</v>
      </c>
      <c r="N168" s="59">
        <f>IFERROR(__xludf.DUMMYFUNCTION("IFERROR(
  VLOOKUP(
    A168,
    IMPORTRANGE(
      ""1ZHMy3vVUd_0MrSduXTe1etBb1HNpAlGwQr006ljwMiM"",
      ""GSC最新!A:R""
    ),
    7,
    FALSE
  ),
  0
)
"),0.0)</f>
        <v>0</v>
      </c>
      <c r="O168" s="59">
        <f>IFERROR(__xludf.DUMMYFUNCTION("IFERROR(
  VLOOKUP(
    A168,
    IMPORTRANGE(
      ""1ZHMy3vVUd_0MrSduXTe1etBb1HNpAlGwQr006ljwMiM"",
      ""GSC最新!A:R""
    ),
    10,
    FALSE
  ),
  0
)
"),0.0)</f>
        <v>0</v>
      </c>
      <c r="P168" s="59">
        <f>IFERROR(__xludf.DUMMYFUNCTION("IFERROR(
  VLOOKUP(
    A168,
    IMPORTRANGE(
      ""1ZHMy3vVUd_0MrSduXTe1etBb1HNpAlGwQr006ljwMiM"",
      ""GSC最新!A:R""
    ),
    13,
    FALSE
  ),
  0
)
"),0.0)</f>
        <v>0</v>
      </c>
      <c r="Q168" s="59">
        <f>IFERROR(__xludf.DUMMYFUNCTION("IFERROR(
  VLOOKUP(
    A168,
    IMPORTRANGE(
      ""1ZHMy3vVUd_0MrSduXTe1etBb1HNpAlGwQr006ljwMiM"",
      ""GSC最新!A:R""
    ),
    16,
    FALSE
  ),
  0
)
"),0.0)</f>
        <v>0</v>
      </c>
      <c r="R168" s="50" t="str">
        <f t="shared" ref="R168:S168" si="833">IFERROR(N168/P168,"-")</f>
        <v>-</v>
      </c>
      <c r="S168" s="50" t="str">
        <f t="shared" si="833"/>
        <v>-</v>
      </c>
      <c r="T168" s="60">
        <f>IFERROR(__xludf.DUMMYFUNCTION("IFERROR(
  VLOOKUP(
    A168,
    IMPORTRANGE(
      ""1ZHMy3vVUd_0MrSduXTe1etBb1HNpAlGwQr006ljwMiM"",
      ""GSC最新!A:R""
    ),
    8,
    FALSE
  ),
  0
)
"),0.0)</f>
        <v>0</v>
      </c>
      <c r="U168" s="60">
        <f>IFERROR(__xludf.DUMMYFUNCTION("IFERROR(
  VLOOKUP(
    A168,
    IMPORTRANGE(
      ""1ZHMy3vVUd_0MrSduXTe1etBb1HNpAlGwQr006ljwMiM"",
      ""GSC最新!A:R""
    ),
    11,
    FALSE
  ),
  0
)
"),0.0)</f>
        <v>0</v>
      </c>
      <c r="V168" s="60">
        <f>IFERROR(__xludf.DUMMYFUNCTION("IFERROR(
  VLOOKUP(
    A168,
    IMPORTRANGE(
      ""1ZHMy3vVUd_0MrSduXTe1etBb1HNpAlGwQr006ljwMiM"",
      ""GSC最新!A:R""
    ),
    14,
    FALSE
  ),
  0
)
"),0.0)</f>
        <v>0</v>
      </c>
      <c r="W168" s="60">
        <f>IFERROR(__xludf.DUMMYFUNCTION("IFERROR(
  VLOOKUP(
    A168,
    IMPORTRANGE(
      ""1ZHMy3vVUd_0MrSduXTe1etBb1HNpAlGwQr006ljwMiM"",
      ""GSC最新!A:R""
    ),
    17,
    FALSE
  ),
  0
)
"),0.0)</f>
        <v>0</v>
      </c>
      <c r="X168" s="60">
        <f t="shared" ref="X168:Y168" si="834">IFERROR(T168-V168,"-")</f>
        <v>0</v>
      </c>
      <c r="Y168" s="60">
        <f t="shared" si="834"/>
        <v>0</v>
      </c>
      <c r="Z168" s="52" t="str">
        <f>IFERROR(__xludf.DUMMYFUNCTION("IFERROR(
  VLOOKUP(
    A168,
    IMPORTRANGE(
      ""1ZHMy3vVUd_0MrSduXTe1etBb1HNpAlGwQr006ljwMiM"",
      ""GSC最新!A:R""
    ),
    9,
    FALSE
  ),
  0
)
"),"")</f>
        <v/>
      </c>
      <c r="AA168" s="52" t="str">
        <f>IFERROR(__xludf.DUMMYFUNCTION("IFERROR(
  VLOOKUP(
    A168,
    IMPORTRANGE(
      ""1ZHMy3vVUd_0MrSduXTe1etBb1HNpAlGwQr006ljwMiM"",
      ""GSC最新!A:R""
    ),
    12,
    FALSE
  ),
  0
)
"),"")</f>
        <v/>
      </c>
      <c r="AB168" s="52" t="str">
        <f>IFERROR(__xludf.DUMMYFUNCTION("IFERROR(
  VLOOKUP(
    A168,
    IMPORTRANGE(
      ""1ZHMy3vVUd_0MrSduXTe1etBb1HNpAlGwQr006ljwMiM"",
      ""GSC最新!A:R""
    ),
    15,
    FALSE
  ),
  0
)
"),"")</f>
        <v/>
      </c>
      <c r="AC168" s="52" t="str">
        <f>IFERROR(__xludf.DUMMYFUNCTION("IFERROR(
  VLOOKUP(
    A168,
    IMPORTRANGE(
      ""1ZHMy3vVUd_0MrSduXTe1etBb1HNpAlGwQr006ljwMiM"",
      ""GSC最新!A:R""
    ),
    18,
    FALSE
  ),
  0
)
"),"")</f>
        <v/>
      </c>
      <c r="AD168" s="52">
        <f t="shared" ref="AD168:AE168" si="835">Z168-AB168</f>
        <v>0</v>
      </c>
      <c r="AE168" s="52">
        <f t="shared" si="835"/>
        <v>0</v>
      </c>
      <c r="AF168" s="53">
        <f>IFERROR(__xludf.DUMMYFUNCTION("IFERROR(
  VLOOKUP(
    A168,
    IMPORTRANGE(
      ""1ZHMy3vVUd_0MrSduXTe1etBb1HNpAlGwQr006ljwMiM"",
      ""GSC最新!A:F""
    ),
    6,
    FALSE
  ),
  0
)
"),46081.0)</f>
        <v>46081</v>
      </c>
      <c r="AG168" s="54">
        <f>IFERROR(__xludf.DUMMYFUNCTION("IFERROR(
  VLOOKUP(
    A168,
    IMPORTRANGE(
      ""1SCYQd7_cobOYqT0r_F0IqD4tE4rYn5y8Eup4PJTH8es"",
      ""Snapshot!A:M""
    ),
    5,
    FALSE
  ),
  ""-""
)
"),0.0)</f>
        <v>0</v>
      </c>
      <c r="AH168" s="54">
        <f>IFERROR(__xludf.DUMMYFUNCTION("IFERROR(
  VLOOKUP(
    A168,
    IMPORTRANGE(
      ""1SCYQd7_cobOYqT0r_F0IqD4tE4rYn5y8Eup4PJTH8es"",
      ""Snapshot!A:M""
    ),
    6,
    FALSE
  ),
  0
)
"),0.0)</f>
        <v>0</v>
      </c>
      <c r="AI168" s="54">
        <f>IFERROR(__xludf.DUMMYFUNCTION("IFERROR(
  VLOOKUP(
    A168,
    IMPORTRANGE(
      ""1SCYQd7_cobOYqT0r_F0IqD4tE4rYn5y8Eup4PJTH8es"",
      ""Snapshot!A:M""
    ),
    7,
    FALSE
  ),
  0
)
"),912.0)</f>
        <v>912</v>
      </c>
      <c r="AJ168" s="54">
        <f>IFERROR(__xludf.DUMMYFUNCTION("IFERROR(
  VLOOKUP(
    A168,
    IMPORTRANGE(
      ""1SCYQd7_cobOYqT0r_F0IqD4tE4rYn5y8Eup4PJTH8es"",
      ""Snapshot!A:M""
    ),
    8,
    FALSE
  ),
  0
)
"),3.0)</f>
        <v>3</v>
      </c>
      <c r="AK168" s="54">
        <f>IFERROR(__xludf.DUMMYFUNCTION("IFERROR(
  VLOOKUP(
    A168,
    IMPORTRANGE(
      ""1SCYQd7_cobOYqT0r_F0IqD4tE4rYn5y8Eup4PJTH8es"",
      ""Snapshot!A:M""
    ),
    9,
    FALSE
  ),
  0
)
"),1.0)</f>
        <v>1</v>
      </c>
      <c r="AL168" s="54">
        <f>IFERROR(__xludf.DUMMYFUNCTION("IFERROR(
  VLOOKUP(
    A168,
    IMPORTRANGE(
      ""1SCYQd7_cobOYqT0r_F0IqD4tE4rYn5y8Eup4PJTH8es"",
      ""Snapshot!A:M""
    ),
    13,
    FALSE
  ),
  0
)
"),2.0)</f>
        <v>2</v>
      </c>
    </row>
    <row r="169">
      <c r="A169" s="3" t="s">
        <v>492</v>
      </c>
      <c r="B169" s="1" t="str">
        <f>IFERROR(__xludf.DUMMYFUNCTION("IFERROR(
  VLOOKUP(
    A169,
    IMPORTRANGE(
      ""1ZygntHC1J6IxzKbTidmOyf5nUyW4GCLurHCjexrLm_o"",
      ""HTMLキャッシュ!A:F""
    ),
    2,
    FALSE
  ),
  0
)
"),"NW")</f>
        <v>NW</v>
      </c>
      <c r="C169" s="1" t="str">
        <f>IFERROR(__xludf.DUMMYFUNCTION("IFERROR(
  VLOOKUP(
    A169,
    IMPORTRANGE(
      ""1ZygntHC1J6IxzKbTidmOyf5nUyW4GCLurHCjexrLm_o"",
      ""HTMLキャッシュ!A:F""
    ),
    5,
    FALSE
  ),
  0
)
"),"2019年度生徒募集のお知らせ【個別】 - 中学受験専門 夏井算数塾")</f>
        <v>2019年度生徒募集のお知らせ【個別】 - 中学受験専門 夏井算数塾</v>
      </c>
      <c r="D169" s="1" t="str">
        <f>IFERROR(__xludf.DUMMYFUNCTION("IFERROR(
  VLOOKUP(
    A169,
    IMPORTRANGE(
      ""1ZygntHC1J6IxzKbTidmOyf5nUyW4GCLurHCjexrLm_o        "",
      ""HTMLキャッシュ!A:F""
    ),
    6,
    FALSE
  ),
  0
)
"),"本日より、2019年度の生徒募集を開始致します。 ２月開講講座、個別指導の詳細については、下記をご覧下さいませ")</f>
        <v>本日より、2019年度の生徒募集を開始致します。 ２月開講講座、個別指導の詳細については、下記をご覧下さいませ</v>
      </c>
      <c r="E169" s="49">
        <f t="shared" ref="E169:F169" si="836">LEN(C169)</f>
        <v>34</v>
      </c>
      <c r="F169" s="49">
        <f t="shared" si="836"/>
        <v>55</v>
      </c>
      <c r="G169" s="32">
        <f>IFERROR(__xludf.DUMMYFUNCTION("IFERROR(
  VLOOKUP(
    A169,
    IMPORTRANGE(
      ""1ZygntHC1J6IxzKbTidmOyf5nUyW4GCLurHCjexrLm_o        "",
      ""HTMLキャッシュ!A:F""
    ),
    3,
    FALSE
  ),
  0
)
"),43467.68755787037)</f>
        <v>43467.68756</v>
      </c>
      <c r="H169" s="54">
        <f>IFERROR(__xludf.DUMMYFUNCTION("IFERROR(
  VLOOKUP(
    A169,
    IMPORTRANGE(
      ""1ZHMy3vVUd_0MrSduXTe1etBb1HNpAlGwQr006ljwMiM"",
      ""GSC最新!A:F""
    ),
    2,
    FALSE
  ),
  0
)
"),0.0)</f>
        <v>0</v>
      </c>
      <c r="I169" s="54">
        <f>IFERROR(__xludf.DUMMYFUNCTION("IFERROR(
  VLOOKUP(
    A169,
    IMPORTRANGE(
      ""1ZHMy3vVUd_0MrSduXTe1etBb1HNpAlGwQr006ljwMiM"",
      ""GSC最新!A:F""
    ),
    3,
    FALSE
  ),
  0
)
"),0.0)</f>
        <v>0</v>
      </c>
      <c r="J169" s="54">
        <f>IFERROR(__xludf.DUMMYFUNCTION("IFERROR(
  VLOOKUP(
    A169,
    IMPORTRANGE(
      ""1ZHMy3vVUd_0MrSduXTe1etBb1HNpAlGwQr006ljwMiM"",
      ""GSC最新!A:F""
    ),
    4,
    FALSE
  ),
  0
)
"),0.0)</f>
        <v>0</v>
      </c>
      <c r="K169" s="54">
        <f>IFERROR(__xludf.DUMMYFUNCTION("IFERROR(
  VLOOKUP(
    A169,
    IMPORTRANGE(
      ""1ZHMy3vVUd_0MrSduXTe1etBb1HNpAlGwQr006ljwMiM"",
      ""GSC最新!A:F""
    ),
    5,
    FALSE
  ),
  0
)
"),0.0)</f>
        <v>0</v>
      </c>
      <c r="L169" s="50" t="str">
        <f t="shared" ref="L169:M169" si="837">IFERROR(H169/J169,"-")</f>
        <v>-</v>
      </c>
      <c r="M169" s="50" t="str">
        <f t="shared" si="837"/>
        <v>-</v>
      </c>
      <c r="N169" s="59">
        <f>IFERROR(__xludf.DUMMYFUNCTION("IFERROR(
  VLOOKUP(
    A169,
    IMPORTRANGE(
      ""1ZHMy3vVUd_0MrSduXTe1etBb1HNpAlGwQr006ljwMiM"",
      ""GSC最新!A:R""
    ),
    7,
    FALSE
  ),
  0
)
"),0.0)</f>
        <v>0</v>
      </c>
      <c r="O169" s="59">
        <f>IFERROR(__xludf.DUMMYFUNCTION("IFERROR(
  VLOOKUP(
    A169,
    IMPORTRANGE(
      ""1ZHMy3vVUd_0MrSduXTe1etBb1HNpAlGwQr006ljwMiM"",
      ""GSC最新!A:R""
    ),
    10,
    FALSE
  ),
  0
)
"),0.0)</f>
        <v>0</v>
      </c>
      <c r="P169" s="59">
        <f>IFERROR(__xludf.DUMMYFUNCTION("IFERROR(
  VLOOKUP(
    A169,
    IMPORTRANGE(
      ""1ZHMy3vVUd_0MrSduXTe1etBb1HNpAlGwQr006ljwMiM"",
      ""GSC最新!A:R""
    ),
    13,
    FALSE
  ),
  0
)
"),0.0)</f>
        <v>0</v>
      </c>
      <c r="Q169" s="59">
        <f>IFERROR(__xludf.DUMMYFUNCTION("IFERROR(
  VLOOKUP(
    A169,
    IMPORTRANGE(
      ""1ZHMy3vVUd_0MrSduXTe1etBb1HNpAlGwQr006ljwMiM"",
      ""GSC最新!A:R""
    ),
    16,
    FALSE
  ),
  0
)
"),0.0)</f>
        <v>0</v>
      </c>
      <c r="R169" s="50" t="str">
        <f t="shared" ref="R169:S169" si="838">IFERROR(N169/P169,"-")</f>
        <v>-</v>
      </c>
      <c r="S169" s="50" t="str">
        <f t="shared" si="838"/>
        <v>-</v>
      </c>
      <c r="T169" s="60">
        <f>IFERROR(__xludf.DUMMYFUNCTION("IFERROR(
  VLOOKUP(
    A169,
    IMPORTRANGE(
      ""1ZHMy3vVUd_0MrSduXTe1etBb1HNpAlGwQr006ljwMiM"",
      ""GSC最新!A:R""
    ),
    8,
    FALSE
  ),
  0
)
"),0.0)</f>
        <v>0</v>
      </c>
      <c r="U169" s="60">
        <f>IFERROR(__xludf.DUMMYFUNCTION("IFERROR(
  VLOOKUP(
    A169,
    IMPORTRANGE(
      ""1ZHMy3vVUd_0MrSduXTe1etBb1HNpAlGwQr006ljwMiM"",
      ""GSC最新!A:R""
    ),
    11,
    FALSE
  ),
  0
)
"),0.0)</f>
        <v>0</v>
      </c>
      <c r="V169" s="60">
        <f>IFERROR(__xludf.DUMMYFUNCTION("IFERROR(
  VLOOKUP(
    A169,
    IMPORTRANGE(
      ""1ZHMy3vVUd_0MrSduXTe1etBb1HNpAlGwQr006ljwMiM"",
      ""GSC最新!A:R""
    ),
    14,
    FALSE
  ),
  0
)
"),0.0)</f>
        <v>0</v>
      </c>
      <c r="W169" s="60">
        <f>IFERROR(__xludf.DUMMYFUNCTION("IFERROR(
  VLOOKUP(
    A169,
    IMPORTRANGE(
      ""1ZHMy3vVUd_0MrSduXTe1etBb1HNpAlGwQr006ljwMiM"",
      ""GSC最新!A:R""
    ),
    17,
    FALSE
  ),
  0
)
"),0.0)</f>
        <v>0</v>
      </c>
      <c r="X169" s="60">
        <f t="shared" ref="X169:Y169" si="839">IFERROR(T169-V169,"-")</f>
        <v>0</v>
      </c>
      <c r="Y169" s="60">
        <f t="shared" si="839"/>
        <v>0</v>
      </c>
      <c r="Z169" s="52" t="str">
        <f>IFERROR(__xludf.DUMMYFUNCTION("IFERROR(
  VLOOKUP(
    A169,
    IMPORTRANGE(
      ""1ZHMy3vVUd_0MrSduXTe1etBb1HNpAlGwQr006ljwMiM"",
      ""GSC最新!A:R""
    ),
    9,
    FALSE
  ),
  0
)
"),"")</f>
        <v/>
      </c>
      <c r="AA169" s="52" t="str">
        <f>IFERROR(__xludf.DUMMYFUNCTION("IFERROR(
  VLOOKUP(
    A169,
    IMPORTRANGE(
      ""1ZHMy3vVUd_0MrSduXTe1etBb1HNpAlGwQr006ljwMiM"",
      ""GSC最新!A:R""
    ),
    12,
    FALSE
  ),
  0
)
"),"")</f>
        <v/>
      </c>
      <c r="AB169" s="52" t="str">
        <f>IFERROR(__xludf.DUMMYFUNCTION("IFERROR(
  VLOOKUP(
    A169,
    IMPORTRANGE(
      ""1ZHMy3vVUd_0MrSduXTe1etBb1HNpAlGwQr006ljwMiM"",
      ""GSC最新!A:R""
    ),
    15,
    FALSE
  ),
  0
)
"),"")</f>
        <v/>
      </c>
      <c r="AC169" s="52" t="str">
        <f>IFERROR(__xludf.DUMMYFUNCTION("IFERROR(
  VLOOKUP(
    A169,
    IMPORTRANGE(
      ""1ZHMy3vVUd_0MrSduXTe1etBb1HNpAlGwQr006ljwMiM"",
      ""GSC最新!A:R""
    ),
    18,
    FALSE
  ),
  0
)
"),"")</f>
        <v/>
      </c>
      <c r="AD169" s="52">
        <f t="shared" ref="AD169:AE169" si="840">Z169-AB169</f>
        <v>0</v>
      </c>
      <c r="AE169" s="52">
        <f t="shared" si="840"/>
        <v>0</v>
      </c>
      <c r="AF169" s="53">
        <f>IFERROR(__xludf.DUMMYFUNCTION("IFERROR(
  VLOOKUP(
    A169,
    IMPORTRANGE(
      ""1ZHMy3vVUd_0MrSduXTe1etBb1HNpAlGwQr006ljwMiM"",
      ""GSC最新!A:F""
    ),
    6,
    FALSE
  ),
  0
)
"),46081.0)</f>
        <v>46081</v>
      </c>
      <c r="AG169" s="54">
        <f>IFERROR(__xludf.DUMMYFUNCTION("IFERROR(
  VLOOKUP(
    A169,
    IMPORTRANGE(
      ""1SCYQd7_cobOYqT0r_F0IqD4tE4rYn5y8Eup4PJTH8es"",
      ""Snapshot!A:M""
    ),
    5,
    FALSE
  ),
  ""-""
)
"),0.0)</f>
        <v>0</v>
      </c>
      <c r="AH169" s="54">
        <f>IFERROR(__xludf.DUMMYFUNCTION("IFERROR(
  VLOOKUP(
    A169,
    IMPORTRANGE(
      ""1SCYQd7_cobOYqT0r_F0IqD4tE4rYn5y8Eup4PJTH8es"",
      ""Snapshot!A:M""
    ),
    6,
    FALSE
  ),
  0
)
"),0.0)</f>
        <v>0</v>
      </c>
      <c r="AI169" s="54">
        <f>IFERROR(__xludf.DUMMYFUNCTION("IFERROR(
  VLOOKUP(
    A169,
    IMPORTRANGE(
      ""1SCYQd7_cobOYqT0r_F0IqD4tE4rYn5y8Eup4PJTH8es"",
      ""Snapshot!A:M""
    ),
    7,
    FALSE
  ),
  0
)
"),347.0)</f>
        <v>347</v>
      </c>
      <c r="AJ169" s="54">
        <f>IFERROR(__xludf.DUMMYFUNCTION("IFERROR(
  VLOOKUP(
    A169,
    IMPORTRANGE(
      ""1SCYQd7_cobOYqT0r_F0IqD4tE4rYn5y8Eup4PJTH8es"",
      ""Snapshot!A:M""
    ),
    8,
    FALSE
  ),
  0
)
"),3.0)</f>
        <v>3</v>
      </c>
      <c r="AK169" s="54">
        <f>IFERROR(__xludf.DUMMYFUNCTION("IFERROR(
  VLOOKUP(
    A169,
    IMPORTRANGE(
      ""1SCYQd7_cobOYqT0r_F0IqD4tE4rYn5y8Eup4PJTH8es"",
      ""Snapshot!A:M""
    ),
    9,
    FALSE
  ),
  0
)
"),1.0)</f>
        <v>1</v>
      </c>
      <c r="AL169" s="54">
        <f>IFERROR(__xludf.DUMMYFUNCTION("IFERROR(
  VLOOKUP(
    A169,
    IMPORTRANGE(
      ""1SCYQd7_cobOYqT0r_F0IqD4tE4rYn5y8Eup4PJTH8es"",
      ""Snapshot!A:M""
    ),
    13,
    FALSE
  ),
  0
)
"),2.0)</f>
        <v>2</v>
      </c>
    </row>
    <row r="170">
      <c r="A170" s="3" t="s">
        <v>493</v>
      </c>
      <c r="B170" s="1" t="str">
        <f>IFERROR(__xludf.DUMMYFUNCTION("IFERROR(
  VLOOKUP(
    A170,
    IMPORTRANGE(
      ""1ZygntHC1J6IxzKbTidmOyf5nUyW4GCLurHCjexrLm_o"",
      ""HTMLキャッシュ!A:F""
    ),
    2,
    FALSE
  ),
  0
)
"),"NW")</f>
        <v>NW</v>
      </c>
      <c r="C170" s="1" t="str">
        <f>IFERROR(__xludf.DUMMYFUNCTION("IFERROR(
  VLOOKUP(
    A170,
    IMPORTRANGE(
      ""1ZygntHC1J6IxzKbTidmOyf5nUyW4GCLurHCjexrLm_o"",
      ""HTMLキャッシュ!A:F""
    ),
    5,
    FALSE
  ),
  0
)
"),"2019年度生徒募集のお知らせ【オンライン個別】 - 中学受験専門 夏井算数塾")</f>
        <v>2019年度生徒募集のお知らせ【オンライン個別】 - 中学受験専門 夏井算数塾</v>
      </c>
      <c r="D170" s="1" t="str">
        <f>IFERROR(__xludf.DUMMYFUNCTION("IFERROR(
  VLOOKUP(
    A170,
    IMPORTRANGE(
      ""1ZygntHC1J6IxzKbTidmOyf5nUyW4GCLurHCjexrLm_o        "",
      ""HTMLキャッシュ!A:F""
    ),
    6,
    FALSE
  ),
  0
)
"),"本日より、2019年度の生徒募集を開始致します。 ２月開講講座、オンライン個別指導の詳細については、下記をご覧")</f>
        <v>本日より、2019年度の生徒募集を開始致します。 ２月開講講座、オンライン個別指導の詳細については、下記をご覧</v>
      </c>
      <c r="E170" s="49">
        <f t="shared" ref="E170:F170" si="841">LEN(C170)</f>
        <v>39</v>
      </c>
      <c r="F170" s="49">
        <f t="shared" si="841"/>
        <v>55</v>
      </c>
      <c r="G170" s="32">
        <f>IFERROR(__xludf.DUMMYFUNCTION("IFERROR(
  VLOOKUP(
    A170,
    IMPORTRANGE(
      ""1ZygntHC1J6IxzKbTidmOyf5nUyW4GCLurHCjexrLm_o        "",
      ""HTMLキャッシュ!A:F""
    ),
    3,
    FALSE
  ),
  0
)
"),43467.689733796295)</f>
        <v>43467.68973</v>
      </c>
      <c r="H170" s="54">
        <f>IFERROR(__xludf.DUMMYFUNCTION("IFERROR(
  VLOOKUP(
    A170,
    IMPORTRANGE(
      ""1ZHMy3vVUd_0MrSduXTe1etBb1HNpAlGwQr006ljwMiM"",
      ""GSC最新!A:F""
    ),
    2,
    FALSE
  ),
  0
)
"),0.0)</f>
        <v>0</v>
      </c>
      <c r="I170" s="54">
        <f>IFERROR(__xludf.DUMMYFUNCTION("IFERROR(
  VLOOKUP(
    A170,
    IMPORTRANGE(
      ""1ZHMy3vVUd_0MrSduXTe1etBb1HNpAlGwQr006ljwMiM"",
      ""GSC最新!A:F""
    ),
    3,
    FALSE
  ),
  0
)
"),0.0)</f>
        <v>0</v>
      </c>
      <c r="J170" s="54">
        <f>IFERROR(__xludf.DUMMYFUNCTION("IFERROR(
  VLOOKUP(
    A170,
    IMPORTRANGE(
      ""1ZHMy3vVUd_0MrSduXTe1etBb1HNpAlGwQr006ljwMiM"",
      ""GSC最新!A:F""
    ),
    4,
    FALSE
  ),
  0
)
"),0.0)</f>
        <v>0</v>
      </c>
      <c r="K170" s="54">
        <f>IFERROR(__xludf.DUMMYFUNCTION("IFERROR(
  VLOOKUP(
    A170,
    IMPORTRANGE(
      ""1ZHMy3vVUd_0MrSduXTe1etBb1HNpAlGwQr006ljwMiM"",
      ""GSC最新!A:F""
    ),
    5,
    FALSE
  ),
  0
)
"),0.0)</f>
        <v>0</v>
      </c>
      <c r="L170" s="50" t="str">
        <f t="shared" ref="L170:M170" si="842">IFERROR(H170/J170,"-")</f>
        <v>-</v>
      </c>
      <c r="M170" s="50" t="str">
        <f t="shared" si="842"/>
        <v>-</v>
      </c>
      <c r="N170" s="59">
        <f>IFERROR(__xludf.DUMMYFUNCTION("IFERROR(
  VLOOKUP(
    A170,
    IMPORTRANGE(
      ""1ZHMy3vVUd_0MrSduXTe1etBb1HNpAlGwQr006ljwMiM"",
      ""GSC最新!A:R""
    ),
    7,
    FALSE
  ),
  0
)
"),0.0)</f>
        <v>0</v>
      </c>
      <c r="O170" s="59">
        <f>IFERROR(__xludf.DUMMYFUNCTION("IFERROR(
  VLOOKUP(
    A170,
    IMPORTRANGE(
      ""1ZHMy3vVUd_0MrSduXTe1etBb1HNpAlGwQr006ljwMiM"",
      ""GSC最新!A:R""
    ),
    10,
    FALSE
  ),
  0
)
"),0.0)</f>
        <v>0</v>
      </c>
      <c r="P170" s="59">
        <f>IFERROR(__xludf.DUMMYFUNCTION("IFERROR(
  VLOOKUP(
    A170,
    IMPORTRANGE(
      ""1ZHMy3vVUd_0MrSduXTe1etBb1HNpAlGwQr006ljwMiM"",
      ""GSC最新!A:R""
    ),
    13,
    FALSE
  ),
  0
)
"),0.0)</f>
        <v>0</v>
      </c>
      <c r="Q170" s="59">
        <f>IFERROR(__xludf.DUMMYFUNCTION("IFERROR(
  VLOOKUP(
    A170,
    IMPORTRANGE(
      ""1ZHMy3vVUd_0MrSduXTe1etBb1HNpAlGwQr006ljwMiM"",
      ""GSC最新!A:R""
    ),
    16,
    FALSE
  ),
  0
)
"),0.0)</f>
        <v>0</v>
      </c>
      <c r="R170" s="50" t="str">
        <f t="shared" ref="R170:S170" si="843">IFERROR(N170/P170,"-")</f>
        <v>-</v>
      </c>
      <c r="S170" s="50" t="str">
        <f t="shared" si="843"/>
        <v>-</v>
      </c>
      <c r="T170" s="60">
        <f>IFERROR(__xludf.DUMMYFUNCTION("IFERROR(
  VLOOKUP(
    A170,
    IMPORTRANGE(
      ""1ZHMy3vVUd_0MrSduXTe1etBb1HNpAlGwQr006ljwMiM"",
      ""GSC最新!A:R""
    ),
    8,
    FALSE
  ),
  0
)
"),0.0)</f>
        <v>0</v>
      </c>
      <c r="U170" s="60">
        <f>IFERROR(__xludf.DUMMYFUNCTION("IFERROR(
  VLOOKUP(
    A170,
    IMPORTRANGE(
      ""1ZHMy3vVUd_0MrSduXTe1etBb1HNpAlGwQr006ljwMiM"",
      ""GSC最新!A:R""
    ),
    11,
    FALSE
  ),
  0
)
"),0.0)</f>
        <v>0</v>
      </c>
      <c r="V170" s="60">
        <f>IFERROR(__xludf.DUMMYFUNCTION("IFERROR(
  VLOOKUP(
    A170,
    IMPORTRANGE(
      ""1ZHMy3vVUd_0MrSduXTe1etBb1HNpAlGwQr006ljwMiM"",
      ""GSC最新!A:R""
    ),
    14,
    FALSE
  ),
  0
)
"),0.0)</f>
        <v>0</v>
      </c>
      <c r="W170" s="60">
        <f>IFERROR(__xludf.DUMMYFUNCTION("IFERROR(
  VLOOKUP(
    A170,
    IMPORTRANGE(
      ""1ZHMy3vVUd_0MrSduXTe1etBb1HNpAlGwQr006ljwMiM"",
      ""GSC最新!A:R""
    ),
    17,
    FALSE
  ),
  0
)
"),0.0)</f>
        <v>0</v>
      </c>
      <c r="X170" s="60">
        <f t="shared" ref="X170:Y170" si="844">IFERROR(T170-V170,"-")</f>
        <v>0</v>
      </c>
      <c r="Y170" s="60">
        <f t="shared" si="844"/>
        <v>0</v>
      </c>
      <c r="Z170" s="52" t="str">
        <f>IFERROR(__xludf.DUMMYFUNCTION("IFERROR(
  VLOOKUP(
    A170,
    IMPORTRANGE(
      ""1ZHMy3vVUd_0MrSduXTe1etBb1HNpAlGwQr006ljwMiM"",
      ""GSC最新!A:R""
    ),
    9,
    FALSE
  ),
  0
)
"),"")</f>
        <v/>
      </c>
      <c r="AA170" s="52" t="str">
        <f>IFERROR(__xludf.DUMMYFUNCTION("IFERROR(
  VLOOKUP(
    A170,
    IMPORTRANGE(
      ""1ZHMy3vVUd_0MrSduXTe1etBb1HNpAlGwQr006ljwMiM"",
      ""GSC最新!A:R""
    ),
    12,
    FALSE
  ),
  0
)
"),"")</f>
        <v/>
      </c>
      <c r="AB170" s="52" t="str">
        <f>IFERROR(__xludf.DUMMYFUNCTION("IFERROR(
  VLOOKUP(
    A170,
    IMPORTRANGE(
      ""1ZHMy3vVUd_0MrSduXTe1etBb1HNpAlGwQr006ljwMiM"",
      ""GSC最新!A:R""
    ),
    15,
    FALSE
  ),
  0
)
"),"")</f>
        <v/>
      </c>
      <c r="AC170" s="52" t="str">
        <f>IFERROR(__xludf.DUMMYFUNCTION("IFERROR(
  VLOOKUP(
    A170,
    IMPORTRANGE(
      ""1ZHMy3vVUd_0MrSduXTe1etBb1HNpAlGwQr006ljwMiM"",
      ""GSC最新!A:R""
    ),
    18,
    FALSE
  ),
  0
)
"),"")</f>
        <v/>
      </c>
      <c r="AD170" s="52">
        <f t="shared" ref="AD170:AE170" si="845">Z170-AB170</f>
        <v>0</v>
      </c>
      <c r="AE170" s="52">
        <f t="shared" si="845"/>
        <v>0</v>
      </c>
      <c r="AF170" s="53">
        <f>IFERROR(__xludf.DUMMYFUNCTION("IFERROR(
  VLOOKUP(
    A170,
    IMPORTRANGE(
      ""1ZHMy3vVUd_0MrSduXTe1etBb1HNpAlGwQr006ljwMiM"",
      ""GSC最新!A:F""
    ),
    6,
    FALSE
  ),
  0
)
"),46081.0)</f>
        <v>46081</v>
      </c>
      <c r="AG170" s="54">
        <f>IFERROR(__xludf.DUMMYFUNCTION("IFERROR(
  VLOOKUP(
    A170,
    IMPORTRANGE(
      ""1SCYQd7_cobOYqT0r_F0IqD4tE4rYn5y8Eup4PJTH8es"",
      ""Snapshot!A:M""
    ),
    5,
    FALSE
  ),
  ""-""
)
"),0.0)</f>
        <v>0</v>
      </c>
      <c r="AH170" s="54">
        <f>IFERROR(__xludf.DUMMYFUNCTION("IFERROR(
  VLOOKUP(
    A170,
    IMPORTRANGE(
      ""1SCYQd7_cobOYqT0r_F0IqD4tE4rYn5y8Eup4PJTH8es"",
      ""Snapshot!A:M""
    ),
    6,
    FALSE
  ),
  0
)
"),0.0)</f>
        <v>0</v>
      </c>
      <c r="AI170" s="54">
        <f>IFERROR(__xludf.DUMMYFUNCTION("IFERROR(
  VLOOKUP(
    A170,
    IMPORTRANGE(
      ""1SCYQd7_cobOYqT0r_F0IqD4tE4rYn5y8Eup4PJTH8es"",
      ""Snapshot!A:M""
    ),
    7,
    FALSE
  ),
  0
)
"),348.0)</f>
        <v>348</v>
      </c>
      <c r="AJ170" s="54">
        <f>IFERROR(__xludf.DUMMYFUNCTION("IFERROR(
  VLOOKUP(
    A170,
    IMPORTRANGE(
      ""1SCYQd7_cobOYqT0r_F0IqD4tE4rYn5y8Eup4PJTH8es"",
      ""Snapshot!A:M""
    ),
    8,
    FALSE
  ),
  0
)
"),2.0)</f>
        <v>2</v>
      </c>
      <c r="AK170" s="54">
        <f>IFERROR(__xludf.DUMMYFUNCTION("IFERROR(
  VLOOKUP(
    A170,
    IMPORTRANGE(
      ""1SCYQd7_cobOYqT0r_F0IqD4tE4rYn5y8Eup4PJTH8es"",
      ""Snapshot!A:M""
    ),
    9,
    FALSE
  ),
  0
)
"),1.0)</f>
        <v>1</v>
      </c>
      <c r="AL170" s="54">
        <f>IFERROR(__xludf.DUMMYFUNCTION("IFERROR(
  VLOOKUP(
    A170,
    IMPORTRANGE(
      ""1SCYQd7_cobOYqT0r_F0IqD4tE4rYn5y8Eup4PJTH8es"",
      ""Snapshot!A:M""
    ),
    13,
    FALSE
  ),
  0
)
"),2.0)</f>
        <v>2</v>
      </c>
    </row>
    <row r="171">
      <c r="A171" s="3" t="s">
        <v>494</v>
      </c>
      <c r="B171" s="1" t="str">
        <f>IFERROR(__xludf.DUMMYFUNCTION("IFERROR(
  VLOOKUP(
    A171,
    IMPORTRANGE(
      ""1ZygntHC1J6IxzKbTidmOyf5nUyW4GCLurHCjexrLm_o"",
      ""HTMLキャッシュ!A:F""
    ),
    2,
    FALSE
  ),
  0
)
"),"NW")</f>
        <v>NW</v>
      </c>
      <c r="C171" s="1" t="str">
        <f>IFERROR(__xludf.DUMMYFUNCTION("IFERROR(
  VLOOKUP(
    A171,
    IMPORTRANGE(
      ""1ZygntHC1J6IxzKbTidmOyf5nUyW4GCLurHCjexrLm_o"",
      ""HTMLキャッシュ!A:F""
    ),
    5,
    FALSE
  ),
  0
)
"),"2019年度夏期講習会開催のお知らせ【個別指導】 - 中学受験専門 夏井算数塾")</f>
        <v>2019年度夏期講習会開催のお知らせ【個別指導】 - 中学受験専門 夏井算数塾</v>
      </c>
      <c r="D171" s="1" t="str">
        <f>IFERROR(__xludf.DUMMYFUNCTION("IFERROR(
  VLOOKUP(
    A171,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71" s="49">
        <f t="shared" ref="E171:F171" si="846">LEN(C171)</f>
        <v>39</v>
      </c>
      <c r="F171" s="49">
        <f t="shared" si="846"/>
        <v>55</v>
      </c>
      <c r="G171" s="32">
        <f>IFERROR(__xludf.DUMMYFUNCTION("IFERROR(
  VLOOKUP(
    A171,
    IMPORTRANGE(
      ""1ZygntHC1J6IxzKbTidmOyf5nUyW4GCLurHCjexrLm_o        "",
      ""HTMLキャッシュ!A:F""
    ),
    3,
    FALSE
  ),
  0
)
"),43636.54304398148)</f>
        <v>43636.54304</v>
      </c>
      <c r="H171" s="54">
        <f>IFERROR(__xludf.DUMMYFUNCTION("IFERROR(
  VLOOKUP(
    A171,
    IMPORTRANGE(
      ""1ZHMy3vVUd_0MrSduXTe1etBb1HNpAlGwQr006ljwMiM"",
      ""GSC最新!A:F""
    ),
    2,
    FALSE
  ),
  0
)
"),0.0)</f>
        <v>0</v>
      </c>
      <c r="I171" s="54">
        <f>IFERROR(__xludf.DUMMYFUNCTION("IFERROR(
  VLOOKUP(
    A171,
    IMPORTRANGE(
      ""1ZHMy3vVUd_0MrSduXTe1etBb1HNpAlGwQr006ljwMiM"",
      ""GSC最新!A:F""
    ),
    3,
    FALSE
  ),
  0
)
"),0.0)</f>
        <v>0</v>
      </c>
      <c r="J171" s="54">
        <f>IFERROR(__xludf.DUMMYFUNCTION("IFERROR(
  VLOOKUP(
    A171,
    IMPORTRANGE(
      ""1ZHMy3vVUd_0MrSduXTe1etBb1HNpAlGwQr006ljwMiM"",
      ""GSC最新!A:F""
    ),
    4,
    FALSE
  ),
  0
)
"),0.0)</f>
        <v>0</v>
      </c>
      <c r="K171" s="54">
        <f>IFERROR(__xludf.DUMMYFUNCTION("IFERROR(
  VLOOKUP(
    A171,
    IMPORTRANGE(
      ""1ZHMy3vVUd_0MrSduXTe1etBb1HNpAlGwQr006ljwMiM"",
      ""GSC最新!A:F""
    ),
    5,
    FALSE
  ),
  0
)
"),0.0)</f>
        <v>0</v>
      </c>
      <c r="L171" s="50" t="str">
        <f t="shared" ref="L171:M171" si="847">IFERROR(H171/J171,"-")</f>
        <v>-</v>
      </c>
      <c r="M171" s="50" t="str">
        <f t="shared" si="847"/>
        <v>-</v>
      </c>
      <c r="N171" s="59">
        <f>IFERROR(__xludf.DUMMYFUNCTION("IFERROR(
  VLOOKUP(
    A171,
    IMPORTRANGE(
      ""1ZHMy3vVUd_0MrSduXTe1etBb1HNpAlGwQr006ljwMiM"",
      ""GSC最新!A:R""
    ),
    7,
    FALSE
  ),
  0
)
"),0.0)</f>
        <v>0</v>
      </c>
      <c r="O171" s="59">
        <f>IFERROR(__xludf.DUMMYFUNCTION("IFERROR(
  VLOOKUP(
    A171,
    IMPORTRANGE(
      ""1ZHMy3vVUd_0MrSduXTe1etBb1HNpAlGwQr006ljwMiM"",
      ""GSC最新!A:R""
    ),
    10,
    FALSE
  ),
  0
)
"),0.0)</f>
        <v>0</v>
      </c>
      <c r="P171" s="59">
        <f>IFERROR(__xludf.DUMMYFUNCTION("IFERROR(
  VLOOKUP(
    A171,
    IMPORTRANGE(
      ""1ZHMy3vVUd_0MrSduXTe1etBb1HNpAlGwQr006ljwMiM"",
      ""GSC最新!A:R""
    ),
    13,
    FALSE
  ),
  0
)
"),0.0)</f>
        <v>0</v>
      </c>
      <c r="Q171" s="59">
        <f>IFERROR(__xludf.DUMMYFUNCTION("IFERROR(
  VLOOKUP(
    A171,
    IMPORTRANGE(
      ""1ZHMy3vVUd_0MrSduXTe1etBb1HNpAlGwQr006ljwMiM"",
      ""GSC最新!A:R""
    ),
    16,
    FALSE
  ),
  0
)
"),0.0)</f>
        <v>0</v>
      </c>
      <c r="R171" s="50" t="str">
        <f t="shared" ref="R171:S171" si="848">IFERROR(N171/P171,"-")</f>
        <v>-</v>
      </c>
      <c r="S171" s="50" t="str">
        <f t="shared" si="848"/>
        <v>-</v>
      </c>
      <c r="T171" s="60">
        <f>IFERROR(__xludf.DUMMYFUNCTION("IFERROR(
  VLOOKUP(
    A171,
    IMPORTRANGE(
      ""1ZHMy3vVUd_0MrSduXTe1etBb1HNpAlGwQr006ljwMiM"",
      ""GSC最新!A:R""
    ),
    8,
    FALSE
  ),
  0
)
"),0.0)</f>
        <v>0</v>
      </c>
      <c r="U171" s="60">
        <f>IFERROR(__xludf.DUMMYFUNCTION("IFERROR(
  VLOOKUP(
    A171,
    IMPORTRANGE(
      ""1ZHMy3vVUd_0MrSduXTe1etBb1HNpAlGwQr006ljwMiM"",
      ""GSC最新!A:R""
    ),
    11,
    FALSE
  ),
  0
)
"),0.0)</f>
        <v>0</v>
      </c>
      <c r="V171" s="60">
        <f>IFERROR(__xludf.DUMMYFUNCTION("IFERROR(
  VLOOKUP(
    A171,
    IMPORTRANGE(
      ""1ZHMy3vVUd_0MrSduXTe1etBb1HNpAlGwQr006ljwMiM"",
      ""GSC最新!A:R""
    ),
    14,
    FALSE
  ),
  0
)
"),0.0)</f>
        <v>0</v>
      </c>
      <c r="W171" s="60">
        <f>IFERROR(__xludf.DUMMYFUNCTION("IFERROR(
  VLOOKUP(
    A171,
    IMPORTRANGE(
      ""1ZHMy3vVUd_0MrSduXTe1etBb1HNpAlGwQr006ljwMiM"",
      ""GSC最新!A:R""
    ),
    17,
    FALSE
  ),
  0
)
"),0.0)</f>
        <v>0</v>
      </c>
      <c r="X171" s="60">
        <f t="shared" ref="X171:Y171" si="849">IFERROR(T171-V171,"-")</f>
        <v>0</v>
      </c>
      <c r="Y171" s="60">
        <f t="shared" si="849"/>
        <v>0</v>
      </c>
      <c r="Z171" s="52" t="str">
        <f>IFERROR(__xludf.DUMMYFUNCTION("IFERROR(
  VLOOKUP(
    A171,
    IMPORTRANGE(
      ""1ZHMy3vVUd_0MrSduXTe1etBb1HNpAlGwQr006ljwMiM"",
      ""GSC最新!A:R""
    ),
    9,
    FALSE
  ),
  0
)
"),"")</f>
        <v/>
      </c>
      <c r="AA171" s="52" t="str">
        <f>IFERROR(__xludf.DUMMYFUNCTION("IFERROR(
  VLOOKUP(
    A171,
    IMPORTRANGE(
      ""1ZHMy3vVUd_0MrSduXTe1etBb1HNpAlGwQr006ljwMiM"",
      ""GSC最新!A:R""
    ),
    12,
    FALSE
  ),
  0
)
"),"")</f>
        <v/>
      </c>
      <c r="AB171" s="52" t="str">
        <f>IFERROR(__xludf.DUMMYFUNCTION("IFERROR(
  VLOOKUP(
    A171,
    IMPORTRANGE(
      ""1ZHMy3vVUd_0MrSduXTe1etBb1HNpAlGwQr006ljwMiM"",
      ""GSC最新!A:R""
    ),
    15,
    FALSE
  ),
  0
)
"),"")</f>
        <v/>
      </c>
      <c r="AC171" s="52" t="str">
        <f>IFERROR(__xludf.DUMMYFUNCTION("IFERROR(
  VLOOKUP(
    A171,
    IMPORTRANGE(
      ""1ZHMy3vVUd_0MrSduXTe1etBb1HNpAlGwQr006ljwMiM"",
      ""GSC最新!A:R""
    ),
    18,
    FALSE
  ),
  0
)
"),"")</f>
        <v/>
      </c>
      <c r="AD171" s="52">
        <f t="shared" ref="AD171:AE171" si="850">Z171-AB171</f>
        <v>0</v>
      </c>
      <c r="AE171" s="52">
        <f t="shared" si="850"/>
        <v>0</v>
      </c>
      <c r="AF171" s="53">
        <f>IFERROR(__xludf.DUMMYFUNCTION("IFERROR(
  VLOOKUP(
    A171,
    IMPORTRANGE(
      ""1ZHMy3vVUd_0MrSduXTe1etBb1HNpAlGwQr006ljwMiM"",
      ""GSC最新!A:F""
    ),
    6,
    FALSE
  ),
  0
)
"),46081.0)</f>
        <v>46081</v>
      </c>
      <c r="AG171" s="54">
        <f>IFERROR(__xludf.DUMMYFUNCTION("IFERROR(
  VLOOKUP(
    A171,
    IMPORTRANGE(
      ""1SCYQd7_cobOYqT0r_F0IqD4tE4rYn5y8Eup4PJTH8es"",
      ""Snapshot!A:M""
    ),
    5,
    FALSE
  ),
  ""-""
)
"),0.0)</f>
        <v>0</v>
      </c>
      <c r="AH171" s="54">
        <f>IFERROR(__xludf.DUMMYFUNCTION("IFERROR(
  VLOOKUP(
    A171,
    IMPORTRANGE(
      ""1SCYQd7_cobOYqT0r_F0IqD4tE4rYn5y8Eup4PJTH8es"",
      ""Snapshot!A:M""
    ),
    6,
    FALSE
  ),
  0
)
"),0.0)</f>
        <v>0</v>
      </c>
      <c r="AI171" s="54">
        <f>IFERROR(__xludf.DUMMYFUNCTION("IFERROR(
  VLOOKUP(
    A171,
    IMPORTRANGE(
      ""1SCYQd7_cobOYqT0r_F0IqD4tE4rYn5y8Eup4PJTH8es"",
      ""Snapshot!A:M""
    ),
    7,
    FALSE
  ),
  0
)
"),929.0)</f>
        <v>929</v>
      </c>
      <c r="AJ171" s="54">
        <f>IFERROR(__xludf.DUMMYFUNCTION("IFERROR(
  VLOOKUP(
    A171,
    IMPORTRANGE(
      ""1SCYQd7_cobOYqT0r_F0IqD4tE4rYn5y8Eup4PJTH8es"",
      ""Snapshot!A:M""
    ),
    8,
    FALSE
  ),
  0
)
"),3.0)</f>
        <v>3</v>
      </c>
      <c r="AK171" s="54">
        <f>IFERROR(__xludf.DUMMYFUNCTION("IFERROR(
  VLOOKUP(
    A171,
    IMPORTRANGE(
      ""1SCYQd7_cobOYqT0r_F0IqD4tE4rYn5y8Eup4PJTH8es"",
      ""Snapshot!A:M""
    ),
    9,
    FALSE
  ),
  0
)
"),1.0)</f>
        <v>1</v>
      </c>
      <c r="AL171" s="54">
        <f>IFERROR(__xludf.DUMMYFUNCTION("IFERROR(
  VLOOKUP(
    A171,
    IMPORTRANGE(
      ""1SCYQd7_cobOYqT0r_F0IqD4tE4rYn5y8Eup4PJTH8es"",
      ""Snapshot!A:M""
    ),
    13,
    FALSE
  ),
  0
)
"),2.0)</f>
        <v>2</v>
      </c>
    </row>
    <row r="172">
      <c r="A172" s="3" t="s">
        <v>495</v>
      </c>
      <c r="B172" s="1" t="str">
        <f>IFERROR(__xludf.DUMMYFUNCTION("IFERROR(
  VLOOKUP(
    A172,
    IMPORTRANGE(
      ""1ZygntHC1J6IxzKbTidmOyf5nUyW4GCLurHCjexrLm_o"",
      ""HTMLキャッシュ!A:F""
    ),
    2,
    FALSE
  ),
  0
)
"),"NW")</f>
        <v>NW</v>
      </c>
      <c r="C172" s="1" t="str">
        <f>IFERROR(__xludf.DUMMYFUNCTION("IFERROR(
  VLOOKUP(
    A172,
    IMPORTRANGE(
      ""1ZygntHC1J6IxzKbTidmOyf5nUyW4GCLurHCjexrLm_o"",
      ""HTMLキャッシュ!A:F""
    ),
    5,
    FALSE
  ),
  0
)
"),"2019年度冬期講習開講のお知らせ【個別】 - 中学受験専門 夏井算数塾")</f>
        <v>2019年度冬期講習開講のお知らせ【個別】 - 中学受験専門 夏井算数塾</v>
      </c>
      <c r="D172" s="1" t="str">
        <f>IFERROR(__xludf.DUMMYFUNCTION("IFERROR(
  VLOOKUP(
    A172,
    IMPORTRANGE(
      ""1ZygntHC1J6IxzKbTidmOyf5nUyW4GCLurHCjexrLm_o        "",
      ""HTMLキャッシュ!A:F""
    ),
    6,
    FALSE
  ),
  0
)
"),"弊塾では冬期講習会を実施させて頂く運びとなりました。 現在当塾に通塾されている塾生の皆さんは勿論のこと、 普段")</f>
        <v>弊塾では冬期講習会を実施させて頂く運びとなりました。 現在当塾に通塾されている塾生の皆さんは勿論のこと、 普段</v>
      </c>
      <c r="E172" s="49">
        <f t="shared" ref="E172:F172" si="851">LEN(C172)</f>
        <v>36</v>
      </c>
      <c r="F172" s="49">
        <f t="shared" si="851"/>
        <v>55</v>
      </c>
      <c r="G172" s="32">
        <f>IFERROR(__xludf.DUMMYFUNCTION("IFERROR(
  VLOOKUP(
    A172,
    IMPORTRANGE(
      ""1ZygntHC1J6IxzKbTidmOyf5nUyW4GCLurHCjexrLm_o        "",
      ""HTMLキャッシュ!A:F""
    ),
    3,
    FALSE
  ),
  0
)
"),43791.520625)</f>
        <v>43791.52063</v>
      </c>
      <c r="H172" s="54">
        <f>IFERROR(__xludf.DUMMYFUNCTION("IFERROR(
  VLOOKUP(
    A172,
    IMPORTRANGE(
      ""1ZHMy3vVUd_0MrSduXTe1etBb1HNpAlGwQr006ljwMiM"",
      ""GSC最新!A:F""
    ),
    2,
    FALSE
  ),
  0
)
"),0.0)</f>
        <v>0</v>
      </c>
      <c r="I172" s="54">
        <f>IFERROR(__xludf.DUMMYFUNCTION("IFERROR(
  VLOOKUP(
    A172,
    IMPORTRANGE(
      ""1ZHMy3vVUd_0MrSduXTe1etBb1HNpAlGwQr006ljwMiM"",
      ""GSC最新!A:F""
    ),
    3,
    FALSE
  ),
  0
)
"),0.0)</f>
        <v>0</v>
      </c>
      <c r="J172" s="54">
        <f>IFERROR(__xludf.DUMMYFUNCTION("IFERROR(
  VLOOKUP(
    A172,
    IMPORTRANGE(
      ""1ZHMy3vVUd_0MrSduXTe1etBb1HNpAlGwQr006ljwMiM"",
      ""GSC最新!A:F""
    ),
    4,
    FALSE
  ),
  0
)
"),0.0)</f>
        <v>0</v>
      </c>
      <c r="K172" s="54">
        <f>IFERROR(__xludf.DUMMYFUNCTION("IFERROR(
  VLOOKUP(
    A172,
    IMPORTRANGE(
      ""1ZHMy3vVUd_0MrSduXTe1etBb1HNpAlGwQr006ljwMiM"",
      ""GSC最新!A:F""
    ),
    5,
    FALSE
  ),
  0
)
"),0.0)</f>
        <v>0</v>
      </c>
      <c r="L172" s="50" t="str">
        <f t="shared" ref="L172:M172" si="852">IFERROR(H172/J172,"-")</f>
        <v>-</v>
      </c>
      <c r="M172" s="50" t="str">
        <f t="shared" si="852"/>
        <v>-</v>
      </c>
      <c r="N172" s="59">
        <f>IFERROR(__xludf.DUMMYFUNCTION("IFERROR(
  VLOOKUP(
    A172,
    IMPORTRANGE(
      ""1ZHMy3vVUd_0MrSduXTe1etBb1HNpAlGwQr006ljwMiM"",
      ""GSC最新!A:R""
    ),
    7,
    FALSE
  ),
  0
)
"),0.0)</f>
        <v>0</v>
      </c>
      <c r="O172" s="59">
        <f>IFERROR(__xludf.DUMMYFUNCTION("IFERROR(
  VLOOKUP(
    A172,
    IMPORTRANGE(
      ""1ZHMy3vVUd_0MrSduXTe1etBb1HNpAlGwQr006ljwMiM"",
      ""GSC最新!A:R""
    ),
    10,
    FALSE
  ),
  0
)
"),0.0)</f>
        <v>0</v>
      </c>
      <c r="P172" s="59">
        <f>IFERROR(__xludf.DUMMYFUNCTION("IFERROR(
  VLOOKUP(
    A172,
    IMPORTRANGE(
      ""1ZHMy3vVUd_0MrSduXTe1etBb1HNpAlGwQr006ljwMiM"",
      ""GSC最新!A:R""
    ),
    13,
    FALSE
  ),
  0
)
"),0.0)</f>
        <v>0</v>
      </c>
      <c r="Q172" s="59">
        <f>IFERROR(__xludf.DUMMYFUNCTION("IFERROR(
  VLOOKUP(
    A172,
    IMPORTRANGE(
      ""1ZHMy3vVUd_0MrSduXTe1etBb1HNpAlGwQr006ljwMiM"",
      ""GSC最新!A:R""
    ),
    16,
    FALSE
  ),
  0
)
"),0.0)</f>
        <v>0</v>
      </c>
      <c r="R172" s="50" t="str">
        <f t="shared" ref="R172:S172" si="853">IFERROR(N172/P172,"-")</f>
        <v>-</v>
      </c>
      <c r="S172" s="50" t="str">
        <f t="shared" si="853"/>
        <v>-</v>
      </c>
      <c r="T172" s="60">
        <f>IFERROR(__xludf.DUMMYFUNCTION("IFERROR(
  VLOOKUP(
    A172,
    IMPORTRANGE(
      ""1ZHMy3vVUd_0MrSduXTe1etBb1HNpAlGwQr006ljwMiM"",
      ""GSC最新!A:R""
    ),
    8,
    FALSE
  ),
  0
)
"),0.0)</f>
        <v>0</v>
      </c>
      <c r="U172" s="60">
        <f>IFERROR(__xludf.DUMMYFUNCTION("IFERROR(
  VLOOKUP(
    A172,
    IMPORTRANGE(
      ""1ZHMy3vVUd_0MrSduXTe1etBb1HNpAlGwQr006ljwMiM"",
      ""GSC最新!A:R""
    ),
    11,
    FALSE
  ),
  0
)
"),0.0)</f>
        <v>0</v>
      </c>
      <c r="V172" s="60">
        <f>IFERROR(__xludf.DUMMYFUNCTION("IFERROR(
  VLOOKUP(
    A172,
    IMPORTRANGE(
      ""1ZHMy3vVUd_0MrSduXTe1etBb1HNpAlGwQr006ljwMiM"",
      ""GSC最新!A:R""
    ),
    14,
    FALSE
  ),
  0
)
"),0.0)</f>
        <v>0</v>
      </c>
      <c r="W172" s="60">
        <f>IFERROR(__xludf.DUMMYFUNCTION("IFERROR(
  VLOOKUP(
    A172,
    IMPORTRANGE(
      ""1ZHMy3vVUd_0MrSduXTe1etBb1HNpAlGwQr006ljwMiM"",
      ""GSC最新!A:R""
    ),
    17,
    FALSE
  ),
  0
)
"),0.0)</f>
        <v>0</v>
      </c>
      <c r="X172" s="60">
        <f t="shared" ref="X172:Y172" si="854">IFERROR(T172-V172,"-")</f>
        <v>0</v>
      </c>
      <c r="Y172" s="60">
        <f t="shared" si="854"/>
        <v>0</v>
      </c>
      <c r="Z172" s="52" t="str">
        <f>IFERROR(__xludf.DUMMYFUNCTION("IFERROR(
  VLOOKUP(
    A172,
    IMPORTRANGE(
      ""1ZHMy3vVUd_0MrSduXTe1etBb1HNpAlGwQr006ljwMiM"",
      ""GSC最新!A:R""
    ),
    9,
    FALSE
  ),
  0
)
"),"")</f>
        <v/>
      </c>
      <c r="AA172" s="52" t="str">
        <f>IFERROR(__xludf.DUMMYFUNCTION("IFERROR(
  VLOOKUP(
    A172,
    IMPORTRANGE(
      ""1ZHMy3vVUd_0MrSduXTe1etBb1HNpAlGwQr006ljwMiM"",
      ""GSC最新!A:R""
    ),
    12,
    FALSE
  ),
  0
)
"),"")</f>
        <v/>
      </c>
      <c r="AB172" s="52" t="str">
        <f>IFERROR(__xludf.DUMMYFUNCTION("IFERROR(
  VLOOKUP(
    A172,
    IMPORTRANGE(
      ""1ZHMy3vVUd_0MrSduXTe1etBb1HNpAlGwQr006ljwMiM"",
      ""GSC最新!A:R""
    ),
    15,
    FALSE
  ),
  0
)
"),"")</f>
        <v/>
      </c>
      <c r="AC172" s="52" t="str">
        <f>IFERROR(__xludf.DUMMYFUNCTION("IFERROR(
  VLOOKUP(
    A172,
    IMPORTRANGE(
      ""1ZHMy3vVUd_0MrSduXTe1etBb1HNpAlGwQr006ljwMiM"",
      ""GSC最新!A:R""
    ),
    18,
    FALSE
  ),
  0
)
"),"")</f>
        <v/>
      </c>
      <c r="AD172" s="52">
        <f t="shared" ref="AD172:AE172" si="855">Z172-AB172</f>
        <v>0</v>
      </c>
      <c r="AE172" s="52">
        <f t="shared" si="855"/>
        <v>0</v>
      </c>
      <c r="AF172" s="53">
        <f>IFERROR(__xludf.DUMMYFUNCTION("IFERROR(
  VLOOKUP(
    A172,
    IMPORTRANGE(
      ""1ZHMy3vVUd_0MrSduXTe1etBb1HNpAlGwQr006ljwMiM"",
      ""GSC最新!A:F""
    ),
    6,
    FALSE
  ),
  0
)
"),46081.0)</f>
        <v>46081</v>
      </c>
      <c r="AG172" s="54">
        <f>IFERROR(__xludf.DUMMYFUNCTION("IFERROR(
  VLOOKUP(
    A172,
    IMPORTRANGE(
      ""1SCYQd7_cobOYqT0r_F0IqD4tE4rYn5y8Eup4PJTH8es"",
      ""Snapshot!A:M""
    ),
    5,
    FALSE
  ),
  ""-""
)
"),0.0)</f>
        <v>0</v>
      </c>
      <c r="AH172" s="54">
        <f>IFERROR(__xludf.DUMMYFUNCTION("IFERROR(
  VLOOKUP(
    A172,
    IMPORTRANGE(
      ""1SCYQd7_cobOYqT0r_F0IqD4tE4rYn5y8Eup4PJTH8es"",
      ""Snapshot!A:M""
    ),
    6,
    FALSE
  ),
  0
)
"),0.0)</f>
        <v>0</v>
      </c>
      <c r="AI172" s="54">
        <f>IFERROR(__xludf.DUMMYFUNCTION("IFERROR(
  VLOOKUP(
    A172,
    IMPORTRANGE(
      ""1SCYQd7_cobOYqT0r_F0IqD4tE4rYn5y8Eup4PJTH8es"",
      ""Snapshot!A:M""
    ),
    7,
    FALSE
  ),
  0
)
"),864.0)</f>
        <v>864</v>
      </c>
      <c r="AJ172" s="54">
        <f>IFERROR(__xludf.DUMMYFUNCTION("IFERROR(
  VLOOKUP(
    A172,
    IMPORTRANGE(
      ""1SCYQd7_cobOYqT0r_F0IqD4tE4rYn5y8Eup4PJTH8es"",
      ""Snapshot!A:M""
    ),
    8,
    FALSE
  ),
  0
)
"),4.0)</f>
        <v>4</v>
      </c>
      <c r="AK172" s="54">
        <f>IFERROR(__xludf.DUMMYFUNCTION("IFERROR(
  VLOOKUP(
    A172,
    IMPORTRANGE(
      ""1SCYQd7_cobOYqT0r_F0IqD4tE4rYn5y8Eup4PJTH8es"",
      ""Snapshot!A:M""
    ),
    9,
    FALSE
  ),
  0
)
"),1.0)</f>
        <v>1</v>
      </c>
      <c r="AL172" s="54">
        <f>IFERROR(__xludf.DUMMYFUNCTION("IFERROR(
  VLOOKUP(
    A172,
    IMPORTRANGE(
      ""1SCYQd7_cobOYqT0r_F0IqD4tE4rYn5y8Eup4PJTH8es"",
      ""Snapshot!A:M""
    ),
    13,
    FALSE
  ),
  0
)
"),2.0)</f>
        <v>2</v>
      </c>
    </row>
    <row r="173">
      <c r="A173" s="3" t="s">
        <v>496</v>
      </c>
      <c r="B173" s="1" t="str">
        <f>IFERROR(__xludf.DUMMYFUNCTION("IFERROR(
  VLOOKUP(
    A173,
    IMPORTRANGE(
      ""1ZygntHC1J6IxzKbTidmOyf5nUyW4GCLurHCjexrLm_o"",
      ""HTMLキャッシュ!A:F""
    ),
    2,
    FALSE
  ),
  0
)
"),"NW")</f>
        <v>NW</v>
      </c>
      <c r="C173" s="1" t="str">
        <f>IFERROR(__xludf.DUMMYFUNCTION("IFERROR(
  VLOOKUP(
    A173,
    IMPORTRANGE(
      ""1ZygntHC1J6IxzKbTidmOyf5nUyW4GCLurHCjexrLm_o"",
      ""HTMLキャッシュ!A:F""
    ),
    5,
    FALSE
  ),
  0
)
"),"11月3日(土)「早稲田大突破セミナー」開催のお知らせ - 中学受験専門 夏井算数塾")</f>
        <v>11月3日(土)「早稲田大突破セミナー」開催のお知らせ - 中学受験専門 夏井算数塾</v>
      </c>
      <c r="D173" s="1" t="str">
        <f>IFERROR(__xludf.DUMMYFUNCTION("IFERROR(
  VLOOKUP(
    A173,
    IMPORTRANGE(
      ""1ZygntHC1J6IxzKbTidmOyf5nUyW4GCLurHCjexrLm_o        "",
      ""HTMLキャッシュ!A:F""
    ),
    6,
    FALSE
  ),
  0
)
"),"本日は掲題の件につきましてお知らせさせて頂きます。 中高一貫校専門塾エスコットにて、11月3日(火)に、「早稲")</f>
        <v>本日は掲題の件につきましてお知らせさせて頂きます。 中高一貫校専門塾エスコットにて、11月3日(火)に、「早稲</v>
      </c>
      <c r="E173" s="49">
        <f t="shared" ref="E173:F173" si="856">LEN(C173)</f>
        <v>42</v>
      </c>
      <c r="F173" s="49">
        <f t="shared" si="856"/>
        <v>55</v>
      </c>
      <c r="G173" s="32">
        <f>IFERROR(__xludf.DUMMYFUNCTION("IFERROR(
  VLOOKUP(
    A173,
    IMPORTRANGE(
      ""1ZygntHC1J6IxzKbTidmOyf5nUyW4GCLurHCjexrLm_o        "",
      ""HTMLキャッシュ!A:F""
    ),
    3,
    FALSE
  ),
  0
)
"),44126.53905092592)</f>
        <v>44126.53905</v>
      </c>
      <c r="H173" s="54">
        <f>IFERROR(__xludf.DUMMYFUNCTION("IFERROR(
  VLOOKUP(
    A173,
    IMPORTRANGE(
      ""1ZHMy3vVUd_0MrSduXTe1etBb1HNpAlGwQr006ljwMiM"",
      ""GSC最新!A:F""
    ),
    2,
    FALSE
  ),
  0
)
"),0.0)</f>
        <v>0</v>
      </c>
      <c r="I173" s="54">
        <f>IFERROR(__xludf.DUMMYFUNCTION("IFERROR(
  VLOOKUP(
    A173,
    IMPORTRANGE(
      ""1ZHMy3vVUd_0MrSduXTe1etBb1HNpAlGwQr006ljwMiM"",
      ""GSC最新!A:F""
    ),
    3,
    FALSE
  ),
  0
)
"),0.0)</f>
        <v>0</v>
      </c>
      <c r="J173" s="54">
        <f>IFERROR(__xludf.DUMMYFUNCTION("IFERROR(
  VLOOKUP(
    A173,
    IMPORTRANGE(
      ""1ZHMy3vVUd_0MrSduXTe1etBb1HNpAlGwQr006ljwMiM"",
      ""GSC最新!A:F""
    ),
    4,
    FALSE
  ),
  0
)
"),0.0)</f>
        <v>0</v>
      </c>
      <c r="K173" s="54">
        <f>IFERROR(__xludf.DUMMYFUNCTION("IFERROR(
  VLOOKUP(
    A173,
    IMPORTRANGE(
      ""1ZHMy3vVUd_0MrSduXTe1etBb1HNpAlGwQr006ljwMiM"",
      ""GSC最新!A:F""
    ),
    5,
    FALSE
  ),
  0
)
"),0.0)</f>
        <v>0</v>
      </c>
      <c r="L173" s="50" t="str">
        <f t="shared" ref="L173:M173" si="857">IFERROR(H173/J173,"-")</f>
        <v>-</v>
      </c>
      <c r="M173" s="50" t="str">
        <f t="shared" si="857"/>
        <v>-</v>
      </c>
      <c r="N173" s="59">
        <f>IFERROR(__xludf.DUMMYFUNCTION("IFERROR(
  VLOOKUP(
    A173,
    IMPORTRANGE(
      ""1ZHMy3vVUd_0MrSduXTe1etBb1HNpAlGwQr006ljwMiM"",
      ""GSC最新!A:R""
    ),
    7,
    FALSE
  ),
  0
)
"),0.0)</f>
        <v>0</v>
      </c>
      <c r="O173" s="59">
        <f>IFERROR(__xludf.DUMMYFUNCTION("IFERROR(
  VLOOKUP(
    A173,
    IMPORTRANGE(
      ""1ZHMy3vVUd_0MrSduXTe1etBb1HNpAlGwQr006ljwMiM"",
      ""GSC最新!A:R""
    ),
    10,
    FALSE
  ),
  0
)
"),0.0)</f>
        <v>0</v>
      </c>
      <c r="P173" s="59">
        <f>IFERROR(__xludf.DUMMYFUNCTION("IFERROR(
  VLOOKUP(
    A173,
    IMPORTRANGE(
      ""1ZHMy3vVUd_0MrSduXTe1etBb1HNpAlGwQr006ljwMiM"",
      ""GSC最新!A:R""
    ),
    13,
    FALSE
  ),
  0
)
"),0.0)</f>
        <v>0</v>
      </c>
      <c r="Q173" s="59">
        <f>IFERROR(__xludf.DUMMYFUNCTION("IFERROR(
  VLOOKUP(
    A173,
    IMPORTRANGE(
      ""1ZHMy3vVUd_0MrSduXTe1etBb1HNpAlGwQr006ljwMiM"",
      ""GSC最新!A:R""
    ),
    16,
    FALSE
  ),
  0
)
"),0.0)</f>
        <v>0</v>
      </c>
      <c r="R173" s="50" t="str">
        <f t="shared" ref="R173:S173" si="858">IFERROR(N173/P173,"-")</f>
        <v>-</v>
      </c>
      <c r="S173" s="50" t="str">
        <f t="shared" si="858"/>
        <v>-</v>
      </c>
      <c r="T173" s="60">
        <f>IFERROR(__xludf.DUMMYFUNCTION("IFERROR(
  VLOOKUP(
    A173,
    IMPORTRANGE(
      ""1ZHMy3vVUd_0MrSduXTe1etBb1HNpAlGwQr006ljwMiM"",
      ""GSC最新!A:R""
    ),
    8,
    FALSE
  ),
  0
)
"),0.0)</f>
        <v>0</v>
      </c>
      <c r="U173" s="60">
        <f>IFERROR(__xludf.DUMMYFUNCTION("IFERROR(
  VLOOKUP(
    A173,
    IMPORTRANGE(
      ""1ZHMy3vVUd_0MrSduXTe1etBb1HNpAlGwQr006ljwMiM"",
      ""GSC最新!A:R""
    ),
    11,
    FALSE
  ),
  0
)
"),0.0)</f>
        <v>0</v>
      </c>
      <c r="V173" s="60">
        <f>IFERROR(__xludf.DUMMYFUNCTION("IFERROR(
  VLOOKUP(
    A173,
    IMPORTRANGE(
      ""1ZHMy3vVUd_0MrSduXTe1etBb1HNpAlGwQr006ljwMiM"",
      ""GSC最新!A:R""
    ),
    14,
    FALSE
  ),
  0
)
"),0.0)</f>
        <v>0</v>
      </c>
      <c r="W173" s="60">
        <f>IFERROR(__xludf.DUMMYFUNCTION("IFERROR(
  VLOOKUP(
    A173,
    IMPORTRANGE(
      ""1ZHMy3vVUd_0MrSduXTe1etBb1HNpAlGwQr006ljwMiM"",
      ""GSC最新!A:R""
    ),
    17,
    FALSE
  ),
  0
)
"),0.0)</f>
        <v>0</v>
      </c>
      <c r="X173" s="60">
        <f t="shared" ref="X173:Y173" si="859">IFERROR(T173-V173,"-")</f>
        <v>0</v>
      </c>
      <c r="Y173" s="60">
        <f t="shared" si="859"/>
        <v>0</v>
      </c>
      <c r="Z173" s="52" t="str">
        <f>IFERROR(__xludf.DUMMYFUNCTION("IFERROR(
  VLOOKUP(
    A173,
    IMPORTRANGE(
      ""1ZHMy3vVUd_0MrSduXTe1etBb1HNpAlGwQr006ljwMiM"",
      ""GSC最新!A:R""
    ),
    9,
    FALSE
  ),
  0
)
"),"")</f>
        <v/>
      </c>
      <c r="AA173" s="52" t="str">
        <f>IFERROR(__xludf.DUMMYFUNCTION("IFERROR(
  VLOOKUP(
    A173,
    IMPORTRANGE(
      ""1ZHMy3vVUd_0MrSduXTe1etBb1HNpAlGwQr006ljwMiM"",
      ""GSC最新!A:R""
    ),
    12,
    FALSE
  ),
  0
)
"),"")</f>
        <v/>
      </c>
      <c r="AB173" s="52" t="str">
        <f>IFERROR(__xludf.DUMMYFUNCTION("IFERROR(
  VLOOKUP(
    A173,
    IMPORTRANGE(
      ""1ZHMy3vVUd_0MrSduXTe1etBb1HNpAlGwQr006ljwMiM"",
      ""GSC最新!A:R""
    ),
    15,
    FALSE
  ),
  0
)
"),"")</f>
        <v/>
      </c>
      <c r="AC173" s="52" t="str">
        <f>IFERROR(__xludf.DUMMYFUNCTION("IFERROR(
  VLOOKUP(
    A173,
    IMPORTRANGE(
      ""1ZHMy3vVUd_0MrSduXTe1etBb1HNpAlGwQr006ljwMiM"",
      ""GSC最新!A:R""
    ),
    18,
    FALSE
  ),
  0
)
"),"")</f>
        <v/>
      </c>
      <c r="AD173" s="52">
        <f t="shared" ref="AD173:AE173" si="860">Z173-AB173</f>
        <v>0</v>
      </c>
      <c r="AE173" s="52">
        <f t="shared" si="860"/>
        <v>0</v>
      </c>
      <c r="AF173" s="53">
        <f>IFERROR(__xludf.DUMMYFUNCTION("IFERROR(
  VLOOKUP(
    A173,
    IMPORTRANGE(
      ""1ZHMy3vVUd_0MrSduXTe1etBb1HNpAlGwQr006ljwMiM"",
      ""GSC最新!A:F""
    ),
    6,
    FALSE
  ),
  0
)
"),46081.0)</f>
        <v>46081</v>
      </c>
      <c r="AG173" s="54">
        <f>IFERROR(__xludf.DUMMYFUNCTION("IFERROR(
  VLOOKUP(
    A173,
    IMPORTRANGE(
      ""1SCYQd7_cobOYqT0r_F0IqD4tE4rYn5y8Eup4PJTH8es"",
      ""Snapshot!A:M""
    ),
    5,
    FALSE
  ),
  ""-""
)
"),0.0)</f>
        <v>0</v>
      </c>
      <c r="AH173" s="54">
        <f>IFERROR(__xludf.DUMMYFUNCTION("IFERROR(
  VLOOKUP(
    A173,
    IMPORTRANGE(
      ""1SCYQd7_cobOYqT0r_F0IqD4tE4rYn5y8Eup4PJTH8es"",
      ""Snapshot!A:M""
    ),
    6,
    FALSE
  ),
  0
)
"),0.0)</f>
        <v>0</v>
      </c>
      <c r="AI173" s="54">
        <f>IFERROR(__xludf.DUMMYFUNCTION("IFERROR(
  VLOOKUP(
    A173,
    IMPORTRANGE(
      ""1SCYQd7_cobOYqT0r_F0IqD4tE4rYn5y8Eup4PJTH8es"",
      ""Snapshot!A:M""
    ),
    7,
    FALSE
  ),
  0
)
"),737.0)</f>
        <v>737</v>
      </c>
      <c r="AJ173" s="54">
        <f>IFERROR(__xludf.DUMMYFUNCTION("IFERROR(
  VLOOKUP(
    A173,
    IMPORTRANGE(
      ""1SCYQd7_cobOYqT0r_F0IqD4tE4rYn5y8Eup4PJTH8es"",
      ""Snapshot!A:M""
    ),
    8,
    FALSE
  ),
  0
)
"),0.0)</f>
        <v>0</v>
      </c>
      <c r="AK173" s="54">
        <f>IFERROR(__xludf.DUMMYFUNCTION("IFERROR(
  VLOOKUP(
    A173,
    IMPORTRANGE(
      ""1SCYQd7_cobOYqT0r_F0IqD4tE4rYn5y8Eup4PJTH8es"",
      ""Snapshot!A:M""
    ),
    9,
    FALSE
  ),
  0
)
"),1.0)</f>
        <v>1</v>
      </c>
      <c r="AL173" s="54">
        <f>IFERROR(__xludf.DUMMYFUNCTION("IFERROR(
  VLOOKUP(
    A173,
    IMPORTRANGE(
      ""1SCYQd7_cobOYqT0r_F0IqD4tE4rYn5y8Eup4PJTH8es"",
      ""Snapshot!A:M""
    ),
    13,
    FALSE
  ),
  0
)
"),2.0)</f>
        <v>2</v>
      </c>
    </row>
    <row r="174">
      <c r="A174" s="3" t="s">
        <v>497</v>
      </c>
      <c r="B174" s="1" t="str">
        <f>IFERROR(__xludf.DUMMYFUNCTION("IFERROR(
  VLOOKUP(
    A174,
    IMPORTRANGE(
      ""1ZygntHC1J6IxzKbTidmOyf5nUyW4GCLurHCjexrLm_o"",
      ""HTMLキャッシュ!A:F""
    ),
    2,
    FALSE
  ),
  0
)
"),"NW")</f>
        <v>NW</v>
      </c>
      <c r="C174" s="1" t="str">
        <f>IFERROR(__xludf.DUMMYFUNCTION("IFERROR(
  VLOOKUP(
    A174,
    IMPORTRANGE(
      ""1ZygntHC1J6IxzKbTidmOyf5nUyW4GCLurHCjexrLm_o"",
      ""HTMLキャッシュ!A:F""
    ),
    5,
    FALSE
  ),
  0
)
"),"2020年度冬期講習のお知らせ - 中学受験専門 夏井算数塾")</f>
        <v>2020年度冬期講習のお知らせ - 中学受験専門 夏井算数塾</v>
      </c>
      <c r="D174" s="1" t="str">
        <f>IFERROR(__xludf.DUMMYFUNCTION("IFERROR(
  VLOOKUP(
    A174,
    IMPORTRANGE(
      ""1ZygntHC1J6IxzKbTidmOyf5nUyW4GCLurHCjexrLm_o        "",
      ""HTMLキャッシュ!A:F""
    ),
    6,
    FALSE
  ),
  0
)
"),"弊塾では冬期講習会を実施させて頂く運びとなりました。 現在当塾に通塾されている塾生の皆さんは勿論のこと、 普段")</f>
        <v>弊塾では冬期講習会を実施させて頂く運びとなりました。 現在当塾に通塾されている塾生の皆さんは勿論のこと、 普段</v>
      </c>
      <c r="E174" s="49">
        <f t="shared" ref="E174:F174" si="861">LEN(C174)</f>
        <v>30</v>
      </c>
      <c r="F174" s="49">
        <f t="shared" si="861"/>
        <v>55</v>
      </c>
      <c r="G174" s="32">
        <f>IFERROR(__xludf.DUMMYFUNCTION("IFERROR(
  VLOOKUP(
    A174,
    IMPORTRANGE(
      ""1ZygntHC1J6IxzKbTidmOyf5nUyW4GCLurHCjexrLm_o        "",
      ""HTMLキャッシュ!A:F""
    ),
    3,
    FALSE
  ),
  0
)
"),45593.56138888889)</f>
        <v>45593.56139</v>
      </c>
      <c r="H174" s="54">
        <f>IFERROR(__xludf.DUMMYFUNCTION("IFERROR(
  VLOOKUP(
    A174,
    IMPORTRANGE(
      ""1ZHMy3vVUd_0MrSduXTe1etBb1HNpAlGwQr006ljwMiM"",
      ""GSC最新!A:F""
    ),
    2,
    FALSE
  ),
  0
)
"),0.0)</f>
        <v>0</v>
      </c>
      <c r="I174" s="54">
        <f>IFERROR(__xludf.DUMMYFUNCTION("IFERROR(
  VLOOKUP(
    A174,
    IMPORTRANGE(
      ""1ZHMy3vVUd_0MrSduXTe1etBb1HNpAlGwQr006ljwMiM"",
      ""GSC最新!A:F""
    ),
    3,
    FALSE
  ),
  0
)
"),0.0)</f>
        <v>0</v>
      </c>
      <c r="J174" s="54">
        <f>IFERROR(__xludf.DUMMYFUNCTION("IFERROR(
  VLOOKUP(
    A174,
    IMPORTRANGE(
      ""1ZHMy3vVUd_0MrSduXTe1etBb1HNpAlGwQr006ljwMiM"",
      ""GSC最新!A:F""
    ),
    4,
    FALSE
  ),
  0
)
"),0.0)</f>
        <v>0</v>
      </c>
      <c r="K174" s="54">
        <f>IFERROR(__xludf.DUMMYFUNCTION("IFERROR(
  VLOOKUP(
    A174,
    IMPORTRANGE(
      ""1ZHMy3vVUd_0MrSduXTe1etBb1HNpAlGwQr006ljwMiM"",
      ""GSC最新!A:F""
    ),
    5,
    FALSE
  ),
  0
)
"),0.0)</f>
        <v>0</v>
      </c>
      <c r="L174" s="50" t="str">
        <f t="shared" ref="L174:M174" si="862">IFERROR(H174/J174,"-")</f>
        <v>-</v>
      </c>
      <c r="M174" s="50" t="str">
        <f t="shared" si="862"/>
        <v>-</v>
      </c>
      <c r="N174" s="59">
        <f>IFERROR(__xludf.DUMMYFUNCTION("IFERROR(
  VLOOKUP(
    A174,
    IMPORTRANGE(
      ""1ZHMy3vVUd_0MrSduXTe1etBb1HNpAlGwQr006ljwMiM"",
      ""GSC最新!A:R""
    ),
    7,
    FALSE
  ),
  0
)
"),0.0)</f>
        <v>0</v>
      </c>
      <c r="O174" s="59">
        <f>IFERROR(__xludf.DUMMYFUNCTION("IFERROR(
  VLOOKUP(
    A174,
    IMPORTRANGE(
      ""1ZHMy3vVUd_0MrSduXTe1etBb1HNpAlGwQr006ljwMiM"",
      ""GSC最新!A:R""
    ),
    10,
    FALSE
  ),
  0
)
"),0.0)</f>
        <v>0</v>
      </c>
      <c r="P174" s="59">
        <f>IFERROR(__xludf.DUMMYFUNCTION("IFERROR(
  VLOOKUP(
    A174,
    IMPORTRANGE(
      ""1ZHMy3vVUd_0MrSduXTe1etBb1HNpAlGwQr006ljwMiM"",
      ""GSC最新!A:R""
    ),
    13,
    FALSE
  ),
  0
)
"),0.0)</f>
        <v>0</v>
      </c>
      <c r="Q174" s="59">
        <f>IFERROR(__xludf.DUMMYFUNCTION("IFERROR(
  VLOOKUP(
    A174,
    IMPORTRANGE(
      ""1ZHMy3vVUd_0MrSduXTe1etBb1HNpAlGwQr006ljwMiM"",
      ""GSC最新!A:R""
    ),
    16,
    FALSE
  ),
  0
)
"),0.0)</f>
        <v>0</v>
      </c>
      <c r="R174" s="50" t="str">
        <f t="shared" ref="R174:S174" si="863">IFERROR(N174/P174,"-")</f>
        <v>-</v>
      </c>
      <c r="S174" s="50" t="str">
        <f t="shared" si="863"/>
        <v>-</v>
      </c>
      <c r="T174" s="60">
        <f>IFERROR(__xludf.DUMMYFUNCTION("IFERROR(
  VLOOKUP(
    A174,
    IMPORTRANGE(
      ""1ZHMy3vVUd_0MrSduXTe1etBb1HNpAlGwQr006ljwMiM"",
      ""GSC最新!A:R""
    ),
    8,
    FALSE
  ),
  0
)
"),0.0)</f>
        <v>0</v>
      </c>
      <c r="U174" s="60">
        <f>IFERROR(__xludf.DUMMYFUNCTION("IFERROR(
  VLOOKUP(
    A174,
    IMPORTRANGE(
      ""1ZHMy3vVUd_0MrSduXTe1etBb1HNpAlGwQr006ljwMiM"",
      ""GSC最新!A:R""
    ),
    11,
    FALSE
  ),
  0
)
"),0.0)</f>
        <v>0</v>
      </c>
      <c r="V174" s="60">
        <f>IFERROR(__xludf.DUMMYFUNCTION("IFERROR(
  VLOOKUP(
    A174,
    IMPORTRANGE(
      ""1ZHMy3vVUd_0MrSduXTe1etBb1HNpAlGwQr006ljwMiM"",
      ""GSC最新!A:R""
    ),
    14,
    FALSE
  ),
  0
)
"),0.0)</f>
        <v>0</v>
      </c>
      <c r="W174" s="60">
        <f>IFERROR(__xludf.DUMMYFUNCTION("IFERROR(
  VLOOKUP(
    A174,
    IMPORTRANGE(
      ""1ZHMy3vVUd_0MrSduXTe1etBb1HNpAlGwQr006ljwMiM"",
      ""GSC最新!A:R""
    ),
    17,
    FALSE
  ),
  0
)
"),0.0)</f>
        <v>0</v>
      </c>
      <c r="X174" s="60">
        <f t="shared" ref="X174:Y174" si="864">IFERROR(T174-V174,"-")</f>
        <v>0</v>
      </c>
      <c r="Y174" s="60">
        <f t="shared" si="864"/>
        <v>0</v>
      </c>
      <c r="Z174" s="52" t="str">
        <f>IFERROR(__xludf.DUMMYFUNCTION("IFERROR(
  VLOOKUP(
    A174,
    IMPORTRANGE(
      ""1ZHMy3vVUd_0MrSduXTe1etBb1HNpAlGwQr006ljwMiM"",
      ""GSC最新!A:R""
    ),
    9,
    FALSE
  ),
  0
)
"),"")</f>
        <v/>
      </c>
      <c r="AA174" s="52" t="str">
        <f>IFERROR(__xludf.DUMMYFUNCTION("IFERROR(
  VLOOKUP(
    A174,
    IMPORTRANGE(
      ""1ZHMy3vVUd_0MrSduXTe1etBb1HNpAlGwQr006ljwMiM"",
      ""GSC最新!A:R""
    ),
    12,
    FALSE
  ),
  0
)
"),"")</f>
        <v/>
      </c>
      <c r="AB174" s="52" t="str">
        <f>IFERROR(__xludf.DUMMYFUNCTION("IFERROR(
  VLOOKUP(
    A174,
    IMPORTRANGE(
      ""1ZHMy3vVUd_0MrSduXTe1etBb1HNpAlGwQr006ljwMiM"",
      ""GSC最新!A:R""
    ),
    15,
    FALSE
  ),
  0
)
"),"")</f>
        <v/>
      </c>
      <c r="AC174" s="52" t="str">
        <f>IFERROR(__xludf.DUMMYFUNCTION("IFERROR(
  VLOOKUP(
    A174,
    IMPORTRANGE(
      ""1ZHMy3vVUd_0MrSduXTe1etBb1HNpAlGwQr006ljwMiM"",
      ""GSC最新!A:R""
    ),
    18,
    FALSE
  ),
  0
)
"),"")</f>
        <v/>
      </c>
      <c r="AD174" s="52">
        <f t="shared" ref="AD174:AE174" si="865">Z174-AB174</f>
        <v>0</v>
      </c>
      <c r="AE174" s="52">
        <f t="shared" si="865"/>
        <v>0</v>
      </c>
      <c r="AF174" s="53">
        <f>IFERROR(__xludf.DUMMYFUNCTION("IFERROR(
  VLOOKUP(
    A174,
    IMPORTRANGE(
      ""1ZHMy3vVUd_0MrSduXTe1etBb1HNpAlGwQr006ljwMiM"",
      ""GSC最新!A:F""
    ),
    6,
    FALSE
  ),
  0
)
"),46081.0)</f>
        <v>46081</v>
      </c>
      <c r="AG174" s="54">
        <f>IFERROR(__xludf.DUMMYFUNCTION("IFERROR(
  VLOOKUP(
    A174,
    IMPORTRANGE(
      ""1SCYQd7_cobOYqT0r_F0IqD4tE4rYn5y8Eup4PJTH8es"",
      ""Snapshot!A:M""
    ),
    5,
    FALSE
  ),
  ""-""
)
"),0.0)</f>
        <v>0</v>
      </c>
      <c r="AH174" s="54">
        <f>IFERROR(__xludf.DUMMYFUNCTION("IFERROR(
  VLOOKUP(
    A174,
    IMPORTRANGE(
      ""1SCYQd7_cobOYqT0r_F0IqD4tE4rYn5y8Eup4PJTH8es"",
      ""Snapshot!A:M""
    ),
    6,
    FALSE
  ),
  0
)
"),0.0)</f>
        <v>0</v>
      </c>
      <c r="AI174" s="54">
        <f>IFERROR(__xludf.DUMMYFUNCTION("IFERROR(
  VLOOKUP(
    A174,
    IMPORTRANGE(
      ""1SCYQd7_cobOYqT0r_F0IqD4tE4rYn5y8Eup4PJTH8es"",
      ""Snapshot!A:M""
    ),
    7,
    FALSE
  ),
  0
)
"),864.0)</f>
        <v>864</v>
      </c>
      <c r="AJ174" s="54">
        <f>IFERROR(__xludf.DUMMYFUNCTION("IFERROR(
  VLOOKUP(
    A174,
    IMPORTRANGE(
      ""1SCYQd7_cobOYqT0r_F0IqD4tE4rYn5y8Eup4PJTH8es"",
      ""Snapshot!A:M""
    ),
    8,
    FALSE
  ),
  0
)
"),5.0)</f>
        <v>5</v>
      </c>
      <c r="AK174" s="54">
        <f>IFERROR(__xludf.DUMMYFUNCTION("IFERROR(
  VLOOKUP(
    A174,
    IMPORTRANGE(
      ""1SCYQd7_cobOYqT0r_F0IqD4tE4rYn5y8Eup4PJTH8es"",
      ""Snapshot!A:M""
    ),
    9,
    FALSE
  ),
  0
)
"),1.0)</f>
        <v>1</v>
      </c>
      <c r="AL174" s="54">
        <f>IFERROR(__xludf.DUMMYFUNCTION("IFERROR(
  VLOOKUP(
    A174,
    IMPORTRANGE(
      ""1SCYQd7_cobOYqT0r_F0IqD4tE4rYn5y8Eup4PJTH8es"",
      ""Snapshot!A:M""
    ),
    13,
    FALSE
  ),
  0
)
"),2.0)</f>
        <v>2</v>
      </c>
    </row>
    <row r="175">
      <c r="A175" s="3" t="s">
        <v>498</v>
      </c>
      <c r="B175" s="1" t="str">
        <f>IFERROR(__xludf.DUMMYFUNCTION("IFERROR(
  VLOOKUP(
    A175,
    IMPORTRANGE(
      ""1ZygntHC1J6IxzKbTidmOyf5nUyW4GCLurHCjexrLm_o"",
      ""HTMLキャッシュ!A:F""
    ),
    2,
    FALSE
  ),
  0
)
"),"NW")</f>
        <v>NW</v>
      </c>
      <c r="C175" s="1" t="str">
        <f>IFERROR(__xludf.DUMMYFUNCTION("IFERROR(
  VLOOKUP(
    A175,
    IMPORTRANGE(
      ""1ZygntHC1J6IxzKbTidmOyf5nUyW4GCLurHCjexrLm_o"",
      ""HTMLキャッシュ!A:F""
    ),
    5,
    FALSE
  ),
  0
)
"),"2021年度春期講習のお知らせ【個別】 - 中学受験専門 夏井算数塾")</f>
        <v>2021年度春期講習のお知らせ【個別】 - 中学受験専門 夏井算数塾</v>
      </c>
      <c r="D175" s="1" t="str">
        <f>IFERROR(__xludf.DUMMYFUNCTION("IFERROR(
  VLOOKUP(
    A175,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75" s="49">
        <f t="shared" ref="E175:F175" si="866">LEN(C175)</f>
        <v>34</v>
      </c>
      <c r="F175" s="49">
        <f t="shared" si="866"/>
        <v>55</v>
      </c>
      <c r="G175" s="32">
        <f>IFERROR(__xludf.DUMMYFUNCTION("IFERROR(
  VLOOKUP(
    A175,
    IMPORTRANGE(
      ""1ZygntHC1J6IxzKbTidmOyf5nUyW4GCLurHCjexrLm_o        "",
      ""HTMLキャッシュ!A:F""
    ),
    3,
    FALSE
  ),
  0
)
"),44263.666446759256)</f>
        <v>44263.66645</v>
      </c>
      <c r="H175" s="54">
        <f>IFERROR(__xludf.DUMMYFUNCTION("IFERROR(
  VLOOKUP(
    A175,
    IMPORTRANGE(
      ""1ZHMy3vVUd_0MrSduXTe1etBb1HNpAlGwQr006ljwMiM"",
      ""GSC最新!A:F""
    ),
    2,
    FALSE
  ),
  0
)
"),0.0)</f>
        <v>0</v>
      </c>
      <c r="I175" s="54">
        <f>IFERROR(__xludf.DUMMYFUNCTION("IFERROR(
  VLOOKUP(
    A175,
    IMPORTRANGE(
      ""1ZHMy3vVUd_0MrSduXTe1etBb1HNpAlGwQr006ljwMiM"",
      ""GSC最新!A:F""
    ),
    3,
    FALSE
  ),
  0
)
"),0.0)</f>
        <v>0</v>
      </c>
      <c r="J175" s="54">
        <f>IFERROR(__xludf.DUMMYFUNCTION("IFERROR(
  VLOOKUP(
    A175,
    IMPORTRANGE(
      ""1ZHMy3vVUd_0MrSduXTe1etBb1HNpAlGwQr006ljwMiM"",
      ""GSC最新!A:F""
    ),
    4,
    FALSE
  ),
  0
)
"),0.0)</f>
        <v>0</v>
      </c>
      <c r="K175" s="54">
        <f>IFERROR(__xludf.DUMMYFUNCTION("IFERROR(
  VLOOKUP(
    A175,
    IMPORTRANGE(
      ""1ZHMy3vVUd_0MrSduXTe1etBb1HNpAlGwQr006ljwMiM"",
      ""GSC最新!A:F""
    ),
    5,
    FALSE
  ),
  0
)
"),0.0)</f>
        <v>0</v>
      </c>
      <c r="L175" s="50" t="str">
        <f t="shared" ref="L175:M175" si="867">IFERROR(H175/J175,"-")</f>
        <v>-</v>
      </c>
      <c r="M175" s="50" t="str">
        <f t="shared" si="867"/>
        <v>-</v>
      </c>
      <c r="N175" s="59">
        <f>IFERROR(__xludf.DUMMYFUNCTION("IFERROR(
  VLOOKUP(
    A175,
    IMPORTRANGE(
      ""1ZHMy3vVUd_0MrSduXTe1etBb1HNpAlGwQr006ljwMiM"",
      ""GSC最新!A:R""
    ),
    7,
    FALSE
  ),
  0
)
"),0.0)</f>
        <v>0</v>
      </c>
      <c r="O175" s="59">
        <f>IFERROR(__xludf.DUMMYFUNCTION("IFERROR(
  VLOOKUP(
    A175,
    IMPORTRANGE(
      ""1ZHMy3vVUd_0MrSduXTe1etBb1HNpAlGwQr006ljwMiM"",
      ""GSC最新!A:R""
    ),
    10,
    FALSE
  ),
  0
)
"),0.0)</f>
        <v>0</v>
      </c>
      <c r="P175" s="59">
        <f>IFERROR(__xludf.DUMMYFUNCTION("IFERROR(
  VLOOKUP(
    A175,
    IMPORTRANGE(
      ""1ZHMy3vVUd_0MrSduXTe1etBb1HNpAlGwQr006ljwMiM"",
      ""GSC最新!A:R""
    ),
    13,
    FALSE
  ),
  0
)
"),0.0)</f>
        <v>0</v>
      </c>
      <c r="Q175" s="59">
        <f>IFERROR(__xludf.DUMMYFUNCTION("IFERROR(
  VLOOKUP(
    A175,
    IMPORTRANGE(
      ""1ZHMy3vVUd_0MrSduXTe1etBb1HNpAlGwQr006ljwMiM"",
      ""GSC最新!A:R""
    ),
    16,
    FALSE
  ),
  0
)
"),0.0)</f>
        <v>0</v>
      </c>
      <c r="R175" s="50" t="str">
        <f t="shared" ref="R175:S175" si="868">IFERROR(N175/P175,"-")</f>
        <v>-</v>
      </c>
      <c r="S175" s="50" t="str">
        <f t="shared" si="868"/>
        <v>-</v>
      </c>
      <c r="T175" s="60">
        <f>IFERROR(__xludf.DUMMYFUNCTION("IFERROR(
  VLOOKUP(
    A175,
    IMPORTRANGE(
      ""1ZHMy3vVUd_0MrSduXTe1etBb1HNpAlGwQr006ljwMiM"",
      ""GSC最新!A:R""
    ),
    8,
    FALSE
  ),
  0
)
"),0.0)</f>
        <v>0</v>
      </c>
      <c r="U175" s="60">
        <f>IFERROR(__xludf.DUMMYFUNCTION("IFERROR(
  VLOOKUP(
    A175,
    IMPORTRANGE(
      ""1ZHMy3vVUd_0MrSduXTe1etBb1HNpAlGwQr006ljwMiM"",
      ""GSC最新!A:R""
    ),
    11,
    FALSE
  ),
  0
)
"),0.0)</f>
        <v>0</v>
      </c>
      <c r="V175" s="60">
        <f>IFERROR(__xludf.DUMMYFUNCTION("IFERROR(
  VLOOKUP(
    A175,
    IMPORTRANGE(
      ""1ZHMy3vVUd_0MrSduXTe1etBb1HNpAlGwQr006ljwMiM"",
      ""GSC最新!A:R""
    ),
    14,
    FALSE
  ),
  0
)
"),0.0)</f>
        <v>0</v>
      </c>
      <c r="W175" s="60">
        <f>IFERROR(__xludf.DUMMYFUNCTION("IFERROR(
  VLOOKUP(
    A175,
    IMPORTRANGE(
      ""1ZHMy3vVUd_0MrSduXTe1etBb1HNpAlGwQr006ljwMiM"",
      ""GSC最新!A:R""
    ),
    17,
    FALSE
  ),
  0
)
"),0.0)</f>
        <v>0</v>
      </c>
      <c r="X175" s="60">
        <f t="shared" ref="X175:Y175" si="869">IFERROR(T175-V175,"-")</f>
        <v>0</v>
      </c>
      <c r="Y175" s="60">
        <f t="shared" si="869"/>
        <v>0</v>
      </c>
      <c r="Z175" s="52" t="str">
        <f>IFERROR(__xludf.DUMMYFUNCTION("IFERROR(
  VLOOKUP(
    A175,
    IMPORTRANGE(
      ""1ZHMy3vVUd_0MrSduXTe1etBb1HNpAlGwQr006ljwMiM"",
      ""GSC最新!A:R""
    ),
    9,
    FALSE
  ),
  0
)
"),"")</f>
        <v/>
      </c>
      <c r="AA175" s="52" t="str">
        <f>IFERROR(__xludf.DUMMYFUNCTION("IFERROR(
  VLOOKUP(
    A175,
    IMPORTRANGE(
      ""1ZHMy3vVUd_0MrSduXTe1etBb1HNpAlGwQr006ljwMiM"",
      ""GSC最新!A:R""
    ),
    12,
    FALSE
  ),
  0
)
"),"")</f>
        <v/>
      </c>
      <c r="AB175" s="52" t="str">
        <f>IFERROR(__xludf.DUMMYFUNCTION("IFERROR(
  VLOOKUP(
    A175,
    IMPORTRANGE(
      ""1ZHMy3vVUd_0MrSduXTe1etBb1HNpAlGwQr006ljwMiM"",
      ""GSC最新!A:R""
    ),
    15,
    FALSE
  ),
  0
)
"),"")</f>
        <v/>
      </c>
      <c r="AC175" s="52" t="str">
        <f>IFERROR(__xludf.DUMMYFUNCTION("IFERROR(
  VLOOKUP(
    A175,
    IMPORTRANGE(
      ""1ZHMy3vVUd_0MrSduXTe1etBb1HNpAlGwQr006ljwMiM"",
      ""GSC最新!A:R""
    ),
    18,
    FALSE
  ),
  0
)
"),"")</f>
        <v/>
      </c>
      <c r="AD175" s="52">
        <f t="shared" ref="AD175:AE175" si="870">Z175-AB175</f>
        <v>0</v>
      </c>
      <c r="AE175" s="52">
        <f t="shared" si="870"/>
        <v>0</v>
      </c>
      <c r="AF175" s="53">
        <f>IFERROR(__xludf.DUMMYFUNCTION("IFERROR(
  VLOOKUP(
    A175,
    IMPORTRANGE(
      ""1ZHMy3vVUd_0MrSduXTe1etBb1HNpAlGwQr006ljwMiM"",
      ""GSC最新!A:F""
    ),
    6,
    FALSE
  ),
  0
)
"),46081.0)</f>
        <v>46081</v>
      </c>
      <c r="AG175" s="54">
        <f>IFERROR(__xludf.DUMMYFUNCTION("IFERROR(
  VLOOKUP(
    A175,
    IMPORTRANGE(
      ""1SCYQd7_cobOYqT0r_F0IqD4tE4rYn5y8Eup4PJTH8es"",
      ""Snapshot!A:M""
    ),
    5,
    FALSE
  ),
  ""-""
)
"),0.0)</f>
        <v>0</v>
      </c>
      <c r="AH175" s="54">
        <f>IFERROR(__xludf.DUMMYFUNCTION("IFERROR(
  VLOOKUP(
    A175,
    IMPORTRANGE(
      ""1SCYQd7_cobOYqT0r_F0IqD4tE4rYn5y8Eup4PJTH8es"",
      ""Snapshot!A:M""
    ),
    6,
    FALSE
  ),
  0
)
"),0.0)</f>
        <v>0</v>
      </c>
      <c r="AI175" s="54">
        <f>IFERROR(__xludf.DUMMYFUNCTION("IFERROR(
  VLOOKUP(
    A175,
    IMPORTRANGE(
      ""1SCYQd7_cobOYqT0r_F0IqD4tE4rYn5y8Eup4PJTH8es"",
      ""Snapshot!A:M""
    ),
    7,
    FALSE
  ),
  0
)
"),976.0)</f>
        <v>976</v>
      </c>
      <c r="AJ175" s="54">
        <f>IFERROR(__xludf.DUMMYFUNCTION("IFERROR(
  VLOOKUP(
    A175,
    IMPORTRANGE(
      ""1SCYQd7_cobOYqT0r_F0IqD4tE4rYn5y8Eup4PJTH8es"",
      ""Snapshot!A:M""
    ),
    8,
    FALSE
  ),
  0
)
"),4.0)</f>
        <v>4</v>
      </c>
      <c r="AK175" s="54">
        <f>IFERROR(__xludf.DUMMYFUNCTION("IFERROR(
  VLOOKUP(
    A175,
    IMPORTRANGE(
      ""1SCYQd7_cobOYqT0r_F0IqD4tE4rYn5y8Eup4PJTH8es"",
      ""Snapshot!A:M""
    ),
    9,
    FALSE
  ),
  0
)
"),1.0)</f>
        <v>1</v>
      </c>
      <c r="AL175" s="54">
        <f>IFERROR(__xludf.DUMMYFUNCTION("IFERROR(
  VLOOKUP(
    A175,
    IMPORTRANGE(
      ""1SCYQd7_cobOYqT0r_F0IqD4tE4rYn5y8Eup4PJTH8es"",
      ""Snapshot!A:M""
    ),
    13,
    FALSE
  ),
  0
)
"),2.0)</f>
        <v>2</v>
      </c>
    </row>
    <row r="176">
      <c r="A176" s="3" t="s">
        <v>499</v>
      </c>
      <c r="B176" s="1" t="str">
        <f>IFERROR(__xludf.DUMMYFUNCTION("IFERROR(
  VLOOKUP(
    A176,
    IMPORTRANGE(
      ""1ZygntHC1J6IxzKbTidmOyf5nUyW4GCLurHCjexrLm_o"",
      ""HTMLキャッシュ!A:F""
    ),
    2,
    FALSE
  ),
  0
)
"),"NW")</f>
        <v>NW</v>
      </c>
      <c r="C176" s="1" t="str">
        <f>IFERROR(__xludf.DUMMYFUNCTION("IFERROR(
  VLOOKUP(
    A176,
    IMPORTRANGE(
      ""1ZygntHC1J6IxzKbTidmOyf5nUyW4GCLurHCjexrLm_o"",
      ""HTMLキャッシュ!A:F""
    ),
    5,
    FALSE
  ),
  0
)
"),"基礎力Stadium「国語のトリガー」開校のお知らせ - 中学受験専門 夏井算数塾")</f>
        <v>基礎力Stadium「国語のトリガー」開校のお知らせ - 中学受験専門 夏井算数塾</v>
      </c>
      <c r="D176" s="1" t="str">
        <f>IFERROR(__xludf.DUMMYFUNCTION("IFERROR(
  VLOOKUP(
    A176,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176" s="49">
        <f t="shared" ref="E176:F176" si="871">LEN(C176)</f>
        <v>41</v>
      </c>
      <c r="F176" s="49">
        <f t="shared" si="871"/>
        <v>55</v>
      </c>
      <c r="G176" s="32">
        <f>IFERROR(__xludf.DUMMYFUNCTION("IFERROR(
  VLOOKUP(
    A176,
    IMPORTRANGE(
      ""1ZygntHC1J6IxzKbTidmOyf5nUyW4GCLurHCjexrLm_o        "",
      ""HTMLキャッシュ!A:F""
    ),
    3,
    FALSE
  ),
  0
)
"),44292.46396990741)</f>
        <v>44292.46397</v>
      </c>
      <c r="H176" s="54">
        <f>IFERROR(__xludf.DUMMYFUNCTION("IFERROR(
  VLOOKUP(
    A176,
    IMPORTRANGE(
      ""1ZHMy3vVUd_0MrSduXTe1etBb1HNpAlGwQr006ljwMiM"",
      ""GSC最新!A:F""
    ),
    2,
    FALSE
  ),
  0
)
"),0.0)</f>
        <v>0</v>
      </c>
      <c r="I176" s="54">
        <f>IFERROR(__xludf.DUMMYFUNCTION("IFERROR(
  VLOOKUP(
    A176,
    IMPORTRANGE(
      ""1ZHMy3vVUd_0MrSduXTe1etBb1HNpAlGwQr006ljwMiM"",
      ""GSC最新!A:F""
    ),
    3,
    FALSE
  ),
  0
)
"),0.0)</f>
        <v>0</v>
      </c>
      <c r="J176" s="54">
        <f>IFERROR(__xludf.DUMMYFUNCTION("IFERROR(
  VLOOKUP(
    A176,
    IMPORTRANGE(
      ""1ZHMy3vVUd_0MrSduXTe1etBb1HNpAlGwQr006ljwMiM"",
      ""GSC最新!A:F""
    ),
    4,
    FALSE
  ),
  0
)
"),0.0)</f>
        <v>0</v>
      </c>
      <c r="K176" s="54">
        <f>IFERROR(__xludf.DUMMYFUNCTION("IFERROR(
  VLOOKUP(
    A176,
    IMPORTRANGE(
      ""1ZHMy3vVUd_0MrSduXTe1etBb1HNpAlGwQr006ljwMiM"",
      ""GSC最新!A:F""
    ),
    5,
    FALSE
  ),
  0
)
"),0.0)</f>
        <v>0</v>
      </c>
      <c r="L176" s="50" t="str">
        <f t="shared" ref="L176:M176" si="872">IFERROR(H176/J176,"-")</f>
        <v>-</v>
      </c>
      <c r="M176" s="50" t="str">
        <f t="shared" si="872"/>
        <v>-</v>
      </c>
      <c r="N176" s="59">
        <f>IFERROR(__xludf.DUMMYFUNCTION("IFERROR(
  VLOOKUP(
    A176,
    IMPORTRANGE(
      ""1ZHMy3vVUd_0MrSduXTe1etBb1HNpAlGwQr006ljwMiM"",
      ""GSC最新!A:R""
    ),
    7,
    FALSE
  ),
  0
)
"),0.0)</f>
        <v>0</v>
      </c>
      <c r="O176" s="59">
        <f>IFERROR(__xludf.DUMMYFUNCTION("IFERROR(
  VLOOKUP(
    A176,
    IMPORTRANGE(
      ""1ZHMy3vVUd_0MrSduXTe1etBb1HNpAlGwQr006ljwMiM"",
      ""GSC最新!A:R""
    ),
    10,
    FALSE
  ),
  0
)
"),0.0)</f>
        <v>0</v>
      </c>
      <c r="P176" s="59">
        <f>IFERROR(__xludf.DUMMYFUNCTION("IFERROR(
  VLOOKUP(
    A176,
    IMPORTRANGE(
      ""1ZHMy3vVUd_0MrSduXTe1etBb1HNpAlGwQr006ljwMiM"",
      ""GSC最新!A:R""
    ),
    13,
    FALSE
  ),
  0
)
"),0.0)</f>
        <v>0</v>
      </c>
      <c r="Q176" s="59">
        <f>IFERROR(__xludf.DUMMYFUNCTION("IFERROR(
  VLOOKUP(
    A176,
    IMPORTRANGE(
      ""1ZHMy3vVUd_0MrSduXTe1etBb1HNpAlGwQr006ljwMiM"",
      ""GSC最新!A:R""
    ),
    16,
    FALSE
  ),
  0
)
"),0.0)</f>
        <v>0</v>
      </c>
      <c r="R176" s="50" t="str">
        <f t="shared" ref="R176:S176" si="873">IFERROR(N176/P176,"-")</f>
        <v>-</v>
      </c>
      <c r="S176" s="50" t="str">
        <f t="shared" si="873"/>
        <v>-</v>
      </c>
      <c r="T176" s="60">
        <f>IFERROR(__xludf.DUMMYFUNCTION("IFERROR(
  VLOOKUP(
    A176,
    IMPORTRANGE(
      ""1ZHMy3vVUd_0MrSduXTe1etBb1HNpAlGwQr006ljwMiM"",
      ""GSC最新!A:R""
    ),
    8,
    FALSE
  ),
  0
)
"),0.0)</f>
        <v>0</v>
      </c>
      <c r="U176" s="60">
        <f>IFERROR(__xludf.DUMMYFUNCTION("IFERROR(
  VLOOKUP(
    A176,
    IMPORTRANGE(
      ""1ZHMy3vVUd_0MrSduXTe1etBb1HNpAlGwQr006ljwMiM"",
      ""GSC最新!A:R""
    ),
    11,
    FALSE
  ),
  0
)
"),0.0)</f>
        <v>0</v>
      </c>
      <c r="V176" s="60">
        <f>IFERROR(__xludf.DUMMYFUNCTION("IFERROR(
  VLOOKUP(
    A176,
    IMPORTRANGE(
      ""1ZHMy3vVUd_0MrSduXTe1etBb1HNpAlGwQr006ljwMiM"",
      ""GSC最新!A:R""
    ),
    14,
    FALSE
  ),
  0
)
"),0.0)</f>
        <v>0</v>
      </c>
      <c r="W176" s="60">
        <f>IFERROR(__xludf.DUMMYFUNCTION("IFERROR(
  VLOOKUP(
    A176,
    IMPORTRANGE(
      ""1ZHMy3vVUd_0MrSduXTe1etBb1HNpAlGwQr006ljwMiM"",
      ""GSC最新!A:R""
    ),
    17,
    FALSE
  ),
  0
)
"),0.0)</f>
        <v>0</v>
      </c>
      <c r="X176" s="60">
        <f t="shared" ref="X176:Y176" si="874">IFERROR(T176-V176,"-")</f>
        <v>0</v>
      </c>
      <c r="Y176" s="60">
        <f t="shared" si="874"/>
        <v>0</v>
      </c>
      <c r="Z176" s="52" t="str">
        <f>IFERROR(__xludf.DUMMYFUNCTION("IFERROR(
  VLOOKUP(
    A176,
    IMPORTRANGE(
      ""1ZHMy3vVUd_0MrSduXTe1etBb1HNpAlGwQr006ljwMiM"",
      ""GSC最新!A:R""
    ),
    9,
    FALSE
  ),
  0
)
"),"")</f>
        <v/>
      </c>
      <c r="AA176" s="52" t="str">
        <f>IFERROR(__xludf.DUMMYFUNCTION("IFERROR(
  VLOOKUP(
    A176,
    IMPORTRANGE(
      ""1ZHMy3vVUd_0MrSduXTe1etBb1HNpAlGwQr006ljwMiM"",
      ""GSC最新!A:R""
    ),
    12,
    FALSE
  ),
  0
)
"),"")</f>
        <v/>
      </c>
      <c r="AB176" s="52" t="str">
        <f>IFERROR(__xludf.DUMMYFUNCTION("IFERROR(
  VLOOKUP(
    A176,
    IMPORTRANGE(
      ""1ZHMy3vVUd_0MrSduXTe1etBb1HNpAlGwQr006ljwMiM"",
      ""GSC最新!A:R""
    ),
    15,
    FALSE
  ),
  0
)
"),"")</f>
        <v/>
      </c>
      <c r="AC176" s="52" t="str">
        <f>IFERROR(__xludf.DUMMYFUNCTION("IFERROR(
  VLOOKUP(
    A176,
    IMPORTRANGE(
      ""1ZHMy3vVUd_0MrSduXTe1etBb1HNpAlGwQr006ljwMiM"",
      ""GSC最新!A:R""
    ),
    18,
    FALSE
  ),
  0
)
"),"")</f>
        <v/>
      </c>
      <c r="AD176" s="52">
        <f t="shared" ref="AD176:AE176" si="875">Z176-AB176</f>
        <v>0</v>
      </c>
      <c r="AE176" s="52">
        <f t="shared" si="875"/>
        <v>0</v>
      </c>
      <c r="AF176" s="53">
        <f>IFERROR(__xludf.DUMMYFUNCTION("IFERROR(
  VLOOKUP(
    A176,
    IMPORTRANGE(
      ""1ZHMy3vVUd_0MrSduXTe1etBb1HNpAlGwQr006ljwMiM"",
      ""GSC最新!A:F""
    ),
    6,
    FALSE
  ),
  0
)
"),46081.0)</f>
        <v>46081</v>
      </c>
      <c r="AG176" s="54">
        <f>IFERROR(__xludf.DUMMYFUNCTION("IFERROR(
  VLOOKUP(
    A176,
    IMPORTRANGE(
      ""1SCYQd7_cobOYqT0r_F0IqD4tE4rYn5y8Eup4PJTH8es"",
      ""Snapshot!A:M""
    ),
    5,
    FALSE
  ),
  ""-""
)
"),0.0)</f>
        <v>0</v>
      </c>
      <c r="AH176" s="54">
        <f>IFERROR(__xludf.DUMMYFUNCTION("IFERROR(
  VLOOKUP(
    A176,
    IMPORTRANGE(
      ""1SCYQd7_cobOYqT0r_F0IqD4tE4rYn5y8Eup4PJTH8es"",
      ""Snapshot!A:M""
    ),
    6,
    FALSE
  ),
  0
)
"),0.0)</f>
        <v>0</v>
      </c>
      <c r="AI176" s="54">
        <f>IFERROR(__xludf.DUMMYFUNCTION("IFERROR(
  VLOOKUP(
    A176,
    IMPORTRANGE(
      ""1SCYQd7_cobOYqT0r_F0IqD4tE4rYn5y8Eup4PJTH8es"",
      ""Snapshot!A:M""
    ),
    7,
    FALSE
  ),
  0
)
"),139.0)</f>
        <v>139</v>
      </c>
      <c r="AJ176" s="54">
        <f>IFERROR(__xludf.DUMMYFUNCTION("IFERROR(
  VLOOKUP(
    A176,
    IMPORTRANGE(
      ""1SCYQd7_cobOYqT0r_F0IqD4tE4rYn5y8Eup4PJTH8es"",
      ""Snapshot!A:M""
    ),
    8,
    FALSE
  ),
  0
)
"),0.0)</f>
        <v>0</v>
      </c>
      <c r="AK176" s="54">
        <f>IFERROR(__xludf.DUMMYFUNCTION("IFERROR(
  VLOOKUP(
    A176,
    IMPORTRANGE(
      ""1SCYQd7_cobOYqT0r_F0IqD4tE4rYn5y8Eup4PJTH8es"",
      ""Snapshot!A:M""
    ),
    9,
    FALSE
  ),
  0
)
"),1.0)</f>
        <v>1</v>
      </c>
      <c r="AL176" s="54">
        <f>IFERROR(__xludf.DUMMYFUNCTION("IFERROR(
  VLOOKUP(
    A176,
    IMPORTRANGE(
      ""1SCYQd7_cobOYqT0r_F0IqD4tE4rYn5y8Eup4PJTH8es"",
      ""Snapshot!A:M""
    ),
    13,
    FALSE
  ),
  0
)
"),2.0)</f>
        <v>2</v>
      </c>
    </row>
    <row r="177">
      <c r="A177" s="3" t="s">
        <v>500</v>
      </c>
      <c r="B177" s="1" t="str">
        <f>IFERROR(__xludf.DUMMYFUNCTION("IFERROR(
  VLOOKUP(
    A177,
    IMPORTRANGE(
      ""1ZygntHC1J6IxzKbTidmOyf5nUyW4GCLurHCjexrLm_o"",
      ""HTMLキャッシュ!A:F""
    ),
    2,
    FALSE
  ),
  0
)
"),"NW")</f>
        <v>NW</v>
      </c>
      <c r="C177" s="1" t="str">
        <f>IFERROR(__xludf.DUMMYFUNCTION("IFERROR(
  VLOOKUP(
    A177,
    IMPORTRANGE(
      ""1ZygntHC1J6IxzKbTidmOyf5nUyW4GCLurHCjexrLm_o"",
      ""HTMLキャッシュ!A:F""
    ),
    5,
    FALSE
  ),
  0
)
"),"「英語教室サポート」開校のお知らせ - 中学受験専門 夏井算数塾")</f>
        <v>「英語教室サポート」開校のお知らせ - 中学受験専門 夏井算数塾</v>
      </c>
      <c r="D177" s="1" t="str">
        <f>IFERROR(__xludf.DUMMYFUNCTION("IFERROR(
  VLOOKUP(
    A177,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177" s="49">
        <f t="shared" ref="E177:F177" si="876">LEN(C177)</f>
        <v>32</v>
      </c>
      <c r="F177" s="49">
        <f t="shared" si="876"/>
        <v>55</v>
      </c>
      <c r="G177" s="32">
        <f>IFERROR(__xludf.DUMMYFUNCTION("IFERROR(
  VLOOKUP(
    A177,
    IMPORTRANGE(
      ""1ZygntHC1J6IxzKbTidmOyf5nUyW4GCLurHCjexrLm_o        "",
      ""HTMLキャッシュ!A:F""
    ),
    3,
    FALSE
  ),
  0
)
"),44292.45670138889)</f>
        <v>44292.4567</v>
      </c>
      <c r="H177" s="54">
        <f>IFERROR(__xludf.DUMMYFUNCTION("IFERROR(
  VLOOKUP(
    A177,
    IMPORTRANGE(
      ""1ZHMy3vVUd_0MrSduXTe1etBb1HNpAlGwQr006ljwMiM"",
      ""GSC最新!A:F""
    ),
    2,
    FALSE
  ),
  0
)
"),0.0)</f>
        <v>0</v>
      </c>
      <c r="I177" s="54">
        <f>IFERROR(__xludf.DUMMYFUNCTION("IFERROR(
  VLOOKUP(
    A177,
    IMPORTRANGE(
      ""1ZHMy3vVUd_0MrSduXTe1etBb1HNpAlGwQr006ljwMiM"",
      ""GSC最新!A:F""
    ),
    3,
    FALSE
  ),
  0
)
"),0.0)</f>
        <v>0</v>
      </c>
      <c r="J177" s="54">
        <f>IFERROR(__xludf.DUMMYFUNCTION("IFERROR(
  VLOOKUP(
    A177,
    IMPORTRANGE(
      ""1ZHMy3vVUd_0MrSduXTe1etBb1HNpAlGwQr006ljwMiM"",
      ""GSC最新!A:F""
    ),
    4,
    FALSE
  ),
  0
)
"),0.0)</f>
        <v>0</v>
      </c>
      <c r="K177" s="54">
        <f>IFERROR(__xludf.DUMMYFUNCTION("IFERROR(
  VLOOKUP(
    A177,
    IMPORTRANGE(
      ""1ZHMy3vVUd_0MrSduXTe1etBb1HNpAlGwQr006ljwMiM"",
      ""GSC最新!A:F""
    ),
    5,
    FALSE
  ),
  0
)
"),0.0)</f>
        <v>0</v>
      </c>
      <c r="L177" s="50" t="str">
        <f t="shared" ref="L177:M177" si="877">IFERROR(H177/J177,"-")</f>
        <v>-</v>
      </c>
      <c r="M177" s="50" t="str">
        <f t="shared" si="877"/>
        <v>-</v>
      </c>
      <c r="N177" s="59">
        <f>IFERROR(__xludf.DUMMYFUNCTION("IFERROR(
  VLOOKUP(
    A177,
    IMPORTRANGE(
      ""1ZHMy3vVUd_0MrSduXTe1etBb1HNpAlGwQr006ljwMiM"",
      ""GSC最新!A:R""
    ),
    7,
    FALSE
  ),
  0
)
"),0.0)</f>
        <v>0</v>
      </c>
      <c r="O177" s="59">
        <f>IFERROR(__xludf.DUMMYFUNCTION("IFERROR(
  VLOOKUP(
    A177,
    IMPORTRANGE(
      ""1ZHMy3vVUd_0MrSduXTe1etBb1HNpAlGwQr006ljwMiM"",
      ""GSC最新!A:R""
    ),
    10,
    FALSE
  ),
  0
)
"),0.0)</f>
        <v>0</v>
      </c>
      <c r="P177" s="59">
        <f>IFERROR(__xludf.DUMMYFUNCTION("IFERROR(
  VLOOKUP(
    A177,
    IMPORTRANGE(
      ""1ZHMy3vVUd_0MrSduXTe1etBb1HNpAlGwQr006ljwMiM"",
      ""GSC最新!A:R""
    ),
    13,
    FALSE
  ),
  0
)
"),0.0)</f>
        <v>0</v>
      </c>
      <c r="Q177" s="59">
        <f>IFERROR(__xludf.DUMMYFUNCTION("IFERROR(
  VLOOKUP(
    A177,
    IMPORTRANGE(
      ""1ZHMy3vVUd_0MrSduXTe1etBb1HNpAlGwQr006ljwMiM"",
      ""GSC最新!A:R""
    ),
    16,
    FALSE
  ),
  0
)
"),0.0)</f>
        <v>0</v>
      </c>
      <c r="R177" s="50" t="str">
        <f t="shared" ref="R177:S177" si="878">IFERROR(N177/P177,"-")</f>
        <v>-</v>
      </c>
      <c r="S177" s="50" t="str">
        <f t="shared" si="878"/>
        <v>-</v>
      </c>
      <c r="T177" s="60">
        <f>IFERROR(__xludf.DUMMYFUNCTION("IFERROR(
  VLOOKUP(
    A177,
    IMPORTRANGE(
      ""1ZHMy3vVUd_0MrSduXTe1etBb1HNpAlGwQr006ljwMiM"",
      ""GSC最新!A:R""
    ),
    8,
    FALSE
  ),
  0
)
"),0.0)</f>
        <v>0</v>
      </c>
      <c r="U177" s="60">
        <f>IFERROR(__xludf.DUMMYFUNCTION("IFERROR(
  VLOOKUP(
    A177,
    IMPORTRANGE(
      ""1ZHMy3vVUd_0MrSduXTe1etBb1HNpAlGwQr006ljwMiM"",
      ""GSC最新!A:R""
    ),
    11,
    FALSE
  ),
  0
)
"),0.0)</f>
        <v>0</v>
      </c>
      <c r="V177" s="60">
        <f>IFERROR(__xludf.DUMMYFUNCTION("IFERROR(
  VLOOKUP(
    A177,
    IMPORTRANGE(
      ""1ZHMy3vVUd_0MrSduXTe1etBb1HNpAlGwQr006ljwMiM"",
      ""GSC最新!A:R""
    ),
    14,
    FALSE
  ),
  0
)
"),0.0)</f>
        <v>0</v>
      </c>
      <c r="W177" s="60">
        <f>IFERROR(__xludf.DUMMYFUNCTION("IFERROR(
  VLOOKUP(
    A177,
    IMPORTRANGE(
      ""1ZHMy3vVUd_0MrSduXTe1etBb1HNpAlGwQr006ljwMiM"",
      ""GSC最新!A:R""
    ),
    17,
    FALSE
  ),
  0
)
"),0.0)</f>
        <v>0</v>
      </c>
      <c r="X177" s="60">
        <f t="shared" ref="X177:Y177" si="879">IFERROR(T177-V177,"-")</f>
        <v>0</v>
      </c>
      <c r="Y177" s="60">
        <f t="shared" si="879"/>
        <v>0</v>
      </c>
      <c r="Z177" s="52" t="str">
        <f>IFERROR(__xludf.DUMMYFUNCTION("IFERROR(
  VLOOKUP(
    A177,
    IMPORTRANGE(
      ""1ZHMy3vVUd_0MrSduXTe1etBb1HNpAlGwQr006ljwMiM"",
      ""GSC最新!A:R""
    ),
    9,
    FALSE
  ),
  0
)
"),"")</f>
        <v/>
      </c>
      <c r="AA177" s="52" t="str">
        <f>IFERROR(__xludf.DUMMYFUNCTION("IFERROR(
  VLOOKUP(
    A177,
    IMPORTRANGE(
      ""1ZHMy3vVUd_0MrSduXTe1etBb1HNpAlGwQr006ljwMiM"",
      ""GSC最新!A:R""
    ),
    12,
    FALSE
  ),
  0
)
"),"")</f>
        <v/>
      </c>
      <c r="AB177" s="52" t="str">
        <f>IFERROR(__xludf.DUMMYFUNCTION("IFERROR(
  VLOOKUP(
    A177,
    IMPORTRANGE(
      ""1ZHMy3vVUd_0MrSduXTe1etBb1HNpAlGwQr006ljwMiM"",
      ""GSC最新!A:R""
    ),
    15,
    FALSE
  ),
  0
)
"),"")</f>
        <v/>
      </c>
      <c r="AC177" s="52" t="str">
        <f>IFERROR(__xludf.DUMMYFUNCTION("IFERROR(
  VLOOKUP(
    A177,
    IMPORTRANGE(
      ""1ZHMy3vVUd_0MrSduXTe1etBb1HNpAlGwQr006ljwMiM"",
      ""GSC最新!A:R""
    ),
    18,
    FALSE
  ),
  0
)
"),"")</f>
        <v/>
      </c>
      <c r="AD177" s="52">
        <f t="shared" ref="AD177:AE177" si="880">Z177-AB177</f>
        <v>0</v>
      </c>
      <c r="AE177" s="52">
        <f t="shared" si="880"/>
        <v>0</v>
      </c>
      <c r="AF177" s="53">
        <f>IFERROR(__xludf.DUMMYFUNCTION("IFERROR(
  VLOOKUP(
    A177,
    IMPORTRANGE(
      ""1ZHMy3vVUd_0MrSduXTe1etBb1HNpAlGwQr006ljwMiM"",
      ""GSC最新!A:F""
    ),
    6,
    FALSE
  ),
  0
)
"),46081.0)</f>
        <v>46081</v>
      </c>
      <c r="AG177" s="54">
        <f>IFERROR(__xludf.DUMMYFUNCTION("IFERROR(
  VLOOKUP(
    A177,
    IMPORTRANGE(
      ""1SCYQd7_cobOYqT0r_F0IqD4tE4rYn5y8Eup4PJTH8es"",
      ""Snapshot!A:M""
    ),
    5,
    FALSE
  ),
  ""-""
)
"),0.0)</f>
        <v>0</v>
      </c>
      <c r="AH177" s="54">
        <f>IFERROR(__xludf.DUMMYFUNCTION("IFERROR(
  VLOOKUP(
    A177,
    IMPORTRANGE(
      ""1SCYQd7_cobOYqT0r_F0IqD4tE4rYn5y8Eup4PJTH8es"",
      ""Snapshot!A:M""
    ),
    6,
    FALSE
  ),
  0
)
"),0.0)</f>
        <v>0</v>
      </c>
      <c r="AI177" s="54">
        <f>IFERROR(__xludf.DUMMYFUNCTION("IFERROR(
  VLOOKUP(
    A177,
    IMPORTRANGE(
      ""1SCYQd7_cobOYqT0r_F0IqD4tE4rYn5y8Eup4PJTH8es"",
      ""Snapshot!A:M""
    ),
    7,
    FALSE
  ),
  0
)
"),120.0)</f>
        <v>120</v>
      </c>
      <c r="AJ177" s="54">
        <f>IFERROR(__xludf.DUMMYFUNCTION("IFERROR(
  VLOOKUP(
    A177,
    IMPORTRANGE(
      ""1SCYQd7_cobOYqT0r_F0IqD4tE4rYn5y8Eup4PJTH8es"",
      ""Snapshot!A:M""
    ),
    8,
    FALSE
  ),
  0
)
"),0.0)</f>
        <v>0</v>
      </c>
      <c r="AK177" s="54">
        <f>IFERROR(__xludf.DUMMYFUNCTION("IFERROR(
  VLOOKUP(
    A177,
    IMPORTRANGE(
      ""1SCYQd7_cobOYqT0r_F0IqD4tE4rYn5y8Eup4PJTH8es"",
      ""Snapshot!A:M""
    ),
    9,
    FALSE
  ),
  0
)
"),1.0)</f>
        <v>1</v>
      </c>
      <c r="AL177" s="54">
        <f>IFERROR(__xludf.DUMMYFUNCTION("IFERROR(
  VLOOKUP(
    A177,
    IMPORTRANGE(
      ""1SCYQd7_cobOYqT0r_F0IqD4tE4rYn5y8Eup4PJTH8es"",
      ""Snapshot!A:M""
    ),
    13,
    FALSE
  ),
  0
)
"),2.0)</f>
        <v>2</v>
      </c>
    </row>
    <row r="178">
      <c r="A178" s="3" t="s">
        <v>501</v>
      </c>
      <c r="B178" s="1" t="str">
        <f>IFERROR(__xludf.DUMMYFUNCTION("IFERROR(
  VLOOKUP(
    A178,
    IMPORTRANGE(
      ""1ZygntHC1J6IxzKbTidmOyf5nUyW4GCLurHCjexrLm_o"",
      ""HTMLキャッシュ!A:F""
    ),
    2,
    FALSE
  ),
  0
)
"),"NW")</f>
        <v>NW</v>
      </c>
      <c r="C178" s="1" t="str">
        <f>IFERROR(__xludf.DUMMYFUNCTION("IFERROR(
  VLOOKUP(
    A178,
    IMPORTRANGE(
      ""1ZygntHC1J6IxzKbTidmOyf5nUyW4GCLurHCjexrLm_o"",
      ""HTMLキャッシュ!A:F""
    ),
    5,
    FALSE
  ),
  0
)
"),"2021年度夏期講習のお知らせ【個別指導】 - 中学受験専門 夏井算数塾")</f>
        <v>2021年度夏期講習のお知らせ【個別指導】 - 中学受験専門 夏井算数塾</v>
      </c>
      <c r="D178" s="1" t="str">
        <f>IFERROR(__xludf.DUMMYFUNCTION("IFERROR(
  VLOOKUP(
    A178,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78" s="49">
        <f t="shared" ref="E178:F178" si="881">LEN(C178)</f>
        <v>36</v>
      </c>
      <c r="F178" s="49">
        <f t="shared" si="881"/>
        <v>55</v>
      </c>
      <c r="G178" s="32">
        <f>IFERROR(__xludf.DUMMYFUNCTION("IFERROR(
  VLOOKUP(
    A178,
    IMPORTRANGE(
      ""1ZygntHC1J6IxzKbTidmOyf5nUyW4GCLurHCjexrLm_o        "",
      ""HTMLキャッシュ!A:F""
    ),
    3,
    FALSE
  ),
  0
)
"),45593.56086805555)</f>
        <v>45593.56087</v>
      </c>
      <c r="H178" s="54">
        <f>IFERROR(__xludf.DUMMYFUNCTION("IFERROR(
  VLOOKUP(
    A178,
    IMPORTRANGE(
      ""1ZHMy3vVUd_0MrSduXTe1etBb1HNpAlGwQr006ljwMiM"",
      ""GSC最新!A:F""
    ),
    2,
    FALSE
  ),
  0
)
"),0.0)</f>
        <v>0</v>
      </c>
      <c r="I178" s="54">
        <f>IFERROR(__xludf.DUMMYFUNCTION("IFERROR(
  VLOOKUP(
    A178,
    IMPORTRANGE(
      ""1ZHMy3vVUd_0MrSduXTe1etBb1HNpAlGwQr006ljwMiM"",
      ""GSC最新!A:F""
    ),
    3,
    FALSE
  ),
  0
)
"),0.0)</f>
        <v>0</v>
      </c>
      <c r="J178" s="54">
        <f>IFERROR(__xludf.DUMMYFUNCTION("IFERROR(
  VLOOKUP(
    A178,
    IMPORTRANGE(
      ""1ZHMy3vVUd_0MrSduXTe1etBb1HNpAlGwQr006ljwMiM"",
      ""GSC最新!A:F""
    ),
    4,
    FALSE
  ),
  0
)
"),0.0)</f>
        <v>0</v>
      </c>
      <c r="K178" s="54">
        <f>IFERROR(__xludf.DUMMYFUNCTION("IFERROR(
  VLOOKUP(
    A178,
    IMPORTRANGE(
      ""1ZHMy3vVUd_0MrSduXTe1etBb1HNpAlGwQr006ljwMiM"",
      ""GSC最新!A:F""
    ),
    5,
    FALSE
  ),
  0
)
"),0.0)</f>
        <v>0</v>
      </c>
      <c r="L178" s="50" t="str">
        <f t="shared" ref="L178:M178" si="882">IFERROR(H178/J178,"-")</f>
        <v>-</v>
      </c>
      <c r="M178" s="50" t="str">
        <f t="shared" si="882"/>
        <v>-</v>
      </c>
      <c r="N178" s="59">
        <f>IFERROR(__xludf.DUMMYFUNCTION("IFERROR(
  VLOOKUP(
    A178,
    IMPORTRANGE(
      ""1ZHMy3vVUd_0MrSduXTe1etBb1HNpAlGwQr006ljwMiM"",
      ""GSC最新!A:R""
    ),
    7,
    FALSE
  ),
  0
)
"),0.0)</f>
        <v>0</v>
      </c>
      <c r="O178" s="59">
        <f>IFERROR(__xludf.DUMMYFUNCTION("IFERROR(
  VLOOKUP(
    A178,
    IMPORTRANGE(
      ""1ZHMy3vVUd_0MrSduXTe1etBb1HNpAlGwQr006ljwMiM"",
      ""GSC最新!A:R""
    ),
    10,
    FALSE
  ),
  0
)
"),0.0)</f>
        <v>0</v>
      </c>
      <c r="P178" s="59">
        <f>IFERROR(__xludf.DUMMYFUNCTION("IFERROR(
  VLOOKUP(
    A178,
    IMPORTRANGE(
      ""1ZHMy3vVUd_0MrSduXTe1etBb1HNpAlGwQr006ljwMiM"",
      ""GSC最新!A:R""
    ),
    13,
    FALSE
  ),
  0
)
"),0.0)</f>
        <v>0</v>
      </c>
      <c r="Q178" s="59">
        <f>IFERROR(__xludf.DUMMYFUNCTION("IFERROR(
  VLOOKUP(
    A178,
    IMPORTRANGE(
      ""1ZHMy3vVUd_0MrSduXTe1etBb1HNpAlGwQr006ljwMiM"",
      ""GSC最新!A:R""
    ),
    16,
    FALSE
  ),
  0
)
"),0.0)</f>
        <v>0</v>
      </c>
      <c r="R178" s="50" t="str">
        <f t="shared" ref="R178:S178" si="883">IFERROR(N178/P178,"-")</f>
        <v>-</v>
      </c>
      <c r="S178" s="50" t="str">
        <f t="shared" si="883"/>
        <v>-</v>
      </c>
      <c r="T178" s="60">
        <f>IFERROR(__xludf.DUMMYFUNCTION("IFERROR(
  VLOOKUP(
    A178,
    IMPORTRANGE(
      ""1ZHMy3vVUd_0MrSduXTe1etBb1HNpAlGwQr006ljwMiM"",
      ""GSC最新!A:R""
    ),
    8,
    FALSE
  ),
  0
)
"),0.0)</f>
        <v>0</v>
      </c>
      <c r="U178" s="60">
        <f>IFERROR(__xludf.DUMMYFUNCTION("IFERROR(
  VLOOKUP(
    A178,
    IMPORTRANGE(
      ""1ZHMy3vVUd_0MrSduXTe1etBb1HNpAlGwQr006ljwMiM"",
      ""GSC最新!A:R""
    ),
    11,
    FALSE
  ),
  0
)
"),0.0)</f>
        <v>0</v>
      </c>
      <c r="V178" s="60">
        <f>IFERROR(__xludf.DUMMYFUNCTION("IFERROR(
  VLOOKUP(
    A178,
    IMPORTRANGE(
      ""1ZHMy3vVUd_0MrSduXTe1etBb1HNpAlGwQr006ljwMiM"",
      ""GSC最新!A:R""
    ),
    14,
    FALSE
  ),
  0
)
"),0.0)</f>
        <v>0</v>
      </c>
      <c r="W178" s="60">
        <f>IFERROR(__xludf.DUMMYFUNCTION("IFERROR(
  VLOOKUP(
    A178,
    IMPORTRANGE(
      ""1ZHMy3vVUd_0MrSduXTe1etBb1HNpAlGwQr006ljwMiM"",
      ""GSC最新!A:R""
    ),
    17,
    FALSE
  ),
  0
)
"),0.0)</f>
        <v>0</v>
      </c>
      <c r="X178" s="60">
        <f t="shared" ref="X178:Y178" si="884">IFERROR(T178-V178,"-")</f>
        <v>0</v>
      </c>
      <c r="Y178" s="60">
        <f t="shared" si="884"/>
        <v>0</v>
      </c>
      <c r="Z178" s="52" t="str">
        <f>IFERROR(__xludf.DUMMYFUNCTION("IFERROR(
  VLOOKUP(
    A178,
    IMPORTRANGE(
      ""1ZHMy3vVUd_0MrSduXTe1etBb1HNpAlGwQr006ljwMiM"",
      ""GSC最新!A:R""
    ),
    9,
    FALSE
  ),
  0
)
"),"")</f>
        <v/>
      </c>
      <c r="AA178" s="52" t="str">
        <f>IFERROR(__xludf.DUMMYFUNCTION("IFERROR(
  VLOOKUP(
    A178,
    IMPORTRANGE(
      ""1ZHMy3vVUd_0MrSduXTe1etBb1HNpAlGwQr006ljwMiM"",
      ""GSC最新!A:R""
    ),
    12,
    FALSE
  ),
  0
)
"),"")</f>
        <v/>
      </c>
      <c r="AB178" s="52" t="str">
        <f>IFERROR(__xludf.DUMMYFUNCTION("IFERROR(
  VLOOKUP(
    A178,
    IMPORTRANGE(
      ""1ZHMy3vVUd_0MrSduXTe1etBb1HNpAlGwQr006ljwMiM"",
      ""GSC最新!A:R""
    ),
    15,
    FALSE
  ),
  0
)
"),"")</f>
        <v/>
      </c>
      <c r="AC178" s="52" t="str">
        <f>IFERROR(__xludf.DUMMYFUNCTION("IFERROR(
  VLOOKUP(
    A178,
    IMPORTRANGE(
      ""1ZHMy3vVUd_0MrSduXTe1etBb1HNpAlGwQr006ljwMiM"",
      ""GSC最新!A:R""
    ),
    18,
    FALSE
  ),
  0
)
"),"")</f>
        <v/>
      </c>
      <c r="AD178" s="52">
        <f t="shared" ref="AD178:AE178" si="885">Z178-AB178</f>
        <v>0</v>
      </c>
      <c r="AE178" s="52">
        <f t="shared" si="885"/>
        <v>0</v>
      </c>
      <c r="AF178" s="53">
        <f>IFERROR(__xludf.DUMMYFUNCTION("IFERROR(
  VLOOKUP(
    A178,
    IMPORTRANGE(
      ""1ZHMy3vVUd_0MrSduXTe1etBb1HNpAlGwQr006ljwMiM"",
      ""GSC最新!A:F""
    ),
    6,
    FALSE
  ),
  0
)
"),46081.0)</f>
        <v>46081</v>
      </c>
      <c r="AG178" s="54">
        <f>IFERROR(__xludf.DUMMYFUNCTION("IFERROR(
  VLOOKUP(
    A178,
    IMPORTRANGE(
      ""1SCYQd7_cobOYqT0r_F0IqD4tE4rYn5y8Eup4PJTH8es"",
      ""Snapshot!A:M""
    ),
    5,
    FALSE
  ),
  ""-""
)
"),0.0)</f>
        <v>0</v>
      </c>
      <c r="AH178" s="54">
        <f>IFERROR(__xludf.DUMMYFUNCTION("IFERROR(
  VLOOKUP(
    A178,
    IMPORTRANGE(
      ""1SCYQd7_cobOYqT0r_F0IqD4tE4rYn5y8Eup4PJTH8es"",
      ""Snapshot!A:M""
    ),
    6,
    FALSE
  ),
  0
)
"),0.0)</f>
        <v>0</v>
      </c>
      <c r="AI178" s="54">
        <f>IFERROR(__xludf.DUMMYFUNCTION("IFERROR(
  VLOOKUP(
    A178,
    IMPORTRANGE(
      ""1SCYQd7_cobOYqT0r_F0IqD4tE4rYn5y8Eup4PJTH8es"",
      ""Snapshot!A:M""
    ),
    7,
    FALSE
  ),
  0
)
"),1023.0)</f>
        <v>1023</v>
      </c>
      <c r="AJ178" s="54">
        <f>IFERROR(__xludf.DUMMYFUNCTION("IFERROR(
  VLOOKUP(
    A178,
    IMPORTRANGE(
      ""1SCYQd7_cobOYqT0r_F0IqD4tE4rYn5y8Eup4PJTH8es"",
      ""Snapshot!A:M""
    ),
    8,
    FALSE
  ),
  0
)
"),5.0)</f>
        <v>5</v>
      </c>
      <c r="AK178" s="54">
        <f>IFERROR(__xludf.DUMMYFUNCTION("IFERROR(
  VLOOKUP(
    A178,
    IMPORTRANGE(
      ""1SCYQd7_cobOYqT0r_F0IqD4tE4rYn5y8Eup4PJTH8es"",
      ""Snapshot!A:M""
    ),
    9,
    FALSE
  ),
  0
)
"),1.0)</f>
        <v>1</v>
      </c>
      <c r="AL178" s="54">
        <f>IFERROR(__xludf.DUMMYFUNCTION("IFERROR(
  VLOOKUP(
    A178,
    IMPORTRANGE(
      ""1SCYQd7_cobOYqT0r_F0IqD4tE4rYn5y8Eup4PJTH8es"",
      ""Snapshot!A:M""
    ),
    13,
    FALSE
  ),
  0
)
"),2.0)</f>
        <v>2</v>
      </c>
    </row>
    <row r="179">
      <c r="A179" s="1" t="s">
        <v>502</v>
      </c>
      <c r="B179" s="1" t="str">
        <f>IFERROR(__xludf.DUMMYFUNCTION("IFERROR(
  VLOOKUP(
    A179,
    IMPORTRANGE(
      ""1ZygntHC1J6IxzKbTidmOyf5nUyW4GCLurHCjexrLm_o"",
      ""HTMLキャッシュ!A:F""
    ),
    2,
    FALSE
  ),
  0
)
"),"NW")</f>
        <v>NW</v>
      </c>
      <c r="C179" s="1" t="str">
        <f>IFERROR(__xludf.DUMMYFUNCTION("IFERROR(
  VLOOKUP(
    A179,
    IMPORTRANGE(
      ""1ZygntHC1J6IxzKbTidmOyf5nUyW4GCLurHCjexrLm_o"",
      ""HTMLキャッシュ!A:F""
    ),
    5,
    FALSE
  ),
  0
)
"),"2021年度生徒募集のお知らせ【個別】 - 中学受験専門 夏井算数塾")</f>
        <v>2021年度生徒募集のお知らせ【個別】 - 中学受験専門 夏井算数塾</v>
      </c>
      <c r="D179" s="1" t="str">
        <f>IFERROR(__xludf.DUMMYFUNCTION("IFERROR(
  VLOOKUP(
    A179,
    IMPORTRANGE(
      ""1ZygntHC1J6IxzKbTidmOyf5nUyW4GCLurHCjexrLm_o        "",
      ""HTMLキャッシュ!A:F""
    ),
    6,
    FALSE
  ),
  0
)
"),"本日より、2021年度の生徒募集を開始いたします。 2月開講講座および個別指導の詳細については、下記をご覧くだ")</f>
        <v>本日より、2021年度の生徒募集を開始いたします。 2月開講講座および個別指導の詳細については、下記をご覧くだ</v>
      </c>
      <c r="E179" s="49">
        <f t="shared" ref="E179:F179" si="886">LEN(C179)</f>
        <v>34</v>
      </c>
      <c r="F179" s="49">
        <f t="shared" si="886"/>
        <v>55</v>
      </c>
      <c r="G179" s="32">
        <f>IFERROR(__xludf.DUMMYFUNCTION("IFERROR(
  VLOOKUP(
    A179,
    IMPORTRANGE(
      ""1ZygntHC1J6IxzKbTidmOyf5nUyW4GCLurHCjexrLm_o        "",
      ""HTMLキャッシュ!A:F""
    ),
    3,
    FALSE
  ),
  0
)
"),45597.67420138889)</f>
        <v>45597.6742</v>
      </c>
      <c r="H179" s="54">
        <f>IFERROR(__xludf.DUMMYFUNCTION("IFERROR(
  VLOOKUP(
    A179,
    IMPORTRANGE(
      ""1ZHMy3vVUd_0MrSduXTe1etBb1HNpAlGwQr006ljwMiM"",
      ""GSC最新!A:F""
    ),
    2,
    FALSE
  ),
  0
)
"),0.0)</f>
        <v>0</v>
      </c>
      <c r="I179" s="54">
        <f>IFERROR(__xludf.DUMMYFUNCTION("IFERROR(
  VLOOKUP(
    A179,
    IMPORTRANGE(
      ""1ZHMy3vVUd_0MrSduXTe1etBb1HNpAlGwQr006ljwMiM"",
      ""GSC最新!A:F""
    ),
    3,
    FALSE
  ),
  0
)
"),0.0)</f>
        <v>0</v>
      </c>
      <c r="J179" s="54">
        <f>IFERROR(__xludf.DUMMYFUNCTION("IFERROR(
  VLOOKUP(
    A179,
    IMPORTRANGE(
      ""1ZHMy3vVUd_0MrSduXTe1etBb1HNpAlGwQr006ljwMiM"",
      ""GSC最新!A:F""
    ),
    4,
    FALSE
  ),
  0
)
"),0.0)</f>
        <v>0</v>
      </c>
      <c r="K179" s="54">
        <f>IFERROR(__xludf.DUMMYFUNCTION("IFERROR(
  VLOOKUP(
    A179,
    IMPORTRANGE(
      ""1ZHMy3vVUd_0MrSduXTe1etBb1HNpAlGwQr006ljwMiM"",
      ""GSC最新!A:F""
    ),
    5,
    FALSE
  ),
  0
)
"),0.0)</f>
        <v>0</v>
      </c>
      <c r="L179" s="50" t="str">
        <f t="shared" ref="L179:M179" si="887">IFERROR(H179/J179,"-")</f>
        <v>-</v>
      </c>
      <c r="M179" s="50" t="str">
        <f t="shared" si="887"/>
        <v>-</v>
      </c>
      <c r="N179" s="59">
        <f>IFERROR(__xludf.DUMMYFUNCTION("IFERROR(
  VLOOKUP(
    A179,
    IMPORTRANGE(
      ""1ZHMy3vVUd_0MrSduXTe1etBb1HNpAlGwQr006ljwMiM"",
      ""GSC最新!A:R""
    ),
    7,
    FALSE
  ),
  0
)
"),0.0)</f>
        <v>0</v>
      </c>
      <c r="O179" s="59">
        <f>IFERROR(__xludf.DUMMYFUNCTION("IFERROR(
  VLOOKUP(
    A179,
    IMPORTRANGE(
      ""1ZHMy3vVUd_0MrSduXTe1etBb1HNpAlGwQr006ljwMiM"",
      ""GSC最新!A:R""
    ),
    10,
    FALSE
  ),
  0
)
"),0.0)</f>
        <v>0</v>
      </c>
      <c r="P179" s="59">
        <f>IFERROR(__xludf.DUMMYFUNCTION("IFERROR(
  VLOOKUP(
    A179,
    IMPORTRANGE(
      ""1ZHMy3vVUd_0MrSduXTe1etBb1HNpAlGwQr006ljwMiM"",
      ""GSC最新!A:R""
    ),
    13,
    FALSE
  ),
  0
)
"),0.0)</f>
        <v>0</v>
      </c>
      <c r="Q179" s="59">
        <f>IFERROR(__xludf.DUMMYFUNCTION("IFERROR(
  VLOOKUP(
    A179,
    IMPORTRANGE(
      ""1ZHMy3vVUd_0MrSduXTe1etBb1HNpAlGwQr006ljwMiM"",
      ""GSC最新!A:R""
    ),
    16,
    FALSE
  ),
  0
)
"),0.0)</f>
        <v>0</v>
      </c>
      <c r="R179" s="50" t="str">
        <f t="shared" ref="R179:S179" si="888">IFERROR(N179/P179,"-")</f>
        <v>-</v>
      </c>
      <c r="S179" s="50" t="str">
        <f t="shared" si="888"/>
        <v>-</v>
      </c>
      <c r="T179" s="60">
        <f>IFERROR(__xludf.DUMMYFUNCTION("IFERROR(
  VLOOKUP(
    A179,
    IMPORTRANGE(
      ""1ZHMy3vVUd_0MrSduXTe1etBb1HNpAlGwQr006ljwMiM"",
      ""GSC最新!A:R""
    ),
    8,
    FALSE
  ),
  0
)
"),0.0)</f>
        <v>0</v>
      </c>
      <c r="U179" s="60">
        <f>IFERROR(__xludf.DUMMYFUNCTION("IFERROR(
  VLOOKUP(
    A179,
    IMPORTRANGE(
      ""1ZHMy3vVUd_0MrSduXTe1etBb1HNpAlGwQr006ljwMiM"",
      ""GSC最新!A:R""
    ),
    11,
    FALSE
  ),
  0
)
"),0.0)</f>
        <v>0</v>
      </c>
      <c r="V179" s="60">
        <f>IFERROR(__xludf.DUMMYFUNCTION("IFERROR(
  VLOOKUP(
    A179,
    IMPORTRANGE(
      ""1ZHMy3vVUd_0MrSduXTe1etBb1HNpAlGwQr006ljwMiM"",
      ""GSC最新!A:R""
    ),
    14,
    FALSE
  ),
  0
)
"),0.0)</f>
        <v>0</v>
      </c>
      <c r="W179" s="60">
        <f>IFERROR(__xludf.DUMMYFUNCTION("IFERROR(
  VLOOKUP(
    A179,
    IMPORTRANGE(
      ""1ZHMy3vVUd_0MrSduXTe1etBb1HNpAlGwQr006ljwMiM"",
      ""GSC最新!A:R""
    ),
    17,
    FALSE
  ),
  0
)
"),0.0)</f>
        <v>0</v>
      </c>
      <c r="X179" s="60">
        <f t="shared" ref="X179:Y179" si="889">IFERROR(T179-V179,"-")</f>
        <v>0</v>
      </c>
      <c r="Y179" s="60">
        <f t="shared" si="889"/>
        <v>0</v>
      </c>
      <c r="Z179" s="52" t="str">
        <f>IFERROR(__xludf.DUMMYFUNCTION("IFERROR(
  VLOOKUP(
    A179,
    IMPORTRANGE(
      ""1ZHMy3vVUd_0MrSduXTe1etBb1HNpAlGwQr006ljwMiM"",
      ""GSC最新!A:R""
    ),
    9,
    FALSE
  ),
  0
)
"),"")</f>
        <v/>
      </c>
      <c r="AA179" s="52" t="str">
        <f>IFERROR(__xludf.DUMMYFUNCTION("IFERROR(
  VLOOKUP(
    A179,
    IMPORTRANGE(
      ""1ZHMy3vVUd_0MrSduXTe1etBb1HNpAlGwQr006ljwMiM"",
      ""GSC最新!A:R""
    ),
    12,
    FALSE
  ),
  0
)
"),"")</f>
        <v/>
      </c>
      <c r="AB179" s="52" t="str">
        <f>IFERROR(__xludf.DUMMYFUNCTION("IFERROR(
  VLOOKUP(
    A179,
    IMPORTRANGE(
      ""1ZHMy3vVUd_0MrSduXTe1etBb1HNpAlGwQr006ljwMiM"",
      ""GSC最新!A:R""
    ),
    15,
    FALSE
  ),
  0
)
"),"")</f>
        <v/>
      </c>
      <c r="AC179" s="52" t="str">
        <f>IFERROR(__xludf.DUMMYFUNCTION("IFERROR(
  VLOOKUP(
    A179,
    IMPORTRANGE(
      ""1ZHMy3vVUd_0MrSduXTe1etBb1HNpAlGwQr006ljwMiM"",
      ""GSC最新!A:R""
    ),
    18,
    FALSE
  ),
  0
)
"),"")</f>
        <v/>
      </c>
      <c r="AD179" s="52">
        <f t="shared" ref="AD179:AE179" si="890">Z179-AB179</f>
        <v>0</v>
      </c>
      <c r="AE179" s="52">
        <f t="shared" si="890"/>
        <v>0</v>
      </c>
      <c r="AF179" s="53">
        <f>IFERROR(__xludf.DUMMYFUNCTION("IFERROR(
  VLOOKUP(
    A179,
    IMPORTRANGE(
      ""1ZHMy3vVUd_0MrSduXTe1etBb1HNpAlGwQr006ljwMiM"",
      ""GSC最新!A:F""
    ),
    6,
    FALSE
  ),
  0
)
"),46081.0)</f>
        <v>46081</v>
      </c>
      <c r="AG179" s="54">
        <f>IFERROR(__xludf.DUMMYFUNCTION("IFERROR(
  VLOOKUP(
    A179,
    IMPORTRANGE(
      ""1SCYQd7_cobOYqT0r_F0IqD4tE4rYn5y8Eup4PJTH8es"",
      ""Snapshot!A:M""
    ),
    5,
    FALSE
  ),
  ""-""
)
"),0.0)</f>
        <v>0</v>
      </c>
      <c r="AH179" s="54">
        <f>IFERROR(__xludf.DUMMYFUNCTION("IFERROR(
  VLOOKUP(
    A179,
    IMPORTRANGE(
      ""1SCYQd7_cobOYqT0r_F0IqD4tE4rYn5y8Eup4PJTH8es"",
      ""Snapshot!A:M""
    ),
    6,
    FALSE
  ),
  0
)
"),0.0)</f>
        <v>0</v>
      </c>
      <c r="AI179" s="54">
        <f>IFERROR(__xludf.DUMMYFUNCTION("IFERROR(
  VLOOKUP(
    A179,
    IMPORTRANGE(
      ""1SCYQd7_cobOYqT0r_F0IqD4tE4rYn5y8Eup4PJTH8es"",
      ""Snapshot!A:M""
    ),
    7,
    FALSE
  ),
  0
)
"),338.0)</f>
        <v>338</v>
      </c>
      <c r="AJ179" s="54">
        <f>IFERROR(__xludf.DUMMYFUNCTION("IFERROR(
  VLOOKUP(
    A179,
    IMPORTRANGE(
      ""1SCYQd7_cobOYqT0r_F0IqD4tE4rYn5y8Eup4PJTH8es"",
      ""Snapshot!A:M""
    ),
    8,
    FALSE
  ),
  0
)
"),3.0)</f>
        <v>3</v>
      </c>
      <c r="AK179" s="54">
        <f>IFERROR(__xludf.DUMMYFUNCTION("IFERROR(
  VLOOKUP(
    A179,
    IMPORTRANGE(
      ""1SCYQd7_cobOYqT0r_F0IqD4tE4rYn5y8Eup4PJTH8es"",
      ""Snapshot!A:M""
    ),
    9,
    FALSE
  ),
  0
)
"),1.0)</f>
        <v>1</v>
      </c>
      <c r="AL179" s="54">
        <f>IFERROR(__xludf.DUMMYFUNCTION("IFERROR(
  VLOOKUP(
    A179,
    IMPORTRANGE(
      ""1SCYQd7_cobOYqT0r_F0IqD4tE4rYn5y8Eup4PJTH8es"",
      ""Snapshot!A:M""
    ),
    13,
    FALSE
  ),
  0
)
"),2.0)</f>
        <v>2</v>
      </c>
    </row>
    <row r="180">
      <c r="A180" s="1" t="s">
        <v>503</v>
      </c>
      <c r="B180" s="1" t="str">
        <f>IFERROR(__xludf.DUMMYFUNCTION("IFERROR(
  VLOOKUP(
    A180,
    IMPORTRANGE(
      ""1ZygntHC1J6IxzKbTidmOyf5nUyW4GCLurHCjexrLm_o"",
      ""HTMLキャッシュ!A:F""
    ),
    2,
    FALSE
  ),
  0
)
"),"NW")</f>
        <v>NW</v>
      </c>
      <c r="C180" s="1" t="str">
        <f>IFERROR(__xludf.DUMMYFUNCTION("IFERROR(
  VLOOKUP(
    A180,
    IMPORTRANGE(
      ""1ZygntHC1J6IxzKbTidmOyf5nUyW4GCLurHCjexrLm_o"",
      ""HTMLキャッシュ!A:F""
    ),
    5,
    FALSE
  ),
  0
)
"),"2022年度夏期講習のお知らせ【個別指導】 - 中学受験専門 夏井算数塾")</f>
        <v>2022年度夏期講習のお知らせ【個別指導】 - 中学受験専門 夏井算数塾</v>
      </c>
      <c r="D180" s="1" t="str">
        <f>IFERROR(__xludf.DUMMYFUNCTION("IFERROR(
  VLOOKUP(
    A180,
    IMPORTRANGE(
      ""1ZygntHC1J6IxzKbTidmOyf5nUyW4GCLurHCjexrLm_o        "",
      ""HTMLキャッシュ!A:F""
    ),
    6,
    FALSE
  ),
  0
)
"),"夏休みは、受験生にとってはまさに天王山であり、受験がまだ1年以上先の生徒にとっても、普段忙しくて取り組めない課")</f>
        <v>夏休みは、受験生にとってはまさに天王山であり、受験がまだ1年以上先の生徒にとっても、普段忙しくて取り組めない課</v>
      </c>
      <c r="E180" s="49">
        <f t="shared" ref="E180:F180" si="891">LEN(C180)</f>
        <v>36</v>
      </c>
      <c r="F180" s="49">
        <f t="shared" si="891"/>
        <v>55</v>
      </c>
      <c r="G180" s="32">
        <f>IFERROR(__xludf.DUMMYFUNCTION("IFERROR(
  VLOOKUP(
    A180,
    IMPORTRANGE(
      ""1ZygntHC1J6IxzKbTidmOyf5nUyW4GCLurHCjexrLm_o        "",
      ""HTMLキャッシュ!A:F""
    ),
    3,
    FALSE
  ),
  0
)
"),45593.559525462966)</f>
        <v>45593.55953</v>
      </c>
      <c r="H180" s="54">
        <f>IFERROR(__xludf.DUMMYFUNCTION("IFERROR(
  VLOOKUP(
    A180,
    IMPORTRANGE(
      ""1ZHMy3vVUd_0MrSduXTe1etBb1HNpAlGwQr006ljwMiM"",
      ""GSC最新!A:F""
    ),
    2,
    FALSE
  ),
  0
)
"),0.0)</f>
        <v>0</v>
      </c>
      <c r="I180" s="54">
        <f>IFERROR(__xludf.DUMMYFUNCTION("IFERROR(
  VLOOKUP(
    A180,
    IMPORTRANGE(
      ""1ZHMy3vVUd_0MrSduXTe1etBb1HNpAlGwQr006ljwMiM"",
      ""GSC最新!A:F""
    ),
    3,
    FALSE
  ),
  0
)
"),0.0)</f>
        <v>0</v>
      </c>
      <c r="J180" s="54">
        <f>IFERROR(__xludf.DUMMYFUNCTION("IFERROR(
  VLOOKUP(
    A180,
    IMPORTRANGE(
      ""1ZHMy3vVUd_0MrSduXTe1etBb1HNpAlGwQr006ljwMiM"",
      ""GSC最新!A:F""
    ),
    4,
    FALSE
  ),
  0
)
"),0.0)</f>
        <v>0</v>
      </c>
      <c r="K180" s="54">
        <f>IFERROR(__xludf.DUMMYFUNCTION("IFERROR(
  VLOOKUP(
    A180,
    IMPORTRANGE(
      ""1ZHMy3vVUd_0MrSduXTe1etBb1HNpAlGwQr006ljwMiM"",
      ""GSC最新!A:F""
    ),
    5,
    FALSE
  ),
  0
)
"),0.0)</f>
        <v>0</v>
      </c>
      <c r="L180" s="50" t="str">
        <f t="shared" ref="L180:M180" si="892">IFERROR(H180/J180,"-")</f>
        <v>-</v>
      </c>
      <c r="M180" s="50" t="str">
        <f t="shared" si="892"/>
        <v>-</v>
      </c>
      <c r="N180" s="59">
        <f>IFERROR(__xludf.DUMMYFUNCTION("IFERROR(
  VLOOKUP(
    A180,
    IMPORTRANGE(
      ""1ZHMy3vVUd_0MrSduXTe1etBb1HNpAlGwQr006ljwMiM"",
      ""GSC最新!A:R""
    ),
    7,
    FALSE
  ),
  0
)
"),0.0)</f>
        <v>0</v>
      </c>
      <c r="O180" s="59">
        <f>IFERROR(__xludf.DUMMYFUNCTION("IFERROR(
  VLOOKUP(
    A180,
    IMPORTRANGE(
      ""1ZHMy3vVUd_0MrSduXTe1etBb1HNpAlGwQr006ljwMiM"",
      ""GSC最新!A:R""
    ),
    10,
    FALSE
  ),
  0
)
"),0.0)</f>
        <v>0</v>
      </c>
      <c r="P180" s="59">
        <f>IFERROR(__xludf.DUMMYFUNCTION("IFERROR(
  VLOOKUP(
    A180,
    IMPORTRANGE(
      ""1ZHMy3vVUd_0MrSduXTe1etBb1HNpAlGwQr006ljwMiM"",
      ""GSC最新!A:R""
    ),
    13,
    FALSE
  ),
  0
)
"),0.0)</f>
        <v>0</v>
      </c>
      <c r="Q180" s="59">
        <f>IFERROR(__xludf.DUMMYFUNCTION("IFERROR(
  VLOOKUP(
    A180,
    IMPORTRANGE(
      ""1ZHMy3vVUd_0MrSduXTe1etBb1HNpAlGwQr006ljwMiM"",
      ""GSC最新!A:R""
    ),
    16,
    FALSE
  ),
  0
)
"),0.0)</f>
        <v>0</v>
      </c>
      <c r="R180" s="50" t="str">
        <f t="shared" ref="R180:S180" si="893">IFERROR(N180/P180,"-")</f>
        <v>-</v>
      </c>
      <c r="S180" s="50" t="str">
        <f t="shared" si="893"/>
        <v>-</v>
      </c>
      <c r="T180" s="60">
        <f>IFERROR(__xludf.DUMMYFUNCTION("IFERROR(
  VLOOKUP(
    A180,
    IMPORTRANGE(
      ""1ZHMy3vVUd_0MrSduXTe1etBb1HNpAlGwQr006ljwMiM"",
      ""GSC最新!A:R""
    ),
    8,
    FALSE
  ),
  0
)
"),0.0)</f>
        <v>0</v>
      </c>
      <c r="U180" s="60">
        <f>IFERROR(__xludf.DUMMYFUNCTION("IFERROR(
  VLOOKUP(
    A180,
    IMPORTRANGE(
      ""1ZHMy3vVUd_0MrSduXTe1etBb1HNpAlGwQr006ljwMiM"",
      ""GSC最新!A:R""
    ),
    11,
    FALSE
  ),
  0
)
"),0.0)</f>
        <v>0</v>
      </c>
      <c r="V180" s="60">
        <f>IFERROR(__xludf.DUMMYFUNCTION("IFERROR(
  VLOOKUP(
    A180,
    IMPORTRANGE(
      ""1ZHMy3vVUd_0MrSduXTe1etBb1HNpAlGwQr006ljwMiM"",
      ""GSC最新!A:R""
    ),
    14,
    FALSE
  ),
  0
)
"),0.0)</f>
        <v>0</v>
      </c>
      <c r="W180" s="60">
        <f>IFERROR(__xludf.DUMMYFUNCTION("IFERROR(
  VLOOKUP(
    A180,
    IMPORTRANGE(
      ""1ZHMy3vVUd_0MrSduXTe1etBb1HNpAlGwQr006ljwMiM"",
      ""GSC最新!A:R""
    ),
    17,
    FALSE
  ),
  0
)
"),0.0)</f>
        <v>0</v>
      </c>
      <c r="X180" s="60">
        <f t="shared" ref="X180:Y180" si="894">IFERROR(T180-V180,"-")</f>
        <v>0</v>
      </c>
      <c r="Y180" s="60">
        <f t="shared" si="894"/>
        <v>0</v>
      </c>
      <c r="Z180" s="52" t="str">
        <f>IFERROR(__xludf.DUMMYFUNCTION("IFERROR(
  VLOOKUP(
    A180,
    IMPORTRANGE(
      ""1ZHMy3vVUd_0MrSduXTe1etBb1HNpAlGwQr006ljwMiM"",
      ""GSC最新!A:R""
    ),
    9,
    FALSE
  ),
  0
)
"),"")</f>
        <v/>
      </c>
      <c r="AA180" s="52" t="str">
        <f>IFERROR(__xludf.DUMMYFUNCTION("IFERROR(
  VLOOKUP(
    A180,
    IMPORTRANGE(
      ""1ZHMy3vVUd_0MrSduXTe1etBb1HNpAlGwQr006ljwMiM"",
      ""GSC最新!A:R""
    ),
    12,
    FALSE
  ),
  0
)
"),"")</f>
        <v/>
      </c>
      <c r="AB180" s="52" t="str">
        <f>IFERROR(__xludf.DUMMYFUNCTION("IFERROR(
  VLOOKUP(
    A180,
    IMPORTRANGE(
      ""1ZHMy3vVUd_0MrSduXTe1etBb1HNpAlGwQr006ljwMiM"",
      ""GSC最新!A:R""
    ),
    15,
    FALSE
  ),
  0
)
"),"")</f>
        <v/>
      </c>
      <c r="AC180" s="52" t="str">
        <f>IFERROR(__xludf.DUMMYFUNCTION("IFERROR(
  VLOOKUP(
    A180,
    IMPORTRANGE(
      ""1ZHMy3vVUd_0MrSduXTe1etBb1HNpAlGwQr006ljwMiM"",
      ""GSC最新!A:R""
    ),
    18,
    FALSE
  ),
  0
)
"),"")</f>
        <v/>
      </c>
      <c r="AD180" s="52">
        <f t="shared" ref="AD180:AE180" si="895">Z180-AB180</f>
        <v>0</v>
      </c>
      <c r="AE180" s="52">
        <f t="shared" si="895"/>
        <v>0</v>
      </c>
      <c r="AF180" s="53">
        <f>IFERROR(__xludf.DUMMYFUNCTION("IFERROR(
  VLOOKUP(
    A180,
    IMPORTRANGE(
      ""1ZHMy3vVUd_0MrSduXTe1etBb1HNpAlGwQr006ljwMiM"",
      ""GSC最新!A:F""
    ),
    6,
    FALSE
  ),
  0
)
"),46081.0)</f>
        <v>46081</v>
      </c>
      <c r="AG180" s="54">
        <f>IFERROR(__xludf.DUMMYFUNCTION("IFERROR(
  VLOOKUP(
    A180,
    IMPORTRANGE(
      ""1SCYQd7_cobOYqT0r_F0IqD4tE4rYn5y8Eup4PJTH8es"",
      ""Snapshot!A:M""
    ),
    5,
    FALSE
  ),
  ""-""
)
"),0.0)</f>
        <v>0</v>
      </c>
      <c r="AH180" s="54">
        <f>IFERROR(__xludf.DUMMYFUNCTION("IFERROR(
  VLOOKUP(
    A180,
    IMPORTRANGE(
      ""1SCYQd7_cobOYqT0r_F0IqD4tE4rYn5y8Eup4PJTH8es"",
      ""Snapshot!A:M""
    ),
    6,
    FALSE
  ),
  0
)
"),0.0)</f>
        <v>0</v>
      </c>
      <c r="AI180" s="54">
        <f>IFERROR(__xludf.DUMMYFUNCTION("IFERROR(
  VLOOKUP(
    A180,
    IMPORTRANGE(
      ""1SCYQd7_cobOYqT0r_F0IqD4tE4rYn5y8Eup4PJTH8es"",
      ""Snapshot!A:M""
    ),
    7,
    FALSE
  ),
  0
)
"),712.0)</f>
        <v>712</v>
      </c>
      <c r="AJ180" s="54">
        <f>IFERROR(__xludf.DUMMYFUNCTION("IFERROR(
  VLOOKUP(
    A180,
    IMPORTRANGE(
      ""1SCYQd7_cobOYqT0r_F0IqD4tE4rYn5y8Eup4PJTH8es"",
      ""Snapshot!A:M""
    ),
    8,
    FALSE
  ),
  0
)
"),5.0)</f>
        <v>5</v>
      </c>
      <c r="AK180" s="54">
        <f>IFERROR(__xludf.DUMMYFUNCTION("IFERROR(
  VLOOKUP(
    A180,
    IMPORTRANGE(
      ""1SCYQd7_cobOYqT0r_F0IqD4tE4rYn5y8Eup4PJTH8es"",
      ""Snapshot!A:M""
    ),
    9,
    FALSE
  ),
  0
)
"),1.0)</f>
        <v>1</v>
      </c>
      <c r="AL180" s="54">
        <f>IFERROR(__xludf.DUMMYFUNCTION("IFERROR(
  VLOOKUP(
    A180,
    IMPORTRANGE(
      ""1SCYQd7_cobOYqT0r_F0IqD4tE4rYn5y8Eup4PJTH8es"",
      ""Snapshot!A:M""
    ),
    13,
    FALSE
  ),
  0
)
"),2.0)</f>
        <v>2</v>
      </c>
    </row>
    <row r="181">
      <c r="A181" s="1" t="s">
        <v>504</v>
      </c>
      <c r="B181" s="1" t="str">
        <f>IFERROR(__xludf.DUMMYFUNCTION("IFERROR(
  VLOOKUP(
    A181,
    IMPORTRANGE(
      ""1ZygntHC1J6IxzKbTidmOyf5nUyW4GCLurHCjexrLm_o"",
      ""HTMLキャッシュ!A:F""
    ),
    2,
    FALSE
  ),
  0
)
"),"NW")</f>
        <v>NW</v>
      </c>
      <c r="C181" s="1" t="str">
        <f>IFERROR(__xludf.DUMMYFUNCTION("IFERROR(
  VLOOKUP(
    A181,
    IMPORTRANGE(
      ""1ZygntHC1J6IxzKbTidmOyf5nUyW4GCLurHCjexrLm_o"",
      ""HTMLキャッシュ!A:F""
    ),
    5,
    FALSE
  ),
  0
)
"),"2022年度春期講習のお知らせ【個別】 - 中学受験専門 夏井算数塾")</f>
        <v>2022年度春期講習のお知らせ【個別】 - 中学受験専門 夏井算数塾</v>
      </c>
      <c r="D181" s="1" t="str">
        <f>IFERROR(__xludf.DUMMYFUNCTION("IFERROR(
  VLOOKUP(
    A181,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181" s="49">
        <f t="shared" ref="E181:F181" si="896">LEN(C181)</f>
        <v>34</v>
      </c>
      <c r="F181" s="49">
        <f t="shared" si="896"/>
        <v>55</v>
      </c>
      <c r="G181" s="32">
        <f>IFERROR(__xludf.DUMMYFUNCTION("IFERROR(
  VLOOKUP(
    A181,
    IMPORTRANGE(
      ""1ZygntHC1J6IxzKbTidmOyf5nUyW4GCLurHCjexrLm_o        "",
      ""HTMLキャッシュ!A:F""
    ),
    3,
    FALSE
  ),
  0
)
"),45593.55997685185)</f>
        <v>45593.55998</v>
      </c>
      <c r="H181" s="54">
        <f>IFERROR(__xludf.DUMMYFUNCTION("IFERROR(
  VLOOKUP(
    A181,
    IMPORTRANGE(
      ""1ZHMy3vVUd_0MrSduXTe1etBb1HNpAlGwQr006ljwMiM"",
      ""GSC最新!A:F""
    ),
    2,
    FALSE
  ),
  0
)
"),0.0)</f>
        <v>0</v>
      </c>
      <c r="I181" s="54">
        <f>IFERROR(__xludf.DUMMYFUNCTION("IFERROR(
  VLOOKUP(
    A181,
    IMPORTRANGE(
      ""1ZHMy3vVUd_0MrSduXTe1etBb1HNpAlGwQr006ljwMiM"",
      ""GSC最新!A:F""
    ),
    3,
    FALSE
  ),
  0
)
"),0.0)</f>
        <v>0</v>
      </c>
      <c r="J181" s="54">
        <f>IFERROR(__xludf.DUMMYFUNCTION("IFERROR(
  VLOOKUP(
    A181,
    IMPORTRANGE(
      ""1ZHMy3vVUd_0MrSduXTe1etBb1HNpAlGwQr006ljwMiM"",
      ""GSC最新!A:F""
    ),
    4,
    FALSE
  ),
  0
)
"),0.0)</f>
        <v>0</v>
      </c>
      <c r="K181" s="54">
        <f>IFERROR(__xludf.DUMMYFUNCTION("IFERROR(
  VLOOKUP(
    A181,
    IMPORTRANGE(
      ""1ZHMy3vVUd_0MrSduXTe1etBb1HNpAlGwQr006ljwMiM"",
      ""GSC最新!A:F""
    ),
    5,
    FALSE
  ),
  0
)
"),0.0)</f>
        <v>0</v>
      </c>
      <c r="L181" s="50" t="str">
        <f t="shared" ref="L181:M181" si="897">IFERROR(H181/J181,"-")</f>
        <v>-</v>
      </c>
      <c r="M181" s="50" t="str">
        <f t="shared" si="897"/>
        <v>-</v>
      </c>
      <c r="N181" s="59">
        <f>IFERROR(__xludf.DUMMYFUNCTION("IFERROR(
  VLOOKUP(
    A181,
    IMPORTRANGE(
      ""1ZHMy3vVUd_0MrSduXTe1etBb1HNpAlGwQr006ljwMiM"",
      ""GSC最新!A:R""
    ),
    7,
    FALSE
  ),
  0
)
"),0.0)</f>
        <v>0</v>
      </c>
      <c r="O181" s="59">
        <f>IFERROR(__xludf.DUMMYFUNCTION("IFERROR(
  VLOOKUP(
    A181,
    IMPORTRANGE(
      ""1ZHMy3vVUd_0MrSduXTe1etBb1HNpAlGwQr006ljwMiM"",
      ""GSC最新!A:R""
    ),
    10,
    FALSE
  ),
  0
)
"),0.0)</f>
        <v>0</v>
      </c>
      <c r="P181" s="59">
        <f>IFERROR(__xludf.DUMMYFUNCTION("IFERROR(
  VLOOKUP(
    A181,
    IMPORTRANGE(
      ""1ZHMy3vVUd_0MrSduXTe1etBb1HNpAlGwQr006ljwMiM"",
      ""GSC最新!A:R""
    ),
    13,
    FALSE
  ),
  0
)
"),0.0)</f>
        <v>0</v>
      </c>
      <c r="Q181" s="59">
        <f>IFERROR(__xludf.DUMMYFUNCTION("IFERROR(
  VLOOKUP(
    A181,
    IMPORTRANGE(
      ""1ZHMy3vVUd_0MrSduXTe1etBb1HNpAlGwQr006ljwMiM"",
      ""GSC最新!A:R""
    ),
    16,
    FALSE
  ),
  0
)
"),0.0)</f>
        <v>0</v>
      </c>
      <c r="R181" s="50" t="str">
        <f t="shared" ref="R181:S181" si="898">IFERROR(N181/P181,"-")</f>
        <v>-</v>
      </c>
      <c r="S181" s="50" t="str">
        <f t="shared" si="898"/>
        <v>-</v>
      </c>
      <c r="T181" s="60">
        <f>IFERROR(__xludf.DUMMYFUNCTION("IFERROR(
  VLOOKUP(
    A181,
    IMPORTRANGE(
      ""1ZHMy3vVUd_0MrSduXTe1etBb1HNpAlGwQr006ljwMiM"",
      ""GSC最新!A:R""
    ),
    8,
    FALSE
  ),
  0
)
"),0.0)</f>
        <v>0</v>
      </c>
      <c r="U181" s="60">
        <f>IFERROR(__xludf.DUMMYFUNCTION("IFERROR(
  VLOOKUP(
    A181,
    IMPORTRANGE(
      ""1ZHMy3vVUd_0MrSduXTe1etBb1HNpAlGwQr006ljwMiM"",
      ""GSC最新!A:R""
    ),
    11,
    FALSE
  ),
  0
)
"),0.0)</f>
        <v>0</v>
      </c>
      <c r="V181" s="60">
        <f>IFERROR(__xludf.DUMMYFUNCTION("IFERROR(
  VLOOKUP(
    A181,
    IMPORTRANGE(
      ""1ZHMy3vVUd_0MrSduXTe1etBb1HNpAlGwQr006ljwMiM"",
      ""GSC最新!A:R""
    ),
    14,
    FALSE
  ),
  0
)
"),0.0)</f>
        <v>0</v>
      </c>
      <c r="W181" s="60">
        <f>IFERROR(__xludf.DUMMYFUNCTION("IFERROR(
  VLOOKUP(
    A181,
    IMPORTRANGE(
      ""1ZHMy3vVUd_0MrSduXTe1etBb1HNpAlGwQr006ljwMiM"",
      ""GSC最新!A:R""
    ),
    17,
    FALSE
  ),
  0
)
"),0.0)</f>
        <v>0</v>
      </c>
      <c r="X181" s="60">
        <f t="shared" ref="X181:Y181" si="899">IFERROR(T181-V181,"-")</f>
        <v>0</v>
      </c>
      <c r="Y181" s="60">
        <f t="shared" si="899"/>
        <v>0</v>
      </c>
      <c r="Z181" s="52" t="str">
        <f>IFERROR(__xludf.DUMMYFUNCTION("IFERROR(
  VLOOKUP(
    A181,
    IMPORTRANGE(
      ""1ZHMy3vVUd_0MrSduXTe1etBb1HNpAlGwQr006ljwMiM"",
      ""GSC最新!A:R""
    ),
    9,
    FALSE
  ),
  0
)
"),"")</f>
        <v/>
      </c>
      <c r="AA181" s="52" t="str">
        <f>IFERROR(__xludf.DUMMYFUNCTION("IFERROR(
  VLOOKUP(
    A181,
    IMPORTRANGE(
      ""1ZHMy3vVUd_0MrSduXTe1etBb1HNpAlGwQr006ljwMiM"",
      ""GSC最新!A:R""
    ),
    12,
    FALSE
  ),
  0
)
"),"")</f>
        <v/>
      </c>
      <c r="AB181" s="52" t="str">
        <f>IFERROR(__xludf.DUMMYFUNCTION("IFERROR(
  VLOOKUP(
    A181,
    IMPORTRANGE(
      ""1ZHMy3vVUd_0MrSduXTe1etBb1HNpAlGwQr006ljwMiM"",
      ""GSC最新!A:R""
    ),
    15,
    FALSE
  ),
  0
)
"),"")</f>
        <v/>
      </c>
      <c r="AC181" s="52" t="str">
        <f>IFERROR(__xludf.DUMMYFUNCTION("IFERROR(
  VLOOKUP(
    A181,
    IMPORTRANGE(
      ""1ZHMy3vVUd_0MrSduXTe1etBb1HNpAlGwQr006ljwMiM"",
      ""GSC最新!A:R""
    ),
    18,
    FALSE
  ),
  0
)
"),"")</f>
        <v/>
      </c>
      <c r="AD181" s="52">
        <f t="shared" ref="AD181:AE181" si="900">Z181-AB181</f>
        <v>0</v>
      </c>
      <c r="AE181" s="52">
        <f t="shared" si="900"/>
        <v>0</v>
      </c>
      <c r="AF181" s="53">
        <f>IFERROR(__xludf.DUMMYFUNCTION("IFERROR(
  VLOOKUP(
    A181,
    IMPORTRANGE(
      ""1ZHMy3vVUd_0MrSduXTe1etBb1HNpAlGwQr006ljwMiM"",
      ""GSC最新!A:F""
    ),
    6,
    FALSE
  ),
  0
)
"),46081.0)</f>
        <v>46081</v>
      </c>
      <c r="AG181" s="54">
        <f>IFERROR(__xludf.DUMMYFUNCTION("IFERROR(
  VLOOKUP(
    A181,
    IMPORTRANGE(
      ""1SCYQd7_cobOYqT0r_F0IqD4tE4rYn5y8Eup4PJTH8es"",
      ""Snapshot!A:M""
    ),
    5,
    FALSE
  ),
  ""-""
)
"),0.0)</f>
        <v>0</v>
      </c>
      <c r="AH181" s="54">
        <f>IFERROR(__xludf.DUMMYFUNCTION("IFERROR(
  VLOOKUP(
    A181,
    IMPORTRANGE(
      ""1SCYQd7_cobOYqT0r_F0IqD4tE4rYn5y8Eup4PJTH8es"",
      ""Snapshot!A:M""
    ),
    6,
    FALSE
  ),
  0
)
"),0.0)</f>
        <v>0</v>
      </c>
      <c r="AI181" s="54">
        <f>IFERROR(__xludf.DUMMYFUNCTION("IFERROR(
  VLOOKUP(
    A181,
    IMPORTRANGE(
      ""1SCYQd7_cobOYqT0r_F0IqD4tE4rYn5y8Eup4PJTH8es"",
      ""Snapshot!A:M""
    ),
    7,
    FALSE
  ),
  0
)
"),691.0)</f>
        <v>691</v>
      </c>
      <c r="AJ181" s="54">
        <f>IFERROR(__xludf.DUMMYFUNCTION("IFERROR(
  VLOOKUP(
    A181,
    IMPORTRANGE(
      ""1SCYQd7_cobOYqT0r_F0IqD4tE4rYn5y8Eup4PJTH8es"",
      ""Snapshot!A:M""
    ),
    8,
    FALSE
  ),
  0
)
"),5.0)</f>
        <v>5</v>
      </c>
      <c r="AK181" s="54">
        <f>IFERROR(__xludf.DUMMYFUNCTION("IFERROR(
  VLOOKUP(
    A181,
    IMPORTRANGE(
      ""1SCYQd7_cobOYqT0r_F0IqD4tE4rYn5y8Eup4PJTH8es"",
      ""Snapshot!A:M""
    ),
    9,
    FALSE
  ),
  0
)
"),1.0)</f>
        <v>1</v>
      </c>
      <c r="AL181" s="54">
        <f>IFERROR(__xludf.DUMMYFUNCTION("IFERROR(
  VLOOKUP(
    A181,
    IMPORTRANGE(
      ""1SCYQd7_cobOYqT0r_F0IqD4tE4rYn5y8Eup4PJTH8es"",
      ""Snapshot!A:M""
    ),
    13,
    FALSE
  ),
  0
)
"),2.0)</f>
        <v>2</v>
      </c>
    </row>
    <row r="182">
      <c r="A182" s="1" t="s">
        <v>505</v>
      </c>
      <c r="B182" s="1" t="str">
        <f>IFERROR(__xludf.DUMMYFUNCTION("IFERROR(
  VLOOKUP(
    A182,
    IMPORTRANGE(
      ""1ZygntHC1J6IxzKbTidmOyf5nUyW4GCLurHCjexrLm_o"",
      ""HTMLキャッシュ!A:F""
    ),
    2,
    FALSE
  ),
  0
)
"),"NW")</f>
        <v>NW</v>
      </c>
      <c r="C182" s="1" t="str">
        <f>IFERROR(__xludf.DUMMYFUNCTION("IFERROR(
  VLOOKUP(
    A182,
    IMPORTRANGE(
      ""1ZygntHC1J6IxzKbTidmOyf5nUyW4GCLurHCjexrLm_o"",
      ""HTMLキャッシュ!A:F""
    ),
    5,
    FALSE
  ),
  0
)
"),"2022年度生徒募集のお知らせ【個別】 - 中学受験専門 夏井算数塾")</f>
        <v>2022年度生徒募集のお知らせ【個別】 - 中学受験専門 夏井算数塾</v>
      </c>
      <c r="D182" s="1" t="str">
        <f>IFERROR(__xludf.DUMMYFUNCTION("IFERROR(
  VLOOKUP(
    A182,
    IMPORTRANGE(
      ""1ZygntHC1J6IxzKbTidmOyf5nUyW4GCLurHCjexrLm_o        "",
      ""HTMLキャッシュ!A:F""
    ),
    6,
    FALSE
  ),
  0
)
"),"本日より、2022年度の生徒募集を開始いたします。 2月開講講座、個別指導の詳細については、下記をご確認くださ")</f>
        <v>本日より、2022年度の生徒募集を開始いたします。 2月開講講座、個別指導の詳細については、下記をご確認くださ</v>
      </c>
      <c r="E182" s="49">
        <f t="shared" ref="E182:F182" si="901">LEN(C182)</f>
        <v>34</v>
      </c>
      <c r="F182" s="49">
        <f t="shared" si="901"/>
        <v>55</v>
      </c>
      <c r="G182" s="32">
        <f>IFERROR(__xludf.DUMMYFUNCTION("IFERROR(
  VLOOKUP(
    A182,
    IMPORTRANGE(
      ""1ZygntHC1J6IxzKbTidmOyf5nUyW4GCLurHCjexrLm_o        "",
      ""HTMLキャッシュ!A:F""
    ),
    3,
    FALSE
  ),
  0
)
"),45593.560219907406)</f>
        <v>45593.56022</v>
      </c>
      <c r="H182" s="54">
        <f>IFERROR(__xludf.DUMMYFUNCTION("IFERROR(
  VLOOKUP(
    A182,
    IMPORTRANGE(
      ""1ZHMy3vVUd_0MrSduXTe1etBb1HNpAlGwQr006ljwMiM"",
      ""GSC最新!A:F""
    ),
    2,
    FALSE
  ),
  0
)
"),0.0)</f>
        <v>0</v>
      </c>
      <c r="I182" s="54">
        <f>IFERROR(__xludf.DUMMYFUNCTION("IFERROR(
  VLOOKUP(
    A182,
    IMPORTRANGE(
      ""1ZHMy3vVUd_0MrSduXTe1etBb1HNpAlGwQr006ljwMiM"",
      ""GSC最新!A:F""
    ),
    3,
    FALSE
  ),
  0
)
"),0.0)</f>
        <v>0</v>
      </c>
      <c r="J182" s="54">
        <f>IFERROR(__xludf.DUMMYFUNCTION("IFERROR(
  VLOOKUP(
    A182,
    IMPORTRANGE(
      ""1ZHMy3vVUd_0MrSduXTe1etBb1HNpAlGwQr006ljwMiM"",
      ""GSC最新!A:F""
    ),
    4,
    FALSE
  ),
  0
)
"),0.0)</f>
        <v>0</v>
      </c>
      <c r="K182" s="54">
        <f>IFERROR(__xludf.DUMMYFUNCTION("IFERROR(
  VLOOKUP(
    A182,
    IMPORTRANGE(
      ""1ZHMy3vVUd_0MrSduXTe1etBb1HNpAlGwQr006ljwMiM"",
      ""GSC最新!A:F""
    ),
    5,
    FALSE
  ),
  0
)
"),0.0)</f>
        <v>0</v>
      </c>
      <c r="L182" s="50" t="str">
        <f t="shared" ref="L182:M182" si="902">IFERROR(H182/J182,"-")</f>
        <v>-</v>
      </c>
      <c r="M182" s="50" t="str">
        <f t="shared" si="902"/>
        <v>-</v>
      </c>
      <c r="N182" s="59">
        <f>IFERROR(__xludf.DUMMYFUNCTION("IFERROR(
  VLOOKUP(
    A182,
    IMPORTRANGE(
      ""1ZHMy3vVUd_0MrSduXTe1etBb1HNpAlGwQr006ljwMiM"",
      ""GSC最新!A:R""
    ),
    7,
    FALSE
  ),
  0
)
"),0.0)</f>
        <v>0</v>
      </c>
      <c r="O182" s="59">
        <f>IFERROR(__xludf.DUMMYFUNCTION("IFERROR(
  VLOOKUP(
    A182,
    IMPORTRANGE(
      ""1ZHMy3vVUd_0MrSduXTe1etBb1HNpAlGwQr006ljwMiM"",
      ""GSC最新!A:R""
    ),
    10,
    FALSE
  ),
  0
)
"),0.0)</f>
        <v>0</v>
      </c>
      <c r="P182" s="59">
        <f>IFERROR(__xludf.DUMMYFUNCTION("IFERROR(
  VLOOKUP(
    A182,
    IMPORTRANGE(
      ""1ZHMy3vVUd_0MrSduXTe1etBb1HNpAlGwQr006ljwMiM"",
      ""GSC最新!A:R""
    ),
    13,
    FALSE
  ),
  0
)
"),0.0)</f>
        <v>0</v>
      </c>
      <c r="Q182" s="59">
        <f>IFERROR(__xludf.DUMMYFUNCTION("IFERROR(
  VLOOKUP(
    A182,
    IMPORTRANGE(
      ""1ZHMy3vVUd_0MrSduXTe1etBb1HNpAlGwQr006ljwMiM"",
      ""GSC最新!A:R""
    ),
    16,
    FALSE
  ),
  0
)
"),0.0)</f>
        <v>0</v>
      </c>
      <c r="R182" s="50" t="str">
        <f t="shared" ref="R182:S182" si="903">IFERROR(N182/P182,"-")</f>
        <v>-</v>
      </c>
      <c r="S182" s="50" t="str">
        <f t="shared" si="903"/>
        <v>-</v>
      </c>
      <c r="T182" s="60">
        <f>IFERROR(__xludf.DUMMYFUNCTION("IFERROR(
  VLOOKUP(
    A182,
    IMPORTRANGE(
      ""1ZHMy3vVUd_0MrSduXTe1etBb1HNpAlGwQr006ljwMiM"",
      ""GSC最新!A:R""
    ),
    8,
    FALSE
  ),
  0
)
"),0.0)</f>
        <v>0</v>
      </c>
      <c r="U182" s="60">
        <f>IFERROR(__xludf.DUMMYFUNCTION("IFERROR(
  VLOOKUP(
    A182,
    IMPORTRANGE(
      ""1ZHMy3vVUd_0MrSduXTe1etBb1HNpAlGwQr006ljwMiM"",
      ""GSC最新!A:R""
    ),
    11,
    FALSE
  ),
  0
)
"),0.0)</f>
        <v>0</v>
      </c>
      <c r="V182" s="60">
        <f>IFERROR(__xludf.DUMMYFUNCTION("IFERROR(
  VLOOKUP(
    A182,
    IMPORTRANGE(
      ""1ZHMy3vVUd_0MrSduXTe1etBb1HNpAlGwQr006ljwMiM"",
      ""GSC最新!A:R""
    ),
    14,
    FALSE
  ),
  0
)
"),0.0)</f>
        <v>0</v>
      </c>
      <c r="W182" s="60">
        <f>IFERROR(__xludf.DUMMYFUNCTION("IFERROR(
  VLOOKUP(
    A182,
    IMPORTRANGE(
      ""1ZHMy3vVUd_0MrSduXTe1etBb1HNpAlGwQr006ljwMiM"",
      ""GSC最新!A:R""
    ),
    17,
    FALSE
  ),
  0
)
"),0.0)</f>
        <v>0</v>
      </c>
      <c r="X182" s="60">
        <f t="shared" ref="X182:Y182" si="904">IFERROR(T182-V182,"-")</f>
        <v>0</v>
      </c>
      <c r="Y182" s="60">
        <f t="shared" si="904"/>
        <v>0</v>
      </c>
      <c r="Z182" s="52" t="str">
        <f>IFERROR(__xludf.DUMMYFUNCTION("IFERROR(
  VLOOKUP(
    A182,
    IMPORTRANGE(
      ""1ZHMy3vVUd_0MrSduXTe1etBb1HNpAlGwQr006ljwMiM"",
      ""GSC最新!A:R""
    ),
    9,
    FALSE
  ),
  0
)
"),"")</f>
        <v/>
      </c>
      <c r="AA182" s="52" t="str">
        <f>IFERROR(__xludf.DUMMYFUNCTION("IFERROR(
  VLOOKUP(
    A182,
    IMPORTRANGE(
      ""1ZHMy3vVUd_0MrSduXTe1etBb1HNpAlGwQr006ljwMiM"",
      ""GSC最新!A:R""
    ),
    12,
    FALSE
  ),
  0
)
"),"")</f>
        <v/>
      </c>
      <c r="AB182" s="52" t="str">
        <f>IFERROR(__xludf.DUMMYFUNCTION("IFERROR(
  VLOOKUP(
    A182,
    IMPORTRANGE(
      ""1ZHMy3vVUd_0MrSduXTe1etBb1HNpAlGwQr006ljwMiM"",
      ""GSC最新!A:R""
    ),
    15,
    FALSE
  ),
  0
)
"),"")</f>
        <v/>
      </c>
      <c r="AC182" s="52" t="str">
        <f>IFERROR(__xludf.DUMMYFUNCTION("IFERROR(
  VLOOKUP(
    A182,
    IMPORTRANGE(
      ""1ZHMy3vVUd_0MrSduXTe1etBb1HNpAlGwQr006ljwMiM"",
      ""GSC最新!A:R""
    ),
    18,
    FALSE
  ),
  0
)
"),"")</f>
        <v/>
      </c>
      <c r="AD182" s="52">
        <f t="shared" ref="AD182:AE182" si="905">Z182-AB182</f>
        <v>0</v>
      </c>
      <c r="AE182" s="52">
        <f t="shared" si="905"/>
        <v>0</v>
      </c>
      <c r="AF182" s="53">
        <f>IFERROR(__xludf.DUMMYFUNCTION("IFERROR(
  VLOOKUP(
    A182,
    IMPORTRANGE(
      ""1ZHMy3vVUd_0MrSduXTe1etBb1HNpAlGwQr006ljwMiM"",
      ""GSC最新!A:F""
    ),
    6,
    FALSE
  ),
  0
)
"),46081.0)</f>
        <v>46081</v>
      </c>
      <c r="AG182" s="54">
        <f>IFERROR(__xludf.DUMMYFUNCTION("IFERROR(
  VLOOKUP(
    A182,
    IMPORTRANGE(
      ""1SCYQd7_cobOYqT0r_F0IqD4tE4rYn5y8Eup4PJTH8es"",
      ""Snapshot!A:M""
    ),
    5,
    FALSE
  ),
  ""-""
)
"),0.0)</f>
        <v>0</v>
      </c>
      <c r="AH182" s="54">
        <f>IFERROR(__xludf.DUMMYFUNCTION("IFERROR(
  VLOOKUP(
    A182,
    IMPORTRANGE(
      ""1SCYQd7_cobOYqT0r_F0IqD4tE4rYn5y8Eup4PJTH8es"",
      ""Snapshot!A:M""
    ),
    6,
    FALSE
  ),
  0
)
"),0.0)</f>
        <v>0</v>
      </c>
      <c r="AI182" s="54">
        <f>IFERROR(__xludf.DUMMYFUNCTION("IFERROR(
  VLOOKUP(
    A182,
    IMPORTRANGE(
      ""1SCYQd7_cobOYqT0r_F0IqD4tE4rYn5y8Eup4PJTH8es"",
      ""Snapshot!A:M""
    ),
    7,
    FALSE
  ),
  0
)
"),350.0)</f>
        <v>350</v>
      </c>
      <c r="AJ182" s="54">
        <f>IFERROR(__xludf.DUMMYFUNCTION("IFERROR(
  VLOOKUP(
    A182,
    IMPORTRANGE(
      ""1SCYQd7_cobOYqT0r_F0IqD4tE4rYn5y8Eup4PJTH8es"",
      ""Snapshot!A:M""
    ),
    8,
    FALSE
  ),
  0
)
"),3.0)</f>
        <v>3</v>
      </c>
      <c r="AK182" s="54">
        <f>IFERROR(__xludf.DUMMYFUNCTION("IFERROR(
  VLOOKUP(
    A182,
    IMPORTRANGE(
      ""1SCYQd7_cobOYqT0r_F0IqD4tE4rYn5y8Eup4PJTH8es"",
      ""Snapshot!A:M""
    ),
    9,
    FALSE
  ),
  0
)
"),1.0)</f>
        <v>1</v>
      </c>
      <c r="AL182" s="54">
        <f>IFERROR(__xludf.DUMMYFUNCTION("IFERROR(
  VLOOKUP(
    A182,
    IMPORTRANGE(
      ""1SCYQd7_cobOYqT0r_F0IqD4tE4rYn5y8Eup4PJTH8es"",
      ""Snapshot!A:M""
    ),
    13,
    FALSE
  ),
  0
)
"),2.0)</f>
        <v>2</v>
      </c>
    </row>
    <row r="183">
      <c r="A183" s="1" t="s">
        <v>506</v>
      </c>
      <c r="B183" s="1" t="str">
        <f>IFERROR(__xludf.DUMMYFUNCTION("IFERROR(
  VLOOKUP(
    A183,
    IMPORTRANGE(
      ""1ZygntHC1J6IxzKbTidmOyf5nUyW4GCLurHCjexrLm_o"",
      ""HTMLキャッシュ!A:F""
    ),
    2,
    FALSE
  ),
  0
)
"),"NW")</f>
        <v>NW</v>
      </c>
      <c r="C183" s="1" t="str">
        <f>IFERROR(__xludf.DUMMYFUNCTION("IFERROR(
  VLOOKUP(
    A183,
    IMPORTRANGE(
      ""1ZygntHC1J6IxzKbTidmOyf5nUyW4GCLurHCjexrLm_o"",
      ""HTMLキャッシュ!A:F""
    ),
    5,
    FALSE
  ),
  0
)
"),"2022年度冬期講習のお知らせ【個別指導】 - 中学受験専門 夏井算数塾")</f>
        <v>2022年度冬期講習のお知らせ【個別指導】 - 中学受験専門 夏井算数塾</v>
      </c>
      <c r="D183" s="1" t="str">
        <f>IFERROR(__xludf.DUMMYFUNCTION("IFERROR(
  VLOOKUP(
    A183,
    IMPORTRANGE(
      ""1ZygntHC1J6IxzKbTidmOyf5nUyW4GCLurHCjexrLm_o        "",
      ""HTMLキャッシュ!A:F""
    ),
    6,
    FALSE
  ),
  0
)
"),"当塾では冬期講習会を実施いたします。現在通塾中の塾生の皆さんはもちろん、普段は他塾に通っている生徒さんにも門戸")</f>
        <v>当塾では冬期講習会を実施いたします。現在通塾中の塾生の皆さんはもちろん、普段は他塾に通っている生徒さんにも門戸</v>
      </c>
      <c r="E183" s="49">
        <f t="shared" ref="E183:F183" si="906">LEN(C183)</f>
        <v>36</v>
      </c>
      <c r="F183" s="49">
        <f t="shared" si="906"/>
        <v>55</v>
      </c>
      <c r="G183" s="32">
        <f>IFERROR(__xludf.DUMMYFUNCTION("IFERROR(
  VLOOKUP(
    A183,
    IMPORTRANGE(
      ""1ZygntHC1J6IxzKbTidmOyf5nUyW4GCLurHCjexrLm_o        "",
      ""HTMLキャッシュ!A:F""
    ),
    3,
    FALSE
  ),
  0
)
"),45593.55908564815)</f>
        <v>45593.55909</v>
      </c>
      <c r="H183" s="54">
        <f>IFERROR(__xludf.DUMMYFUNCTION("IFERROR(
  VLOOKUP(
    A183,
    IMPORTRANGE(
      ""1ZHMy3vVUd_0MrSduXTe1etBb1HNpAlGwQr006ljwMiM"",
      ""GSC最新!A:F""
    ),
    2,
    FALSE
  ),
  0
)
"),0.0)</f>
        <v>0</v>
      </c>
      <c r="I183" s="54">
        <f>IFERROR(__xludf.DUMMYFUNCTION("IFERROR(
  VLOOKUP(
    A183,
    IMPORTRANGE(
      ""1ZHMy3vVUd_0MrSduXTe1etBb1HNpAlGwQr006ljwMiM"",
      ""GSC最新!A:F""
    ),
    3,
    FALSE
  ),
  0
)
"),0.0)</f>
        <v>0</v>
      </c>
      <c r="J183" s="54">
        <f>IFERROR(__xludf.DUMMYFUNCTION("IFERROR(
  VLOOKUP(
    A183,
    IMPORTRANGE(
      ""1ZHMy3vVUd_0MrSduXTe1etBb1HNpAlGwQr006ljwMiM"",
      ""GSC最新!A:F""
    ),
    4,
    FALSE
  ),
  0
)
"),0.0)</f>
        <v>0</v>
      </c>
      <c r="K183" s="54">
        <f>IFERROR(__xludf.DUMMYFUNCTION("IFERROR(
  VLOOKUP(
    A183,
    IMPORTRANGE(
      ""1ZHMy3vVUd_0MrSduXTe1etBb1HNpAlGwQr006ljwMiM"",
      ""GSC最新!A:F""
    ),
    5,
    FALSE
  ),
  0
)
"),0.0)</f>
        <v>0</v>
      </c>
      <c r="L183" s="50" t="str">
        <f t="shared" ref="L183:M183" si="907">IFERROR(H183/J183,"-")</f>
        <v>-</v>
      </c>
      <c r="M183" s="50" t="str">
        <f t="shared" si="907"/>
        <v>-</v>
      </c>
      <c r="N183" s="59">
        <f>IFERROR(__xludf.DUMMYFUNCTION("IFERROR(
  VLOOKUP(
    A183,
    IMPORTRANGE(
      ""1ZHMy3vVUd_0MrSduXTe1etBb1HNpAlGwQr006ljwMiM"",
      ""GSC最新!A:R""
    ),
    7,
    FALSE
  ),
  0
)
"),0.0)</f>
        <v>0</v>
      </c>
      <c r="O183" s="59">
        <f>IFERROR(__xludf.DUMMYFUNCTION("IFERROR(
  VLOOKUP(
    A183,
    IMPORTRANGE(
      ""1ZHMy3vVUd_0MrSduXTe1etBb1HNpAlGwQr006ljwMiM"",
      ""GSC最新!A:R""
    ),
    10,
    FALSE
  ),
  0
)
"),0.0)</f>
        <v>0</v>
      </c>
      <c r="P183" s="59">
        <f>IFERROR(__xludf.DUMMYFUNCTION("IFERROR(
  VLOOKUP(
    A183,
    IMPORTRANGE(
      ""1ZHMy3vVUd_0MrSduXTe1etBb1HNpAlGwQr006ljwMiM"",
      ""GSC最新!A:R""
    ),
    13,
    FALSE
  ),
  0
)
"),0.0)</f>
        <v>0</v>
      </c>
      <c r="Q183" s="59">
        <f>IFERROR(__xludf.DUMMYFUNCTION("IFERROR(
  VLOOKUP(
    A183,
    IMPORTRANGE(
      ""1ZHMy3vVUd_0MrSduXTe1etBb1HNpAlGwQr006ljwMiM"",
      ""GSC最新!A:R""
    ),
    16,
    FALSE
  ),
  0
)
"),0.0)</f>
        <v>0</v>
      </c>
      <c r="R183" s="50" t="str">
        <f t="shared" ref="R183:S183" si="908">IFERROR(N183/P183,"-")</f>
        <v>-</v>
      </c>
      <c r="S183" s="50" t="str">
        <f t="shared" si="908"/>
        <v>-</v>
      </c>
      <c r="T183" s="60">
        <f>IFERROR(__xludf.DUMMYFUNCTION("IFERROR(
  VLOOKUP(
    A183,
    IMPORTRANGE(
      ""1ZHMy3vVUd_0MrSduXTe1etBb1HNpAlGwQr006ljwMiM"",
      ""GSC最新!A:R""
    ),
    8,
    FALSE
  ),
  0
)
"),0.0)</f>
        <v>0</v>
      </c>
      <c r="U183" s="60">
        <f>IFERROR(__xludf.DUMMYFUNCTION("IFERROR(
  VLOOKUP(
    A183,
    IMPORTRANGE(
      ""1ZHMy3vVUd_0MrSduXTe1etBb1HNpAlGwQr006ljwMiM"",
      ""GSC最新!A:R""
    ),
    11,
    FALSE
  ),
  0
)
"),0.0)</f>
        <v>0</v>
      </c>
      <c r="V183" s="60">
        <f>IFERROR(__xludf.DUMMYFUNCTION("IFERROR(
  VLOOKUP(
    A183,
    IMPORTRANGE(
      ""1ZHMy3vVUd_0MrSduXTe1etBb1HNpAlGwQr006ljwMiM"",
      ""GSC最新!A:R""
    ),
    14,
    FALSE
  ),
  0
)
"),0.0)</f>
        <v>0</v>
      </c>
      <c r="W183" s="60">
        <f>IFERROR(__xludf.DUMMYFUNCTION("IFERROR(
  VLOOKUP(
    A183,
    IMPORTRANGE(
      ""1ZHMy3vVUd_0MrSduXTe1etBb1HNpAlGwQr006ljwMiM"",
      ""GSC最新!A:R""
    ),
    17,
    FALSE
  ),
  0
)
"),0.0)</f>
        <v>0</v>
      </c>
      <c r="X183" s="60">
        <f t="shared" ref="X183:Y183" si="909">IFERROR(T183-V183,"-")</f>
        <v>0</v>
      </c>
      <c r="Y183" s="60">
        <f t="shared" si="909"/>
        <v>0</v>
      </c>
      <c r="Z183" s="52" t="str">
        <f>IFERROR(__xludf.DUMMYFUNCTION("IFERROR(
  VLOOKUP(
    A183,
    IMPORTRANGE(
      ""1ZHMy3vVUd_0MrSduXTe1etBb1HNpAlGwQr006ljwMiM"",
      ""GSC最新!A:R""
    ),
    9,
    FALSE
  ),
  0
)
"),"")</f>
        <v/>
      </c>
      <c r="AA183" s="52" t="str">
        <f>IFERROR(__xludf.DUMMYFUNCTION("IFERROR(
  VLOOKUP(
    A183,
    IMPORTRANGE(
      ""1ZHMy3vVUd_0MrSduXTe1etBb1HNpAlGwQr006ljwMiM"",
      ""GSC最新!A:R""
    ),
    12,
    FALSE
  ),
  0
)
"),"")</f>
        <v/>
      </c>
      <c r="AB183" s="52" t="str">
        <f>IFERROR(__xludf.DUMMYFUNCTION("IFERROR(
  VLOOKUP(
    A183,
    IMPORTRANGE(
      ""1ZHMy3vVUd_0MrSduXTe1etBb1HNpAlGwQr006ljwMiM"",
      ""GSC最新!A:R""
    ),
    15,
    FALSE
  ),
  0
)
"),"")</f>
        <v/>
      </c>
      <c r="AC183" s="52" t="str">
        <f>IFERROR(__xludf.DUMMYFUNCTION("IFERROR(
  VLOOKUP(
    A183,
    IMPORTRANGE(
      ""1ZHMy3vVUd_0MrSduXTe1etBb1HNpAlGwQr006ljwMiM"",
      ""GSC最新!A:R""
    ),
    18,
    FALSE
  ),
  0
)
"),"")</f>
        <v/>
      </c>
      <c r="AD183" s="52">
        <f t="shared" ref="AD183:AE183" si="910">Z183-AB183</f>
        <v>0</v>
      </c>
      <c r="AE183" s="52">
        <f t="shared" si="910"/>
        <v>0</v>
      </c>
      <c r="AF183" s="53">
        <f>IFERROR(__xludf.DUMMYFUNCTION("IFERROR(
  VLOOKUP(
    A183,
    IMPORTRANGE(
      ""1ZHMy3vVUd_0MrSduXTe1etBb1HNpAlGwQr006ljwMiM"",
      ""GSC最新!A:F""
    ),
    6,
    FALSE
  ),
  0
)
"),46081.0)</f>
        <v>46081</v>
      </c>
      <c r="AG183" s="54">
        <f>IFERROR(__xludf.DUMMYFUNCTION("IFERROR(
  VLOOKUP(
    A183,
    IMPORTRANGE(
      ""1SCYQd7_cobOYqT0r_F0IqD4tE4rYn5y8Eup4PJTH8es"",
      ""Snapshot!A:M""
    ),
    5,
    FALSE
  ),
  ""-""
)
"),0.0)</f>
        <v>0</v>
      </c>
      <c r="AH183" s="54">
        <f>IFERROR(__xludf.DUMMYFUNCTION("IFERROR(
  VLOOKUP(
    A183,
    IMPORTRANGE(
      ""1SCYQd7_cobOYqT0r_F0IqD4tE4rYn5y8Eup4PJTH8es"",
      ""Snapshot!A:M""
    ),
    6,
    FALSE
  ),
  0
)
"),0.0)</f>
        <v>0</v>
      </c>
      <c r="AI183" s="54">
        <f>IFERROR(__xludf.DUMMYFUNCTION("IFERROR(
  VLOOKUP(
    A183,
    IMPORTRANGE(
      ""1SCYQd7_cobOYqT0r_F0IqD4tE4rYn5y8Eup4PJTH8es"",
      ""Snapshot!A:M""
    ),
    7,
    FALSE
  ),
  0
)
"),608.0)</f>
        <v>608</v>
      </c>
      <c r="AJ183" s="54">
        <f>IFERROR(__xludf.DUMMYFUNCTION("IFERROR(
  VLOOKUP(
    A183,
    IMPORTRANGE(
      ""1SCYQd7_cobOYqT0r_F0IqD4tE4rYn5y8Eup4PJTH8es"",
      ""Snapshot!A:M""
    ),
    8,
    FALSE
  ),
  0
)
"),5.0)</f>
        <v>5</v>
      </c>
      <c r="AK183" s="54">
        <f>IFERROR(__xludf.DUMMYFUNCTION("IFERROR(
  VLOOKUP(
    A183,
    IMPORTRANGE(
      ""1SCYQd7_cobOYqT0r_F0IqD4tE4rYn5y8Eup4PJTH8es"",
      ""Snapshot!A:M""
    ),
    9,
    FALSE
  ),
  0
)
"),1.0)</f>
        <v>1</v>
      </c>
      <c r="AL183" s="54">
        <f>IFERROR(__xludf.DUMMYFUNCTION("IFERROR(
  VLOOKUP(
    A183,
    IMPORTRANGE(
      ""1SCYQd7_cobOYqT0r_F0IqD4tE4rYn5y8Eup4PJTH8es"",
      ""Snapshot!A:M""
    ),
    13,
    FALSE
  ),
  0
)
"),2.0)</f>
        <v>2</v>
      </c>
    </row>
    <row r="184">
      <c r="A184" s="1" t="s">
        <v>507</v>
      </c>
      <c r="B184" s="1" t="str">
        <f>IFERROR(__xludf.DUMMYFUNCTION("IFERROR(
  VLOOKUP(
    A184,
    IMPORTRANGE(
      ""1ZygntHC1J6IxzKbTidmOyf5nUyW4GCLurHCjexrLm_o"",
      ""HTMLキャッシュ!A:F""
    ),
    2,
    FALSE
  ),
  0
)
"),"NW")</f>
        <v>NW</v>
      </c>
      <c r="C184" s="1" t="str">
        <f>IFERROR(__xludf.DUMMYFUNCTION("IFERROR(
  VLOOKUP(
    A184,
    IMPORTRANGE(
      ""1ZygntHC1J6IxzKbTidmOyf5nUyW4GCLurHCjexrLm_o"",
      ""HTMLキャッシュ!A:F""
    ),
    5,
    FALSE
  ),
  0
)
"),"2021年度冬期講習のお知らせ【個別指導】 - 中学受験専門 夏井算数塾")</f>
        <v>2021年度冬期講習のお知らせ【個別指導】 - 中学受験専門 夏井算数塾</v>
      </c>
      <c r="D184" s="1" t="str">
        <f>IFERROR(__xludf.DUMMYFUNCTION("IFERROR(
  VLOOKUP(
    A184,
    IMPORTRANGE(
      ""1ZygntHC1J6IxzKbTidmOyf5nUyW4GCLurHCjexrLm_o        "",
      ""HTMLキャッシュ!A:F""
    ),
    6,
    FALSE
  ),
  0
)
"),"当塾では冬期講習会を実施いたします。現在通塾中の塾生の皆さんはもちろん、普段は他塾に通っている生徒さんにも門戸")</f>
        <v>当塾では冬期講習会を実施いたします。現在通塾中の塾生の皆さんはもちろん、普段は他塾に通っている生徒さんにも門戸</v>
      </c>
      <c r="E184" s="49">
        <f t="shared" ref="E184:F184" si="911">LEN(C184)</f>
        <v>36</v>
      </c>
      <c r="F184" s="49">
        <f t="shared" si="911"/>
        <v>55</v>
      </c>
      <c r="G184" s="32">
        <f>IFERROR(__xludf.DUMMYFUNCTION("IFERROR(
  VLOOKUP(
    A184,
    IMPORTRANGE(
      ""1ZygntHC1J6IxzKbTidmOyf5nUyW4GCLurHCjexrLm_o        "",
      ""HTMLキャッシュ!A:F""
    ),
    3,
    FALSE
  ),
  0
)
"),45593.56049768518)</f>
        <v>45593.5605</v>
      </c>
      <c r="H184" s="54">
        <f>IFERROR(__xludf.DUMMYFUNCTION("IFERROR(
  VLOOKUP(
    A184,
    IMPORTRANGE(
      ""1ZHMy3vVUd_0MrSduXTe1etBb1HNpAlGwQr006ljwMiM"",
      ""GSC最新!A:F""
    ),
    2,
    FALSE
  ),
  0
)
"),0.0)</f>
        <v>0</v>
      </c>
      <c r="I184" s="54">
        <f>IFERROR(__xludf.DUMMYFUNCTION("IFERROR(
  VLOOKUP(
    A184,
    IMPORTRANGE(
      ""1ZHMy3vVUd_0MrSduXTe1etBb1HNpAlGwQr006ljwMiM"",
      ""GSC最新!A:F""
    ),
    3,
    FALSE
  ),
  0
)
"),0.0)</f>
        <v>0</v>
      </c>
      <c r="J184" s="54">
        <f>IFERROR(__xludf.DUMMYFUNCTION("IFERROR(
  VLOOKUP(
    A184,
    IMPORTRANGE(
      ""1ZHMy3vVUd_0MrSduXTe1etBb1HNpAlGwQr006ljwMiM"",
      ""GSC最新!A:F""
    ),
    4,
    FALSE
  ),
  0
)
"),0.0)</f>
        <v>0</v>
      </c>
      <c r="K184" s="54">
        <f>IFERROR(__xludf.DUMMYFUNCTION("IFERROR(
  VLOOKUP(
    A184,
    IMPORTRANGE(
      ""1ZHMy3vVUd_0MrSduXTe1etBb1HNpAlGwQr006ljwMiM"",
      ""GSC最新!A:F""
    ),
    5,
    FALSE
  ),
  0
)
"),0.0)</f>
        <v>0</v>
      </c>
      <c r="L184" s="50" t="str">
        <f t="shared" ref="L184:M184" si="912">IFERROR(H184/J184,"-")</f>
        <v>-</v>
      </c>
      <c r="M184" s="50" t="str">
        <f t="shared" si="912"/>
        <v>-</v>
      </c>
      <c r="N184" s="59">
        <f>IFERROR(__xludf.DUMMYFUNCTION("IFERROR(
  VLOOKUP(
    A184,
    IMPORTRANGE(
      ""1ZHMy3vVUd_0MrSduXTe1etBb1HNpAlGwQr006ljwMiM"",
      ""GSC最新!A:R""
    ),
    7,
    FALSE
  ),
  0
)
"),0.0)</f>
        <v>0</v>
      </c>
      <c r="O184" s="59">
        <f>IFERROR(__xludf.DUMMYFUNCTION("IFERROR(
  VLOOKUP(
    A184,
    IMPORTRANGE(
      ""1ZHMy3vVUd_0MrSduXTe1etBb1HNpAlGwQr006ljwMiM"",
      ""GSC最新!A:R""
    ),
    10,
    FALSE
  ),
  0
)
"),0.0)</f>
        <v>0</v>
      </c>
      <c r="P184" s="59">
        <f>IFERROR(__xludf.DUMMYFUNCTION("IFERROR(
  VLOOKUP(
    A184,
    IMPORTRANGE(
      ""1ZHMy3vVUd_0MrSduXTe1etBb1HNpAlGwQr006ljwMiM"",
      ""GSC最新!A:R""
    ),
    13,
    FALSE
  ),
  0
)
"),0.0)</f>
        <v>0</v>
      </c>
      <c r="Q184" s="59">
        <f>IFERROR(__xludf.DUMMYFUNCTION("IFERROR(
  VLOOKUP(
    A184,
    IMPORTRANGE(
      ""1ZHMy3vVUd_0MrSduXTe1etBb1HNpAlGwQr006ljwMiM"",
      ""GSC最新!A:R""
    ),
    16,
    FALSE
  ),
  0
)
"),0.0)</f>
        <v>0</v>
      </c>
      <c r="R184" s="50" t="str">
        <f t="shared" ref="R184:S184" si="913">IFERROR(N184/P184,"-")</f>
        <v>-</v>
      </c>
      <c r="S184" s="50" t="str">
        <f t="shared" si="913"/>
        <v>-</v>
      </c>
      <c r="T184" s="60">
        <f>IFERROR(__xludf.DUMMYFUNCTION("IFERROR(
  VLOOKUP(
    A184,
    IMPORTRANGE(
      ""1ZHMy3vVUd_0MrSduXTe1etBb1HNpAlGwQr006ljwMiM"",
      ""GSC最新!A:R""
    ),
    8,
    FALSE
  ),
  0
)
"),0.0)</f>
        <v>0</v>
      </c>
      <c r="U184" s="60">
        <f>IFERROR(__xludf.DUMMYFUNCTION("IFERROR(
  VLOOKUP(
    A184,
    IMPORTRANGE(
      ""1ZHMy3vVUd_0MrSduXTe1etBb1HNpAlGwQr006ljwMiM"",
      ""GSC最新!A:R""
    ),
    11,
    FALSE
  ),
  0
)
"),0.0)</f>
        <v>0</v>
      </c>
      <c r="V184" s="60">
        <f>IFERROR(__xludf.DUMMYFUNCTION("IFERROR(
  VLOOKUP(
    A184,
    IMPORTRANGE(
      ""1ZHMy3vVUd_0MrSduXTe1etBb1HNpAlGwQr006ljwMiM"",
      ""GSC最新!A:R""
    ),
    14,
    FALSE
  ),
  0
)
"),0.0)</f>
        <v>0</v>
      </c>
      <c r="W184" s="60">
        <f>IFERROR(__xludf.DUMMYFUNCTION("IFERROR(
  VLOOKUP(
    A184,
    IMPORTRANGE(
      ""1ZHMy3vVUd_0MrSduXTe1etBb1HNpAlGwQr006ljwMiM"",
      ""GSC最新!A:R""
    ),
    17,
    FALSE
  ),
  0
)
"),0.0)</f>
        <v>0</v>
      </c>
      <c r="X184" s="60">
        <f t="shared" ref="X184:Y184" si="914">IFERROR(T184-V184,"-")</f>
        <v>0</v>
      </c>
      <c r="Y184" s="60">
        <f t="shared" si="914"/>
        <v>0</v>
      </c>
      <c r="Z184" s="52" t="str">
        <f>IFERROR(__xludf.DUMMYFUNCTION("IFERROR(
  VLOOKUP(
    A184,
    IMPORTRANGE(
      ""1ZHMy3vVUd_0MrSduXTe1etBb1HNpAlGwQr006ljwMiM"",
      ""GSC最新!A:R""
    ),
    9,
    FALSE
  ),
  0
)
"),"")</f>
        <v/>
      </c>
      <c r="AA184" s="52" t="str">
        <f>IFERROR(__xludf.DUMMYFUNCTION("IFERROR(
  VLOOKUP(
    A184,
    IMPORTRANGE(
      ""1ZHMy3vVUd_0MrSduXTe1etBb1HNpAlGwQr006ljwMiM"",
      ""GSC最新!A:R""
    ),
    12,
    FALSE
  ),
  0
)
"),"")</f>
        <v/>
      </c>
      <c r="AB184" s="52" t="str">
        <f>IFERROR(__xludf.DUMMYFUNCTION("IFERROR(
  VLOOKUP(
    A184,
    IMPORTRANGE(
      ""1ZHMy3vVUd_0MrSduXTe1etBb1HNpAlGwQr006ljwMiM"",
      ""GSC最新!A:R""
    ),
    15,
    FALSE
  ),
  0
)
"),"")</f>
        <v/>
      </c>
      <c r="AC184" s="52" t="str">
        <f>IFERROR(__xludf.DUMMYFUNCTION("IFERROR(
  VLOOKUP(
    A184,
    IMPORTRANGE(
      ""1ZHMy3vVUd_0MrSduXTe1etBb1HNpAlGwQr006ljwMiM"",
      ""GSC最新!A:R""
    ),
    18,
    FALSE
  ),
  0
)
"),"")</f>
        <v/>
      </c>
      <c r="AD184" s="52">
        <f t="shared" ref="AD184:AE184" si="915">Z184-AB184</f>
        <v>0</v>
      </c>
      <c r="AE184" s="52">
        <f t="shared" si="915"/>
        <v>0</v>
      </c>
      <c r="AF184" s="53">
        <f>IFERROR(__xludf.DUMMYFUNCTION("IFERROR(
  VLOOKUP(
    A184,
    IMPORTRANGE(
      ""1ZHMy3vVUd_0MrSduXTe1etBb1HNpAlGwQr006ljwMiM"",
      ""GSC最新!A:F""
    ),
    6,
    FALSE
  ),
  0
)
"),46081.0)</f>
        <v>46081</v>
      </c>
      <c r="AG184" s="54">
        <f>IFERROR(__xludf.DUMMYFUNCTION("IFERROR(
  VLOOKUP(
    A184,
    IMPORTRANGE(
      ""1SCYQd7_cobOYqT0r_F0IqD4tE4rYn5y8Eup4PJTH8es"",
      ""Snapshot!A:M""
    ),
    5,
    FALSE
  ),
  ""-""
)
"),0.0)</f>
        <v>0</v>
      </c>
      <c r="AH184" s="54">
        <f>IFERROR(__xludf.DUMMYFUNCTION("IFERROR(
  VLOOKUP(
    A184,
    IMPORTRANGE(
      ""1SCYQd7_cobOYqT0r_F0IqD4tE4rYn5y8Eup4PJTH8es"",
      ""Snapshot!A:M""
    ),
    6,
    FALSE
  ),
  0
)
"),0.0)</f>
        <v>0</v>
      </c>
      <c r="AI184" s="54">
        <f>IFERROR(__xludf.DUMMYFUNCTION("IFERROR(
  VLOOKUP(
    A184,
    IMPORTRANGE(
      ""1SCYQd7_cobOYqT0r_F0IqD4tE4rYn5y8Eup4PJTH8es"",
      ""Snapshot!A:M""
    ),
    7,
    FALSE
  ),
  0
)
"),652.0)</f>
        <v>652</v>
      </c>
      <c r="AJ184" s="54">
        <f>IFERROR(__xludf.DUMMYFUNCTION("IFERROR(
  VLOOKUP(
    A184,
    IMPORTRANGE(
      ""1SCYQd7_cobOYqT0r_F0IqD4tE4rYn5y8Eup4PJTH8es"",
      ""Snapshot!A:M""
    ),
    8,
    FALSE
  ),
  0
)
"),5.0)</f>
        <v>5</v>
      </c>
      <c r="AK184" s="54">
        <f>IFERROR(__xludf.DUMMYFUNCTION("IFERROR(
  VLOOKUP(
    A184,
    IMPORTRANGE(
      ""1SCYQd7_cobOYqT0r_F0IqD4tE4rYn5y8Eup4PJTH8es"",
      ""Snapshot!A:M""
    ),
    9,
    FALSE
  ),
  0
)
"),1.0)</f>
        <v>1</v>
      </c>
      <c r="AL184" s="54">
        <f>IFERROR(__xludf.DUMMYFUNCTION("IFERROR(
  VLOOKUP(
    A184,
    IMPORTRANGE(
      ""1SCYQd7_cobOYqT0r_F0IqD4tE4rYn5y8Eup4PJTH8es"",
      ""Snapshot!A:M""
    ),
    13,
    FALSE
  ),
  0
)
"),2.0)</f>
        <v>2</v>
      </c>
    </row>
    <row r="185">
      <c r="A185" s="1" t="s">
        <v>508</v>
      </c>
      <c r="B185" s="1" t="str">
        <f>IFERROR(__xludf.DUMMYFUNCTION("IFERROR(
  VLOOKUP(
    A185,
    IMPORTRANGE(
      ""1ZygntHC1J6IxzKbTidmOyf5nUyW4GCLurHCjexrLm_o"",
      ""HTMLキャッシュ!A:F""
    ),
    2,
    FALSE
  ),
  0
)
"),"NW")</f>
        <v>NW</v>
      </c>
      <c r="C185" s="1" t="str">
        <f>IFERROR(__xludf.DUMMYFUNCTION("IFERROR(
  VLOOKUP(
    A185,
    IMPORTRANGE(
      ""1ZygntHC1J6IxzKbTidmOyf5nUyW4GCLurHCjexrLm_o"",
      ""HTMLキャッシュ!A:F""
    ),
    5,
    FALSE
  ),
  0
)
"),"2023年度夏期講習のお知らせ【個別】 - 中学受験専門 夏井算数塾")</f>
        <v>2023年度夏期講習のお知らせ【個別】 - 中学受験専門 夏井算数塾</v>
      </c>
      <c r="D185" s="1" t="str">
        <f>IFERROR(__xludf.DUMMYFUNCTION("IFERROR(
  VLOOKUP(
    A185,
    IMPORTRANGE(
      ""1ZygntHC1J6IxzKbTidmOyf5nUyW4GCLurHCjexrLm_o        "",
      ""HTMLキャッシュ!A:F""
    ),
    6,
    FALSE
  ),
  0
)
"),"夏休みは、受験生にとってはまさに天王山であり、受験がまだ1年以上先の生徒にとっても、普段忙しくて取り組めない課")</f>
        <v>夏休みは、受験生にとってはまさに天王山であり、受験がまだ1年以上先の生徒にとっても、普段忙しくて取り組めない課</v>
      </c>
      <c r="E185" s="49">
        <f t="shared" ref="E185:F185" si="916">LEN(C185)</f>
        <v>34</v>
      </c>
      <c r="F185" s="49">
        <f t="shared" si="916"/>
        <v>55</v>
      </c>
      <c r="G185" s="32">
        <f>IFERROR(__xludf.DUMMYFUNCTION("IFERROR(
  VLOOKUP(
    A185,
    IMPORTRANGE(
      ""1ZygntHC1J6IxzKbTidmOyf5nUyW4GCLurHCjexrLm_o        "",
      ""HTMLキャッシュ!A:F""
    ),
    3,
    FALSE
  ),
  0
)
"),45593.557233796295)</f>
        <v>45593.55723</v>
      </c>
      <c r="H185" s="54">
        <f>IFERROR(__xludf.DUMMYFUNCTION("IFERROR(
  VLOOKUP(
    A185,
    IMPORTRANGE(
      ""1ZHMy3vVUd_0MrSduXTe1etBb1HNpAlGwQr006ljwMiM"",
      ""GSC最新!A:F""
    ),
    2,
    FALSE
  ),
  0
)
"),0.0)</f>
        <v>0</v>
      </c>
      <c r="I185" s="54">
        <f>IFERROR(__xludf.DUMMYFUNCTION("IFERROR(
  VLOOKUP(
    A185,
    IMPORTRANGE(
      ""1ZHMy3vVUd_0MrSduXTe1etBb1HNpAlGwQr006ljwMiM"",
      ""GSC最新!A:F""
    ),
    3,
    FALSE
  ),
  0
)
"),0.0)</f>
        <v>0</v>
      </c>
      <c r="J185" s="54">
        <f>IFERROR(__xludf.DUMMYFUNCTION("IFERROR(
  VLOOKUP(
    A185,
    IMPORTRANGE(
      ""1ZHMy3vVUd_0MrSduXTe1etBb1HNpAlGwQr006ljwMiM"",
      ""GSC最新!A:F""
    ),
    4,
    FALSE
  ),
  0
)
"),0.0)</f>
        <v>0</v>
      </c>
      <c r="K185" s="54">
        <f>IFERROR(__xludf.DUMMYFUNCTION("IFERROR(
  VLOOKUP(
    A185,
    IMPORTRANGE(
      ""1ZHMy3vVUd_0MrSduXTe1etBb1HNpAlGwQr006ljwMiM"",
      ""GSC最新!A:F""
    ),
    5,
    FALSE
  ),
  0
)
"),0.0)</f>
        <v>0</v>
      </c>
      <c r="L185" s="50" t="str">
        <f t="shared" ref="L185:M185" si="917">IFERROR(H185/J185,"-")</f>
        <v>-</v>
      </c>
      <c r="M185" s="50" t="str">
        <f t="shared" si="917"/>
        <v>-</v>
      </c>
      <c r="N185" s="59">
        <f>IFERROR(__xludf.DUMMYFUNCTION("IFERROR(
  VLOOKUP(
    A185,
    IMPORTRANGE(
      ""1ZHMy3vVUd_0MrSduXTe1etBb1HNpAlGwQr006ljwMiM"",
      ""GSC最新!A:R""
    ),
    7,
    FALSE
  ),
  0
)
"),0.0)</f>
        <v>0</v>
      </c>
      <c r="O185" s="59">
        <f>IFERROR(__xludf.DUMMYFUNCTION("IFERROR(
  VLOOKUP(
    A185,
    IMPORTRANGE(
      ""1ZHMy3vVUd_0MrSduXTe1etBb1HNpAlGwQr006ljwMiM"",
      ""GSC最新!A:R""
    ),
    10,
    FALSE
  ),
  0
)
"),0.0)</f>
        <v>0</v>
      </c>
      <c r="P185" s="59">
        <f>IFERROR(__xludf.DUMMYFUNCTION("IFERROR(
  VLOOKUP(
    A185,
    IMPORTRANGE(
      ""1ZHMy3vVUd_0MrSduXTe1etBb1HNpAlGwQr006ljwMiM"",
      ""GSC最新!A:R""
    ),
    13,
    FALSE
  ),
  0
)
"),0.0)</f>
        <v>0</v>
      </c>
      <c r="Q185" s="59">
        <f>IFERROR(__xludf.DUMMYFUNCTION("IFERROR(
  VLOOKUP(
    A185,
    IMPORTRANGE(
      ""1ZHMy3vVUd_0MrSduXTe1etBb1HNpAlGwQr006ljwMiM"",
      ""GSC最新!A:R""
    ),
    16,
    FALSE
  ),
  0
)
"),0.0)</f>
        <v>0</v>
      </c>
      <c r="R185" s="50" t="str">
        <f t="shared" ref="R185:S185" si="918">IFERROR(N185/P185,"-")</f>
        <v>-</v>
      </c>
      <c r="S185" s="50" t="str">
        <f t="shared" si="918"/>
        <v>-</v>
      </c>
      <c r="T185" s="60">
        <f>IFERROR(__xludf.DUMMYFUNCTION("IFERROR(
  VLOOKUP(
    A185,
    IMPORTRANGE(
      ""1ZHMy3vVUd_0MrSduXTe1etBb1HNpAlGwQr006ljwMiM"",
      ""GSC最新!A:R""
    ),
    8,
    FALSE
  ),
  0
)
"),0.0)</f>
        <v>0</v>
      </c>
      <c r="U185" s="60">
        <f>IFERROR(__xludf.DUMMYFUNCTION("IFERROR(
  VLOOKUP(
    A185,
    IMPORTRANGE(
      ""1ZHMy3vVUd_0MrSduXTe1etBb1HNpAlGwQr006ljwMiM"",
      ""GSC最新!A:R""
    ),
    11,
    FALSE
  ),
  0
)
"),0.0)</f>
        <v>0</v>
      </c>
      <c r="V185" s="60">
        <f>IFERROR(__xludf.DUMMYFUNCTION("IFERROR(
  VLOOKUP(
    A185,
    IMPORTRANGE(
      ""1ZHMy3vVUd_0MrSduXTe1etBb1HNpAlGwQr006ljwMiM"",
      ""GSC最新!A:R""
    ),
    14,
    FALSE
  ),
  0
)
"),0.0)</f>
        <v>0</v>
      </c>
      <c r="W185" s="60">
        <f>IFERROR(__xludf.DUMMYFUNCTION("IFERROR(
  VLOOKUP(
    A185,
    IMPORTRANGE(
      ""1ZHMy3vVUd_0MrSduXTe1etBb1HNpAlGwQr006ljwMiM"",
      ""GSC最新!A:R""
    ),
    17,
    FALSE
  ),
  0
)
"),0.0)</f>
        <v>0</v>
      </c>
      <c r="X185" s="60">
        <f t="shared" ref="X185:Y185" si="919">IFERROR(T185-V185,"-")</f>
        <v>0</v>
      </c>
      <c r="Y185" s="60">
        <f t="shared" si="919"/>
        <v>0</v>
      </c>
      <c r="Z185" s="52" t="str">
        <f>IFERROR(__xludf.DUMMYFUNCTION("IFERROR(
  VLOOKUP(
    A185,
    IMPORTRANGE(
      ""1ZHMy3vVUd_0MrSduXTe1etBb1HNpAlGwQr006ljwMiM"",
      ""GSC最新!A:R""
    ),
    9,
    FALSE
  ),
  0
)
"),"")</f>
        <v/>
      </c>
      <c r="AA185" s="52" t="str">
        <f>IFERROR(__xludf.DUMMYFUNCTION("IFERROR(
  VLOOKUP(
    A185,
    IMPORTRANGE(
      ""1ZHMy3vVUd_0MrSduXTe1etBb1HNpAlGwQr006ljwMiM"",
      ""GSC最新!A:R""
    ),
    12,
    FALSE
  ),
  0
)
"),"")</f>
        <v/>
      </c>
      <c r="AB185" s="52" t="str">
        <f>IFERROR(__xludf.DUMMYFUNCTION("IFERROR(
  VLOOKUP(
    A185,
    IMPORTRANGE(
      ""1ZHMy3vVUd_0MrSduXTe1etBb1HNpAlGwQr006ljwMiM"",
      ""GSC最新!A:R""
    ),
    15,
    FALSE
  ),
  0
)
"),"")</f>
        <v/>
      </c>
      <c r="AC185" s="52" t="str">
        <f>IFERROR(__xludf.DUMMYFUNCTION("IFERROR(
  VLOOKUP(
    A185,
    IMPORTRANGE(
      ""1ZHMy3vVUd_0MrSduXTe1etBb1HNpAlGwQr006ljwMiM"",
      ""GSC最新!A:R""
    ),
    18,
    FALSE
  ),
  0
)
"),"")</f>
        <v/>
      </c>
      <c r="AD185" s="52">
        <f t="shared" ref="AD185:AE185" si="920">Z185-AB185</f>
        <v>0</v>
      </c>
      <c r="AE185" s="52">
        <f t="shared" si="920"/>
        <v>0</v>
      </c>
      <c r="AF185" s="53">
        <f>IFERROR(__xludf.DUMMYFUNCTION("IFERROR(
  VLOOKUP(
    A185,
    IMPORTRANGE(
      ""1ZHMy3vVUd_0MrSduXTe1etBb1HNpAlGwQr006ljwMiM"",
      ""GSC最新!A:F""
    ),
    6,
    FALSE
  ),
  0
)
"),46081.0)</f>
        <v>46081</v>
      </c>
      <c r="AG185" s="54">
        <f>IFERROR(__xludf.DUMMYFUNCTION("IFERROR(
  VLOOKUP(
    A185,
    IMPORTRANGE(
      ""1SCYQd7_cobOYqT0r_F0IqD4tE4rYn5y8Eup4PJTH8es"",
      ""Snapshot!A:M""
    ),
    5,
    FALSE
  ),
  ""-""
)
"),0.0)</f>
        <v>0</v>
      </c>
      <c r="AH185" s="54">
        <f>IFERROR(__xludf.DUMMYFUNCTION("IFERROR(
  VLOOKUP(
    A185,
    IMPORTRANGE(
      ""1SCYQd7_cobOYqT0r_F0IqD4tE4rYn5y8Eup4PJTH8es"",
      ""Snapshot!A:M""
    ),
    6,
    FALSE
  ),
  0
)
"),0.0)</f>
        <v>0</v>
      </c>
      <c r="AI185" s="54">
        <f>IFERROR(__xludf.DUMMYFUNCTION("IFERROR(
  VLOOKUP(
    A185,
    IMPORTRANGE(
      ""1SCYQd7_cobOYqT0r_F0IqD4tE4rYn5y8Eup4PJTH8es"",
      ""Snapshot!A:M""
    ),
    7,
    FALSE
  ),
  0
)
"),722.0)</f>
        <v>722</v>
      </c>
      <c r="AJ185" s="54">
        <f>IFERROR(__xludf.DUMMYFUNCTION("IFERROR(
  VLOOKUP(
    A185,
    IMPORTRANGE(
      ""1SCYQd7_cobOYqT0r_F0IqD4tE4rYn5y8Eup4PJTH8es"",
      ""Snapshot!A:M""
    ),
    8,
    FALSE
  ),
  0
)
"),4.0)</f>
        <v>4</v>
      </c>
      <c r="AK185" s="54">
        <f>IFERROR(__xludf.DUMMYFUNCTION("IFERROR(
  VLOOKUP(
    A185,
    IMPORTRANGE(
      ""1SCYQd7_cobOYqT0r_F0IqD4tE4rYn5y8Eup4PJTH8es"",
      ""Snapshot!A:M""
    ),
    9,
    FALSE
  ),
  0
)
"),1.0)</f>
        <v>1</v>
      </c>
      <c r="AL185" s="54">
        <f>IFERROR(__xludf.DUMMYFUNCTION("IFERROR(
  VLOOKUP(
    A185,
    IMPORTRANGE(
      ""1SCYQd7_cobOYqT0r_F0IqD4tE4rYn5y8Eup4PJTH8es"",
      ""Snapshot!A:M""
    ),
    13,
    FALSE
  ),
  0
)
"),2.0)</f>
        <v>2</v>
      </c>
    </row>
    <row r="186">
      <c r="A186" s="1" t="s">
        <v>509</v>
      </c>
      <c r="B186" s="1" t="str">
        <f>IFERROR(__xludf.DUMMYFUNCTION("IFERROR(
  VLOOKUP(
    A186,
    IMPORTRANGE(
      ""1ZygntHC1J6IxzKbTidmOyf5nUyW4GCLurHCjexrLm_o"",
      ""HTMLキャッシュ!A:F""
    ),
    2,
    FALSE
  ),
  0
)
"),"NW")</f>
        <v>NW</v>
      </c>
      <c r="C186" s="1" t="str">
        <f>IFERROR(__xludf.DUMMYFUNCTION("IFERROR(
  VLOOKUP(
    A186,
    IMPORTRANGE(
      ""1ZygntHC1J6IxzKbTidmOyf5nUyW4GCLurHCjexrLm_o"",
      ""HTMLキャッシュ!A:F""
    ),
    5,
    FALSE
  ),
  0
)
"),"2023年度春期講習のお知らせ【個別】 - 中学受験専門 夏井算数塾")</f>
        <v>2023年度春期講習のお知らせ【個別】 - 中学受験専門 夏井算数塾</v>
      </c>
      <c r="D186" s="1" t="str">
        <f>IFERROR(__xludf.DUMMYFUNCTION("IFERROR(
  VLOOKUP(
    A186,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186" s="49">
        <f t="shared" ref="E186:F186" si="921">LEN(C186)</f>
        <v>34</v>
      </c>
      <c r="F186" s="49">
        <f t="shared" si="921"/>
        <v>55</v>
      </c>
      <c r="G186" s="32">
        <f>IFERROR(__xludf.DUMMYFUNCTION("IFERROR(
  VLOOKUP(
    A186,
    IMPORTRANGE(
      ""1ZygntHC1J6IxzKbTidmOyf5nUyW4GCLurHCjexrLm_o        "",
      ""HTMLキャッシュ!A:F""
    ),
    3,
    FALSE
  ),
  0
)
"),45593.557858796295)</f>
        <v>45593.55786</v>
      </c>
      <c r="H186" s="54">
        <f>IFERROR(__xludf.DUMMYFUNCTION("IFERROR(
  VLOOKUP(
    A186,
    IMPORTRANGE(
      ""1ZHMy3vVUd_0MrSduXTe1etBb1HNpAlGwQr006ljwMiM"",
      ""GSC最新!A:F""
    ),
    2,
    FALSE
  ),
  0
)
"),0.0)</f>
        <v>0</v>
      </c>
      <c r="I186" s="54">
        <f>IFERROR(__xludf.DUMMYFUNCTION("IFERROR(
  VLOOKUP(
    A186,
    IMPORTRANGE(
      ""1ZHMy3vVUd_0MrSduXTe1etBb1HNpAlGwQr006ljwMiM"",
      ""GSC最新!A:F""
    ),
    3,
    FALSE
  ),
  0
)
"),0.0)</f>
        <v>0</v>
      </c>
      <c r="J186" s="54">
        <f>IFERROR(__xludf.DUMMYFUNCTION("IFERROR(
  VLOOKUP(
    A186,
    IMPORTRANGE(
      ""1ZHMy3vVUd_0MrSduXTe1etBb1HNpAlGwQr006ljwMiM"",
      ""GSC最新!A:F""
    ),
    4,
    FALSE
  ),
  0
)
"),0.0)</f>
        <v>0</v>
      </c>
      <c r="K186" s="54">
        <f>IFERROR(__xludf.DUMMYFUNCTION("IFERROR(
  VLOOKUP(
    A186,
    IMPORTRANGE(
      ""1ZHMy3vVUd_0MrSduXTe1etBb1HNpAlGwQr006ljwMiM"",
      ""GSC最新!A:F""
    ),
    5,
    FALSE
  ),
  0
)
"),0.0)</f>
        <v>0</v>
      </c>
      <c r="L186" s="50" t="str">
        <f t="shared" ref="L186:M186" si="922">IFERROR(H186/J186,"-")</f>
        <v>-</v>
      </c>
      <c r="M186" s="50" t="str">
        <f t="shared" si="922"/>
        <v>-</v>
      </c>
      <c r="N186" s="59">
        <f>IFERROR(__xludf.DUMMYFUNCTION("IFERROR(
  VLOOKUP(
    A186,
    IMPORTRANGE(
      ""1ZHMy3vVUd_0MrSduXTe1etBb1HNpAlGwQr006ljwMiM"",
      ""GSC最新!A:R""
    ),
    7,
    FALSE
  ),
  0
)
"),0.0)</f>
        <v>0</v>
      </c>
      <c r="O186" s="59">
        <f>IFERROR(__xludf.DUMMYFUNCTION("IFERROR(
  VLOOKUP(
    A186,
    IMPORTRANGE(
      ""1ZHMy3vVUd_0MrSduXTe1etBb1HNpAlGwQr006ljwMiM"",
      ""GSC最新!A:R""
    ),
    10,
    FALSE
  ),
  0
)
"),0.0)</f>
        <v>0</v>
      </c>
      <c r="P186" s="59">
        <f>IFERROR(__xludf.DUMMYFUNCTION("IFERROR(
  VLOOKUP(
    A186,
    IMPORTRANGE(
      ""1ZHMy3vVUd_0MrSduXTe1etBb1HNpAlGwQr006ljwMiM"",
      ""GSC最新!A:R""
    ),
    13,
    FALSE
  ),
  0
)
"),0.0)</f>
        <v>0</v>
      </c>
      <c r="Q186" s="59">
        <f>IFERROR(__xludf.DUMMYFUNCTION("IFERROR(
  VLOOKUP(
    A186,
    IMPORTRANGE(
      ""1ZHMy3vVUd_0MrSduXTe1etBb1HNpAlGwQr006ljwMiM"",
      ""GSC最新!A:R""
    ),
    16,
    FALSE
  ),
  0
)
"),0.0)</f>
        <v>0</v>
      </c>
      <c r="R186" s="50" t="str">
        <f t="shared" ref="R186:S186" si="923">IFERROR(N186/P186,"-")</f>
        <v>-</v>
      </c>
      <c r="S186" s="50" t="str">
        <f t="shared" si="923"/>
        <v>-</v>
      </c>
      <c r="T186" s="60">
        <f>IFERROR(__xludf.DUMMYFUNCTION("IFERROR(
  VLOOKUP(
    A186,
    IMPORTRANGE(
      ""1ZHMy3vVUd_0MrSduXTe1etBb1HNpAlGwQr006ljwMiM"",
      ""GSC最新!A:R""
    ),
    8,
    FALSE
  ),
  0
)
"),0.0)</f>
        <v>0</v>
      </c>
      <c r="U186" s="60">
        <f>IFERROR(__xludf.DUMMYFUNCTION("IFERROR(
  VLOOKUP(
    A186,
    IMPORTRANGE(
      ""1ZHMy3vVUd_0MrSduXTe1etBb1HNpAlGwQr006ljwMiM"",
      ""GSC最新!A:R""
    ),
    11,
    FALSE
  ),
  0
)
"),0.0)</f>
        <v>0</v>
      </c>
      <c r="V186" s="60">
        <f>IFERROR(__xludf.DUMMYFUNCTION("IFERROR(
  VLOOKUP(
    A186,
    IMPORTRANGE(
      ""1ZHMy3vVUd_0MrSduXTe1etBb1HNpAlGwQr006ljwMiM"",
      ""GSC最新!A:R""
    ),
    14,
    FALSE
  ),
  0
)
"),0.0)</f>
        <v>0</v>
      </c>
      <c r="W186" s="60">
        <f>IFERROR(__xludf.DUMMYFUNCTION("IFERROR(
  VLOOKUP(
    A186,
    IMPORTRANGE(
      ""1ZHMy3vVUd_0MrSduXTe1etBb1HNpAlGwQr006ljwMiM"",
      ""GSC最新!A:R""
    ),
    17,
    FALSE
  ),
  0
)
"),0.0)</f>
        <v>0</v>
      </c>
      <c r="X186" s="60">
        <f t="shared" ref="X186:Y186" si="924">IFERROR(T186-V186,"-")</f>
        <v>0</v>
      </c>
      <c r="Y186" s="60">
        <f t="shared" si="924"/>
        <v>0</v>
      </c>
      <c r="Z186" s="52" t="str">
        <f>IFERROR(__xludf.DUMMYFUNCTION("IFERROR(
  VLOOKUP(
    A186,
    IMPORTRANGE(
      ""1ZHMy3vVUd_0MrSduXTe1etBb1HNpAlGwQr006ljwMiM"",
      ""GSC最新!A:R""
    ),
    9,
    FALSE
  ),
  0
)
"),"")</f>
        <v/>
      </c>
      <c r="AA186" s="52" t="str">
        <f>IFERROR(__xludf.DUMMYFUNCTION("IFERROR(
  VLOOKUP(
    A186,
    IMPORTRANGE(
      ""1ZHMy3vVUd_0MrSduXTe1etBb1HNpAlGwQr006ljwMiM"",
      ""GSC最新!A:R""
    ),
    12,
    FALSE
  ),
  0
)
"),"")</f>
        <v/>
      </c>
      <c r="AB186" s="52" t="str">
        <f>IFERROR(__xludf.DUMMYFUNCTION("IFERROR(
  VLOOKUP(
    A186,
    IMPORTRANGE(
      ""1ZHMy3vVUd_0MrSduXTe1etBb1HNpAlGwQr006ljwMiM"",
      ""GSC最新!A:R""
    ),
    15,
    FALSE
  ),
  0
)
"),"")</f>
        <v/>
      </c>
      <c r="AC186" s="52" t="str">
        <f>IFERROR(__xludf.DUMMYFUNCTION("IFERROR(
  VLOOKUP(
    A186,
    IMPORTRANGE(
      ""1ZHMy3vVUd_0MrSduXTe1etBb1HNpAlGwQr006ljwMiM"",
      ""GSC最新!A:R""
    ),
    18,
    FALSE
  ),
  0
)
"),"")</f>
        <v/>
      </c>
      <c r="AD186" s="52">
        <f t="shared" ref="AD186:AE186" si="925">Z186-AB186</f>
        <v>0</v>
      </c>
      <c r="AE186" s="52">
        <f t="shared" si="925"/>
        <v>0</v>
      </c>
      <c r="AF186" s="53">
        <f>IFERROR(__xludf.DUMMYFUNCTION("IFERROR(
  VLOOKUP(
    A186,
    IMPORTRANGE(
      ""1ZHMy3vVUd_0MrSduXTe1etBb1HNpAlGwQr006ljwMiM"",
      ""GSC最新!A:F""
    ),
    6,
    FALSE
  ),
  0
)
"),46081.0)</f>
        <v>46081</v>
      </c>
      <c r="AG186" s="54">
        <f>IFERROR(__xludf.DUMMYFUNCTION("IFERROR(
  VLOOKUP(
    A186,
    IMPORTRANGE(
      ""1SCYQd7_cobOYqT0r_F0IqD4tE4rYn5y8Eup4PJTH8es"",
      ""Snapshot!A:M""
    ),
    5,
    FALSE
  ),
  ""-""
)
"),0.0)</f>
        <v>0</v>
      </c>
      <c r="AH186" s="54">
        <f>IFERROR(__xludf.DUMMYFUNCTION("IFERROR(
  VLOOKUP(
    A186,
    IMPORTRANGE(
      ""1SCYQd7_cobOYqT0r_F0IqD4tE4rYn5y8Eup4PJTH8es"",
      ""Snapshot!A:M""
    ),
    6,
    FALSE
  ),
  0
)
"),0.0)</f>
        <v>0</v>
      </c>
      <c r="AI186" s="54">
        <f>IFERROR(__xludf.DUMMYFUNCTION("IFERROR(
  VLOOKUP(
    A186,
    IMPORTRANGE(
      ""1SCYQd7_cobOYqT0r_F0IqD4tE4rYn5y8Eup4PJTH8es"",
      ""Snapshot!A:M""
    ),
    7,
    FALSE
  ),
  0
)
"),757.0)</f>
        <v>757</v>
      </c>
      <c r="AJ186" s="54">
        <f>IFERROR(__xludf.DUMMYFUNCTION("IFERROR(
  VLOOKUP(
    A186,
    IMPORTRANGE(
      ""1SCYQd7_cobOYqT0r_F0IqD4tE4rYn5y8Eup4PJTH8es"",
      ""Snapshot!A:M""
    ),
    8,
    FALSE
  ),
  0
)
"),4.0)</f>
        <v>4</v>
      </c>
      <c r="AK186" s="54">
        <f>IFERROR(__xludf.DUMMYFUNCTION("IFERROR(
  VLOOKUP(
    A186,
    IMPORTRANGE(
      ""1SCYQd7_cobOYqT0r_F0IqD4tE4rYn5y8Eup4PJTH8es"",
      ""Snapshot!A:M""
    ),
    9,
    FALSE
  ),
  0
)
"),1.0)</f>
        <v>1</v>
      </c>
      <c r="AL186" s="54">
        <f>IFERROR(__xludf.DUMMYFUNCTION("IFERROR(
  VLOOKUP(
    A186,
    IMPORTRANGE(
      ""1SCYQd7_cobOYqT0r_F0IqD4tE4rYn5y8Eup4PJTH8es"",
      ""Snapshot!A:M""
    ),
    13,
    FALSE
  ),
  0
)
"),2.0)</f>
        <v>2</v>
      </c>
    </row>
    <row r="187">
      <c r="A187" s="1" t="s">
        <v>510</v>
      </c>
      <c r="B187" s="1" t="str">
        <f>IFERROR(__xludf.DUMMYFUNCTION("IFERROR(
  VLOOKUP(
    A187,
    IMPORTRANGE(
      ""1ZygntHC1J6IxzKbTidmOyf5nUyW4GCLurHCjexrLm_o"",
      ""HTMLキャッシュ!A:F""
    ),
    2,
    FALSE
  ),
  0
)
"),"NW")</f>
        <v>NW</v>
      </c>
      <c r="C187" s="1" t="str">
        <f>IFERROR(__xludf.DUMMYFUNCTION("IFERROR(
  VLOOKUP(
    A187,
    IMPORTRANGE(
      ""1ZygntHC1J6IxzKbTidmOyf5nUyW4GCLurHCjexrLm_o"",
      ""HTMLキャッシュ!A:F""
    ),
    5,
    FALSE
  ),
  0
)
"),"2023年度生徒募集のお知らせ【個別】 - 中学受験専門 夏井算数塾")</f>
        <v>2023年度生徒募集のお知らせ【個別】 - 中学受験専門 夏井算数塾</v>
      </c>
      <c r="D187" s="1" t="str">
        <f>IFERROR(__xludf.DUMMYFUNCTION("IFERROR(
  VLOOKUP(
    A187,
    IMPORTRANGE(
      ""1ZygntHC1J6IxzKbTidmOyf5nUyW4GCLurHCjexrLm_o        "",
      ""HTMLキャッシュ!A:F""
    ),
    6,
    FALSE
  ),
  0
)
"),"本日より、2023年度の生徒募集を開始いたします。 2月開講講座、個別指導の詳細については、下記をご確認くださ")</f>
        <v>本日より、2023年度の生徒募集を開始いたします。 2月開講講座、個別指導の詳細については、下記をご確認くださ</v>
      </c>
      <c r="E187" s="49">
        <f t="shared" ref="E187:F187" si="926">LEN(C187)</f>
        <v>34</v>
      </c>
      <c r="F187" s="49">
        <f t="shared" si="926"/>
        <v>55</v>
      </c>
      <c r="G187" s="32">
        <f>IFERROR(__xludf.DUMMYFUNCTION("IFERROR(
  VLOOKUP(
    A187,
    IMPORTRANGE(
      ""1ZygntHC1J6IxzKbTidmOyf5nUyW4GCLurHCjexrLm_o        "",
      ""HTMLキャッシュ!A:F""
    ),
    3,
    FALSE
  ),
  0
)
"),45593.558599537035)</f>
        <v>45593.5586</v>
      </c>
      <c r="H187" s="54">
        <f>IFERROR(__xludf.DUMMYFUNCTION("IFERROR(
  VLOOKUP(
    A187,
    IMPORTRANGE(
      ""1ZHMy3vVUd_0MrSduXTe1etBb1HNpAlGwQr006ljwMiM"",
      ""GSC最新!A:F""
    ),
    2,
    FALSE
  ),
  0
)
"),0.0)</f>
        <v>0</v>
      </c>
      <c r="I187" s="54">
        <f>IFERROR(__xludf.DUMMYFUNCTION("IFERROR(
  VLOOKUP(
    A187,
    IMPORTRANGE(
      ""1ZHMy3vVUd_0MrSduXTe1etBb1HNpAlGwQr006ljwMiM"",
      ""GSC最新!A:F""
    ),
    3,
    FALSE
  ),
  0
)
"),0.0)</f>
        <v>0</v>
      </c>
      <c r="J187" s="54">
        <f>IFERROR(__xludf.DUMMYFUNCTION("IFERROR(
  VLOOKUP(
    A187,
    IMPORTRANGE(
      ""1ZHMy3vVUd_0MrSduXTe1etBb1HNpAlGwQr006ljwMiM"",
      ""GSC最新!A:F""
    ),
    4,
    FALSE
  ),
  0
)
"),0.0)</f>
        <v>0</v>
      </c>
      <c r="K187" s="54">
        <f>IFERROR(__xludf.DUMMYFUNCTION("IFERROR(
  VLOOKUP(
    A187,
    IMPORTRANGE(
      ""1ZHMy3vVUd_0MrSduXTe1etBb1HNpAlGwQr006ljwMiM"",
      ""GSC最新!A:F""
    ),
    5,
    FALSE
  ),
  0
)
"),0.0)</f>
        <v>0</v>
      </c>
      <c r="L187" s="50" t="str">
        <f t="shared" ref="L187:M187" si="927">IFERROR(H187/J187,"-")</f>
        <v>-</v>
      </c>
      <c r="M187" s="50" t="str">
        <f t="shared" si="927"/>
        <v>-</v>
      </c>
      <c r="N187" s="59">
        <f>IFERROR(__xludf.DUMMYFUNCTION("IFERROR(
  VLOOKUP(
    A187,
    IMPORTRANGE(
      ""1ZHMy3vVUd_0MrSduXTe1etBb1HNpAlGwQr006ljwMiM"",
      ""GSC最新!A:R""
    ),
    7,
    FALSE
  ),
  0
)
"),0.0)</f>
        <v>0</v>
      </c>
      <c r="O187" s="59">
        <f>IFERROR(__xludf.DUMMYFUNCTION("IFERROR(
  VLOOKUP(
    A187,
    IMPORTRANGE(
      ""1ZHMy3vVUd_0MrSduXTe1etBb1HNpAlGwQr006ljwMiM"",
      ""GSC最新!A:R""
    ),
    10,
    FALSE
  ),
  0
)
"),0.0)</f>
        <v>0</v>
      </c>
      <c r="P187" s="59">
        <f>IFERROR(__xludf.DUMMYFUNCTION("IFERROR(
  VLOOKUP(
    A187,
    IMPORTRANGE(
      ""1ZHMy3vVUd_0MrSduXTe1etBb1HNpAlGwQr006ljwMiM"",
      ""GSC最新!A:R""
    ),
    13,
    FALSE
  ),
  0
)
"),0.0)</f>
        <v>0</v>
      </c>
      <c r="Q187" s="59">
        <f>IFERROR(__xludf.DUMMYFUNCTION("IFERROR(
  VLOOKUP(
    A187,
    IMPORTRANGE(
      ""1ZHMy3vVUd_0MrSduXTe1etBb1HNpAlGwQr006ljwMiM"",
      ""GSC最新!A:R""
    ),
    16,
    FALSE
  ),
  0
)
"),1.0)</f>
        <v>1</v>
      </c>
      <c r="R187" s="50" t="str">
        <f t="shared" ref="R187:S187" si="928">IFERROR(N187/P187,"-")</f>
        <v>-</v>
      </c>
      <c r="S187" s="50">
        <f t="shared" si="928"/>
        <v>0</v>
      </c>
      <c r="T187" s="60">
        <f>IFERROR(__xludf.DUMMYFUNCTION("IFERROR(
  VLOOKUP(
    A187,
    IMPORTRANGE(
      ""1ZHMy3vVUd_0MrSduXTe1etBb1HNpAlGwQr006ljwMiM"",
      ""GSC最新!A:R""
    ),
    8,
    FALSE
  ),
  0
)
"),0.0)</f>
        <v>0</v>
      </c>
      <c r="U187" s="60">
        <f>IFERROR(__xludf.DUMMYFUNCTION("IFERROR(
  VLOOKUP(
    A187,
    IMPORTRANGE(
      ""1ZHMy3vVUd_0MrSduXTe1etBb1HNpAlGwQr006ljwMiM"",
      ""GSC最新!A:R""
    ),
    11,
    FALSE
  ),
  0
)
"),0.0)</f>
        <v>0</v>
      </c>
      <c r="V187" s="60">
        <f>IFERROR(__xludf.DUMMYFUNCTION("IFERROR(
  VLOOKUP(
    A187,
    IMPORTRANGE(
      ""1ZHMy3vVUd_0MrSduXTe1etBb1HNpAlGwQr006ljwMiM"",
      ""GSC最新!A:R""
    ),
    14,
    FALSE
  ),
  0
)
"),0.0)</f>
        <v>0</v>
      </c>
      <c r="W187" s="60">
        <f>IFERROR(__xludf.DUMMYFUNCTION("IFERROR(
  VLOOKUP(
    A187,
    IMPORTRANGE(
      ""1ZHMy3vVUd_0MrSduXTe1etBb1HNpAlGwQr006ljwMiM"",
      ""GSC最新!A:R""
    ),
    17,
    FALSE
  ),
  0
)
"),0.0)</f>
        <v>0</v>
      </c>
      <c r="X187" s="60">
        <f t="shared" ref="X187:Y187" si="929">IFERROR(T187-V187,"-")</f>
        <v>0</v>
      </c>
      <c r="Y187" s="60">
        <f t="shared" si="929"/>
        <v>0</v>
      </c>
      <c r="Z187" s="52" t="str">
        <f>IFERROR(__xludf.DUMMYFUNCTION("IFERROR(
  VLOOKUP(
    A187,
    IMPORTRANGE(
      ""1ZHMy3vVUd_0MrSduXTe1etBb1HNpAlGwQr006ljwMiM"",
      ""GSC最新!A:R""
    ),
    9,
    FALSE
  ),
  0
)
"),"")</f>
        <v/>
      </c>
      <c r="AA187" s="52" t="str">
        <f>IFERROR(__xludf.DUMMYFUNCTION("IFERROR(
  VLOOKUP(
    A187,
    IMPORTRANGE(
      ""1ZHMy3vVUd_0MrSduXTe1etBb1HNpAlGwQr006ljwMiM"",
      ""GSC最新!A:R""
    ),
    12,
    FALSE
  ),
  0
)
"),"")</f>
        <v/>
      </c>
      <c r="AB187" s="52" t="str">
        <f>IFERROR(__xludf.DUMMYFUNCTION("IFERROR(
  VLOOKUP(
    A187,
    IMPORTRANGE(
      ""1ZHMy3vVUd_0MrSduXTe1etBb1HNpAlGwQr006ljwMiM"",
      ""GSC最新!A:R""
    ),
    15,
    FALSE
  ),
  0
)
"),"")</f>
        <v/>
      </c>
      <c r="AC187" s="52">
        <f>IFERROR(__xludf.DUMMYFUNCTION("IFERROR(
  VLOOKUP(
    A187,
    IMPORTRANGE(
      ""1ZHMy3vVUd_0MrSduXTe1etBb1HNpAlGwQr006ljwMiM"",
      ""GSC最新!A:R""
    ),
    18,
    FALSE
  ),
  0
)
"),91.0)</f>
        <v>91</v>
      </c>
      <c r="AD187" s="52">
        <f t="shared" ref="AD187:AE187" si="930">Z187-AB187</f>
        <v>0</v>
      </c>
      <c r="AE187" s="52">
        <f t="shared" si="930"/>
        <v>-91</v>
      </c>
      <c r="AF187" s="53">
        <f>IFERROR(__xludf.DUMMYFUNCTION("IFERROR(
  VLOOKUP(
    A187,
    IMPORTRANGE(
      ""1ZHMy3vVUd_0MrSduXTe1etBb1HNpAlGwQr006ljwMiM"",
      ""GSC最新!A:F""
    ),
    6,
    FALSE
  ),
  0
)
"),46081.0)</f>
        <v>46081</v>
      </c>
      <c r="AG187" s="54">
        <f>IFERROR(__xludf.DUMMYFUNCTION("IFERROR(
  VLOOKUP(
    A187,
    IMPORTRANGE(
      ""1SCYQd7_cobOYqT0r_F0IqD4tE4rYn5y8Eup4PJTH8es"",
      ""Snapshot!A:M""
    ),
    5,
    FALSE
  ),
  ""-""
)
"),0.0)</f>
        <v>0</v>
      </c>
      <c r="AH187" s="54">
        <f>IFERROR(__xludf.DUMMYFUNCTION("IFERROR(
  VLOOKUP(
    A187,
    IMPORTRANGE(
      ""1SCYQd7_cobOYqT0r_F0IqD4tE4rYn5y8Eup4PJTH8es"",
      ""Snapshot!A:M""
    ),
    6,
    FALSE
  ),
  0
)
"),0.0)</f>
        <v>0</v>
      </c>
      <c r="AI187" s="54">
        <f>IFERROR(__xludf.DUMMYFUNCTION("IFERROR(
  VLOOKUP(
    A187,
    IMPORTRANGE(
      ""1SCYQd7_cobOYqT0r_F0IqD4tE4rYn5y8Eup4PJTH8es"",
      ""Snapshot!A:M""
    ),
    7,
    FALSE
  ),
  0
)
"),355.0)</f>
        <v>355</v>
      </c>
      <c r="AJ187" s="54">
        <f>IFERROR(__xludf.DUMMYFUNCTION("IFERROR(
  VLOOKUP(
    A187,
    IMPORTRANGE(
      ""1SCYQd7_cobOYqT0r_F0IqD4tE4rYn5y8Eup4PJTH8es"",
      ""Snapshot!A:M""
    ),
    8,
    FALSE
  ),
  0
)
"),2.0)</f>
        <v>2</v>
      </c>
      <c r="AK187" s="54">
        <f>IFERROR(__xludf.DUMMYFUNCTION("IFERROR(
  VLOOKUP(
    A187,
    IMPORTRANGE(
      ""1SCYQd7_cobOYqT0r_F0IqD4tE4rYn5y8Eup4PJTH8es"",
      ""Snapshot!A:M""
    ),
    9,
    FALSE
  ),
  0
)
"),1.0)</f>
        <v>1</v>
      </c>
      <c r="AL187" s="54">
        <f>IFERROR(__xludf.DUMMYFUNCTION("IFERROR(
  VLOOKUP(
    A187,
    IMPORTRANGE(
      ""1SCYQd7_cobOYqT0r_F0IqD4tE4rYn5y8Eup4PJTH8es"",
      ""Snapshot!A:M""
    ),
    13,
    FALSE
  ),
  0
)
"),2.0)</f>
        <v>2</v>
      </c>
    </row>
    <row r="188">
      <c r="A188" s="1" t="s">
        <v>511</v>
      </c>
      <c r="B188" s="1" t="str">
        <f>IFERROR(__xludf.DUMMYFUNCTION("IFERROR(
  VLOOKUP(
    A188,
    IMPORTRANGE(
      ""1ZygntHC1J6IxzKbTidmOyf5nUyW4GCLurHCjexrLm_o"",
      ""HTMLキャッシュ!A:F""
    ),
    2,
    FALSE
  ),
  0
)
"),"NW")</f>
        <v>NW</v>
      </c>
      <c r="C188" s="1" t="str">
        <f>IFERROR(__xludf.DUMMYFUNCTION("IFERROR(
  VLOOKUP(
    A188,
    IMPORTRANGE(
      ""1ZygntHC1J6IxzKbTidmOyf5nUyW4GCLurHCjexrLm_o"",
      ""HTMLキャッシュ!A:F""
    ),
    5,
    FALSE
  ),
  0
)
"),"2023年度冬期講習のお知らせ【個別指導】 - 中学受験専門 夏井算数塾")</f>
        <v>2023年度冬期講習のお知らせ【個別指導】 - 中学受験専門 夏井算数塾</v>
      </c>
      <c r="D188" s="1" t="str">
        <f>IFERROR(__xludf.DUMMYFUNCTION("IFERROR(
  VLOOKUP(
    A188,
    IMPORTRANGE(
      ""1ZygntHC1J6IxzKbTidmOyf5nUyW4GCLurHCjexrLm_o        "",
      ""HTMLキャッシュ!A:F""
    ),
    6,
    FALSE
  ),
  0
)
"),"当塾では冬期講習会を実施いたします。現在通塾中の塾生の皆さんはもちろん、普段は他塾に通っている生徒さんにも門戸")</f>
        <v>当塾では冬期講習会を実施いたします。現在通塾中の塾生の皆さんはもちろん、普段は他塾に通っている生徒さんにも門戸</v>
      </c>
      <c r="E188" s="49">
        <f t="shared" ref="E188:F188" si="931">LEN(C188)</f>
        <v>36</v>
      </c>
      <c r="F188" s="49">
        <f t="shared" si="931"/>
        <v>55</v>
      </c>
      <c r="G188" s="32">
        <f>IFERROR(__xludf.DUMMYFUNCTION("IFERROR(
  VLOOKUP(
    A188,
    IMPORTRANGE(
      ""1ZygntHC1J6IxzKbTidmOyf5nUyW4GCLurHCjexrLm_o        "",
      ""HTMLキャッシュ!A:F""
    ),
    3,
    FALSE
  ),
  0
)
"),45593.55679398148)</f>
        <v>45593.55679</v>
      </c>
      <c r="H188" s="54">
        <f>IFERROR(__xludf.DUMMYFUNCTION("IFERROR(
  VLOOKUP(
    A188,
    IMPORTRANGE(
      ""1ZHMy3vVUd_0MrSduXTe1etBb1HNpAlGwQr006ljwMiM"",
      ""GSC最新!A:F""
    ),
    2,
    FALSE
  ),
  0
)
"),0.0)</f>
        <v>0</v>
      </c>
      <c r="I188" s="54">
        <f>IFERROR(__xludf.DUMMYFUNCTION("IFERROR(
  VLOOKUP(
    A188,
    IMPORTRANGE(
      ""1ZHMy3vVUd_0MrSduXTe1etBb1HNpAlGwQr006ljwMiM"",
      ""GSC最新!A:F""
    ),
    3,
    FALSE
  ),
  0
)
"),0.0)</f>
        <v>0</v>
      </c>
      <c r="J188" s="54">
        <f>IFERROR(__xludf.DUMMYFUNCTION("IFERROR(
  VLOOKUP(
    A188,
    IMPORTRANGE(
      ""1ZHMy3vVUd_0MrSduXTe1etBb1HNpAlGwQr006ljwMiM"",
      ""GSC最新!A:F""
    ),
    4,
    FALSE
  ),
  0
)
"),0.0)</f>
        <v>0</v>
      </c>
      <c r="K188" s="54">
        <f>IFERROR(__xludf.DUMMYFUNCTION("IFERROR(
  VLOOKUP(
    A188,
    IMPORTRANGE(
      ""1ZHMy3vVUd_0MrSduXTe1etBb1HNpAlGwQr006ljwMiM"",
      ""GSC最新!A:F""
    ),
    5,
    FALSE
  ),
  0
)
"),0.0)</f>
        <v>0</v>
      </c>
      <c r="L188" s="50" t="str">
        <f t="shared" ref="L188:M188" si="932">IFERROR(H188/J188,"-")</f>
        <v>-</v>
      </c>
      <c r="M188" s="50" t="str">
        <f t="shared" si="932"/>
        <v>-</v>
      </c>
      <c r="N188" s="59">
        <f>IFERROR(__xludf.DUMMYFUNCTION("IFERROR(
  VLOOKUP(
    A188,
    IMPORTRANGE(
      ""1ZHMy3vVUd_0MrSduXTe1etBb1HNpAlGwQr006ljwMiM"",
      ""GSC最新!A:R""
    ),
    7,
    FALSE
  ),
  0
)
"),0.0)</f>
        <v>0</v>
      </c>
      <c r="O188" s="59">
        <f>IFERROR(__xludf.DUMMYFUNCTION("IFERROR(
  VLOOKUP(
    A188,
    IMPORTRANGE(
      ""1ZHMy3vVUd_0MrSduXTe1etBb1HNpAlGwQr006ljwMiM"",
      ""GSC最新!A:R""
    ),
    10,
    FALSE
  ),
  0
)
"),0.0)</f>
        <v>0</v>
      </c>
      <c r="P188" s="59">
        <f>IFERROR(__xludf.DUMMYFUNCTION("IFERROR(
  VLOOKUP(
    A188,
    IMPORTRANGE(
      ""1ZHMy3vVUd_0MrSduXTe1etBb1HNpAlGwQr006ljwMiM"",
      ""GSC最新!A:R""
    ),
    13,
    FALSE
  ),
  0
)
"),0.0)</f>
        <v>0</v>
      </c>
      <c r="Q188" s="59">
        <f>IFERROR(__xludf.DUMMYFUNCTION("IFERROR(
  VLOOKUP(
    A188,
    IMPORTRANGE(
      ""1ZHMy3vVUd_0MrSduXTe1etBb1HNpAlGwQr006ljwMiM"",
      ""GSC最新!A:R""
    ),
    16,
    FALSE
  ),
  0
)
"),0.0)</f>
        <v>0</v>
      </c>
      <c r="R188" s="50" t="str">
        <f t="shared" ref="R188:S188" si="933">IFERROR(N188/P188,"-")</f>
        <v>-</v>
      </c>
      <c r="S188" s="50" t="str">
        <f t="shared" si="933"/>
        <v>-</v>
      </c>
      <c r="T188" s="60">
        <f>IFERROR(__xludf.DUMMYFUNCTION("IFERROR(
  VLOOKUP(
    A188,
    IMPORTRANGE(
      ""1ZHMy3vVUd_0MrSduXTe1etBb1HNpAlGwQr006ljwMiM"",
      ""GSC最新!A:R""
    ),
    8,
    FALSE
  ),
  0
)
"),0.0)</f>
        <v>0</v>
      </c>
      <c r="U188" s="60">
        <f>IFERROR(__xludf.DUMMYFUNCTION("IFERROR(
  VLOOKUP(
    A188,
    IMPORTRANGE(
      ""1ZHMy3vVUd_0MrSduXTe1etBb1HNpAlGwQr006ljwMiM"",
      ""GSC最新!A:R""
    ),
    11,
    FALSE
  ),
  0
)
"),0.0)</f>
        <v>0</v>
      </c>
      <c r="V188" s="60">
        <f>IFERROR(__xludf.DUMMYFUNCTION("IFERROR(
  VLOOKUP(
    A188,
    IMPORTRANGE(
      ""1ZHMy3vVUd_0MrSduXTe1etBb1HNpAlGwQr006ljwMiM"",
      ""GSC最新!A:R""
    ),
    14,
    FALSE
  ),
  0
)
"),0.0)</f>
        <v>0</v>
      </c>
      <c r="W188" s="60">
        <f>IFERROR(__xludf.DUMMYFUNCTION("IFERROR(
  VLOOKUP(
    A188,
    IMPORTRANGE(
      ""1ZHMy3vVUd_0MrSduXTe1etBb1HNpAlGwQr006ljwMiM"",
      ""GSC最新!A:R""
    ),
    17,
    FALSE
  ),
  0
)
"),0.0)</f>
        <v>0</v>
      </c>
      <c r="X188" s="60">
        <f t="shared" ref="X188:Y188" si="934">IFERROR(T188-V188,"-")</f>
        <v>0</v>
      </c>
      <c r="Y188" s="60">
        <f t="shared" si="934"/>
        <v>0</v>
      </c>
      <c r="Z188" s="52" t="str">
        <f>IFERROR(__xludf.DUMMYFUNCTION("IFERROR(
  VLOOKUP(
    A188,
    IMPORTRANGE(
      ""1ZHMy3vVUd_0MrSduXTe1etBb1HNpAlGwQr006ljwMiM"",
      ""GSC最新!A:R""
    ),
    9,
    FALSE
  ),
  0
)
"),"")</f>
        <v/>
      </c>
      <c r="AA188" s="52" t="str">
        <f>IFERROR(__xludf.DUMMYFUNCTION("IFERROR(
  VLOOKUP(
    A188,
    IMPORTRANGE(
      ""1ZHMy3vVUd_0MrSduXTe1etBb1HNpAlGwQr006ljwMiM"",
      ""GSC最新!A:R""
    ),
    12,
    FALSE
  ),
  0
)
"),"")</f>
        <v/>
      </c>
      <c r="AB188" s="52" t="str">
        <f>IFERROR(__xludf.DUMMYFUNCTION("IFERROR(
  VLOOKUP(
    A188,
    IMPORTRANGE(
      ""1ZHMy3vVUd_0MrSduXTe1etBb1HNpAlGwQr006ljwMiM"",
      ""GSC最新!A:R""
    ),
    15,
    FALSE
  ),
  0
)
"),"")</f>
        <v/>
      </c>
      <c r="AC188" s="52" t="str">
        <f>IFERROR(__xludf.DUMMYFUNCTION("IFERROR(
  VLOOKUP(
    A188,
    IMPORTRANGE(
      ""1ZHMy3vVUd_0MrSduXTe1etBb1HNpAlGwQr006ljwMiM"",
      ""GSC最新!A:R""
    ),
    18,
    FALSE
  ),
  0
)
"),"")</f>
        <v/>
      </c>
      <c r="AD188" s="52">
        <f t="shared" ref="AD188:AE188" si="935">Z188-AB188</f>
        <v>0</v>
      </c>
      <c r="AE188" s="52">
        <f t="shared" si="935"/>
        <v>0</v>
      </c>
      <c r="AF188" s="53">
        <f>IFERROR(__xludf.DUMMYFUNCTION("IFERROR(
  VLOOKUP(
    A188,
    IMPORTRANGE(
      ""1ZHMy3vVUd_0MrSduXTe1etBb1HNpAlGwQr006ljwMiM"",
      ""GSC最新!A:F""
    ),
    6,
    FALSE
  ),
  0
)
"),46081.0)</f>
        <v>46081</v>
      </c>
      <c r="AG188" s="54">
        <f>IFERROR(__xludf.DUMMYFUNCTION("IFERROR(
  VLOOKUP(
    A188,
    IMPORTRANGE(
      ""1SCYQd7_cobOYqT0r_F0IqD4tE4rYn5y8Eup4PJTH8es"",
      ""Snapshot!A:M""
    ),
    5,
    FALSE
  ),
  ""-""
)
"),0.0)</f>
        <v>0</v>
      </c>
      <c r="AH188" s="54">
        <f>IFERROR(__xludf.DUMMYFUNCTION("IFERROR(
  VLOOKUP(
    A188,
    IMPORTRANGE(
      ""1SCYQd7_cobOYqT0r_F0IqD4tE4rYn5y8Eup4PJTH8es"",
      ""Snapshot!A:M""
    ),
    6,
    FALSE
  ),
  0
)
"),0.0)</f>
        <v>0</v>
      </c>
      <c r="AI188" s="54">
        <f>IFERROR(__xludf.DUMMYFUNCTION("IFERROR(
  VLOOKUP(
    A188,
    IMPORTRANGE(
      ""1SCYQd7_cobOYqT0r_F0IqD4tE4rYn5y8Eup4PJTH8es"",
      ""Snapshot!A:M""
    ),
    7,
    FALSE
  ),
  0
)
"),609.0)</f>
        <v>609</v>
      </c>
      <c r="AJ188" s="54">
        <f>IFERROR(__xludf.DUMMYFUNCTION("IFERROR(
  VLOOKUP(
    A188,
    IMPORTRANGE(
      ""1SCYQd7_cobOYqT0r_F0IqD4tE4rYn5y8Eup4PJTH8es"",
      ""Snapshot!A:M""
    ),
    8,
    FALSE
  ),
  0
)
"),5.0)</f>
        <v>5</v>
      </c>
      <c r="AK188" s="54">
        <f>IFERROR(__xludf.DUMMYFUNCTION("IFERROR(
  VLOOKUP(
    A188,
    IMPORTRANGE(
      ""1SCYQd7_cobOYqT0r_F0IqD4tE4rYn5y8Eup4PJTH8es"",
      ""Snapshot!A:M""
    ),
    9,
    FALSE
  ),
  0
)
"),1.0)</f>
        <v>1</v>
      </c>
      <c r="AL188" s="54">
        <f>IFERROR(__xludf.DUMMYFUNCTION("IFERROR(
  VLOOKUP(
    A188,
    IMPORTRANGE(
      ""1SCYQd7_cobOYqT0r_F0IqD4tE4rYn5y8Eup4PJTH8es"",
      ""Snapshot!A:M""
    ),
    13,
    FALSE
  ),
  0
)
"),2.0)</f>
        <v>2</v>
      </c>
    </row>
    <row r="189">
      <c r="A189" s="3" t="s">
        <v>99</v>
      </c>
      <c r="B189" s="1" t="str">
        <f>IFERROR(__xludf.DUMMYFUNCTION("IFERROR(
  VLOOKUP(
    A189,
    IMPORTRANGE(
      ""1ZygntHC1J6IxzKbTidmOyf5nUyW4GCLurHCjexrLm_o"",
      ""HTMLキャッシュ!A:F""
    ),
    2,
    FALSE
  ),
  0
)
"),"-")</f>
        <v>-</v>
      </c>
      <c r="C189" s="1" t="str">
        <f>IFERROR(__xludf.DUMMYFUNCTION("IFERROR(
  VLOOKUP(
    A189,
    IMPORTRANGE(
      ""1ZygntHC1J6IxzKbTidmOyf5nUyW4GCLurHCjexrLm_o"",
      ""HTMLキャッシュ!A:F""
    ),
    5,
    FALSE
  ),
  0
)
"),"中学受験算数 計算テスト対策｜基礎力を確実に身につける練習法")</f>
        <v>中学受験算数 計算テスト対策｜基礎力を確実に身につける練習法</v>
      </c>
      <c r="D189" s="1" t="str">
        <f>IFERROR(__xludf.DUMMYFUNCTION("IFERROR(
  VLOOKUP(
    A189,
    IMPORTRANGE(
      ""1ZygntHC1J6IxzKbTidmOyf5nUyW4GCLurHCjexrLm_o        "",
      ""HTMLキャッシュ!A:F""
    ),
    6,
    FALSE
  ),
  0
)
"),"開始 終了 正解: 0 不正解: 0 正答率: 0% 経過時間: 0秒 ２けた×１けた ２けた＋２けた ２けた")</f>
        <v>開始 終了 正解: 0 不正解: 0 正答率: 0% 経過時間: 0秒 ２けた×１けた ２けた＋２けた ２けた</v>
      </c>
      <c r="E189" s="49">
        <f t="shared" ref="E189:F189" si="936">LEN(C189)</f>
        <v>30</v>
      </c>
      <c r="F189" s="49">
        <f t="shared" si="936"/>
        <v>55</v>
      </c>
      <c r="G189" s="32">
        <f>IFERROR(__xludf.DUMMYFUNCTION("IFERROR(
  VLOOKUP(
    A189,
    IMPORTRANGE(
      ""1ZygntHC1J6IxzKbTidmOyf5nUyW4GCLurHCjexrLm_o        "",
      ""HTMLキャッシュ!A:F""
    ),
    3,
    FALSE
  ),
  0
)
"),46073.84222222222)</f>
        <v>46073.84222</v>
      </c>
      <c r="H189" s="54">
        <f>IFERROR(__xludf.DUMMYFUNCTION("IFERROR(
  VLOOKUP(
    A189,
    IMPORTRANGE(
      ""1ZHMy3vVUd_0MrSduXTe1etBb1HNpAlGwQr006ljwMiM"",
      ""GSC最新!A:F""
    ),
    2,
    FALSE
  ),
  0
)
"),0.0)</f>
        <v>0</v>
      </c>
      <c r="I189" s="54">
        <f>IFERROR(__xludf.DUMMYFUNCTION("IFERROR(
  VLOOKUP(
    A189,
    IMPORTRANGE(
      ""1ZHMy3vVUd_0MrSduXTe1etBb1HNpAlGwQr006ljwMiM"",
      ""GSC最新!A:F""
    ),
    3,
    FALSE
  ),
  0
)
"),0.0)</f>
        <v>0</v>
      </c>
      <c r="J189" s="54">
        <f>IFERROR(__xludf.DUMMYFUNCTION("IFERROR(
  VLOOKUP(
    A189,
    IMPORTRANGE(
      ""1ZHMy3vVUd_0MrSduXTe1etBb1HNpAlGwQr006ljwMiM"",
      ""GSC最新!A:F""
    ),
    4,
    FALSE
  ),
  0
)
"),0.0)</f>
        <v>0</v>
      </c>
      <c r="K189" s="54">
        <f>IFERROR(__xludf.DUMMYFUNCTION("IFERROR(
  VLOOKUP(
    A189,
    IMPORTRANGE(
      ""1ZHMy3vVUd_0MrSduXTe1etBb1HNpAlGwQr006ljwMiM"",
      ""GSC最新!A:F""
    ),
    5,
    FALSE
  ),
  0
)
"),0.0)</f>
        <v>0</v>
      </c>
      <c r="L189" s="50" t="str">
        <f t="shared" ref="L189:M189" si="937">IFERROR(H189/J189,"-")</f>
        <v>-</v>
      </c>
      <c r="M189" s="50" t="str">
        <f t="shared" si="937"/>
        <v>-</v>
      </c>
      <c r="N189" s="59">
        <f>IFERROR(__xludf.DUMMYFUNCTION("IFERROR(
  VLOOKUP(
    A189,
    IMPORTRANGE(
      ""1ZHMy3vVUd_0MrSduXTe1etBb1HNpAlGwQr006ljwMiM"",
      ""GSC最新!A:R""
    ),
    7,
    FALSE
  ),
  0
)
"),0.0)</f>
        <v>0</v>
      </c>
      <c r="O189" s="59">
        <f>IFERROR(__xludf.DUMMYFUNCTION("IFERROR(
  VLOOKUP(
    A189,
    IMPORTRANGE(
      ""1ZHMy3vVUd_0MrSduXTe1etBb1HNpAlGwQr006ljwMiM"",
      ""GSC最新!A:R""
    ),
    10,
    FALSE
  ),
  0
)
"),0.0)</f>
        <v>0</v>
      </c>
      <c r="P189" s="59">
        <f>IFERROR(__xludf.DUMMYFUNCTION("IFERROR(
  VLOOKUP(
    A189,
    IMPORTRANGE(
      ""1ZHMy3vVUd_0MrSduXTe1etBb1HNpAlGwQr006ljwMiM"",
      ""GSC最新!A:R""
    ),
    13,
    FALSE
  ),
  0
)
"),0.0)</f>
        <v>0</v>
      </c>
      <c r="Q189" s="59">
        <f>IFERROR(__xludf.DUMMYFUNCTION("IFERROR(
  VLOOKUP(
    A189,
    IMPORTRANGE(
      ""1ZHMy3vVUd_0MrSduXTe1etBb1HNpAlGwQr006ljwMiM"",
      ""GSC最新!A:R""
    ),
    16,
    FALSE
  ),
  0
)
"),0.0)</f>
        <v>0</v>
      </c>
      <c r="R189" s="50" t="str">
        <f t="shared" ref="R189:S189" si="938">IFERROR(N189/P189,"-")</f>
        <v>-</v>
      </c>
      <c r="S189" s="50" t="str">
        <f t="shared" si="938"/>
        <v>-</v>
      </c>
      <c r="T189" s="60">
        <f>IFERROR(__xludf.DUMMYFUNCTION("IFERROR(
  VLOOKUP(
    A189,
    IMPORTRANGE(
      ""1ZHMy3vVUd_0MrSduXTe1etBb1HNpAlGwQr006ljwMiM"",
      ""GSC最新!A:R""
    ),
    8,
    FALSE
  ),
  0
)
"),0.0)</f>
        <v>0</v>
      </c>
      <c r="U189" s="60">
        <f>IFERROR(__xludf.DUMMYFUNCTION("IFERROR(
  VLOOKUP(
    A189,
    IMPORTRANGE(
      ""1ZHMy3vVUd_0MrSduXTe1etBb1HNpAlGwQr006ljwMiM"",
      ""GSC最新!A:R""
    ),
    11,
    FALSE
  ),
  0
)
"),0.0)</f>
        <v>0</v>
      </c>
      <c r="V189" s="60">
        <f>IFERROR(__xludf.DUMMYFUNCTION("IFERROR(
  VLOOKUP(
    A189,
    IMPORTRANGE(
      ""1ZHMy3vVUd_0MrSduXTe1etBb1HNpAlGwQr006ljwMiM"",
      ""GSC最新!A:R""
    ),
    14,
    FALSE
  ),
  0
)
"),0.0)</f>
        <v>0</v>
      </c>
      <c r="W189" s="60">
        <f>IFERROR(__xludf.DUMMYFUNCTION("IFERROR(
  VLOOKUP(
    A189,
    IMPORTRANGE(
      ""1ZHMy3vVUd_0MrSduXTe1etBb1HNpAlGwQr006ljwMiM"",
      ""GSC最新!A:R""
    ),
    17,
    FALSE
  ),
  0
)
"),0.0)</f>
        <v>0</v>
      </c>
      <c r="X189" s="60">
        <f t="shared" ref="X189:Y189" si="939">IFERROR(T189-V189,"-")</f>
        <v>0</v>
      </c>
      <c r="Y189" s="60">
        <f t="shared" si="939"/>
        <v>0</v>
      </c>
      <c r="Z189" s="52" t="str">
        <f>IFERROR(__xludf.DUMMYFUNCTION("IFERROR(
  VLOOKUP(
    A189,
    IMPORTRANGE(
      ""1ZHMy3vVUd_0MrSduXTe1etBb1HNpAlGwQr006ljwMiM"",
      ""GSC最新!A:R""
    ),
    9,
    FALSE
  ),
  0
)
"),"")</f>
        <v/>
      </c>
      <c r="AA189" s="52" t="str">
        <f>IFERROR(__xludf.DUMMYFUNCTION("IFERROR(
  VLOOKUP(
    A189,
    IMPORTRANGE(
      ""1ZHMy3vVUd_0MrSduXTe1etBb1HNpAlGwQr006ljwMiM"",
      ""GSC最新!A:R""
    ),
    12,
    FALSE
  ),
  0
)
"),"")</f>
        <v/>
      </c>
      <c r="AB189" s="52" t="str">
        <f>IFERROR(__xludf.DUMMYFUNCTION("IFERROR(
  VLOOKUP(
    A189,
    IMPORTRANGE(
      ""1ZHMy3vVUd_0MrSduXTe1etBb1HNpAlGwQr006ljwMiM"",
      ""GSC最新!A:R""
    ),
    15,
    FALSE
  ),
  0
)
"),"")</f>
        <v/>
      </c>
      <c r="AC189" s="52" t="str">
        <f>IFERROR(__xludf.DUMMYFUNCTION("IFERROR(
  VLOOKUP(
    A189,
    IMPORTRANGE(
      ""1ZHMy3vVUd_0MrSduXTe1etBb1HNpAlGwQr006ljwMiM"",
      ""GSC最新!A:R""
    ),
    18,
    FALSE
  ),
  0
)
"),"")</f>
        <v/>
      </c>
      <c r="AD189" s="52">
        <f t="shared" ref="AD189:AE189" si="940">Z189-AB189</f>
        <v>0</v>
      </c>
      <c r="AE189" s="52">
        <f t="shared" si="940"/>
        <v>0</v>
      </c>
      <c r="AF189" s="53">
        <f>IFERROR(__xludf.DUMMYFUNCTION("IFERROR(
  VLOOKUP(
    A189,
    IMPORTRANGE(
      ""1ZHMy3vVUd_0MrSduXTe1etBb1HNpAlGwQr006ljwMiM"",
      ""GSC最新!A:F""
    ),
    6,
    FALSE
  ),
  0
)
"),46081.0)</f>
        <v>46081</v>
      </c>
      <c r="AG189" s="54">
        <f>IFERROR(__xludf.DUMMYFUNCTION("IFERROR(
  VLOOKUP(
    A189,
    IMPORTRANGE(
      ""1SCYQd7_cobOYqT0r_F0IqD4tE4rYn5y8Eup4PJTH8es"",
      ""Snapshot!A:M""
    ),
    5,
    FALSE
  ),
  ""-""
)
"),0.0)</f>
        <v>0</v>
      </c>
      <c r="AH189" s="54">
        <f>IFERROR(__xludf.DUMMYFUNCTION("IFERROR(
  VLOOKUP(
    A189,
    IMPORTRANGE(
      ""1SCYQd7_cobOYqT0r_F0IqD4tE4rYn5y8Eup4PJTH8es"",
      ""Snapshot!A:M""
    ),
    6,
    FALSE
  ),
  0
)
"),0.0)</f>
        <v>0</v>
      </c>
      <c r="AI189" s="54">
        <f>IFERROR(__xludf.DUMMYFUNCTION("IFERROR(
  VLOOKUP(
    A189,
    IMPORTRANGE(
      ""1SCYQd7_cobOYqT0r_F0IqD4tE4rYn5y8Eup4PJTH8es"",
      ""Snapshot!A:M""
    ),
    7,
    FALSE
  ),
  0
)
"),72.0)</f>
        <v>72</v>
      </c>
      <c r="AJ189" s="54">
        <f>IFERROR(__xludf.DUMMYFUNCTION("IFERROR(
  VLOOKUP(
    A189,
    IMPORTRANGE(
      ""1SCYQd7_cobOYqT0r_F0IqD4tE4rYn5y8Eup4PJTH8es"",
      ""Snapshot!A:M""
    ),
    8,
    FALSE
  ),
  0
)
"),0.0)</f>
        <v>0</v>
      </c>
      <c r="AK189" s="54">
        <f>IFERROR(__xludf.DUMMYFUNCTION("IFERROR(
  VLOOKUP(
    A189,
    IMPORTRANGE(
      ""1SCYQd7_cobOYqT0r_F0IqD4tE4rYn5y8Eup4PJTH8es"",
      ""Snapshot!A:M""
    ),
    9,
    FALSE
  ),
  0
)
"),1.0)</f>
        <v>1</v>
      </c>
      <c r="AL189" s="54">
        <f>IFERROR(__xludf.DUMMYFUNCTION("IFERROR(
  VLOOKUP(
    A189,
    IMPORTRANGE(
      ""1SCYQd7_cobOYqT0r_F0IqD4tE4rYn5y8Eup4PJTH8es"",
      ""Snapshot!A:M""
    ),
    13,
    FALSE
  ),
  0
)
"),1.0)</f>
        <v>1</v>
      </c>
    </row>
    <row r="190">
      <c r="A190" s="3" t="s">
        <v>512</v>
      </c>
      <c r="B190" s="1" t="str">
        <f>IFERROR(__xludf.DUMMYFUNCTION("IFERROR(
  VLOOKUP(
    A190,
    IMPORTRANGE(
      ""1ZygntHC1J6IxzKbTidmOyf5nUyW4GCLurHCjexrLm_o"",
      ""HTMLキャッシュ!A:F""
    ),
    2,
    FALSE
  ),
  0
)
"),"SC")</f>
        <v>SC</v>
      </c>
      <c r="C190" s="1" t="str">
        <f>IFERROR(__xludf.DUMMYFUNCTION("IFERROR(
  VLOOKUP(
    A190,
    IMPORTRANGE(
      ""1ZygntHC1J6IxzKbTidmOyf5nUyW4GCLurHCjexrLm_o"",
      ""HTMLキャッシュ!A:F""
    ),
    5,
    FALSE
  ),
  0
)
"),"日能研算数の弱点補強：オンライン個別で伸びやすい単元とは？ - 中学受験専門 夏井算数塾")</f>
        <v>日能研算数の弱点補強：オンライン個別で伸びやすい単元とは？ - 中学受験専門 夏井算数塾</v>
      </c>
      <c r="D190" s="1" t="str">
        <f>IFERROR(__xludf.DUMMYFUNCTION("IFERROR(
  VLOOKUP(
    A190,
    IMPORTRANGE(
      ""1ZygntHC1J6IxzKbTidmOyf5nUyW4GCLurHCjexrLm_o        "",
      ""HTMLキャッシュ!A:F""
    ),
    6,
    FALSE
  ),
  0
)
"),"日能研のテキストはこなしているのに、模試や過去問になると算数の点数が安定しないご家庭向けの中学受験ガイド。オンライン算数個別指導で弱点単元を補強し、基礎と最新入試傾向のギャップを埋める具体的な方法を解説します。")</f>
        <v>日能研のテキストはこなしているのに、模試や過去問になると算数の点数が安定しないご家庭向けの中学受験ガイド。オンライン算数個別指導で弱点単元を補強し、基礎と最新入試傾向のギャップを埋める具体的な方法を解説します。</v>
      </c>
      <c r="E190" s="49">
        <f t="shared" ref="E190:F190" si="941">LEN(C190)</f>
        <v>44</v>
      </c>
      <c r="F190" s="49">
        <f t="shared" si="941"/>
        <v>105</v>
      </c>
      <c r="G190" s="32">
        <f>IFERROR(__xludf.DUMMYFUNCTION("IFERROR(
  VLOOKUP(
    A190,
    IMPORTRANGE(
      ""1ZygntHC1J6IxzKbTidmOyf5nUyW4GCLurHCjexrLm_o        "",
      ""HTMLキャッシュ!A:F""
    ),
    3,
    FALSE
  ),
  0
)
"),46076.6340625)</f>
        <v>46076.63406</v>
      </c>
      <c r="H190" s="54">
        <f>IFERROR(__xludf.DUMMYFUNCTION("IFERROR(
  VLOOKUP(
    A190,
    IMPORTRANGE(
      ""1ZHMy3vVUd_0MrSduXTe1etBb1HNpAlGwQr006ljwMiM"",
      ""GSC最新!A:F""
    ),
    2,
    FALSE
  ),
  0
)
"),0.0)</f>
        <v>0</v>
      </c>
      <c r="I190" s="54">
        <f>IFERROR(__xludf.DUMMYFUNCTION("IFERROR(
  VLOOKUP(
    A190,
    IMPORTRANGE(
      ""1ZHMy3vVUd_0MrSduXTe1etBb1HNpAlGwQr006ljwMiM"",
      ""GSC最新!A:F""
    ),
    3,
    FALSE
  ),
  0
)
"),0.0)</f>
        <v>0</v>
      </c>
      <c r="J190" s="54">
        <f>IFERROR(__xludf.DUMMYFUNCTION("IFERROR(
  VLOOKUP(
    A190,
    IMPORTRANGE(
      ""1ZHMy3vVUd_0MrSduXTe1etBb1HNpAlGwQr006ljwMiM"",
      ""GSC最新!A:F""
    ),
    4,
    FALSE
  ),
  0
)
"),0.0)</f>
        <v>0</v>
      </c>
      <c r="K190" s="54">
        <f>IFERROR(__xludf.DUMMYFUNCTION("IFERROR(
  VLOOKUP(
    A190,
    IMPORTRANGE(
      ""1ZHMy3vVUd_0MrSduXTe1etBb1HNpAlGwQr006ljwMiM"",
      ""GSC最新!A:F""
    ),
    5,
    FALSE
  ),
  0
)
"),0.0)</f>
        <v>0</v>
      </c>
      <c r="L190" s="50" t="str">
        <f t="shared" ref="L190:M190" si="942">IFERROR(H190/J190,"-")</f>
        <v>-</v>
      </c>
      <c r="M190" s="50" t="str">
        <f t="shared" si="942"/>
        <v>-</v>
      </c>
      <c r="N190" s="59">
        <f>IFERROR(__xludf.DUMMYFUNCTION("IFERROR(
  VLOOKUP(
    A190,
    IMPORTRANGE(
      ""1ZHMy3vVUd_0MrSduXTe1etBb1HNpAlGwQr006ljwMiM"",
      ""GSC最新!A:R""
    ),
    7,
    FALSE
  ),
  0
)
"),0.0)</f>
        <v>0</v>
      </c>
      <c r="O190" s="59">
        <f>IFERROR(__xludf.DUMMYFUNCTION("IFERROR(
  VLOOKUP(
    A190,
    IMPORTRANGE(
      ""1ZHMy3vVUd_0MrSduXTe1etBb1HNpAlGwQr006ljwMiM"",
      ""GSC最新!A:R""
    ),
    10,
    FALSE
  ),
  0
)
"),0.0)</f>
        <v>0</v>
      </c>
      <c r="P190" s="59">
        <f>IFERROR(__xludf.DUMMYFUNCTION("IFERROR(
  VLOOKUP(
    A190,
    IMPORTRANGE(
      ""1ZHMy3vVUd_0MrSduXTe1etBb1HNpAlGwQr006ljwMiM"",
      ""GSC最新!A:R""
    ),
    13,
    FALSE
  ),
  0
)
"),0.0)</f>
        <v>0</v>
      </c>
      <c r="Q190" s="59">
        <f>IFERROR(__xludf.DUMMYFUNCTION("IFERROR(
  VLOOKUP(
    A190,
    IMPORTRANGE(
      ""1ZHMy3vVUd_0MrSduXTe1etBb1HNpAlGwQr006ljwMiM"",
      ""GSC最新!A:R""
    ),
    16,
    FALSE
  ),
  0
)
"),0.0)</f>
        <v>0</v>
      </c>
      <c r="R190" s="50" t="str">
        <f t="shared" ref="R190:S190" si="943">IFERROR(N190/P190,"-")</f>
        <v>-</v>
      </c>
      <c r="S190" s="50" t="str">
        <f t="shared" si="943"/>
        <v>-</v>
      </c>
      <c r="T190" s="60">
        <f>IFERROR(__xludf.DUMMYFUNCTION("IFERROR(
  VLOOKUP(
    A190,
    IMPORTRANGE(
      ""1ZHMy3vVUd_0MrSduXTe1etBb1HNpAlGwQr006ljwMiM"",
      ""GSC最新!A:R""
    ),
    8,
    FALSE
  ),
  0
)
"),0.0)</f>
        <v>0</v>
      </c>
      <c r="U190" s="60">
        <f>IFERROR(__xludf.DUMMYFUNCTION("IFERROR(
  VLOOKUP(
    A190,
    IMPORTRANGE(
      ""1ZHMy3vVUd_0MrSduXTe1etBb1HNpAlGwQr006ljwMiM"",
      ""GSC最新!A:R""
    ),
    11,
    FALSE
  ),
  0
)
"),0.0)</f>
        <v>0</v>
      </c>
      <c r="V190" s="60">
        <f>IFERROR(__xludf.DUMMYFUNCTION("IFERROR(
  VLOOKUP(
    A190,
    IMPORTRANGE(
      ""1ZHMy3vVUd_0MrSduXTe1etBb1HNpAlGwQr006ljwMiM"",
      ""GSC最新!A:R""
    ),
    14,
    FALSE
  ),
  0
)
"),0.0)</f>
        <v>0</v>
      </c>
      <c r="W190" s="60">
        <f>IFERROR(__xludf.DUMMYFUNCTION("IFERROR(
  VLOOKUP(
    A190,
    IMPORTRANGE(
      ""1ZHMy3vVUd_0MrSduXTe1etBb1HNpAlGwQr006ljwMiM"",
      ""GSC最新!A:R""
    ),
    17,
    FALSE
  ),
  0
)
"),0.0)</f>
        <v>0</v>
      </c>
      <c r="X190" s="60">
        <f t="shared" ref="X190:Y190" si="944">IFERROR(T190-V190,"-")</f>
        <v>0</v>
      </c>
      <c r="Y190" s="60">
        <f t="shared" si="944"/>
        <v>0</v>
      </c>
      <c r="Z190" s="52" t="str">
        <f>IFERROR(__xludf.DUMMYFUNCTION("IFERROR(
  VLOOKUP(
    A190,
    IMPORTRANGE(
      ""1ZHMy3vVUd_0MrSduXTe1etBb1HNpAlGwQr006ljwMiM"",
      ""GSC最新!A:R""
    ),
    9,
    FALSE
  ),
  0
)
"),"")</f>
        <v/>
      </c>
      <c r="AA190" s="52" t="str">
        <f>IFERROR(__xludf.DUMMYFUNCTION("IFERROR(
  VLOOKUP(
    A190,
    IMPORTRANGE(
      ""1ZHMy3vVUd_0MrSduXTe1etBb1HNpAlGwQr006ljwMiM"",
      ""GSC最新!A:R""
    ),
    12,
    FALSE
  ),
  0
)
"),"")</f>
        <v/>
      </c>
      <c r="AB190" s="52" t="str">
        <f>IFERROR(__xludf.DUMMYFUNCTION("IFERROR(
  VLOOKUP(
    A190,
    IMPORTRANGE(
      ""1ZHMy3vVUd_0MrSduXTe1etBb1HNpAlGwQr006ljwMiM"",
      ""GSC最新!A:R""
    ),
    15,
    FALSE
  ),
  0
)
"),"")</f>
        <v/>
      </c>
      <c r="AC190" s="52" t="str">
        <f>IFERROR(__xludf.DUMMYFUNCTION("IFERROR(
  VLOOKUP(
    A190,
    IMPORTRANGE(
      ""1ZHMy3vVUd_0MrSduXTe1etBb1HNpAlGwQr006ljwMiM"",
      ""GSC最新!A:R""
    ),
    18,
    FALSE
  ),
  0
)
"),"")</f>
        <v/>
      </c>
      <c r="AD190" s="52">
        <f t="shared" ref="AD190:AE190" si="945">Z190-AB190</f>
        <v>0</v>
      </c>
      <c r="AE190" s="52">
        <f t="shared" si="945"/>
        <v>0</v>
      </c>
      <c r="AF190" s="53">
        <f>IFERROR(__xludf.DUMMYFUNCTION("IFERROR(
  VLOOKUP(
    A190,
    IMPORTRANGE(
      ""1ZHMy3vVUd_0MrSduXTe1etBb1HNpAlGwQr006ljwMiM"",
      ""GSC最新!A:F""
    ),
    6,
    FALSE
  ),
  0
)
"),46081.0)</f>
        <v>46081</v>
      </c>
      <c r="AG190" s="54">
        <f>IFERROR(__xludf.DUMMYFUNCTION("IFERROR(
  VLOOKUP(
    A190,
    IMPORTRANGE(
      ""1SCYQd7_cobOYqT0r_F0IqD4tE4rYn5y8Eup4PJTH8es"",
      ""Snapshot!A:M""
    ),
    5,
    FALSE
  ),
  ""-""
)
"),7.0)</f>
        <v>7</v>
      </c>
      <c r="AH190" s="54">
        <f>IFERROR(__xludf.DUMMYFUNCTION("IFERROR(
  VLOOKUP(
    A190,
    IMPORTRANGE(
      ""1SCYQd7_cobOYqT0r_F0IqD4tE4rYn5y8Eup4PJTH8es"",
      ""Snapshot!A:M""
    ),
    6,
    FALSE
  ),
  0
)
"),22.0)</f>
        <v>22</v>
      </c>
      <c r="AI190" s="54">
        <f>IFERROR(__xludf.DUMMYFUNCTION("IFERROR(
  VLOOKUP(
    A190,
    IMPORTRANGE(
      ""1SCYQd7_cobOYqT0r_F0IqD4tE4rYn5y8Eup4PJTH8es"",
      ""Snapshot!A:M""
    ),
    7,
    FALSE
  ),
  0
)
"),6739.0)</f>
        <v>6739</v>
      </c>
      <c r="AJ190" s="54">
        <f>IFERROR(__xludf.DUMMYFUNCTION("IFERROR(
  VLOOKUP(
    A190,
    IMPORTRANGE(
      ""1SCYQd7_cobOYqT0r_F0IqD4tE4rYn5y8Eup4PJTH8es"",
      ""Snapshot!A:M""
    ),
    8,
    FALSE
  ),
  0
)
"),4.0)</f>
        <v>4</v>
      </c>
      <c r="AK190" s="54">
        <f>IFERROR(__xludf.DUMMYFUNCTION("IFERROR(
  VLOOKUP(
    A190,
    IMPORTRANGE(
      ""1SCYQd7_cobOYqT0r_F0IqD4tE4rYn5y8Eup4PJTH8es"",
      ""Snapshot!A:M""
    ),
    9,
    FALSE
  ),
  0
)
"),3.0)</f>
        <v>3</v>
      </c>
      <c r="AL190" s="54">
        <f>IFERROR(__xludf.DUMMYFUNCTION("IFERROR(
  VLOOKUP(
    A190,
    IMPORTRANGE(
      ""1SCYQd7_cobOYqT0r_F0IqD4tE4rYn5y8Eup4PJTH8es"",
      ""Snapshot!A:M""
    ),
    13,
    FALSE
  ),
  0
)
"),2.0)</f>
        <v>2</v>
      </c>
    </row>
    <row r="191">
      <c r="A191" s="3" t="s">
        <v>101</v>
      </c>
      <c r="B191" s="1" t="str">
        <f>IFERROR(__xludf.DUMMYFUNCTION("IFERROR(
  VLOOKUP(
    A191,
    IMPORTRANGE(
      ""1ZygntHC1J6IxzKbTidmOyf5nUyW4GCLurHCjexrLm_o"",
      ""HTMLキャッシュ!A:F""
    ),
    2,
    FALSE
  ),
  0
)
"),"-")</f>
        <v>-</v>
      </c>
      <c r="C191" s="1" t="str">
        <f>IFERROR(__xludf.DUMMYFUNCTION("IFERROR(
  VLOOKUP(
    A191,
    IMPORTRANGE(
      ""1ZygntHC1J6IxzKbTidmOyf5nUyW4GCLurHCjexrLm_o"",
      ""HTMLキャッシュ!A:F""
    ),
    5,
    FALSE
  ),
  0
)
"),"2017年度募集開始のお知らせ - 中学受験専門 夏井算数塾")</f>
        <v>2017年度募集開始のお知らせ - 中学受験専門 夏井算数塾</v>
      </c>
      <c r="D191" s="1" t="str">
        <f>IFERROR(__xludf.DUMMYFUNCTION("IFERROR(
  VLOOKUP(
    A191,
    IMPORTRANGE(
      ""1ZygntHC1J6IxzKbTidmOyf5nUyW4GCLurHCjexrLm_o        "",
      ""HTMLキャッシュ!A:F""
    ),
    6,
    FALSE
  ),
  0
)
"),"四ツ谷駅近の「夏井算数塾」は完全1対1の個別指導で中学受験や中高一貫校の算数を徹底サポート！電子黒板活用で効率的な学習を体験しよう！")</f>
        <v>四ツ谷駅近の「夏井算数塾」は完全1対1の個別指導で中学受験や中高一貫校の算数を徹底サポート！電子黒板活用で効率的な学習を体験しよう！</v>
      </c>
      <c r="E191" s="49">
        <f t="shared" ref="E191:F191" si="946">LEN(C191)</f>
        <v>30</v>
      </c>
      <c r="F191" s="49">
        <f t="shared" si="946"/>
        <v>66</v>
      </c>
      <c r="G191" s="32">
        <f>IFERROR(__xludf.DUMMYFUNCTION("IFERROR(
  VLOOKUP(
    A191,
    IMPORTRANGE(
      ""1ZygntHC1J6IxzKbTidmOyf5nUyW4GCLurHCjexrLm_o        "",
      ""HTMLキャッシュ!A:F""
    ),
    3,
    FALSE
  ),
  0
)
"),45682.66540509259)</f>
        <v>45682.66541</v>
      </c>
      <c r="H191" s="54">
        <f>IFERROR(__xludf.DUMMYFUNCTION("IFERROR(
  VLOOKUP(
    A191,
    IMPORTRANGE(
      ""1ZHMy3vVUd_0MrSduXTe1etBb1HNpAlGwQr006ljwMiM"",
      ""GSC最新!A:F""
    ),
    2,
    FALSE
  ),
  0
)
"),0.0)</f>
        <v>0</v>
      </c>
      <c r="I191" s="54">
        <f>IFERROR(__xludf.DUMMYFUNCTION("IFERROR(
  VLOOKUP(
    A191,
    IMPORTRANGE(
      ""1ZHMy3vVUd_0MrSduXTe1etBb1HNpAlGwQr006ljwMiM"",
      ""GSC最新!A:F""
    ),
    3,
    FALSE
  ),
  0
)
"),0.0)</f>
        <v>0</v>
      </c>
      <c r="J191" s="54">
        <f>IFERROR(__xludf.DUMMYFUNCTION("IFERROR(
  VLOOKUP(
    A191,
    IMPORTRANGE(
      ""1ZHMy3vVUd_0MrSduXTe1etBb1HNpAlGwQr006ljwMiM"",
      ""GSC最新!A:F""
    ),
    4,
    FALSE
  ),
  0
)
"),0.0)</f>
        <v>0</v>
      </c>
      <c r="K191" s="54">
        <f>IFERROR(__xludf.DUMMYFUNCTION("IFERROR(
  VLOOKUP(
    A191,
    IMPORTRANGE(
      ""1ZHMy3vVUd_0MrSduXTe1etBb1HNpAlGwQr006ljwMiM"",
      ""GSC最新!A:F""
    ),
    5,
    FALSE
  ),
  0
)
"),0.0)</f>
        <v>0</v>
      </c>
      <c r="L191" s="50" t="str">
        <f t="shared" ref="L191:M191" si="947">IFERROR(H191/J191,"-")</f>
        <v>-</v>
      </c>
      <c r="M191" s="50" t="str">
        <f t="shared" si="947"/>
        <v>-</v>
      </c>
      <c r="N191" s="59">
        <f>IFERROR(__xludf.DUMMYFUNCTION("IFERROR(
  VLOOKUP(
    A191,
    IMPORTRANGE(
      ""1ZHMy3vVUd_0MrSduXTe1etBb1HNpAlGwQr006ljwMiM"",
      ""GSC最新!A:R""
    ),
    7,
    FALSE
  ),
  0
)
"),0.0)</f>
        <v>0</v>
      </c>
      <c r="O191" s="59">
        <f>IFERROR(__xludf.DUMMYFUNCTION("IFERROR(
  VLOOKUP(
    A191,
    IMPORTRANGE(
      ""1ZHMy3vVUd_0MrSduXTe1etBb1HNpAlGwQr006ljwMiM"",
      ""GSC最新!A:R""
    ),
    10,
    FALSE
  ),
  0
)
"),0.0)</f>
        <v>0</v>
      </c>
      <c r="P191" s="59">
        <f>IFERROR(__xludf.DUMMYFUNCTION("IFERROR(
  VLOOKUP(
    A191,
    IMPORTRANGE(
      ""1ZHMy3vVUd_0MrSduXTe1etBb1HNpAlGwQr006ljwMiM"",
      ""GSC最新!A:R""
    ),
    13,
    FALSE
  ),
  0
)
"),0.0)</f>
        <v>0</v>
      </c>
      <c r="Q191" s="59">
        <f>IFERROR(__xludf.DUMMYFUNCTION("IFERROR(
  VLOOKUP(
    A191,
    IMPORTRANGE(
      ""1ZHMy3vVUd_0MrSduXTe1etBb1HNpAlGwQr006ljwMiM"",
      ""GSC最新!A:R""
    ),
    16,
    FALSE
  ),
  0
)
"),0.0)</f>
        <v>0</v>
      </c>
      <c r="R191" s="50" t="str">
        <f t="shared" ref="R191:S191" si="948">IFERROR(N191/P191,"-")</f>
        <v>-</v>
      </c>
      <c r="S191" s="50" t="str">
        <f t="shared" si="948"/>
        <v>-</v>
      </c>
      <c r="T191" s="60">
        <f>IFERROR(__xludf.DUMMYFUNCTION("IFERROR(
  VLOOKUP(
    A191,
    IMPORTRANGE(
      ""1ZHMy3vVUd_0MrSduXTe1etBb1HNpAlGwQr006ljwMiM"",
      ""GSC最新!A:R""
    ),
    8,
    FALSE
  ),
  0
)
"),0.0)</f>
        <v>0</v>
      </c>
      <c r="U191" s="60">
        <f>IFERROR(__xludf.DUMMYFUNCTION("IFERROR(
  VLOOKUP(
    A191,
    IMPORTRANGE(
      ""1ZHMy3vVUd_0MrSduXTe1etBb1HNpAlGwQr006ljwMiM"",
      ""GSC最新!A:R""
    ),
    11,
    FALSE
  ),
  0
)
"),0.0)</f>
        <v>0</v>
      </c>
      <c r="V191" s="60">
        <f>IFERROR(__xludf.DUMMYFUNCTION("IFERROR(
  VLOOKUP(
    A191,
    IMPORTRANGE(
      ""1ZHMy3vVUd_0MrSduXTe1etBb1HNpAlGwQr006ljwMiM"",
      ""GSC最新!A:R""
    ),
    14,
    FALSE
  ),
  0
)
"),0.0)</f>
        <v>0</v>
      </c>
      <c r="W191" s="60">
        <f>IFERROR(__xludf.DUMMYFUNCTION("IFERROR(
  VLOOKUP(
    A191,
    IMPORTRANGE(
      ""1ZHMy3vVUd_0MrSduXTe1etBb1HNpAlGwQr006ljwMiM"",
      ""GSC最新!A:R""
    ),
    17,
    FALSE
  ),
  0
)
"),0.0)</f>
        <v>0</v>
      </c>
      <c r="X191" s="60">
        <f t="shared" ref="X191:Y191" si="949">IFERROR(T191-V191,"-")</f>
        <v>0</v>
      </c>
      <c r="Y191" s="60">
        <f t="shared" si="949"/>
        <v>0</v>
      </c>
      <c r="Z191" s="52" t="str">
        <f>IFERROR(__xludf.DUMMYFUNCTION("IFERROR(
  VLOOKUP(
    A191,
    IMPORTRANGE(
      ""1ZHMy3vVUd_0MrSduXTe1etBb1HNpAlGwQr006ljwMiM"",
      ""GSC最新!A:R""
    ),
    9,
    FALSE
  ),
  0
)
"),"")</f>
        <v/>
      </c>
      <c r="AA191" s="52" t="str">
        <f>IFERROR(__xludf.DUMMYFUNCTION("IFERROR(
  VLOOKUP(
    A191,
    IMPORTRANGE(
      ""1ZHMy3vVUd_0MrSduXTe1etBb1HNpAlGwQr006ljwMiM"",
      ""GSC最新!A:R""
    ),
    12,
    FALSE
  ),
  0
)
"),"")</f>
        <v/>
      </c>
      <c r="AB191" s="52" t="str">
        <f>IFERROR(__xludf.DUMMYFUNCTION("IFERROR(
  VLOOKUP(
    A191,
    IMPORTRANGE(
      ""1ZHMy3vVUd_0MrSduXTe1etBb1HNpAlGwQr006ljwMiM"",
      ""GSC最新!A:R""
    ),
    15,
    FALSE
  ),
  0
)
"),"")</f>
        <v/>
      </c>
      <c r="AC191" s="52" t="str">
        <f>IFERROR(__xludf.DUMMYFUNCTION("IFERROR(
  VLOOKUP(
    A191,
    IMPORTRANGE(
      ""1ZHMy3vVUd_0MrSduXTe1etBb1HNpAlGwQr006ljwMiM"",
      ""GSC最新!A:R""
    ),
    18,
    FALSE
  ),
  0
)
"),"")</f>
        <v/>
      </c>
      <c r="AD191" s="52">
        <f t="shared" ref="AD191:AE191" si="950">Z191-AB191</f>
        <v>0</v>
      </c>
      <c r="AE191" s="52">
        <f t="shared" si="950"/>
        <v>0</v>
      </c>
      <c r="AF191" s="53">
        <f>IFERROR(__xludf.DUMMYFUNCTION("IFERROR(
  VLOOKUP(
    A191,
    IMPORTRANGE(
      ""1ZHMy3vVUd_0MrSduXTe1etBb1HNpAlGwQr006ljwMiM"",
      ""GSC最新!A:F""
    ),
    6,
    FALSE
  ),
  0
)
"),46081.0)</f>
        <v>46081</v>
      </c>
      <c r="AG191" s="54">
        <f>IFERROR(__xludf.DUMMYFUNCTION("IFERROR(
  VLOOKUP(
    A191,
    IMPORTRANGE(
      ""1SCYQd7_cobOYqT0r_F0IqD4tE4rYn5y8Eup4PJTH8es"",
      ""Snapshot!A:M""
    ),
    5,
    FALSE
  ),
  ""-""
)
"),7.0)</f>
        <v>7</v>
      </c>
      <c r="AH191" s="54">
        <f>IFERROR(__xludf.DUMMYFUNCTION("IFERROR(
  VLOOKUP(
    A191,
    IMPORTRANGE(
      ""1SCYQd7_cobOYqT0r_F0IqD4tE4rYn5y8Eup4PJTH8es"",
      ""Snapshot!A:M""
    ),
    6,
    FALSE
  ),
  0
)
"),6.0)</f>
        <v>6</v>
      </c>
      <c r="AI191" s="54">
        <f>IFERROR(__xludf.DUMMYFUNCTION("IFERROR(
  VLOOKUP(
    A191,
    IMPORTRANGE(
      ""1SCYQd7_cobOYqT0r_F0IqD4tE4rYn5y8Eup4PJTH8es"",
      ""Snapshot!A:M""
    ),
    7,
    FALSE
  ),
  0
)
"),1650.0)</f>
        <v>1650</v>
      </c>
      <c r="AJ191" s="54">
        <f>IFERROR(__xludf.DUMMYFUNCTION("IFERROR(
  VLOOKUP(
    A191,
    IMPORTRANGE(
      ""1SCYQd7_cobOYqT0r_F0IqD4tE4rYn5y8Eup4PJTH8es"",
      ""Snapshot!A:M""
    ),
    8,
    FALSE
  ),
  0
)
"),2.0)</f>
        <v>2</v>
      </c>
      <c r="AK191" s="54">
        <f>IFERROR(__xludf.DUMMYFUNCTION("IFERROR(
  VLOOKUP(
    A191,
    IMPORTRANGE(
      ""1SCYQd7_cobOYqT0r_F0IqD4tE4rYn5y8Eup4PJTH8es"",
      ""Snapshot!A:M""
    ),
    9,
    FALSE
  ),
  0
)
"),1.0)</f>
        <v>1</v>
      </c>
      <c r="AL191" s="54">
        <f>IFERROR(__xludf.DUMMYFUNCTION("IFERROR(
  VLOOKUP(
    A191,
    IMPORTRANGE(
      ""1SCYQd7_cobOYqT0r_F0IqD4tE4rYn5y8Eup4PJTH8es"",
      ""Snapshot!A:M""
    ),
    13,
    FALSE
  ),
  0
)
"),1.0)</f>
        <v>1</v>
      </c>
    </row>
    <row r="192">
      <c r="A192" s="3" t="s">
        <v>103</v>
      </c>
      <c r="B192" s="1" t="str">
        <f>IFERROR(__xludf.DUMMYFUNCTION("IFERROR(
  VLOOKUP(
    A192,
    IMPORTRANGE(
      ""1ZygntHC1J6IxzKbTidmOyf5nUyW4GCLurHCjexrLm_o"",
      ""HTMLキャッシュ!A:F""
    ),
    2,
    FALSE
  ),
  0
)
"),"-")</f>
        <v>-</v>
      </c>
      <c r="C192" s="1" t="str">
        <f>IFERROR(__xludf.DUMMYFUNCTION("IFERROR(
  VLOOKUP(
    A192,
    IMPORTRANGE(
      ""1ZygntHC1J6IxzKbTidmOyf5nUyW4GCLurHCjexrLm_o"",
      ""HTMLキャッシュ!A:F""
    ),
    5,
    FALSE
  ),
  0
)
"),"2018年度募集開始のお知らせ - 中学受験専門 夏井算数塾")</f>
        <v>2018年度募集開始のお知らせ - 中学受験専門 夏井算数塾</v>
      </c>
      <c r="D192" s="1" t="str">
        <f>IFERROR(__xludf.DUMMYFUNCTION("IFERROR(
  VLOOKUP(
    A192,
    IMPORTRANGE(
      ""1ZygntHC1J6IxzKbTidmOyf5nUyW4GCLurHCjexrLm_o        "",
      ""HTMLキャッシュ!A:F""
    ),
    6,
    FALSE
  ),
  0
)
"),"四ツ谷駅徒歩2分の「夏井算数塾」は、完全1対1の個別指導で中学受験算数を徹底サポート！電子黒板とデータ化で効率的な学習を実現。体験講座受付中！")</f>
        <v>四ツ谷駅徒歩2分の「夏井算数塾」は、完全1対1の個別指導で中学受験算数を徹底サポート！電子黒板とデータ化で効率的な学習を実現。体験講座受付中！</v>
      </c>
      <c r="E192" s="49">
        <f t="shared" ref="E192:F192" si="951">LEN(C192)</f>
        <v>30</v>
      </c>
      <c r="F192" s="49">
        <f t="shared" si="951"/>
        <v>71</v>
      </c>
      <c r="G192" s="32">
        <f>IFERROR(__xludf.DUMMYFUNCTION("IFERROR(
  VLOOKUP(
    A192,
    IMPORTRANGE(
      ""1ZygntHC1J6IxzKbTidmOyf5nUyW4GCLurHCjexrLm_o        "",
      ""HTMLキャッシュ!A:F""
    ),
    3,
    FALSE
  ),
  0
)
"),45682.665983796294)</f>
        <v>45682.66598</v>
      </c>
      <c r="H192" s="54">
        <f>IFERROR(__xludf.DUMMYFUNCTION("IFERROR(
  VLOOKUP(
    A192,
    IMPORTRANGE(
      ""1ZHMy3vVUd_0MrSduXTe1etBb1HNpAlGwQr006ljwMiM"",
      ""GSC最新!A:F""
    ),
    2,
    FALSE
  ),
  0
)
"),0.0)</f>
        <v>0</v>
      </c>
      <c r="I192" s="54">
        <f>IFERROR(__xludf.DUMMYFUNCTION("IFERROR(
  VLOOKUP(
    A192,
    IMPORTRANGE(
      ""1ZHMy3vVUd_0MrSduXTe1etBb1HNpAlGwQr006ljwMiM"",
      ""GSC最新!A:F""
    ),
    3,
    FALSE
  ),
  0
)
"),0.0)</f>
        <v>0</v>
      </c>
      <c r="J192" s="54">
        <f>IFERROR(__xludf.DUMMYFUNCTION("IFERROR(
  VLOOKUP(
    A192,
    IMPORTRANGE(
      ""1ZHMy3vVUd_0MrSduXTe1etBb1HNpAlGwQr006ljwMiM"",
      ""GSC最新!A:F""
    ),
    4,
    FALSE
  ),
  0
)
"),0.0)</f>
        <v>0</v>
      </c>
      <c r="K192" s="54">
        <f>IFERROR(__xludf.DUMMYFUNCTION("IFERROR(
  VLOOKUP(
    A192,
    IMPORTRANGE(
      ""1ZHMy3vVUd_0MrSduXTe1etBb1HNpAlGwQr006ljwMiM"",
      ""GSC最新!A:F""
    ),
    5,
    FALSE
  ),
  0
)
"),0.0)</f>
        <v>0</v>
      </c>
      <c r="L192" s="50" t="str">
        <f t="shared" ref="L192:M192" si="952">IFERROR(H192/J192,"-")</f>
        <v>-</v>
      </c>
      <c r="M192" s="50" t="str">
        <f t="shared" si="952"/>
        <v>-</v>
      </c>
      <c r="N192" s="59">
        <f>IFERROR(__xludf.DUMMYFUNCTION("IFERROR(
  VLOOKUP(
    A192,
    IMPORTRANGE(
      ""1ZHMy3vVUd_0MrSduXTe1etBb1HNpAlGwQr006ljwMiM"",
      ""GSC最新!A:R""
    ),
    7,
    FALSE
  ),
  0
)
"),0.0)</f>
        <v>0</v>
      </c>
      <c r="O192" s="59">
        <f>IFERROR(__xludf.DUMMYFUNCTION("IFERROR(
  VLOOKUP(
    A192,
    IMPORTRANGE(
      ""1ZHMy3vVUd_0MrSduXTe1etBb1HNpAlGwQr006ljwMiM"",
      ""GSC最新!A:R""
    ),
    10,
    FALSE
  ),
  0
)
"),0.0)</f>
        <v>0</v>
      </c>
      <c r="P192" s="59">
        <f>IFERROR(__xludf.DUMMYFUNCTION("IFERROR(
  VLOOKUP(
    A192,
    IMPORTRANGE(
      ""1ZHMy3vVUd_0MrSduXTe1etBb1HNpAlGwQr006ljwMiM"",
      ""GSC最新!A:R""
    ),
    13,
    FALSE
  ),
  0
)
"),0.0)</f>
        <v>0</v>
      </c>
      <c r="Q192" s="59">
        <f>IFERROR(__xludf.DUMMYFUNCTION("IFERROR(
  VLOOKUP(
    A192,
    IMPORTRANGE(
      ""1ZHMy3vVUd_0MrSduXTe1etBb1HNpAlGwQr006ljwMiM"",
      ""GSC最新!A:R""
    ),
    16,
    FALSE
  ),
  0
)
"),0.0)</f>
        <v>0</v>
      </c>
      <c r="R192" s="50" t="str">
        <f t="shared" ref="R192:S192" si="953">IFERROR(N192/P192,"-")</f>
        <v>-</v>
      </c>
      <c r="S192" s="50" t="str">
        <f t="shared" si="953"/>
        <v>-</v>
      </c>
      <c r="T192" s="60">
        <f>IFERROR(__xludf.DUMMYFUNCTION("IFERROR(
  VLOOKUP(
    A192,
    IMPORTRANGE(
      ""1ZHMy3vVUd_0MrSduXTe1etBb1HNpAlGwQr006ljwMiM"",
      ""GSC最新!A:R""
    ),
    8,
    FALSE
  ),
  0
)
"),0.0)</f>
        <v>0</v>
      </c>
      <c r="U192" s="60">
        <f>IFERROR(__xludf.DUMMYFUNCTION("IFERROR(
  VLOOKUP(
    A192,
    IMPORTRANGE(
      ""1ZHMy3vVUd_0MrSduXTe1etBb1HNpAlGwQr006ljwMiM"",
      ""GSC最新!A:R""
    ),
    11,
    FALSE
  ),
  0
)
"),0.0)</f>
        <v>0</v>
      </c>
      <c r="V192" s="60">
        <f>IFERROR(__xludf.DUMMYFUNCTION("IFERROR(
  VLOOKUP(
    A192,
    IMPORTRANGE(
      ""1ZHMy3vVUd_0MrSduXTe1etBb1HNpAlGwQr006ljwMiM"",
      ""GSC最新!A:R""
    ),
    14,
    FALSE
  ),
  0
)
"),0.0)</f>
        <v>0</v>
      </c>
      <c r="W192" s="60">
        <f>IFERROR(__xludf.DUMMYFUNCTION("IFERROR(
  VLOOKUP(
    A192,
    IMPORTRANGE(
      ""1ZHMy3vVUd_0MrSduXTe1etBb1HNpAlGwQr006ljwMiM"",
      ""GSC最新!A:R""
    ),
    17,
    FALSE
  ),
  0
)
"),0.0)</f>
        <v>0</v>
      </c>
      <c r="X192" s="60">
        <f t="shared" ref="X192:Y192" si="954">IFERROR(T192-V192,"-")</f>
        <v>0</v>
      </c>
      <c r="Y192" s="60">
        <f t="shared" si="954"/>
        <v>0</v>
      </c>
      <c r="Z192" s="52" t="str">
        <f>IFERROR(__xludf.DUMMYFUNCTION("IFERROR(
  VLOOKUP(
    A192,
    IMPORTRANGE(
      ""1ZHMy3vVUd_0MrSduXTe1etBb1HNpAlGwQr006ljwMiM"",
      ""GSC最新!A:R""
    ),
    9,
    FALSE
  ),
  0
)
"),"")</f>
        <v/>
      </c>
      <c r="AA192" s="52" t="str">
        <f>IFERROR(__xludf.DUMMYFUNCTION("IFERROR(
  VLOOKUP(
    A192,
    IMPORTRANGE(
      ""1ZHMy3vVUd_0MrSduXTe1etBb1HNpAlGwQr006ljwMiM"",
      ""GSC最新!A:R""
    ),
    12,
    FALSE
  ),
  0
)
"),"")</f>
        <v/>
      </c>
      <c r="AB192" s="52" t="str">
        <f>IFERROR(__xludf.DUMMYFUNCTION("IFERROR(
  VLOOKUP(
    A192,
    IMPORTRANGE(
      ""1ZHMy3vVUd_0MrSduXTe1etBb1HNpAlGwQr006ljwMiM"",
      ""GSC最新!A:R""
    ),
    15,
    FALSE
  ),
  0
)
"),"")</f>
        <v/>
      </c>
      <c r="AC192" s="52" t="str">
        <f>IFERROR(__xludf.DUMMYFUNCTION("IFERROR(
  VLOOKUP(
    A192,
    IMPORTRANGE(
      ""1ZHMy3vVUd_0MrSduXTe1etBb1HNpAlGwQr006ljwMiM"",
      ""GSC最新!A:R""
    ),
    18,
    FALSE
  ),
  0
)
"),"")</f>
        <v/>
      </c>
      <c r="AD192" s="52">
        <f t="shared" ref="AD192:AE192" si="955">Z192-AB192</f>
        <v>0</v>
      </c>
      <c r="AE192" s="52">
        <f t="shared" si="955"/>
        <v>0</v>
      </c>
      <c r="AF192" s="53">
        <f>IFERROR(__xludf.DUMMYFUNCTION("IFERROR(
  VLOOKUP(
    A192,
    IMPORTRANGE(
      ""1ZHMy3vVUd_0MrSduXTe1etBb1HNpAlGwQr006ljwMiM"",
      ""GSC最新!A:F""
    ),
    6,
    FALSE
  ),
  0
)
"),46081.0)</f>
        <v>46081</v>
      </c>
      <c r="AG192" s="54">
        <f>IFERROR(__xludf.DUMMYFUNCTION("IFERROR(
  VLOOKUP(
    A192,
    IMPORTRANGE(
      ""1SCYQd7_cobOYqT0r_F0IqD4tE4rYn5y8Eup4PJTH8es"",
      ""Snapshot!A:M""
    ),
    5,
    FALSE
  ),
  ""-""
)
"),7.0)</f>
        <v>7</v>
      </c>
      <c r="AH192" s="54">
        <f>IFERROR(__xludf.DUMMYFUNCTION("IFERROR(
  VLOOKUP(
    A192,
    IMPORTRANGE(
      ""1SCYQd7_cobOYqT0r_F0IqD4tE4rYn5y8Eup4PJTH8es"",
      ""Snapshot!A:M""
    ),
    6,
    FALSE
  ),
  0
)
"),6.0)</f>
        <v>6</v>
      </c>
      <c r="AI192" s="54">
        <f>IFERROR(__xludf.DUMMYFUNCTION("IFERROR(
  VLOOKUP(
    A192,
    IMPORTRANGE(
      ""1SCYQd7_cobOYqT0r_F0IqD4tE4rYn5y8Eup4PJTH8es"",
      ""Snapshot!A:M""
    ),
    7,
    FALSE
  ),
  0
)
"),1609.0)</f>
        <v>1609</v>
      </c>
      <c r="AJ192" s="54">
        <f>IFERROR(__xludf.DUMMYFUNCTION("IFERROR(
  VLOOKUP(
    A192,
    IMPORTRANGE(
      ""1SCYQd7_cobOYqT0r_F0IqD4tE4rYn5y8Eup4PJTH8es"",
      ""Snapshot!A:M""
    ),
    8,
    FALSE
  ),
  0
)
"),2.0)</f>
        <v>2</v>
      </c>
      <c r="AK192" s="54">
        <f>IFERROR(__xludf.DUMMYFUNCTION("IFERROR(
  VLOOKUP(
    A192,
    IMPORTRANGE(
      ""1SCYQd7_cobOYqT0r_F0IqD4tE4rYn5y8Eup4PJTH8es"",
      ""Snapshot!A:M""
    ),
    9,
    FALSE
  ),
  0
)
"),1.0)</f>
        <v>1</v>
      </c>
      <c r="AL192" s="54">
        <f>IFERROR(__xludf.DUMMYFUNCTION("IFERROR(
  VLOOKUP(
    A192,
    IMPORTRANGE(
      ""1SCYQd7_cobOYqT0r_F0IqD4tE4rYn5y8Eup4PJTH8es"",
      ""Snapshot!A:M""
    ),
    13,
    FALSE
  ),
  0
)
"),1.0)</f>
        <v>1</v>
      </c>
    </row>
    <row r="193">
      <c r="A193" s="3" t="s">
        <v>105</v>
      </c>
      <c r="B193" s="1" t="str">
        <f>IFERROR(__xludf.DUMMYFUNCTION("IFERROR(
  VLOOKUP(
    A193,
    IMPORTRANGE(
      ""1ZygntHC1J6IxzKbTidmOyf5nUyW4GCLurHCjexrLm_o"",
      ""HTMLキャッシュ!A:F""
    ),
    2,
    FALSE
  ),
  0
)
"),"-")</f>
        <v>-</v>
      </c>
      <c r="C193" s="1" t="str">
        <f>IFERROR(__xludf.DUMMYFUNCTION("IFERROR(
  VLOOKUP(
    A193,
    IMPORTRANGE(
      ""1ZygntHC1J6IxzKbTidmOyf5nUyW4GCLurHCjexrLm_o"",
      ""HTMLキャッシュ!A:F""
    ),
    5,
    FALSE
  ),
  0
)
"),"入塾手続きについてのご案内 - 中学受験専門 夏井算数塾")</f>
        <v>入塾手続きについてのご案内 - 中学受験専門 夏井算数塾</v>
      </c>
      <c r="D193" s="1" t="str">
        <f>IFERROR(__xludf.DUMMYFUNCTION("IFERROR(
  VLOOKUP(
    A193,
    IMPORTRANGE(
      ""1ZygntHC1J6IxzKbTidmOyf5nUyW4GCLurHCjexrLm_o        "",
      ""HTMLキャッシュ!A:F""
    ),
    6,
    FALSE
  ),
  0
)
"),"入塾に際してのご挨拶 このたびは当塾へのご入塾をご検討いただき、誠にありがとうございます。 お子様の大切な学び")</f>
        <v>入塾に際してのご挨拶 このたびは当塾へのご入塾をご検討いただき、誠にありがとうございます。 お子様の大切な学び</v>
      </c>
      <c r="E193" s="49">
        <f t="shared" ref="E193:F193" si="956">LEN(C193)</f>
        <v>28</v>
      </c>
      <c r="F193" s="49">
        <f t="shared" si="956"/>
        <v>55</v>
      </c>
      <c r="G193" s="32">
        <f>IFERROR(__xludf.DUMMYFUNCTION("IFERROR(
  VLOOKUP(
    A193,
    IMPORTRANGE(
      ""1ZygntHC1J6IxzKbTidmOyf5nUyW4GCLurHCjexrLm_o        "",
      ""HTMLキャッシュ!A:F""
    ),
    3,
    FALSE
  ),
  0
)
"),45969.62783564815)</f>
        <v>45969.62784</v>
      </c>
      <c r="H193" s="54">
        <f>IFERROR(__xludf.DUMMYFUNCTION("IFERROR(
  VLOOKUP(
    A193,
    IMPORTRANGE(
      ""1ZHMy3vVUd_0MrSduXTe1etBb1HNpAlGwQr006ljwMiM"",
      ""GSC最新!A:F""
    ),
    2,
    FALSE
  ),
  0
)
"),0.0)</f>
        <v>0</v>
      </c>
      <c r="I193" s="54">
        <f>IFERROR(__xludf.DUMMYFUNCTION("IFERROR(
  VLOOKUP(
    A193,
    IMPORTRANGE(
      ""1ZHMy3vVUd_0MrSduXTe1etBb1HNpAlGwQr006ljwMiM"",
      ""GSC最新!A:F""
    ),
    3,
    FALSE
  ),
  0
)
"),0.0)</f>
        <v>0</v>
      </c>
      <c r="J193" s="54">
        <f>IFERROR(__xludf.DUMMYFUNCTION("IFERROR(
  VLOOKUP(
    A193,
    IMPORTRANGE(
      ""1ZHMy3vVUd_0MrSduXTe1etBb1HNpAlGwQr006ljwMiM"",
      ""GSC最新!A:F""
    ),
    4,
    FALSE
  ),
  0
)
"),0.0)</f>
        <v>0</v>
      </c>
      <c r="K193" s="54">
        <f>IFERROR(__xludf.DUMMYFUNCTION("IFERROR(
  VLOOKUP(
    A193,
    IMPORTRANGE(
      ""1ZHMy3vVUd_0MrSduXTe1etBb1HNpAlGwQr006ljwMiM"",
      ""GSC最新!A:F""
    ),
    5,
    FALSE
  ),
  0
)
"),0.0)</f>
        <v>0</v>
      </c>
      <c r="L193" s="50" t="str">
        <f t="shared" ref="L193:M193" si="957">IFERROR(H193/J193,"-")</f>
        <v>-</v>
      </c>
      <c r="M193" s="50" t="str">
        <f t="shared" si="957"/>
        <v>-</v>
      </c>
      <c r="N193" s="59">
        <f>IFERROR(__xludf.DUMMYFUNCTION("IFERROR(
  VLOOKUP(
    A193,
    IMPORTRANGE(
      ""1ZHMy3vVUd_0MrSduXTe1etBb1HNpAlGwQr006ljwMiM"",
      ""GSC最新!A:R""
    ),
    7,
    FALSE
  ),
  0
)
"),0.0)</f>
        <v>0</v>
      </c>
      <c r="O193" s="59">
        <f>IFERROR(__xludf.DUMMYFUNCTION("IFERROR(
  VLOOKUP(
    A193,
    IMPORTRANGE(
      ""1ZHMy3vVUd_0MrSduXTe1etBb1HNpAlGwQr006ljwMiM"",
      ""GSC最新!A:R""
    ),
    10,
    FALSE
  ),
  0
)
"),0.0)</f>
        <v>0</v>
      </c>
      <c r="P193" s="59">
        <f>IFERROR(__xludf.DUMMYFUNCTION("IFERROR(
  VLOOKUP(
    A193,
    IMPORTRANGE(
      ""1ZHMy3vVUd_0MrSduXTe1etBb1HNpAlGwQr006ljwMiM"",
      ""GSC最新!A:R""
    ),
    13,
    FALSE
  ),
  0
)
"),0.0)</f>
        <v>0</v>
      </c>
      <c r="Q193" s="59">
        <f>IFERROR(__xludf.DUMMYFUNCTION("IFERROR(
  VLOOKUP(
    A193,
    IMPORTRANGE(
      ""1ZHMy3vVUd_0MrSduXTe1etBb1HNpAlGwQr006ljwMiM"",
      ""GSC最新!A:R""
    ),
    16,
    FALSE
  ),
  0
)
"),0.0)</f>
        <v>0</v>
      </c>
      <c r="R193" s="50" t="str">
        <f t="shared" ref="R193:S193" si="958">IFERROR(N193/P193,"-")</f>
        <v>-</v>
      </c>
      <c r="S193" s="50" t="str">
        <f t="shared" si="958"/>
        <v>-</v>
      </c>
      <c r="T193" s="60">
        <f>IFERROR(__xludf.DUMMYFUNCTION("IFERROR(
  VLOOKUP(
    A193,
    IMPORTRANGE(
      ""1ZHMy3vVUd_0MrSduXTe1etBb1HNpAlGwQr006ljwMiM"",
      ""GSC最新!A:R""
    ),
    8,
    FALSE
  ),
  0
)
"),0.0)</f>
        <v>0</v>
      </c>
      <c r="U193" s="60">
        <f>IFERROR(__xludf.DUMMYFUNCTION("IFERROR(
  VLOOKUP(
    A193,
    IMPORTRANGE(
      ""1ZHMy3vVUd_0MrSduXTe1etBb1HNpAlGwQr006ljwMiM"",
      ""GSC最新!A:R""
    ),
    11,
    FALSE
  ),
  0
)
"),0.0)</f>
        <v>0</v>
      </c>
      <c r="V193" s="60">
        <f>IFERROR(__xludf.DUMMYFUNCTION("IFERROR(
  VLOOKUP(
    A193,
    IMPORTRANGE(
      ""1ZHMy3vVUd_0MrSduXTe1etBb1HNpAlGwQr006ljwMiM"",
      ""GSC最新!A:R""
    ),
    14,
    FALSE
  ),
  0
)
"),0.0)</f>
        <v>0</v>
      </c>
      <c r="W193" s="60">
        <f>IFERROR(__xludf.DUMMYFUNCTION("IFERROR(
  VLOOKUP(
    A193,
    IMPORTRANGE(
      ""1ZHMy3vVUd_0MrSduXTe1etBb1HNpAlGwQr006ljwMiM"",
      ""GSC最新!A:R""
    ),
    17,
    FALSE
  ),
  0
)
"),0.0)</f>
        <v>0</v>
      </c>
      <c r="X193" s="60">
        <f t="shared" ref="X193:Y193" si="959">IFERROR(T193-V193,"-")</f>
        <v>0</v>
      </c>
      <c r="Y193" s="60">
        <f t="shared" si="959"/>
        <v>0</v>
      </c>
      <c r="Z193" s="52" t="str">
        <f>IFERROR(__xludf.DUMMYFUNCTION("IFERROR(
  VLOOKUP(
    A193,
    IMPORTRANGE(
      ""1ZHMy3vVUd_0MrSduXTe1etBb1HNpAlGwQr006ljwMiM"",
      ""GSC最新!A:R""
    ),
    9,
    FALSE
  ),
  0
)
"),"")</f>
        <v/>
      </c>
      <c r="AA193" s="52" t="str">
        <f>IFERROR(__xludf.DUMMYFUNCTION("IFERROR(
  VLOOKUP(
    A193,
    IMPORTRANGE(
      ""1ZHMy3vVUd_0MrSduXTe1etBb1HNpAlGwQr006ljwMiM"",
      ""GSC最新!A:R""
    ),
    12,
    FALSE
  ),
  0
)
"),"")</f>
        <v/>
      </c>
      <c r="AB193" s="52" t="str">
        <f>IFERROR(__xludf.DUMMYFUNCTION("IFERROR(
  VLOOKUP(
    A193,
    IMPORTRANGE(
      ""1ZHMy3vVUd_0MrSduXTe1etBb1HNpAlGwQr006ljwMiM"",
      ""GSC最新!A:R""
    ),
    15,
    FALSE
  ),
  0
)
"),"")</f>
        <v/>
      </c>
      <c r="AC193" s="52" t="str">
        <f>IFERROR(__xludf.DUMMYFUNCTION("IFERROR(
  VLOOKUP(
    A193,
    IMPORTRANGE(
      ""1ZHMy3vVUd_0MrSduXTe1etBb1HNpAlGwQr006ljwMiM"",
      ""GSC最新!A:R""
    ),
    18,
    FALSE
  ),
  0
)
"),"")</f>
        <v/>
      </c>
      <c r="AD193" s="52">
        <f t="shared" ref="AD193:AE193" si="960">Z193-AB193</f>
        <v>0</v>
      </c>
      <c r="AE193" s="52">
        <f t="shared" si="960"/>
        <v>0</v>
      </c>
      <c r="AF193" s="53">
        <f>IFERROR(__xludf.DUMMYFUNCTION("IFERROR(
  VLOOKUP(
    A193,
    IMPORTRANGE(
      ""1ZHMy3vVUd_0MrSduXTe1etBb1HNpAlGwQr006ljwMiM"",
      ""GSC最新!A:F""
    ),
    6,
    FALSE
  ),
  0
)
"),46081.0)</f>
        <v>46081</v>
      </c>
      <c r="AG193" s="54">
        <f>IFERROR(__xludf.DUMMYFUNCTION("IFERROR(
  VLOOKUP(
    A193,
    IMPORTRANGE(
      ""1SCYQd7_cobOYqT0r_F0IqD4tE4rYn5y8Eup4PJTH8es"",
      ""Snapshot!A:M""
    ),
    5,
    FALSE
  ),
  ""-""
)
"),3.0)</f>
        <v>3</v>
      </c>
      <c r="AH193" s="54">
        <f>IFERROR(__xludf.DUMMYFUNCTION("IFERROR(
  VLOOKUP(
    A193,
    IMPORTRANGE(
      ""1SCYQd7_cobOYqT0r_F0IqD4tE4rYn5y8Eup4PJTH8es"",
      ""Snapshot!A:M""
    ),
    6,
    FALSE
  ),
  0
)
"),7.0)</f>
        <v>7</v>
      </c>
      <c r="AI193" s="54">
        <f>IFERROR(__xludf.DUMMYFUNCTION("IFERROR(
  VLOOKUP(
    A193,
    IMPORTRANGE(
      ""1SCYQd7_cobOYqT0r_F0IqD4tE4rYn5y8Eup4PJTH8es"",
      ""Snapshot!A:M""
    ),
    7,
    FALSE
  ),
  0
)
"),1456.0)</f>
        <v>1456</v>
      </c>
      <c r="AJ193" s="54">
        <f>IFERROR(__xludf.DUMMYFUNCTION("IFERROR(
  VLOOKUP(
    A193,
    IMPORTRANGE(
      ""1SCYQd7_cobOYqT0r_F0IqD4tE4rYn5y8Eup4PJTH8es"",
      ""Snapshot!A:M""
    ),
    8,
    FALSE
  ),
  0
)
"),0.0)</f>
        <v>0</v>
      </c>
      <c r="AK193" s="54">
        <f>IFERROR(__xludf.DUMMYFUNCTION("IFERROR(
  VLOOKUP(
    A193,
    IMPORTRANGE(
      ""1SCYQd7_cobOYqT0r_F0IqD4tE4rYn5y8Eup4PJTH8es"",
      ""Snapshot!A:M""
    ),
    9,
    FALSE
  ),
  0
)
"),1.0)</f>
        <v>1</v>
      </c>
      <c r="AL193" s="54">
        <f>IFERROR(__xludf.DUMMYFUNCTION("IFERROR(
  VLOOKUP(
    A193,
    IMPORTRANGE(
      ""1SCYQd7_cobOYqT0r_F0IqD4tE4rYn5y8Eup4PJTH8es"",
      ""Snapshot!A:M""
    ),
    13,
    FALSE
  ),
  0
)
"),1.0)</f>
        <v>1</v>
      </c>
    </row>
    <row r="194">
      <c r="A194" s="3" t="s">
        <v>513</v>
      </c>
      <c r="B194" s="1" t="str">
        <f>IFERROR(__xludf.DUMMYFUNCTION("IFERROR(
  VLOOKUP(
    A194,
    IMPORTRANGE(
      ""1ZygntHC1J6IxzKbTidmOyf5nUyW4GCLurHCjexrLm_o"",
      ""HTMLキャッシュ!A:F""
    ),
    2,
    FALSE
  ),
  0
)
"),"SC")</f>
        <v>SC</v>
      </c>
      <c r="C194" s="1" t="str">
        <f>IFERROR(__xludf.DUMMYFUNCTION("IFERROR(
  VLOOKUP(
    A194,
    IMPORTRANGE(
      ""1ZygntHC1J6IxzKbTidmOyf5nUyW4GCLurHCjexrLm_o"",
      ""HTMLキャッシュ!A:F""
    ),
    5,
    FALSE
  ),
  0
)
"),"早稲アカ生向け：オンライン算数で得点源を作る単元別対策 - 中学受験専門 夏井算数塾")</f>
        <v>早稲アカ生向け：オンライン算数で得点源を作る単元別対策 - 中学受験専門 夏井算数塾</v>
      </c>
      <c r="D194" s="1" t="str">
        <f>IFERROR(__xludf.DUMMYFUNCTION("IFERROR(
  VLOOKUP(
    A194,
    IMPORTRANGE(
      ""1ZygntHC1J6IxzKbTidmOyf5nUyW4GCLurHCjexrLm_o        "",
      ""HTMLキャッシュ!A:F""
    ),
    6,
    FALSE
  ),
  0
)
"),"組分けテストや合不合で算数の点数が安定せず、予習シリーズのどこを重点的に復習すべきか悩む早稲アカ生の保護者へ。オンライン算数の個別指導を活用し、弱点単元の洗い出しから基礎セット作り、テスト・過去問との連動まで、得点源に育てる単元別対策を分かりやすくまとめました。")</f>
        <v>組分けテストや合不合で算数の点数が安定せず、予習シリーズのどこを重点的に復習すべきか悩む早稲アカ生の保護者へ。オンライン算数の個別指導を活用し、弱点単元の洗い出しから基礎セット作り、テスト・過去問との連動まで、得点源に育てる単元別対策を分かりやすくまとめました。</v>
      </c>
      <c r="E194" s="49">
        <f t="shared" ref="E194:F194" si="961">LEN(C194)</f>
        <v>42</v>
      </c>
      <c r="F194" s="49">
        <f t="shared" si="961"/>
        <v>131</v>
      </c>
      <c r="G194" s="32">
        <f>IFERROR(__xludf.DUMMYFUNCTION("IFERROR(
  VLOOKUP(
    A194,
    IMPORTRANGE(
      ""1ZygntHC1J6IxzKbTidmOyf5nUyW4GCLurHCjexrLm_o        "",
      ""HTMLキャッシュ!A:F""
    ),
    3,
    FALSE
  ),
  0
)
"),46059.85255787037)</f>
        <v>46059.85256</v>
      </c>
      <c r="H194" s="54">
        <f>IFERROR(__xludf.DUMMYFUNCTION("IFERROR(
  VLOOKUP(
    A194,
    IMPORTRANGE(
      ""1ZHMy3vVUd_0MrSduXTe1etBb1HNpAlGwQr006ljwMiM"",
      ""GSC最新!A:F""
    ),
    2,
    FALSE
  ),
  0
)
"),0.0)</f>
        <v>0</v>
      </c>
      <c r="I194" s="54">
        <f>IFERROR(__xludf.DUMMYFUNCTION("IFERROR(
  VLOOKUP(
    A194,
    IMPORTRANGE(
      ""1ZHMy3vVUd_0MrSduXTe1etBb1HNpAlGwQr006ljwMiM"",
      ""GSC最新!A:F""
    ),
    3,
    FALSE
  ),
  0
)
"),0.0)</f>
        <v>0</v>
      </c>
      <c r="J194" s="54">
        <f>IFERROR(__xludf.DUMMYFUNCTION("IFERROR(
  VLOOKUP(
    A194,
    IMPORTRANGE(
      ""1ZHMy3vVUd_0MrSduXTe1etBb1HNpAlGwQr006ljwMiM"",
      ""GSC最新!A:F""
    ),
    4,
    FALSE
  ),
  0
)
"),0.0)</f>
        <v>0</v>
      </c>
      <c r="K194" s="54">
        <f>IFERROR(__xludf.DUMMYFUNCTION("IFERROR(
  VLOOKUP(
    A194,
    IMPORTRANGE(
      ""1ZHMy3vVUd_0MrSduXTe1etBb1HNpAlGwQr006ljwMiM"",
      ""GSC最新!A:F""
    ),
    5,
    FALSE
  ),
  0
)
"),0.0)</f>
        <v>0</v>
      </c>
      <c r="L194" s="50" t="str">
        <f t="shared" ref="L194:M194" si="962">IFERROR(H194/J194,"-")</f>
        <v>-</v>
      </c>
      <c r="M194" s="50" t="str">
        <f t="shared" si="962"/>
        <v>-</v>
      </c>
      <c r="N194" s="59">
        <f>IFERROR(__xludf.DUMMYFUNCTION("IFERROR(
  VLOOKUP(
    A194,
    IMPORTRANGE(
      ""1ZHMy3vVUd_0MrSduXTe1etBb1HNpAlGwQr006ljwMiM"",
      ""GSC最新!A:R""
    ),
    7,
    FALSE
  ),
  0
)
"),0.0)</f>
        <v>0</v>
      </c>
      <c r="O194" s="59">
        <f>IFERROR(__xludf.DUMMYFUNCTION("IFERROR(
  VLOOKUP(
    A194,
    IMPORTRANGE(
      ""1ZHMy3vVUd_0MrSduXTe1etBb1HNpAlGwQr006ljwMiM"",
      ""GSC最新!A:R""
    ),
    10,
    FALSE
  ),
  0
)
"),0.0)</f>
        <v>0</v>
      </c>
      <c r="P194" s="59">
        <f>IFERROR(__xludf.DUMMYFUNCTION("IFERROR(
  VLOOKUP(
    A194,
    IMPORTRANGE(
      ""1ZHMy3vVUd_0MrSduXTe1etBb1HNpAlGwQr006ljwMiM"",
      ""GSC最新!A:R""
    ),
    13,
    FALSE
  ),
  0
)
"),0.0)</f>
        <v>0</v>
      </c>
      <c r="Q194" s="59">
        <f>IFERROR(__xludf.DUMMYFUNCTION("IFERROR(
  VLOOKUP(
    A194,
    IMPORTRANGE(
      ""1ZHMy3vVUd_0MrSduXTe1etBb1HNpAlGwQr006ljwMiM"",
      ""GSC最新!A:R""
    ),
    16,
    FALSE
  ),
  0
)
"),0.0)</f>
        <v>0</v>
      </c>
      <c r="R194" s="50" t="str">
        <f t="shared" ref="R194:S194" si="963">IFERROR(N194/P194,"-")</f>
        <v>-</v>
      </c>
      <c r="S194" s="50" t="str">
        <f t="shared" si="963"/>
        <v>-</v>
      </c>
      <c r="T194" s="60">
        <f>IFERROR(__xludf.DUMMYFUNCTION("IFERROR(
  VLOOKUP(
    A194,
    IMPORTRANGE(
      ""1ZHMy3vVUd_0MrSduXTe1etBb1HNpAlGwQr006ljwMiM"",
      ""GSC最新!A:R""
    ),
    8,
    FALSE
  ),
  0
)
"),0.0)</f>
        <v>0</v>
      </c>
      <c r="U194" s="60">
        <f>IFERROR(__xludf.DUMMYFUNCTION("IFERROR(
  VLOOKUP(
    A194,
    IMPORTRANGE(
      ""1ZHMy3vVUd_0MrSduXTe1etBb1HNpAlGwQr006ljwMiM"",
      ""GSC最新!A:R""
    ),
    11,
    FALSE
  ),
  0
)
"),0.0)</f>
        <v>0</v>
      </c>
      <c r="V194" s="60">
        <f>IFERROR(__xludf.DUMMYFUNCTION("IFERROR(
  VLOOKUP(
    A194,
    IMPORTRANGE(
      ""1ZHMy3vVUd_0MrSduXTe1etBb1HNpAlGwQr006ljwMiM"",
      ""GSC最新!A:R""
    ),
    14,
    FALSE
  ),
  0
)
"),0.0)</f>
        <v>0</v>
      </c>
      <c r="W194" s="60">
        <f>IFERROR(__xludf.DUMMYFUNCTION("IFERROR(
  VLOOKUP(
    A194,
    IMPORTRANGE(
      ""1ZHMy3vVUd_0MrSduXTe1etBb1HNpAlGwQr006ljwMiM"",
      ""GSC最新!A:R""
    ),
    17,
    FALSE
  ),
  0
)
"),0.0)</f>
        <v>0</v>
      </c>
      <c r="X194" s="60">
        <f t="shared" ref="X194:Y194" si="964">IFERROR(T194-V194,"-")</f>
        <v>0</v>
      </c>
      <c r="Y194" s="60">
        <f t="shared" si="964"/>
        <v>0</v>
      </c>
      <c r="Z194" s="52" t="str">
        <f>IFERROR(__xludf.DUMMYFUNCTION("IFERROR(
  VLOOKUP(
    A194,
    IMPORTRANGE(
      ""1ZHMy3vVUd_0MrSduXTe1etBb1HNpAlGwQr006ljwMiM"",
      ""GSC最新!A:R""
    ),
    9,
    FALSE
  ),
  0
)
"),"")</f>
        <v/>
      </c>
      <c r="AA194" s="52" t="str">
        <f>IFERROR(__xludf.DUMMYFUNCTION("IFERROR(
  VLOOKUP(
    A194,
    IMPORTRANGE(
      ""1ZHMy3vVUd_0MrSduXTe1etBb1HNpAlGwQr006ljwMiM"",
      ""GSC最新!A:R""
    ),
    12,
    FALSE
  ),
  0
)
"),"")</f>
        <v/>
      </c>
      <c r="AB194" s="52" t="str">
        <f>IFERROR(__xludf.DUMMYFUNCTION("IFERROR(
  VLOOKUP(
    A194,
    IMPORTRANGE(
      ""1ZHMy3vVUd_0MrSduXTe1etBb1HNpAlGwQr006ljwMiM"",
      ""GSC最新!A:R""
    ),
    15,
    FALSE
  ),
  0
)
"),"")</f>
        <v/>
      </c>
      <c r="AC194" s="52" t="str">
        <f>IFERROR(__xludf.DUMMYFUNCTION("IFERROR(
  VLOOKUP(
    A194,
    IMPORTRANGE(
      ""1ZHMy3vVUd_0MrSduXTe1etBb1HNpAlGwQr006ljwMiM"",
      ""GSC最新!A:R""
    ),
    18,
    FALSE
  ),
  0
)
"),"")</f>
        <v/>
      </c>
      <c r="AD194" s="52">
        <f t="shared" ref="AD194:AE194" si="965">Z194-AB194</f>
        <v>0</v>
      </c>
      <c r="AE194" s="52">
        <f t="shared" si="965"/>
        <v>0</v>
      </c>
      <c r="AF194" s="53">
        <f>IFERROR(__xludf.DUMMYFUNCTION("IFERROR(
  VLOOKUP(
    A194,
    IMPORTRANGE(
      ""1ZHMy3vVUd_0MrSduXTe1etBb1HNpAlGwQr006ljwMiM"",
      ""GSC最新!A:F""
    ),
    6,
    FALSE
  ),
  0
)
"),46081.0)</f>
        <v>46081</v>
      </c>
      <c r="AG194" s="54">
        <f>IFERROR(__xludf.DUMMYFUNCTION("IFERROR(
  VLOOKUP(
    A194,
    IMPORTRANGE(
      ""1SCYQd7_cobOYqT0r_F0IqD4tE4rYn5y8Eup4PJTH8es"",
      ""Snapshot!A:M""
    ),
    5,
    FALSE
  ),
  ""-""
)
"),7.0)</f>
        <v>7</v>
      </c>
      <c r="AH194" s="54">
        <f>IFERROR(__xludf.DUMMYFUNCTION("IFERROR(
  VLOOKUP(
    A194,
    IMPORTRANGE(
      ""1SCYQd7_cobOYqT0r_F0IqD4tE4rYn5y8Eup4PJTH8es"",
      ""Snapshot!A:M""
    ),
    6,
    FALSE
  ),
  0
)
"),21.0)</f>
        <v>21</v>
      </c>
      <c r="AI194" s="54">
        <f>IFERROR(__xludf.DUMMYFUNCTION("IFERROR(
  VLOOKUP(
    A194,
    IMPORTRANGE(
      ""1SCYQd7_cobOYqT0r_F0IqD4tE4rYn5y8Eup4PJTH8es"",
      ""Snapshot!A:M""
    ),
    7,
    FALSE
  ),
  0
)
"),6811.0)</f>
        <v>6811</v>
      </c>
      <c r="AJ194" s="54">
        <f>IFERROR(__xludf.DUMMYFUNCTION("IFERROR(
  VLOOKUP(
    A194,
    IMPORTRANGE(
      ""1SCYQd7_cobOYqT0r_F0IqD4tE4rYn5y8Eup4PJTH8es"",
      ""Snapshot!A:M""
    ),
    8,
    FALSE
  ),
  0
)
"),2.0)</f>
        <v>2</v>
      </c>
      <c r="AK194" s="54">
        <f>IFERROR(__xludf.DUMMYFUNCTION("IFERROR(
  VLOOKUP(
    A194,
    IMPORTRANGE(
      ""1SCYQd7_cobOYqT0r_F0IqD4tE4rYn5y8Eup4PJTH8es"",
      ""Snapshot!A:M""
    ),
    9,
    FALSE
  ),
  0
)
"),2.0)</f>
        <v>2</v>
      </c>
      <c r="AL194" s="54">
        <f>IFERROR(__xludf.DUMMYFUNCTION("IFERROR(
  VLOOKUP(
    A194,
    IMPORTRANGE(
      ""1SCYQd7_cobOYqT0r_F0IqD4tE4rYn5y8Eup4PJTH8es"",
      ""Snapshot!A:M""
    ),
    13,
    FALSE
  ),
  0
)
"),2.0)</f>
        <v>2</v>
      </c>
    </row>
    <row r="195">
      <c r="A195" s="3" t="s">
        <v>514</v>
      </c>
      <c r="B195" s="1" t="str">
        <f>IFERROR(__xludf.DUMMYFUNCTION("IFERROR(
  VLOOKUP(
    A195,
    IMPORTRANGE(
      ""1ZygntHC1J6IxzKbTidmOyf5nUyW4GCLurHCjexrLm_o"",
      ""HTMLキャッシュ!A:F""
    ),
    2,
    FALSE
  ),
  0
)
"),"SC")</f>
        <v>SC</v>
      </c>
      <c r="C195" s="1" t="str">
        <f>IFERROR(__xludf.DUMMYFUNCTION("IFERROR(
  VLOOKUP(
    A195,
    IMPORTRANGE(
      ""1ZygntHC1J6IxzKbTidmOyf5nUyW4GCLurHCjexrLm_o"",
      ""HTMLキャッシュ!A:F""
    ),
    5,
    FALSE
  ),
  0
)
"),"四谷大塚の予習シリーズをオンライン個別で使い倒す方法 - 中学受験専門 夏井算数塾")</f>
        <v>四谷大塚の予習シリーズをオンライン個別で使い倒す方法 - 中学受験専門 夏井算数塾</v>
      </c>
      <c r="D195" s="1" t="str">
        <f>IFERROR(__xludf.DUMMYFUNCTION("IFERROR(
  VLOOKUP(
    A195,
    IMPORTRANGE(
      ""1ZygntHC1J6IxzKbTidmOyf5nUyW4GCLurHCjexrLm_o        "",
      ""HTMLキャッシュ!A:F""
    ),
    6,
    FALSE
  ),
  0
)
"),"四谷大塚の予習シリーズをやっているのに算数の点数が安定しないご家庭向け。中学受験算数で起こりがちな「やりっぱなし」と反復不足の原因を整理し、オンライン算数個別指導で必要な問題だけを選び、弱点単元を定着させる具体的な使い倒し方を解説します。")</f>
        <v>四谷大塚の予習シリーズをやっているのに算数の点数が安定しないご家庭向け。中学受験算数で起こりがちな「やりっぱなし」と反復不足の原因を整理し、オンライン算数個別指導で必要な問題だけを選び、弱点単元を定着させる具体的な使い倒し方を解説します。</v>
      </c>
      <c r="E195" s="49">
        <f t="shared" ref="E195:F195" si="966">LEN(C195)</f>
        <v>41</v>
      </c>
      <c r="F195" s="49">
        <f t="shared" si="966"/>
        <v>119</v>
      </c>
      <c r="G195" s="32">
        <f>IFERROR(__xludf.DUMMYFUNCTION("IFERROR(
  VLOOKUP(
    A195,
    IMPORTRANGE(
      ""1ZygntHC1J6IxzKbTidmOyf5nUyW4GCLurHCjexrLm_o        "",
      ""HTMLキャッシュ!A:F""
    ),
    3,
    FALSE
  ),
  0
)
"),46069.616423611114)</f>
        <v>46069.61642</v>
      </c>
      <c r="H195" s="54">
        <f>IFERROR(__xludf.DUMMYFUNCTION("IFERROR(
  VLOOKUP(
    A195,
    IMPORTRANGE(
      ""1ZHMy3vVUd_0MrSduXTe1etBb1HNpAlGwQr006ljwMiM"",
      ""GSC最新!A:F""
    ),
    2,
    FALSE
  ),
  0
)
"),0.0)</f>
        <v>0</v>
      </c>
      <c r="I195" s="54">
        <f>IFERROR(__xludf.DUMMYFUNCTION("IFERROR(
  VLOOKUP(
    A195,
    IMPORTRANGE(
      ""1ZHMy3vVUd_0MrSduXTe1etBb1HNpAlGwQr006ljwMiM"",
      ""GSC最新!A:F""
    ),
    3,
    FALSE
  ),
  0
)
"),0.0)</f>
        <v>0</v>
      </c>
      <c r="J195" s="54">
        <f>IFERROR(__xludf.DUMMYFUNCTION("IFERROR(
  VLOOKUP(
    A195,
    IMPORTRANGE(
      ""1ZHMy3vVUd_0MrSduXTe1etBb1HNpAlGwQr006ljwMiM"",
      ""GSC最新!A:F""
    ),
    4,
    FALSE
  ),
  0
)
"),0.0)</f>
        <v>0</v>
      </c>
      <c r="K195" s="54">
        <f>IFERROR(__xludf.DUMMYFUNCTION("IFERROR(
  VLOOKUP(
    A195,
    IMPORTRANGE(
      ""1ZHMy3vVUd_0MrSduXTe1etBb1HNpAlGwQr006ljwMiM"",
      ""GSC最新!A:F""
    ),
    5,
    FALSE
  ),
  0
)
"),0.0)</f>
        <v>0</v>
      </c>
      <c r="L195" s="50" t="str">
        <f t="shared" ref="L195:M195" si="967">IFERROR(H195/J195,"-")</f>
        <v>-</v>
      </c>
      <c r="M195" s="50" t="str">
        <f t="shared" si="967"/>
        <v>-</v>
      </c>
      <c r="N195" s="59">
        <f>IFERROR(__xludf.DUMMYFUNCTION("IFERROR(
  VLOOKUP(
    A195,
    IMPORTRANGE(
      ""1ZHMy3vVUd_0MrSduXTe1etBb1HNpAlGwQr006ljwMiM"",
      ""GSC最新!A:R""
    ),
    7,
    FALSE
  ),
  0
)
"),0.0)</f>
        <v>0</v>
      </c>
      <c r="O195" s="59">
        <f>IFERROR(__xludf.DUMMYFUNCTION("IFERROR(
  VLOOKUP(
    A195,
    IMPORTRANGE(
      ""1ZHMy3vVUd_0MrSduXTe1etBb1HNpAlGwQr006ljwMiM"",
      ""GSC最新!A:R""
    ),
    10,
    FALSE
  ),
  0
)
"),0.0)</f>
        <v>0</v>
      </c>
      <c r="P195" s="59">
        <f>IFERROR(__xludf.DUMMYFUNCTION("IFERROR(
  VLOOKUP(
    A195,
    IMPORTRANGE(
      ""1ZHMy3vVUd_0MrSduXTe1etBb1HNpAlGwQr006ljwMiM"",
      ""GSC最新!A:R""
    ),
    13,
    FALSE
  ),
  0
)
"),0.0)</f>
        <v>0</v>
      </c>
      <c r="Q195" s="59">
        <f>IFERROR(__xludf.DUMMYFUNCTION("IFERROR(
  VLOOKUP(
    A195,
    IMPORTRANGE(
      ""1ZHMy3vVUd_0MrSduXTe1etBb1HNpAlGwQr006ljwMiM"",
      ""GSC最新!A:R""
    ),
    16,
    FALSE
  ),
  0
)
"),0.0)</f>
        <v>0</v>
      </c>
      <c r="R195" s="50" t="str">
        <f t="shared" ref="R195:S195" si="968">IFERROR(N195/P195,"-")</f>
        <v>-</v>
      </c>
      <c r="S195" s="50" t="str">
        <f t="shared" si="968"/>
        <v>-</v>
      </c>
      <c r="T195" s="60">
        <f>IFERROR(__xludf.DUMMYFUNCTION("IFERROR(
  VLOOKUP(
    A195,
    IMPORTRANGE(
      ""1ZHMy3vVUd_0MrSduXTe1etBb1HNpAlGwQr006ljwMiM"",
      ""GSC最新!A:R""
    ),
    8,
    FALSE
  ),
  0
)
"),0.0)</f>
        <v>0</v>
      </c>
      <c r="U195" s="60">
        <f>IFERROR(__xludf.DUMMYFUNCTION("IFERROR(
  VLOOKUP(
    A195,
    IMPORTRANGE(
      ""1ZHMy3vVUd_0MrSduXTe1etBb1HNpAlGwQr006ljwMiM"",
      ""GSC最新!A:R""
    ),
    11,
    FALSE
  ),
  0
)
"),0.0)</f>
        <v>0</v>
      </c>
      <c r="V195" s="60">
        <f>IFERROR(__xludf.DUMMYFUNCTION("IFERROR(
  VLOOKUP(
    A195,
    IMPORTRANGE(
      ""1ZHMy3vVUd_0MrSduXTe1etBb1HNpAlGwQr006ljwMiM"",
      ""GSC最新!A:R""
    ),
    14,
    FALSE
  ),
  0
)
"),0.0)</f>
        <v>0</v>
      </c>
      <c r="W195" s="60">
        <f>IFERROR(__xludf.DUMMYFUNCTION("IFERROR(
  VLOOKUP(
    A195,
    IMPORTRANGE(
      ""1ZHMy3vVUd_0MrSduXTe1etBb1HNpAlGwQr006ljwMiM"",
      ""GSC最新!A:R""
    ),
    17,
    FALSE
  ),
  0
)
"),0.0)</f>
        <v>0</v>
      </c>
      <c r="X195" s="60">
        <f t="shared" ref="X195:Y195" si="969">IFERROR(T195-V195,"-")</f>
        <v>0</v>
      </c>
      <c r="Y195" s="60">
        <f t="shared" si="969"/>
        <v>0</v>
      </c>
      <c r="Z195" s="52" t="str">
        <f>IFERROR(__xludf.DUMMYFUNCTION("IFERROR(
  VLOOKUP(
    A195,
    IMPORTRANGE(
      ""1ZHMy3vVUd_0MrSduXTe1etBb1HNpAlGwQr006ljwMiM"",
      ""GSC最新!A:R""
    ),
    9,
    FALSE
  ),
  0
)
"),"")</f>
        <v/>
      </c>
      <c r="AA195" s="52" t="str">
        <f>IFERROR(__xludf.DUMMYFUNCTION("IFERROR(
  VLOOKUP(
    A195,
    IMPORTRANGE(
      ""1ZHMy3vVUd_0MrSduXTe1etBb1HNpAlGwQr006ljwMiM"",
      ""GSC最新!A:R""
    ),
    12,
    FALSE
  ),
  0
)
"),"")</f>
        <v/>
      </c>
      <c r="AB195" s="52" t="str">
        <f>IFERROR(__xludf.DUMMYFUNCTION("IFERROR(
  VLOOKUP(
    A195,
    IMPORTRANGE(
      ""1ZHMy3vVUd_0MrSduXTe1etBb1HNpAlGwQr006ljwMiM"",
      ""GSC最新!A:R""
    ),
    15,
    FALSE
  ),
  0
)
"),"")</f>
        <v/>
      </c>
      <c r="AC195" s="52" t="str">
        <f>IFERROR(__xludf.DUMMYFUNCTION("IFERROR(
  VLOOKUP(
    A195,
    IMPORTRANGE(
      ""1ZHMy3vVUd_0MrSduXTe1etBb1HNpAlGwQr006ljwMiM"",
      ""GSC最新!A:R""
    ),
    18,
    FALSE
  ),
  0
)
"),"")</f>
        <v/>
      </c>
      <c r="AD195" s="52">
        <f t="shared" ref="AD195:AE195" si="970">Z195-AB195</f>
        <v>0</v>
      </c>
      <c r="AE195" s="52">
        <f t="shared" si="970"/>
        <v>0</v>
      </c>
      <c r="AF195" s="53">
        <f>IFERROR(__xludf.DUMMYFUNCTION("IFERROR(
  VLOOKUP(
    A195,
    IMPORTRANGE(
      ""1ZHMy3vVUd_0MrSduXTe1etBb1HNpAlGwQr006ljwMiM"",
      ""GSC最新!A:F""
    ),
    6,
    FALSE
  ),
  0
)
"),46081.0)</f>
        <v>46081</v>
      </c>
      <c r="AG195" s="54">
        <f>IFERROR(__xludf.DUMMYFUNCTION("IFERROR(
  VLOOKUP(
    A195,
    IMPORTRANGE(
      ""1SCYQd7_cobOYqT0r_F0IqD4tE4rYn5y8Eup4PJTH8es"",
      ""Snapshot!A:M""
    ),
    5,
    FALSE
  ),
  ""-""
)
"),7.0)</f>
        <v>7</v>
      </c>
      <c r="AH195" s="54">
        <f>IFERROR(__xludf.DUMMYFUNCTION("IFERROR(
  VLOOKUP(
    A195,
    IMPORTRANGE(
      ""1SCYQd7_cobOYqT0r_F0IqD4tE4rYn5y8Eup4PJTH8es"",
      ""Snapshot!A:M""
    ),
    6,
    FALSE
  ),
  0
)
"),22.0)</f>
        <v>22</v>
      </c>
      <c r="AI195" s="54">
        <f>IFERROR(__xludf.DUMMYFUNCTION("IFERROR(
  VLOOKUP(
    A195,
    IMPORTRANGE(
      ""1SCYQd7_cobOYqT0r_F0IqD4tE4rYn5y8Eup4PJTH8es"",
      ""Snapshot!A:M""
    ),
    7,
    FALSE
  ),
  0
)
"),7075.0)</f>
        <v>7075</v>
      </c>
      <c r="AJ195" s="54">
        <f>IFERROR(__xludf.DUMMYFUNCTION("IFERROR(
  VLOOKUP(
    A195,
    IMPORTRANGE(
      ""1SCYQd7_cobOYqT0r_F0IqD4tE4rYn5y8Eup4PJTH8es"",
      ""Snapshot!A:M""
    ),
    8,
    FALSE
  ),
  0
)
"),4.0)</f>
        <v>4</v>
      </c>
      <c r="AK195" s="54">
        <f>IFERROR(__xludf.DUMMYFUNCTION("IFERROR(
  VLOOKUP(
    A195,
    IMPORTRANGE(
      ""1SCYQd7_cobOYqT0r_F0IqD4tE4rYn5y8Eup4PJTH8es"",
      ""Snapshot!A:M""
    ),
    9,
    FALSE
  ),
  0
)
"),2.0)</f>
        <v>2</v>
      </c>
      <c r="AL195" s="54">
        <f>IFERROR(__xludf.DUMMYFUNCTION("IFERROR(
  VLOOKUP(
    A195,
    IMPORTRANGE(
      ""1SCYQd7_cobOYqT0r_F0IqD4tE4rYn5y8Eup4PJTH8es"",
      ""Snapshot!A:M""
    ),
    13,
    FALSE
  ),
  0
)
"),2.0)</f>
        <v>2</v>
      </c>
    </row>
    <row r="196">
      <c r="A196" s="3" t="s">
        <v>107</v>
      </c>
      <c r="B196" s="1" t="str">
        <f>IFERROR(__xludf.DUMMYFUNCTION("IFERROR(
  VLOOKUP(
    A196,
    IMPORTRANGE(
      ""1ZygntHC1J6IxzKbTidmOyf5nUyW4GCLurHCjexrLm_o"",
      ""HTMLキャッシュ!A:F""
    ),
    2,
    FALSE
  ),
  0
)
"),"-")</f>
        <v>-</v>
      </c>
      <c r="C196" s="1" t="str">
        <f>IFERROR(__xludf.DUMMYFUNCTION("IFERROR(
  VLOOKUP(
    A196,
    IMPORTRANGE(
      ""1ZygntHC1J6IxzKbTidmOyf5nUyW4GCLurHCjexrLm_o"",
      ""HTMLキャッシュ!A:F""
    ),
    5,
    FALSE
  ),
  0
)
"),"サンプルページ - 中学受験専門 夏井算数塾")</f>
        <v>サンプルページ - 中学受験専門 夏井算数塾</v>
      </c>
      <c r="D196" s="1" t="str">
        <f>IFERROR(__xludf.DUMMYFUNCTION("IFERROR(
  VLOOKUP(
    A196,
    IMPORTRANGE(
      ""1ZygntHC1J6IxzKbTidmOyf5nUyW4GCLurHCjexrLm_o        "",
      ""HTMLキャッシュ!A:F""
    ),
    6,
    FALSE
  ),
  0
)
"),"これはサンプルページです。同じ位置に固定され、(多くのテーマでは) サイトナビゲーションメニューに含まれるため")</f>
        <v>これはサンプルページです。同じ位置に固定され、(多くのテーマでは) サイトナビゲーションメニューに含まれるため</v>
      </c>
      <c r="E196" s="49">
        <f t="shared" ref="E196:F196" si="971">LEN(C196)</f>
        <v>22</v>
      </c>
      <c r="F196" s="49">
        <f t="shared" si="971"/>
        <v>55</v>
      </c>
      <c r="G196" s="32">
        <f>IFERROR(__xludf.DUMMYFUNCTION("IFERROR(
  VLOOKUP(
    A196,
    IMPORTRANGE(
      ""1ZygntHC1J6IxzKbTidmOyf5nUyW4GCLurHCjexrLm_o        "",
      ""HTMLキャッシュ!A:F""
    ),
    3,
    FALSE
  ),
  0
)
"),42709.684849537036)</f>
        <v>42709.68485</v>
      </c>
      <c r="H196" s="54">
        <f>IFERROR(__xludf.DUMMYFUNCTION("IFERROR(
  VLOOKUP(
    A196,
    IMPORTRANGE(
      ""1ZHMy3vVUd_0MrSduXTe1etBb1HNpAlGwQr006ljwMiM"",
      ""GSC最新!A:F""
    ),
    2,
    FALSE
  ),
  0
)
"),0.0)</f>
        <v>0</v>
      </c>
      <c r="I196" s="54">
        <f>IFERROR(__xludf.DUMMYFUNCTION("IFERROR(
  VLOOKUP(
    A196,
    IMPORTRANGE(
      ""1ZHMy3vVUd_0MrSduXTe1etBb1HNpAlGwQr006ljwMiM"",
      ""GSC最新!A:F""
    ),
    3,
    FALSE
  ),
  0
)
"),0.0)</f>
        <v>0</v>
      </c>
      <c r="J196" s="54">
        <f>IFERROR(__xludf.DUMMYFUNCTION("IFERROR(
  VLOOKUP(
    A196,
    IMPORTRANGE(
      ""1ZHMy3vVUd_0MrSduXTe1etBb1HNpAlGwQr006ljwMiM"",
      ""GSC最新!A:F""
    ),
    4,
    FALSE
  ),
  0
)
"),0.0)</f>
        <v>0</v>
      </c>
      <c r="K196" s="54">
        <f>IFERROR(__xludf.DUMMYFUNCTION("IFERROR(
  VLOOKUP(
    A196,
    IMPORTRANGE(
      ""1ZHMy3vVUd_0MrSduXTe1etBb1HNpAlGwQr006ljwMiM"",
      ""GSC最新!A:F""
    ),
    5,
    FALSE
  ),
  0
)
"),0.0)</f>
        <v>0</v>
      </c>
      <c r="L196" s="50" t="str">
        <f t="shared" ref="L196:M196" si="972">IFERROR(H196/J196,"-")</f>
        <v>-</v>
      </c>
      <c r="M196" s="50" t="str">
        <f t="shared" si="972"/>
        <v>-</v>
      </c>
      <c r="N196" s="59">
        <f>IFERROR(__xludf.DUMMYFUNCTION("IFERROR(
  VLOOKUP(
    A196,
    IMPORTRANGE(
      ""1ZHMy3vVUd_0MrSduXTe1etBb1HNpAlGwQr006ljwMiM"",
      ""GSC最新!A:R""
    ),
    7,
    FALSE
  ),
  0
)
"),0.0)</f>
        <v>0</v>
      </c>
      <c r="O196" s="59">
        <f>IFERROR(__xludf.DUMMYFUNCTION("IFERROR(
  VLOOKUP(
    A196,
    IMPORTRANGE(
      ""1ZHMy3vVUd_0MrSduXTe1etBb1HNpAlGwQr006ljwMiM"",
      ""GSC最新!A:R""
    ),
    10,
    FALSE
  ),
  0
)
"),0.0)</f>
        <v>0</v>
      </c>
      <c r="P196" s="59">
        <f>IFERROR(__xludf.DUMMYFUNCTION("IFERROR(
  VLOOKUP(
    A196,
    IMPORTRANGE(
      ""1ZHMy3vVUd_0MrSduXTe1etBb1HNpAlGwQr006ljwMiM"",
      ""GSC最新!A:R""
    ),
    13,
    FALSE
  ),
  0
)
"),0.0)</f>
        <v>0</v>
      </c>
      <c r="Q196" s="59">
        <f>IFERROR(__xludf.DUMMYFUNCTION("IFERROR(
  VLOOKUP(
    A196,
    IMPORTRANGE(
      ""1ZHMy3vVUd_0MrSduXTe1etBb1HNpAlGwQr006ljwMiM"",
      ""GSC最新!A:R""
    ),
    16,
    FALSE
  ),
  0
)
"),0.0)</f>
        <v>0</v>
      </c>
      <c r="R196" s="50" t="str">
        <f t="shared" ref="R196:S196" si="973">IFERROR(N196/P196,"-")</f>
        <v>-</v>
      </c>
      <c r="S196" s="50" t="str">
        <f t="shared" si="973"/>
        <v>-</v>
      </c>
      <c r="T196" s="60">
        <f>IFERROR(__xludf.DUMMYFUNCTION("IFERROR(
  VLOOKUP(
    A196,
    IMPORTRANGE(
      ""1ZHMy3vVUd_0MrSduXTe1etBb1HNpAlGwQr006ljwMiM"",
      ""GSC最新!A:R""
    ),
    8,
    FALSE
  ),
  0
)
"),0.0)</f>
        <v>0</v>
      </c>
      <c r="U196" s="60">
        <f>IFERROR(__xludf.DUMMYFUNCTION("IFERROR(
  VLOOKUP(
    A196,
    IMPORTRANGE(
      ""1ZHMy3vVUd_0MrSduXTe1etBb1HNpAlGwQr006ljwMiM"",
      ""GSC最新!A:R""
    ),
    11,
    FALSE
  ),
  0
)
"),0.0)</f>
        <v>0</v>
      </c>
      <c r="V196" s="60">
        <f>IFERROR(__xludf.DUMMYFUNCTION("IFERROR(
  VLOOKUP(
    A196,
    IMPORTRANGE(
      ""1ZHMy3vVUd_0MrSduXTe1etBb1HNpAlGwQr006ljwMiM"",
      ""GSC最新!A:R""
    ),
    14,
    FALSE
  ),
  0
)
"),0.0)</f>
        <v>0</v>
      </c>
      <c r="W196" s="60">
        <f>IFERROR(__xludf.DUMMYFUNCTION("IFERROR(
  VLOOKUP(
    A196,
    IMPORTRANGE(
      ""1ZHMy3vVUd_0MrSduXTe1etBb1HNpAlGwQr006ljwMiM"",
      ""GSC最新!A:R""
    ),
    17,
    FALSE
  ),
  0
)
"),0.0)</f>
        <v>0</v>
      </c>
      <c r="X196" s="60">
        <f t="shared" ref="X196:Y196" si="974">IFERROR(T196-V196,"-")</f>
        <v>0</v>
      </c>
      <c r="Y196" s="60">
        <f t="shared" si="974"/>
        <v>0</v>
      </c>
      <c r="Z196" s="52" t="str">
        <f>IFERROR(__xludf.DUMMYFUNCTION("IFERROR(
  VLOOKUP(
    A196,
    IMPORTRANGE(
      ""1ZHMy3vVUd_0MrSduXTe1etBb1HNpAlGwQr006ljwMiM"",
      ""GSC最新!A:R""
    ),
    9,
    FALSE
  ),
  0
)
"),"")</f>
        <v/>
      </c>
      <c r="AA196" s="52" t="str">
        <f>IFERROR(__xludf.DUMMYFUNCTION("IFERROR(
  VLOOKUP(
    A196,
    IMPORTRANGE(
      ""1ZHMy3vVUd_0MrSduXTe1etBb1HNpAlGwQr006ljwMiM"",
      ""GSC最新!A:R""
    ),
    12,
    FALSE
  ),
  0
)
"),"")</f>
        <v/>
      </c>
      <c r="AB196" s="52" t="str">
        <f>IFERROR(__xludf.DUMMYFUNCTION("IFERROR(
  VLOOKUP(
    A196,
    IMPORTRANGE(
      ""1ZHMy3vVUd_0MrSduXTe1etBb1HNpAlGwQr006ljwMiM"",
      ""GSC最新!A:R""
    ),
    15,
    FALSE
  ),
  0
)
"),"")</f>
        <v/>
      </c>
      <c r="AC196" s="52" t="str">
        <f>IFERROR(__xludf.DUMMYFUNCTION("IFERROR(
  VLOOKUP(
    A196,
    IMPORTRANGE(
      ""1ZHMy3vVUd_0MrSduXTe1etBb1HNpAlGwQr006ljwMiM"",
      ""GSC最新!A:R""
    ),
    18,
    FALSE
  ),
  0
)
"),"")</f>
        <v/>
      </c>
      <c r="AD196" s="52">
        <f t="shared" ref="AD196:AE196" si="975">Z196-AB196</f>
        <v>0</v>
      </c>
      <c r="AE196" s="52">
        <f t="shared" si="975"/>
        <v>0</v>
      </c>
      <c r="AF196" s="53">
        <f>IFERROR(__xludf.DUMMYFUNCTION("IFERROR(
  VLOOKUP(
    A196,
    IMPORTRANGE(
      ""1ZHMy3vVUd_0MrSduXTe1etBb1HNpAlGwQr006ljwMiM"",
      ""GSC最新!A:F""
    ),
    6,
    FALSE
  ),
  0
)
"),46081.0)</f>
        <v>46081</v>
      </c>
      <c r="AG196" s="54">
        <f>IFERROR(__xludf.DUMMYFUNCTION("IFERROR(
  VLOOKUP(
    A196,
    IMPORTRANGE(
      ""1SCYQd7_cobOYqT0r_F0IqD4tE4rYn5y8Eup4PJTH8es"",
      ""Snapshot!A:M""
    ),
    5,
    FALSE
  ),
  ""-""
)
"),0.0)</f>
        <v>0</v>
      </c>
      <c r="AH196" s="54">
        <f>IFERROR(__xludf.DUMMYFUNCTION("IFERROR(
  VLOOKUP(
    A196,
    IMPORTRANGE(
      ""1SCYQd7_cobOYqT0r_F0IqD4tE4rYn5y8Eup4PJTH8es"",
      ""Snapshot!A:M""
    ),
    6,
    FALSE
  ),
  0
)
"),0.0)</f>
        <v>0</v>
      </c>
      <c r="AI196" s="54">
        <f>IFERROR(__xludf.DUMMYFUNCTION("IFERROR(
  VLOOKUP(
    A196,
    IMPORTRANGE(
      ""1SCYQd7_cobOYqT0r_F0IqD4tE4rYn5y8Eup4PJTH8es"",
      ""Snapshot!A:M""
    ),
    7,
    FALSE
  ),
  0
)
"),461.0)</f>
        <v>461</v>
      </c>
      <c r="AJ196" s="54">
        <f>IFERROR(__xludf.DUMMYFUNCTION("IFERROR(
  VLOOKUP(
    A196,
    IMPORTRANGE(
      ""1SCYQd7_cobOYqT0r_F0IqD4tE4rYn5y8Eup4PJTH8es"",
      ""Snapshot!A:M""
    ),
    8,
    FALSE
  ),
  0
)
"),1.0)</f>
        <v>1</v>
      </c>
      <c r="AK196" s="54">
        <f>IFERROR(__xludf.DUMMYFUNCTION("IFERROR(
  VLOOKUP(
    A196,
    IMPORTRANGE(
      ""1SCYQd7_cobOYqT0r_F0IqD4tE4rYn5y8Eup4PJTH8es"",
      ""Snapshot!A:M""
    ),
    9,
    FALSE
  ),
  0
)
"),1.0)</f>
        <v>1</v>
      </c>
      <c r="AL196" s="54">
        <f>IFERROR(__xludf.DUMMYFUNCTION("IFERROR(
  VLOOKUP(
    A196,
    IMPORTRANGE(
      ""1SCYQd7_cobOYqT0r_F0IqD4tE4rYn5y8Eup4PJTH8es"",
      ""Snapshot!A:M""
    ),
    13,
    FALSE
  ),
  0
)
"),1.0)</f>
        <v>1</v>
      </c>
    </row>
    <row r="197">
      <c r="A197" s="3" t="s">
        <v>515</v>
      </c>
      <c r="B197" s="1" t="str">
        <f>IFERROR(__xludf.DUMMYFUNCTION("IFERROR(
  VLOOKUP(
    A197,
    IMPORTRANGE(
      ""1ZygntHC1J6IxzKbTidmOyf5nUyW4GCLurHCjexrLm_o"",
      ""HTMLキャッシュ!A:F""
    ),
    2,
    FALSE
  ),
  0
)
"),"MC")</f>
        <v>MC</v>
      </c>
      <c r="C197" s="1" t="str">
        <f>IFERROR(__xludf.DUMMYFUNCTION("IFERROR(
  VLOOKUP(
    A197,
    IMPORTRANGE(
      ""1ZygntHC1J6IxzKbTidmOyf5nUyW4GCLurHCjexrLm_o"",
      ""HTMLキャッシュ!A:F""
    ),
    5,
    FALSE
  ),
  0
)
"),"中学受験Q＆A（1）～中学受験は親の受験か？～ - 中学受験専門 夏井算数塾")</f>
        <v>中学受験Q＆A（1）～中学受験は親の受験か？～ - 中学受験専門 夏井算数塾</v>
      </c>
      <c r="D197" s="1" t="str">
        <f>IFERROR(__xludf.DUMMYFUNCTION("IFERROR(
  VLOOKUP(
    A197,
    IMPORTRANGE(
      ""1ZygntHC1J6IxzKbTidmOyf5nUyW4GCLurHCjexrLm_o        "",
      ""HTMLキャッシュ!A:F""
    ),
    6,
    FALSE
  ),
  0
)
"),"中学受験に関するよくある質問に答え、親のサポートや受験勉強の心得、やる気を引き出す方法、志望校選びのポイントなどを詳しく解説。成功の秘訣をチェック！")</f>
        <v>中学受験に関するよくある質問に答え、親のサポートや受験勉強の心得、やる気を引き出す方法、志望校選びのポイントなどを詳しく解説。成功の秘訣をチェック！</v>
      </c>
      <c r="E197" s="49">
        <f t="shared" ref="E197:F197" si="976">LEN(C197)</f>
        <v>38</v>
      </c>
      <c r="F197" s="49">
        <f t="shared" si="976"/>
        <v>74</v>
      </c>
      <c r="G197" s="32">
        <f>IFERROR(__xludf.DUMMYFUNCTION("IFERROR(
  VLOOKUP(
    A197,
    IMPORTRANGE(
      ""1ZygntHC1J6IxzKbTidmOyf5nUyW4GCLurHCjexrLm_o        "",
      ""HTMLキャッシュ!A:F""
    ),
    3,
    FALSE
  ),
  0
)
"),46048.703194444446)</f>
        <v>46048.70319</v>
      </c>
      <c r="H197" s="54">
        <f>IFERROR(__xludf.DUMMYFUNCTION("IFERROR(
  VLOOKUP(
    A197,
    IMPORTRANGE(
      ""1ZHMy3vVUd_0MrSduXTe1etBb1HNpAlGwQr006ljwMiM"",
      ""GSC最新!A:F""
    ),
    2,
    FALSE
  ),
  0
)
"),0.0)</f>
        <v>0</v>
      </c>
      <c r="I197" s="54">
        <f>IFERROR(__xludf.DUMMYFUNCTION("IFERROR(
  VLOOKUP(
    A197,
    IMPORTRANGE(
      ""1ZHMy3vVUd_0MrSduXTe1etBb1HNpAlGwQr006ljwMiM"",
      ""GSC最新!A:F""
    ),
    3,
    FALSE
  ),
  0
)
"),0.0)</f>
        <v>0</v>
      </c>
      <c r="J197" s="54">
        <f>IFERROR(__xludf.DUMMYFUNCTION("IFERROR(
  VLOOKUP(
    A197,
    IMPORTRANGE(
      ""1ZHMy3vVUd_0MrSduXTe1etBb1HNpAlGwQr006ljwMiM"",
      ""GSC最新!A:F""
    ),
    4,
    FALSE
  ),
  0
)
"),0.0)</f>
        <v>0</v>
      </c>
      <c r="K197" s="54">
        <f>IFERROR(__xludf.DUMMYFUNCTION("IFERROR(
  VLOOKUP(
    A197,
    IMPORTRANGE(
      ""1ZHMy3vVUd_0MrSduXTe1etBb1HNpAlGwQr006ljwMiM"",
      ""GSC最新!A:F""
    ),
    5,
    FALSE
  ),
  0
)
"),0.0)</f>
        <v>0</v>
      </c>
      <c r="L197" s="50" t="str">
        <f t="shared" ref="L197:M197" si="977">IFERROR(H197/J197,"-")</f>
        <v>-</v>
      </c>
      <c r="M197" s="50" t="str">
        <f t="shared" si="977"/>
        <v>-</v>
      </c>
      <c r="N197" s="59">
        <f>IFERROR(__xludf.DUMMYFUNCTION("IFERROR(
  VLOOKUP(
    A197,
    IMPORTRANGE(
      ""1ZHMy3vVUd_0MrSduXTe1etBb1HNpAlGwQr006ljwMiM"",
      ""GSC最新!A:R""
    ),
    7,
    FALSE
  ),
  0
)
"),0.0)</f>
        <v>0</v>
      </c>
      <c r="O197" s="59">
        <f>IFERROR(__xludf.DUMMYFUNCTION("IFERROR(
  VLOOKUP(
    A197,
    IMPORTRANGE(
      ""1ZHMy3vVUd_0MrSduXTe1etBb1HNpAlGwQr006ljwMiM"",
      ""GSC最新!A:R""
    ),
    10,
    FALSE
  ),
  0
)
"),0.0)</f>
        <v>0</v>
      </c>
      <c r="P197" s="59">
        <f>IFERROR(__xludf.DUMMYFUNCTION("IFERROR(
  VLOOKUP(
    A197,
    IMPORTRANGE(
      ""1ZHMy3vVUd_0MrSduXTe1etBb1HNpAlGwQr006ljwMiM"",
      ""GSC最新!A:R""
    ),
    13,
    FALSE
  ),
  0
)
"),0.0)</f>
        <v>0</v>
      </c>
      <c r="Q197" s="59">
        <f>IFERROR(__xludf.DUMMYFUNCTION("IFERROR(
  VLOOKUP(
    A197,
    IMPORTRANGE(
      ""1ZHMy3vVUd_0MrSduXTe1etBb1HNpAlGwQr006ljwMiM"",
      ""GSC最新!A:R""
    ),
    16,
    FALSE
  ),
  0
)
"),0.0)</f>
        <v>0</v>
      </c>
      <c r="R197" s="50" t="str">
        <f t="shared" ref="R197:S197" si="978">IFERROR(N197/P197,"-")</f>
        <v>-</v>
      </c>
      <c r="S197" s="50" t="str">
        <f t="shared" si="978"/>
        <v>-</v>
      </c>
      <c r="T197" s="60">
        <f>IFERROR(__xludf.DUMMYFUNCTION("IFERROR(
  VLOOKUP(
    A197,
    IMPORTRANGE(
      ""1ZHMy3vVUd_0MrSduXTe1etBb1HNpAlGwQr006ljwMiM"",
      ""GSC最新!A:R""
    ),
    8,
    FALSE
  ),
  0
)
"),0.0)</f>
        <v>0</v>
      </c>
      <c r="U197" s="60">
        <f>IFERROR(__xludf.DUMMYFUNCTION("IFERROR(
  VLOOKUP(
    A197,
    IMPORTRANGE(
      ""1ZHMy3vVUd_0MrSduXTe1etBb1HNpAlGwQr006ljwMiM"",
      ""GSC最新!A:R""
    ),
    11,
    FALSE
  ),
  0
)
"),0.0)</f>
        <v>0</v>
      </c>
      <c r="V197" s="60">
        <f>IFERROR(__xludf.DUMMYFUNCTION("IFERROR(
  VLOOKUP(
    A197,
    IMPORTRANGE(
      ""1ZHMy3vVUd_0MrSduXTe1etBb1HNpAlGwQr006ljwMiM"",
      ""GSC最新!A:R""
    ),
    14,
    FALSE
  ),
  0
)
"),0.0)</f>
        <v>0</v>
      </c>
      <c r="W197" s="60">
        <f>IFERROR(__xludf.DUMMYFUNCTION("IFERROR(
  VLOOKUP(
    A197,
    IMPORTRANGE(
      ""1ZHMy3vVUd_0MrSduXTe1etBb1HNpAlGwQr006ljwMiM"",
      ""GSC最新!A:R""
    ),
    17,
    FALSE
  ),
  0
)
"),0.0)</f>
        <v>0</v>
      </c>
      <c r="X197" s="60">
        <f t="shared" ref="X197:Y197" si="979">IFERROR(T197-V197,"-")</f>
        <v>0</v>
      </c>
      <c r="Y197" s="60">
        <f t="shared" si="979"/>
        <v>0</v>
      </c>
      <c r="Z197" s="52" t="str">
        <f>IFERROR(__xludf.DUMMYFUNCTION("IFERROR(
  VLOOKUP(
    A197,
    IMPORTRANGE(
      ""1ZHMy3vVUd_0MrSduXTe1etBb1HNpAlGwQr006ljwMiM"",
      ""GSC最新!A:R""
    ),
    9,
    FALSE
  ),
  0
)
"),"")</f>
        <v/>
      </c>
      <c r="AA197" s="52" t="str">
        <f>IFERROR(__xludf.DUMMYFUNCTION("IFERROR(
  VLOOKUP(
    A197,
    IMPORTRANGE(
      ""1ZHMy3vVUd_0MrSduXTe1etBb1HNpAlGwQr006ljwMiM"",
      ""GSC最新!A:R""
    ),
    12,
    FALSE
  ),
  0
)
"),"")</f>
        <v/>
      </c>
      <c r="AB197" s="52" t="str">
        <f>IFERROR(__xludf.DUMMYFUNCTION("IFERROR(
  VLOOKUP(
    A197,
    IMPORTRANGE(
      ""1ZHMy3vVUd_0MrSduXTe1etBb1HNpAlGwQr006ljwMiM"",
      ""GSC最新!A:R""
    ),
    15,
    FALSE
  ),
  0
)
"),"")</f>
        <v/>
      </c>
      <c r="AC197" s="52" t="str">
        <f>IFERROR(__xludf.DUMMYFUNCTION("IFERROR(
  VLOOKUP(
    A197,
    IMPORTRANGE(
      ""1ZHMy3vVUd_0MrSduXTe1etBb1HNpAlGwQr006ljwMiM"",
      ""GSC最新!A:R""
    ),
    18,
    FALSE
  ),
  0
)
"),"")</f>
        <v/>
      </c>
      <c r="AD197" s="52">
        <f t="shared" ref="AD197:AE197" si="980">Z197-AB197</f>
        <v>0</v>
      </c>
      <c r="AE197" s="52">
        <f t="shared" si="980"/>
        <v>0</v>
      </c>
      <c r="AF197" s="53">
        <f>IFERROR(__xludf.DUMMYFUNCTION("IFERROR(
  VLOOKUP(
    A197,
    IMPORTRANGE(
      ""1ZHMy3vVUd_0MrSduXTe1etBb1HNpAlGwQr006ljwMiM"",
      ""GSC最新!A:F""
    ),
    6,
    FALSE
  ),
  0
)
"),46081.0)</f>
        <v>46081</v>
      </c>
      <c r="AG197" s="54">
        <f>IFERROR(__xludf.DUMMYFUNCTION("IFERROR(
  VLOOKUP(
    A197,
    IMPORTRANGE(
      ""1SCYQd7_cobOYqT0r_F0IqD4tE4rYn5y8Eup4PJTH8es"",
      ""Snapshot!A:M""
    ),
    5,
    FALSE
  ),
  ""-""
)
"),11.0)</f>
        <v>11</v>
      </c>
      <c r="AH197" s="54">
        <f>IFERROR(__xludf.DUMMYFUNCTION("IFERROR(
  VLOOKUP(
    A197,
    IMPORTRANGE(
      ""1SCYQd7_cobOYqT0r_F0IqD4tE4rYn5y8Eup4PJTH8es"",
      ""Snapshot!A:M""
    ),
    6,
    FALSE
  ),
  0
)
"),0.0)</f>
        <v>0</v>
      </c>
      <c r="AI197" s="54">
        <f>IFERROR(__xludf.DUMMYFUNCTION("IFERROR(
  VLOOKUP(
    A197,
    IMPORTRANGE(
      ""1SCYQd7_cobOYqT0r_F0IqD4tE4rYn5y8Eup4PJTH8es"",
      ""Snapshot!A:M""
    ),
    7,
    FALSE
  ),
  0
)
"),8528.0)</f>
        <v>8528</v>
      </c>
      <c r="AJ197" s="54">
        <f>IFERROR(__xludf.DUMMYFUNCTION("IFERROR(
  VLOOKUP(
    A197,
    IMPORTRANGE(
      ""1SCYQd7_cobOYqT0r_F0IqD4tE4rYn5y8Eup4PJTH8es"",
      ""Snapshot!A:M""
    ),
    8,
    FALSE
  ),
  0
)
"),3.0)</f>
        <v>3</v>
      </c>
      <c r="AK197" s="54">
        <f>IFERROR(__xludf.DUMMYFUNCTION("IFERROR(
  VLOOKUP(
    A197,
    IMPORTRANGE(
      ""1SCYQd7_cobOYqT0r_F0IqD4tE4rYn5y8Eup4PJTH8es"",
      ""Snapshot!A:M""
    ),
    9,
    FALSE
  ),
  0
)
"),1.0)</f>
        <v>1</v>
      </c>
      <c r="AL197" s="54">
        <f>IFERROR(__xludf.DUMMYFUNCTION("IFERROR(
  VLOOKUP(
    A197,
    IMPORTRANGE(
      ""1SCYQd7_cobOYqT0r_F0IqD4tE4rYn5y8Eup4PJTH8es"",
      ""Snapshot!A:M""
    ),
    13,
    FALSE
  ),
  0
)
"),2.0)</f>
        <v>2</v>
      </c>
    </row>
    <row r="198">
      <c r="A198" s="3" t="s">
        <v>109</v>
      </c>
      <c r="B198" s="1" t="str">
        <f>IFERROR(__xludf.DUMMYFUNCTION("IFERROR(
  VLOOKUP(
    A198,
    IMPORTRANGE(
      ""1ZygntHC1J6IxzKbTidmOyf5nUyW4GCLurHCjexrLm_o"",
      ""HTMLキャッシュ!A:F""
    ),
    2,
    FALSE
  ),
  0
)
"),"-")</f>
        <v>-</v>
      </c>
      <c r="C198" s="1" t="str">
        <f>IFERROR(__xludf.DUMMYFUNCTION("IFERROR(
  VLOOKUP(
    A198,
    IMPORTRANGE(
      ""1ZygntHC1J6IxzKbTidmOyf5nUyW4GCLurHCjexrLm_o"",
      ""HTMLキャッシュ!A:F""
    ),
    5,
    FALSE
  ),
  0
)
"),"つるかめざん - 中学受験専門 夏井算数塾")</f>
        <v>つるかめざん - 中学受験専門 夏井算数塾</v>
      </c>
      <c r="D198" s="1" t="str">
        <f>IFERROR(__xludf.DUMMYFUNCTION("IFERROR(
  VLOOKUP(
    A198,
    IMPORTRANGE(
      ""1ZygntHC1J6IxzKbTidmOyf5nUyW4GCLurHCjexrLm_o        "",
      ""HTMLキャッシュ!A:F""
    ),
    6,
    FALSE
  ),
  0
)
"),"授業を開始 板書")</f>
        <v>授業を開始 板書</v>
      </c>
      <c r="E198" s="49">
        <f t="shared" ref="E198:F198" si="981">LEN(C198)</f>
        <v>21</v>
      </c>
      <c r="F198" s="49">
        <f t="shared" si="981"/>
        <v>8</v>
      </c>
      <c r="G198" s="32">
        <f>IFERROR(__xludf.DUMMYFUNCTION("IFERROR(
  VLOOKUP(
    A198,
    IMPORTRANGE(
      ""1ZygntHC1J6IxzKbTidmOyf5nUyW4GCLurHCjexrLm_o        "",
      ""HTMLキャッシュ!A:F""
    ),
    3,
    FALSE
  ),
  0
)
"),45969.62987268518)</f>
        <v>45969.62987</v>
      </c>
      <c r="H198" s="54">
        <f>IFERROR(__xludf.DUMMYFUNCTION("IFERROR(
  VLOOKUP(
    A198,
    IMPORTRANGE(
      ""1ZHMy3vVUd_0MrSduXTe1etBb1HNpAlGwQr006ljwMiM"",
      ""GSC最新!A:F""
    ),
    2,
    FALSE
  ),
  0
)
"),0.0)</f>
        <v>0</v>
      </c>
      <c r="I198" s="54">
        <f>IFERROR(__xludf.DUMMYFUNCTION("IFERROR(
  VLOOKUP(
    A198,
    IMPORTRANGE(
      ""1ZHMy3vVUd_0MrSduXTe1etBb1HNpAlGwQr006ljwMiM"",
      ""GSC最新!A:F""
    ),
    3,
    FALSE
  ),
  0
)
"),0.0)</f>
        <v>0</v>
      </c>
      <c r="J198" s="54">
        <f>IFERROR(__xludf.DUMMYFUNCTION("IFERROR(
  VLOOKUP(
    A198,
    IMPORTRANGE(
      ""1ZHMy3vVUd_0MrSduXTe1etBb1HNpAlGwQr006ljwMiM"",
      ""GSC最新!A:F""
    ),
    4,
    FALSE
  ),
  0
)
"),0.0)</f>
        <v>0</v>
      </c>
      <c r="K198" s="54">
        <f>IFERROR(__xludf.DUMMYFUNCTION("IFERROR(
  VLOOKUP(
    A198,
    IMPORTRANGE(
      ""1ZHMy3vVUd_0MrSduXTe1etBb1HNpAlGwQr006ljwMiM"",
      ""GSC最新!A:F""
    ),
    5,
    FALSE
  ),
  0
)
"),0.0)</f>
        <v>0</v>
      </c>
      <c r="L198" s="50" t="str">
        <f t="shared" ref="L198:M198" si="982">IFERROR(H198/J198,"-")</f>
        <v>-</v>
      </c>
      <c r="M198" s="50" t="str">
        <f t="shared" si="982"/>
        <v>-</v>
      </c>
      <c r="N198" s="59">
        <f>IFERROR(__xludf.DUMMYFUNCTION("IFERROR(
  VLOOKUP(
    A198,
    IMPORTRANGE(
      ""1ZHMy3vVUd_0MrSduXTe1etBb1HNpAlGwQr006ljwMiM"",
      ""GSC最新!A:R""
    ),
    7,
    FALSE
  ),
  0
)
"),0.0)</f>
        <v>0</v>
      </c>
      <c r="O198" s="59">
        <f>IFERROR(__xludf.DUMMYFUNCTION("IFERROR(
  VLOOKUP(
    A198,
    IMPORTRANGE(
      ""1ZHMy3vVUd_0MrSduXTe1etBb1HNpAlGwQr006ljwMiM"",
      ""GSC最新!A:R""
    ),
    10,
    FALSE
  ),
  0
)
"),0.0)</f>
        <v>0</v>
      </c>
      <c r="P198" s="59">
        <f>IFERROR(__xludf.DUMMYFUNCTION("IFERROR(
  VLOOKUP(
    A198,
    IMPORTRANGE(
      ""1ZHMy3vVUd_0MrSduXTe1etBb1HNpAlGwQr006ljwMiM"",
      ""GSC最新!A:R""
    ),
    13,
    FALSE
  ),
  0
)
"),0.0)</f>
        <v>0</v>
      </c>
      <c r="Q198" s="59">
        <f>IFERROR(__xludf.DUMMYFUNCTION("IFERROR(
  VLOOKUP(
    A198,
    IMPORTRANGE(
      ""1ZHMy3vVUd_0MrSduXTe1etBb1HNpAlGwQr006ljwMiM"",
      ""GSC最新!A:R""
    ),
    16,
    FALSE
  ),
  0
)
"),0.0)</f>
        <v>0</v>
      </c>
      <c r="R198" s="50" t="str">
        <f t="shared" ref="R198:S198" si="983">IFERROR(N198/P198,"-")</f>
        <v>-</v>
      </c>
      <c r="S198" s="50" t="str">
        <f t="shared" si="983"/>
        <v>-</v>
      </c>
      <c r="T198" s="60">
        <f>IFERROR(__xludf.DUMMYFUNCTION("IFERROR(
  VLOOKUP(
    A198,
    IMPORTRANGE(
      ""1ZHMy3vVUd_0MrSduXTe1etBb1HNpAlGwQr006ljwMiM"",
      ""GSC最新!A:R""
    ),
    8,
    FALSE
  ),
  0
)
"),0.0)</f>
        <v>0</v>
      </c>
      <c r="U198" s="60">
        <f>IFERROR(__xludf.DUMMYFUNCTION("IFERROR(
  VLOOKUP(
    A198,
    IMPORTRANGE(
      ""1ZHMy3vVUd_0MrSduXTe1etBb1HNpAlGwQr006ljwMiM"",
      ""GSC最新!A:R""
    ),
    11,
    FALSE
  ),
  0
)
"),0.0)</f>
        <v>0</v>
      </c>
      <c r="V198" s="60">
        <f>IFERROR(__xludf.DUMMYFUNCTION("IFERROR(
  VLOOKUP(
    A198,
    IMPORTRANGE(
      ""1ZHMy3vVUd_0MrSduXTe1etBb1HNpAlGwQr006ljwMiM"",
      ""GSC最新!A:R""
    ),
    14,
    FALSE
  ),
  0
)
"),0.0)</f>
        <v>0</v>
      </c>
      <c r="W198" s="60">
        <f>IFERROR(__xludf.DUMMYFUNCTION("IFERROR(
  VLOOKUP(
    A198,
    IMPORTRANGE(
      ""1ZHMy3vVUd_0MrSduXTe1etBb1HNpAlGwQr006ljwMiM"",
      ""GSC最新!A:R""
    ),
    17,
    FALSE
  ),
  0
)
"),0.0)</f>
        <v>0</v>
      </c>
      <c r="X198" s="60">
        <f t="shared" ref="X198:Y198" si="984">IFERROR(T198-V198,"-")</f>
        <v>0</v>
      </c>
      <c r="Y198" s="60">
        <f t="shared" si="984"/>
        <v>0</v>
      </c>
      <c r="Z198" s="52" t="str">
        <f>IFERROR(__xludf.DUMMYFUNCTION("IFERROR(
  VLOOKUP(
    A198,
    IMPORTRANGE(
      ""1ZHMy3vVUd_0MrSduXTe1etBb1HNpAlGwQr006ljwMiM"",
      ""GSC最新!A:R""
    ),
    9,
    FALSE
  ),
  0
)
"),"")</f>
        <v/>
      </c>
      <c r="AA198" s="52" t="str">
        <f>IFERROR(__xludf.DUMMYFUNCTION("IFERROR(
  VLOOKUP(
    A198,
    IMPORTRANGE(
      ""1ZHMy3vVUd_0MrSduXTe1etBb1HNpAlGwQr006ljwMiM"",
      ""GSC最新!A:R""
    ),
    12,
    FALSE
  ),
  0
)
"),"")</f>
        <v/>
      </c>
      <c r="AB198" s="52" t="str">
        <f>IFERROR(__xludf.DUMMYFUNCTION("IFERROR(
  VLOOKUP(
    A198,
    IMPORTRANGE(
      ""1ZHMy3vVUd_0MrSduXTe1etBb1HNpAlGwQr006ljwMiM"",
      ""GSC最新!A:R""
    ),
    15,
    FALSE
  ),
  0
)
"),"")</f>
        <v/>
      </c>
      <c r="AC198" s="52" t="str">
        <f>IFERROR(__xludf.DUMMYFUNCTION("IFERROR(
  VLOOKUP(
    A198,
    IMPORTRANGE(
      ""1ZHMy3vVUd_0MrSduXTe1etBb1HNpAlGwQr006ljwMiM"",
      ""GSC最新!A:R""
    ),
    18,
    FALSE
  ),
  0
)
"),"")</f>
        <v/>
      </c>
      <c r="AD198" s="52">
        <f t="shared" ref="AD198:AE198" si="985">Z198-AB198</f>
        <v>0</v>
      </c>
      <c r="AE198" s="52">
        <f t="shared" si="985"/>
        <v>0</v>
      </c>
      <c r="AF198" s="53">
        <f>IFERROR(__xludf.DUMMYFUNCTION("IFERROR(
  VLOOKUP(
    A198,
    IMPORTRANGE(
      ""1ZHMy3vVUd_0MrSduXTe1etBb1HNpAlGwQr006ljwMiM"",
      ""GSC最新!A:F""
    ),
    6,
    FALSE
  ),
  0
)
"),46081.0)</f>
        <v>46081</v>
      </c>
      <c r="AG198" s="54">
        <f>IFERROR(__xludf.DUMMYFUNCTION("IFERROR(
  VLOOKUP(
    A198,
    IMPORTRANGE(
      ""1SCYQd7_cobOYqT0r_F0IqD4tE4rYn5y8Eup4PJTH8es"",
      ""Snapshot!A:M""
    ),
    5,
    FALSE
  ),
  ""-""
)
"),0.0)</f>
        <v>0</v>
      </c>
      <c r="AH198" s="54">
        <f>IFERROR(__xludf.DUMMYFUNCTION("IFERROR(
  VLOOKUP(
    A198,
    IMPORTRANGE(
      ""1SCYQd7_cobOYqT0r_F0IqD4tE4rYn5y8Eup4PJTH8es"",
      ""Snapshot!A:M""
    ),
    6,
    FALSE
  ),
  0
)
"),0.0)</f>
        <v>0</v>
      </c>
      <c r="AI198" s="54">
        <f>IFERROR(__xludf.DUMMYFUNCTION("IFERROR(
  VLOOKUP(
    A198,
    IMPORTRANGE(
      ""1SCYQd7_cobOYqT0r_F0IqD4tE4rYn5y8Eup4PJTH8es"",
      ""Snapshot!A:M""
    ),
    7,
    FALSE
  ),
  0
)
"),8.0)</f>
        <v>8</v>
      </c>
      <c r="AJ198" s="54">
        <f>IFERROR(__xludf.DUMMYFUNCTION("IFERROR(
  VLOOKUP(
    A198,
    IMPORTRANGE(
      ""1SCYQd7_cobOYqT0r_F0IqD4tE4rYn5y8Eup4PJTH8es"",
      ""Snapshot!A:M""
    ),
    8,
    FALSE
  ),
  0
)
"),0.0)</f>
        <v>0</v>
      </c>
      <c r="AK198" s="54">
        <f>IFERROR(__xludf.DUMMYFUNCTION("IFERROR(
  VLOOKUP(
    A198,
    IMPORTRANGE(
      ""1SCYQd7_cobOYqT0r_F0IqD4tE4rYn5y8Eup4PJTH8es"",
      ""Snapshot!A:M""
    ),
    9,
    FALSE
  ),
  0
)
"),1.0)</f>
        <v>1</v>
      </c>
      <c r="AL198" s="54">
        <f>IFERROR(__xludf.DUMMYFUNCTION("IFERROR(
  VLOOKUP(
    A198,
    IMPORTRANGE(
      ""1SCYQd7_cobOYqT0r_F0IqD4tE4rYn5y8Eup4PJTH8es"",
      ""Snapshot!A:M""
    ),
    13,
    FALSE
  ),
  0
)
"),1.0)</f>
        <v>1</v>
      </c>
    </row>
    <row r="199">
      <c r="G199" s="55"/>
      <c r="H199" s="54"/>
      <c r="I199" s="54"/>
      <c r="J199" s="54"/>
      <c r="K199" s="54"/>
      <c r="L199" s="54"/>
      <c r="M199" s="54"/>
      <c r="N199" s="59"/>
      <c r="O199" s="61"/>
      <c r="P199" s="61"/>
      <c r="Q199" s="61"/>
      <c r="R199" s="50"/>
      <c r="S199" s="50"/>
      <c r="T199" s="61"/>
      <c r="U199" s="61"/>
      <c r="V199" s="61"/>
      <c r="W199" s="61"/>
      <c r="X199" s="61"/>
      <c r="Y199" s="61"/>
      <c r="Z199" s="52"/>
      <c r="AA199" s="52"/>
      <c r="AB199" s="52"/>
      <c r="AC199" s="52"/>
      <c r="AD199" s="53"/>
      <c r="AE199" s="53"/>
      <c r="AF199" s="53"/>
    </row>
    <row r="200">
      <c r="G200" s="55"/>
      <c r="H200" s="54"/>
      <c r="I200" s="54"/>
      <c r="J200" s="54"/>
      <c r="K200" s="54"/>
      <c r="L200" s="54"/>
      <c r="M200" s="54"/>
      <c r="N200" s="59"/>
      <c r="O200" s="61"/>
      <c r="P200" s="61"/>
      <c r="Q200" s="61"/>
      <c r="R200" s="50"/>
      <c r="S200" s="50"/>
      <c r="T200" s="61"/>
      <c r="U200" s="61"/>
      <c r="V200" s="61"/>
      <c r="W200" s="61"/>
      <c r="X200" s="61"/>
      <c r="Y200" s="61"/>
      <c r="Z200" s="52"/>
      <c r="AA200" s="52"/>
      <c r="AB200" s="52"/>
      <c r="AC200" s="52"/>
      <c r="AD200" s="53"/>
      <c r="AE200" s="53"/>
      <c r="AF200" s="53"/>
    </row>
    <row r="201">
      <c r="G201" s="55"/>
      <c r="H201" s="54"/>
      <c r="I201" s="54"/>
      <c r="J201" s="54"/>
      <c r="K201" s="54"/>
      <c r="L201" s="54"/>
      <c r="M201" s="54"/>
      <c r="N201" s="59"/>
      <c r="O201" s="61"/>
      <c r="P201" s="61"/>
      <c r="Q201" s="61"/>
      <c r="R201" s="50"/>
      <c r="S201" s="50"/>
      <c r="T201" s="61"/>
      <c r="U201" s="61"/>
      <c r="V201" s="61"/>
      <c r="W201" s="61"/>
      <c r="X201" s="61"/>
      <c r="Y201" s="61"/>
      <c r="Z201" s="52"/>
      <c r="AA201" s="52"/>
      <c r="AB201" s="52"/>
      <c r="AC201" s="52"/>
      <c r="AD201" s="53"/>
      <c r="AE201" s="53"/>
      <c r="AF201" s="53"/>
    </row>
    <row r="202">
      <c r="G202" s="55"/>
      <c r="H202" s="54"/>
      <c r="I202" s="54"/>
      <c r="J202" s="54"/>
      <c r="K202" s="54"/>
      <c r="L202" s="54"/>
      <c r="M202" s="54"/>
      <c r="N202" s="59"/>
      <c r="O202" s="61"/>
      <c r="P202" s="61"/>
      <c r="Q202" s="61"/>
      <c r="R202" s="50"/>
      <c r="S202" s="50"/>
      <c r="T202" s="61"/>
      <c r="U202" s="61"/>
      <c r="V202" s="61"/>
      <c r="W202" s="61"/>
      <c r="X202" s="61"/>
      <c r="Y202" s="61"/>
      <c r="Z202" s="52"/>
      <c r="AA202" s="52"/>
      <c r="AB202" s="52"/>
      <c r="AC202" s="52"/>
      <c r="AD202" s="53"/>
      <c r="AE202" s="53"/>
      <c r="AF202" s="53"/>
    </row>
    <row r="203">
      <c r="G203" s="55"/>
      <c r="H203" s="54"/>
      <c r="I203" s="54"/>
      <c r="J203" s="54"/>
      <c r="K203" s="54"/>
      <c r="L203" s="54"/>
      <c r="M203" s="54"/>
      <c r="N203" s="59"/>
      <c r="O203" s="61"/>
      <c r="P203" s="61"/>
      <c r="Q203" s="61"/>
      <c r="R203" s="50"/>
      <c r="S203" s="50"/>
      <c r="T203" s="61"/>
      <c r="U203" s="61"/>
      <c r="V203" s="61"/>
      <c r="W203" s="61"/>
      <c r="X203" s="61"/>
      <c r="Y203" s="61"/>
      <c r="Z203" s="52"/>
      <c r="AA203" s="52"/>
      <c r="AB203" s="52"/>
      <c r="AC203" s="52"/>
      <c r="AD203" s="53"/>
      <c r="AE203" s="53"/>
      <c r="AF203" s="53"/>
    </row>
    <row r="204">
      <c r="G204" s="55"/>
      <c r="H204" s="54"/>
      <c r="I204" s="54"/>
      <c r="J204" s="54"/>
      <c r="K204" s="54"/>
      <c r="L204" s="54"/>
      <c r="M204" s="54"/>
      <c r="N204" s="59"/>
      <c r="O204" s="61"/>
      <c r="P204" s="61"/>
      <c r="Q204" s="61"/>
      <c r="R204" s="50"/>
      <c r="S204" s="50"/>
      <c r="T204" s="61"/>
      <c r="U204" s="61"/>
      <c r="V204" s="61"/>
      <c r="W204" s="61"/>
      <c r="X204" s="61"/>
      <c r="Y204" s="61"/>
      <c r="Z204" s="52"/>
      <c r="AA204" s="52"/>
      <c r="AB204" s="52"/>
      <c r="AC204" s="52"/>
      <c r="AD204" s="53"/>
      <c r="AE204" s="53"/>
      <c r="AF204" s="53"/>
    </row>
    <row r="205">
      <c r="G205" s="55"/>
      <c r="H205" s="54"/>
      <c r="I205" s="54"/>
      <c r="J205" s="54"/>
      <c r="K205" s="54"/>
      <c r="L205" s="54"/>
      <c r="M205" s="54"/>
      <c r="N205" s="59"/>
      <c r="O205" s="61"/>
      <c r="P205" s="61"/>
      <c r="Q205" s="61"/>
      <c r="R205" s="50"/>
      <c r="S205" s="50"/>
      <c r="T205" s="61"/>
      <c r="U205" s="61"/>
      <c r="V205" s="61"/>
      <c r="W205" s="61"/>
      <c r="X205" s="61"/>
      <c r="Y205" s="61"/>
      <c r="Z205" s="52"/>
      <c r="AA205" s="52"/>
      <c r="AB205" s="52"/>
      <c r="AC205" s="52"/>
      <c r="AD205" s="53"/>
      <c r="AE205" s="53"/>
      <c r="AF205" s="53"/>
    </row>
    <row r="206">
      <c r="G206" s="55"/>
      <c r="H206" s="54"/>
      <c r="I206" s="54"/>
      <c r="J206" s="54"/>
      <c r="K206" s="54"/>
      <c r="L206" s="54"/>
      <c r="M206" s="54"/>
      <c r="N206" s="59"/>
      <c r="O206" s="61"/>
      <c r="P206" s="61"/>
      <c r="Q206" s="61"/>
      <c r="R206" s="50"/>
      <c r="S206" s="50"/>
      <c r="T206" s="61"/>
      <c r="U206" s="61"/>
      <c r="V206" s="61"/>
      <c r="W206" s="61"/>
      <c r="X206" s="61"/>
      <c r="Y206" s="61"/>
      <c r="Z206" s="52"/>
      <c r="AA206" s="52"/>
      <c r="AB206" s="52"/>
      <c r="AC206" s="52"/>
      <c r="AD206" s="53"/>
      <c r="AE206" s="53"/>
      <c r="AF206" s="53"/>
    </row>
    <row r="207">
      <c r="G207" s="55"/>
      <c r="H207" s="54"/>
      <c r="I207" s="54"/>
      <c r="J207" s="54"/>
      <c r="K207" s="54"/>
      <c r="L207" s="54"/>
      <c r="M207" s="54"/>
      <c r="N207" s="59"/>
      <c r="O207" s="61"/>
      <c r="P207" s="61"/>
      <c r="Q207" s="61"/>
      <c r="R207" s="50"/>
      <c r="S207" s="50"/>
      <c r="T207" s="61"/>
      <c r="U207" s="61"/>
      <c r="V207" s="61"/>
      <c r="W207" s="61"/>
      <c r="X207" s="61"/>
      <c r="Y207" s="61"/>
      <c r="Z207" s="52"/>
      <c r="AA207" s="52"/>
      <c r="AB207" s="52"/>
      <c r="AC207" s="52"/>
      <c r="AD207" s="53"/>
      <c r="AE207" s="53"/>
      <c r="AF207" s="53"/>
    </row>
    <row r="208">
      <c r="G208" s="55"/>
      <c r="H208" s="54"/>
      <c r="I208" s="54"/>
      <c r="J208" s="54"/>
      <c r="K208" s="54"/>
      <c r="L208" s="54"/>
      <c r="M208" s="54"/>
      <c r="N208" s="59"/>
      <c r="O208" s="61"/>
      <c r="P208" s="61"/>
      <c r="Q208" s="61"/>
      <c r="R208" s="50"/>
      <c r="S208" s="50"/>
      <c r="T208" s="61"/>
      <c r="U208" s="61"/>
      <c r="V208" s="61"/>
      <c r="W208" s="61"/>
      <c r="X208" s="61"/>
      <c r="Y208" s="61"/>
      <c r="Z208" s="52"/>
      <c r="AA208" s="52"/>
      <c r="AB208" s="52"/>
      <c r="AC208" s="52"/>
      <c r="AD208" s="53"/>
      <c r="AE208" s="53"/>
      <c r="AF208" s="53"/>
    </row>
    <row r="209">
      <c r="G209" s="55"/>
      <c r="H209" s="54"/>
      <c r="I209" s="54"/>
      <c r="J209" s="54"/>
      <c r="K209" s="54"/>
      <c r="L209" s="54"/>
      <c r="M209" s="54"/>
      <c r="N209" s="59"/>
      <c r="O209" s="61"/>
      <c r="P209" s="61"/>
      <c r="Q209" s="61"/>
      <c r="R209" s="50"/>
      <c r="S209" s="50"/>
      <c r="T209" s="61"/>
      <c r="U209" s="61"/>
      <c r="V209" s="61"/>
      <c r="W209" s="61"/>
      <c r="X209" s="61"/>
      <c r="Y209" s="61"/>
      <c r="Z209" s="52"/>
      <c r="AA209" s="52"/>
      <c r="AB209" s="52"/>
      <c r="AC209" s="52"/>
      <c r="AD209" s="53"/>
      <c r="AE209" s="53"/>
      <c r="AF209" s="53"/>
    </row>
    <row r="210">
      <c r="G210" s="55"/>
      <c r="H210" s="54"/>
      <c r="I210" s="54"/>
      <c r="J210" s="54"/>
      <c r="K210" s="54"/>
      <c r="L210" s="54"/>
      <c r="M210" s="54"/>
      <c r="N210" s="59"/>
      <c r="O210" s="61"/>
      <c r="P210" s="61"/>
      <c r="Q210" s="61"/>
      <c r="R210" s="50"/>
      <c r="S210" s="50"/>
      <c r="T210" s="61"/>
      <c r="U210" s="61"/>
      <c r="V210" s="61"/>
      <c r="W210" s="61"/>
      <c r="X210" s="61"/>
      <c r="Y210" s="61"/>
      <c r="Z210" s="52"/>
      <c r="AA210" s="52"/>
      <c r="AB210" s="52"/>
      <c r="AC210" s="52"/>
      <c r="AD210" s="53"/>
      <c r="AE210" s="53"/>
      <c r="AF210" s="53"/>
    </row>
    <row r="211">
      <c r="G211" s="55"/>
      <c r="H211" s="54"/>
      <c r="I211" s="54"/>
      <c r="J211" s="54"/>
      <c r="K211" s="54"/>
      <c r="L211" s="54"/>
      <c r="M211" s="54"/>
      <c r="N211" s="59"/>
      <c r="O211" s="61"/>
      <c r="P211" s="61"/>
      <c r="Q211" s="61"/>
      <c r="R211" s="50"/>
      <c r="S211" s="50"/>
      <c r="T211" s="61"/>
      <c r="U211" s="61"/>
      <c r="V211" s="61"/>
      <c r="W211" s="61"/>
      <c r="X211" s="61"/>
      <c r="Y211" s="61"/>
      <c r="Z211" s="52"/>
      <c r="AA211" s="52"/>
      <c r="AB211" s="52"/>
      <c r="AC211" s="52"/>
      <c r="AD211" s="53"/>
      <c r="AE211" s="53"/>
      <c r="AF211" s="53"/>
    </row>
    <row r="212">
      <c r="G212" s="55"/>
      <c r="H212" s="54"/>
      <c r="I212" s="54"/>
      <c r="J212" s="54"/>
      <c r="K212" s="54"/>
      <c r="L212" s="54"/>
      <c r="M212" s="54"/>
      <c r="N212" s="59"/>
      <c r="O212" s="61"/>
      <c r="P212" s="61"/>
      <c r="Q212" s="61"/>
      <c r="R212" s="50"/>
      <c r="S212" s="50"/>
      <c r="T212" s="61"/>
      <c r="U212" s="61"/>
      <c r="V212" s="61"/>
      <c r="W212" s="61"/>
      <c r="X212" s="61"/>
      <c r="Y212" s="61"/>
      <c r="Z212" s="52"/>
      <c r="AA212" s="52"/>
      <c r="AB212" s="52"/>
      <c r="AC212" s="52"/>
      <c r="AD212" s="53"/>
      <c r="AE212" s="53"/>
      <c r="AF212" s="53"/>
    </row>
    <row r="213">
      <c r="G213" s="55"/>
      <c r="H213" s="54"/>
      <c r="I213" s="54"/>
      <c r="J213" s="54"/>
      <c r="K213" s="54"/>
      <c r="L213" s="54"/>
      <c r="M213" s="54"/>
      <c r="N213" s="59"/>
      <c r="O213" s="61"/>
      <c r="P213" s="61"/>
      <c r="Q213" s="61"/>
      <c r="R213" s="50"/>
      <c r="S213" s="50"/>
      <c r="T213" s="61"/>
      <c r="U213" s="61"/>
      <c r="V213" s="61"/>
      <c r="W213" s="61"/>
      <c r="X213" s="61"/>
      <c r="Y213" s="61"/>
      <c r="Z213" s="52"/>
      <c r="AA213" s="52"/>
      <c r="AB213" s="52"/>
      <c r="AC213" s="52"/>
      <c r="AD213" s="53"/>
      <c r="AE213" s="53"/>
      <c r="AF213" s="53"/>
    </row>
    <row r="214">
      <c r="G214" s="55"/>
      <c r="H214" s="54"/>
      <c r="I214" s="54"/>
      <c r="J214" s="54"/>
      <c r="K214" s="54"/>
      <c r="L214" s="54"/>
      <c r="M214" s="54"/>
      <c r="N214" s="59"/>
      <c r="O214" s="61"/>
      <c r="P214" s="61"/>
      <c r="Q214" s="61"/>
      <c r="R214" s="50"/>
      <c r="S214" s="50"/>
      <c r="T214" s="61"/>
      <c r="U214" s="61"/>
      <c r="V214" s="61"/>
      <c r="W214" s="61"/>
      <c r="X214" s="61"/>
      <c r="Y214" s="61"/>
      <c r="Z214" s="52"/>
      <c r="AA214" s="52"/>
      <c r="AB214" s="52"/>
      <c r="AC214" s="52"/>
      <c r="AD214" s="53"/>
      <c r="AE214" s="53"/>
      <c r="AF214" s="53"/>
    </row>
    <row r="215">
      <c r="G215" s="55"/>
      <c r="H215" s="54"/>
      <c r="I215" s="54"/>
      <c r="J215" s="54"/>
      <c r="K215" s="54"/>
      <c r="L215" s="54"/>
      <c r="M215" s="54"/>
      <c r="N215" s="59"/>
      <c r="O215" s="61"/>
      <c r="P215" s="61"/>
      <c r="Q215" s="61"/>
      <c r="R215" s="50"/>
      <c r="S215" s="50"/>
      <c r="T215" s="61"/>
      <c r="U215" s="61"/>
      <c r="V215" s="61"/>
      <c r="W215" s="61"/>
      <c r="X215" s="61"/>
      <c r="Y215" s="61"/>
      <c r="Z215" s="52"/>
      <c r="AA215" s="52"/>
      <c r="AB215" s="52"/>
      <c r="AC215" s="52"/>
      <c r="AD215" s="53"/>
      <c r="AE215" s="53"/>
      <c r="AF215" s="53"/>
    </row>
    <row r="216">
      <c r="G216" s="55"/>
      <c r="H216" s="54"/>
      <c r="I216" s="54"/>
      <c r="J216" s="54"/>
      <c r="K216" s="54"/>
      <c r="L216" s="54"/>
      <c r="M216" s="54"/>
      <c r="N216" s="59"/>
      <c r="O216" s="61"/>
      <c r="P216" s="61"/>
      <c r="Q216" s="61"/>
      <c r="R216" s="50"/>
      <c r="S216" s="50"/>
      <c r="T216" s="61"/>
      <c r="U216" s="61"/>
      <c r="V216" s="61"/>
      <c r="W216" s="61"/>
      <c r="X216" s="61"/>
      <c r="Y216" s="61"/>
      <c r="Z216" s="52"/>
      <c r="AA216" s="52"/>
      <c r="AB216" s="52"/>
      <c r="AC216" s="52"/>
      <c r="AD216" s="53"/>
      <c r="AE216" s="53"/>
      <c r="AF216" s="53"/>
    </row>
    <row r="217">
      <c r="G217" s="55"/>
      <c r="H217" s="54"/>
      <c r="I217" s="54"/>
      <c r="J217" s="54"/>
      <c r="K217" s="54"/>
      <c r="L217" s="54"/>
      <c r="M217" s="54"/>
      <c r="N217" s="59"/>
      <c r="O217" s="61"/>
      <c r="P217" s="61"/>
      <c r="Q217" s="61"/>
      <c r="R217" s="50"/>
      <c r="S217" s="50"/>
      <c r="T217" s="61"/>
      <c r="U217" s="61"/>
      <c r="V217" s="61"/>
      <c r="W217" s="61"/>
      <c r="X217" s="61"/>
      <c r="Y217" s="61"/>
      <c r="Z217" s="52"/>
      <c r="AA217" s="52"/>
      <c r="AB217" s="52"/>
      <c r="AC217" s="52"/>
      <c r="AD217" s="53"/>
      <c r="AE217" s="53"/>
      <c r="AF217" s="53"/>
    </row>
    <row r="218">
      <c r="G218" s="55"/>
      <c r="H218" s="54"/>
      <c r="I218" s="54"/>
      <c r="J218" s="54"/>
      <c r="K218" s="54"/>
      <c r="L218" s="54"/>
      <c r="M218" s="54"/>
      <c r="N218" s="59"/>
      <c r="O218" s="61"/>
      <c r="P218" s="61"/>
      <c r="Q218" s="61"/>
      <c r="R218" s="50"/>
      <c r="S218" s="50"/>
      <c r="T218" s="61"/>
      <c r="U218" s="61"/>
      <c r="V218" s="61"/>
      <c r="W218" s="61"/>
      <c r="X218" s="61"/>
      <c r="Y218" s="61"/>
      <c r="Z218" s="52"/>
      <c r="AA218" s="52"/>
      <c r="AB218" s="52"/>
      <c r="AC218" s="52"/>
      <c r="AD218" s="53"/>
      <c r="AE218" s="53"/>
      <c r="AF218" s="53"/>
    </row>
    <row r="219">
      <c r="G219" s="55"/>
      <c r="H219" s="54"/>
      <c r="I219" s="54"/>
      <c r="J219" s="54"/>
      <c r="K219" s="54"/>
      <c r="L219" s="54"/>
      <c r="M219" s="54"/>
      <c r="N219" s="59"/>
      <c r="O219" s="61"/>
      <c r="P219" s="61"/>
      <c r="Q219" s="61"/>
      <c r="R219" s="50"/>
      <c r="S219" s="50"/>
      <c r="T219" s="61"/>
      <c r="U219" s="61"/>
      <c r="V219" s="61"/>
      <c r="W219" s="61"/>
      <c r="X219" s="61"/>
      <c r="Y219" s="61"/>
      <c r="Z219" s="52"/>
      <c r="AA219" s="52"/>
      <c r="AB219" s="52"/>
      <c r="AC219" s="52"/>
      <c r="AD219" s="53"/>
      <c r="AE219" s="53"/>
      <c r="AF219" s="53"/>
    </row>
    <row r="220">
      <c r="G220" s="55"/>
      <c r="H220" s="54"/>
      <c r="I220" s="54"/>
      <c r="J220" s="54"/>
      <c r="K220" s="54"/>
      <c r="L220" s="54"/>
      <c r="M220" s="54"/>
      <c r="N220" s="59"/>
      <c r="O220" s="61"/>
      <c r="P220" s="61"/>
      <c r="Q220" s="61"/>
      <c r="R220" s="50"/>
      <c r="S220" s="50"/>
      <c r="T220" s="61"/>
      <c r="U220" s="61"/>
      <c r="V220" s="61"/>
      <c r="W220" s="61"/>
      <c r="X220" s="61"/>
      <c r="Y220" s="61"/>
      <c r="Z220" s="52"/>
      <c r="AA220" s="52"/>
      <c r="AB220" s="52"/>
      <c r="AC220" s="52"/>
      <c r="AD220" s="53"/>
      <c r="AE220" s="53"/>
      <c r="AF220" s="53"/>
    </row>
    <row r="221">
      <c r="G221" s="55"/>
      <c r="H221" s="54"/>
      <c r="I221" s="54"/>
      <c r="J221" s="54"/>
      <c r="K221" s="54"/>
      <c r="L221" s="54"/>
      <c r="M221" s="54"/>
      <c r="N221" s="59"/>
      <c r="O221" s="61"/>
      <c r="P221" s="61"/>
      <c r="Q221" s="61"/>
      <c r="R221" s="50"/>
      <c r="S221" s="50"/>
      <c r="T221" s="61"/>
      <c r="U221" s="61"/>
      <c r="V221" s="61"/>
      <c r="W221" s="61"/>
      <c r="X221" s="61"/>
      <c r="Y221" s="61"/>
      <c r="Z221" s="52"/>
      <c r="AA221" s="52"/>
      <c r="AB221" s="52"/>
      <c r="AC221" s="52"/>
      <c r="AD221" s="53"/>
      <c r="AE221" s="53"/>
      <c r="AF221" s="53"/>
    </row>
    <row r="222">
      <c r="G222" s="55"/>
      <c r="H222" s="54"/>
      <c r="I222" s="54"/>
      <c r="J222" s="54"/>
      <c r="K222" s="54"/>
      <c r="L222" s="54"/>
      <c r="M222" s="54"/>
      <c r="N222" s="59"/>
      <c r="O222" s="61"/>
      <c r="P222" s="61"/>
      <c r="Q222" s="61"/>
      <c r="R222" s="50"/>
      <c r="S222" s="50"/>
      <c r="T222" s="61"/>
      <c r="U222" s="61"/>
      <c r="V222" s="61"/>
      <c r="W222" s="61"/>
      <c r="X222" s="61"/>
      <c r="Y222" s="61"/>
      <c r="Z222" s="52"/>
      <c r="AA222" s="52"/>
      <c r="AB222" s="52"/>
      <c r="AC222" s="52"/>
      <c r="AD222" s="53"/>
      <c r="AE222" s="53"/>
      <c r="AF222" s="53"/>
    </row>
    <row r="223">
      <c r="G223" s="55"/>
      <c r="H223" s="54"/>
      <c r="I223" s="54"/>
      <c r="J223" s="54"/>
      <c r="K223" s="54"/>
      <c r="L223" s="54"/>
      <c r="M223" s="54"/>
      <c r="N223" s="59"/>
      <c r="O223" s="61"/>
      <c r="P223" s="61"/>
      <c r="Q223" s="61"/>
      <c r="R223" s="50"/>
      <c r="S223" s="50"/>
      <c r="T223" s="61"/>
      <c r="U223" s="61"/>
      <c r="V223" s="61"/>
      <c r="W223" s="61"/>
      <c r="X223" s="61"/>
      <c r="Y223" s="61"/>
      <c r="Z223" s="52"/>
      <c r="AA223" s="52"/>
      <c r="AB223" s="52"/>
      <c r="AC223" s="52"/>
      <c r="AD223" s="53"/>
      <c r="AE223" s="53"/>
      <c r="AF223" s="53"/>
    </row>
    <row r="224">
      <c r="G224" s="55"/>
      <c r="H224" s="54"/>
      <c r="I224" s="54"/>
      <c r="J224" s="54"/>
      <c r="K224" s="54"/>
      <c r="L224" s="54"/>
      <c r="M224" s="54"/>
      <c r="N224" s="59"/>
      <c r="O224" s="61"/>
      <c r="P224" s="61"/>
      <c r="Q224" s="61"/>
      <c r="R224" s="50"/>
      <c r="S224" s="50"/>
      <c r="T224" s="61"/>
      <c r="U224" s="61"/>
      <c r="V224" s="61"/>
      <c r="W224" s="61"/>
      <c r="X224" s="61"/>
      <c r="Y224" s="61"/>
      <c r="Z224" s="52"/>
      <c r="AA224" s="52"/>
      <c r="AB224" s="52"/>
      <c r="AC224" s="52"/>
      <c r="AD224" s="53"/>
      <c r="AE224" s="53"/>
      <c r="AF224" s="53"/>
    </row>
    <row r="225">
      <c r="G225" s="55"/>
      <c r="H225" s="54"/>
      <c r="I225" s="54"/>
      <c r="J225" s="54"/>
      <c r="K225" s="54"/>
      <c r="L225" s="54"/>
      <c r="M225" s="54"/>
      <c r="N225" s="59"/>
      <c r="O225" s="61"/>
      <c r="P225" s="61"/>
      <c r="Q225" s="61"/>
      <c r="R225" s="50"/>
      <c r="S225" s="50"/>
      <c r="T225" s="61"/>
      <c r="U225" s="61"/>
      <c r="V225" s="61"/>
      <c r="W225" s="61"/>
      <c r="X225" s="61"/>
      <c r="Y225" s="61"/>
      <c r="Z225" s="52"/>
      <c r="AA225" s="52"/>
      <c r="AB225" s="52"/>
      <c r="AC225" s="52"/>
      <c r="AD225" s="53"/>
      <c r="AE225" s="53"/>
      <c r="AF225" s="53"/>
    </row>
    <row r="226">
      <c r="G226" s="55"/>
      <c r="H226" s="54"/>
      <c r="I226" s="54"/>
      <c r="J226" s="54"/>
      <c r="K226" s="54"/>
      <c r="L226" s="54"/>
      <c r="M226" s="54"/>
      <c r="N226" s="59"/>
      <c r="O226" s="61"/>
      <c r="P226" s="61"/>
      <c r="Q226" s="61"/>
      <c r="R226" s="50"/>
      <c r="S226" s="50"/>
      <c r="T226" s="61"/>
      <c r="U226" s="61"/>
      <c r="V226" s="61"/>
      <c r="W226" s="61"/>
      <c r="X226" s="61"/>
      <c r="Y226" s="61"/>
      <c r="Z226" s="52"/>
      <c r="AA226" s="52"/>
      <c r="AB226" s="52"/>
      <c r="AC226" s="52"/>
      <c r="AD226" s="53"/>
      <c r="AE226" s="53"/>
      <c r="AF226" s="53"/>
    </row>
    <row r="227">
      <c r="G227" s="55"/>
      <c r="H227" s="54"/>
      <c r="I227" s="54"/>
      <c r="J227" s="54"/>
      <c r="K227" s="54"/>
      <c r="L227" s="54"/>
      <c r="M227" s="54"/>
      <c r="N227" s="59"/>
      <c r="O227" s="61"/>
      <c r="P227" s="61"/>
      <c r="Q227" s="61"/>
      <c r="R227" s="50"/>
      <c r="S227" s="50"/>
      <c r="T227" s="61"/>
      <c r="U227" s="61"/>
      <c r="V227" s="61"/>
      <c r="W227" s="61"/>
      <c r="X227" s="61"/>
      <c r="Y227" s="61"/>
      <c r="Z227" s="52"/>
      <c r="AA227" s="52"/>
      <c r="AB227" s="52"/>
      <c r="AC227" s="52"/>
      <c r="AD227" s="53"/>
      <c r="AE227" s="53"/>
      <c r="AF227" s="53"/>
    </row>
    <row r="228">
      <c r="G228" s="55"/>
      <c r="H228" s="54"/>
      <c r="I228" s="54"/>
      <c r="J228" s="54"/>
      <c r="K228" s="54"/>
      <c r="L228" s="54"/>
      <c r="M228" s="54"/>
      <c r="N228" s="59"/>
      <c r="O228" s="61"/>
      <c r="P228" s="61"/>
      <c r="Q228" s="61"/>
      <c r="R228" s="50"/>
      <c r="S228" s="50"/>
      <c r="T228" s="61"/>
      <c r="U228" s="61"/>
      <c r="V228" s="61"/>
      <c r="W228" s="61"/>
      <c r="X228" s="61"/>
      <c r="Y228" s="61"/>
      <c r="Z228" s="52"/>
      <c r="AA228" s="52"/>
      <c r="AB228" s="52"/>
      <c r="AC228" s="52"/>
      <c r="AD228" s="53"/>
      <c r="AE228" s="53"/>
      <c r="AF228" s="53"/>
    </row>
    <row r="229">
      <c r="G229" s="55"/>
      <c r="H229" s="54"/>
      <c r="I229" s="54"/>
      <c r="J229" s="54"/>
      <c r="K229" s="54"/>
      <c r="L229" s="54"/>
      <c r="M229" s="54"/>
      <c r="N229" s="59"/>
      <c r="O229" s="61"/>
      <c r="P229" s="61"/>
      <c r="Q229" s="61"/>
      <c r="R229" s="50"/>
      <c r="S229" s="50"/>
      <c r="T229" s="61"/>
      <c r="U229" s="61"/>
      <c r="V229" s="61"/>
      <c r="W229" s="61"/>
      <c r="X229" s="61"/>
      <c r="Y229" s="61"/>
      <c r="Z229" s="52"/>
      <c r="AA229" s="52"/>
      <c r="AB229" s="52"/>
      <c r="AC229" s="52"/>
      <c r="AD229" s="53"/>
      <c r="AE229" s="53"/>
      <c r="AF229" s="53"/>
    </row>
    <row r="230">
      <c r="G230" s="55"/>
      <c r="H230" s="54"/>
      <c r="I230" s="54"/>
      <c r="J230" s="54"/>
      <c r="K230" s="54"/>
      <c r="L230" s="54"/>
      <c r="M230" s="54"/>
      <c r="N230" s="59"/>
      <c r="O230" s="61"/>
      <c r="P230" s="61"/>
      <c r="Q230" s="61"/>
      <c r="R230" s="50"/>
      <c r="S230" s="50"/>
      <c r="T230" s="61"/>
      <c r="U230" s="61"/>
      <c r="V230" s="61"/>
      <c r="W230" s="61"/>
      <c r="X230" s="61"/>
      <c r="Y230" s="61"/>
      <c r="Z230" s="52"/>
      <c r="AA230" s="52"/>
      <c r="AB230" s="52"/>
      <c r="AC230" s="52"/>
      <c r="AD230" s="53"/>
      <c r="AE230" s="53"/>
      <c r="AF230" s="53"/>
    </row>
    <row r="231">
      <c r="G231" s="55"/>
      <c r="H231" s="54"/>
      <c r="I231" s="54"/>
      <c r="J231" s="54"/>
      <c r="K231" s="54"/>
      <c r="L231" s="54"/>
      <c r="M231" s="54"/>
      <c r="N231" s="59"/>
      <c r="O231" s="61"/>
      <c r="P231" s="61"/>
      <c r="Q231" s="61"/>
      <c r="R231" s="50"/>
      <c r="S231" s="50"/>
      <c r="T231" s="61"/>
      <c r="U231" s="61"/>
      <c r="V231" s="61"/>
      <c r="W231" s="61"/>
      <c r="X231" s="61"/>
      <c r="Y231" s="61"/>
      <c r="Z231" s="52"/>
      <c r="AA231" s="52"/>
      <c r="AB231" s="52"/>
      <c r="AC231" s="52"/>
      <c r="AD231" s="53"/>
      <c r="AE231" s="53"/>
      <c r="AF231" s="53"/>
    </row>
    <row r="232">
      <c r="G232" s="55"/>
      <c r="H232" s="54"/>
      <c r="I232" s="54"/>
      <c r="J232" s="54"/>
      <c r="K232" s="54"/>
      <c r="L232" s="54"/>
      <c r="M232" s="54"/>
      <c r="N232" s="59"/>
      <c r="O232" s="61"/>
      <c r="P232" s="61"/>
      <c r="Q232" s="61"/>
      <c r="R232" s="50"/>
      <c r="S232" s="50"/>
      <c r="T232" s="61"/>
      <c r="U232" s="61"/>
      <c r="V232" s="61"/>
      <c r="W232" s="61"/>
      <c r="X232" s="61"/>
      <c r="Y232" s="61"/>
      <c r="Z232" s="52"/>
      <c r="AA232" s="52"/>
      <c r="AB232" s="52"/>
      <c r="AC232" s="52"/>
      <c r="AD232" s="53"/>
      <c r="AE232" s="53"/>
      <c r="AF232" s="53"/>
    </row>
    <row r="233">
      <c r="G233" s="55"/>
      <c r="H233" s="54"/>
      <c r="I233" s="54"/>
      <c r="J233" s="54"/>
      <c r="K233" s="54"/>
      <c r="L233" s="54"/>
      <c r="M233" s="54"/>
      <c r="N233" s="59"/>
      <c r="O233" s="61"/>
      <c r="P233" s="61"/>
      <c r="Q233" s="61"/>
      <c r="R233" s="50"/>
      <c r="S233" s="50"/>
      <c r="T233" s="61"/>
      <c r="U233" s="61"/>
      <c r="V233" s="61"/>
      <c r="W233" s="61"/>
      <c r="X233" s="61"/>
      <c r="Y233" s="61"/>
      <c r="Z233" s="52"/>
      <c r="AA233" s="52"/>
      <c r="AB233" s="52"/>
      <c r="AC233" s="52"/>
      <c r="AD233" s="53"/>
      <c r="AE233" s="53"/>
      <c r="AF233" s="53"/>
    </row>
    <row r="234">
      <c r="G234" s="55"/>
      <c r="H234" s="54"/>
      <c r="I234" s="54"/>
      <c r="J234" s="54"/>
      <c r="K234" s="54"/>
      <c r="L234" s="54"/>
      <c r="M234" s="54"/>
      <c r="N234" s="59"/>
      <c r="O234" s="61"/>
      <c r="P234" s="61"/>
      <c r="Q234" s="61"/>
      <c r="R234" s="50"/>
      <c r="S234" s="50"/>
      <c r="T234" s="61"/>
      <c r="U234" s="61"/>
      <c r="V234" s="61"/>
      <c r="W234" s="61"/>
      <c r="X234" s="61"/>
      <c r="Y234" s="61"/>
      <c r="Z234" s="52"/>
      <c r="AA234" s="52"/>
      <c r="AB234" s="52"/>
      <c r="AC234" s="52"/>
      <c r="AD234" s="53"/>
      <c r="AE234" s="53"/>
      <c r="AF234" s="53"/>
    </row>
    <row r="235">
      <c r="G235" s="55"/>
      <c r="H235" s="54"/>
      <c r="I235" s="54"/>
      <c r="J235" s="54"/>
      <c r="K235" s="54"/>
      <c r="L235" s="54"/>
      <c r="M235" s="54"/>
      <c r="N235" s="59"/>
      <c r="O235" s="61"/>
      <c r="P235" s="61"/>
      <c r="Q235" s="61"/>
      <c r="R235" s="50"/>
      <c r="S235" s="50"/>
      <c r="T235" s="61"/>
      <c r="U235" s="61"/>
      <c r="V235" s="61"/>
      <c r="W235" s="61"/>
      <c r="X235" s="61"/>
      <c r="Y235" s="61"/>
      <c r="Z235" s="52"/>
      <c r="AA235" s="52"/>
      <c r="AB235" s="52"/>
      <c r="AC235" s="52"/>
      <c r="AD235" s="53"/>
      <c r="AE235" s="53"/>
      <c r="AF235" s="53"/>
    </row>
    <row r="236">
      <c r="G236" s="55"/>
      <c r="H236" s="54"/>
      <c r="I236" s="54"/>
      <c r="J236" s="54"/>
      <c r="K236" s="54"/>
      <c r="L236" s="54"/>
      <c r="M236" s="54"/>
      <c r="N236" s="59"/>
      <c r="O236" s="61"/>
      <c r="P236" s="61"/>
      <c r="Q236" s="61"/>
      <c r="R236" s="50"/>
      <c r="S236" s="50"/>
      <c r="T236" s="61"/>
      <c r="U236" s="61"/>
      <c r="V236" s="61"/>
      <c r="W236" s="61"/>
      <c r="X236" s="61"/>
      <c r="Y236" s="61"/>
      <c r="Z236" s="52"/>
      <c r="AA236" s="52"/>
      <c r="AB236" s="52"/>
      <c r="AC236" s="52"/>
      <c r="AD236" s="53"/>
      <c r="AE236" s="53"/>
      <c r="AF236" s="53"/>
    </row>
    <row r="237">
      <c r="G237" s="55"/>
      <c r="H237" s="54"/>
      <c r="I237" s="54"/>
      <c r="J237" s="54"/>
      <c r="K237" s="54"/>
      <c r="L237" s="54"/>
      <c r="M237" s="54"/>
      <c r="N237" s="59"/>
      <c r="O237" s="61"/>
      <c r="P237" s="61"/>
      <c r="Q237" s="61"/>
      <c r="R237" s="50"/>
      <c r="S237" s="50"/>
      <c r="T237" s="61"/>
      <c r="U237" s="61"/>
      <c r="V237" s="61"/>
      <c r="W237" s="61"/>
      <c r="X237" s="61"/>
      <c r="Y237" s="61"/>
      <c r="Z237" s="52"/>
      <c r="AA237" s="52"/>
      <c r="AB237" s="52"/>
      <c r="AC237" s="52"/>
      <c r="AD237" s="53"/>
      <c r="AE237" s="53"/>
      <c r="AF237" s="53"/>
    </row>
    <row r="238">
      <c r="G238" s="55"/>
      <c r="H238" s="54"/>
      <c r="I238" s="54"/>
      <c r="J238" s="54"/>
      <c r="K238" s="54"/>
      <c r="L238" s="54"/>
      <c r="M238" s="54"/>
      <c r="N238" s="59"/>
      <c r="O238" s="61"/>
      <c r="P238" s="61"/>
      <c r="Q238" s="61"/>
      <c r="R238" s="50"/>
      <c r="S238" s="50"/>
      <c r="T238" s="61"/>
      <c r="U238" s="61"/>
      <c r="V238" s="61"/>
      <c r="W238" s="61"/>
      <c r="X238" s="61"/>
      <c r="Y238" s="61"/>
      <c r="Z238" s="52"/>
      <c r="AA238" s="52"/>
      <c r="AB238" s="52"/>
      <c r="AC238" s="52"/>
      <c r="AD238" s="53"/>
      <c r="AE238" s="53"/>
      <c r="AF238" s="53"/>
    </row>
    <row r="239">
      <c r="G239" s="55"/>
      <c r="H239" s="54"/>
      <c r="I239" s="54"/>
      <c r="J239" s="54"/>
      <c r="K239" s="54"/>
      <c r="L239" s="54"/>
      <c r="M239" s="54"/>
      <c r="N239" s="59"/>
      <c r="O239" s="61"/>
      <c r="P239" s="61"/>
      <c r="Q239" s="61"/>
      <c r="R239" s="50"/>
      <c r="S239" s="50"/>
      <c r="T239" s="61"/>
      <c r="U239" s="61"/>
      <c r="V239" s="61"/>
      <c r="W239" s="61"/>
      <c r="X239" s="61"/>
      <c r="Y239" s="61"/>
      <c r="Z239" s="52"/>
      <c r="AA239" s="52"/>
      <c r="AB239" s="52"/>
      <c r="AC239" s="52"/>
      <c r="AD239" s="53"/>
      <c r="AE239" s="53"/>
      <c r="AF239" s="53"/>
    </row>
    <row r="240">
      <c r="G240" s="55"/>
      <c r="H240" s="54"/>
      <c r="I240" s="54"/>
      <c r="J240" s="54"/>
      <c r="K240" s="54"/>
      <c r="L240" s="54"/>
      <c r="M240" s="54"/>
      <c r="N240" s="59"/>
      <c r="O240" s="61"/>
      <c r="P240" s="61"/>
      <c r="Q240" s="61"/>
      <c r="R240" s="50"/>
      <c r="S240" s="50"/>
      <c r="T240" s="61"/>
      <c r="U240" s="61"/>
      <c r="V240" s="61"/>
      <c r="W240" s="61"/>
      <c r="X240" s="61"/>
      <c r="Y240" s="61"/>
      <c r="Z240" s="52"/>
      <c r="AA240" s="52"/>
      <c r="AB240" s="52"/>
      <c r="AC240" s="52"/>
      <c r="AD240" s="53"/>
      <c r="AE240" s="53"/>
      <c r="AF240" s="53"/>
    </row>
    <row r="241">
      <c r="G241" s="55"/>
      <c r="H241" s="54"/>
      <c r="I241" s="54"/>
      <c r="J241" s="54"/>
      <c r="K241" s="54"/>
      <c r="L241" s="54"/>
      <c r="M241" s="54"/>
      <c r="N241" s="59"/>
      <c r="O241" s="61"/>
      <c r="P241" s="61"/>
      <c r="Q241" s="61"/>
      <c r="R241" s="50"/>
      <c r="S241" s="50"/>
      <c r="T241" s="61"/>
      <c r="U241" s="61"/>
      <c r="V241" s="61"/>
      <c r="W241" s="61"/>
      <c r="X241" s="61"/>
      <c r="Y241" s="61"/>
      <c r="Z241" s="52"/>
      <c r="AA241" s="52"/>
      <c r="AB241" s="52"/>
      <c r="AC241" s="52"/>
      <c r="AD241" s="53"/>
      <c r="AE241" s="53"/>
      <c r="AF241" s="53"/>
    </row>
    <row r="242">
      <c r="G242" s="55"/>
      <c r="H242" s="54"/>
      <c r="I242" s="54"/>
      <c r="J242" s="54"/>
      <c r="K242" s="54"/>
      <c r="L242" s="54"/>
      <c r="M242" s="54"/>
      <c r="N242" s="59"/>
      <c r="O242" s="61"/>
      <c r="P242" s="61"/>
      <c r="Q242" s="61"/>
      <c r="R242" s="50"/>
      <c r="S242" s="50"/>
      <c r="T242" s="61"/>
      <c r="U242" s="61"/>
      <c r="V242" s="61"/>
      <c r="W242" s="61"/>
      <c r="X242" s="61"/>
      <c r="Y242" s="61"/>
      <c r="Z242" s="52"/>
      <c r="AA242" s="52"/>
      <c r="AB242" s="52"/>
      <c r="AC242" s="52"/>
      <c r="AD242" s="53"/>
      <c r="AE242" s="53"/>
      <c r="AF242" s="53"/>
    </row>
    <row r="243">
      <c r="G243" s="55"/>
      <c r="H243" s="54"/>
      <c r="I243" s="54"/>
      <c r="J243" s="54"/>
      <c r="K243" s="54"/>
      <c r="L243" s="54"/>
      <c r="M243" s="54"/>
      <c r="N243" s="59"/>
      <c r="O243" s="61"/>
      <c r="P243" s="61"/>
      <c r="Q243" s="61"/>
      <c r="R243" s="50"/>
      <c r="S243" s="50"/>
      <c r="T243" s="61"/>
      <c r="U243" s="61"/>
      <c r="V243" s="61"/>
      <c r="W243" s="61"/>
      <c r="X243" s="61"/>
      <c r="Y243" s="61"/>
      <c r="Z243" s="52"/>
      <c r="AA243" s="52"/>
      <c r="AB243" s="52"/>
      <c r="AC243" s="52"/>
      <c r="AD243" s="53"/>
      <c r="AE243" s="53"/>
      <c r="AF243" s="53"/>
    </row>
    <row r="244">
      <c r="G244" s="55"/>
      <c r="H244" s="54"/>
      <c r="I244" s="54"/>
      <c r="J244" s="54"/>
      <c r="K244" s="54"/>
      <c r="L244" s="54"/>
      <c r="M244" s="54"/>
      <c r="N244" s="59"/>
      <c r="O244" s="61"/>
      <c r="P244" s="61"/>
      <c r="Q244" s="61"/>
      <c r="R244" s="50"/>
      <c r="S244" s="50"/>
      <c r="T244" s="61"/>
      <c r="U244" s="61"/>
      <c r="V244" s="61"/>
      <c r="W244" s="61"/>
      <c r="X244" s="61"/>
      <c r="Y244" s="61"/>
      <c r="Z244" s="52"/>
      <c r="AA244" s="52"/>
      <c r="AB244" s="52"/>
      <c r="AC244" s="52"/>
      <c r="AD244" s="53"/>
      <c r="AE244" s="53"/>
      <c r="AF244" s="53"/>
    </row>
    <row r="245">
      <c r="G245" s="55"/>
      <c r="H245" s="54"/>
      <c r="I245" s="54"/>
      <c r="J245" s="54"/>
      <c r="K245" s="54"/>
      <c r="L245" s="54"/>
      <c r="M245" s="54"/>
      <c r="N245" s="59"/>
      <c r="O245" s="61"/>
      <c r="P245" s="61"/>
      <c r="Q245" s="61"/>
      <c r="R245" s="50"/>
      <c r="S245" s="50"/>
      <c r="T245" s="61"/>
      <c r="U245" s="61"/>
      <c r="V245" s="61"/>
      <c r="W245" s="61"/>
      <c r="X245" s="61"/>
      <c r="Y245" s="61"/>
      <c r="Z245" s="52"/>
      <c r="AA245" s="52"/>
      <c r="AB245" s="52"/>
      <c r="AC245" s="52"/>
      <c r="AD245" s="53"/>
      <c r="AE245" s="53"/>
      <c r="AF245" s="53"/>
    </row>
    <row r="246">
      <c r="G246" s="55"/>
      <c r="H246" s="54"/>
      <c r="I246" s="54"/>
      <c r="J246" s="54"/>
      <c r="K246" s="54"/>
      <c r="L246" s="54"/>
      <c r="M246" s="54"/>
      <c r="N246" s="59"/>
      <c r="O246" s="61"/>
      <c r="P246" s="61"/>
      <c r="Q246" s="61"/>
      <c r="R246" s="50"/>
      <c r="S246" s="50"/>
      <c r="T246" s="61"/>
      <c r="U246" s="61"/>
      <c r="V246" s="61"/>
      <c r="W246" s="61"/>
      <c r="X246" s="61"/>
      <c r="Y246" s="61"/>
      <c r="Z246" s="52"/>
      <c r="AA246" s="52"/>
      <c r="AB246" s="52"/>
      <c r="AC246" s="52"/>
      <c r="AD246" s="53"/>
      <c r="AE246" s="53"/>
      <c r="AF246" s="53"/>
    </row>
    <row r="247">
      <c r="G247" s="55"/>
      <c r="H247" s="54"/>
      <c r="I247" s="54"/>
      <c r="J247" s="54"/>
      <c r="K247" s="54"/>
      <c r="L247" s="54"/>
      <c r="M247" s="54"/>
      <c r="N247" s="59"/>
      <c r="O247" s="61"/>
      <c r="P247" s="61"/>
      <c r="Q247" s="61"/>
      <c r="R247" s="50"/>
      <c r="S247" s="50"/>
      <c r="T247" s="61"/>
      <c r="U247" s="61"/>
      <c r="V247" s="61"/>
      <c r="W247" s="61"/>
      <c r="X247" s="61"/>
      <c r="Y247" s="61"/>
      <c r="Z247" s="52"/>
      <c r="AA247" s="52"/>
      <c r="AB247" s="52"/>
      <c r="AC247" s="52"/>
      <c r="AD247" s="53"/>
      <c r="AE247" s="53"/>
      <c r="AF247" s="53"/>
    </row>
    <row r="248">
      <c r="G248" s="55"/>
      <c r="H248" s="54"/>
      <c r="I248" s="54"/>
      <c r="J248" s="54"/>
      <c r="K248" s="54"/>
      <c r="L248" s="54"/>
      <c r="M248" s="54"/>
      <c r="N248" s="59"/>
      <c r="O248" s="61"/>
      <c r="P248" s="61"/>
      <c r="Q248" s="61"/>
      <c r="R248" s="50"/>
      <c r="S248" s="50"/>
      <c r="T248" s="61"/>
      <c r="U248" s="61"/>
      <c r="V248" s="61"/>
      <c r="W248" s="61"/>
      <c r="X248" s="61"/>
      <c r="Y248" s="61"/>
      <c r="Z248" s="52"/>
      <c r="AA248" s="52"/>
      <c r="AB248" s="52"/>
      <c r="AC248" s="52"/>
      <c r="AD248" s="53"/>
      <c r="AE248" s="53"/>
      <c r="AF248" s="53"/>
    </row>
    <row r="249">
      <c r="G249" s="55"/>
      <c r="H249" s="54"/>
      <c r="I249" s="54"/>
      <c r="J249" s="54"/>
      <c r="K249" s="54"/>
      <c r="L249" s="54"/>
      <c r="M249" s="54"/>
      <c r="N249" s="59"/>
      <c r="O249" s="61"/>
      <c r="P249" s="61"/>
      <c r="Q249" s="61"/>
      <c r="R249" s="50"/>
      <c r="S249" s="50"/>
      <c r="T249" s="61"/>
      <c r="U249" s="61"/>
      <c r="V249" s="61"/>
      <c r="W249" s="61"/>
      <c r="X249" s="61"/>
      <c r="Y249" s="61"/>
      <c r="Z249" s="52"/>
      <c r="AA249" s="52"/>
      <c r="AB249" s="52"/>
      <c r="AC249" s="52"/>
      <c r="AD249" s="53"/>
      <c r="AE249" s="53"/>
      <c r="AF249" s="53"/>
    </row>
    <row r="250">
      <c r="G250" s="55"/>
      <c r="H250" s="54"/>
      <c r="I250" s="54"/>
      <c r="J250" s="54"/>
      <c r="K250" s="54"/>
      <c r="L250" s="54"/>
      <c r="M250" s="54"/>
      <c r="N250" s="59"/>
      <c r="O250" s="61"/>
      <c r="P250" s="61"/>
      <c r="Q250" s="61"/>
      <c r="R250" s="50"/>
      <c r="S250" s="50"/>
      <c r="T250" s="61"/>
      <c r="U250" s="61"/>
      <c r="V250" s="61"/>
      <c r="W250" s="61"/>
      <c r="X250" s="61"/>
      <c r="Y250" s="61"/>
      <c r="Z250" s="52"/>
      <c r="AA250" s="52"/>
      <c r="AB250" s="52"/>
      <c r="AC250" s="52"/>
      <c r="AD250" s="53"/>
      <c r="AE250" s="53"/>
      <c r="AF250" s="53"/>
    </row>
    <row r="251">
      <c r="G251" s="55"/>
      <c r="H251" s="54"/>
      <c r="I251" s="54"/>
      <c r="J251" s="54"/>
      <c r="K251" s="54"/>
      <c r="L251" s="54"/>
      <c r="M251" s="54"/>
      <c r="N251" s="59"/>
      <c r="O251" s="61"/>
      <c r="P251" s="61"/>
      <c r="Q251" s="61"/>
      <c r="R251" s="50"/>
      <c r="S251" s="50"/>
      <c r="T251" s="61"/>
      <c r="U251" s="61"/>
      <c r="V251" s="61"/>
      <c r="W251" s="61"/>
      <c r="X251" s="61"/>
      <c r="Y251" s="61"/>
      <c r="Z251" s="52"/>
      <c r="AA251" s="52"/>
      <c r="AB251" s="52"/>
      <c r="AC251" s="52"/>
      <c r="AD251" s="53"/>
      <c r="AE251" s="53"/>
      <c r="AF251" s="53"/>
    </row>
    <row r="252">
      <c r="G252" s="55"/>
      <c r="H252" s="54"/>
      <c r="I252" s="54"/>
      <c r="J252" s="54"/>
      <c r="K252" s="54"/>
      <c r="L252" s="54"/>
      <c r="M252" s="54"/>
      <c r="N252" s="59"/>
      <c r="O252" s="61"/>
      <c r="P252" s="61"/>
      <c r="Q252" s="61"/>
      <c r="R252" s="50"/>
      <c r="S252" s="50"/>
      <c r="T252" s="61"/>
      <c r="U252" s="61"/>
      <c r="V252" s="61"/>
      <c r="W252" s="61"/>
      <c r="X252" s="61"/>
      <c r="Y252" s="61"/>
      <c r="Z252" s="52"/>
      <c r="AA252" s="52"/>
      <c r="AB252" s="52"/>
      <c r="AC252" s="52"/>
      <c r="AD252" s="53"/>
      <c r="AE252" s="53"/>
      <c r="AF252" s="53"/>
    </row>
    <row r="253">
      <c r="G253" s="55"/>
      <c r="H253" s="54"/>
      <c r="I253" s="54"/>
      <c r="J253" s="54"/>
      <c r="K253" s="54"/>
      <c r="L253" s="54"/>
      <c r="M253" s="54"/>
      <c r="N253" s="59"/>
      <c r="O253" s="61"/>
      <c r="P253" s="61"/>
      <c r="Q253" s="61"/>
      <c r="R253" s="50"/>
      <c r="S253" s="50"/>
      <c r="T253" s="61"/>
      <c r="U253" s="61"/>
      <c r="V253" s="61"/>
      <c r="W253" s="61"/>
      <c r="X253" s="61"/>
      <c r="Y253" s="61"/>
      <c r="Z253" s="52"/>
      <c r="AA253" s="52"/>
      <c r="AB253" s="52"/>
      <c r="AC253" s="52"/>
      <c r="AD253" s="53"/>
      <c r="AE253" s="53"/>
      <c r="AF253" s="53"/>
    </row>
    <row r="254">
      <c r="G254" s="55"/>
      <c r="H254" s="54"/>
      <c r="I254" s="54"/>
      <c r="J254" s="54"/>
      <c r="K254" s="54"/>
      <c r="L254" s="54"/>
      <c r="M254" s="54"/>
      <c r="N254" s="59"/>
      <c r="O254" s="61"/>
      <c r="P254" s="61"/>
      <c r="Q254" s="61"/>
      <c r="R254" s="50"/>
      <c r="S254" s="50"/>
      <c r="T254" s="61"/>
      <c r="U254" s="61"/>
      <c r="V254" s="61"/>
      <c r="W254" s="61"/>
      <c r="X254" s="61"/>
      <c r="Y254" s="61"/>
      <c r="Z254" s="52"/>
      <c r="AA254" s="52"/>
      <c r="AB254" s="52"/>
      <c r="AC254" s="52"/>
      <c r="AD254" s="53"/>
      <c r="AE254" s="53"/>
      <c r="AF254" s="53"/>
    </row>
    <row r="255">
      <c r="G255" s="55"/>
      <c r="H255" s="54"/>
      <c r="I255" s="54"/>
      <c r="J255" s="54"/>
      <c r="K255" s="54"/>
      <c r="L255" s="54"/>
      <c r="M255" s="54"/>
      <c r="N255" s="59"/>
      <c r="O255" s="61"/>
      <c r="P255" s="61"/>
      <c r="Q255" s="61"/>
      <c r="R255" s="50"/>
      <c r="S255" s="50"/>
      <c r="T255" s="61"/>
      <c r="U255" s="61"/>
      <c r="V255" s="61"/>
      <c r="W255" s="61"/>
      <c r="X255" s="61"/>
      <c r="Y255" s="61"/>
      <c r="Z255" s="52"/>
      <c r="AA255" s="52"/>
      <c r="AB255" s="52"/>
      <c r="AC255" s="52"/>
      <c r="AD255" s="53"/>
      <c r="AE255" s="53"/>
      <c r="AF255" s="53"/>
    </row>
    <row r="256">
      <c r="G256" s="55"/>
      <c r="H256" s="54"/>
      <c r="I256" s="54"/>
      <c r="J256" s="54"/>
      <c r="K256" s="54"/>
      <c r="L256" s="54"/>
      <c r="M256" s="54"/>
      <c r="N256" s="59"/>
      <c r="O256" s="61"/>
      <c r="P256" s="61"/>
      <c r="Q256" s="61"/>
      <c r="R256" s="50"/>
      <c r="S256" s="50"/>
      <c r="T256" s="61"/>
      <c r="U256" s="61"/>
      <c r="V256" s="61"/>
      <c r="W256" s="61"/>
      <c r="X256" s="61"/>
      <c r="Y256" s="61"/>
      <c r="Z256" s="52"/>
      <c r="AA256" s="52"/>
      <c r="AB256" s="52"/>
      <c r="AC256" s="52"/>
      <c r="AD256" s="53"/>
      <c r="AE256" s="53"/>
      <c r="AF256" s="53"/>
    </row>
    <row r="257">
      <c r="G257" s="55"/>
      <c r="H257" s="54"/>
      <c r="I257" s="54"/>
      <c r="J257" s="54"/>
      <c r="K257" s="54"/>
      <c r="L257" s="54"/>
      <c r="M257" s="54"/>
      <c r="N257" s="59"/>
      <c r="O257" s="61"/>
      <c r="P257" s="61"/>
      <c r="Q257" s="61"/>
      <c r="R257" s="50"/>
      <c r="S257" s="50"/>
      <c r="T257" s="61"/>
      <c r="U257" s="61"/>
      <c r="V257" s="61"/>
      <c r="W257" s="61"/>
      <c r="X257" s="61"/>
      <c r="Y257" s="61"/>
      <c r="Z257" s="52"/>
      <c r="AA257" s="52"/>
      <c r="AB257" s="52"/>
      <c r="AC257" s="52"/>
      <c r="AD257" s="53"/>
      <c r="AE257" s="53"/>
      <c r="AF257" s="53"/>
    </row>
    <row r="258">
      <c r="G258" s="55"/>
      <c r="H258" s="54"/>
      <c r="I258" s="54"/>
      <c r="J258" s="54"/>
      <c r="K258" s="54"/>
      <c r="L258" s="54"/>
      <c r="M258" s="54"/>
      <c r="N258" s="59"/>
      <c r="O258" s="61"/>
      <c r="P258" s="61"/>
      <c r="Q258" s="61"/>
      <c r="R258" s="50"/>
      <c r="S258" s="50"/>
      <c r="T258" s="61"/>
      <c r="U258" s="61"/>
      <c r="V258" s="61"/>
      <c r="W258" s="61"/>
      <c r="X258" s="61"/>
      <c r="Y258" s="61"/>
      <c r="Z258" s="52"/>
      <c r="AA258" s="52"/>
      <c r="AB258" s="52"/>
      <c r="AC258" s="52"/>
      <c r="AD258" s="53"/>
      <c r="AE258" s="53"/>
      <c r="AF258" s="53"/>
    </row>
    <row r="259">
      <c r="G259" s="55"/>
      <c r="H259" s="54"/>
      <c r="I259" s="54"/>
      <c r="J259" s="54"/>
      <c r="K259" s="54"/>
      <c r="L259" s="54"/>
      <c r="M259" s="54"/>
      <c r="N259" s="59"/>
      <c r="O259" s="61"/>
      <c r="P259" s="61"/>
      <c r="Q259" s="61"/>
      <c r="R259" s="50"/>
      <c r="S259" s="50"/>
      <c r="T259" s="61"/>
      <c r="U259" s="61"/>
      <c r="V259" s="61"/>
      <c r="W259" s="61"/>
      <c r="X259" s="61"/>
      <c r="Y259" s="61"/>
      <c r="Z259" s="52"/>
      <c r="AA259" s="52"/>
      <c r="AB259" s="52"/>
      <c r="AC259" s="52"/>
      <c r="AD259" s="53"/>
      <c r="AE259" s="53"/>
      <c r="AF259" s="53"/>
    </row>
    <row r="260">
      <c r="G260" s="55"/>
      <c r="H260" s="54"/>
      <c r="I260" s="54"/>
      <c r="J260" s="54"/>
      <c r="K260" s="54"/>
      <c r="L260" s="54"/>
      <c r="M260" s="54"/>
      <c r="N260" s="59"/>
      <c r="O260" s="61"/>
      <c r="P260" s="61"/>
      <c r="Q260" s="61"/>
      <c r="R260" s="50"/>
      <c r="S260" s="50"/>
      <c r="T260" s="61"/>
      <c r="U260" s="61"/>
      <c r="V260" s="61"/>
      <c r="W260" s="61"/>
      <c r="X260" s="61"/>
      <c r="Y260" s="61"/>
      <c r="Z260" s="52"/>
      <c r="AA260" s="52"/>
      <c r="AB260" s="52"/>
      <c r="AC260" s="52"/>
      <c r="AD260" s="53"/>
      <c r="AE260" s="53"/>
      <c r="AF260" s="53"/>
    </row>
    <row r="261">
      <c r="G261" s="55"/>
      <c r="H261" s="54"/>
      <c r="I261" s="54"/>
      <c r="J261" s="54"/>
      <c r="K261" s="54"/>
      <c r="L261" s="54"/>
      <c r="M261" s="54"/>
      <c r="N261" s="59"/>
      <c r="O261" s="61"/>
      <c r="P261" s="61"/>
      <c r="Q261" s="61"/>
      <c r="R261" s="50"/>
      <c r="S261" s="50"/>
      <c r="T261" s="61"/>
      <c r="U261" s="61"/>
      <c r="V261" s="61"/>
      <c r="W261" s="61"/>
      <c r="X261" s="61"/>
      <c r="Y261" s="61"/>
      <c r="Z261" s="52"/>
      <c r="AA261" s="52"/>
      <c r="AB261" s="52"/>
      <c r="AC261" s="52"/>
      <c r="AD261" s="53"/>
      <c r="AE261" s="53"/>
      <c r="AF261" s="53"/>
    </row>
    <row r="262">
      <c r="G262" s="55"/>
      <c r="H262" s="54"/>
      <c r="I262" s="54"/>
      <c r="J262" s="54"/>
      <c r="K262" s="54"/>
      <c r="L262" s="54"/>
      <c r="M262" s="54"/>
      <c r="N262" s="59"/>
      <c r="O262" s="61"/>
      <c r="P262" s="61"/>
      <c r="Q262" s="61"/>
      <c r="R262" s="50"/>
      <c r="S262" s="50"/>
      <c r="T262" s="61"/>
      <c r="U262" s="61"/>
      <c r="V262" s="61"/>
      <c r="W262" s="61"/>
      <c r="X262" s="61"/>
      <c r="Y262" s="61"/>
      <c r="Z262" s="52"/>
      <c r="AA262" s="52"/>
      <c r="AB262" s="52"/>
      <c r="AC262" s="52"/>
      <c r="AD262" s="53"/>
      <c r="AE262" s="53"/>
      <c r="AF262" s="53"/>
    </row>
    <row r="263">
      <c r="G263" s="55"/>
      <c r="H263" s="54"/>
      <c r="I263" s="54"/>
      <c r="J263" s="54"/>
      <c r="K263" s="54"/>
      <c r="L263" s="54"/>
      <c r="M263" s="54"/>
      <c r="N263" s="59"/>
      <c r="O263" s="61"/>
      <c r="P263" s="61"/>
      <c r="Q263" s="61"/>
      <c r="R263" s="50"/>
      <c r="S263" s="50"/>
      <c r="T263" s="61"/>
      <c r="U263" s="61"/>
      <c r="V263" s="61"/>
      <c r="W263" s="61"/>
      <c r="X263" s="61"/>
      <c r="Y263" s="61"/>
      <c r="Z263" s="52"/>
      <c r="AA263" s="52"/>
      <c r="AB263" s="52"/>
      <c r="AC263" s="52"/>
      <c r="AD263" s="53"/>
      <c r="AE263" s="53"/>
      <c r="AF263" s="53"/>
    </row>
    <row r="264">
      <c r="G264" s="55"/>
      <c r="H264" s="54"/>
      <c r="I264" s="54"/>
      <c r="J264" s="54"/>
      <c r="K264" s="54"/>
      <c r="L264" s="54"/>
      <c r="M264" s="54"/>
      <c r="N264" s="59"/>
      <c r="O264" s="61"/>
      <c r="P264" s="61"/>
      <c r="Q264" s="61"/>
      <c r="R264" s="50"/>
      <c r="S264" s="50"/>
      <c r="T264" s="61"/>
      <c r="U264" s="61"/>
      <c r="V264" s="61"/>
      <c r="W264" s="61"/>
      <c r="X264" s="61"/>
      <c r="Y264" s="61"/>
      <c r="Z264" s="52"/>
      <c r="AA264" s="52"/>
      <c r="AB264" s="52"/>
      <c r="AC264" s="52"/>
      <c r="AD264" s="53"/>
      <c r="AE264" s="53"/>
      <c r="AF264" s="53"/>
    </row>
    <row r="265">
      <c r="G265" s="55"/>
      <c r="H265" s="54"/>
      <c r="I265" s="54"/>
      <c r="J265" s="54"/>
      <c r="K265" s="54"/>
      <c r="L265" s="54"/>
      <c r="M265" s="54"/>
      <c r="N265" s="59"/>
      <c r="O265" s="61"/>
      <c r="P265" s="61"/>
      <c r="Q265" s="61"/>
      <c r="R265" s="50"/>
      <c r="S265" s="50"/>
      <c r="T265" s="61"/>
      <c r="U265" s="61"/>
      <c r="V265" s="61"/>
      <c r="W265" s="61"/>
      <c r="X265" s="61"/>
      <c r="Y265" s="61"/>
      <c r="Z265" s="52"/>
      <c r="AA265" s="52"/>
      <c r="AB265" s="52"/>
      <c r="AC265" s="52"/>
      <c r="AD265" s="53"/>
      <c r="AE265" s="53"/>
      <c r="AF265" s="53"/>
    </row>
    <row r="266">
      <c r="G266" s="55"/>
      <c r="H266" s="54"/>
      <c r="I266" s="54"/>
      <c r="J266" s="54"/>
      <c r="K266" s="54"/>
      <c r="L266" s="54"/>
      <c r="M266" s="54"/>
      <c r="N266" s="59"/>
      <c r="O266" s="61"/>
      <c r="P266" s="61"/>
      <c r="Q266" s="61"/>
      <c r="R266" s="50"/>
      <c r="S266" s="50"/>
      <c r="T266" s="61"/>
      <c r="U266" s="61"/>
      <c r="V266" s="61"/>
      <c r="W266" s="61"/>
      <c r="X266" s="61"/>
      <c r="Y266" s="61"/>
      <c r="Z266" s="52"/>
      <c r="AA266" s="52"/>
      <c r="AB266" s="52"/>
      <c r="AC266" s="52"/>
      <c r="AD266" s="53"/>
      <c r="AE266" s="53"/>
      <c r="AF266" s="53"/>
    </row>
    <row r="267">
      <c r="G267" s="55"/>
      <c r="H267" s="54"/>
      <c r="I267" s="54"/>
      <c r="J267" s="54"/>
      <c r="K267" s="54"/>
      <c r="L267" s="54"/>
      <c r="M267" s="54"/>
      <c r="N267" s="59"/>
      <c r="O267" s="61"/>
      <c r="P267" s="61"/>
      <c r="Q267" s="61"/>
      <c r="R267" s="50"/>
      <c r="S267" s="50"/>
      <c r="T267" s="61"/>
      <c r="U267" s="61"/>
      <c r="V267" s="61"/>
      <c r="W267" s="61"/>
      <c r="X267" s="61"/>
      <c r="Y267" s="61"/>
      <c r="Z267" s="52"/>
      <c r="AA267" s="52"/>
      <c r="AB267" s="52"/>
      <c r="AC267" s="52"/>
      <c r="AD267" s="53"/>
      <c r="AE267" s="53"/>
      <c r="AF267" s="53"/>
    </row>
    <row r="268">
      <c r="G268" s="55"/>
      <c r="H268" s="54"/>
      <c r="I268" s="54"/>
      <c r="J268" s="54"/>
      <c r="K268" s="54"/>
      <c r="L268" s="54"/>
      <c r="M268" s="54"/>
      <c r="N268" s="59"/>
      <c r="O268" s="61"/>
      <c r="P268" s="61"/>
      <c r="Q268" s="61"/>
      <c r="R268" s="50"/>
      <c r="S268" s="50"/>
      <c r="T268" s="61"/>
      <c r="U268" s="61"/>
      <c r="V268" s="61"/>
      <c r="W268" s="61"/>
      <c r="X268" s="61"/>
      <c r="Y268" s="61"/>
      <c r="Z268" s="52"/>
      <c r="AA268" s="52"/>
      <c r="AB268" s="52"/>
      <c r="AC268" s="52"/>
      <c r="AD268" s="53"/>
      <c r="AE268" s="53"/>
      <c r="AF268" s="53"/>
    </row>
    <row r="269">
      <c r="G269" s="55"/>
      <c r="H269" s="54"/>
      <c r="I269" s="54"/>
      <c r="J269" s="54"/>
      <c r="K269" s="54"/>
      <c r="L269" s="54"/>
      <c r="M269" s="54"/>
      <c r="N269" s="59"/>
      <c r="O269" s="61"/>
      <c r="P269" s="61"/>
      <c r="Q269" s="61"/>
      <c r="R269" s="50"/>
      <c r="S269" s="50"/>
      <c r="T269" s="61"/>
      <c r="U269" s="61"/>
      <c r="V269" s="61"/>
      <c r="W269" s="61"/>
      <c r="X269" s="61"/>
      <c r="Y269" s="61"/>
      <c r="Z269" s="52"/>
      <c r="AA269" s="52"/>
      <c r="AB269" s="52"/>
      <c r="AC269" s="52"/>
      <c r="AD269" s="53"/>
      <c r="AE269" s="53"/>
      <c r="AF269" s="53"/>
    </row>
    <row r="270">
      <c r="G270" s="55"/>
      <c r="H270" s="54"/>
      <c r="I270" s="54"/>
      <c r="J270" s="54"/>
      <c r="K270" s="54"/>
      <c r="L270" s="54"/>
      <c r="M270" s="54"/>
      <c r="N270" s="59"/>
      <c r="O270" s="61"/>
      <c r="P270" s="61"/>
      <c r="Q270" s="61"/>
      <c r="R270" s="50"/>
      <c r="S270" s="50"/>
      <c r="T270" s="61"/>
      <c r="U270" s="61"/>
      <c r="V270" s="61"/>
      <c r="W270" s="61"/>
      <c r="X270" s="61"/>
      <c r="Y270" s="61"/>
      <c r="Z270" s="52"/>
      <c r="AA270" s="52"/>
      <c r="AB270" s="52"/>
      <c r="AC270" s="52"/>
      <c r="AD270" s="53"/>
      <c r="AE270" s="53"/>
      <c r="AF270" s="53"/>
    </row>
    <row r="271">
      <c r="G271" s="55"/>
      <c r="H271" s="54"/>
      <c r="I271" s="54"/>
      <c r="J271" s="54"/>
      <c r="K271" s="54"/>
      <c r="L271" s="54"/>
      <c r="M271" s="54"/>
      <c r="N271" s="59"/>
      <c r="O271" s="61"/>
      <c r="P271" s="61"/>
      <c r="Q271" s="61"/>
      <c r="R271" s="50"/>
      <c r="S271" s="50"/>
      <c r="T271" s="61"/>
      <c r="U271" s="61"/>
      <c r="V271" s="61"/>
      <c r="W271" s="61"/>
      <c r="X271" s="61"/>
      <c r="Y271" s="61"/>
      <c r="Z271" s="52"/>
      <c r="AA271" s="52"/>
      <c r="AB271" s="52"/>
      <c r="AC271" s="52"/>
      <c r="AD271" s="53"/>
      <c r="AE271" s="53"/>
      <c r="AF271" s="53"/>
    </row>
    <row r="272">
      <c r="G272" s="55"/>
      <c r="H272" s="54"/>
      <c r="I272" s="54"/>
      <c r="J272" s="54"/>
      <c r="K272" s="54"/>
      <c r="L272" s="54"/>
      <c r="M272" s="54"/>
      <c r="N272" s="59"/>
      <c r="O272" s="61"/>
      <c r="P272" s="61"/>
      <c r="Q272" s="61"/>
      <c r="R272" s="50"/>
      <c r="S272" s="50"/>
      <c r="T272" s="61"/>
      <c r="U272" s="61"/>
      <c r="V272" s="61"/>
      <c r="W272" s="61"/>
      <c r="X272" s="61"/>
      <c r="Y272" s="61"/>
      <c r="Z272" s="52"/>
      <c r="AA272" s="52"/>
      <c r="AB272" s="52"/>
      <c r="AC272" s="52"/>
      <c r="AD272" s="53"/>
      <c r="AE272" s="53"/>
      <c r="AF272" s="53"/>
    </row>
    <row r="273">
      <c r="G273" s="55"/>
      <c r="H273" s="54"/>
      <c r="I273" s="54"/>
      <c r="J273" s="54"/>
      <c r="K273" s="54"/>
      <c r="L273" s="54"/>
      <c r="M273" s="54"/>
      <c r="N273" s="59"/>
      <c r="O273" s="61"/>
      <c r="P273" s="61"/>
      <c r="Q273" s="61"/>
      <c r="R273" s="50"/>
      <c r="S273" s="50"/>
      <c r="T273" s="61"/>
      <c r="U273" s="61"/>
      <c r="V273" s="61"/>
      <c r="W273" s="61"/>
      <c r="X273" s="61"/>
      <c r="Y273" s="61"/>
      <c r="Z273" s="52"/>
      <c r="AA273" s="52"/>
      <c r="AB273" s="52"/>
      <c r="AC273" s="52"/>
      <c r="AD273" s="53"/>
      <c r="AE273" s="53"/>
      <c r="AF273" s="53"/>
    </row>
    <row r="274">
      <c r="G274" s="55"/>
      <c r="H274" s="54"/>
      <c r="I274" s="54"/>
      <c r="J274" s="54"/>
      <c r="K274" s="54"/>
      <c r="L274" s="54"/>
      <c r="M274" s="54"/>
      <c r="N274" s="59"/>
      <c r="O274" s="61"/>
      <c r="P274" s="61"/>
      <c r="Q274" s="61"/>
      <c r="R274" s="50"/>
      <c r="S274" s="50"/>
      <c r="T274" s="61"/>
      <c r="U274" s="61"/>
      <c r="V274" s="61"/>
      <c r="W274" s="61"/>
      <c r="X274" s="61"/>
      <c r="Y274" s="61"/>
      <c r="Z274" s="52"/>
      <c r="AA274" s="52"/>
      <c r="AB274" s="52"/>
      <c r="AC274" s="52"/>
      <c r="AD274" s="53"/>
      <c r="AE274" s="53"/>
      <c r="AF274" s="53"/>
    </row>
    <row r="275">
      <c r="G275" s="55"/>
      <c r="H275" s="54"/>
      <c r="I275" s="54"/>
      <c r="J275" s="54"/>
      <c r="K275" s="54"/>
      <c r="L275" s="54"/>
      <c r="M275" s="54"/>
      <c r="N275" s="59"/>
      <c r="O275" s="61"/>
      <c r="P275" s="61"/>
      <c r="Q275" s="61"/>
      <c r="R275" s="50"/>
      <c r="S275" s="50"/>
      <c r="T275" s="61"/>
      <c r="U275" s="61"/>
      <c r="V275" s="61"/>
      <c r="W275" s="61"/>
      <c r="X275" s="61"/>
      <c r="Y275" s="61"/>
      <c r="Z275" s="52"/>
      <c r="AA275" s="52"/>
      <c r="AB275" s="52"/>
      <c r="AC275" s="52"/>
      <c r="AD275" s="53"/>
      <c r="AE275" s="53"/>
      <c r="AF275" s="53"/>
    </row>
    <row r="276">
      <c r="G276" s="55"/>
      <c r="H276" s="54"/>
      <c r="I276" s="54"/>
      <c r="J276" s="54"/>
      <c r="K276" s="54"/>
      <c r="L276" s="54"/>
      <c r="M276" s="54"/>
      <c r="N276" s="59"/>
      <c r="O276" s="61"/>
      <c r="P276" s="61"/>
      <c r="Q276" s="61"/>
      <c r="R276" s="50"/>
      <c r="S276" s="50"/>
      <c r="T276" s="61"/>
      <c r="U276" s="61"/>
      <c r="V276" s="61"/>
      <c r="W276" s="61"/>
      <c r="X276" s="61"/>
      <c r="Y276" s="61"/>
      <c r="Z276" s="52"/>
      <c r="AA276" s="52"/>
      <c r="AB276" s="52"/>
      <c r="AC276" s="52"/>
      <c r="AD276" s="53"/>
      <c r="AE276" s="53"/>
      <c r="AF276" s="53"/>
    </row>
    <row r="277">
      <c r="G277" s="55"/>
      <c r="H277" s="54"/>
      <c r="I277" s="54"/>
      <c r="J277" s="54"/>
      <c r="K277" s="54"/>
      <c r="L277" s="54"/>
      <c r="M277" s="54"/>
      <c r="N277" s="59"/>
      <c r="O277" s="61"/>
      <c r="P277" s="61"/>
      <c r="Q277" s="61"/>
      <c r="R277" s="50"/>
      <c r="S277" s="50"/>
      <c r="T277" s="61"/>
      <c r="U277" s="61"/>
      <c r="V277" s="61"/>
      <c r="W277" s="61"/>
      <c r="X277" s="61"/>
      <c r="Y277" s="61"/>
      <c r="Z277" s="52"/>
      <c r="AA277" s="52"/>
      <c r="AB277" s="52"/>
      <c r="AC277" s="52"/>
      <c r="AD277" s="53"/>
      <c r="AE277" s="53"/>
      <c r="AF277" s="53"/>
    </row>
    <row r="278">
      <c r="G278" s="55"/>
      <c r="H278" s="54"/>
      <c r="I278" s="54"/>
      <c r="J278" s="54"/>
      <c r="K278" s="54"/>
      <c r="L278" s="54"/>
      <c r="M278" s="54"/>
      <c r="N278" s="59"/>
      <c r="O278" s="61"/>
      <c r="P278" s="61"/>
      <c r="Q278" s="61"/>
      <c r="R278" s="50"/>
      <c r="S278" s="50"/>
      <c r="T278" s="61"/>
      <c r="U278" s="61"/>
      <c r="V278" s="61"/>
      <c r="W278" s="61"/>
      <c r="X278" s="61"/>
      <c r="Y278" s="61"/>
      <c r="Z278" s="52"/>
      <c r="AA278" s="52"/>
      <c r="AB278" s="52"/>
      <c r="AC278" s="52"/>
      <c r="AD278" s="53"/>
      <c r="AE278" s="53"/>
      <c r="AF278" s="53"/>
    </row>
    <row r="279">
      <c r="G279" s="55"/>
      <c r="H279" s="54"/>
      <c r="I279" s="54"/>
      <c r="J279" s="54"/>
      <c r="K279" s="54"/>
      <c r="L279" s="54"/>
      <c r="M279" s="54"/>
      <c r="N279" s="59"/>
      <c r="O279" s="61"/>
      <c r="P279" s="61"/>
      <c r="Q279" s="61"/>
      <c r="R279" s="50"/>
      <c r="S279" s="50"/>
      <c r="T279" s="61"/>
      <c r="U279" s="61"/>
      <c r="V279" s="61"/>
      <c r="W279" s="61"/>
      <c r="X279" s="61"/>
      <c r="Y279" s="61"/>
      <c r="Z279" s="52"/>
      <c r="AA279" s="52"/>
      <c r="AB279" s="52"/>
      <c r="AC279" s="52"/>
      <c r="AD279" s="53"/>
      <c r="AE279" s="53"/>
      <c r="AF279" s="53"/>
    </row>
    <row r="280">
      <c r="G280" s="55"/>
      <c r="H280" s="54"/>
      <c r="I280" s="54"/>
      <c r="J280" s="54"/>
      <c r="K280" s="54"/>
      <c r="L280" s="54"/>
      <c r="M280" s="54"/>
      <c r="N280" s="59"/>
      <c r="O280" s="61"/>
      <c r="P280" s="61"/>
      <c r="Q280" s="61"/>
      <c r="R280" s="50"/>
      <c r="S280" s="50"/>
      <c r="T280" s="61"/>
      <c r="U280" s="61"/>
      <c r="V280" s="61"/>
      <c r="W280" s="61"/>
      <c r="X280" s="61"/>
      <c r="Y280" s="61"/>
      <c r="Z280" s="52"/>
      <c r="AA280" s="52"/>
      <c r="AB280" s="52"/>
      <c r="AC280" s="52"/>
      <c r="AD280" s="53"/>
      <c r="AE280" s="53"/>
      <c r="AF280" s="53"/>
    </row>
    <row r="281">
      <c r="G281" s="55"/>
      <c r="H281" s="54"/>
      <c r="I281" s="54"/>
      <c r="J281" s="54"/>
      <c r="K281" s="54"/>
      <c r="L281" s="54"/>
      <c r="M281" s="54"/>
      <c r="N281" s="59"/>
      <c r="O281" s="61"/>
      <c r="P281" s="61"/>
      <c r="Q281" s="61"/>
      <c r="R281" s="50"/>
      <c r="S281" s="50"/>
      <c r="T281" s="61"/>
      <c r="U281" s="61"/>
      <c r="V281" s="61"/>
      <c r="W281" s="61"/>
      <c r="X281" s="61"/>
      <c r="Y281" s="61"/>
      <c r="Z281" s="52"/>
      <c r="AA281" s="52"/>
      <c r="AB281" s="52"/>
      <c r="AC281" s="52"/>
      <c r="AD281" s="53"/>
      <c r="AE281" s="53"/>
      <c r="AF281" s="53"/>
    </row>
    <row r="282">
      <c r="G282" s="55"/>
      <c r="H282" s="54"/>
      <c r="I282" s="54"/>
      <c r="J282" s="54"/>
      <c r="K282" s="54"/>
      <c r="L282" s="54"/>
      <c r="M282" s="54"/>
      <c r="N282" s="59"/>
      <c r="O282" s="61"/>
      <c r="P282" s="61"/>
      <c r="Q282" s="61"/>
      <c r="R282" s="50"/>
      <c r="S282" s="50"/>
      <c r="T282" s="61"/>
      <c r="U282" s="61"/>
      <c r="V282" s="61"/>
      <c r="W282" s="61"/>
      <c r="X282" s="61"/>
      <c r="Y282" s="61"/>
      <c r="Z282" s="52"/>
      <c r="AA282" s="52"/>
      <c r="AB282" s="52"/>
      <c r="AC282" s="52"/>
      <c r="AD282" s="53"/>
      <c r="AE282" s="53"/>
      <c r="AF282" s="53"/>
    </row>
    <row r="283">
      <c r="G283" s="55"/>
      <c r="H283" s="54"/>
      <c r="I283" s="54"/>
      <c r="J283" s="54"/>
      <c r="K283" s="54"/>
      <c r="L283" s="54"/>
      <c r="M283" s="54"/>
      <c r="N283" s="59"/>
      <c r="O283" s="61"/>
      <c r="P283" s="61"/>
      <c r="Q283" s="61"/>
      <c r="R283" s="50"/>
      <c r="S283" s="50"/>
      <c r="T283" s="61"/>
      <c r="U283" s="61"/>
      <c r="V283" s="61"/>
      <c r="W283" s="61"/>
      <c r="X283" s="61"/>
      <c r="Y283" s="61"/>
      <c r="Z283" s="52"/>
      <c r="AA283" s="52"/>
      <c r="AB283" s="52"/>
      <c r="AC283" s="52"/>
      <c r="AD283" s="53"/>
      <c r="AE283" s="53"/>
      <c r="AF283" s="53"/>
    </row>
    <row r="284">
      <c r="G284" s="55"/>
      <c r="H284" s="54"/>
      <c r="I284" s="54"/>
      <c r="J284" s="54"/>
      <c r="K284" s="54"/>
      <c r="L284" s="54"/>
      <c r="M284" s="54"/>
      <c r="N284" s="59"/>
      <c r="O284" s="61"/>
      <c r="P284" s="61"/>
      <c r="Q284" s="61"/>
      <c r="R284" s="50"/>
      <c r="S284" s="50"/>
      <c r="T284" s="61"/>
      <c r="U284" s="61"/>
      <c r="V284" s="61"/>
      <c r="W284" s="61"/>
      <c r="X284" s="61"/>
      <c r="Y284" s="61"/>
      <c r="Z284" s="52"/>
      <c r="AA284" s="52"/>
      <c r="AB284" s="52"/>
      <c r="AC284" s="52"/>
      <c r="AD284" s="53"/>
      <c r="AE284" s="53"/>
      <c r="AF284" s="53"/>
    </row>
    <row r="285">
      <c r="G285" s="55"/>
      <c r="H285" s="54"/>
      <c r="I285" s="54"/>
      <c r="J285" s="54"/>
      <c r="K285" s="54"/>
      <c r="L285" s="54"/>
      <c r="M285" s="54"/>
      <c r="N285" s="59"/>
      <c r="O285" s="61"/>
      <c r="P285" s="61"/>
      <c r="Q285" s="61"/>
      <c r="R285" s="50"/>
      <c r="S285" s="50"/>
      <c r="T285" s="61"/>
      <c r="U285" s="61"/>
      <c r="V285" s="61"/>
      <c r="W285" s="61"/>
      <c r="X285" s="61"/>
      <c r="Y285" s="61"/>
      <c r="Z285" s="52"/>
      <c r="AA285" s="52"/>
      <c r="AB285" s="52"/>
      <c r="AC285" s="52"/>
      <c r="AD285" s="53"/>
      <c r="AE285" s="53"/>
      <c r="AF285" s="53"/>
    </row>
    <row r="286">
      <c r="G286" s="55"/>
      <c r="H286" s="54"/>
      <c r="I286" s="54"/>
      <c r="J286" s="54"/>
      <c r="K286" s="54"/>
      <c r="L286" s="54"/>
      <c r="M286" s="54"/>
      <c r="N286" s="59"/>
      <c r="O286" s="61"/>
      <c r="P286" s="61"/>
      <c r="Q286" s="61"/>
      <c r="R286" s="50"/>
      <c r="S286" s="50"/>
      <c r="T286" s="61"/>
      <c r="U286" s="61"/>
      <c r="V286" s="61"/>
      <c r="W286" s="61"/>
      <c r="X286" s="61"/>
      <c r="Y286" s="61"/>
      <c r="Z286" s="52"/>
      <c r="AA286" s="52"/>
      <c r="AB286" s="52"/>
      <c r="AC286" s="52"/>
      <c r="AD286" s="53"/>
      <c r="AE286" s="53"/>
      <c r="AF286" s="53"/>
    </row>
    <row r="287">
      <c r="G287" s="55"/>
      <c r="H287" s="54"/>
      <c r="I287" s="54"/>
      <c r="J287" s="54"/>
      <c r="K287" s="54"/>
      <c r="L287" s="54"/>
      <c r="M287" s="54"/>
      <c r="N287" s="59"/>
      <c r="O287" s="61"/>
      <c r="P287" s="61"/>
      <c r="Q287" s="61"/>
      <c r="R287" s="50"/>
      <c r="S287" s="50"/>
      <c r="T287" s="61"/>
      <c r="U287" s="61"/>
      <c r="V287" s="61"/>
      <c r="W287" s="61"/>
      <c r="X287" s="61"/>
      <c r="Y287" s="61"/>
      <c r="Z287" s="52"/>
      <c r="AA287" s="52"/>
      <c r="AB287" s="52"/>
      <c r="AC287" s="52"/>
      <c r="AD287" s="53"/>
      <c r="AE287" s="53"/>
      <c r="AF287" s="53"/>
    </row>
    <row r="288">
      <c r="G288" s="55"/>
      <c r="H288" s="54"/>
      <c r="I288" s="54"/>
      <c r="J288" s="54"/>
      <c r="K288" s="54"/>
      <c r="L288" s="54"/>
      <c r="M288" s="54"/>
      <c r="N288" s="59"/>
      <c r="O288" s="61"/>
      <c r="P288" s="61"/>
      <c r="Q288" s="61"/>
      <c r="R288" s="50"/>
      <c r="S288" s="50"/>
      <c r="T288" s="61"/>
      <c r="U288" s="61"/>
      <c r="V288" s="61"/>
      <c r="W288" s="61"/>
      <c r="X288" s="61"/>
      <c r="Y288" s="61"/>
      <c r="Z288" s="52"/>
      <c r="AA288" s="52"/>
      <c r="AB288" s="52"/>
      <c r="AC288" s="52"/>
      <c r="AD288" s="53"/>
      <c r="AE288" s="53"/>
      <c r="AF288" s="53"/>
    </row>
    <row r="289">
      <c r="G289" s="55"/>
      <c r="H289" s="54"/>
      <c r="I289" s="54"/>
      <c r="J289" s="54"/>
      <c r="K289" s="54"/>
      <c r="L289" s="54"/>
      <c r="M289" s="54"/>
      <c r="N289" s="59"/>
      <c r="O289" s="61"/>
      <c r="P289" s="61"/>
      <c r="Q289" s="61"/>
      <c r="R289" s="50"/>
      <c r="S289" s="50"/>
      <c r="T289" s="61"/>
      <c r="U289" s="61"/>
      <c r="V289" s="61"/>
      <c r="W289" s="61"/>
      <c r="X289" s="61"/>
      <c r="Y289" s="61"/>
      <c r="Z289" s="52"/>
      <c r="AA289" s="52"/>
      <c r="AB289" s="52"/>
      <c r="AC289" s="52"/>
      <c r="AD289" s="53"/>
      <c r="AE289" s="53"/>
      <c r="AF289" s="53"/>
    </row>
    <row r="290">
      <c r="G290" s="55"/>
      <c r="H290" s="54"/>
      <c r="I290" s="54"/>
      <c r="J290" s="54"/>
      <c r="K290" s="54"/>
      <c r="L290" s="54"/>
      <c r="M290" s="54"/>
      <c r="N290" s="59"/>
      <c r="O290" s="61"/>
      <c r="P290" s="61"/>
      <c r="Q290" s="61"/>
      <c r="R290" s="50"/>
      <c r="S290" s="50"/>
      <c r="T290" s="61"/>
      <c r="U290" s="61"/>
      <c r="V290" s="61"/>
      <c r="W290" s="61"/>
      <c r="X290" s="61"/>
      <c r="Y290" s="61"/>
      <c r="Z290" s="52"/>
      <c r="AA290" s="52"/>
      <c r="AB290" s="52"/>
      <c r="AC290" s="52"/>
      <c r="AD290" s="53"/>
      <c r="AE290" s="53"/>
      <c r="AF290" s="53"/>
    </row>
    <row r="291">
      <c r="G291" s="55"/>
      <c r="H291" s="54"/>
      <c r="I291" s="54"/>
      <c r="J291" s="54"/>
      <c r="K291" s="54"/>
      <c r="L291" s="54"/>
      <c r="M291" s="54"/>
      <c r="N291" s="59"/>
      <c r="O291" s="61"/>
      <c r="P291" s="61"/>
      <c r="Q291" s="61"/>
      <c r="R291" s="50"/>
      <c r="S291" s="50"/>
      <c r="T291" s="61"/>
      <c r="U291" s="61"/>
      <c r="V291" s="61"/>
      <c r="W291" s="61"/>
      <c r="X291" s="61"/>
      <c r="Y291" s="61"/>
      <c r="Z291" s="52"/>
      <c r="AA291" s="52"/>
      <c r="AB291" s="52"/>
      <c r="AC291" s="52"/>
      <c r="AD291" s="53"/>
      <c r="AE291" s="53"/>
      <c r="AF291" s="53"/>
    </row>
    <row r="292">
      <c r="G292" s="55"/>
      <c r="H292" s="54"/>
      <c r="I292" s="54"/>
      <c r="J292" s="54"/>
      <c r="K292" s="54"/>
      <c r="L292" s="54"/>
      <c r="M292" s="54"/>
      <c r="N292" s="59"/>
      <c r="O292" s="61"/>
      <c r="P292" s="61"/>
      <c r="Q292" s="61"/>
      <c r="R292" s="50"/>
      <c r="S292" s="50"/>
      <c r="T292" s="61"/>
      <c r="U292" s="61"/>
      <c r="V292" s="61"/>
      <c r="W292" s="61"/>
      <c r="X292" s="61"/>
      <c r="Y292" s="61"/>
      <c r="Z292" s="52"/>
      <c r="AA292" s="52"/>
      <c r="AB292" s="52"/>
      <c r="AC292" s="52"/>
      <c r="AD292" s="53"/>
      <c r="AE292" s="53"/>
      <c r="AF292" s="53"/>
    </row>
    <row r="293">
      <c r="G293" s="55"/>
      <c r="H293" s="54"/>
      <c r="I293" s="54"/>
      <c r="J293" s="54"/>
      <c r="K293" s="54"/>
      <c r="L293" s="54"/>
      <c r="M293" s="54"/>
      <c r="N293" s="59"/>
      <c r="O293" s="61"/>
      <c r="P293" s="61"/>
      <c r="Q293" s="61"/>
      <c r="R293" s="50"/>
      <c r="S293" s="50"/>
      <c r="T293" s="61"/>
      <c r="U293" s="61"/>
      <c r="V293" s="61"/>
      <c r="W293" s="61"/>
      <c r="X293" s="61"/>
      <c r="Y293" s="61"/>
      <c r="Z293" s="52"/>
      <c r="AA293" s="52"/>
      <c r="AB293" s="52"/>
      <c r="AC293" s="52"/>
      <c r="AD293" s="53"/>
      <c r="AE293" s="53"/>
      <c r="AF293" s="53"/>
    </row>
    <row r="294">
      <c r="G294" s="55"/>
      <c r="H294" s="54"/>
      <c r="I294" s="54"/>
      <c r="J294" s="54"/>
      <c r="K294" s="54"/>
      <c r="L294" s="54"/>
      <c r="M294" s="54"/>
      <c r="N294" s="59"/>
      <c r="O294" s="61"/>
      <c r="P294" s="61"/>
      <c r="Q294" s="61"/>
      <c r="R294" s="50"/>
      <c r="S294" s="50"/>
      <c r="T294" s="61"/>
      <c r="U294" s="61"/>
      <c r="V294" s="61"/>
      <c r="W294" s="61"/>
      <c r="X294" s="61"/>
      <c r="Y294" s="61"/>
      <c r="Z294" s="52"/>
      <c r="AA294" s="52"/>
      <c r="AB294" s="52"/>
      <c r="AC294" s="52"/>
      <c r="AD294" s="53"/>
      <c r="AE294" s="53"/>
      <c r="AF294" s="53"/>
    </row>
    <row r="295">
      <c r="G295" s="55"/>
      <c r="H295" s="54"/>
      <c r="I295" s="54"/>
      <c r="J295" s="54"/>
      <c r="K295" s="54"/>
      <c r="L295" s="54"/>
      <c r="M295" s="54"/>
      <c r="N295" s="59"/>
      <c r="O295" s="61"/>
      <c r="P295" s="61"/>
      <c r="Q295" s="61"/>
      <c r="R295" s="50"/>
      <c r="S295" s="50"/>
      <c r="T295" s="61"/>
      <c r="U295" s="61"/>
      <c r="V295" s="61"/>
      <c r="W295" s="61"/>
      <c r="X295" s="61"/>
      <c r="Y295" s="61"/>
      <c r="Z295" s="52"/>
      <c r="AA295" s="52"/>
      <c r="AB295" s="52"/>
      <c r="AC295" s="52"/>
      <c r="AD295" s="53"/>
      <c r="AE295" s="53"/>
      <c r="AF295" s="53"/>
    </row>
    <row r="296">
      <c r="G296" s="55"/>
      <c r="H296" s="54"/>
      <c r="I296" s="54"/>
      <c r="J296" s="54"/>
      <c r="K296" s="54"/>
      <c r="L296" s="54"/>
      <c r="M296" s="54"/>
      <c r="N296" s="59"/>
      <c r="O296" s="61"/>
      <c r="P296" s="61"/>
      <c r="Q296" s="61"/>
      <c r="R296" s="50"/>
      <c r="S296" s="50"/>
      <c r="T296" s="61"/>
      <c r="U296" s="61"/>
      <c r="V296" s="61"/>
      <c r="W296" s="61"/>
      <c r="X296" s="61"/>
      <c r="Y296" s="61"/>
      <c r="Z296" s="52"/>
      <c r="AA296" s="52"/>
      <c r="AB296" s="52"/>
      <c r="AC296" s="52"/>
      <c r="AD296" s="53"/>
      <c r="AE296" s="53"/>
      <c r="AF296" s="53"/>
    </row>
    <row r="297">
      <c r="G297" s="55"/>
      <c r="H297" s="54"/>
      <c r="I297" s="54"/>
      <c r="J297" s="54"/>
      <c r="K297" s="54"/>
      <c r="L297" s="54"/>
      <c r="M297" s="54"/>
      <c r="N297" s="59"/>
      <c r="O297" s="61"/>
      <c r="P297" s="61"/>
      <c r="Q297" s="61"/>
      <c r="R297" s="50"/>
      <c r="S297" s="50"/>
      <c r="T297" s="61"/>
      <c r="U297" s="61"/>
      <c r="V297" s="61"/>
      <c r="W297" s="61"/>
      <c r="X297" s="61"/>
      <c r="Y297" s="61"/>
      <c r="Z297" s="52"/>
      <c r="AA297" s="52"/>
      <c r="AB297" s="52"/>
      <c r="AC297" s="52"/>
      <c r="AD297" s="53"/>
      <c r="AE297" s="53"/>
      <c r="AF297" s="53"/>
    </row>
    <row r="298">
      <c r="G298" s="55"/>
      <c r="H298" s="54"/>
      <c r="I298" s="54"/>
      <c r="J298" s="54"/>
      <c r="K298" s="54"/>
      <c r="L298" s="54"/>
      <c r="M298" s="54"/>
      <c r="N298" s="59"/>
      <c r="O298" s="61"/>
      <c r="P298" s="61"/>
      <c r="Q298" s="61"/>
      <c r="R298" s="50"/>
      <c r="S298" s="50"/>
      <c r="T298" s="61"/>
      <c r="U298" s="61"/>
      <c r="V298" s="61"/>
      <c r="W298" s="61"/>
      <c r="X298" s="61"/>
      <c r="Y298" s="61"/>
      <c r="Z298" s="52"/>
      <c r="AA298" s="52"/>
      <c r="AB298" s="52"/>
      <c r="AC298" s="52"/>
      <c r="AD298" s="53"/>
      <c r="AE298" s="53"/>
      <c r="AF298" s="53"/>
    </row>
    <row r="299">
      <c r="G299" s="55"/>
      <c r="H299" s="54"/>
      <c r="I299" s="54"/>
      <c r="J299" s="54"/>
      <c r="K299" s="54"/>
      <c r="L299" s="54"/>
      <c r="M299" s="54"/>
      <c r="N299" s="59"/>
      <c r="O299" s="61"/>
      <c r="P299" s="61"/>
      <c r="Q299" s="61"/>
      <c r="R299" s="50"/>
      <c r="S299" s="50"/>
      <c r="T299" s="61"/>
      <c r="U299" s="61"/>
      <c r="V299" s="61"/>
      <c r="W299" s="61"/>
      <c r="X299" s="61"/>
      <c r="Y299" s="61"/>
      <c r="Z299" s="52"/>
      <c r="AA299" s="52"/>
      <c r="AB299" s="52"/>
      <c r="AC299" s="52"/>
      <c r="AD299" s="53"/>
      <c r="AE299" s="53"/>
      <c r="AF299" s="53"/>
    </row>
    <row r="300">
      <c r="G300" s="55"/>
      <c r="H300" s="54"/>
      <c r="I300" s="54"/>
      <c r="J300" s="54"/>
      <c r="K300" s="54"/>
      <c r="L300" s="54"/>
      <c r="M300" s="54"/>
      <c r="N300" s="59"/>
      <c r="O300" s="61"/>
      <c r="P300" s="61"/>
      <c r="Q300" s="61"/>
      <c r="R300" s="50"/>
      <c r="S300" s="50"/>
      <c r="T300" s="61"/>
      <c r="U300" s="61"/>
      <c r="V300" s="61"/>
      <c r="W300" s="61"/>
      <c r="X300" s="61"/>
      <c r="Y300" s="61"/>
      <c r="Z300" s="52"/>
      <c r="AA300" s="52"/>
      <c r="AB300" s="52"/>
      <c r="AC300" s="52"/>
      <c r="AD300" s="53"/>
      <c r="AE300" s="53"/>
      <c r="AF300" s="53"/>
    </row>
    <row r="301">
      <c r="G301" s="55"/>
      <c r="H301" s="54"/>
      <c r="I301" s="54"/>
      <c r="J301" s="54"/>
      <c r="K301" s="54"/>
      <c r="L301" s="54"/>
      <c r="M301" s="54"/>
      <c r="N301" s="59"/>
      <c r="O301" s="61"/>
      <c r="P301" s="61"/>
      <c r="Q301" s="61"/>
      <c r="R301" s="50"/>
      <c r="S301" s="50"/>
      <c r="T301" s="61"/>
      <c r="U301" s="61"/>
      <c r="V301" s="61"/>
      <c r="W301" s="61"/>
      <c r="X301" s="61"/>
      <c r="Y301" s="61"/>
      <c r="Z301" s="52"/>
      <c r="AA301" s="52"/>
      <c r="AB301" s="52"/>
      <c r="AC301" s="52"/>
      <c r="AD301" s="53"/>
      <c r="AE301" s="53"/>
      <c r="AF301" s="53"/>
    </row>
    <row r="302">
      <c r="G302" s="55"/>
      <c r="H302" s="54"/>
      <c r="I302" s="54"/>
      <c r="J302" s="54"/>
      <c r="K302" s="54"/>
      <c r="L302" s="54"/>
      <c r="M302" s="54"/>
      <c r="N302" s="59"/>
      <c r="O302" s="61"/>
      <c r="P302" s="61"/>
      <c r="Q302" s="61"/>
      <c r="R302" s="50"/>
      <c r="S302" s="50"/>
      <c r="T302" s="61"/>
      <c r="U302" s="61"/>
      <c r="V302" s="61"/>
      <c r="W302" s="61"/>
      <c r="X302" s="61"/>
      <c r="Y302" s="61"/>
      <c r="Z302" s="52"/>
      <c r="AA302" s="52"/>
      <c r="AB302" s="52"/>
      <c r="AC302" s="52"/>
      <c r="AD302" s="53"/>
      <c r="AE302" s="53"/>
      <c r="AF302" s="53"/>
    </row>
    <row r="303">
      <c r="G303" s="55"/>
      <c r="H303" s="54"/>
      <c r="I303" s="54"/>
      <c r="J303" s="54"/>
      <c r="K303" s="54"/>
      <c r="L303" s="54"/>
      <c r="M303" s="54"/>
      <c r="N303" s="59"/>
      <c r="O303" s="61"/>
      <c r="P303" s="61"/>
      <c r="Q303" s="61"/>
      <c r="R303" s="50"/>
      <c r="S303" s="50"/>
      <c r="T303" s="61"/>
      <c r="U303" s="61"/>
      <c r="V303" s="61"/>
      <c r="W303" s="61"/>
      <c r="X303" s="61"/>
      <c r="Y303" s="61"/>
      <c r="Z303" s="52"/>
      <c r="AA303" s="52"/>
      <c r="AB303" s="52"/>
      <c r="AC303" s="52"/>
      <c r="AD303" s="53"/>
      <c r="AE303" s="53"/>
      <c r="AF303" s="53"/>
    </row>
    <row r="304">
      <c r="G304" s="55"/>
      <c r="H304" s="54"/>
      <c r="I304" s="54"/>
      <c r="J304" s="54"/>
      <c r="K304" s="54"/>
      <c r="L304" s="54"/>
      <c r="M304" s="54"/>
      <c r="N304" s="59"/>
      <c r="O304" s="61"/>
      <c r="P304" s="61"/>
      <c r="Q304" s="61"/>
      <c r="R304" s="50"/>
      <c r="S304" s="50"/>
      <c r="T304" s="61"/>
      <c r="U304" s="61"/>
      <c r="V304" s="61"/>
      <c r="W304" s="61"/>
      <c r="X304" s="61"/>
      <c r="Y304" s="61"/>
      <c r="Z304" s="52"/>
      <c r="AA304" s="52"/>
      <c r="AB304" s="52"/>
      <c r="AC304" s="52"/>
      <c r="AD304" s="53"/>
      <c r="AE304" s="53"/>
      <c r="AF304" s="53"/>
    </row>
    <row r="305">
      <c r="G305" s="55"/>
      <c r="H305" s="54"/>
      <c r="I305" s="54"/>
      <c r="J305" s="54"/>
      <c r="K305" s="54"/>
      <c r="L305" s="54"/>
      <c r="M305" s="54"/>
      <c r="N305" s="59"/>
      <c r="O305" s="61"/>
      <c r="P305" s="61"/>
      <c r="Q305" s="61"/>
      <c r="R305" s="50"/>
      <c r="S305" s="50"/>
      <c r="T305" s="61"/>
      <c r="U305" s="61"/>
      <c r="V305" s="61"/>
      <c r="W305" s="61"/>
      <c r="X305" s="61"/>
      <c r="Y305" s="61"/>
      <c r="Z305" s="52"/>
      <c r="AA305" s="52"/>
      <c r="AB305" s="52"/>
      <c r="AC305" s="52"/>
      <c r="AD305" s="53"/>
      <c r="AE305" s="53"/>
      <c r="AF305" s="53"/>
    </row>
    <row r="306">
      <c r="G306" s="55"/>
      <c r="H306" s="54"/>
      <c r="I306" s="54"/>
      <c r="J306" s="54"/>
      <c r="K306" s="54"/>
      <c r="L306" s="54"/>
      <c r="M306" s="54"/>
      <c r="N306" s="59"/>
      <c r="O306" s="61"/>
      <c r="P306" s="61"/>
      <c r="Q306" s="61"/>
      <c r="R306" s="50"/>
      <c r="S306" s="50"/>
      <c r="T306" s="61"/>
      <c r="U306" s="61"/>
      <c r="V306" s="61"/>
      <c r="W306" s="61"/>
      <c r="X306" s="61"/>
      <c r="Y306" s="61"/>
      <c r="Z306" s="52"/>
      <c r="AA306" s="52"/>
      <c r="AB306" s="52"/>
      <c r="AC306" s="52"/>
      <c r="AD306" s="53"/>
      <c r="AE306" s="53"/>
      <c r="AF306" s="53"/>
    </row>
    <row r="307">
      <c r="G307" s="55"/>
      <c r="H307" s="54"/>
      <c r="I307" s="54"/>
      <c r="J307" s="54"/>
      <c r="K307" s="54"/>
      <c r="L307" s="54"/>
      <c r="M307" s="54"/>
      <c r="N307" s="59"/>
      <c r="O307" s="61"/>
      <c r="P307" s="61"/>
      <c r="Q307" s="61"/>
      <c r="R307" s="50"/>
      <c r="S307" s="50"/>
      <c r="T307" s="61"/>
      <c r="U307" s="61"/>
      <c r="V307" s="61"/>
      <c r="W307" s="61"/>
      <c r="X307" s="61"/>
      <c r="Y307" s="61"/>
      <c r="Z307" s="52"/>
      <c r="AA307" s="52"/>
      <c r="AB307" s="52"/>
      <c r="AC307" s="52"/>
      <c r="AD307" s="53"/>
      <c r="AE307" s="53"/>
      <c r="AF307" s="53"/>
    </row>
    <row r="308">
      <c r="G308" s="55"/>
      <c r="H308" s="54"/>
      <c r="I308" s="54"/>
      <c r="J308" s="54"/>
      <c r="K308" s="54"/>
      <c r="L308" s="54"/>
      <c r="M308" s="54"/>
      <c r="N308" s="59"/>
      <c r="O308" s="61"/>
      <c r="P308" s="61"/>
      <c r="Q308" s="61"/>
      <c r="R308" s="50"/>
      <c r="S308" s="50"/>
      <c r="T308" s="61"/>
      <c r="U308" s="61"/>
      <c r="V308" s="61"/>
      <c r="W308" s="61"/>
      <c r="X308" s="61"/>
      <c r="Y308" s="61"/>
      <c r="Z308" s="52"/>
      <c r="AA308" s="52"/>
      <c r="AB308" s="52"/>
      <c r="AC308" s="52"/>
      <c r="AD308" s="53"/>
      <c r="AE308" s="53"/>
      <c r="AF308" s="53"/>
    </row>
    <row r="309">
      <c r="G309" s="55"/>
      <c r="H309" s="54"/>
      <c r="I309" s="54"/>
      <c r="J309" s="54"/>
      <c r="K309" s="54"/>
      <c r="L309" s="54"/>
      <c r="M309" s="54"/>
      <c r="N309" s="59"/>
      <c r="O309" s="61"/>
      <c r="P309" s="61"/>
      <c r="Q309" s="61"/>
      <c r="R309" s="50"/>
      <c r="S309" s="50"/>
      <c r="T309" s="61"/>
      <c r="U309" s="61"/>
      <c r="V309" s="61"/>
      <c r="W309" s="61"/>
      <c r="X309" s="61"/>
      <c r="Y309" s="61"/>
      <c r="Z309" s="52"/>
      <c r="AA309" s="52"/>
      <c r="AB309" s="52"/>
      <c r="AC309" s="52"/>
      <c r="AD309" s="53"/>
      <c r="AE309" s="53"/>
      <c r="AF309" s="53"/>
    </row>
    <row r="310">
      <c r="G310" s="55"/>
      <c r="H310" s="54"/>
      <c r="I310" s="54"/>
      <c r="J310" s="54"/>
      <c r="K310" s="54"/>
      <c r="L310" s="54"/>
      <c r="M310" s="54"/>
      <c r="N310" s="59"/>
      <c r="O310" s="61"/>
      <c r="P310" s="61"/>
      <c r="Q310" s="61"/>
      <c r="R310" s="50"/>
      <c r="S310" s="50"/>
      <c r="T310" s="61"/>
      <c r="U310" s="61"/>
      <c r="V310" s="61"/>
      <c r="W310" s="61"/>
      <c r="X310" s="61"/>
      <c r="Y310" s="61"/>
      <c r="Z310" s="52"/>
      <c r="AA310" s="52"/>
      <c r="AB310" s="52"/>
      <c r="AC310" s="52"/>
      <c r="AD310" s="53"/>
      <c r="AE310" s="53"/>
      <c r="AF310" s="53"/>
    </row>
    <row r="311">
      <c r="G311" s="55"/>
      <c r="H311" s="54"/>
      <c r="I311" s="54"/>
      <c r="J311" s="54"/>
      <c r="K311" s="54"/>
      <c r="L311" s="54"/>
      <c r="M311" s="54"/>
      <c r="N311" s="59"/>
      <c r="O311" s="61"/>
      <c r="P311" s="61"/>
      <c r="Q311" s="61"/>
      <c r="R311" s="50"/>
      <c r="S311" s="50"/>
      <c r="T311" s="61"/>
      <c r="U311" s="61"/>
      <c r="V311" s="61"/>
      <c r="W311" s="61"/>
      <c r="X311" s="61"/>
      <c r="Y311" s="61"/>
      <c r="Z311" s="52"/>
      <c r="AA311" s="52"/>
      <c r="AB311" s="52"/>
      <c r="AC311" s="52"/>
      <c r="AD311" s="53"/>
      <c r="AE311" s="53"/>
      <c r="AF311" s="53"/>
    </row>
    <row r="312">
      <c r="G312" s="55"/>
      <c r="H312" s="54"/>
      <c r="I312" s="54"/>
      <c r="J312" s="54"/>
      <c r="K312" s="54"/>
      <c r="L312" s="54"/>
      <c r="M312" s="54"/>
      <c r="N312" s="59"/>
      <c r="O312" s="61"/>
      <c r="P312" s="61"/>
      <c r="Q312" s="61"/>
      <c r="R312" s="50"/>
      <c r="S312" s="50"/>
      <c r="T312" s="61"/>
      <c r="U312" s="61"/>
      <c r="V312" s="61"/>
      <c r="W312" s="61"/>
      <c r="X312" s="61"/>
      <c r="Y312" s="61"/>
      <c r="Z312" s="52"/>
      <c r="AA312" s="52"/>
      <c r="AB312" s="52"/>
      <c r="AC312" s="52"/>
      <c r="AD312" s="53"/>
      <c r="AE312" s="53"/>
      <c r="AF312" s="53"/>
    </row>
    <row r="313">
      <c r="G313" s="55"/>
      <c r="H313" s="54"/>
      <c r="I313" s="54"/>
      <c r="J313" s="54"/>
      <c r="K313" s="54"/>
      <c r="L313" s="54"/>
      <c r="M313" s="54"/>
      <c r="N313" s="59"/>
      <c r="O313" s="61"/>
      <c r="P313" s="61"/>
      <c r="Q313" s="61"/>
      <c r="R313" s="50"/>
      <c r="S313" s="50"/>
      <c r="T313" s="61"/>
      <c r="U313" s="61"/>
      <c r="V313" s="61"/>
      <c r="W313" s="61"/>
      <c r="X313" s="61"/>
      <c r="Y313" s="61"/>
      <c r="Z313" s="52"/>
      <c r="AA313" s="52"/>
      <c r="AB313" s="52"/>
      <c r="AC313" s="52"/>
      <c r="AD313" s="53"/>
      <c r="AE313" s="53"/>
      <c r="AF313" s="53"/>
    </row>
    <row r="314">
      <c r="G314" s="55"/>
      <c r="H314" s="54"/>
      <c r="I314" s="54"/>
      <c r="J314" s="54"/>
      <c r="K314" s="54"/>
      <c r="L314" s="54"/>
      <c r="M314" s="54"/>
      <c r="N314" s="59"/>
      <c r="O314" s="61"/>
      <c r="P314" s="61"/>
      <c r="Q314" s="61"/>
      <c r="R314" s="50"/>
      <c r="S314" s="50"/>
      <c r="T314" s="61"/>
      <c r="U314" s="61"/>
      <c r="V314" s="61"/>
      <c r="W314" s="61"/>
      <c r="X314" s="61"/>
      <c r="Y314" s="61"/>
      <c r="Z314" s="52"/>
      <c r="AA314" s="52"/>
      <c r="AB314" s="52"/>
      <c r="AC314" s="52"/>
      <c r="AD314" s="53"/>
      <c r="AE314" s="53"/>
      <c r="AF314" s="53"/>
    </row>
    <row r="315">
      <c r="G315" s="55"/>
      <c r="H315" s="54"/>
      <c r="I315" s="54"/>
      <c r="J315" s="54"/>
      <c r="K315" s="54"/>
      <c r="L315" s="54"/>
      <c r="M315" s="54"/>
      <c r="N315" s="59"/>
      <c r="O315" s="61"/>
      <c r="P315" s="61"/>
      <c r="Q315" s="61"/>
      <c r="R315" s="50"/>
      <c r="S315" s="50"/>
      <c r="T315" s="61"/>
      <c r="U315" s="61"/>
      <c r="V315" s="61"/>
      <c r="W315" s="61"/>
      <c r="X315" s="61"/>
      <c r="Y315" s="61"/>
      <c r="Z315" s="52"/>
      <c r="AA315" s="52"/>
      <c r="AB315" s="52"/>
      <c r="AC315" s="52"/>
      <c r="AD315" s="53"/>
      <c r="AE315" s="53"/>
      <c r="AF315" s="53"/>
    </row>
    <row r="316">
      <c r="G316" s="55"/>
      <c r="H316" s="54"/>
      <c r="I316" s="54"/>
      <c r="J316" s="54"/>
      <c r="K316" s="54"/>
      <c r="L316" s="54"/>
      <c r="M316" s="54"/>
      <c r="N316" s="59"/>
      <c r="O316" s="61"/>
      <c r="P316" s="61"/>
      <c r="Q316" s="61"/>
      <c r="R316" s="50"/>
      <c r="S316" s="50"/>
      <c r="T316" s="61"/>
      <c r="U316" s="61"/>
      <c r="V316" s="61"/>
      <c r="W316" s="61"/>
      <c r="X316" s="61"/>
      <c r="Y316" s="61"/>
      <c r="Z316" s="52"/>
      <c r="AA316" s="52"/>
      <c r="AB316" s="52"/>
      <c r="AC316" s="52"/>
      <c r="AD316" s="53"/>
      <c r="AE316" s="53"/>
      <c r="AF316" s="53"/>
    </row>
    <row r="317">
      <c r="G317" s="55"/>
      <c r="H317" s="54"/>
      <c r="I317" s="54"/>
      <c r="J317" s="54"/>
      <c r="K317" s="54"/>
      <c r="L317" s="54"/>
      <c r="M317" s="54"/>
      <c r="N317" s="59"/>
      <c r="O317" s="61"/>
      <c r="P317" s="61"/>
      <c r="Q317" s="61"/>
      <c r="R317" s="50"/>
      <c r="S317" s="50"/>
      <c r="T317" s="61"/>
      <c r="U317" s="61"/>
      <c r="V317" s="61"/>
      <c r="W317" s="61"/>
      <c r="X317" s="61"/>
      <c r="Y317" s="61"/>
      <c r="Z317" s="52"/>
      <c r="AA317" s="52"/>
      <c r="AB317" s="52"/>
      <c r="AC317" s="52"/>
      <c r="AD317" s="53"/>
      <c r="AE317" s="53"/>
      <c r="AF317" s="53"/>
    </row>
    <row r="318">
      <c r="G318" s="55"/>
      <c r="H318" s="54"/>
      <c r="I318" s="54"/>
      <c r="J318" s="54"/>
      <c r="K318" s="54"/>
      <c r="L318" s="54"/>
      <c r="M318" s="54"/>
      <c r="N318" s="59"/>
      <c r="O318" s="61"/>
      <c r="P318" s="61"/>
      <c r="Q318" s="61"/>
      <c r="R318" s="50"/>
      <c r="S318" s="50"/>
      <c r="T318" s="61"/>
      <c r="U318" s="61"/>
      <c r="V318" s="61"/>
      <c r="W318" s="61"/>
      <c r="X318" s="61"/>
      <c r="Y318" s="61"/>
      <c r="Z318" s="52"/>
      <c r="AA318" s="52"/>
      <c r="AB318" s="52"/>
      <c r="AC318" s="52"/>
      <c r="AD318" s="53"/>
      <c r="AE318" s="53"/>
      <c r="AF318" s="53"/>
    </row>
    <row r="319">
      <c r="G319" s="55"/>
      <c r="H319" s="54"/>
      <c r="I319" s="54"/>
      <c r="J319" s="54"/>
      <c r="K319" s="54"/>
      <c r="L319" s="54"/>
      <c r="M319" s="54"/>
      <c r="N319" s="59"/>
      <c r="O319" s="61"/>
      <c r="P319" s="61"/>
      <c r="Q319" s="61"/>
      <c r="R319" s="50"/>
      <c r="S319" s="50"/>
      <c r="T319" s="61"/>
      <c r="U319" s="61"/>
      <c r="V319" s="61"/>
      <c r="W319" s="61"/>
      <c r="X319" s="61"/>
      <c r="Y319" s="61"/>
      <c r="Z319" s="52"/>
      <c r="AA319" s="52"/>
      <c r="AB319" s="52"/>
      <c r="AC319" s="52"/>
      <c r="AD319" s="53"/>
      <c r="AE319" s="53"/>
      <c r="AF319" s="53"/>
    </row>
    <row r="320">
      <c r="G320" s="55"/>
      <c r="H320" s="54"/>
      <c r="I320" s="54"/>
      <c r="J320" s="54"/>
      <c r="K320" s="54"/>
      <c r="L320" s="54"/>
      <c r="M320" s="54"/>
      <c r="N320" s="59"/>
      <c r="O320" s="61"/>
      <c r="P320" s="61"/>
      <c r="Q320" s="61"/>
      <c r="R320" s="50"/>
      <c r="S320" s="50"/>
      <c r="T320" s="61"/>
      <c r="U320" s="61"/>
      <c r="V320" s="61"/>
      <c r="W320" s="61"/>
      <c r="X320" s="61"/>
      <c r="Y320" s="61"/>
      <c r="Z320" s="52"/>
      <c r="AA320" s="52"/>
      <c r="AB320" s="52"/>
      <c r="AC320" s="52"/>
      <c r="AD320" s="53"/>
      <c r="AE320" s="53"/>
      <c r="AF320" s="53"/>
    </row>
    <row r="321">
      <c r="G321" s="55"/>
      <c r="H321" s="54"/>
      <c r="I321" s="54"/>
      <c r="J321" s="54"/>
      <c r="K321" s="54"/>
      <c r="L321" s="54"/>
      <c r="M321" s="54"/>
      <c r="N321" s="59"/>
      <c r="O321" s="61"/>
      <c r="P321" s="61"/>
      <c r="Q321" s="61"/>
      <c r="R321" s="50"/>
      <c r="S321" s="50"/>
      <c r="T321" s="61"/>
      <c r="U321" s="61"/>
      <c r="V321" s="61"/>
      <c r="W321" s="61"/>
      <c r="X321" s="61"/>
      <c r="Y321" s="61"/>
      <c r="Z321" s="52"/>
      <c r="AA321" s="52"/>
      <c r="AB321" s="52"/>
      <c r="AC321" s="52"/>
      <c r="AD321" s="53"/>
      <c r="AE321" s="53"/>
      <c r="AF321" s="53"/>
    </row>
    <row r="322">
      <c r="G322" s="55"/>
      <c r="H322" s="54"/>
      <c r="I322" s="54"/>
      <c r="J322" s="54"/>
      <c r="K322" s="54"/>
      <c r="L322" s="54"/>
      <c r="M322" s="54"/>
      <c r="N322" s="59"/>
      <c r="O322" s="61"/>
      <c r="P322" s="61"/>
      <c r="Q322" s="61"/>
      <c r="R322" s="50"/>
      <c r="S322" s="50"/>
      <c r="T322" s="61"/>
      <c r="U322" s="61"/>
      <c r="V322" s="61"/>
      <c r="W322" s="61"/>
      <c r="X322" s="61"/>
      <c r="Y322" s="61"/>
      <c r="Z322" s="52"/>
      <c r="AA322" s="52"/>
      <c r="AB322" s="52"/>
      <c r="AC322" s="52"/>
      <c r="AD322" s="53"/>
      <c r="AE322" s="53"/>
      <c r="AF322" s="53"/>
    </row>
    <row r="323">
      <c r="G323" s="55"/>
      <c r="H323" s="54"/>
      <c r="I323" s="54"/>
      <c r="J323" s="54"/>
      <c r="K323" s="54"/>
      <c r="L323" s="54"/>
      <c r="M323" s="54"/>
      <c r="N323" s="59"/>
      <c r="O323" s="61"/>
      <c r="P323" s="61"/>
      <c r="Q323" s="61"/>
      <c r="R323" s="50"/>
      <c r="S323" s="50"/>
      <c r="T323" s="61"/>
      <c r="U323" s="61"/>
      <c r="V323" s="61"/>
      <c r="W323" s="61"/>
      <c r="X323" s="61"/>
      <c r="Y323" s="61"/>
      <c r="Z323" s="52"/>
      <c r="AA323" s="52"/>
      <c r="AB323" s="52"/>
      <c r="AC323" s="52"/>
      <c r="AD323" s="53"/>
      <c r="AE323" s="53"/>
      <c r="AF323" s="53"/>
    </row>
    <row r="324">
      <c r="G324" s="55"/>
      <c r="H324" s="54"/>
      <c r="I324" s="54"/>
      <c r="J324" s="54"/>
      <c r="K324" s="54"/>
      <c r="L324" s="54"/>
      <c r="M324" s="54"/>
      <c r="N324" s="59"/>
      <c r="O324" s="61"/>
      <c r="P324" s="61"/>
      <c r="Q324" s="61"/>
      <c r="R324" s="50"/>
      <c r="S324" s="50"/>
      <c r="T324" s="61"/>
      <c r="U324" s="61"/>
      <c r="V324" s="61"/>
      <c r="W324" s="61"/>
      <c r="X324" s="61"/>
      <c r="Y324" s="61"/>
      <c r="Z324" s="52"/>
      <c r="AA324" s="52"/>
      <c r="AB324" s="52"/>
      <c r="AC324" s="52"/>
      <c r="AD324" s="53"/>
      <c r="AE324" s="53"/>
      <c r="AF324" s="53"/>
    </row>
    <row r="325">
      <c r="G325" s="55"/>
      <c r="H325" s="54"/>
      <c r="I325" s="54"/>
      <c r="J325" s="54"/>
      <c r="K325" s="54"/>
      <c r="L325" s="54"/>
      <c r="M325" s="54"/>
      <c r="N325" s="59"/>
      <c r="O325" s="61"/>
      <c r="P325" s="61"/>
      <c r="Q325" s="61"/>
      <c r="R325" s="50"/>
      <c r="S325" s="50"/>
      <c r="T325" s="61"/>
      <c r="U325" s="61"/>
      <c r="V325" s="61"/>
      <c r="W325" s="61"/>
      <c r="X325" s="61"/>
      <c r="Y325" s="61"/>
      <c r="Z325" s="52"/>
      <c r="AA325" s="52"/>
      <c r="AB325" s="52"/>
      <c r="AC325" s="52"/>
      <c r="AD325" s="53"/>
      <c r="AE325" s="53"/>
      <c r="AF325" s="53"/>
    </row>
    <row r="326">
      <c r="G326" s="55"/>
      <c r="H326" s="54"/>
      <c r="I326" s="54"/>
      <c r="J326" s="54"/>
      <c r="K326" s="54"/>
      <c r="L326" s="54"/>
      <c r="M326" s="54"/>
      <c r="N326" s="59"/>
      <c r="O326" s="61"/>
      <c r="P326" s="61"/>
      <c r="Q326" s="61"/>
      <c r="R326" s="50"/>
      <c r="S326" s="50"/>
      <c r="T326" s="61"/>
      <c r="U326" s="61"/>
      <c r="V326" s="61"/>
      <c r="W326" s="61"/>
      <c r="X326" s="61"/>
      <c r="Y326" s="61"/>
      <c r="Z326" s="52"/>
      <c r="AA326" s="52"/>
      <c r="AB326" s="52"/>
      <c r="AC326" s="52"/>
      <c r="AD326" s="53"/>
      <c r="AE326" s="53"/>
      <c r="AF326" s="53"/>
    </row>
    <row r="327">
      <c r="G327" s="55"/>
      <c r="H327" s="54"/>
      <c r="I327" s="54"/>
      <c r="J327" s="54"/>
      <c r="K327" s="54"/>
      <c r="L327" s="54"/>
      <c r="M327" s="54"/>
      <c r="N327" s="59"/>
      <c r="O327" s="61"/>
      <c r="P327" s="61"/>
      <c r="Q327" s="61"/>
      <c r="R327" s="50"/>
      <c r="S327" s="50"/>
      <c r="T327" s="61"/>
      <c r="U327" s="61"/>
      <c r="V327" s="61"/>
      <c r="W327" s="61"/>
      <c r="X327" s="61"/>
      <c r="Y327" s="61"/>
      <c r="Z327" s="52"/>
      <c r="AA327" s="52"/>
      <c r="AB327" s="52"/>
      <c r="AC327" s="52"/>
      <c r="AD327" s="53"/>
      <c r="AE327" s="53"/>
      <c r="AF327" s="53"/>
    </row>
    <row r="328">
      <c r="G328" s="55"/>
      <c r="H328" s="54"/>
      <c r="I328" s="54"/>
      <c r="J328" s="54"/>
      <c r="K328" s="54"/>
      <c r="L328" s="54"/>
      <c r="M328" s="54"/>
      <c r="N328" s="59"/>
      <c r="O328" s="61"/>
      <c r="P328" s="61"/>
      <c r="Q328" s="61"/>
      <c r="R328" s="50"/>
      <c r="S328" s="50"/>
      <c r="T328" s="61"/>
      <c r="U328" s="61"/>
      <c r="V328" s="61"/>
      <c r="W328" s="61"/>
      <c r="X328" s="61"/>
      <c r="Y328" s="61"/>
      <c r="Z328" s="52"/>
      <c r="AA328" s="52"/>
      <c r="AB328" s="52"/>
      <c r="AC328" s="52"/>
      <c r="AD328" s="53"/>
      <c r="AE328" s="53"/>
      <c r="AF328" s="53"/>
    </row>
    <row r="329">
      <c r="G329" s="55"/>
      <c r="H329" s="54"/>
      <c r="I329" s="54"/>
      <c r="J329" s="54"/>
      <c r="K329" s="54"/>
      <c r="L329" s="54"/>
      <c r="M329" s="54"/>
      <c r="N329" s="59"/>
      <c r="O329" s="61"/>
      <c r="P329" s="61"/>
      <c r="Q329" s="61"/>
      <c r="R329" s="50"/>
      <c r="S329" s="50"/>
      <c r="T329" s="61"/>
      <c r="U329" s="61"/>
      <c r="V329" s="61"/>
      <c r="W329" s="61"/>
      <c r="X329" s="61"/>
      <c r="Y329" s="61"/>
      <c r="Z329" s="52"/>
      <c r="AA329" s="52"/>
      <c r="AB329" s="52"/>
      <c r="AC329" s="52"/>
      <c r="AD329" s="53"/>
      <c r="AE329" s="53"/>
      <c r="AF329" s="53"/>
    </row>
    <row r="330">
      <c r="G330" s="55"/>
      <c r="H330" s="54"/>
      <c r="I330" s="54"/>
      <c r="J330" s="54"/>
      <c r="K330" s="54"/>
      <c r="L330" s="54"/>
      <c r="M330" s="54"/>
      <c r="N330" s="59"/>
      <c r="O330" s="61"/>
      <c r="P330" s="61"/>
      <c r="Q330" s="61"/>
      <c r="R330" s="50"/>
      <c r="S330" s="50"/>
      <c r="T330" s="61"/>
      <c r="U330" s="61"/>
      <c r="V330" s="61"/>
      <c r="W330" s="61"/>
      <c r="X330" s="61"/>
      <c r="Y330" s="61"/>
      <c r="Z330" s="52"/>
      <c r="AA330" s="52"/>
      <c r="AB330" s="52"/>
      <c r="AC330" s="52"/>
      <c r="AD330" s="53"/>
      <c r="AE330" s="53"/>
      <c r="AF330" s="53"/>
    </row>
    <row r="331">
      <c r="G331" s="55"/>
      <c r="H331" s="54"/>
      <c r="I331" s="54"/>
      <c r="J331" s="54"/>
      <c r="K331" s="54"/>
      <c r="L331" s="54"/>
      <c r="M331" s="54"/>
      <c r="N331" s="59"/>
      <c r="O331" s="61"/>
      <c r="P331" s="61"/>
      <c r="Q331" s="61"/>
      <c r="R331" s="50"/>
      <c r="S331" s="50"/>
      <c r="T331" s="61"/>
      <c r="U331" s="61"/>
      <c r="V331" s="61"/>
      <c r="W331" s="61"/>
      <c r="X331" s="61"/>
      <c r="Y331" s="61"/>
      <c r="Z331" s="52"/>
      <c r="AA331" s="52"/>
      <c r="AB331" s="52"/>
      <c r="AC331" s="52"/>
      <c r="AD331" s="53"/>
      <c r="AE331" s="53"/>
      <c r="AF331" s="53"/>
    </row>
    <row r="332">
      <c r="G332" s="55"/>
      <c r="H332" s="54"/>
      <c r="I332" s="54"/>
      <c r="J332" s="54"/>
      <c r="K332" s="54"/>
      <c r="L332" s="54"/>
      <c r="M332" s="54"/>
      <c r="N332" s="59"/>
      <c r="O332" s="61"/>
      <c r="P332" s="61"/>
      <c r="Q332" s="61"/>
      <c r="R332" s="50"/>
      <c r="S332" s="50"/>
      <c r="T332" s="61"/>
      <c r="U332" s="61"/>
      <c r="V332" s="61"/>
      <c r="W332" s="61"/>
      <c r="X332" s="61"/>
      <c r="Y332" s="61"/>
      <c r="Z332" s="52"/>
      <c r="AA332" s="52"/>
      <c r="AB332" s="52"/>
      <c r="AC332" s="52"/>
      <c r="AD332" s="53"/>
      <c r="AE332" s="53"/>
      <c r="AF332" s="53"/>
    </row>
    <row r="333">
      <c r="G333" s="55"/>
      <c r="H333" s="54"/>
      <c r="I333" s="54"/>
      <c r="J333" s="54"/>
      <c r="K333" s="54"/>
      <c r="L333" s="54"/>
      <c r="M333" s="54"/>
      <c r="N333" s="59"/>
      <c r="O333" s="61"/>
      <c r="P333" s="61"/>
      <c r="Q333" s="61"/>
      <c r="R333" s="50"/>
      <c r="S333" s="50"/>
      <c r="T333" s="61"/>
      <c r="U333" s="61"/>
      <c r="V333" s="61"/>
      <c r="W333" s="61"/>
      <c r="X333" s="61"/>
      <c r="Y333" s="61"/>
      <c r="Z333" s="52"/>
      <c r="AA333" s="52"/>
      <c r="AB333" s="52"/>
      <c r="AC333" s="52"/>
      <c r="AD333" s="53"/>
      <c r="AE333" s="53"/>
      <c r="AF333" s="53"/>
    </row>
    <row r="334">
      <c r="G334" s="55"/>
      <c r="H334" s="54"/>
      <c r="I334" s="54"/>
      <c r="J334" s="54"/>
      <c r="K334" s="54"/>
      <c r="L334" s="54"/>
      <c r="M334" s="54"/>
      <c r="N334" s="59"/>
      <c r="O334" s="61"/>
      <c r="P334" s="61"/>
      <c r="Q334" s="61"/>
      <c r="R334" s="50"/>
      <c r="S334" s="50"/>
      <c r="T334" s="61"/>
      <c r="U334" s="61"/>
      <c r="V334" s="61"/>
      <c r="W334" s="61"/>
      <c r="X334" s="61"/>
      <c r="Y334" s="61"/>
      <c r="Z334" s="52"/>
      <c r="AA334" s="52"/>
      <c r="AB334" s="52"/>
      <c r="AC334" s="52"/>
      <c r="AD334" s="53"/>
      <c r="AE334" s="53"/>
      <c r="AF334" s="53"/>
    </row>
    <row r="335">
      <c r="G335" s="55"/>
      <c r="H335" s="54"/>
      <c r="I335" s="54"/>
      <c r="J335" s="54"/>
      <c r="K335" s="54"/>
      <c r="L335" s="54"/>
      <c r="M335" s="54"/>
      <c r="N335" s="59"/>
      <c r="O335" s="61"/>
      <c r="P335" s="61"/>
      <c r="Q335" s="61"/>
      <c r="R335" s="50"/>
      <c r="S335" s="50"/>
      <c r="T335" s="61"/>
      <c r="U335" s="61"/>
      <c r="V335" s="61"/>
      <c r="W335" s="61"/>
      <c r="X335" s="61"/>
      <c r="Y335" s="61"/>
      <c r="Z335" s="52"/>
      <c r="AA335" s="52"/>
      <c r="AB335" s="52"/>
      <c r="AC335" s="52"/>
      <c r="AD335" s="53"/>
      <c r="AE335" s="53"/>
      <c r="AF335" s="53"/>
    </row>
    <row r="336">
      <c r="G336" s="55"/>
      <c r="H336" s="54"/>
      <c r="I336" s="54"/>
      <c r="J336" s="54"/>
      <c r="K336" s="54"/>
      <c r="L336" s="54"/>
      <c r="M336" s="54"/>
      <c r="N336" s="59"/>
      <c r="O336" s="61"/>
      <c r="P336" s="61"/>
      <c r="Q336" s="61"/>
      <c r="R336" s="50"/>
      <c r="S336" s="50"/>
      <c r="T336" s="61"/>
      <c r="U336" s="61"/>
      <c r="V336" s="61"/>
      <c r="W336" s="61"/>
      <c r="X336" s="61"/>
      <c r="Y336" s="61"/>
      <c r="Z336" s="52"/>
      <c r="AA336" s="52"/>
      <c r="AB336" s="52"/>
      <c r="AC336" s="52"/>
      <c r="AD336" s="53"/>
      <c r="AE336" s="53"/>
      <c r="AF336" s="53"/>
    </row>
    <row r="337">
      <c r="G337" s="55"/>
      <c r="H337" s="54"/>
      <c r="I337" s="54"/>
      <c r="J337" s="54"/>
      <c r="K337" s="54"/>
      <c r="L337" s="54"/>
      <c r="M337" s="54"/>
      <c r="N337" s="59"/>
      <c r="O337" s="61"/>
      <c r="P337" s="61"/>
      <c r="Q337" s="61"/>
      <c r="R337" s="50"/>
      <c r="S337" s="50"/>
      <c r="T337" s="61"/>
      <c r="U337" s="61"/>
      <c r="V337" s="61"/>
      <c r="W337" s="61"/>
      <c r="X337" s="61"/>
      <c r="Y337" s="61"/>
      <c r="Z337" s="52"/>
      <c r="AA337" s="52"/>
      <c r="AB337" s="52"/>
      <c r="AC337" s="52"/>
      <c r="AD337" s="53"/>
      <c r="AE337" s="53"/>
      <c r="AF337" s="53"/>
    </row>
    <row r="338">
      <c r="G338" s="55"/>
      <c r="H338" s="54"/>
      <c r="I338" s="54"/>
      <c r="J338" s="54"/>
      <c r="K338" s="54"/>
      <c r="L338" s="54"/>
      <c r="M338" s="54"/>
      <c r="N338" s="59"/>
      <c r="O338" s="61"/>
      <c r="P338" s="61"/>
      <c r="Q338" s="61"/>
      <c r="R338" s="50"/>
      <c r="S338" s="50"/>
      <c r="T338" s="61"/>
      <c r="U338" s="61"/>
      <c r="V338" s="61"/>
      <c r="W338" s="61"/>
      <c r="X338" s="61"/>
      <c r="Y338" s="61"/>
      <c r="Z338" s="52"/>
      <c r="AA338" s="52"/>
      <c r="AB338" s="52"/>
      <c r="AC338" s="52"/>
      <c r="AD338" s="53"/>
      <c r="AE338" s="53"/>
      <c r="AF338" s="53"/>
    </row>
    <row r="339">
      <c r="G339" s="55"/>
      <c r="H339" s="54"/>
      <c r="I339" s="54"/>
      <c r="J339" s="54"/>
      <c r="K339" s="54"/>
      <c r="L339" s="54"/>
      <c r="M339" s="54"/>
      <c r="N339" s="59"/>
      <c r="O339" s="61"/>
      <c r="P339" s="61"/>
      <c r="Q339" s="61"/>
      <c r="R339" s="50"/>
      <c r="S339" s="50"/>
      <c r="T339" s="61"/>
      <c r="U339" s="61"/>
      <c r="V339" s="61"/>
      <c r="W339" s="61"/>
      <c r="X339" s="61"/>
      <c r="Y339" s="61"/>
      <c r="Z339" s="52"/>
      <c r="AA339" s="52"/>
      <c r="AB339" s="52"/>
      <c r="AC339" s="52"/>
      <c r="AD339" s="53"/>
      <c r="AE339" s="53"/>
      <c r="AF339" s="53"/>
    </row>
    <row r="340">
      <c r="G340" s="55"/>
      <c r="H340" s="54"/>
      <c r="I340" s="54"/>
      <c r="J340" s="54"/>
      <c r="K340" s="54"/>
      <c r="L340" s="54"/>
      <c r="M340" s="54"/>
      <c r="N340" s="59"/>
      <c r="O340" s="61"/>
      <c r="P340" s="61"/>
      <c r="Q340" s="61"/>
      <c r="R340" s="50"/>
      <c r="S340" s="50"/>
      <c r="T340" s="61"/>
      <c r="U340" s="61"/>
      <c r="V340" s="61"/>
      <c r="W340" s="61"/>
      <c r="X340" s="61"/>
      <c r="Y340" s="61"/>
      <c r="Z340" s="52"/>
      <c r="AA340" s="52"/>
      <c r="AB340" s="52"/>
      <c r="AC340" s="52"/>
      <c r="AD340" s="53"/>
      <c r="AE340" s="53"/>
      <c r="AF340" s="53"/>
    </row>
    <row r="341">
      <c r="G341" s="55"/>
      <c r="H341" s="54"/>
      <c r="I341" s="54"/>
      <c r="J341" s="54"/>
      <c r="K341" s="54"/>
      <c r="L341" s="54"/>
      <c r="M341" s="54"/>
      <c r="N341" s="59"/>
      <c r="O341" s="61"/>
      <c r="P341" s="61"/>
      <c r="Q341" s="61"/>
      <c r="R341" s="50"/>
      <c r="S341" s="50"/>
      <c r="T341" s="61"/>
      <c r="U341" s="61"/>
      <c r="V341" s="61"/>
      <c r="W341" s="61"/>
      <c r="X341" s="61"/>
      <c r="Y341" s="61"/>
      <c r="Z341" s="52"/>
      <c r="AA341" s="52"/>
      <c r="AB341" s="52"/>
      <c r="AC341" s="52"/>
      <c r="AD341" s="53"/>
      <c r="AE341" s="53"/>
      <c r="AF341" s="53"/>
    </row>
    <row r="342">
      <c r="G342" s="55"/>
      <c r="H342" s="54"/>
      <c r="I342" s="54"/>
      <c r="J342" s="54"/>
      <c r="K342" s="54"/>
      <c r="L342" s="54"/>
      <c r="M342" s="54"/>
      <c r="N342" s="59"/>
      <c r="O342" s="61"/>
      <c r="P342" s="61"/>
      <c r="Q342" s="61"/>
      <c r="R342" s="50"/>
      <c r="S342" s="50"/>
      <c r="T342" s="61"/>
      <c r="U342" s="61"/>
      <c r="V342" s="61"/>
      <c r="W342" s="61"/>
      <c r="X342" s="61"/>
      <c r="Y342" s="61"/>
      <c r="Z342" s="52"/>
      <c r="AA342" s="52"/>
      <c r="AB342" s="52"/>
      <c r="AC342" s="52"/>
      <c r="AD342" s="53"/>
      <c r="AE342" s="53"/>
      <c r="AF342" s="53"/>
    </row>
    <row r="343">
      <c r="G343" s="55"/>
      <c r="H343" s="54"/>
      <c r="I343" s="54"/>
      <c r="J343" s="54"/>
      <c r="K343" s="54"/>
      <c r="L343" s="54"/>
      <c r="M343" s="54"/>
      <c r="N343" s="59"/>
      <c r="O343" s="61"/>
      <c r="P343" s="61"/>
      <c r="Q343" s="61"/>
      <c r="R343" s="50"/>
      <c r="S343" s="50"/>
      <c r="T343" s="61"/>
      <c r="U343" s="61"/>
      <c r="V343" s="61"/>
      <c r="W343" s="61"/>
      <c r="X343" s="61"/>
      <c r="Y343" s="61"/>
      <c r="Z343" s="52"/>
      <c r="AA343" s="52"/>
      <c r="AB343" s="52"/>
      <c r="AC343" s="52"/>
      <c r="AD343" s="53"/>
      <c r="AE343" s="53"/>
      <c r="AF343" s="53"/>
    </row>
    <row r="344">
      <c r="G344" s="55"/>
      <c r="H344" s="54"/>
      <c r="I344" s="54"/>
      <c r="J344" s="54"/>
      <c r="K344" s="54"/>
      <c r="L344" s="54"/>
      <c r="M344" s="54"/>
      <c r="N344" s="59"/>
      <c r="O344" s="61"/>
      <c r="P344" s="61"/>
      <c r="Q344" s="61"/>
      <c r="R344" s="50"/>
      <c r="S344" s="50"/>
      <c r="T344" s="61"/>
      <c r="U344" s="61"/>
      <c r="V344" s="61"/>
      <c r="W344" s="61"/>
      <c r="X344" s="61"/>
      <c r="Y344" s="61"/>
      <c r="Z344" s="52"/>
      <c r="AA344" s="52"/>
      <c r="AB344" s="52"/>
      <c r="AC344" s="52"/>
      <c r="AD344" s="53"/>
      <c r="AE344" s="53"/>
      <c r="AF344" s="53"/>
    </row>
    <row r="345">
      <c r="G345" s="55"/>
      <c r="H345" s="54"/>
      <c r="I345" s="54"/>
      <c r="J345" s="54"/>
      <c r="K345" s="54"/>
      <c r="L345" s="54"/>
      <c r="M345" s="54"/>
      <c r="N345" s="59"/>
      <c r="O345" s="61"/>
      <c r="P345" s="61"/>
      <c r="Q345" s="61"/>
      <c r="R345" s="50"/>
      <c r="S345" s="50"/>
      <c r="T345" s="61"/>
      <c r="U345" s="61"/>
      <c r="V345" s="61"/>
      <c r="W345" s="61"/>
      <c r="X345" s="61"/>
      <c r="Y345" s="61"/>
      <c r="Z345" s="52"/>
      <c r="AA345" s="52"/>
      <c r="AB345" s="52"/>
      <c r="AC345" s="52"/>
      <c r="AD345" s="53"/>
      <c r="AE345" s="53"/>
      <c r="AF345" s="53"/>
    </row>
    <row r="346">
      <c r="G346" s="55"/>
      <c r="H346" s="54"/>
      <c r="I346" s="54"/>
      <c r="J346" s="54"/>
      <c r="K346" s="54"/>
      <c r="L346" s="54"/>
      <c r="M346" s="54"/>
      <c r="N346" s="59"/>
      <c r="O346" s="61"/>
      <c r="P346" s="61"/>
      <c r="Q346" s="61"/>
      <c r="R346" s="50"/>
      <c r="S346" s="50"/>
      <c r="T346" s="61"/>
      <c r="U346" s="61"/>
      <c r="V346" s="61"/>
      <c r="W346" s="61"/>
      <c r="X346" s="61"/>
      <c r="Y346" s="61"/>
      <c r="Z346" s="52"/>
      <c r="AA346" s="52"/>
      <c r="AB346" s="52"/>
      <c r="AC346" s="52"/>
      <c r="AD346" s="53"/>
      <c r="AE346" s="53"/>
      <c r="AF346" s="53"/>
    </row>
    <row r="347">
      <c r="G347" s="55"/>
      <c r="H347" s="54"/>
      <c r="I347" s="54"/>
      <c r="J347" s="54"/>
      <c r="K347" s="54"/>
      <c r="L347" s="54"/>
      <c r="M347" s="54"/>
      <c r="N347" s="59"/>
      <c r="O347" s="61"/>
      <c r="P347" s="61"/>
      <c r="Q347" s="61"/>
      <c r="R347" s="50"/>
      <c r="S347" s="50"/>
      <c r="T347" s="61"/>
      <c r="U347" s="61"/>
      <c r="V347" s="61"/>
      <c r="W347" s="61"/>
      <c r="X347" s="61"/>
      <c r="Y347" s="61"/>
      <c r="Z347" s="52"/>
      <c r="AA347" s="52"/>
      <c r="AB347" s="52"/>
      <c r="AC347" s="52"/>
      <c r="AD347" s="53"/>
      <c r="AE347" s="53"/>
      <c r="AF347" s="53"/>
    </row>
    <row r="348">
      <c r="G348" s="55"/>
      <c r="H348" s="54"/>
      <c r="I348" s="54"/>
      <c r="J348" s="54"/>
      <c r="K348" s="54"/>
      <c r="L348" s="54"/>
      <c r="M348" s="54"/>
      <c r="N348" s="59"/>
      <c r="O348" s="61"/>
      <c r="P348" s="61"/>
      <c r="Q348" s="61"/>
      <c r="R348" s="50"/>
      <c r="S348" s="50"/>
      <c r="T348" s="61"/>
      <c r="U348" s="61"/>
      <c r="V348" s="61"/>
      <c r="W348" s="61"/>
      <c r="X348" s="61"/>
      <c r="Y348" s="61"/>
      <c r="Z348" s="52"/>
      <c r="AA348" s="52"/>
      <c r="AB348" s="52"/>
      <c r="AC348" s="52"/>
      <c r="AD348" s="53"/>
      <c r="AE348" s="53"/>
      <c r="AF348" s="53"/>
    </row>
    <row r="349">
      <c r="G349" s="55"/>
      <c r="H349" s="54"/>
      <c r="I349" s="54"/>
      <c r="J349" s="54"/>
      <c r="K349" s="54"/>
      <c r="L349" s="54"/>
      <c r="M349" s="54"/>
      <c r="N349" s="59"/>
      <c r="O349" s="61"/>
      <c r="P349" s="61"/>
      <c r="Q349" s="61"/>
      <c r="R349" s="50"/>
      <c r="S349" s="50"/>
      <c r="T349" s="61"/>
      <c r="U349" s="61"/>
      <c r="V349" s="61"/>
      <c r="W349" s="61"/>
      <c r="X349" s="61"/>
      <c r="Y349" s="61"/>
      <c r="Z349" s="52"/>
      <c r="AA349" s="52"/>
      <c r="AB349" s="52"/>
      <c r="AC349" s="52"/>
      <c r="AD349" s="53"/>
      <c r="AE349" s="53"/>
      <c r="AF349" s="53"/>
    </row>
    <row r="350">
      <c r="G350" s="55"/>
      <c r="H350" s="54"/>
      <c r="I350" s="54"/>
      <c r="J350" s="54"/>
      <c r="K350" s="54"/>
      <c r="L350" s="54"/>
      <c r="M350" s="54"/>
      <c r="N350" s="59"/>
      <c r="O350" s="61"/>
      <c r="P350" s="61"/>
      <c r="Q350" s="61"/>
      <c r="R350" s="50"/>
      <c r="S350" s="50"/>
      <c r="T350" s="61"/>
      <c r="U350" s="61"/>
      <c r="V350" s="61"/>
      <c r="W350" s="61"/>
      <c r="X350" s="61"/>
      <c r="Y350" s="61"/>
      <c r="Z350" s="52"/>
      <c r="AA350" s="52"/>
      <c r="AB350" s="52"/>
      <c r="AC350" s="52"/>
      <c r="AD350" s="53"/>
      <c r="AE350" s="53"/>
      <c r="AF350" s="53"/>
    </row>
    <row r="351">
      <c r="G351" s="55"/>
      <c r="H351" s="54"/>
      <c r="I351" s="54"/>
      <c r="J351" s="54"/>
      <c r="K351" s="54"/>
      <c r="L351" s="54"/>
      <c r="M351" s="54"/>
      <c r="N351" s="59"/>
      <c r="O351" s="61"/>
      <c r="P351" s="61"/>
      <c r="Q351" s="61"/>
      <c r="R351" s="50"/>
      <c r="S351" s="50"/>
      <c r="T351" s="61"/>
      <c r="U351" s="61"/>
      <c r="V351" s="61"/>
      <c r="W351" s="61"/>
      <c r="X351" s="61"/>
      <c r="Y351" s="61"/>
      <c r="Z351" s="52"/>
      <c r="AA351" s="52"/>
      <c r="AB351" s="52"/>
      <c r="AC351" s="52"/>
      <c r="AD351" s="53"/>
      <c r="AE351" s="53"/>
      <c r="AF351" s="53"/>
    </row>
    <row r="352">
      <c r="G352" s="55"/>
      <c r="H352" s="54"/>
      <c r="I352" s="54"/>
      <c r="J352" s="54"/>
      <c r="K352" s="54"/>
      <c r="L352" s="54"/>
      <c r="M352" s="54"/>
      <c r="N352" s="59"/>
      <c r="O352" s="61"/>
      <c r="P352" s="61"/>
      <c r="Q352" s="61"/>
      <c r="R352" s="50"/>
      <c r="S352" s="50"/>
      <c r="T352" s="61"/>
      <c r="U352" s="61"/>
      <c r="V352" s="61"/>
      <c r="W352" s="61"/>
      <c r="X352" s="61"/>
      <c r="Y352" s="61"/>
      <c r="Z352" s="52"/>
      <c r="AA352" s="52"/>
      <c r="AB352" s="52"/>
      <c r="AC352" s="52"/>
      <c r="AD352" s="53"/>
      <c r="AE352" s="53"/>
      <c r="AF352" s="53"/>
    </row>
    <row r="353">
      <c r="G353" s="55"/>
      <c r="H353" s="54"/>
      <c r="I353" s="54"/>
      <c r="J353" s="54"/>
      <c r="K353" s="54"/>
      <c r="L353" s="54"/>
      <c r="M353" s="54"/>
      <c r="N353" s="59"/>
      <c r="O353" s="61"/>
      <c r="P353" s="61"/>
      <c r="Q353" s="61"/>
      <c r="R353" s="50"/>
      <c r="S353" s="50"/>
      <c r="T353" s="61"/>
      <c r="U353" s="61"/>
      <c r="V353" s="61"/>
      <c r="W353" s="61"/>
      <c r="X353" s="61"/>
      <c r="Y353" s="61"/>
      <c r="Z353" s="52"/>
      <c r="AA353" s="52"/>
      <c r="AB353" s="52"/>
      <c r="AC353" s="52"/>
      <c r="AD353" s="53"/>
      <c r="AE353" s="53"/>
      <c r="AF353" s="53"/>
    </row>
    <row r="354">
      <c r="G354" s="55"/>
      <c r="H354" s="54"/>
      <c r="I354" s="54"/>
      <c r="J354" s="54"/>
      <c r="K354" s="54"/>
      <c r="L354" s="54"/>
      <c r="M354" s="54"/>
      <c r="N354" s="59"/>
      <c r="O354" s="61"/>
      <c r="P354" s="61"/>
      <c r="Q354" s="61"/>
      <c r="R354" s="50"/>
      <c r="S354" s="50"/>
      <c r="T354" s="61"/>
      <c r="U354" s="61"/>
      <c r="V354" s="61"/>
      <c r="W354" s="61"/>
      <c r="X354" s="61"/>
      <c r="Y354" s="61"/>
      <c r="Z354" s="52"/>
      <c r="AA354" s="52"/>
      <c r="AB354" s="52"/>
      <c r="AC354" s="52"/>
      <c r="AD354" s="53"/>
      <c r="AE354" s="53"/>
      <c r="AF354" s="53"/>
    </row>
    <row r="355">
      <c r="G355" s="55"/>
      <c r="H355" s="54"/>
      <c r="I355" s="54"/>
      <c r="J355" s="54"/>
      <c r="K355" s="54"/>
      <c r="L355" s="54"/>
      <c r="M355" s="54"/>
      <c r="N355" s="59"/>
      <c r="O355" s="61"/>
      <c r="P355" s="61"/>
      <c r="Q355" s="61"/>
      <c r="R355" s="50"/>
      <c r="S355" s="50"/>
      <c r="T355" s="61"/>
      <c r="U355" s="61"/>
      <c r="V355" s="61"/>
      <c r="W355" s="61"/>
      <c r="X355" s="61"/>
      <c r="Y355" s="61"/>
      <c r="Z355" s="52"/>
      <c r="AA355" s="52"/>
      <c r="AB355" s="52"/>
      <c r="AC355" s="52"/>
      <c r="AD355" s="53"/>
      <c r="AE355" s="53"/>
      <c r="AF355" s="53"/>
    </row>
    <row r="356">
      <c r="G356" s="55"/>
      <c r="H356" s="54"/>
      <c r="I356" s="54"/>
      <c r="J356" s="54"/>
      <c r="K356" s="54"/>
      <c r="L356" s="54"/>
      <c r="M356" s="54"/>
      <c r="N356" s="59"/>
      <c r="O356" s="61"/>
      <c r="P356" s="61"/>
      <c r="Q356" s="61"/>
      <c r="R356" s="50"/>
      <c r="S356" s="50"/>
      <c r="T356" s="61"/>
      <c r="U356" s="61"/>
      <c r="V356" s="61"/>
      <c r="W356" s="61"/>
      <c r="X356" s="61"/>
      <c r="Y356" s="61"/>
      <c r="Z356" s="52"/>
      <c r="AA356" s="52"/>
      <c r="AB356" s="52"/>
      <c r="AC356" s="52"/>
      <c r="AD356" s="53"/>
      <c r="AE356" s="53"/>
      <c r="AF356" s="53"/>
    </row>
    <row r="357">
      <c r="G357" s="55"/>
      <c r="H357" s="54"/>
      <c r="I357" s="54"/>
      <c r="J357" s="54"/>
      <c r="K357" s="54"/>
      <c r="L357" s="54"/>
      <c r="M357" s="54"/>
      <c r="N357" s="59"/>
      <c r="O357" s="61"/>
      <c r="P357" s="61"/>
      <c r="Q357" s="61"/>
      <c r="R357" s="50"/>
      <c r="S357" s="50"/>
      <c r="T357" s="61"/>
      <c r="U357" s="61"/>
      <c r="V357" s="61"/>
      <c r="W357" s="61"/>
      <c r="X357" s="61"/>
      <c r="Y357" s="61"/>
      <c r="Z357" s="52"/>
      <c r="AA357" s="52"/>
      <c r="AB357" s="52"/>
      <c r="AC357" s="52"/>
      <c r="AD357" s="53"/>
      <c r="AE357" s="53"/>
      <c r="AF357" s="53"/>
    </row>
    <row r="358">
      <c r="G358" s="55"/>
      <c r="H358" s="54"/>
      <c r="I358" s="54"/>
      <c r="J358" s="54"/>
      <c r="K358" s="54"/>
      <c r="L358" s="54"/>
      <c r="M358" s="54"/>
      <c r="N358" s="59"/>
      <c r="O358" s="61"/>
      <c r="P358" s="61"/>
      <c r="Q358" s="61"/>
      <c r="R358" s="50"/>
      <c r="S358" s="50"/>
      <c r="T358" s="61"/>
      <c r="U358" s="61"/>
      <c r="V358" s="61"/>
      <c r="W358" s="61"/>
      <c r="X358" s="61"/>
      <c r="Y358" s="61"/>
      <c r="Z358" s="52"/>
      <c r="AA358" s="52"/>
      <c r="AB358" s="52"/>
      <c r="AC358" s="52"/>
      <c r="AD358" s="53"/>
      <c r="AE358" s="53"/>
      <c r="AF358" s="53"/>
    </row>
    <row r="359">
      <c r="G359" s="55"/>
      <c r="H359" s="54"/>
      <c r="I359" s="54"/>
      <c r="J359" s="54"/>
      <c r="K359" s="54"/>
      <c r="L359" s="54"/>
      <c r="M359" s="54"/>
      <c r="N359" s="59"/>
      <c r="O359" s="61"/>
      <c r="P359" s="61"/>
      <c r="Q359" s="61"/>
      <c r="R359" s="50"/>
      <c r="S359" s="50"/>
      <c r="T359" s="61"/>
      <c r="U359" s="61"/>
      <c r="V359" s="61"/>
      <c r="W359" s="61"/>
      <c r="X359" s="61"/>
      <c r="Y359" s="61"/>
      <c r="Z359" s="52"/>
      <c r="AA359" s="52"/>
      <c r="AB359" s="52"/>
      <c r="AC359" s="52"/>
      <c r="AD359" s="53"/>
      <c r="AE359" s="53"/>
      <c r="AF359" s="53"/>
    </row>
    <row r="360">
      <c r="G360" s="55"/>
      <c r="H360" s="54"/>
      <c r="I360" s="54"/>
      <c r="J360" s="54"/>
      <c r="K360" s="54"/>
      <c r="L360" s="54"/>
      <c r="M360" s="54"/>
      <c r="N360" s="59"/>
      <c r="O360" s="61"/>
      <c r="P360" s="61"/>
      <c r="Q360" s="61"/>
      <c r="R360" s="50"/>
      <c r="S360" s="50"/>
      <c r="T360" s="61"/>
      <c r="U360" s="61"/>
      <c r="V360" s="61"/>
      <c r="W360" s="61"/>
      <c r="X360" s="61"/>
      <c r="Y360" s="61"/>
      <c r="Z360" s="52"/>
      <c r="AA360" s="52"/>
      <c r="AB360" s="52"/>
      <c r="AC360" s="52"/>
      <c r="AD360" s="53"/>
      <c r="AE360" s="53"/>
      <c r="AF360" s="53"/>
    </row>
    <row r="361">
      <c r="G361" s="55"/>
      <c r="H361" s="54"/>
      <c r="I361" s="54"/>
      <c r="J361" s="54"/>
      <c r="K361" s="54"/>
      <c r="L361" s="54"/>
      <c r="M361" s="54"/>
      <c r="N361" s="59"/>
      <c r="O361" s="61"/>
      <c r="P361" s="61"/>
      <c r="Q361" s="61"/>
      <c r="R361" s="50"/>
      <c r="S361" s="50"/>
      <c r="T361" s="61"/>
      <c r="U361" s="61"/>
      <c r="V361" s="61"/>
      <c r="W361" s="61"/>
      <c r="X361" s="61"/>
      <c r="Y361" s="61"/>
      <c r="Z361" s="52"/>
      <c r="AA361" s="52"/>
      <c r="AB361" s="52"/>
      <c r="AC361" s="52"/>
      <c r="AD361" s="53"/>
      <c r="AE361" s="53"/>
      <c r="AF361" s="53"/>
    </row>
    <row r="362">
      <c r="G362" s="55"/>
      <c r="H362" s="54"/>
      <c r="I362" s="54"/>
      <c r="J362" s="54"/>
      <c r="K362" s="54"/>
      <c r="L362" s="54"/>
      <c r="M362" s="54"/>
      <c r="N362" s="59"/>
      <c r="O362" s="61"/>
      <c r="P362" s="61"/>
      <c r="Q362" s="61"/>
      <c r="R362" s="50"/>
      <c r="S362" s="50"/>
      <c r="T362" s="61"/>
      <c r="U362" s="61"/>
      <c r="V362" s="61"/>
      <c r="W362" s="61"/>
      <c r="X362" s="61"/>
      <c r="Y362" s="61"/>
      <c r="Z362" s="52"/>
      <c r="AA362" s="52"/>
      <c r="AB362" s="52"/>
      <c r="AC362" s="52"/>
      <c r="AD362" s="53"/>
      <c r="AE362" s="53"/>
      <c r="AF362" s="53"/>
    </row>
    <row r="363">
      <c r="G363" s="55"/>
      <c r="H363" s="54"/>
      <c r="I363" s="54"/>
      <c r="J363" s="54"/>
      <c r="K363" s="54"/>
      <c r="L363" s="54"/>
      <c r="M363" s="54"/>
      <c r="N363" s="59"/>
      <c r="O363" s="61"/>
      <c r="P363" s="61"/>
      <c r="Q363" s="61"/>
      <c r="R363" s="50"/>
      <c r="S363" s="50"/>
      <c r="T363" s="61"/>
      <c r="U363" s="61"/>
      <c r="V363" s="61"/>
      <c r="W363" s="61"/>
      <c r="X363" s="61"/>
      <c r="Y363" s="61"/>
      <c r="Z363" s="52"/>
      <c r="AA363" s="52"/>
      <c r="AB363" s="52"/>
      <c r="AC363" s="52"/>
      <c r="AD363" s="53"/>
      <c r="AE363" s="53"/>
      <c r="AF363" s="53"/>
    </row>
    <row r="364">
      <c r="G364" s="55"/>
      <c r="H364" s="54"/>
      <c r="I364" s="54"/>
      <c r="J364" s="54"/>
      <c r="K364" s="54"/>
      <c r="L364" s="54"/>
      <c r="M364" s="54"/>
      <c r="N364" s="59"/>
      <c r="O364" s="61"/>
      <c r="P364" s="61"/>
      <c r="Q364" s="61"/>
      <c r="R364" s="50"/>
      <c r="S364" s="50"/>
      <c r="T364" s="61"/>
      <c r="U364" s="61"/>
      <c r="V364" s="61"/>
      <c r="W364" s="61"/>
      <c r="X364" s="61"/>
      <c r="Y364" s="61"/>
      <c r="Z364" s="52"/>
      <c r="AA364" s="52"/>
      <c r="AB364" s="52"/>
      <c r="AC364" s="52"/>
      <c r="AD364" s="53"/>
      <c r="AE364" s="53"/>
      <c r="AF364" s="53"/>
    </row>
    <row r="365">
      <c r="G365" s="55"/>
      <c r="H365" s="54"/>
      <c r="I365" s="54"/>
      <c r="J365" s="54"/>
      <c r="K365" s="54"/>
      <c r="L365" s="54"/>
      <c r="M365" s="54"/>
      <c r="N365" s="59"/>
      <c r="O365" s="61"/>
      <c r="P365" s="61"/>
      <c r="Q365" s="61"/>
      <c r="R365" s="50"/>
      <c r="S365" s="50"/>
      <c r="T365" s="61"/>
      <c r="U365" s="61"/>
      <c r="V365" s="61"/>
      <c r="W365" s="61"/>
      <c r="X365" s="61"/>
      <c r="Y365" s="61"/>
      <c r="Z365" s="52"/>
      <c r="AA365" s="52"/>
      <c r="AB365" s="52"/>
      <c r="AC365" s="52"/>
      <c r="AD365" s="53"/>
      <c r="AE365" s="53"/>
      <c r="AF365" s="53"/>
    </row>
    <row r="366">
      <c r="G366" s="55"/>
      <c r="H366" s="54"/>
      <c r="I366" s="54"/>
      <c r="J366" s="54"/>
      <c r="K366" s="54"/>
      <c r="L366" s="54"/>
      <c r="M366" s="54"/>
      <c r="N366" s="59"/>
      <c r="O366" s="61"/>
      <c r="P366" s="61"/>
      <c r="Q366" s="61"/>
      <c r="R366" s="50"/>
      <c r="S366" s="50"/>
      <c r="T366" s="61"/>
      <c r="U366" s="61"/>
      <c r="V366" s="61"/>
      <c r="W366" s="61"/>
      <c r="X366" s="61"/>
      <c r="Y366" s="61"/>
      <c r="Z366" s="52"/>
      <c r="AA366" s="52"/>
      <c r="AB366" s="52"/>
      <c r="AC366" s="52"/>
      <c r="AD366" s="53"/>
      <c r="AE366" s="53"/>
      <c r="AF366" s="53"/>
    </row>
    <row r="367">
      <c r="G367" s="55"/>
      <c r="H367" s="54"/>
      <c r="I367" s="54"/>
      <c r="J367" s="54"/>
      <c r="K367" s="54"/>
      <c r="L367" s="54"/>
      <c r="M367" s="54"/>
      <c r="N367" s="59"/>
      <c r="O367" s="61"/>
      <c r="P367" s="61"/>
      <c r="Q367" s="61"/>
      <c r="R367" s="50"/>
      <c r="S367" s="50"/>
      <c r="T367" s="61"/>
      <c r="U367" s="61"/>
      <c r="V367" s="61"/>
      <c r="W367" s="61"/>
      <c r="X367" s="61"/>
      <c r="Y367" s="61"/>
      <c r="Z367" s="52"/>
      <c r="AA367" s="52"/>
      <c r="AB367" s="52"/>
      <c r="AC367" s="52"/>
      <c r="AD367" s="53"/>
      <c r="AE367" s="53"/>
      <c r="AF367" s="53"/>
    </row>
    <row r="368">
      <c r="G368" s="55"/>
      <c r="H368" s="54"/>
      <c r="I368" s="54"/>
      <c r="J368" s="54"/>
      <c r="K368" s="54"/>
      <c r="L368" s="54"/>
      <c r="M368" s="54"/>
      <c r="N368" s="59"/>
      <c r="O368" s="61"/>
      <c r="P368" s="61"/>
      <c r="Q368" s="61"/>
      <c r="R368" s="50"/>
      <c r="S368" s="50"/>
      <c r="T368" s="61"/>
      <c r="U368" s="61"/>
      <c r="V368" s="61"/>
      <c r="W368" s="61"/>
      <c r="X368" s="61"/>
      <c r="Y368" s="61"/>
      <c r="Z368" s="52"/>
      <c r="AA368" s="52"/>
      <c r="AB368" s="52"/>
      <c r="AC368" s="52"/>
      <c r="AD368" s="53"/>
      <c r="AE368" s="53"/>
      <c r="AF368" s="53"/>
    </row>
    <row r="369">
      <c r="G369" s="55"/>
      <c r="H369" s="54"/>
      <c r="I369" s="54"/>
      <c r="J369" s="54"/>
      <c r="K369" s="54"/>
      <c r="L369" s="54"/>
      <c r="M369" s="54"/>
      <c r="N369" s="59"/>
      <c r="O369" s="61"/>
      <c r="P369" s="61"/>
      <c r="Q369" s="61"/>
      <c r="R369" s="50"/>
      <c r="S369" s="50"/>
      <c r="T369" s="61"/>
      <c r="U369" s="61"/>
      <c r="V369" s="61"/>
      <c r="W369" s="61"/>
      <c r="X369" s="61"/>
      <c r="Y369" s="61"/>
      <c r="Z369" s="52"/>
      <c r="AA369" s="52"/>
      <c r="AB369" s="52"/>
      <c r="AC369" s="52"/>
      <c r="AD369" s="53"/>
      <c r="AE369" s="53"/>
      <c r="AF369" s="53"/>
    </row>
    <row r="370">
      <c r="G370" s="55"/>
      <c r="H370" s="54"/>
      <c r="I370" s="54"/>
      <c r="J370" s="54"/>
      <c r="K370" s="54"/>
      <c r="L370" s="54"/>
      <c r="M370" s="54"/>
      <c r="N370" s="59"/>
      <c r="O370" s="61"/>
      <c r="P370" s="61"/>
      <c r="Q370" s="61"/>
      <c r="R370" s="50"/>
      <c r="S370" s="50"/>
      <c r="T370" s="61"/>
      <c r="U370" s="61"/>
      <c r="V370" s="61"/>
      <c r="W370" s="61"/>
      <c r="X370" s="61"/>
      <c r="Y370" s="61"/>
      <c r="Z370" s="52"/>
      <c r="AA370" s="52"/>
      <c r="AB370" s="52"/>
      <c r="AC370" s="52"/>
      <c r="AD370" s="53"/>
      <c r="AE370" s="53"/>
      <c r="AF370" s="53"/>
    </row>
    <row r="371">
      <c r="G371" s="55"/>
      <c r="H371" s="54"/>
      <c r="I371" s="54"/>
      <c r="J371" s="54"/>
      <c r="K371" s="54"/>
      <c r="L371" s="54"/>
      <c r="M371" s="54"/>
      <c r="N371" s="59"/>
      <c r="O371" s="61"/>
      <c r="P371" s="61"/>
      <c r="Q371" s="61"/>
      <c r="R371" s="50"/>
      <c r="S371" s="50"/>
      <c r="T371" s="61"/>
      <c r="U371" s="61"/>
      <c r="V371" s="61"/>
      <c r="W371" s="61"/>
      <c r="X371" s="61"/>
      <c r="Y371" s="61"/>
      <c r="Z371" s="52"/>
      <c r="AA371" s="52"/>
      <c r="AB371" s="52"/>
      <c r="AC371" s="52"/>
      <c r="AD371" s="53"/>
      <c r="AE371" s="53"/>
      <c r="AF371" s="53"/>
    </row>
    <row r="372">
      <c r="G372" s="55"/>
      <c r="H372" s="54"/>
      <c r="I372" s="54"/>
      <c r="J372" s="54"/>
      <c r="K372" s="54"/>
      <c r="L372" s="54"/>
      <c r="M372" s="54"/>
      <c r="N372" s="59"/>
      <c r="O372" s="61"/>
      <c r="P372" s="61"/>
      <c r="Q372" s="61"/>
      <c r="R372" s="50"/>
      <c r="S372" s="50"/>
      <c r="T372" s="61"/>
      <c r="U372" s="61"/>
      <c r="V372" s="61"/>
      <c r="W372" s="61"/>
      <c r="X372" s="61"/>
      <c r="Y372" s="61"/>
      <c r="Z372" s="52"/>
      <c r="AA372" s="52"/>
      <c r="AB372" s="52"/>
      <c r="AC372" s="52"/>
      <c r="AD372" s="53"/>
      <c r="AE372" s="53"/>
      <c r="AF372" s="53"/>
    </row>
    <row r="373">
      <c r="G373" s="55"/>
      <c r="H373" s="54"/>
      <c r="I373" s="54"/>
      <c r="J373" s="54"/>
      <c r="K373" s="54"/>
      <c r="L373" s="54"/>
      <c r="M373" s="54"/>
      <c r="N373" s="59"/>
      <c r="O373" s="61"/>
      <c r="P373" s="61"/>
      <c r="Q373" s="61"/>
      <c r="R373" s="50"/>
      <c r="S373" s="50"/>
      <c r="T373" s="61"/>
      <c r="U373" s="61"/>
      <c r="V373" s="61"/>
      <c r="W373" s="61"/>
      <c r="X373" s="61"/>
      <c r="Y373" s="61"/>
      <c r="Z373" s="52"/>
      <c r="AA373" s="52"/>
      <c r="AB373" s="52"/>
      <c r="AC373" s="52"/>
      <c r="AD373" s="53"/>
      <c r="AE373" s="53"/>
      <c r="AF373" s="53"/>
    </row>
    <row r="374">
      <c r="G374" s="55"/>
      <c r="H374" s="54"/>
      <c r="I374" s="54"/>
      <c r="J374" s="54"/>
      <c r="K374" s="54"/>
      <c r="L374" s="54"/>
      <c r="M374" s="54"/>
      <c r="N374" s="59"/>
      <c r="O374" s="61"/>
      <c r="P374" s="61"/>
      <c r="Q374" s="61"/>
      <c r="R374" s="50"/>
      <c r="S374" s="50"/>
      <c r="T374" s="61"/>
      <c r="U374" s="61"/>
      <c r="V374" s="61"/>
      <c r="W374" s="61"/>
      <c r="X374" s="61"/>
      <c r="Y374" s="61"/>
      <c r="Z374" s="52"/>
      <c r="AA374" s="52"/>
      <c r="AB374" s="52"/>
      <c r="AC374" s="52"/>
      <c r="AD374" s="53"/>
      <c r="AE374" s="53"/>
      <c r="AF374" s="53"/>
    </row>
    <row r="375">
      <c r="G375" s="55"/>
      <c r="H375" s="54"/>
      <c r="I375" s="54"/>
      <c r="J375" s="54"/>
      <c r="K375" s="54"/>
      <c r="L375" s="54"/>
      <c r="M375" s="54"/>
      <c r="N375" s="59"/>
      <c r="O375" s="61"/>
      <c r="P375" s="61"/>
      <c r="Q375" s="61"/>
      <c r="R375" s="50"/>
      <c r="S375" s="50"/>
      <c r="T375" s="61"/>
      <c r="U375" s="61"/>
      <c r="V375" s="61"/>
      <c r="W375" s="61"/>
      <c r="X375" s="61"/>
      <c r="Y375" s="61"/>
      <c r="Z375" s="52"/>
      <c r="AA375" s="52"/>
      <c r="AB375" s="52"/>
      <c r="AC375" s="52"/>
      <c r="AD375" s="53"/>
      <c r="AE375" s="53"/>
      <c r="AF375" s="53"/>
    </row>
    <row r="376">
      <c r="G376" s="55"/>
      <c r="H376" s="54"/>
      <c r="I376" s="54"/>
      <c r="J376" s="54"/>
      <c r="K376" s="54"/>
      <c r="L376" s="54"/>
      <c r="M376" s="54"/>
      <c r="N376" s="59"/>
      <c r="O376" s="61"/>
      <c r="P376" s="61"/>
      <c r="Q376" s="61"/>
      <c r="R376" s="50"/>
      <c r="S376" s="50"/>
      <c r="T376" s="61"/>
      <c r="U376" s="61"/>
      <c r="V376" s="61"/>
      <c r="W376" s="61"/>
      <c r="X376" s="61"/>
      <c r="Y376" s="61"/>
      <c r="Z376" s="52"/>
      <c r="AA376" s="52"/>
      <c r="AB376" s="52"/>
      <c r="AC376" s="52"/>
      <c r="AD376" s="53"/>
      <c r="AE376" s="53"/>
      <c r="AF376" s="53"/>
    </row>
    <row r="377">
      <c r="G377" s="55"/>
      <c r="H377" s="54"/>
      <c r="I377" s="54"/>
      <c r="J377" s="54"/>
      <c r="K377" s="54"/>
      <c r="L377" s="54"/>
      <c r="M377" s="54"/>
      <c r="N377" s="59"/>
      <c r="O377" s="61"/>
      <c r="P377" s="61"/>
      <c r="Q377" s="61"/>
      <c r="R377" s="50"/>
      <c r="S377" s="50"/>
      <c r="T377" s="61"/>
      <c r="U377" s="61"/>
      <c r="V377" s="61"/>
      <c r="W377" s="61"/>
      <c r="X377" s="61"/>
      <c r="Y377" s="61"/>
      <c r="Z377" s="52"/>
      <c r="AA377" s="52"/>
      <c r="AB377" s="52"/>
      <c r="AC377" s="52"/>
      <c r="AD377" s="53"/>
      <c r="AE377" s="53"/>
      <c r="AF377" s="53"/>
    </row>
    <row r="378">
      <c r="G378" s="55"/>
      <c r="H378" s="54"/>
      <c r="I378" s="54"/>
      <c r="J378" s="54"/>
      <c r="K378" s="54"/>
      <c r="L378" s="54"/>
      <c r="M378" s="54"/>
      <c r="N378" s="59"/>
      <c r="O378" s="61"/>
      <c r="P378" s="61"/>
      <c r="Q378" s="61"/>
      <c r="R378" s="50"/>
      <c r="S378" s="50"/>
      <c r="T378" s="61"/>
      <c r="U378" s="61"/>
      <c r="V378" s="61"/>
      <c r="W378" s="61"/>
      <c r="X378" s="61"/>
      <c r="Y378" s="61"/>
      <c r="Z378" s="52"/>
      <c r="AA378" s="52"/>
      <c r="AB378" s="52"/>
      <c r="AC378" s="52"/>
      <c r="AD378" s="53"/>
      <c r="AE378" s="53"/>
      <c r="AF378" s="53"/>
    </row>
    <row r="379">
      <c r="G379" s="55"/>
      <c r="H379" s="54"/>
      <c r="I379" s="54"/>
      <c r="J379" s="54"/>
      <c r="K379" s="54"/>
      <c r="L379" s="54"/>
      <c r="M379" s="54"/>
      <c r="N379" s="59"/>
      <c r="O379" s="61"/>
      <c r="P379" s="61"/>
      <c r="Q379" s="61"/>
      <c r="R379" s="50"/>
      <c r="S379" s="50"/>
      <c r="T379" s="61"/>
      <c r="U379" s="61"/>
      <c r="V379" s="61"/>
      <c r="W379" s="61"/>
      <c r="X379" s="61"/>
      <c r="Y379" s="61"/>
      <c r="Z379" s="52"/>
      <c r="AA379" s="52"/>
      <c r="AB379" s="52"/>
      <c r="AC379" s="52"/>
      <c r="AD379" s="53"/>
      <c r="AE379" s="53"/>
      <c r="AF379" s="53"/>
    </row>
    <row r="380">
      <c r="G380" s="55"/>
      <c r="H380" s="54"/>
      <c r="I380" s="54"/>
      <c r="J380" s="54"/>
      <c r="K380" s="54"/>
      <c r="L380" s="54"/>
      <c r="M380" s="54"/>
      <c r="N380" s="59"/>
      <c r="O380" s="61"/>
      <c r="P380" s="61"/>
      <c r="Q380" s="61"/>
      <c r="R380" s="50"/>
      <c r="S380" s="50"/>
      <c r="T380" s="61"/>
      <c r="U380" s="61"/>
      <c r="V380" s="61"/>
      <c r="W380" s="61"/>
      <c r="X380" s="61"/>
      <c r="Y380" s="61"/>
      <c r="Z380" s="52"/>
      <c r="AA380" s="52"/>
      <c r="AB380" s="52"/>
      <c r="AC380" s="52"/>
      <c r="AD380" s="53"/>
      <c r="AE380" s="53"/>
      <c r="AF380" s="53"/>
    </row>
    <row r="381">
      <c r="G381" s="55"/>
      <c r="H381" s="54"/>
      <c r="I381" s="54"/>
      <c r="J381" s="54"/>
      <c r="K381" s="54"/>
      <c r="L381" s="54"/>
      <c r="M381" s="54"/>
      <c r="N381" s="59"/>
      <c r="O381" s="61"/>
      <c r="P381" s="61"/>
      <c r="Q381" s="61"/>
      <c r="R381" s="50"/>
      <c r="S381" s="50"/>
      <c r="T381" s="61"/>
      <c r="U381" s="61"/>
      <c r="V381" s="61"/>
      <c r="W381" s="61"/>
      <c r="X381" s="61"/>
      <c r="Y381" s="61"/>
      <c r="Z381" s="52"/>
      <c r="AA381" s="52"/>
      <c r="AB381" s="52"/>
      <c r="AC381" s="52"/>
      <c r="AD381" s="53"/>
      <c r="AE381" s="53"/>
      <c r="AF381" s="53"/>
    </row>
    <row r="382">
      <c r="G382" s="55"/>
      <c r="H382" s="54"/>
      <c r="I382" s="54"/>
      <c r="J382" s="54"/>
      <c r="K382" s="54"/>
      <c r="L382" s="54"/>
      <c r="M382" s="54"/>
      <c r="N382" s="59"/>
      <c r="O382" s="61"/>
      <c r="P382" s="61"/>
      <c r="Q382" s="61"/>
      <c r="R382" s="50"/>
      <c r="S382" s="50"/>
      <c r="T382" s="61"/>
      <c r="U382" s="61"/>
      <c r="V382" s="61"/>
      <c r="W382" s="61"/>
      <c r="X382" s="61"/>
      <c r="Y382" s="61"/>
      <c r="Z382" s="52"/>
      <c r="AA382" s="52"/>
      <c r="AB382" s="52"/>
      <c r="AC382" s="52"/>
      <c r="AD382" s="53"/>
      <c r="AE382" s="53"/>
      <c r="AF382" s="53"/>
    </row>
    <row r="383">
      <c r="G383" s="55"/>
      <c r="H383" s="54"/>
      <c r="I383" s="54"/>
      <c r="J383" s="54"/>
      <c r="K383" s="54"/>
      <c r="L383" s="54"/>
      <c r="M383" s="54"/>
      <c r="N383" s="59"/>
      <c r="O383" s="61"/>
      <c r="P383" s="61"/>
      <c r="Q383" s="61"/>
      <c r="R383" s="50"/>
      <c r="S383" s="50"/>
      <c r="T383" s="61"/>
      <c r="U383" s="61"/>
      <c r="V383" s="61"/>
      <c r="W383" s="61"/>
      <c r="X383" s="61"/>
      <c r="Y383" s="61"/>
      <c r="Z383" s="52"/>
      <c r="AA383" s="52"/>
      <c r="AB383" s="52"/>
      <c r="AC383" s="52"/>
      <c r="AD383" s="53"/>
      <c r="AE383" s="53"/>
      <c r="AF383" s="53"/>
    </row>
    <row r="384">
      <c r="G384" s="55"/>
      <c r="H384" s="54"/>
      <c r="I384" s="54"/>
      <c r="J384" s="54"/>
      <c r="K384" s="54"/>
      <c r="L384" s="54"/>
      <c r="M384" s="54"/>
      <c r="N384" s="59"/>
      <c r="O384" s="61"/>
      <c r="P384" s="61"/>
      <c r="Q384" s="61"/>
      <c r="R384" s="50"/>
      <c r="S384" s="50"/>
      <c r="T384" s="61"/>
      <c r="U384" s="61"/>
      <c r="V384" s="61"/>
      <c r="W384" s="61"/>
      <c r="X384" s="61"/>
      <c r="Y384" s="61"/>
      <c r="Z384" s="52"/>
      <c r="AA384" s="52"/>
      <c r="AB384" s="52"/>
      <c r="AC384" s="52"/>
      <c r="AD384" s="53"/>
      <c r="AE384" s="53"/>
      <c r="AF384" s="53"/>
    </row>
    <row r="385">
      <c r="G385" s="55"/>
      <c r="H385" s="54"/>
      <c r="I385" s="54"/>
      <c r="J385" s="54"/>
      <c r="K385" s="54"/>
      <c r="L385" s="54"/>
      <c r="M385" s="54"/>
      <c r="N385" s="59"/>
      <c r="O385" s="61"/>
      <c r="P385" s="61"/>
      <c r="Q385" s="61"/>
      <c r="R385" s="50"/>
      <c r="S385" s="50"/>
      <c r="T385" s="61"/>
      <c r="U385" s="61"/>
      <c r="V385" s="61"/>
      <c r="W385" s="61"/>
      <c r="X385" s="61"/>
      <c r="Y385" s="61"/>
      <c r="Z385" s="52"/>
      <c r="AA385" s="52"/>
      <c r="AB385" s="52"/>
      <c r="AC385" s="52"/>
      <c r="AD385" s="53"/>
      <c r="AE385" s="53"/>
      <c r="AF385" s="53"/>
    </row>
    <row r="386">
      <c r="G386" s="55"/>
      <c r="H386" s="54"/>
      <c r="I386" s="54"/>
      <c r="J386" s="54"/>
      <c r="K386" s="54"/>
      <c r="L386" s="54"/>
      <c r="M386" s="54"/>
      <c r="N386" s="59"/>
      <c r="O386" s="61"/>
      <c r="P386" s="61"/>
      <c r="Q386" s="61"/>
      <c r="R386" s="50"/>
      <c r="S386" s="50"/>
      <c r="T386" s="61"/>
      <c r="U386" s="61"/>
      <c r="V386" s="61"/>
      <c r="W386" s="61"/>
      <c r="X386" s="61"/>
      <c r="Y386" s="61"/>
      <c r="Z386" s="52"/>
      <c r="AA386" s="52"/>
      <c r="AB386" s="52"/>
      <c r="AC386" s="52"/>
      <c r="AD386" s="53"/>
      <c r="AE386" s="53"/>
      <c r="AF386" s="53"/>
    </row>
    <row r="387">
      <c r="G387" s="55"/>
      <c r="H387" s="54"/>
      <c r="I387" s="54"/>
      <c r="J387" s="54"/>
      <c r="K387" s="54"/>
      <c r="L387" s="54"/>
      <c r="M387" s="54"/>
      <c r="N387" s="59"/>
      <c r="O387" s="61"/>
      <c r="P387" s="61"/>
      <c r="Q387" s="61"/>
      <c r="R387" s="50"/>
      <c r="S387" s="50"/>
      <c r="T387" s="61"/>
      <c r="U387" s="61"/>
      <c r="V387" s="61"/>
      <c r="W387" s="61"/>
      <c r="X387" s="61"/>
      <c r="Y387" s="61"/>
      <c r="Z387" s="52"/>
      <c r="AA387" s="52"/>
      <c r="AB387" s="52"/>
      <c r="AC387" s="52"/>
      <c r="AD387" s="53"/>
      <c r="AE387" s="53"/>
      <c r="AF387" s="53"/>
    </row>
    <row r="388">
      <c r="G388" s="55"/>
      <c r="H388" s="54"/>
      <c r="I388" s="54"/>
      <c r="J388" s="54"/>
      <c r="K388" s="54"/>
      <c r="L388" s="54"/>
      <c r="M388" s="54"/>
      <c r="N388" s="59"/>
      <c r="O388" s="61"/>
      <c r="P388" s="61"/>
      <c r="Q388" s="61"/>
      <c r="R388" s="50"/>
      <c r="S388" s="50"/>
      <c r="T388" s="61"/>
      <c r="U388" s="61"/>
      <c r="V388" s="61"/>
      <c r="W388" s="61"/>
      <c r="X388" s="61"/>
      <c r="Y388" s="61"/>
      <c r="Z388" s="52"/>
      <c r="AA388" s="52"/>
      <c r="AB388" s="52"/>
      <c r="AC388" s="52"/>
      <c r="AD388" s="53"/>
      <c r="AE388" s="53"/>
      <c r="AF388" s="53"/>
    </row>
    <row r="389">
      <c r="G389" s="55"/>
      <c r="H389" s="54"/>
      <c r="I389" s="54"/>
      <c r="J389" s="54"/>
      <c r="K389" s="54"/>
      <c r="L389" s="54"/>
      <c r="M389" s="54"/>
      <c r="N389" s="59"/>
      <c r="O389" s="61"/>
      <c r="P389" s="61"/>
      <c r="Q389" s="61"/>
      <c r="R389" s="50"/>
      <c r="S389" s="50"/>
      <c r="T389" s="61"/>
      <c r="U389" s="61"/>
      <c r="V389" s="61"/>
      <c r="W389" s="61"/>
      <c r="X389" s="61"/>
      <c r="Y389" s="61"/>
      <c r="Z389" s="52"/>
      <c r="AA389" s="52"/>
      <c r="AB389" s="52"/>
      <c r="AC389" s="52"/>
      <c r="AD389" s="53"/>
      <c r="AE389" s="53"/>
      <c r="AF389" s="53"/>
    </row>
    <row r="390">
      <c r="G390" s="55"/>
      <c r="H390" s="54"/>
      <c r="I390" s="54"/>
      <c r="J390" s="54"/>
      <c r="K390" s="54"/>
      <c r="L390" s="54"/>
      <c r="M390" s="54"/>
      <c r="N390" s="59"/>
      <c r="O390" s="61"/>
      <c r="P390" s="61"/>
      <c r="Q390" s="61"/>
      <c r="R390" s="50"/>
      <c r="S390" s="50"/>
      <c r="T390" s="61"/>
      <c r="U390" s="61"/>
      <c r="V390" s="61"/>
      <c r="W390" s="61"/>
      <c r="X390" s="61"/>
      <c r="Y390" s="61"/>
      <c r="Z390" s="52"/>
      <c r="AA390" s="52"/>
      <c r="AB390" s="52"/>
      <c r="AC390" s="52"/>
      <c r="AD390" s="53"/>
      <c r="AE390" s="53"/>
      <c r="AF390" s="53"/>
    </row>
    <row r="391">
      <c r="G391" s="55"/>
      <c r="H391" s="54"/>
      <c r="I391" s="54"/>
      <c r="J391" s="54"/>
      <c r="K391" s="54"/>
      <c r="L391" s="54"/>
      <c r="M391" s="54"/>
      <c r="N391" s="59"/>
      <c r="O391" s="61"/>
      <c r="P391" s="61"/>
      <c r="Q391" s="61"/>
      <c r="R391" s="50"/>
      <c r="S391" s="50"/>
      <c r="T391" s="61"/>
      <c r="U391" s="61"/>
      <c r="V391" s="61"/>
      <c r="W391" s="61"/>
      <c r="X391" s="61"/>
      <c r="Y391" s="61"/>
      <c r="Z391" s="52"/>
      <c r="AA391" s="52"/>
      <c r="AB391" s="52"/>
      <c r="AC391" s="52"/>
      <c r="AD391" s="53"/>
      <c r="AE391" s="53"/>
      <c r="AF391" s="53"/>
    </row>
    <row r="392">
      <c r="G392" s="55"/>
      <c r="H392" s="54"/>
      <c r="I392" s="54"/>
      <c r="J392" s="54"/>
      <c r="K392" s="54"/>
      <c r="L392" s="54"/>
      <c r="M392" s="54"/>
      <c r="N392" s="59"/>
      <c r="O392" s="61"/>
      <c r="P392" s="61"/>
      <c r="Q392" s="61"/>
      <c r="R392" s="50"/>
      <c r="S392" s="50"/>
      <c r="T392" s="61"/>
      <c r="U392" s="61"/>
      <c r="V392" s="61"/>
      <c r="W392" s="61"/>
      <c r="X392" s="61"/>
      <c r="Y392" s="61"/>
      <c r="Z392" s="52"/>
      <c r="AA392" s="52"/>
      <c r="AB392" s="52"/>
      <c r="AC392" s="52"/>
      <c r="AD392" s="53"/>
      <c r="AE392" s="53"/>
      <c r="AF392" s="53"/>
    </row>
    <row r="393">
      <c r="G393" s="55"/>
      <c r="H393" s="54"/>
      <c r="I393" s="54"/>
      <c r="J393" s="54"/>
      <c r="K393" s="54"/>
      <c r="L393" s="54"/>
      <c r="M393" s="54"/>
      <c r="N393" s="59"/>
      <c r="O393" s="61"/>
      <c r="P393" s="61"/>
      <c r="Q393" s="61"/>
      <c r="R393" s="50"/>
      <c r="S393" s="50"/>
      <c r="T393" s="61"/>
      <c r="U393" s="61"/>
      <c r="V393" s="61"/>
      <c r="W393" s="61"/>
      <c r="X393" s="61"/>
      <c r="Y393" s="61"/>
      <c r="Z393" s="52"/>
      <c r="AA393" s="52"/>
      <c r="AB393" s="52"/>
      <c r="AC393" s="52"/>
      <c r="AD393" s="53"/>
      <c r="AE393" s="53"/>
      <c r="AF393" s="53"/>
    </row>
    <row r="394">
      <c r="G394" s="55"/>
      <c r="H394" s="54"/>
      <c r="I394" s="54"/>
      <c r="J394" s="54"/>
      <c r="K394" s="54"/>
      <c r="L394" s="54"/>
      <c r="M394" s="54"/>
      <c r="N394" s="59"/>
      <c r="O394" s="61"/>
      <c r="P394" s="61"/>
      <c r="Q394" s="61"/>
      <c r="R394" s="50"/>
      <c r="S394" s="50"/>
      <c r="T394" s="61"/>
      <c r="U394" s="61"/>
      <c r="V394" s="61"/>
      <c r="W394" s="61"/>
      <c r="X394" s="61"/>
      <c r="Y394" s="61"/>
      <c r="Z394" s="52"/>
      <c r="AA394" s="52"/>
      <c r="AB394" s="52"/>
      <c r="AC394" s="52"/>
      <c r="AD394" s="53"/>
      <c r="AE394" s="53"/>
      <c r="AF394" s="53"/>
    </row>
    <row r="395">
      <c r="G395" s="55"/>
      <c r="H395" s="54"/>
      <c r="I395" s="54"/>
      <c r="J395" s="54"/>
      <c r="K395" s="54"/>
      <c r="L395" s="54"/>
      <c r="M395" s="54"/>
      <c r="N395" s="59"/>
      <c r="O395" s="61"/>
      <c r="P395" s="61"/>
      <c r="Q395" s="61"/>
      <c r="R395" s="50"/>
      <c r="S395" s="50"/>
      <c r="T395" s="61"/>
      <c r="U395" s="61"/>
      <c r="V395" s="61"/>
      <c r="W395" s="61"/>
      <c r="X395" s="61"/>
      <c r="Y395" s="61"/>
      <c r="Z395" s="52"/>
      <c r="AA395" s="52"/>
      <c r="AB395" s="52"/>
      <c r="AC395" s="52"/>
      <c r="AD395" s="53"/>
      <c r="AE395" s="53"/>
      <c r="AF395" s="53"/>
    </row>
    <row r="396">
      <c r="G396" s="55"/>
      <c r="H396" s="54"/>
      <c r="I396" s="54"/>
      <c r="J396" s="54"/>
      <c r="K396" s="54"/>
      <c r="L396" s="54"/>
      <c r="M396" s="54"/>
      <c r="N396" s="59"/>
      <c r="O396" s="61"/>
      <c r="P396" s="61"/>
      <c r="Q396" s="61"/>
      <c r="R396" s="50"/>
      <c r="S396" s="50"/>
      <c r="T396" s="61"/>
      <c r="U396" s="61"/>
      <c r="V396" s="61"/>
      <c r="W396" s="61"/>
      <c r="X396" s="61"/>
      <c r="Y396" s="61"/>
      <c r="Z396" s="52"/>
      <c r="AA396" s="52"/>
      <c r="AB396" s="52"/>
      <c r="AC396" s="52"/>
      <c r="AD396" s="53"/>
      <c r="AE396" s="53"/>
      <c r="AF396" s="53"/>
    </row>
    <row r="397">
      <c r="G397" s="55"/>
      <c r="H397" s="54"/>
      <c r="I397" s="54"/>
      <c r="J397" s="54"/>
      <c r="K397" s="54"/>
      <c r="L397" s="54"/>
      <c r="M397" s="54"/>
      <c r="N397" s="59"/>
      <c r="O397" s="61"/>
      <c r="P397" s="61"/>
      <c r="Q397" s="61"/>
      <c r="R397" s="50"/>
      <c r="S397" s="50"/>
      <c r="T397" s="61"/>
      <c r="U397" s="61"/>
      <c r="V397" s="61"/>
      <c r="W397" s="61"/>
      <c r="X397" s="61"/>
      <c r="Y397" s="61"/>
      <c r="Z397" s="52"/>
      <c r="AA397" s="52"/>
      <c r="AB397" s="52"/>
      <c r="AC397" s="52"/>
      <c r="AD397" s="53"/>
      <c r="AE397" s="53"/>
      <c r="AF397" s="53"/>
    </row>
    <row r="398">
      <c r="G398" s="55"/>
      <c r="H398" s="54"/>
      <c r="I398" s="54"/>
      <c r="J398" s="54"/>
      <c r="K398" s="54"/>
      <c r="L398" s="54"/>
      <c r="M398" s="54"/>
      <c r="N398" s="59"/>
      <c r="O398" s="61"/>
      <c r="P398" s="61"/>
      <c r="Q398" s="61"/>
      <c r="R398" s="50"/>
      <c r="S398" s="50"/>
      <c r="T398" s="61"/>
      <c r="U398" s="61"/>
      <c r="V398" s="61"/>
      <c r="W398" s="61"/>
      <c r="X398" s="61"/>
      <c r="Y398" s="61"/>
      <c r="Z398" s="52"/>
      <c r="AA398" s="52"/>
      <c r="AB398" s="52"/>
      <c r="AC398" s="52"/>
      <c r="AD398" s="53"/>
      <c r="AE398" s="53"/>
      <c r="AF398" s="53"/>
    </row>
    <row r="399">
      <c r="G399" s="55"/>
      <c r="H399" s="54"/>
      <c r="I399" s="54"/>
      <c r="J399" s="54"/>
      <c r="K399" s="54"/>
      <c r="L399" s="54"/>
      <c r="M399" s="54"/>
      <c r="N399" s="59"/>
      <c r="O399" s="61"/>
      <c r="P399" s="61"/>
      <c r="Q399" s="61"/>
      <c r="R399" s="50"/>
      <c r="S399" s="50"/>
      <c r="T399" s="61"/>
      <c r="U399" s="61"/>
      <c r="V399" s="61"/>
      <c r="W399" s="61"/>
      <c r="X399" s="61"/>
      <c r="Y399" s="61"/>
      <c r="Z399" s="52"/>
      <c r="AA399" s="52"/>
      <c r="AB399" s="52"/>
      <c r="AC399" s="52"/>
      <c r="AD399" s="53"/>
      <c r="AE399" s="53"/>
      <c r="AF399" s="53"/>
    </row>
    <row r="400">
      <c r="G400" s="55"/>
      <c r="H400" s="54"/>
      <c r="I400" s="54"/>
      <c r="J400" s="54"/>
      <c r="K400" s="54"/>
      <c r="L400" s="54"/>
      <c r="M400" s="54"/>
      <c r="N400" s="59"/>
      <c r="O400" s="61"/>
      <c r="P400" s="61"/>
      <c r="Q400" s="61"/>
      <c r="R400" s="50"/>
      <c r="S400" s="50"/>
      <c r="T400" s="61"/>
      <c r="U400" s="61"/>
      <c r="V400" s="61"/>
      <c r="W400" s="61"/>
      <c r="X400" s="61"/>
      <c r="Y400" s="61"/>
      <c r="Z400" s="52"/>
      <c r="AA400" s="52"/>
      <c r="AB400" s="52"/>
      <c r="AC400" s="52"/>
      <c r="AD400" s="53"/>
      <c r="AE400" s="53"/>
      <c r="AF400" s="53"/>
    </row>
    <row r="401">
      <c r="G401" s="55"/>
      <c r="H401" s="54"/>
      <c r="I401" s="54"/>
      <c r="J401" s="54"/>
      <c r="K401" s="54"/>
      <c r="L401" s="54"/>
      <c r="M401" s="54"/>
      <c r="N401" s="59"/>
      <c r="O401" s="61"/>
      <c r="P401" s="61"/>
      <c r="Q401" s="61"/>
      <c r="R401" s="50"/>
      <c r="S401" s="50"/>
      <c r="T401" s="61"/>
      <c r="U401" s="61"/>
      <c r="V401" s="61"/>
      <c r="W401" s="61"/>
      <c r="X401" s="61"/>
      <c r="Y401" s="61"/>
      <c r="Z401" s="52"/>
      <c r="AA401" s="52"/>
      <c r="AB401" s="52"/>
      <c r="AC401" s="52"/>
      <c r="AD401" s="53"/>
      <c r="AE401" s="53"/>
      <c r="AF401" s="53"/>
    </row>
    <row r="402">
      <c r="G402" s="55"/>
      <c r="H402" s="54"/>
      <c r="I402" s="54"/>
      <c r="J402" s="54"/>
      <c r="K402" s="54"/>
      <c r="L402" s="54"/>
      <c r="M402" s="54"/>
      <c r="N402" s="59"/>
      <c r="O402" s="61"/>
      <c r="P402" s="61"/>
      <c r="Q402" s="61"/>
      <c r="R402" s="50"/>
      <c r="S402" s="50"/>
      <c r="T402" s="61"/>
      <c r="U402" s="61"/>
      <c r="V402" s="61"/>
      <c r="W402" s="61"/>
      <c r="X402" s="61"/>
      <c r="Y402" s="61"/>
      <c r="Z402" s="52"/>
      <c r="AA402" s="52"/>
      <c r="AB402" s="52"/>
      <c r="AC402" s="52"/>
      <c r="AD402" s="53"/>
      <c r="AE402" s="53"/>
      <c r="AF402" s="53"/>
    </row>
    <row r="403">
      <c r="G403" s="55"/>
      <c r="H403" s="54"/>
      <c r="I403" s="54"/>
      <c r="J403" s="54"/>
      <c r="K403" s="54"/>
      <c r="L403" s="54"/>
      <c r="M403" s="54"/>
      <c r="N403" s="59"/>
      <c r="O403" s="61"/>
      <c r="P403" s="61"/>
      <c r="Q403" s="61"/>
      <c r="R403" s="50"/>
      <c r="S403" s="50"/>
      <c r="T403" s="61"/>
      <c r="U403" s="61"/>
      <c r="V403" s="61"/>
      <c r="W403" s="61"/>
      <c r="X403" s="61"/>
      <c r="Y403" s="61"/>
      <c r="Z403" s="52"/>
      <c r="AA403" s="52"/>
      <c r="AB403" s="52"/>
      <c r="AC403" s="52"/>
      <c r="AD403" s="53"/>
      <c r="AE403" s="53"/>
      <c r="AF403" s="53"/>
    </row>
    <row r="404">
      <c r="G404" s="55"/>
      <c r="H404" s="54"/>
      <c r="I404" s="54"/>
      <c r="J404" s="54"/>
      <c r="K404" s="54"/>
      <c r="L404" s="54"/>
      <c r="M404" s="54"/>
      <c r="N404" s="59"/>
      <c r="O404" s="61"/>
      <c r="P404" s="61"/>
      <c r="Q404" s="61"/>
      <c r="R404" s="50"/>
      <c r="S404" s="50"/>
      <c r="T404" s="61"/>
      <c r="U404" s="61"/>
      <c r="V404" s="61"/>
      <c r="W404" s="61"/>
      <c r="X404" s="61"/>
      <c r="Y404" s="61"/>
      <c r="Z404" s="52"/>
      <c r="AA404" s="52"/>
      <c r="AB404" s="52"/>
      <c r="AC404" s="52"/>
      <c r="AD404" s="53"/>
      <c r="AE404" s="53"/>
      <c r="AF404" s="53"/>
    </row>
    <row r="405">
      <c r="G405" s="55"/>
      <c r="H405" s="54"/>
      <c r="I405" s="54"/>
      <c r="J405" s="54"/>
      <c r="K405" s="54"/>
      <c r="L405" s="54"/>
      <c r="M405" s="54"/>
      <c r="N405" s="59"/>
      <c r="O405" s="61"/>
      <c r="P405" s="61"/>
      <c r="Q405" s="61"/>
      <c r="R405" s="50"/>
      <c r="S405" s="50"/>
      <c r="T405" s="61"/>
      <c r="U405" s="61"/>
      <c r="V405" s="61"/>
      <c r="W405" s="61"/>
      <c r="X405" s="61"/>
      <c r="Y405" s="61"/>
      <c r="Z405" s="52"/>
      <c r="AA405" s="52"/>
      <c r="AB405" s="52"/>
      <c r="AC405" s="52"/>
      <c r="AD405" s="53"/>
      <c r="AE405" s="53"/>
      <c r="AF405" s="53"/>
    </row>
    <row r="406">
      <c r="G406" s="55"/>
      <c r="H406" s="54"/>
      <c r="I406" s="54"/>
      <c r="J406" s="54"/>
      <c r="K406" s="54"/>
      <c r="L406" s="54"/>
      <c r="M406" s="54"/>
      <c r="N406" s="59"/>
      <c r="O406" s="61"/>
      <c r="P406" s="61"/>
      <c r="Q406" s="61"/>
      <c r="R406" s="50"/>
      <c r="S406" s="50"/>
      <c r="T406" s="61"/>
      <c r="U406" s="61"/>
      <c r="V406" s="61"/>
      <c r="W406" s="61"/>
      <c r="X406" s="61"/>
      <c r="Y406" s="61"/>
      <c r="Z406" s="52"/>
      <c r="AA406" s="52"/>
      <c r="AB406" s="52"/>
      <c r="AC406" s="52"/>
      <c r="AD406" s="53"/>
      <c r="AE406" s="53"/>
      <c r="AF406" s="53"/>
    </row>
    <row r="407">
      <c r="G407" s="55"/>
      <c r="H407" s="54"/>
      <c r="I407" s="54"/>
      <c r="J407" s="54"/>
      <c r="K407" s="54"/>
      <c r="L407" s="54"/>
      <c r="M407" s="54"/>
      <c r="N407" s="59"/>
      <c r="O407" s="61"/>
      <c r="P407" s="61"/>
      <c r="Q407" s="61"/>
      <c r="R407" s="50"/>
      <c r="S407" s="50"/>
      <c r="T407" s="61"/>
      <c r="U407" s="61"/>
      <c r="V407" s="61"/>
      <c r="W407" s="61"/>
      <c r="X407" s="61"/>
      <c r="Y407" s="61"/>
      <c r="Z407" s="52"/>
      <c r="AA407" s="52"/>
      <c r="AB407" s="52"/>
      <c r="AC407" s="52"/>
      <c r="AD407" s="53"/>
      <c r="AE407" s="53"/>
      <c r="AF407" s="53"/>
    </row>
    <row r="408">
      <c r="G408" s="55"/>
      <c r="H408" s="54"/>
      <c r="I408" s="54"/>
      <c r="J408" s="54"/>
      <c r="K408" s="54"/>
      <c r="L408" s="54"/>
      <c r="M408" s="54"/>
      <c r="N408" s="59"/>
      <c r="O408" s="61"/>
      <c r="P408" s="61"/>
      <c r="Q408" s="61"/>
      <c r="R408" s="50"/>
      <c r="S408" s="50"/>
      <c r="T408" s="61"/>
      <c r="U408" s="61"/>
      <c r="V408" s="61"/>
      <c r="W408" s="61"/>
      <c r="X408" s="61"/>
      <c r="Y408" s="61"/>
      <c r="Z408" s="52"/>
      <c r="AA408" s="52"/>
      <c r="AB408" s="52"/>
      <c r="AC408" s="52"/>
      <c r="AD408" s="53"/>
      <c r="AE408" s="53"/>
      <c r="AF408" s="53"/>
    </row>
    <row r="409">
      <c r="G409" s="55"/>
      <c r="H409" s="54"/>
      <c r="I409" s="54"/>
      <c r="J409" s="54"/>
      <c r="K409" s="54"/>
      <c r="L409" s="54"/>
      <c r="M409" s="54"/>
      <c r="N409" s="59"/>
      <c r="O409" s="61"/>
      <c r="P409" s="61"/>
      <c r="Q409" s="61"/>
      <c r="R409" s="50"/>
      <c r="S409" s="50"/>
      <c r="T409" s="61"/>
      <c r="U409" s="61"/>
      <c r="V409" s="61"/>
      <c r="W409" s="61"/>
      <c r="X409" s="61"/>
      <c r="Y409" s="61"/>
      <c r="Z409" s="52"/>
      <c r="AA409" s="52"/>
      <c r="AB409" s="52"/>
      <c r="AC409" s="52"/>
      <c r="AD409" s="53"/>
      <c r="AE409" s="53"/>
      <c r="AF409" s="53"/>
    </row>
    <row r="410">
      <c r="G410" s="55"/>
      <c r="H410" s="54"/>
      <c r="I410" s="54"/>
      <c r="J410" s="54"/>
      <c r="K410" s="54"/>
      <c r="L410" s="54"/>
      <c r="M410" s="54"/>
      <c r="N410" s="59"/>
      <c r="O410" s="61"/>
      <c r="P410" s="61"/>
      <c r="Q410" s="61"/>
      <c r="R410" s="50"/>
      <c r="S410" s="50"/>
      <c r="T410" s="61"/>
      <c r="U410" s="61"/>
      <c r="V410" s="61"/>
      <c r="W410" s="61"/>
      <c r="X410" s="61"/>
      <c r="Y410" s="61"/>
      <c r="Z410" s="52"/>
      <c r="AA410" s="52"/>
      <c r="AB410" s="52"/>
      <c r="AC410" s="52"/>
      <c r="AD410" s="53"/>
      <c r="AE410" s="53"/>
      <c r="AF410" s="53"/>
    </row>
    <row r="411">
      <c r="G411" s="55"/>
      <c r="H411" s="54"/>
      <c r="I411" s="54"/>
      <c r="J411" s="54"/>
      <c r="K411" s="54"/>
      <c r="L411" s="54"/>
      <c r="M411" s="54"/>
      <c r="N411" s="59"/>
      <c r="O411" s="61"/>
      <c r="P411" s="61"/>
      <c r="Q411" s="61"/>
      <c r="R411" s="50"/>
      <c r="S411" s="50"/>
      <c r="T411" s="61"/>
      <c r="U411" s="61"/>
      <c r="V411" s="61"/>
      <c r="W411" s="61"/>
      <c r="X411" s="61"/>
      <c r="Y411" s="61"/>
      <c r="Z411" s="52"/>
      <c r="AA411" s="52"/>
      <c r="AB411" s="52"/>
      <c r="AC411" s="52"/>
      <c r="AD411" s="53"/>
      <c r="AE411" s="53"/>
      <c r="AF411" s="53"/>
    </row>
    <row r="412">
      <c r="G412" s="55"/>
      <c r="H412" s="54"/>
      <c r="I412" s="54"/>
      <c r="J412" s="54"/>
      <c r="K412" s="54"/>
      <c r="L412" s="54"/>
      <c r="M412" s="54"/>
      <c r="N412" s="59"/>
      <c r="O412" s="61"/>
      <c r="P412" s="61"/>
      <c r="Q412" s="61"/>
      <c r="R412" s="50"/>
      <c r="S412" s="50"/>
      <c r="T412" s="61"/>
      <c r="U412" s="61"/>
      <c r="V412" s="61"/>
      <c r="W412" s="61"/>
      <c r="X412" s="61"/>
      <c r="Y412" s="61"/>
      <c r="Z412" s="52"/>
      <c r="AA412" s="52"/>
      <c r="AB412" s="52"/>
      <c r="AC412" s="52"/>
      <c r="AD412" s="53"/>
      <c r="AE412" s="53"/>
      <c r="AF412" s="53"/>
    </row>
    <row r="413">
      <c r="G413" s="55"/>
      <c r="H413" s="54"/>
      <c r="I413" s="54"/>
      <c r="J413" s="54"/>
      <c r="K413" s="54"/>
      <c r="L413" s="54"/>
      <c r="M413" s="54"/>
      <c r="N413" s="59"/>
      <c r="O413" s="61"/>
      <c r="P413" s="61"/>
      <c r="Q413" s="61"/>
      <c r="R413" s="50"/>
      <c r="S413" s="50"/>
      <c r="T413" s="61"/>
      <c r="U413" s="61"/>
      <c r="V413" s="61"/>
      <c r="W413" s="61"/>
      <c r="X413" s="61"/>
      <c r="Y413" s="61"/>
      <c r="Z413" s="52"/>
      <c r="AA413" s="52"/>
      <c r="AB413" s="52"/>
      <c r="AC413" s="52"/>
      <c r="AD413" s="53"/>
      <c r="AE413" s="53"/>
      <c r="AF413" s="53"/>
    </row>
    <row r="414">
      <c r="G414" s="55"/>
      <c r="H414" s="54"/>
      <c r="I414" s="54"/>
      <c r="J414" s="54"/>
      <c r="K414" s="54"/>
      <c r="L414" s="54"/>
      <c r="M414" s="54"/>
      <c r="N414" s="59"/>
      <c r="O414" s="61"/>
      <c r="P414" s="61"/>
      <c r="Q414" s="61"/>
      <c r="R414" s="50"/>
      <c r="S414" s="50"/>
      <c r="T414" s="61"/>
      <c r="U414" s="61"/>
      <c r="V414" s="61"/>
      <c r="W414" s="61"/>
      <c r="X414" s="61"/>
      <c r="Y414" s="61"/>
      <c r="Z414" s="52"/>
      <c r="AA414" s="52"/>
      <c r="AB414" s="52"/>
      <c r="AC414" s="52"/>
      <c r="AD414" s="53"/>
      <c r="AE414" s="53"/>
      <c r="AF414" s="53"/>
    </row>
    <row r="415">
      <c r="G415" s="55"/>
      <c r="H415" s="54"/>
      <c r="I415" s="54"/>
      <c r="J415" s="54"/>
      <c r="K415" s="54"/>
      <c r="L415" s="54"/>
      <c r="M415" s="54"/>
      <c r="N415" s="59"/>
      <c r="O415" s="61"/>
      <c r="P415" s="61"/>
      <c r="Q415" s="61"/>
      <c r="R415" s="50"/>
      <c r="S415" s="50"/>
      <c r="T415" s="61"/>
      <c r="U415" s="61"/>
      <c r="V415" s="61"/>
      <c r="W415" s="61"/>
      <c r="X415" s="61"/>
      <c r="Y415" s="61"/>
      <c r="Z415" s="52"/>
      <c r="AA415" s="52"/>
      <c r="AB415" s="52"/>
      <c r="AC415" s="52"/>
      <c r="AD415" s="53"/>
      <c r="AE415" s="53"/>
      <c r="AF415" s="53"/>
    </row>
    <row r="416">
      <c r="G416" s="55"/>
      <c r="H416" s="54"/>
      <c r="I416" s="54"/>
      <c r="J416" s="54"/>
      <c r="K416" s="54"/>
      <c r="L416" s="54"/>
      <c r="M416" s="54"/>
      <c r="N416" s="59"/>
      <c r="O416" s="61"/>
      <c r="P416" s="61"/>
      <c r="Q416" s="61"/>
      <c r="R416" s="50"/>
      <c r="S416" s="50"/>
      <c r="T416" s="61"/>
      <c r="U416" s="61"/>
      <c r="V416" s="61"/>
      <c r="W416" s="61"/>
      <c r="X416" s="61"/>
      <c r="Y416" s="61"/>
      <c r="Z416" s="52"/>
      <c r="AA416" s="52"/>
      <c r="AB416" s="52"/>
      <c r="AC416" s="52"/>
      <c r="AD416" s="53"/>
      <c r="AE416" s="53"/>
      <c r="AF416" s="53"/>
    </row>
    <row r="417">
      <c r="G417" s="55"/>
      <c r="H417" s="54"/>
      <c r="I417" s="54"/>
      <c r="J417" s="54"/>
      <c r="K417" s="54"/>
      <c r="L417" s="54"/>
      <c r="M417" s="54"/>
      <c r="N417" s="59"/>
      <c r="O417" s="61"/>
      <c r="P417" s="61"/>
      <c r="Q417" s="61"/>
      <c r="R417" s="50"/>
      <c r="S417" s="50"/>
      <c r="T417" s="61"/>
      <c r="U417" s="61"/>
      <c r="V417" s="61"/>
      <c r="W417" s="61"/>
      <c r="X417" s="61"/>
      <c r="Y417" s="61"/>
      <c r="Z417" s="52"/>
      <c r="AA417" s="52"/>
      <c r="AB417" s="52"/>
      <c r="AC417" s="52"/>
      <c r="AD417" s="53"/>
      <c r="AE417" s="53"/>
      <c r="AF417" s="53"/>
    </row>
    <row r="418">
      <c r="G418" s="55"/>
      <c r="H418" s="54"/>
      <c r="I418" s="54"/>
      <c r="J418" s="54"/>
      <c r="K418" s="54"/>
      <c r="L418" s="54"/>
      <c r="M418" s="54"/>
      <c r="N418" s="59"/>
      <c r="O418" s="61"/>
      <c r="P418" s="61"/>
      <c r="Q418" s="61"/>
      <c r="R418" s="50"/>
      <c r="S418" s="50"/>
      <c r="T418" s="61"/>
      <c r="U418" s="61"/>
      <c r="V418" s="61"/>
      <c r="W418" s="61"/>
      <c r="X418" s="61"/>
      <c r="Y418" s="61"/>
      <c r="Z418" s="52"/>
      <c r="AA418" s="52"/>
      <c r="AB418" s="52"/>
      <c r="AC418" s="52"/>
      <c r="AD418" s="53"/>
      <c r="AE418" s="53"/>
      <c r="AF418" s="53"/>
    </row>
    <row r="419">
      <c r="G419" s="55"/>
      <c r="H419" s="54"/>
      <c r="I419" s="54"/>
      <c r="J419" s="54"/>
      <c r="K419" s="54"/>
      <c r="L419" s="54"/>
      <c r="M419" s="54"/>
      <c r="N419" s="59"/>
      <c r="O419" s="61"/>
      <c r="P419" s="61"/>
      <c r="Q419" s="61"/>
      <c r="R419" s="50"/>
      <c r="S419" s="50"/>
      <c r="T419" s="61"/>
      <c r="U419" s="61"/>
      <c r="V419" s="61"/>
      <c r="W419" s="61"/>
      <c r="X419" s="61"/>
      <c r="Y419" s="61"/>
      <c r="Z419" s="52"/>
      <c r="AA419" s="52"/>
      <c r="AB419" s="52"/>
      <c r="AC419" s="52"/>
      <c r="AD419" s="53"/>
      <c r="AE419" s="53"/>
      <c r="AF419" s="53"/>
    </row>
    <row r="420">
      <c r="G420" s="55"/>
      <c r="H420" s="54"/>
      <c r="I420" s="54"/>
      <c r="J420" s="54"/>
      <c r="K420" s="54"/>
      <c r="L420" s="54"/>
      <c r="M420" s="54"/>
      <c r="N420" s="59"/>
      <c r="O420" s="61"/>
      <c r="P420" s="61"/>
      <c r="Q420" s="61"/>
      <c r="R420" s="50"/>
      <c r="S420" s="50"/>
      <c r="T420" s="61"/>
      <c r="U420" s="61"/>
      <c r="V420" s="61"/>
      <c r="W420" s="61"/>
      <c r="X420" s="61"/>
      <c r="Y420" s="61"/>
      <c r="Z420" s="52"/>
      <c r="AA420" s="52"/>
      <c r="AB420" s="52"/>
      <c r="AC420" s="52"/>
      <c r="AD420" s="53"/>
      <c r="AE420" s="53"/>
      <c r="AF420" s="53"/>
    </row>
    <row r="421">
      <c r="G421" s="55"/>
      <c r="H421" s="54"/>
      <c r="I421" s="54"/>
      <c r="J421" s="54"/>
      <c r="K421" s="54"/>
      <c r="L421" s="54"/>
      <c r="M421" s="54"/>
      <c r="N421" s="59"/>
      <c r="O421" s="61"/>
      <c r="P421" s="61"/>
      <c r="Q421" s="61"/>
      <c r="R421" s="50"/>
      <c r="S421" s="50"/>
      <c r="T421" s="61"/>
      <c r="U421" s="61"/>
      <c r="V421" s="61"/>
      <c r="W421" s="61"/>
      <c r="X421" s="61"/>
      <c r="Y421" s="61"/>
      <c r="Z421" s="52"/>
      <c r="AA421" s="52"/>
      <c r="AB421" s="52"/>
      <c r="AC421" s="52"/>
      <c r="AD421" s="53"/>
      <c r="AE421" s="53"/>
      <c r="AF421" s="53"/>
    </row>
    <row r="422">
      <c r="G422" s="55"/>
      <c r="H422" s="54"/>
      <c r="I422" s="54"/>
      <c r="J422" s="54"/>
      <c r="K422" s="54"/>
      <c r="L422" s="54"/>
      <c r="M422" s="54"/>
      <c r="N422" s="59"/>
      <c r="O422" s="61"/>
      <c r="P422" s="61"/>
      <c r="Q422" s="61"/>
      <c r="R422" s="50"/>
      <c r="S422" s="50"/>
      <c r="T422" s="61"/>
      <c r="U422" s="61"/>
      <c r="V422" s="61"/>
      <c r="W422" s="61"/>
      <c r="X422" s="61"/>
      <c r="Y422" s="61"/>
      <c r="Z422" s="52"/>
      <c r="AA422" s="52"/>
      <c r="AB422" s="52"/>
      <c r="AC422" s="52"/>
      <c r="AD422" s="53"/>
      <c r="AE422" s="53"/>
      <c r="AF422" s="53"/>
    </row>
    <row r="423">
      <c r="G423" s="55"/>
      <c r="H423" s="54"/>
      <c r="I423" s="54"/>
      <c r="J423" s="54"/>
      <c r="K423" s="54"/>
      <c r="L423" s="54"/>
      <c r="M423" s="54"/>
      <c r="N423" s="59"/>
      <c r="O423" s="61"/>
      <c r="P423" s="61"/>
      <c r="Q423" s="61"/>
      <c r="R423" s="50"/>
      <c r="S423" s="50"/>
      <c r="T423" s="61"/>
      <c r="U423" s="61"/>
      <c r="V423" s="61"/>
      <c r="W423" s="61"/>
      <c r="X423" s="61"/>
      <c r="Y423" s="61"/>
      <c r="Z423" s="52"/>
      <c r="AA423" s="52"/>
      <c r="AB423" s="52"/>
      <c r="AC423" s="52"/>
      <c r="AD423" s="53"/>
      <c r="AE423" s="53"/>
      <c r="AF423" s="53"/>
    </row>
    <row r="424">
      <c r="G424" s="55"/>
      <c r="H424" s="54"/>
      <c r="I424" s="54"/>
      <c r="J424" s="54"/>
      <c r="K424" s="54"/>
      <c r="L424" s="54"/>
      <c r="M424" s="54"/>
      <c r="N424" s="59"/>
      <c r="O424" s="61"/>
      <c r="P424" s="61"/>
      <c r="Q424" s="61"/>
      <c r="R424" s="50"/>
      <c r="S424" s="50"/>
      <c r="T424" s="61"/>
      <c r="U424" s="61"/>
      <c r="V424" s="61"/>
      <c r="W424" s="61"/>
      <c r="X424" s="61"/>
      <c r="Y424" s="61"/>
      <c r="Z424" s="52"/>
      <c r="AA424" s="52"/>
      <c r="AB424" s="52"/>
      <c r="AC424" s="52"/>
      <c r="AD424" s="53"/>
      <c r="AE424" s="53"/>
      <c r="AF424" s="53"/>
    </row>
    <row r="425">
      <c r="G425" s="55"/>
      <c r="H425" s="54"/>
      <c r="I425" s="54"/>
      <c r="J425" s="54"/>
      <c r="K425" s="54"/>
      <c r="L425" s="54"/>
      <c r="M425" s="54"/>
      <c r="N425" s="59"/>
      <c r="O425" s="61"/>
      <c r="P425" s="61"/>
      <c r="Q425" s="61"/>
      <c r="R425" s="50"/>
      <c r="S425" s="50"/>
      <c r="T425" s="61"/>
      <c r="U425" s="61"/>
      <c r="V425" s="61"/>
      <c r="W425" s="61"/>
      <c r="X425" s="61"/>
      <c r="Y425" s="61"/>
      <c r="Z425" s="52"/>
      <c r="AA425" s="52"/>
      <c r="AB425" s="52"/>
      <c r="AC425" s="52"/>
      <c r="AD425" s="53"/>
      <c r="AE425" s="53"/>
      <c r="AF425" s="53"/>
    </row>
    <row r="426">
      <c r="G426" s="55"/>
      <c r="H426" s="54"/>
      <c r="I426" s="54"/>
      <c r="J426" s="54"/>
      <c r="K426" s="54"/>
      <c r="L426" s="54"/>
      <c r="M426" s="54"/>
      <c r="N426" s="59"/>
      <c r="O426" s="61"/>
      <c r="P426" s="61"/>
      <c r="Q426" s="61"/>
      <c r="R426" s="50"/>
      <c r="S426" s="50"/>
      <c r="T426" s="61"/>
      <c r="U426" s="61"/>
      <c r="V426" s="61"/>
      <c r="W426" s="61"/>
      <c r="X426" s="61"/>
      <c r="Y426" s="61"/>
      <c r="Z426" s="52"/>
      <c r="AA426" s="52"/>
      <c r="AB426" s="52"/>
      <c r="AC426" s="52"/>
      <c r="AD426" s="53"/>
      <c r="AE426" s="53"/>
      <c r="AF426" s="53"/>
    </row>
    <row r="427">
      <c r="G427" s="55"/>
      <c r="H427" s="54"/>
      <c r="I427" s="54"/>
      <c r="J427" s="54"/>
      <c r="K427" s="54"/>
      <c r="L427" s="54"/>
      <c r="M427" s="54"/>
      <c r="N427" s="59"/>
      <c r="O427" s="61"/>
      <c r="P427" s="61"/>
      <c r="Q427" s="61"/>
      <c r="R427" s="50"/>
      <c r="S427" s="50"/>
      <c r="T427" s="61"/>
      <c r="U427" s="61"/>
      <c r="V427" s="61"/>
      <c r="W427" s="61"/>
      <c r="X427" s="61"/>
      <c r="Y427" s="61"/>
      <c r="Z427" s="52"/>
      <c r="AA427" s="52"/>
      <c r="AB427" s="52"/>
      <c r="AC427" s="52"/>
      <c r="AD427" s="53"/>
      <c r="AE427" s="53"/>
      <c r="AF427" s="53"/>
    </row>
    <row r="428">
      <c r="G428" s="55"/>
      <c r="H428" s="54"/>
      <c r="I428" s="54"/>
      <c r="J428" s="54"/>
      <c r="K428" s="54"/>
      <c r="L428" s="54"/>
      <c r="M428" s="54"/>
      <c r="N428" s="59"/>
      <c r="O428" s="61"/>
      <c r="P428" s="61"/>
      <c r="Q428" s="61"/>
      <c r="R428" s="50"/>
      <c r="S428" s="50"/>
      <c r="T428" s="61"/>
      <c r="U428" s="61"/>
      <c r="V428" s="61"/>
      <c r="W428" s="61"/>
      <c r="X428" s="61"/>
      <c r="Y428" s="61"/>
      <c r="Z428" s="52"/>
      <c r="AA428" s="52"/>
      <c r="AB428" s="52"/>
      <c r="AC428" s="52"/>
      <c r="AD428" s="53"/>
      <c r="AE428" s="53"/>
      <c r="AF428" s="53"/>
    </row>
    <row r="429">
      <c r="G429" s="55"/>
      <c r="H429" s="54"/>
      <c r="I429" s="54"/>
      <c r="J429" s="54"/>
      <c r="K429" s="54"/>
      <c r="L429" s="54"/>
      <c r="M429" s="54"/>
      <c r="N429" s="59"/>
      <c r="O429" s="61"/>
      <c r="P429" s="61"/>
      <c r="Q429" s="61"/>
      <c r="R429" s="50"/>
      <c r="S429" s="50"/>
      <c r="T429" s="61"/>
      <c r="U429" s="61"/>
      <c r="V429" s="61"/>
      <c r="W429" s="61"/>
      <c r="X429" s="61"/>
      <c r="Y429" s="61"/>
      <c r="Z429" s="52"/>
      <c r="AA429" s="52"/>
      <c r="AB429" s="52"/>
      <c r="AC429" s="52"/>
      <c r="AD429" s="53"/>
      <c r="AE429" s="53"/>
      <c r="AF429" s="53"/>
    </row>
    <row r="430">
      <c r="G430" s="55"/>
      <c r="H430" s="54"/>
      <c r="I430" s="54"/>
      <c r="J430" s="54"/>
      <c r="K430" s="54"/>
      <c r="L430" s="54"/>
      <c r="M430" s="54"/>
      <c r="N430" s="59"/>
      <c r="O430" s="61"/>
      <c r="P430" s="61"/>
      <c r="Q430" s="61"/>
      <c r="R430" s="50"/>
      <c r="S430" s="50"/>
      <c r="T430" s="61"/>
      <c r="U430" s="61"/>
      <c r="V430" s="61"/>
      <c r="W430" s="61"/>
      <c r="X430" s="61"/>
      <c r="Y430" s="61"/>
      <c r="Z430" s="52"/>
      <c r="AA430" s="52"/>
      <c r="AB430" s="52"/>
      <c r="AC430" s="52"/>
      <c r="AD430" s="53"/>
      <c r="AE430" s="53"/>
      <c r="AF430" s="53"/>
    </row>
    <row r="431">
      <c r="G431" s="55"/>
      <c r="H431" s="54"/>
      <c r="I431" s="54"/>
      <c r="J431" s="54"/>
      <c r="K431" s="54"/>
      <c r="L431" s="54"/>
      <c r="M431" s="54"/>
      <c r="N431" s="59"/>
      <c r="O431" s="61"/>
      <c r="P431" s="61"/>
      <c r="Q431" s="61"/>
      <c r="R431" s="50"/>
      <c r="S431" s="50"/>
      <c r="T431" s="61"/>
      <c r="U431" s="61"/>
      <c r="V431" s="61"/>
      <c r="W431" s="61"/>
      <c r="X431" s="61"/>
      <c r="Y431" s="61"/>
      <c r="Z431" s="52"/>
      <c r="AA431" s="52"/>
      <c r="AB431" s="52"/>
      <c r="AC431" s="52"/>
      <c r="AD431" s="53"/>
      <c r="AE431" s="53"/>
      <c r="AF431" s="53"/>
    </row>
    <row r="432">
      <c r="G432" s="55"/>
      <c r="H432" s="54"/>
      <c r="I432" s="54"/>
      <c r="J432" s="54"/>
      <c r="K432" s="54"/>
      <c r="L432" s="54"/>
      <c r="M432" s="54"/>
      <c r="N432" s="59"/>
      <c r="O432" s="61"/>
      <c r="P432" s="61"/>
      <c r="Q432" s="61"/>
      <c r="R432" s="50"/>
      <c r="S432" s="50"/>
      <c r="T432" s="61"/>
      <c r="U432" s="61"/>
      <c r="V432" s="61"/>
      <c r="W432" s="61"/>
      <c r="X432" s="61"/>
      <c r="Y432" s="61"/>
      <c r="Z432" s="52"/>
      <c r="AA432" s="52"/>
      <c r="AB432" s="52"/>
      <c r="AC432" s="52"/>
      <c r="AD432" s="53"/>
      <c r="AE432" s="53"/>
      <c r="AF432" s="53"/>
    </row>
    <row r="433">
      <c r="G433" s="55"/>
      <c r="H433" s="54"/>
      <c r="I433" s="54"/>
      <c r="J433" s="54"/>
      <c r="K433" s="54"/>
      <c r="L433" s="54"/>
      <c r="M433" s="54"/>
      <c r="N433" s="59"/>
      <c r="O433" s="61"/>
      <c r="P433" s="61"/>
      <c r="Q433" s="61"/>
      <c r="R433" s="50"/>
      <c r="S433" s="50"/>
      <c r="T433" s="61"/>
      <c r="U433" s="61"/>
      <c r="V433" s="61"/>
      <c r="W433" s="61"/>
      <c r="X433" s="61"/>
      <c r="Y433" s="61"/>
      <c r="Z433" s="52"/>
      <c r="AA433" s="52"/>
      <c r="AB433" s="52"/>
      <c r="AC433" s="52"/>
      <c r="AD433" s="53"/>
      <c r="AE433" s="53"/>
      <c r="AF433" s="53"/>
    </row>
    <row r="434">
      <c r="G434" s="55"/>
      <c r="H434" s="54"/>
      <c r="I434" s="54"/>
      <c r="J434" s="54"/>
      <c r="K434" s="54"/>
      <c r="L434" s="54"/>
      <c r="M434" s="54"/>
      <c r="N434" s="59"/>
      <c r="O434" s="61"/>
      <c r="P434" s="61"/>
      <c r="Q434" s="61"/>
      <c r="R434" s="50"/>
      <c r="S434" s="50"/>
      <c r="T434" s="61"/>
      <c r="U434" s="61"/>
      <c r="V434" s="61"/>
      <c r="W434" s="61"/>
      <c r="X434" s="61"/>
      <c r="Y434" s="61"/>
      <c r="Z434" s="52"/>
      <c r="AA434" s="52"/>
      <c r="AB434" s="52"/>
      <c r="AC434" s="52"/>
      <c r="AD434" s="53"/>
      <c r="AE434" s="53"/>
      <c r="AF434" s="53"/>
    </row>
    <row r="435">
      <c r="G435" s="55"/>
      <c r="H435" s="54"/>
      <c r="I435" s="54"/>
      <c r="J435" s="54"/>
      <c r="K435" s="54"/>
      <c r="L435" s="54"/>
      <c r="M435" s="54"/>
      <c r="N435" s="59"/>
      <c r="O435" s="61"/>
      <c r="P435" s="61"/>
      <c r="Q435" s="61"/>
      <c r="R435" s="50"/>
      <c r="S435" s="50"/>
      <c r="T435" s="61"/>
      <c r="U435" s="61"/>
      <c r="V435" s="61"/>
      <c r="W435" s="61"/>
      <c r="X435" s="61"/>
      <c r="Y435" s="61"/>
      <c r="Z435" s="52"/>
      <c r="AA435" s="52"/>
      <c r="AB435" s="52"/>
      <c r="AC435" s="52"/>
      <c r="AD435" s="53"/>
      <c r="AE435" s="53"/>
      <c r="AF435" s="53"/>
    </row>
    <row r="436">
      <c r="G436" s="55"/>
      <c r="H436" s="54"/>
      <c r="I436" s="54"/>
      <c r="J436" s="54"/>
      <c r="K436" s="54"/>
      <c r="L436" s="54"/>
      <c r="M436" s="54"/>
      <c r="N436" s="59"/>
      <c r="O436" s="61"/>
      <c r="P436" s="61"/>
      <c r="Q436" s="61"/>
      <c r="R436" s="50"/>
      <c r="S436" s="50"/>
      <c r="T436" s="61"/>
      <c r="U436" s="61"/>
      <c r="V436" s="61"/>
      <c r="W436" s="61"/>
      <c r="X436" s="61"/>
      <c r="Y436" s="61"/>
      <c r="Z436" s="52"/>
      <c r="AA436" s="52"/>
      <c r="AB436" s="52"/>
      <c r="AC436" s="52"/>
      <c r="AD436" s="53"/>
      <c r="AE436" s="53"/>
      <c r="AF436" s="53"/>
    </row>
    <row r="437">
      <c r="G437" s="55"/>
      <c r="H437" s="54"/>
      <c r="I437" s="54"/>
      <c r="J437" s="54"/>
      <c r="K437" s="54"/>
      <c r="L437" s="54"/>
      <c r="M437" s="54"/>
      <c r="N437" s="59"/>
      <c r="O437" s="61"/>
      <c r="P437" s="61"/>
      <c r="Q437" s="61"/>
      <c r="R437" s="50"/>
      <c r="S437" s="50"/>
      <c r="T437" s="61"/>
      <c r="U437" s="61"/>
      <c r="V437" s="61"/>
      <c r="W437" s="61"/>
      <c r="X437" s="61"/>
      <c r="Y437" s="61"/>
      <c r="Z437" s="52"/>
      <c r="AA437" s="52"/>
      <c r="AB437" s="52"/>
      <c r="AC437" s="52"/>
      <c r="AD437" s="53"/>
      <c r="AE437" s="53"/>
      <c r="AF437" s="53"/>
    </row>
    <row r="438">
      <c r="G438" s="55"/>
      <c r="H438" s="54"/>
      <c r="I438" s="54"/>
      <c r="J438" s="54"/>
      <c r="K438" s="54"/>
      <c r="L438" s="54"/>
      <c r="M438" s="54"/>
      <c r="N438" s="59"/>
      <c r="O438" s="61"/>
      <c r="P438" s="61"/>
      <c r="Q438" s="61"/>
      <c r="R438" s="50"/>
      <c r="S438" s="50"/>
      <c r="T438" s="61"/>
      <c r="U438" s="61"/>
      <c r="V438" s="61"/>
      <c r="W438" s="61"/>
      <c r="X438" s="61"/>
      <c r="Y438" s="61"/>
      <c r="Z438" s="52"/>
      <c r="AA438" s="52"/>
      <c r="AB438" s="52"/>
      <c r="AC438" s="52"/>
      <c r="AD438" s="53"/>
      <c r="AE438" s="53"/>
      <c r="AF438" s="53"/>
    </row>
    <row r="439">
      <c r="G439" s="55"/>
      <c r="H439" s="54"/>
      <c r="I439" s="54"/>
      <c r="J439" s="54"/>
      <c r="K439" s="54"/>
      <c r="L439" s="54"/>
      <c r="M439" s="54"/>
      <c r="N439" s="59"/>
      <c r="O439" s="61"/>
      <c r="P439" s="61"/>
      <c r="Q439" s="61"/>
      <c r="R439" s="50"/>
      <c r="S439" s="50"/>
      <c r="T439" s="61"/>
      <c r="U439" s="61"/>
      <c r="V439" s="61"/>
      <c r="W439" s="61"/>
      <c r="X439" s="61"/>
      <c r="Y439" s="61"/>
      <c r="Z439" s="52"/>
      <c r="AA439" s="52"/>
      <c r="AB439" s="52"/>
      <c r="AC439" s="52"/>
      <c r="AD439" s="53"/>
      <c r="AE439" s="53"/>
      <c r="AF439" s="53"/>
    </row>
    <row r="440">
      <c r="G440" s="55"/>
      <c r="H440" s="54"/>
      <c r="I440" s="54"/>
      <c r="J440" s="54"/>
      <c r="K440" s="54"/>
      <c r="L440" s="54"/>
      <c r="M440" s="54"/>
      <c r="N440" s="59"/>
      <c r="O440" s="61"/>
      <c r="P440" s="61"/>
      <c r="Q440" s="61"/>
      <c r="R440" s="50"/>
      <c r="S440" s="50"/>
      <c r="T440" s="61"/>
      <c r="U440" s="61"/>
      <c r="V440" s="61"/>
      <c r="W440" s="61"/>
      <c r="X440" s="61"/>
      <c r="Y440" s="61"/>
      <c r="Z440" s="52"/>
      <c r="AA440" s="52"/>
      <c r="AB440" s="52"/>
      <c r="AC440" s="52"/>
      <c r="AD440" s="53"/>
      <c r="AE440" s="53"/>
      <c r="AF440" s="53"/>
    </row>
    <row r="441">
      <c r="G441" s="55"/>
      <c r="H441" s="54"/>
      <c r="I441" s="54"/>
      <c r="J441" s="54"/>
      <c r="K441" s="54"/>
      <c r="L441" s="54"/>
      <c r="M441" s="54"/>
      <c r="N441" s="59"/>
      <c r="O441" s="61"/>
      <c r="P441" s="61"/>
      <c r="Q441" s="61"/>
      <c r="R441" s="50"/>
      <c r="S441" s="50"/>
      <c r="T441" s="61"/>
      <c r="U441" s="61"/>
      <c r="V441" s="61"/>
      <c r="W441" s="61"/>
      <c r="X441" s="61"/>
      <c r="Y441" s="61"/>
      <c r="Z441" s="52"/>
      <c r="AA441" s="52"/>
      <c r="AB441" s="52"/>
      <c r="AC441" s="52"/>
      <c r="AD441" s="53"/>
      <c r="AE441" s="53"/>
      <c r="AF441" s="53"/>
    </row>
    <row r="442">
      <c r="G442" s="55"/>
      <c r="H442" s="54"/>
      <c r="I442" s="54"/>
      <c r="J442" s="54"/>
      <c r="K442" s="54"/>
      <c r="L442" s="54"/>
      <c r="M442" s="54"/>
      <c r="N442" s="59"/>
      <c r="O442" s="61"/>
      <c r="P442" s="61"/>
      <c r="Q442" s="61"/>
      <c r="R442" s="50"/>
      <c r="S442" s="50"/>
      <c r="T442" s="61"/>
      <c r="U442" s="61"/>
      <c r="V442" s="61"/>
      <c r="W442" s="61"/>
      <c r="X442" s="61"/>
      <c r="Y442" s="61"/>
      <c r="Z442" s="52"/>
      <c r="AA442" s="52"/>
      <c r="AB442" s="52"/>
      <c r="AC442" s="52"/>
      <c r="AD442" s="53"/>
      <c r="AE442" s="53"/>
      <c r="AF442" s="53"/>
    </row>
    <row r="443">
      <c r="G443" s="55"/>
      <c r="H443" s="54"/>
      <c r="I443" s="54"/>
      <c r="J443" s="54"/>
      <c r="K443" s="54"/>
      <c r="L443" s="54"/>
      <c r="M443" s="54"/>
      <c r="N443" s="59"/>
      <c r="O443" s="61"/>
      <c r="P443" s="61"/>
      <c r="Q443" s="61"/>
      <c r="R443" s="50"/>
      <c r="S443" s="50"/>
      <c r="T443" s="61"/>
      <c r="U443" s="61"/>
      <c r="V443" s="61"/>
      <c r="W443" s="61"/>
      <c r="X443" s="61"/>
      <c r="Y443" s="61"/>
      <c r="Z443" s="52"/>
      <c r="AA443" s="52"/>
      <c r="AB443" s="52"/>
      <c r="AC443" s="52"/>
      <c r="AD443" s="53"/>
      <c r="AE443" s="53"/>
      <c r="AF443" s="53"/>
    </row>
    <row r="444">
      <c r="G444" s="55"/>
      <c r="H444" s="54"/>
      <c r="I444" s="54"/>
      <c r="J444" s="54"/>
      <c r="K444" s="54"/>
      <c r="L444" s="54"/>
      <c r="M444" s="54"/>
      <c r="N444" s="59"/>
      <c r="O444" s="61"/>
      <c r="P444" s="61"/>
      <c r="Q444" s="61"/>
      <c r="R444" s="50"/>
      <c r="S444" s="50"/>
      <c r="T444" s="61"/>
      <c r="U444" s="61"/>
      <c r="V444" s="61"/>
      <c r="W444" s="61"/>
      <c r="X444" s="61"/>
      <c r="Y444" s="61"/>
      <c r="Z444" s="52"/>
      <c r="AA444" s="52"/>
      <c r="AB444" s="52"/>
      <c r="AC444" s="52"/>
      <c r="AD444" s="53"/>
      <c r="AE444" s="53"/>
      <c r="AF444" s="53"/>
    </row>
    <row r="445">
      <c r="G445" s="55"/>
      <c r="H445" s="54"/>
      <c r="I445" s="54"/>
      <c r="J445" s="54"/>
      <c r="K445" s="54"/>
      <c r="L445" s="54"/>
      <c r="M445" s="54"/>
      <c r="N445" s="59"/>
      <c r="O445" s="61"/>
      <c r="P445" s="61"/>
      <c r="Q445" s="61"/>
      <c r="R445" s="50"/>
      <c r="S445" s="50"/>
      <c r="T445" s="61"/>
      <c r="U445" s="61"/>
      <c r="V445" s="61"/>
      <c r="W445" s="61"/>
      <c r="X445" s="61"/>
      <c r="Y445" s="61"/>
      <c r="Z445" s="52"/>
      <c r="AA445" s="52"/>
      <c r="AB445" s="52"/>
      <c r="AC445" s="52"/>
      <c r="AD445" s="53"/>
      <c r="AE445" s="53"/>
      <c r="AF445" s="53"/>
    </row>
    <row r="446">
      <c r="G446" s="55"/>
      <c r="H446" s="54"/>
      <c r="I446" s="54"/>
      <c r="J446" s="54"/>
      <c r="K446" s="54"/>
      <c r="L446" s="54"/>
      <c r="M446" s="54"/>
      <c r="N446" s="59"/>
      <c r="O446" s="61"/>
      <c r="P446" s="61"/>
      <c r="Q446" s="61"/>
      <c r="R446" s="50"/>
      <c r="S446" s="50"/>
      <c r="T446" s="61"/>
      <c r="U446" s="61"/>
      <c r="V446" s="61"/>
      <c r="W446" s="61"/>
      <c r="X446" s="61"/>
      <c r="Y446" s="61"/>
      <c r="Z446" s="52"/>
      <c r="AA446" s="52"/>
      <c r="AB446" s="52"/>
      <c r="AC446" s="52"/>
      <c r="AD446" s="53"/>
      <c r="AE446" s="53"/>
      <c r="AF446" s="53"/>
    </row>
    <row r="447">
      <c r="G447" s="55"/>
      <c r="H447" s="54"/>
      <c r="I447" s="54"/>
      <c r="J447" s="54"/>
      <c r="K447" s="54"/>
      <c r="L447" s="54"/>
      <c r="M447" s="54"/>
      <c r="N447" s="59"/>
      <c r="O447" s="61"/>
      <c r="P447" s="61"/>
      <c r="Q447" s="61"/>
      <c r="R447" s="50"/>
      <c r="S447" s="50"/>
      <c r="T447" s="61"/>
      <c r="U447" s="61"/>
      <c r="V447" s="61"/>
      <c r="W447" s="61"/>
      <c r="X447" s="61"/>
      <c r="Y447" s="61"/>
      <c r="Z447" s="52"/>
      <c r="AA447" s="52"/>
      <c r="AB447" s="52"/>
      <c r="AC447" s="52"/>
      <c r="AD447" s="53"/>
      <c r="AE447" s="53"/>
      <c r="AF447" s="53"/>
    </row>
    <row r="448">
      <c r="G448" s="55"/>
      <c r="H448" s="54"/>
      <c r="I448" s="54"/>
      <c r="J448" s="54"/>
      <c r="K448" s="54"/>
      <c r="L448" s="54"/>
      <c r="M448" s="54"/>
      <c r="N448" s="59"/>
      <c r="O448" s="61"/>
      <c r="P448" s="61"/>
      <c r="Q448" s="61"/>
      <c r="R448" s="50"/>
      <c r="S448" s="50"/>
      <c r="T448" s="61"/>
      <c r="U448" s="61"/>
      <c r="V448" s="61"/>
      <c r="W448" s="61"/>
      <c r="X448" s="61"/>
      <c r="Y448" s="61"/>
      <c r="Z448" s="52"/>
      <c r="AA448" s="52"/>
      <c r="AB448" s="52"/>
      <c r="AC448" s="52"/>
      <c r="AD448" s="53"/>
      <c r="AE448" s="53"/>
      <c r="AF448" s="53"/>
    </row>
    <row r="449">
      <c r="G449" s="55"/>
      <c r="H449" s="54"/>
      <c r="I449" s="54"/>
      <c r="J449" s="54"/>
      <c r="K449" s="54"/>
      <c r="L449" s="54"/>
      <c r="M449" s="54"/>
      <c r="N449" s="59"/>
      <c r="O449" s="61"/>
      <c r="P449" s="61"/>
      <c r="Q449" s="61"/>
      <c r="R449" s="50"/>
      <c r="S449" s="50"/>
      <c r="T449" s="61"/>
      <c r="U449" s="61"/>
      <c r="V449" s="61"/>
      <c r="W449" s="61"/>
      <c r="X449" s="61"/>
      <c r="Y449" s="61"/>
      <c r="Z449" s="52"/>
      <c r="AA449" s="52"/>
      <c r="AB449" s="52"/>
      <c r="AC449" s="52"/>
      <c r="AD449" s="53"/>
      <c r="AE449" s="53"/>
      <c r="AF449" s="53"/>
    </row>
    <row r="450">
      <c r="G450" s="55"/>
      <c r="H450" s="54"/>
      <c r="I450" s="54"/>
      <c r="J450" s="54"/>
      <c r="K450" s="54"/>
      <c r="L450" s="54"/>
      <c r="M450" s="54"/>
      <c r="N450" s="59"/>
      <c r="O450" s="61"/>
      <c r="P450" s="61"/>
      <c r="Q450" s="61"/>
      <c r="R450" s="50"/>
      <c r="S450" s="50"/>
      <c r="T450" s="61"/>
      <c r="U450" s="61"/>
      <c r="V450" s="61"/>
      <c r="W450" s="61"/>
      <c r="X450" s="61"/>
      <c r="Y450" s="61"/>
      <c r="Z450" s="52"/>
      <c r="AA450" s="52"/>
      <c r="AB450" s="52"/>
      <c r="AC450" s="52"/>
      <c r="AD450" s="53"/>
      <c r="AE450" s="53"/>
      <c r="AF450" s="53"/>
    </row>
    <row r="451">
      <c r="G451" s="55"/>
      <c r="H451" s="54"/>
      <c r="I451" s="54"/>
      <c r="J451" s="54"/>
      <c r="K451" s="54"/>
      <c r="L451" s="54"/>
      <c r="M451" s="54"/>
      <c r="N451" s="59"/>
      <c r="O451" s="61"/>
      <c r="P451" s="61"/>
      <c r="Q451" s="61"/>
      <c r="R451" s="50"/>
      <c r="S451" s="50"/>
      <c r="T451" s="61"/>
      <c r="U451" s="61"/>
      <c r="V451" s="61"/>
      <c r="W451" s="61"/>
      <c r="X451" s="61"/>
      <c r="Y451" s="61"/>
      <c r="Z451" s="52"/>
      <c r="AA451" s="52"/>
      <c r="AB451" s="52"/>
      <c r="AC451" s="52"/>
      <c r="AD451" s="53"/>
      <c r="AE451" s="53"/>
      <c r="AF451" s="53"/>
    </row>
    <row r="452">
      <c r="G452" s="55"/>
      <c r="H452" s="54"/>
      <c r="I452" s="54"/>
      <c r="J452" s="54"/>
      <c r="K452" s="54"/>
      <c r="L452" s="54"/>
      <c r="M452" s="54"/>
      <c r="N452" s="59"/>
      <c r="O452" s="61"/>
      <c r="P452" s="61"/>
      <c r="Q452" s="61"/>
      <c r="R452" s="50"/>
      <c r="S452" s="50"/>
      <c r="T452" s="61"/>
      <c r="U452" s="61"/>
      <c r="V452" s="61"/>
      <c r="W452" s="61"/>
      <c r="X452" s="61"/>
      <c r="Y452" s="61"/>
      <c r="Z452" s="52"/>
      <c r="AA452" s="52"/>
      <c r="AB452" s="52"/>
      <c r="AC452" s="52"/>
      <c r="AD452" s="53"/>
      <c r="AE452" s="53"/>
      <c r="AF452" s="53"/>
    </row>
    <row r="453">
      <c r="G453" s="55"/>
      <c r="H453" s="54"/>
      <c r="I453" s="54"/>
      <c r="J453" s="54"/>
      <c r="K453" s="54"/>
      <c r="L453" s="54"/>
      <c r="M453" s="54"/>
      <c r="N453" s="59"/>
      <c r="O453" s="61"/>
      <c r="P453" s="61"/>
      <c r="Q453" s="61"/>
      <c r="R453" s="50"/>
      <c r="S453" s="50"/>
      <c r="T453" s="61"/>
      <c r="U453" s="61"/>
      <c r="V453" s="61"/>
      <c r="W453" s="61"/>
      <c r="X453" s="61"/>
      <c r="Y453" s="61"/>
      <c r="Z453" s="52"/>
      <c r="AA453" s="52"/>
      <c r="AB453" s="52"/>
      <c r="AC453" s="52"/>
      <c r="AD453" s="53"/>
      <c r="AE453" s="53"/>
      <c r="AF453" s="53"/>
    </row>
    <row r="454">
      <c r="G454" s="55"/>
      <c r="H454" s="54"/>
      <c r="I454" s="54"/>
      <c r="J454" s="54"/>
      <c r="K454" s="54"/>
      <c r="L454" s="54"/>
      <c r="M454" s="54"/>
      <c r="N454" s="59"/>
      <c r="O454" s="61"/>
      <c r="P454" s="61"/>
      <c r="Q454" s="61"/>
      <c r="R454" s="50"/>
      <c r="S454" s="50"/>
      <c r="T454" s="61"/>
      <c r="U454" s="61"/>
      <c r="V454" s="61"/>
      <c r="W454" s="61"/>
      <c r="X454" s="61"/>
      <c r="Y454" s="61"/>
      <c r="Z454" s="52"/>
      <c r="AA454" s="52"/>
      <c r="AB454" s="52"/>
      <c r="AC454" s="52"/>
      <c r="AD454" s="53"/>
      <c r="AE454" s="53"/>
      <c r="AF454" s="53"/>
    </row>
    <row r="455">
      <c r="G455" s="55"/>
      <c r="H455" s="54"/>
      <c r="I455" s="54"/>
      <c r="J455" s="54"/>
      <c r="K455" s="54"/>
      <c r="L455" s="54"/>
      <c r="M455" s="54"/>
      <c r="N455" s="59"/>
      <c r="O455" s="61"/>
      <c r="P455" s="61"/>
      <c r="Q455" s="61"/>
      <c r="R455" s="50"/>
      <c r="S455" s="50"/>
      <c r="T455" s="61"/>
      <c r="U455" s="61"/>
      <c r="V455" s="61"/>
      <c r="W455" s="61"/>
      <c r="X455" s="61"/>
      <c r="Y455" s="61"/>
      <c r="Z455" s="52"/>
      <c r="AA455" s="52"/>
      <c r="AB455" s="52"/>
      <c r="AC455" s="52"/>
      <c r="AD455" s="53"/>
      <c r="AE455" s="53"/>
      <c r="AF455" s="53"/>
    </row>
    <row r="456">
      <c r="G456" s="55"/>
      <c r="H456" s="54"/>
      <c r="I456" s="54"/>
      <c r="J456" s="54"/>
      <c r="K456" s="54"/>
      <c r="L456" s="54"/>
      <c r="M456" s="54"/>
      <c r="N456" s="59"/>
      <c r="O456" s="61"/>
      <c r="P456" s="61"/>
      <c r="Q456" s="61"/>
      <c r="R456" s="50"/>
      <c r="S456" s="50"/>
      <c r="T456" s="61"/>
      <c r="U456" s="61"/>
      <c r="V456" s="61"/>
      <c r="W456" s="61"/>
      <c r="X456" s="61"/>
      <c r="Y456" s="61"/>
      <c r="Z456" s="52"/>
      <c r="AA456" s="52"/>
      <c r="AB456" s="52"/>
      <c r="AC456" s="52"/>
      <c r="AD456" s="53"/>
      <c r="AE456" s="53"/>
      <c r="AF456" s="53"/>
    </row>
    <row r="457">
      <c r="G457" s="55"/>
      <c r="H457" s="54"/>
      <c r="I457" s="54"/>
      <c r="J457" s="54"/>
      <c r="K457" s="54"/>
      <c r="L457" s="54"/>
      <c r="M457" s="54"/>
      <c r="N457" s="59"/>
      <c r="O457" s="61"/>
      <c r="P457" s="61"/>
      <c r="Q457" s="61"/>
      <c r="R457" s="50"/>
      <c r="S457" s="50"/>
      <c r="T457" s="61"/>
      <c r="U457" s="61"/>
      <c r="V457" s="61"/>
      <c r="W457" s="61"/>
      <c r="X457" s="61"/>
      <c r="Y457" s="61"/>
      <c r="Z457" s="52"/>
      <c r="AA457" s="52"/>
      <c r="AB457" s="52"/>
      <c r="AC457" s="52"/>
      <c r="AD457" s="53"/>
      <c r="AE457" s="53"/>
      <c r="AF457" s="53"/>
    </row>
    <row r="458">
      <c r="G458" s="55"/>
      <c r="H458" s="54"/>
      <c r="I458" s="54"/>
      <c r="J458" s="54"/>
      <c r="K458" s="54"/>
      <c r="L458" s="54"/>
      <c r="M458" s="54"/>
      <c r="N458" s="59"/>
      <c r="O458" s="61"/>
      <c r="P458" s="61"/>
      <c r="Q458" s="61"/>
      <c r="R458" s="50"/>
      <c r="S458" s="50"/>
      <c r="T458" s="61"/>
      <c r="U458" s="61"/>
      <c r="V458" s="61"/>
      <c r="W458" s="61"/>
      <c r="X458" s="61"/>
      <c r="Y458" s="61"/>
      <c r="Z458" s="52"/>
      <c r="AA458" s="52"/>
      <c r="AB458" s="52"/>
      <c r="AC458" s="52"/>
      <c r="AD458" s="53"/>
      <c r="AE458" s="53"/>
      <c r="AF458" s="53"/>
    </row>
    <row r="459">
      <c r="G459" s="55"/>
      <c r="H459" s="54"/>
      <c r="I459" s="54"/>
      <c r="J459" s="54"/>
      <c r="K459" s="54"/>
      <c r="L459" s="54"/>
      <c r="M459" s="54"/>
      <c r="N459" s="59"/>
      <c r="O459" s="61"/>
      <c r="P459" s="61"/>
      <c r="Q459" s="61"/>
      <c r="R459" s="50"/>
      <c r="S459" s="50"/>
      <c r="T459" s="61"/>
      <c r="U459" s="61"/>
      <c r="V459" s="61"/>
      <c r="W459" s="61"/>
      <c r="X459" s="61"/>
      <c r="Y459" s="61"/>
      <c r="Z459" s="52"/>
      <c r="AA459" s="52"/>
      <c r="AB459" s="52"/>
      <c r="AC459" s="52"/>
      <c r="AD459" s="53"/>
      <c r="AE459" s="53"/>
      <c r="AF459" s="53"/>
    </row>
    <row r="460">
      <c r="G460" s="55"/>
      <c r="H460" s="54"/>
      <c r="I460" s="54"/>
      <c r="J460" s="54"/>
      <c r="K460" s="54"/>
      <c r="L460" s="54"/>
      <c r="M460" s="54"/>
      <c r="N460" s="59"/>
      <c r="O460" s="61"/>
      <c r="P460" s="61"/>
      <c r="Q460" s="61"/>
      <c r="R460" s="50"/>
      <c r="S460" s="50"/>
      <c r="T460" s="61"/>
      <c r="U460" s="61"/>
      <c r="V460" s="61"/>
      <c r="W460" s="61"/>
      <c r="X460" s="61"/>
      <c r="Y460" s="61"/>
      <c r="Z460" s="52"/>
      <c r="AA460" s="52"/>
      <c r="AB460" s="52"/>
      <c r="AC460" s="52"/>
      <c r="AD460" s="53"/>
      <c r="AE460" s="53"/>
      <c r="AF460" s="53"/>
    </row>
    <row r="461">
      <c r="G461" s="55"/>
      <c r="H461" s="54"/>
      <c r="I461" s="54"/>
      <c r="J461" s="54"/>
      <c r="K461" s="54"/>
      <c r="L461" s="54"/>
      <c r="M461" s="54"/>
      <c r="N461" s="59"/>
      <c r="O461" s="61"/>
      <c r="P461" s="61"/>
      <c r="Q461" s="61"/>
      <c r="R461" s="50"/>
      <c r="S461" s="50"/>
      <c r="T461" s="61"/>
      <c r="U461" s="61"/>
      <c r="V461" s="61"/>
      <c r="W461" s="61"/>
      <c r="X461" s="61"/>
      <c r="Y461" s="61"/>
      <c r="Z461" s="52"/>
      <c r="AA461" s="52"/>
      <c r="AB461" s="52"/>
      <c r="AC461" s="52"/>
      <c r="AD461" s="53"/>
      <c r="AE461" s="53"/>
      <c r="AF461" s="53"/>
    </row>
    <row r="462">
      <c r="G462" s="55"/>
      <c r="H462" s="54"/>
      <c r="I462" s="54"/>
      <c r="J462" s="54"/>
      <c r="K462" s="54"/>
      <c r="L462" s="54"/>
      <c r="M462" s="54"/>
      <c r="N462" s="59"/>
      <c r="O462" s="61"/>
      <c r="P462" s="61"/>
      <c r="Q462" s="61"/>
      <c r="R462" s="50"/>
      <c r="S462" s="50"/>
      <c r="T462" s="61"/>
      <c r="U462" s="61"/>
      <c r="V462" s="61"/>
      <c r="W462" s="61"/>
      <c r="X462" s="61"/>
      <c r="Y462" s="61"/>
      <c r="Z462" s="52"/>
      <c r="AA462" s="52"/>
      <c r="AB462" s="52"/>
      <c r="AC462" s="52"/>
      <c r="AD462" s="53"/>
      <c r="AE462" s="53"/>
      <c r="AF462" s="53"/>
    </row>
    <row r="463">
      <c r="G463" s="55"/>
      <c r="H463" s="54"/>
      <c r="I463" s="54"/>
      <c r="J463" s="54"/>
      <c r="K463" s="54"/>
      <c r="L463" s="54"/>
      <c r="M463" s="54"/>
      <c r="N463" s="59"/>
      <c r="O463" s="61"/>
      <c r="P463" s="61"/>
      <c r="Q463" s="61"/>
      <c r="R463" s="50"/>
      <c r="S463" s="50"/>
      <c r="T463" s="61"/>
      <c r="U463" s="61"/>
      <c r="V463" s="61"/>
      <c r="W463" s="61"/>
      <c r="X463" s="61"/>
      <c r="Y463" s="61"/>
      <c r="Z463" s="52"/>
      <c r="AA463" s="52"/>
      <c r="AB463" s="52"/>
      <c r="AC463" s="52"/>
      <c r="AD463" s="53"/>
      <c r="AE463" s="53"/>
      <c r="AF463" s="53"/>
    </row>
    <row r="464">
      <c r="G464" s="55"/>
      <c r="H464" s="54"/>
      <c r="I464" s="54"/>
      <c r="J464" s="54"/>
      <c r="K464" s="54"/>
      <c r="L464" s="54"/>
      <c r="M464" s="54"/>
      <c r="N464" s="59"/>
      <c r="O464" s="61"/>
      <c r="P464" s="61"/>
      <c r="Q464" s="61"/>
      <c r="R464" s="50"/>
      <c r="S464" s="50"/>
      <c r="T464" s="61"/>
      <c r="U464" s="61"/>
      <c r="V464" s="61"/>
      <c r="W464" s="61"/>
      <c r="X464" s="61"/>
      <c r="Y464" s="61"/>
      <c r="Z464" s="52"/>
      <c r="AA464" s="52"/>
      <c r="AB464" s="52"/>
      <c r="AC464" s="52"/>
      <c r="AD464" s="53"/>
      <c r="AE464" s="53"/>
      <c r="AF464" s="53"/>
    </row>
    <row r="465">
      <c r="G465" s="55"/>
      <c r="H465" s="54"/>
      <c r="I465" s="54"/>
      <c r="J465" s="54"/>
      <c r="K465" s="54"/>
      <c r="L465" s="54"/>
      <c r="M465" s="54"/>
      <c r="N465" s="59"/>
      <c r="O465" s="61"/>
      <c r="P465" s="61"/>
      <c r="Q465" s="61"/>
      <c r="R465" s="50"/>
      <c r="S465" s="50"/>
      <c r="T465" s="61"/>
      <c r="U465" s="61"/>
      <c r="V465" s="61"/>
      <c r="W465" s="61"/>
      <c r="X465" s="61"/>
      <c r="Y465" s="61"/>
      <c r="Z465" s="52"/>
      <c r="AA465" s="52"/>
      <c r="AB465" s="52"/>
      <c r="AC465" s="52"/>
      <c r="AD465" s="53"/>
      <c r="AE465" s="53"/>
      <c r="AF465" s="53"/>
    </row>
    <row r="466">
      <c r="G466" s="55"/>
      <c r="H466" s="54"/>
      <c r="I466" s="54"/>
      <c r="J466" s="54"/>
      <c r="K466" s="54"/>
      <c r="L466" s="54"/>
      <c r="M466" s="54"/>
      <c r="N466" s="59"/>
      <c r="O466" s="61"/>
      <c r="P466" s="61"/>
      <c r="Q466" s="61"/>
      <c r="R466" s="50"/>
      <c r="S466" s="50"/>
      <c r="T466" s="61"/>
      <c r="U466" s="61"/>
      <c r="V466" s="61"/>
      <c r="W466" s="61"/>
      <c r="X466" s="61"/>
      <c r="Y466" s="61"/>
      <c r="Z466" s="52"/>
      <c r="AA466" s="52"/>
      <c r="AB466" s="52"/>
      <c r="AC466" s="52"/>
      <c r="AD466" s="53"/>
      <c r="AE466" s="53"/>
      <c r="AF466" s="53"/>
    </row>
    <row r="467">
      <c r="G467" s="55"/>
      <c r="H467" s="54"/>
      <c r="I467" s="54"/>
      <c r="J467" s="54"/>
      <c r="K467" s="54"/>
      <c r="L467" s="54"/>
      <c r="M467" s="54"/>
      <c r="N467" s="59"/>
      <c r="O467" s="61"/>
      <c r="P467" s="61"/>
      <c r="Q467" s="61"/>
      <c r="R467" s="50"/>
      <c r="S467" s="50"/>
      <c r="T467" s="61"/>
      <c r="U467" s="61"/>
      <c r="V467" s="61"/>
      <c r="W467" s="61"/>
      <c r="X467" s="61"/>
      <c r="Y467" s="61"/>
      <c r="Z467" s="52"/>
      <c r="AA467" s="52"/>
      <c r="AB467" s="52"/>
      <c r="AC467" s="52"/>
      <c r="AD467" s="53"/>
      <c r="AE467" s="53"/>
      <c r="AF467" s="53"/>
    </row>
    <row r="468">
      <c r="G468" s="55"/>
      <c r="H468" s="54"/>
      <c r="I468" s="54"/>
      <c r="J468" s="54"/>
      <c r="K468" s="54"/>
      <c r="L468" s="54"/>
      <c r="M468" s="54"/>
      <c r="N468" s="59"/>
      <c r="O468" s="61"/>
      <c r="P468" s="61"/>
      <c r="Q468" s="61"/>
      <c r="R468" s="50"/>
      <c r="S468" s="50"/>
      <c r="T468" s="61"/>
      <c r="U468" s="61"/>
      <c r="V468" s="61"/>
      <c r="W468" s="61"/>
      <c r="X468" s="61"/>
      <c r="Y468" s="61"/>
      <c r="Z468" s="52"/>
      <c r="AA468" s="52"/>
      <c r="AB468" s="52"/>
      <c r="AC468" s="52"/>
      <c r="AD468" s="53"/>
      <c r="AE468" s="53"/>
      <c r="AF468" s="53"/>
    </row>
    <row r="469">
      <c r="G469" s="55"/>
      <c r="H469" s="54"/>
      <c r="I469" s="54"/>
      <c r="J469" s="54"/>
      <c r="K469" s="54"/>
      <c r="L469" s="54"/>
      <c r="M469" s="54"/>
      <c r="N469" s="59"/>
      <c r="O469" s="61"/>
      <c r="P469" s="61"/>
      <c r="Q469" s="61"/>
      <c r="R469" s="50"/>
      <c r="S469" s="50"/>
      <c r="T469" s="61"/>
      <c r="U469" s="61"/>
      <c r="V469" s="61"/>
      <c r="W469" s="61"/>
      <c r="X469" s="61"/>
      <c r="Y469" s="61"/>
      <c r="Z469" s="52"/>
      <c r="AA469" s="52"/>
      <c r="AB469" s="52"/>
      <c r="AC469" s="52"/>
      <c r="AD469" s="53"/>
      <c r="AE469" s="53"/>
      <c r="AF469" s="53"/>
    </row>
    <row r="470">
      <c r="G470" s="55"/>
      <c r="H470" s="54"/>
      <c r="I470" s="54"/>
      <c r="J470" s="54"/>
      <c r="K470" s="54"/>
      <c r="L470" s="54"/>
      <c r="M470" s="54"/>
      <c r="N470" s="59"/>
      <c r="O470" s="61"/>
      <c r="P470" s="61"/>
      <c r="Q470" s="61"/>
      <c r="R470" s="50"/>
      <c r="S470" s="50"/>
      <c r="T470" s="61"/>
      <c r="U470" s="61"/>
      <c r="V470" s="61"/>
      <c r="W470" s="61"/>
      <c r="X470" s="61"/>
      <c r="Y470" s="61"/>
      <c r="Z470" s="52"/>
      <c r="AA470" s="52"/>
      <c r="AB470" s="52"/>
      <c r="AC470" s="52"/>
      <c r="AD470" s="53"/>
      <c r="AE470" s="53"/>
      <c r="AF470" s="53"/>
    </row>
    <row r="471">
      <c r="G471" s="55"/>
      <c r="H471" s="54"/>
      <c r="I471" s="54"/>
      <c r="J471" s="54"/>
      <c r="K471" s="54"/>
      <c r="L471" s="54"/>
      <c r="M471" s="54"/>
      <c r="N471" s="59"/>
      <c r="O471" s="61"/>
      <c r="P471" s="61"/>
      <c r="Q471" s="61"/>
      <c r="R471" s="50"/>
      <c r="S471" s="50"/>
      <c r="T471" s="61"/>
      <c r="U471" s="61"/>
      <c r="V471" s="61"/>
      <c r="W471" s="61"/>
      <c r="X471" s="61"/>
      <c r="Y471" s="61"/>
      <c r="Z471" s="52"/>
      <c r="AA471" s="52"/>
      <c r="AB471" s="52"/>
      <c r="AC471" s="52"/>
      <c r="AD471" s="53"/>
      <c r="AE471" s="53"/>
      <c r="AF471" s="53"/>
    </row>
    <row r="472">
      <c r="G472" s="55"/>
      <c r="H472" s="54"/>
      <c r="I472" s="54"/>
      <c r="J472" s="54"/>
      <c r="K472" s="54"/>
      <c r="L472" s="54"/>
      <c r="M472" s="54"/>
      <c r="N472" s="59"/>
      <c r="O472" s="61"/>
      <c r="P472" s="61"/>
      <c r="Q472" s="61"/>
      <c r="R472" s="50"/>
      <c r="S472" s="50"/>
      <c r="T472" s="61"/>
      <c r="U472" s="61"/>
      <c r="V472" s="61"/>
      <c r="W472" s="61"/>
      <c r="X472" s="61"/>
      <c r="Y472" s="61"/>
      <c r="Z472" s="52"/>
      <c r="AA472" s="52"/>
      <c r="AB472" s="52"/>
      <c r="AC472" s="52"/>
      <c r="AD472" s="53"/>
      <c r="AE472" s="53"/>
      <c r="AF472" s="53"/>
    </row>
    <row r="473">
      <c r="G473" s="55"/>
      <c r="H473" s="54"/>
      <c r="I473" s="54"/>
      <c r="J473" s="54"/>
      <c r="K473" s="54"/>
      <c r="L473" s="54"/>
      <c r="M473" s="54"/>
      <c r="N473" s="59"/>
      <c r="O473" s="61"/>
      <c r="P473" s="61"/>
      <c r="Q473" s="61"/>
      <c r="R473" s="50"/>
      <c r="S473" s="50"/>
      <c r="T473" s="61"/>
      <c r="U473" s="61"/>
      <c r="V473" s="61"/>
      <c r="W473" s="61"/>
      <c r="X473" s="61"/>
      <c r="Y473" s="61"/>
      <c r="Z473" s="52"/>
      <c r="AA473" s="52"/>
      <c r="AB473" s="52"/>
      <c r="AC473" s="52"/>
      <c r="AD473" s="53"/>
      <c r="AE473" s="53"/>
      <c r="AF473" s="53"/>
    </row>
    <row r="474">
      <c r="G474" s="55"/>
      <c r="H474" s="54"/>
      <c r="I474" s="54"/>
      <c r="J474" s="54"/>
      <c r="K474" s="54"/>
      <c r="L474" s="54"/>
      <c r="M474" s="54"/>
      <c r="N474" s="59"/>
      <c r="O474" s="61"/>
      <c r="P474" s="61"/>
      <c r="Q474" s="61"/>
      <c r="R474" s="50"/>
      <c r="S474" s="50"/>
      <c r="T474" s="61"/>
      <c r="U474" s="61"/>
      <c r="V474" s="61"/>
      <c r="W474" s="61"/>
      <c r="X474" s="61"/>
      <c r="Y474" s="61"/>
      <c r="Z474" s="52"/>
      <c r="AA474" s="52"/>
      <c r="AB474" s="52"/>
      <c r="AC474" s="52"/>
      <c r="AD474" s="53"/>
      <c r="AE474" s="53"/>
      <c r="AF474" s="53"/>
    </row>
    <row r="475">
      <c r="G475" s="55"/>
      <c r="H475" s="54"/>
      <c r="I475" s="54"/>
      <c r="J475" s="54"/>
      <c r="K475" s="54"/>
      <c r="L475" s="54"/>
      <c r="M475" s="54"/>
      <c r="N475" s="59"/>
      <c r="O475" s="61"/>
      <c r="P475" s="61"/>
      <c r="Q475" s="61"/>
      <c r="R475" s="50"/>
      <c r="S475" s="50"/>
      <c r="T475" s="61"/>
      <c r="U475" s="61"/>
      <c r="V475" s="61"/>
      <c r="W475" s="61"/>
      <c r="X475" s="61"/>
      <c r="Y475" s="61"/>
      <c r="Z475" s="52"/>
      <c r="AA475" s="52"/>
      <c r="AB475" s="52"/>
      <c r="AC475" s="52"/>
      <c r="AD475" s="53"/>
      <c r="AE475" s="53"/>
      <c r="AF475" s="53"/>
    </row>
    <row r="476">
      <c r="G476" s="55"/>
      <c r="H476" s="54"/>
      <c r="I476" s="54"/>
      <c r="J476" s="54"/>
      <c r="K476" s="54"/>
      <c r="L476" s="54"/>
      <c r="M476" s="54"/>
      <c r="N476" s="59"/>
      <c r="O476" s="61"/>
      <c r="P476" s="61"/>
      <c r="Q476" s="61"/>
      <c r="R476" s="50"/>
      <c r="S476" s="50"/>
      <c r="T476" s="61"/>
      <c r="U476" s="61"/>
      <c r="V476" s="61"/>
      <c r="W476" s="61"/>
      <c r="X476" s="61"/>
      <c r="Y476" s="61"/>
      <c r="Z476" s="52"/>
      <c r="AA476" s="52"/>
      <c r="AB476" s="52"/>
      <c r="AC476" s="52"/>
      <c r="AD476" s="53"/>
      <c r="AE476" s="53"/>
      <c r="AF476" s="53"/>
    </row>
    <row r="477">
      <c r="G477" s="55"/>
      <c r="H477" s="54"/>
      <c r="I477" s="54"/>
      <c r="J477" s="54"/>
      <c r="K477" s="54"/>
      <c r="L477" s="54"/>
      <c r="M477" s="54"/>
      <c r="N477" s="59"/>
      <c r="O477" s="61"/>
      <c r="P477" s="61"/>
      <c r="Q477" s="61"/>
      <c r="R477" s="50"/>
      <c r="S477" s="50"/>
      <c r="T477" s="61"/>
      <c r="U477" s="61"/>
      <c r="V477" s="61"/>
      <c r="W477" s="61"/>
      <c r="X477" s="61"/>
      <c r="Y477" s="61"/>
      <c r="Z477" s="52"/>
      <c r="AA477" s="52"/>
      <c r="AB477" s="52"/>
      <c r="AC477" s="52"/>
      <c r="AD477" s="53"/>
      <c r="AE477" s="53"/>
      <c r="AF477" s="53"/>
    </row>
    <row r="478">
      <c r="G478" s="55"/>
      <c r="H478" s="54"/>
      <c r="I478" s="54"/>
      <c r="J478" s="54"/>
      <c r="K478" s="54"/>
      <c r="L478" s="54"/>
      <c r="M478" s="54"/>
      <c r="N478" s="59"/>
      <c r="O478" s="61"/>
      <c r="P478" s="61"/>
      <c r="Q478" s="61"/>
      <c r="R478" s="50"/>
      <c r="S478" s="50"/>
      <c r="T478" s="61"/>
      <c r="U478" s="61"/>
      <c r="V478" s="61"/>
      <c r="W478" s="61"/>
      <c r="X478" s="61"/>
      <c r="Y478" s="61"/>
      <c r="Z478" s="52"/>
      <c r="AA478" s="52"/>
      <c r="AB478" s="52"/>
      <c r="AC478" s="52"/>
      <c r="AD478" s="53"/>
      <c r="AE478" s="53"/>
      <c r="AF478" s="53"/>
    </row>
    <row r="479">
      <c r="G479" s="55"/>
      <c r="H479" s="54"/>
      <c r="I479" s="54"/>
      <c r="J479" s="54"/>
      <c r="K479" s="54"/>
      <c r="L479" s="54"/>
      <c r="M479" s="54"/>
      <c r="N479" s="59"/>
      <c r="O479" s="61"/>
      <c r="P479" s="61"/>
      <c r="Q479" s="61"/>
      <c r="R479" s="50"/>
      <c r="S479" s="50"/>
      <c r="T479" s="61"/>
      <c r="U479" s="61"/>
      <c r="V479" s="61"/>
      <c r="W479" s="61"/>
      <c r="X479" s="61"/>
      <c r="Y479" s="61"/>
      <c r="Z479" s="52"/>
      <c r="AA479" s="52"/>
      <c r="AB479" s="52"/>
      <c r="AC479" s="52"/>
      <c r="AD479" s="53"/>
      <c r="AE479" s="53"/>
      <c r="AF479" s="53"/>
    </row>
    <row r="480">
      <c r="G480" s="55"/>
      <c r="H480" s="54"/>
      <c r="I480" s="54"/>
      <c r="J480" s="54"/>
      <c r="K480" s="54"/>
      <c r="L480" s="54"/>
      <c r="M480" s="54"/>
      <c r="N480" s="59"/>
      <c r="O480" s="61"/>
      <c r="P480" s="61"/>
      <c r="Q480" s="61"/>
      <c r="R480" s="50"/>
      <c r="S480" s="50"/>
      <c r="T480" s="61"/>
      <c r="U480" s="61"/>
      <c r="V480" s="61"/>
      <c r="W480" s="61"/>
      <c r="X480" s="61"/>
      <c r="Y480" s="61"/>
      <c r="Z480" s="52"/>
      <c r="AA480" s="52"/>
      <c r="AB480" s="52"/>
      <c r="AC480" s="52"/>
      <c r="AD480" s="53"/>
      <c r="AE480" s="53"/>
      <c r="AF480" s="53"/>
    </row>
    <row r="481">
      <c r="G481" s="55"/>
      <c r="H481" s="54"/>
      <c r="I481" s="54"/>
      <c r="J481" s="54"/>
      <c r="K481" s="54"/>
      <c r="L481" s="54"/>
      <c r="M481" s="54"/>
      <c r="N481" s="59"/>
      <c r="O481" s="61"/>
      <c r="P481" s="61"/>
      <c r="Q481" s="61"/>
      <c r="R481" s="50"/>
      <c r="S481" s="50"/>
      <c r="T481" s="61"/>
      <c r="U481" s="61"/>
      <c r="V481" s="61"/>
      <c r="W481" s="61"/>
      <c r="X481" s="61"/>
      <c r="Y481" s="61"/>
      <c r="Z481" s="52"/>
      <c r="AA481" s="52"/>
      <c r="AB481" s="52"/>
      <c r="AC481" s="52"/>
      <c r="AD481" s="53"/>
      <c r="AE481" s="53"/>
      <c r="AF481" s="53"/>
    </row>
    <row r="482">
      <c r="G482" s="55"/>
      <c r="H482" s="54"/>
      <c r="I482" s="54"/>
      <c r="J482" s="54"/>
      <c r="K482" s="54"/>
      <c r="L482" s="54"/>
      <c r="M482" s="54"/>
      <c r="N482" s="59"/>
      <c r="O482" s="61"/>
      <c r="P482" s="61"/>
      <c r="Q482" s="61"/>
      <c r="R482" s="50"/>
      <c r="S482" s="50"/>
      <c r="T482" s="61"/>
      <c r="U482" s="61"/>
      <c r="V482" s="61"/>
      <c r="W482" s="61"/>
      <c r="X482" s="61"/>
      <c r="Y482" s="61"/>
      <c r="Z482" s="52"/>
      <c r="AA482" s="52"/>
      <c r="AB482" s="52"/>
      <c r="AC482" s="52"/>
      <c r="AD482" s="53"/>
      <c r="AE482" s="53"/>
      <c r="AF482" s="53"/>
    </row>
    <row r="483">
      <c r="G483" s="55"/>
      <c r="H483" s="54"/>
      <c r="I483" s="54"/>
      <c r="J483" s="54"/>
      <c r="K483" s="54"/>
      <c r="L483" s="54"/>
      <c r="M483" s="54"/>
      <c r="N483" s="59"/>
      <c r="O483" s="61"/>
      <c r="P483" s="61"/>
      <c r="Q483" s="61"/>
      <c r="R483" s="50"/>
      <c r="S483" s="50"/>
      <c r="T483" s="61"/>
      <c r="U483" s="61"/>
      <c r="V483" s="61"/>
      <c r="W483" s="61"/>
      <c r="X483" s="61"/>
      <c r="Y483" s="61"/>
      <c r="Z483" s="52"/>
      <c r="AA483" s="52"/>
      <c r="AB483" s="52"/>
      <c r="AC483" s="52"/>
      <c r="AD483" s="53"/>
      <c r="AE483" s="53"/>
      <c r="AF483" s="53"/>
    </row>
    <row r="484">
      <c r="G484" s="55"/>
      <c r="H484" s="54"/>
      <c r="I484" s="54"/>
      <c r="J484" s="54"/>
      <c r="K484" s="54"/>
      <c r="L484" s="54"/>
      <c r="M484" s="54"/>
      <c r="N484" s="59"/>
      <c r="O484" s="61"/>
      <c r="P484" s="61"/>
      <c r="Q484" s="61"/>
      <c r="R484" s="50"/>
      <c r="S484" s="50"/>
      <c r="T484" s="61"/>
      <c r="U484" s="61"/>
      <c r="V484" s="61"/>
      <c r="W484" s="61"/>
      <c r="X484" s="61"/>
      <c r="Y484" s="61"/>
      <c r="Z484" s="52"/>
      <c r="AA484" s="52"/>
      <c r="AB484" s="52"/>
      <c r="AC484" s="52"/>
      <c r="AD484" s="53"/>
      <c r="AE484" s="53"/>
      <c r="AF484" s="53"/>
    </row>
    <row r="485">
      <c r="G485" s="55"/>
      <c r="H485" s="54"/>
      <c r="I485" s="54"/>
      <c r="J485" s="54"/>
      <c r="K485" s="54"/>
      <c r="L485" s="54"/>
      <c r="M485" s="54"/>
      <c r="N485" s="59"/>
      <c r="O485" s="61"/>
      <c r="P485" s="61"/>
      <c r="Q485" s="61"/>
      <c r="R485" s="50"/>
      <c r="S485" s="50"/>
      <c r="T485" s="61"/>
      <c r="U485" s="61"/>
      <c r="V485" s="61"/>
      <c r="W485" s="61"/>
      <c r="X485" s="61"/>
      <c r="Y485" s="61"/>
      <c r="Z485" s="52"/>
      <c r="AA485" s="52"/>
      <c r="AB485" s="52"/>
      <c r="AC485" s="52"/>
      <c r="AD485" s="53"/>
      <c r="AE485" s="53"/>
      <c r="AF485" s="53"/>
    </row>
    <row r="486">
      <c r="G486" s="55"/>
      <c r="H486" s="54"/>
      <c r="I486" s="54"/>
      <c r="J486" s="54"/>
      <c r="K486" s="54"/>
      <c r="L486" s="54"/>
      <c r="M486" s="54"/>
      <c r="N486" s="59"/>
      <c r="O486" s="61"/>
      <c r="P486" s="61"/>
      <c r="Q486" s="61"/>
      <c r="R486" s="50"/>
      <c r="S486" s="50"/>
      <c r="T486" s="61"/>
      <c r="U486" s="61"/>
      <c r="V486" s="61"/>
      <c r="W486" s="61"/>
      <c r="X486" s="61"/>
      <c r="Y486" s="61"/>
      <c r="Z486" s="52"/>
      <c r="AA486" s="52"/>
      <c r="AB486" s="52"/>
      <c r="AC486" s="52"/>
      <c r="AD486" s="53"/>
      <c r="AE486" s="53"/>
      <c r="AF486" s="53"/>
    </row>
    <row r="487">
      <c r="G487" s="55"/>
      <c r="H487" s="54"/>
      <c r="I487" s="54"/>
      <c r="J487" s="54"/>
      <c r="K487" s="54"/>
      <c r="L487" s="54"/>
      <c r="M487" s="54"/>
      <c r="N487" s="59"/>
      <c r="O487" s="61"/>
      <c r="P487" s="61"/>
      <c r="Q487" s="61"/>
      <c r="R487" s="50"/>
      <c r="S487" s="50"/>
      <c r="T487" s="61"/>
      <c r="U487" s="61"/>
      <c r="V487" s="61"/>
      <c r="W487" s="61"/>
      <c r="X487" s="61"/>
      <c r="Y487" s="61"/>
      <c r="Z487" s="52"/>
      <c r="AA487" s="52"/>
      <c r="AB487" s="52"/>
      <c r="AC487" s="52"/>
      <c r="AD487" s="53"/>
      <c r="AE487" s="53"/>
      <c r="AF487" s="53"/>
    </row>
    <row r="488">
      <c r="G488" s="55"/>
      <c r="H488" s="54"/>
      <c r="I488" s="54"/>
      <c r="J488" s="54"/>
      <c r="K488" s="54"/>
      <c r="L488" s="54"/>
      <c r="M488" s="54"/>
      <c r="N488" s="59"/>
      <c r="O488" s="61"/>
      <c r="P488" s="61"/>
      <c r="Q488" s="61"/>
      <c r="R488" s="50"/>
      <c r="S488" s="50"/>
      <c r="T488" s="61"/>
      <c r="U488" s="61"/>
      <c r="V488" s="61"/>
      <c r="W488" s="61"/>
      <c r="X488" s="61"/>
      <c r="Y488" s="61"/>
      <c r="Z488" s="52"/>
      <c r="AA488" s="52"/>
      <c r="AB488" s="52"/>
      <c r="AC488" s="52"/>
      <c r="AD488" s="53"/>
      <c r="AE488" s="53"/>
      <c r="AF488" s="53"/>
    </row>
    <row r="489">
      <c r="G489" s="55"/>
      <c r="H489" s="54"/>
      <c r="I489" s="54"/>
      <c r="J489" s="54"/>
      <c r="K489" s="54"/>
      <c r="L489" s="54"/>
      <c r="M489" s="54"/>
      <c r="N489" s="59"/>
      <c r="O489" s="61"/>
      <c r="P489" s="61"/>
      <c r="Q489" s="61"/>
      <c r="R489" s="50"/>
      <c r="S489" s="50"/>
      <c r="T489" s="61"/>
      <c r="U489" s="61"/>
      <c r="V489" s="61"/>
      <c r="W489" s="61"/>
      <c r="X489" s="61"/>
      <c r="Y489" s="61"/>
      <c r="Z489" s="52"/>
      <c r="AA489" s="52"/>
      <c r="AB489" s="52"/>
      <c r="AC489" s="52"/>
      <c r="AD489" s="53"/>
      <c r="AE489" s="53"/>
      <c r="AF489" s="53"/>
    </row>
    <row r="490">
      <c r="G490" s="55"/>
      <c r="H490" s="54"/>
      <c r="I490" s="54"/>
      <c r="J490" s="54"/>
      <c r="K490" s="54"/>
      <c r="L490" s="54"/>
      <c r="M490" s="54"/>
      <c r="N490" s="59"/>
      <c r="O490" s="61"/>
      <c r="P490" s="61"/>
      <c r="Q490" s="61"/>
      <c r="R490" s="50"/>
      <c r="S490" s="50"/>
      <c r="T490" s="61"/>
      <c r="U490" s="61"/>
      <c r="V490" s="61"/>
      <c r="W490" s="61"/>
      <c r="X490" s="61"/>
      <c r="Y490" s="61"/>
      <c r="Z490" s="52"/>
      <c r="AA490" s="52"/>
      <c r="AB490" s="52"/>
      <c r="AC490" s="52"/>
      <c r="AD490" s="53"/>
      <c r="AE490" s="53"/>
      <c r="AF490" s="53"/>
    </row>
    <row r="491">
      <c r="G491" s="55"/>
      <c r="H491" s="54"/>
      <c r="I491" s="54"/>
      <c r="J491" s="54"/>
      <c r="K491" s="54"/>
      <c r="L491" s="54"/>
      <c r="M491" s="54"/>
      <c r="N491" s="59"/>
      <c r="O491" s="61"/>
      <c r="P491" s="61"/>
      <c r="Q491" s="61"/>
      <c r="R491" s="50"/>
      <c r="S491" s="50"/>
      <c r="T491" s="61"/>
      <c r="U491" s="61"/>
      <c r="V491" s="61"/>
      <c r="W491" s="61"/>
      <c r="X491" s="61"/>
      <c r="Y491" s="61"/>
      <c r="Z491" s="52"/>
      <c r="AA491" s="52"/>
      <c r="AB491" s="52"/>
      <c r="AC491" s="52"/>
      <c r="AD491" s="53"/>
      <c r="AE491" s="53"/>
      <c r="AF491" s="53"/>
    </row>
    <row r="492">
      <c r="G492" s="55"/>
      <c r="H492" s="54"/>
      <c r="I492" s="54"/>
      <c r="J492" s="54"/>
      <c r="K492" s="54"/>
      <c r="L492" s="54"/>
      <c r="M492" s="54"/>
      <c r="N492" s="59"/>
      <c r="O492" s="61"/>
      <c r="P492" s="61"/>
      <c r="Q492" s="61"/>
      <c r="R492" s="50"/>
      <c r="S492" s="50"/>
      <c r="T492" s="61"/>
      <c r="U492" s="61"/>
      <c r="V492" s="61"/>
      <c r="W492" s="61"/>
      <c r="X492" s="61"/>
      <c r="Y492" s="61"/>
      <c r="Z492" s="52"/>
      <c r="AA492" s="52"/>
      <c r="AB492" s="52"/>
      <c r="AC492" s="52"/>
      <c r="AD492" s="53"/>
      <c r="AE492" s="53"/>
      <c r="AF492" s="53"/>
    </row>
    <row r="493">
      <c r="G493" s="55"/>
      <c r="H493" s="54"/>
      <c r="I493" s="54"/>
      <c r="J493" s="54"/>
      <c r="K493" s="54"/>
      <c r="L493" s="54"/>
      <c r="M493" s="54"/>
      <c r="N493" s="59"/>
      <c r="O493" s="61"/>
      <c r="P493" s="61"/>
      <c r="Q493" s="61"/>
      <c r="R493" s="50"/>
      <c r="S493" s="50"/>
      <c r="T493" s="61"/>
      <c r="U493" s="61"/>
      <c r="V493" s="61"/>
      <c r="W493" s="61"/>
      <c r="X493" s="61"/>
      <c r="Y493" s="61"/>
      <c r="Z493" s="52"/>
      <c r="AA493" s="52"/>
      <c r="AB493" s="52"/>
      <c r="AC493" s="52"/>
      <c r="AD493" s="53"/>
      <c r="AE493" s="53"/>
      <c r="AF493" s="53"/>
    </row>
    <row r="494">
      <c r="G494" s="55"/>
      <c r="H494" s="54"/>
      <c r="I494" s="54"/>
      <c r="J494" s="54"/>
      <c r="K494" s="54"/>
      <c r="L494" s="54"/>
      <c r="M494" s="54"/>
      <c r="N494" s="59"/>
      <c r="O494" s="61"/>
      <c r="P494" s="61"/>
      <c r="Q494" s="61"/>
      <c r="R494" s="50"/>
      <c r="S494" s="50"/>
      <c r="T494" s="61"/>
      <c r="U494" s="61"/>
      <c r="V494" s="61"/>
      <c r="W494" s="61"/>
      <c r="X494" s="61"/>
      <c r="Y494" s="61"/>
      <c r="Z494" s="52"/>
      <c r="AA494" s="52"/>
      <c r="AB494" s="52"/>
      <c r="AC494" s="52"/>
      <c r="AD494" s="53"/>
      <c r="AE494" s="53"/>
      <c r="AF494" s="53"/>
    </row>
    <row r="495">
      <c r="G495" s="55"/>
      <c r="H495" s="54"/>
      <c r="I495" s="54"/>
      <c r="J495" s="54"/>
      <c r="K495" s="54"/>
      <c r="L495" s="54"/>
      <c r="M495" s="54"/>
      <c r="N495" s="59"/>
      <c r="O495" s="61"/>
      <c r="P495" s="61"/>
      <c r="Q495" s="61"/>
      <c r="R495" s="50"/>
      <c r="S495" s="50"/>
      <c r="T495" s="61"/>
      <c r="U495" s="61"/>
      <c r="V495" s="61"/>
      <c r="W495" s="61"/>
      <c r="X495" s="61"/>
      <c r="Y495" s="61"/>
      <c r="Z495" s="52"/>
      <c r="AA495" s="52"/>
      <c r="AB495" s="52"/>
      <c r="AC495" s="52"/>
      <c r="AD495" s="53"/>
      <c r="AE495" s="53"/>
      <c r="AF495" s="53"/>
    </row>
    <row r="496">
      <c r="G496" s="55"/>
      <c r="H496" s="54"/>
      <c r="I496" s="54"/>
      <c r="J496" s="54"/>
      <c r="K496" s="54"/>
      <c r="L496" s="54"/>
      <c r="M496" s="54"/>
      <c r="N496" s="59"/>
      <c r="O496" s="61"/>
      <c r="P496" s="61"/>
      <c r="Q496" s="61"/>
      <c r="R496" s="50"/>
      <c r="S496" s="50"/>
      <c r="T496" s="61"/>
      <c r="U496" s="61"/>
      <c r="V496" s="61"/>
      <c r="W496" s="61"/>
      <c r="X496" s="61"/>
      <c r="Y496" s="61"/>
      <c r="Z496" s="52"/>
      <c r="AA496" s="52"/>
      <c r="AB496" s="52"/>
      <c r="AC496" s="52"/>
      <c r="AD496" s="53"/>
      <c r="AE496" s="53"/>
      <c r="AF496" s="53"/>
    </row>
    <row r="497">
      <c r="G497" s="55"/>
      <c r="H497" s="54"/>
      <c r="I497" s="54"/>
      <c r="J497" s="54"/>
      <c r="K497" s="54"/>
      <c r="L497" s="54"/>
      <c r="M497" s="54"/>
      <c r="N497" s="59"/>
      <c r="O497" s="61"/>
      <c r="P497" s="61"/>
      <c r="Q497" s="61"/>
      <c r="R497" s="50"/>
      <c r="S497" s="50"/>
      <c r="T497" s="61"/>
      <c r="U497" s="61"/>
      <c r="V497" s="61"/>
      <c r="W497" s="61"/>
      <c r="X497" s="61"/>
      <c r="Y497" s="61"/>
      <c r="Z497" s="52"/>
      <c r="AA497" s="52"/>
      <c r="AB497" s="52"/>
      <c r="AC497" s="52"/>
      <c r="AD497" s="53"/>
      <c r="AE497" s="53"/>
      <c r="AF497" s="53"/>
    </row>
    <row r="498">
      <c r="G498" s="55"/>
      <c r="H498" s="54"/>
      <c r="I498" s="54"/>
      <c r="J498" s="54"/>
      <c r="K498" s="54"/>
      <c r="L498" s="54"/>
      <c r="M498" s="54"/>
      <c r="N498" s="59"/>
      <c r="O498" s="61"/>
      <c r="P498" s="61"/>
      <c r="Q498" s="61"/>
      <c r="R498" s="50"/>
      <c r="S498" s="50"/>
      <c r="T498" s="61"/>
      <c r="U498" s="61"/>
      <c r="V498" s="61"/>
      <c r="W498" s="61"/>
      <c r="X498" s="61"/>
      <c r="Y498" s="61"/>
      <c r="Z498" s="52"/>
      <c r="AA498" s="52"/>
      <c r="AB498" s="52"/>
      <c r="AC498" s="52"/>
      <c r="AD498" s="53"/>
      <c r="AE498" s="53"/>
      <c r="AF498" s="53"/>
    </row>
    <row r="499">
      <c r="G499" s="55"/>
      <c r="H499" s="54"/>
      <c r="I499" s="54"/>
      <c r="J499" s="54"/>
      <c r="K499" s="54"/>
      <c r="L499" s="54"/>
      <c r="M499" s="54"/>
      <c r="N499" s="59"/>
      <c r="O499" s="61"/>
      <c r="P499" s="61"/>
      <c r="Q499" s="61"/>
      <c r="R499" s="50"/>
      <c r="S499" s="50"/>
      <c r="T499" s="61"/>
      <c r="U499" s="61"/>
      <c r="V499" s="61"/>
      <c r="W499" s="61"/>
      <c r="X499" s="61"/>
      <c r="Y499" s="61"/>
      <c r="Z499" s="52"/>
      <c r="AA499" s="52"/>
      <c r="AB499" s="52"/>
      <c r="AC499" s="52"/>
      <c r="AD499" s="53"/>
      <c r="AE499" s="53"/>
      <c r="AF499" s="53"/>
    </row>
    <row r="500">
      <c r="G500" s="55"/>
      <c r="H500" s="54"/>
      <c r="I500" s="54"/>
      <c r="J500" s="54"/>
      <c r="K500" s="54"/>
      <c r="L500" s="54"/>
      <c r="M500" s="54"/>
      <c r="N500" s="59"/>
      <c r="O500" s="61"/>
      <c r="P500" s="61"/>
      <c r="Q500" s="61"/>
      <c r="R500" s="50"/>
      <c r="S500" s="50"/>
      <c r="T500" s="61"/>
      <c r="U500" s="61"/>
      <c r="V500" s="61"/>
      <c r="W500" s="61"/>
      <c r="X500" s="61"/>
      <c r="Y500" s="61"/>
      <c r="Z500" s="52"/>
      <c r="AA500" s="52"/>
      <c r="AB500" s="52"/>
      <c r="AC500" s="52"/>
      <c r="AD500" s="53"/>
      <c r="AE500" s="53"/>
      <c r="AF500" s="53"/>
    </row>
    <row r="501">
      <c r="G501" s="55"/>
      <c r="H501" s="54"/>
      <c r="I501" s="54"/>
      <c r="J501" s="54"/>
      <c r="K501" s="54"/>
      <c r="L501" s="54"/>
      <c r="M501" s="54"/>
      <c r="N501" s="59"/>
      <c r="O501" s="61"/>
      <c r="P501" s="61"/>
      <c r="Q501" s="61"/>
      <c r="R501" s="50"/>
      <c r="S501" s="50"/>
      <c r="T501" s="61"/>
      <c r="U501" s="61"/>
      <c r="V501" s="61"/>
      <c r="W501" s="61"/>
      <c r="X501" s="61"/>
      <c r="Y501" s="61"/>
      <c r="Z501" s="52"/>
      <c r="AA501" s="52"/>
      <c r="AB501" s="52"/>
      <c r="AC501" s="52"/>
      <c r="AD501" s="53"/>
      <c r="AE501" s="53"/>
      <c r="AF501" s="53"/>
    </row>
    <row r="502">
      <c r="G502" s="55"/>
      <c r="H502" s="54"/>
      <c r="I502" s="54"/>
      <c r="J502" s="54"/>
      <c r="K502" s="54"/>
      <c r="L502" s="54"/>
      <c r="M502" s="54"/>
      <c r="N502" s="59"/>
      <c r="O502" s="61"/>
      <c r="P502" s="61"/>
      <c r="Q502" s="61"/>
      <c r="R502" s="50"/>
      <c r="S502" s="50"/>
      <c r="T502" s="61"/>
      <c r="U502" s="61"/>
      <c r="V502" s="61"/>
      <c r="W502" s="61"/>
      <c r="X502" s="61"/>
      <c r="Y502" s="61"/>
      <c r="Z502" s="52"/>
      <c r="AA502" s="52"/>
      <c r="AB502" s="52"/>
      <c r="AC502" s="52"/>
      <c r="AD502" s="53"/>
      <c r="AE502" s="53"/>
      <c r="AF502" s="53"/>
    </row>
    <row r="503">
      <c r="G503" s="55"/>
      <c r="H503" s="54"/>
      <c r="I503" s="54"/>
      <c r="J503" s="54"/>
      <c r="K503" s="54"/>
      <c r="L503" s="54"/>
      <c r="M503" s="54"/>
      <c r="N503" s="59"/>
      <c r="O503" s="61"/>
      <c r="P503" s="61"/>
      <c r="Q503" s="61"/>
      <c r="R503" s="50"/>
      <c r="S503" s="50"/>
      <c r="T503" s="61"/>
      <c r="U503" s="61"/>
      <c r="V503" s="61"/>
      <c r="W503" s="61"/>
      <c r="X503" s="61"/>
      <c r="Y503" s="61"/>
      <c r="Z503" s="52"/>
      <c r="AA503" s="52"/>
      <c r="AB503" s="52"/>
      <c r="AC503" s="52"/>
      <c r="AD503" s="53"/>
      <c r="AE503" s="53"/>
      <c r="AF503" s="53"/>
    </row>
    <row r="504">
      <c r="G504" s="55"/>
      <c r="H504" s="54"/>
      <c r="I504" s="54"/>
      <c r="J504" s="54"/>
      <c r="K504" s="54"/>
      <c r="L504" s="54"/>
      <c r="M504" s="54"/>
      <c r="N504" s="59"/>
      <c r="O504" s="61"/>
      <c r="P504" s="61"/>
      <c r="Q504" s="61"/>
      <c r="R504" s="50"/>
      <c r="S504" s="50"/>
      <c r="T504" s="61"/>
      <c r="U504" s="61"/>
      <c r="V504" s="61"/>
      <c r="W504" s="61"/>
      <c r="X504" s="61"/>
      <c r="Y504" s="61"/>
      <c r="Z504" s="52"/>
      <c r="AA504" s="52"/>
      <c r="AB504" s="52"/>
      <c r="AC504" s="52"/>
      <c r="AD504" s="53"/>
      <c r="AE504" s="53"/>
      <c r="AF504" s="53"/>
    </row>
    <row r="505">
      <c r="G505" s="55"/>
      <c r="H505" s="54"/>
      <c r="I505" s="54"/>
      <c r="J505" s="54"/>
      <c r="K505" s="54"/>
      <c r="L505" s="54"/>
      <c r="M505" s="54"/>
      <c r="N505" s="59"/>
      <c r="O505" s="61"/>
      <c r="P505" s="61"/>
      <c r="Q505" s="61"/>
      <c r="R505" s="50"/>
      <c r="S505" s="50"/>
      <c r="T505" s="61"/>
      <c r="U505" s="61"/>
      <c r="V505" s="61"/>
      <c r="W505" s="61"/>
      <c r="X505" s="61"/>
      <c r="Y505" s="61"/>
      <c r="Z505" s="52"/>
      <c r="AA505" s="52"/>
      <c r="AB505" s="52"/>
      <c r="AC505" s="52"/>
      <c r="AD505" s="53"/>
      <c r="AE505" s="53"/>
      <c r="AF505" s="53"/>
    </row>
    <row r="506">
      <c r="G506" s="55"/>
      <c r="H506" s="54"/>
      <c r="I506" s="54"/>
      <c r="J506" s="54"/>
      <c r="K506" s="54"/>
      <c r="L506" s="54"/>
      <c r="M506" s="54"/>
      <c r="N506" s="59"/>
      <c r="O506" s="61"/>
      <c r="P506" s="61"/>
      <c r="Q506" s="61"/>
      <c r="R506" s="50"/>
      <c r="S506" s="50"/>
      <c r="T506" s="61"/>
      <c r="U506" s="61"/>
      <c r="V506" s="61"/>
      <c r="W506" s="61"/>
      <c r="X506" s="61"/>
      <c r="Y506" s="61"/>
      <c r="Z506" s="52"/>
      <c r="AA506" s="52"/>
      <c r="AB506" s="52"/>
      <c r="AC506" s="52"/>
      <c r="AD506" s="53"/>
      <c r="AE506" s="53"/>
      <c r="AF506" s="53"/>
    </row>
    <row r="507">
      <c r="G507" s="55"/>
      <c r="H507" s="54"/>
      <c r="I507" s="54"/>
      <c r="J507" s="54"/>
      <c r="K507" s="54"/>
      <c r="L507" s="54"/>
      <c r="M507" s="54"/>
      <c r="N507" s="59"/>
      <c r="O507" s="61"/>
      <c r="P507" s="61"/>
      <c r="Q507" s="61"/>
      <c r="R507" s="50"/>
      <c r="S507" s="50"/>
      <c r="T507" s="61"/>
      <c r="U507" s="61"/>
      <c r="V507" s="61"/>
      <c r="W507" s="61"/>
      <c r="X507" s="61"/>
      <c r="Y507" s="61"/>
      <c r="Z507" s="52"/>
      <c r="AA507" s="52"/>
      <c r="AB507" s="52"/>
      <c r="AC507" s="52"/>
      <c r="AD507" s="53"/>
      <c r="AE507" s="53"/>
      <c r="AF507" s="53"/>
    </row>
    <row r="508">
      <c r="G508" s="55"/>
      <c r="H508" s="54"/>
      <c r="I508" s="54"/>
      <c r="J508" s="54"/>
      <c r="K508" s="54"/>
      <c r="L508" s="54"/>
      <c r="M508" s="54"/>
      <c r="N508" s="59"/>
      <c r="O508" s="61"/>
      <c r="P508" s="61"/>
      <c r="Q508" s="61"/>
      <c r="R508" s="50"/>
      <c r="S508" s="50"/>
      <c r="T508" s="61"/>
      <c r="U508" s="61"/>
      <c r="V508" s="61"/>
      <c r="W508" s="61"/>
      <c r="X508" s="61"/>
      <c r="Y508" s="61"/>
      <c r="Z508" s="52"/>
      <c r="AA508" s="52"/>
      <c r="AB508" s="52"/>
      <c r="AC508" s="52"/>
      <c r="AD508" s="53"/>
      <c r="AE508" s="53"/>
      <c r="AF508" s="53"/>
    </row>
    <row r="509">
      <c r="G509" s="55"/>
      <c r="H509" s="54"/>
      <c r="I509" s="54"/>
      <c r="J509" s="54"/>
      <c r="K509" s="54"/>
      <c r="L509" s="54"/>
      <c r="M509" s="54"/>
      <c r="N509" s="59"/>
      <c r="O509" s="61"/>
      <c r="P509" s="61"/>
      <c r="Q509" s="61"/>
      <c r="R509" s="50"/>
      <c r="S509" s="50"/>
      <c r="T509" s="61"/>
      <c r="U509" s="61"/>
      <c r="V509" s="61"/>
      <c r="W509" s="61"/>
      <c r="X509" s="61"/>
      <c r="Y509" s="61"/>
      <c r="Z509" s="52"/>
      <c r="AA509" s="52"/>
      <c r="AB509" s="52"/>
      <c r="AC509" s="52"/>
      <c r="AD509" s="53"/>
      <c r="AE509" s="53"/>
      <c r="AF509" s="53"/>
    </row>
    <row r="510">
      <c r="G510" s="55"/>
      <c r="H510" s="54"/>
      <c r="I510" s="54"/>
      <c r="J510" s="54"/>
      <c r="K510" s="54"/>
      <c r="L510" s="54"/>
      <c r="M510" s="54"/>
      <c r="N510" s="59"/>
      <c r="O510" s="61"/>
      <c r="P510" s="61"/>
      <c r="Q510" s="61"/>
      <c r="R510" s="50"/>
      <c r="S510" s="50"/>
      <c r="T510" s="61"/>
      <c r="U510" s="61"/>
      <c r="V510" s="61"/>
      <c r="W510" s="61"/>
      <c r="X510" s="61"/>
      <c r="Y510" s="61"/>
      <c r="Z510" s="52"/>
      <c r="AA510" s="52"/>
      <c r="AB510" s="52"/>
      <c r="AC510" s="52"/>
      <c r="AD510" s="53"/>
      <c r="AE510" s="53"/>
      <c r="AF510" s="53"/>
    </row>
    <row r="511">
      <c r="G511" s="55"/>
      <c r="H511" s="54"/>
      <c r="I511" s="54"/>
      <c r="J511" s="54"/>
      <c r="K511" s="54"/>
      <c r="L511" s="54"/>
      <c r="M511" s="54"/>
      <c r="N511" s="59"/>
      <c r="O511" s="61"/>
      <c r="P511" s="61"/>
      <c r="Q511" s="61"/>
      <c r="R511" s="50"/>
      <c r="S511" s="50"/>
      <c r="T511" s="61"/>
      <c r="U511" s="61"/>
      <c r="V511" s="61"/>
      <c r="W511" s="61"/>
      <c r="X511" s="61"/>
      <c r="Y511" s="61"/>
      <c r="Z511" s="52"/>
      <c r="AA511" s="52"/>
      <c r="AB511" s="52"/>
      <c r="AC511" s="52"/>
      <c r="AD511" s="53"/>
      <c r="AE511" s="53"/>
      <c r="AF511" s="53"/>
    </row>
    <row r="512">
      <c r="G512" s="55"/>
      <c r="H512" s="54"/>
      <c r="I512" s="54"/>
      <c r="J512" s="54"/>
      <c r="K512" s="54"/>
      <c r="L512" s="54"/>
      <c r="M512" s="54"/>
      <c r="N512" s="59"/>
      <c r="O512" s="61"/>
      <c r="P512" s="61"/>
      <c r="Q512" s="61"/>
      <c r="R512" s="50"/>
      <c r="S512" s="50"/>
      <c r="T512" s="61"/>
      <c r="U512" s="61"/>
      <c r="V512" s="61"/>
      <c r="W512" s="61"/>
      <c r="X512" s="61"/>
      <c r="Y512" s="61"/>
      <c r="Z512" s="52"/>
      <c r="AA512" s="52"/>
      <c r="AB512" s="52"/>
      <c r="AC512" s="52"/>
      <c r="AD512" s="53"/>
      <c r="AE512" s="53"/>
      <c r="AF512" s="53"/>
    </row>
    <row r="513">
      <c r="G513" s="55"/>
      <c r="H513" s="54"/>
      <c r="I513" s="54"/>
      <c r="J513" s="54"/>
      <c r="K513" s="54"/>
      <c r="L513" s="54"/>
      <c r="M513" s="54"/>
      <c r="N513" s="59"/>
      <c r="O513" s="61"/>
      <c r="P513" s="61"/>
      <c r="Q513" s="61"/>
      <c r="R513" s="50"/>
      <c r="S513" s="50"/>
      <c r="T513" s="61"/>
      <c r="U513" s="61"/>
      <c r="V513" s="61"/>
      <c r="W513" s="61"/>
      <c r="X513" s="61"/>
      <c r="Y513" s="61"/>
      <c r="Z513" s="52"/>
      <c r="AA513" s="52"/>
      <c r="AB513" s="52"/>
      <c r="AC513" s="52"/>
      <c r="AD513" s="53"/>
      <c r="AE513" s="53"/>
      <c r="AF513" s="53"/>
    </row>
    <row r="514">
      <c r="G514" s="55"/>
      <c r="H514" s="54"/>
      <c r="I514" s="54"/>
      <c r="J514" s="54"/>
      <c r="K514" s="54"/>
      <c r="L514" s="54"/>
      <c r="M514" s="54"/>
      <c r="N514" s="59"/>
      <c r="O514" s="61"/>
      <c r="P514" s="61"/>
      <c r="Q514" s="61"/>
      <c r="R514" s="50"/>
      <c r="S514" s="50"/>
      <c r="T514" s="61"/>
      <c r="U514" s="61"/>
      <c r="V514" s="61"/>
      <c r="W514" s="61"/>
      <c r="X514" s="61"/>
      <c r="Y514" s="61"/>
      <c r="Z514" s="52"/>
      <c r="AA514" s="52"/>
      <c r="AB514" s="52"/>
      <c r="AC514" s="52"/>
      <c r="AD514" s="53"/>
      <c r="AE514" s="53"/>
      <c r="AF514" s="53"/>
    </row>
    <row r="515">
      <c r="G515" s="55"/>
      <c r="H515" s="54"/>
      <c r="I515" s="54"/>
      <c r="J515" s="54"/>
      <c r="K515" s="54"/>
      <c r="L515" s="54"/>
      <c r="M515" s="54"/>
      <c r="N515" s="59"/>
      <c r="O515" s="61"/>
      <c r="P515" s="61"/>
      <c r="Q515" s="61"/>
      <c r="R515" s="50"/>
      <c r="S515" s="50"/>
      <c r="T515" s="61"/>
      <c r="U515" s="61"/>
      <c r="V515" s="61"/>
      <c r="W515" s="61"/>
      <c r="X515" s="61"/>
      <c r="Y515" s="61"/>
      <c r="Z515" s="52"/>
      <c r="AA515" s="52"/>
      <c r="AB515" s="52"/>
      <c r="AC515" s="52"/>
      <c r="AD515" s="53"/>
      <c r="AE515" s="53"/>
      <c r="AF515" s="53"/>
    </row>
    <row r="516">
      <c r="G516" s="55"/>
      <c r="H516" s="54"/>
      <c r="I516" s="54"/>
      <c r="J516" s="54"/>
      <c r="K516" s="54"/>
      <c r="L516" s="54"/>
      <c r="M516" s="54"/>
      <c r="N516" s="59"/>
      <c r="O516" s="61"/>
      <c r="P516" s="61"/>
      <c r="Q516" s="61"/>
      <c r="R516" s="50"/>
      <c r="S516" s="50"/>
      <c r="T516" s="61"/>
      <c r="U516" s="61"/>
      <c r="V516" s="61"/>
      <c r="W516" s="61"/>
      <c r="X516" s="61"/>
      <c r="Y516" s="61"/>
      <c r="Z516" s="52"/>
      <c r="AA516" s="52"/>
      <c r="AB516" s="52"/>
      <c r="AC516" s="52"/>
      <c r="AD516" s="53"/>
      <c r="AE516" s="53"/>
      <c r="AF516" s="53"/>
    </row>
    <row r="517">
      <c r="G517" s="55"/>
      <c r="H517" s="54"/>
      <c r="I517" s="54"/>
      <c r="J517" s="54"/>
      <c r="K517" s="54"/>
      <c r="L517" s="54"/>
      <c r="M517" s="54"/>
      <c r="N517" s="59"/>
      <c r="O517" s="61"/>
      <c r="P517" s="61"/>
      <c r="Q517" s="61"/>
      <c r="R517" s="50"/>
      <c r="S517" s="50"/>
      <c r="T517" s="61"/>
      <c r="U517" s="61"/>
      <c r="V517" s="61"/>
      <c r="W517" s="61"/>
      <c r="X517" s="61"/>
      <c r="Y517" s="61"/>
      <c r="Z517" s="52"/>
      <c r="AA517" s="52"/>
      <c r="AB517" s="52"/>
      <c r="AC517" s="52"/>
      <c r="AD517" s="53"/>
      <c r="AE517" s="53"/>
      <c r="AF517" s="53"/>
    </row>
    <row r="518">
      <c r="G518" s="55"/>
      <c r="H518" s="54"/>
      <c r="I518" s="54"/>
      <c r="J518" s="54"/>
      <c r="K518" s="54"/>
      <c r="L518" s="54"/>
      <c r="M518" s="54"/>
      <c r="N518" s="59"/>
      <c r="O518" s="61"/>
      <c r="P518" s="61"/>
      <c r="Q518" s="61"/>
      <c r="R518" s="50"/>
      <c r="S518" s="50"/>
      <c r="T518" s="61"/>
      <c r="U518" s="61"/>
      <c r="V518" s="61"/>
      <c r="W518" s="61"/>
      <c r="X518" s="61"/>
      <c r="Y518" s="61"/>
      <c r="Z518" s="52"/>
      <c r="AA518" s="52"/>
      <c r="AB518" s="52"/>
      <c r="AC518" s="52"/>
      <c r="AD518" s="53"/>
      <c r="AE518" s="53"/>
      <c r="AF518" s="53"/>
    </row>
    <row r="519">
      <c r="G519" s="55"/>
      <c r="H519" s="54"/>
      <c r="I519" s="54"/>
      <c r="J519" s="54"/>
      <c r="K519" s="54"/>
      <c r="L519" s="54"/>
      <c r="M519" s="54"/>
      <c r="N519" s="59"/>
      <c r="O519" s="61"/>
      <c r="P519" s="61"/>
      <c r="Q519" s="61"/>
      <c r="R519" s="50"/>
      <c r="S519" s="50"/>
      <c r="T519" s="61"/>
      <c r="U519" s="61"/>
      <c r="V519" s="61"/>
      <c r="W519" s="61"/>
      <c r="X519" s="61"/>
      <c r="Y519" s="61"/>
      <c r="Z519" s="52"/>
      <c r="AA519" s="52"/>
      <c r="AB519" s="52"/>
      <c r="AC519" s="52"/>
      <c r="AD519" s="53"/>
      <c r="AE519" s="53"/>
      <c r="AF519" s="53"/>
    </row>
    <row r="520">
      <c r="G520" s="55"/>
      <c r="H520" s="54"/>
      <c r="I520" s="54"/>
      <c r="J520" s="54"/>
      <c r="K520" s="54"/>
      <c r="L520" s="54"/>
      <c r="M520" s="54"/>
      <c r="N520" s="59"/>
      <c r="O520" s="61"/>
      <c r="P520" s="61"/>
      <c r="Q520" s="61"/>
      <c r="R520" s="50"/>
      <c r="S520" s="50"/>
      <c r="T520" s="61"/>
      <c r="U520" s="61"/>
      <c r="V520" s="61"/>
      <c r="W520" s="61"/>
      <c r="X520" s="61"/>
      <c r="Y520" s="61"/>
      <c r="Z520" s="52"/>
      <c r="AA520" s="52"/>
      <c r="AB520" s="52"/>
      <c r="AC520" s="52"/>
      <c r="AD520" s="53"/>
      <c r="AE520" s="53"/>
      <c r="AF520" s="53"/>
    </row>
    <row r="521">
      <c r="G521" s="55"/>
      <c r="H521" s="54"/>
      <c r="I521" s="54"/>
      <c r="J521" s="54"/>
      <c r="K521" s="54"/>
      <c r="L521" s="54"/>
      <c r="M521" s="54"/>
      <c r="N521" s="59"/>
      <c r="O521" s="61"/>
      <c r="P521" s="61"/>
      <c r="Q521" s="61"/>
      <c r="R521" s="50"/>
      <c r="S521" s="50"/>
      <c r="T521" s="61"/>
      <c r="U521" s="61"/>
      <c r="V521" s="61"/>
      <c r="W521" s="61"/>
      <c r="X521" s="61"/>
      <c r="Y521" s="61"/>
      <c r="Z521" s="52"/>
      <c r="AA521" s="52"/>
      <c r="AB521" s="52"/>
      <c r="AC521" s="52"/>
      <c r="AD521" s="53"/>
      <c r="AE521" s="53"/>
      <c r="AF521" s="53"/>
    </row>
    <row r="522">
      <c r="G522" s="55"/>
      <c r="H522" s="54"/>
      <c r="I522" s="54"/>
      <c r="J522" s="54"/>
      <c r="K522" s="54"/>
      <c r="L522" s="54"/>
      <c r="M522" s="54"/>
      <c r="N522" s="59"/>
      <c r="O522" s="61"/>
      <c r="P522" s="61"/>
      <c r="Q522" s="61"/>
      <c r="R522" s="50"/>
      <c r="S522" s="50"/>
      <c r="T522" s="61"/>
      <c r="U522" s="61"/>
      <c r="V522" s="61"/>
      <c r="W522" s="61"/>
      <c r="X522" s="61"/>
      <c r="Y522" s="61"/>
      <c r="Z522" s="52"/>
      <c r="AA522" s="52"/>
      <c r="AB522" s="52"/>
      <c r="AC522" s="52"/>
      <c r="AD522" s="53"/>
      <c r="AE522" s="53"/>
      <c r="AF522" s="53"/>
    </row>
    <row r="523">
      <c r="G523" s="55"/>
      <c r="H523" s="54"/>
      <c r="I523" s="54"/>
      <c r="J523" s="54"/>
      <c r="K523" s="54"/>
      <c r="L523" s="54"/>
      <c r="M523" s="54"/>
      <c r="N523" s="59"/>
      <c r="O523" s="61"/>
      <c r="P523" s="61"/>
      <c r="Q523" s="61"/>
      <c r="R523" s="50"/>
      <c r="S523" s="50"/>
      <c r="T523" s="61"/>
      <c r="U523" s="61"/>
      <c r="V523" s="61"/>
      <c r="W523" s="61"/>
      <c r="X523" s="61"/>
      <c r="Y523" s="61"/>
      <c r="Z523" s="52"/>
      <c r="AA523" s="52"/>
      <c r="AB523" s="52"/>
      <c r="AC523" s="52"/>
      <c r="AD523" s="53"/>
      <c r="AE523" s="53"/>
      <c r="AF523" s="53"/>
    </row>
    <row r="524">
      <c r="G524" s="55"/>
      <c r="H524" s="54"/>
      <c r="I524" s="54"/>
      <c r="J524" s="54"/>
      <c r="K524" s="54"/>
      <c r="L524" s="54"/>
      <c r="M524" s="54"/>
      <c r="N524" s="59"/>
      <c r="O524" s="61"/>
      <c r="P524" s="61"/>
      <c r="Q524" s="61"/>
      <c r="R524" s="50"/>
      <c r="S524" s="50"/>
      <c r="T524" s="61"/>
      <c r="U524" s="61"/>
      <c r="V524" s="61"/>
      <c r="W524" s="61"/>
      <c r="X524" s="61"/>
      <c r="Y524" s="61"/>
      <c r="Z524" s="52"/>
      <c r="AA524" s="52"/>
      <c r="AB524" s="52"/>
      <c r="AC524" s="52"/>
      <c r="AD524" s="53"/>
      <c r="AE524" s="53"/>
      <c r="AF524" s="53"/>
    </row>
    <row r="525">
      <c r="G525" s="55"/>
      <c r="H525" s="54"/>
      <c r="I525" s="54"/>
      <c r="J525" s="54"/>
      <c r="K525" s="54"/>
      <c r="L525" s="54"/>
      <c r="M525" s="54"/>
      <c r="N525" s="59"/>
      <c r="O525" s="61"/>
      <c r="P525" s="61"/>
      <c r="Q525" s="61"/>
      <c r="R525" s="50"/>
      <c r="S525" s="50"/>
      <c r="T525" s="61"/>
      <c r="U525" s="61"/>
      <c r="V525" s="61"/>
      <c r="W525" s="61"/>
      <c r="X525" s="61"/>
      <c r="Y525" s="61"/>
      <c r="Z525" s="52"/>
      <c r="AA525" s="52"/>
      <c r="AB525" s="52"/>
      <c r="AC525" s="52"/>
      <c r="AD525" s="53"/>
      <c r="AE525" s="53"/>
      <c r="AF525" s="53"/>
    </row>
    <row r="526">
      <c r="G526" s="55"/>
      <c r="H526" s="54"/>
      <c r="I526" s="54"/>
      <c r="J526" s="54"/>
      <c r="K526" s="54"/>
      <c r="L526" s="54"/>
      <c r="M526" s="54"/>
      <c r="N526" s="59"/>
      <c r="O526" s="61"/>
      <c r="P526" s="61"/>
      <c r="Q526" s="61"/>
      <c r="R526" s="50"/>
      <c r="S526" s="50"/>
      <c r="T526" s="61"/>
      <c r="U526" s="61"/>
      <c r="V526" s="61"/>
      <c r="W526" s="61"/>
      <c r="X526" s="61"/>
      <c r="Y526" s="61"/>
      <c r="Z526" s="52"/>
      <c r="AA526" s="52"/>
      <c r="AB526" s="52"/>
      <c r="AC526" s="52"/>
      <c r="AD526" s="53"/>
      <c r="AE526" s="53"/>
      <c r="AF526" s="53"/>
    </row>
    <row r="527">
      <c r="G527" s="55"/>
      <c r="H527" s="54"/>
      <c r="I527" s="54"/>
      <c r="J527" s="54"/>
      <c r="K527" s="54"/>
      <c r="L527" s="54"/>
      <c r="M527" s="54"/>
      <c r="N527" s="59"/>
      <c r="O527" s="61"/>
      <c r="P527" s="61"/>
      <c r="Q527" s="61"/>
      <c r="R527" s="50"/>
      <c r="S527" s="50"/>
      <c r="T527" s="61"/>
      <c r="U527" s="61"/>
      <c r="V527" s="61"/>
      <c r="W527" s="61"/>
      <c r="X527" s="61"/>
      <c r="Y527" s="61"/>
      <c r="Z527" s="52"/>
      <c r="AA527" s="52"/>
      <c r="AB527" s="52"/>
      <c r="AC527" s="52"/>
      <c r="AD527" s="53"/>
      <c r="AE527" s="53"/>
      <c r="AF527" s="53"/>
    </row>
    <row r="528">
      <c r="G528" s="55"/>
      <c r="H528" s="54"/>
      <c r="I528" s="54"/>
      <c r="J528" s="54"/>
      <c r="K528" s="54"/>
      <c r="L528" s="54"/>
      <c r="M528" s="54"/>
      <c r="N528" s="59"/>
      <c r="O528" s="61"/>
      <c r="P528" s="61"/>
      <c r="Q528" s="61"/>
      <c r="R528" s="50"/>
      <c r="S528" s="50"/>
      <c r="T528" s="61"/>
      <c r="U528" s="61"/>
      <c r="V528" s="61"/>
      <c r="W528" s="61"/>
      <c r="X528" s="61"/>
      <c r="Y528" s="61"/>
      <c r="Z528" s="52"/>
      <c r="AA528" s="52"/>
      <c r="AB528" s="52"/>
      <c r="AC528" s="52"/>
      <c r="AD528" s="53"/>
      <c r="AE528" s="53"/>
      <c r="AF528" s="53"/>
    </row>
    <row r="529">
      <c r="G529" s="55"/>
      <c r="H529" s="54"/>
      <c r="I529" s="54"/>
      <c r="J529" s="54"/>
      <c r="K529" s="54"/>
      <c r="L529" s="54"/>
      <c r="M529" s="54"/>
      <c r="N529" s="59"/>
      <c r="O529" s="61"/>
      <c r="P529" s="61"/>
      <c r="Q529" s="61"/>
      <c r="R529" s="50"/>
      <c r="S529" s="50"/>
      <c r="T529" s="61"/>
      <c r="U529" s="61"/>
      <c r="V529" s="61"/>
      <c r="W529" s="61"/>
      <c r="X529" s="61"/>
      <c r="Y529" s="61"/>
      <c r="Z529" s="52"/>
      <c r="AA529" s="52"/>
      <c r="AB529" s="52"/>
      <c r="AC529" s="52"/>
      <c r="AD529" s="53"/>
      <c r="AE529" s="53"/>
      <c r="AF529" s="53"/>
    </row>
    <row r="530">
      <c r="G530" s="55"/>
      <c r="H530" s="54"/>
      <c r="I530" s="54"/>
      <c r="J530" s="54"/>
      <c r="K530" s="54"/>
      <c r="L530" s="54"/>
      <c r="M530" s="54"/>
      <c r="N530" s="59"/>
      <c r="O530" s="61"/>
      <c r="P530" s="61"/>
      <c r="Q530" s="61"/>
      <c r="R530" s="50"/>
      <c r="S530" s="50"/>
      <c r="T530" s="61"/>
      <c r="U530" s="61"/>
      <c r="V530" s="61"/>
      <c r="W530" s="61"/>
      <c r="X530" s="61"/>
      <c r="Y530" s="61"/>
      <c r="Z530" s="52"/>
      <c r="AA530" s="52"/>
      <c r="AB530" s="52"/>
      <c r="AC530" s="52"/>
      <c r="AD530" s="53"/>
      <c r="AE530" s="53"/>
      <c r="AF530" s="53"/>
    </row>
    <row r="531">
      <c r="G531" s="55"/>
      <c r="H531" s="54"/>
      <c r="I531" s="54"/>
      <c r="J531" s="54"/>
      <c r="K531" s="54"/>
      <c r="L531" s="54"/>
      <c r="M531" s="54"/>
      <c r="N531" s="59"/>
      <c r="O531" s="61"/>
      <c r="P531" s="61"/>
      <c r="Q531" s="61"/>
      <c r="R531" s="50"/>
      <c r="S531" s="50"/>
      <c r="T531" s="61"/>
      <c r="U531" s="61"/>
      <c r="V531" s="61"/>
      <c r="W531" s="61"/>
      <c r="X531" s="61"/>
      <c r="Y531" s="61"/>
      <c r="Z531" s="52"/>
      <c r="AA531" s="52"/>
      <c r="AB531" s="52"/>
      <c r="AC531" s="52"/>
      <c r="AD531" s="53"/>
      <c r="AE531" s="53"/>
      <c r="AF531" s="53"/>
    </row>
    <row r="532">
      <c r="G532" s="55"/>
      <c r="H532" s="54"/>
      <c r="I532" s="54"/>
      <c r="J532" s="54"/>
      <c r="K532" s="54"/>
      <c r="L532" s="54"/>
      <c r="M532" s="54"/>
      <c r="N532" s="59"/>
      <c r="O532" s="61"/>
      <c r="P532" s="61"/>
      <c r="Q532" s="61"/>
      <c r="R532" s="50"/>
      <c r="S532" s="50"/>
      <c r="T532" s="61"/>
      <c r="U532" s="61"/>
      <c r="V532" s="61"/>
      <c r="W532" s="61"/>
      <c r="X532" s="61"/>
      <c r="Y532" s="61"/>
      <c r="Z532" s="52"/>
      <c r="AA532" s="52"/>
      <c r="AB532" s="52"/>
      <c r="AC532" s="52"/>
      <c r="AD532" s="53"/>
      <c r="AE532" s="53"/>
      <c r="AF532" s="53"/>
    </row>
    <row r="533">
      <c r="G533" s="55"/>
      <c r="H533" s="54"/>
      <c r="I533" s="54"/>
      <c r="J533" s="54"/>
      <c r="K533" s="54"/>
      <c r="L533" s="54"/>
      <c r="M533" s="54"/>
      <c r="N533" s="59"/>
      <c r="O533" s="61"/>
      <c r="P533" s="61"/>
      <c r="Q533" s="61"/>
      <c r="R533" s="50"/>
      <c r="S533" s="50"/>
      <c r="T533" s="61"/>
      <c r="U533" s="61"/>
      <c r="V533" s="61"/>
      <c r="W533" s="61"/>
      <c r="X533" s="61"/>
      <c r="Y533" s="61"/>
      <c r="Z533" s="52"/>
      <c r="AA533" s="52"/>
      <c r="AB533" s="52"/>
      <c r="AC533" s="52"/>
      <c r="AD533" s="53"/>
      <c r="AE533" s="53"/>
      <c r="AF533" s="53"/>
    </row>
    <row r="534">
      <c r="G534" s="55"/>
      <c r="H534" s="54"/>
      <c r="I534" s="54"/>
      <c r="J534" s="54"/>
      <c r="K534" s="54"/>
      <c r="L534" s="54"/>
      <c r="M534" s="54"/>
      <c r="N534" s="59"/>
      <c r="O534" s="61"/>
      <c r="P534" s="61"/>
      <c r="Q534" s="61"/>
      <c r="R534" s="50"/>
      <c r="S534" s="50"/>
      <c r="T534" s="61"/>
      <c r="U534" s="61"/>
      <c r="V534" s="61"/>
      <c r="W534" s="61"/>
      <c r="X534" s="61"/>
      <c r="Y534" s="61"/>
      <c r="Z534" s="52"/>
      <c r="AA534" s="52"/>
      <c r="AB534" s="52"/>
      <c r="AC534" s="52"/>
      <c r="AD534" s="53"/>
      <c r="AE534" s="53"/>
      <c r="AF534" s="53"/>
    </row>
    <row r="535">
      <c r="G535" s="55"/>
      <c r="H535" s="54"/>
      <c r="I535" s="54"/>
      <c r="J535" s="54"/>
      <c r="K535" s="54"/>
      <c r="L535" s="54"/>
      <c r="M535" s="54"/>
      <c r="N535" s="59"/>
      <c r="O535" s="61"/>
      <c r="P535" s="61"/>
      <c r="Q535" s="61"/>
      <c r="R535" s="50"/>
      <c r="S535" s="50"/>
      <c r="T535" s="61"/>
      <c r="U535" s="61"/>
      <c r="V535" s="61"/>
      <c r="W535" s="61"/>
      <c r="X535" s="61"/>
      <c r="Y535" s="61"/>
      <c r="Z535" s="52"/>
      <c r="AA535" s="52"/>
      <c r="AB535" s="52"/>
      <c r="AC535" s="52"/>
      <c r="AD535" s="53"/>
      <c r="AE535" s="53"/>
      <c r="AF535" s="53"/>
    </row>
    <row r="536">
      <c r="G536" s="55"/>
      <c r="H536" s="54"/>
      <c r="I536" s="54"/>
      <c r="J536" s="54"/>
      <c r="K536" s="54"/>
      <c r="L536" s="54"/>
      <c r="M536" s="54"/>
      <c r="N536" s="59"/>
      <c r="O536" s="61"/>
      <c r="P536" s="61"/>
      <c r="Q536" s="61"/>
      <c r="R536" s="50"/>
      <c r="S536" s="50"/>
      <c r="T536" s="61"/>
      <c r="U536" s="61"/>
      <c r="V536" s="61"/>
      <c r="W536" s="61"/>
      <c r="X536" s="61"/>
      <c r="Y536" s="61"/>
      <c r="Z536" s="52"/>
      <c r="AA536" s="52"/>
      <c r="AB536" s="52"/>
      <c r="AC536" s="52"/>
      <c r="AD536" s="53"/>
      <c r="AE536" s="53"/>
      <c r="AF536" s="53"/>
    </row>
    <row r="537">
      <c r="G537" s="55"/>
      <c r="H537" s="54"/>
      <c r="I537" s="54"/>
      <c r="J537" s="54"/>
      <c r="K537" s="54"/>
      <c r="L537" s="54"/>
      <c r="M537" s="54"/>
      <c r="N537" s="59"/>
      <c r="O537" s="61"/>
      <c r="P537" s="61"/>
      <c r="Q537" s="61"/>
      <c r="R537" s="50"/>
      <c r="S537" s="50"/>
      <c r="T537" s="61"/>
      <c r="U537" s="61"/>
      <c r="V537" s="61"/>
      <c r="W537" s="61"/>
      <c r="X537" s="61"/>
      <c r="Y537" s="61"/>
      <c r="Z537" s="52"/>
      <c r="AA537" s="52"/>
      <c r="AB537" s="52"/>
      <c r="AC537" s="52"/>
      <c r="AD537" s="53"/>
      <c r="AE537" s="53"/>
      <c r="AF537" s="53"/>
    </row>
    <row r="538">
      <c r="G538" s="55"/>
      <c r="H538" s="54"/>
      <c r="I538" s="54"/>
      <c r="J538" s="54"/>
      <c r="K538" s="54"/>
      <c r="L538" s="54"/>
      <c r="M538" s="54"/>
      <c r="N538" s="59"/>
      <c r="O538" s="61"/>
      <c r="P538" s="61"/>
      <c r="Q538" s="61"/>
      <c r="R538" s="50"/>
      <c r="S538" s="50"/>
      <c r="T538" s="61"/>
      <c r="U538" s="61"/>
      <c r="V538" s="61"/>
      <c r="W538" s="61"/>
      <c r="X538" s="61"/>
      <c r="Y538" s="61"/>
      <c r="Z538" s="52"/>
      <c r="AA538" s="52"/>
      <c r="AB538" s="52"/>
      <c r="AC538" s="52"/>
      <c r="AD538" s="53"/>
      <c r="AE538" s="53"/>
      <c r="AF538" s="53"/>
    </row>
    <row r="539">
      <c r="G539" s="55"/>
      <c r="H539" s="54"/>
      <c r="I539" s="54"/>
      <c r="J539" s="54"/>
      <c r="K539" s="54"/>
      <c r="L539" s="54"/>
      <c r="M539" s="54"/>
      <c r="N539" s="59"/>
      <c r="O539" s="61"/>
      <c r="P539" s="61"/>
      <c r="Q539" s="61"/>
      <c r="R539" s="50"/>
      <c r="S539" s="50"/>
      <c r="T539" s="61"/>
      <c r="U539" s="61"/>
      <c r="V539" s="61"/>
      <c r="W539" s="61"/>
      <c r="X539" s="61"/>
      <c r="Y539" s="61"/>
      <c r="Z539" s="52"/>
      <c r="AA539" s="52"/>
      <c r="AB539" s="52"/>
      <c r="AC539" s="52"/>
      <c r="AD539" s="53"/>
      <c r="AE539" s="53"/>
      <c r="AF539" s="53"/>
    </row>
    <row r="540">
      <c r="G540" s="55"/>
      <c r="H540" s="54"/>
      <c r="I540" s="54"/>
      <c r="J540" s="54"/>
      <c r="K540" s="54"/>
      <c r="L540" s="54"/>
      <c r="M540" s="54"/>
      <c r="N540" s="59"/>
      <c r="O540" s="61"/>
      <c r="P540" s="61"/>
      <c r="Q540" s="61"/>
      <c r="R540" s="50"/>
      <c r="S540" s="50"/>
      <c r="T540" s="61"/>
      <c r="U540" s="61"/>
      <c r="V540" s="61"/>
      <c r="W540" s="61"/>
      <c r="X540" s="61"/>
      <c r="Y540" s="61"/>
      <c r="Z540" s="52"/>
      <c r="AA540" s="52"/>
      <c r="AB540" s="52"/>
      <c r="AC540" s="52"/>
      <c r="AD540" s="53"/>
      <c r="AE540" s="53"/>
      <c r="AF540" s="53"/>
    </row>
    <row r="541">
      <c r="G541" s="55"/>
      <c r="H541" s="54"/>
      <c r="I541" s="54"/>
      <c r="J541" s="54"/>
      <c r="K541" s="54"/>
      <c r="L541" s="54"/>
      <c r="M541" s="54"/>
      <c r="N541" s="59"/>
      <c r="O541" s="61"/>
      <c r="P541" s="61"/>
      <c r="Q541" s="61"/>
      <c r="R541" s="50"/>
      <c r="S541" s="50"/>
      <c r="T541" s="61"/>
      <c r="U541" s="61"/>
      <c r="V541" s="61"/>
      <c r="W541" s="61"/>
      <c r="X541" s="61"/>
      <c r="Y541" s="61"/>
      <c r="Z541" s="52"/>
      <c r="AA541" s="52"/>
      <c r="AB541" s="52"/>
      <c r="AC541" s="52"/>
      <c r="AD541" s="53"/>
      <c r="AE541" s="53"/>
      <c r="AF541" s="53"/>
    </row>
    <row r="542">
      <c r="G542" s="55"/>
      <c r="H542" s="54"/>
      <c r="I542" s="54"/>
      <c r="J542" s="54"/>
      <c r="K542" s="54"/>
      <c r="L542" s="54"/>
      <c r="M542" s="54"/>
      <c r="N542" s="59"/>
      <c r="O542" s="61"/>
      <c r="P542" s="61"/>
      <c r="Q542" s="61"/>
      <c r="R542" s="50"/>
      <c r="S542" s="50"/>
      <c r="T542" s="61"/>
      <c r="U542" s="61"/>
      <c r="V542" s="61"/>
      <c r="W542" s="61"/>
      <c r="X542" s="61"/>
      <c r="Y542" s="61"/>
      <c r="Z542" s="52"/>
      <c r="AA542" s="52"/>
      <c r="AB542" s="52"/>
      <c r="AC542" s="52"/>
      <c r="AD542" s="53"/>
      <c r="AE542" s="53"/>
      <c r="AF542" s="53"/>
    </row>
    <row r="543">
      <c r="G543" s="55"/>
      <c r="H543" s="54"/>
      <c r="I543" s="54"/>
      <c r="J543" s="54"/>
      <c r="K543" s="54"/>
      <c r="L543" s="54"/>
      <c r="M543" s="54"/>
      <c r="N543" s="59"/>
      <c r="O543" s="61"/>
      <c r="P543" s="61"/>
      <c r="Q543" s="61"/>
      <c r="R543" s="50"/>
      <c r="S543" s="50"/>
      <c r="T543" s="61"/>
      <c r="U543" s="61"/>
      <c r="V543" s="61"/>
      <c r="W543" s="61"/>
      <c r="X543" s="61"/>
      <c r="Y543" s="61"/>
      <c r="Z543" s="52"/>
      <c r="AA543" s="52"/>
      <c r="AB543" s="52"/>
      <c r="AC543" s="52"/>
      <c r="AD543" s="53"/>
      <c r="AE543" s="53"/>
      <c r="AF543" s="53"/>
    </row>
    <row r="544">
      <c r="G544" s="55"/>
      <c r="H544" s="54"/>
      <c r="I544" s="54"/>
      <c r="J544" s="54"/>
      <c r="K544" s="54"/>
      <c r="L544" s="54"/>
      <c r="M544" s="54"/>
      <c r="N544" s="59"/>
      <c r="O544" s="61"/>
      <c r="P544" s="61"/>
      <c r="Q544" s="61"/>
      <c r="R544" s="50"/>
      <c r="S544" s="50"/>
      <c r="T544" s="61"/>
      <c r="U544" s="61"/>
      <c r="V544" s="61"/>
      <c r="W544" s="61"/>
      <c r="X544" s="61"/>
      <c r="Y544" s="61"/>
      <c r="Z544" s="52"/>
      <c r="AA544" s="52"/>
      <c r="AB544" s="52"/>
      <c r="AC544" s="52"/>
      <c r="AD544" s="53"/>
      <c r="AE544" s="53"/>
      <c r="AF544" s="53"/>
    </row>
    <row r="545">
      <c r="G545" s="55"/>
      <c r="H545" s="54"/>
      <c r="I545" s="54"/>
      <c r="J545" s="54"/>
      <c r="K545" s="54"/>
      <c r="L545" s="54"/>
      <c r="M545" s="54"/>
      <c r="N545" s="59"/>
      <c r="O545" s="61"/>
      <c r="P545" s="61"/>
      <c r="Q545" s="61"/>
      <c r="R545" s="50"/>
      <c r="S545" s="50"/>
      <c r="T545" s="61"/>
      <c r="U545" s="61"/>
      <c r="V545" s="61"/>
      <c r="W545" s="61"/>
      <c r="X545" s="61"/>
      <c r="Y545" s="61"/>
      <c r="Z545" s="52"/>
      <c r="AA545" s="52"/>
      <c r="AB545" s="52"/>
      <c r="AC545" s="52"/>
      <c r="AD545" s="53"/>
      <c r="AE545" s="53"/>
      <c r="AF545" s="53"/>
    </row>
    <row r="546">
      <c r="G546" s="55"/>
      <c r="H546" s="54"/>
      <c r="I546" s="54"/>
      <c r="J546" s="54"/>
      <c r="K546" s="54"/>
      <c r="L546" s="54"/>
      <c r="M546" s="54"/>
      <c r="N546" s="59"/>
      <c r="O546" s="61"/>
      <c r="P546" s="61"/>
      <c r="Q546" s="61"/>
      <c r="R546" s="50"/>
      <c r="S546" s="50"/>
      <c r="T546" s="61"/>
      <c r="U546" s="61"/>
      <c r="V546" s="61"/>
      <c r="W546" s="61"/>
      <c r="X546" s="61"/>
      <c r="Y546" s="61"/>
      <c r="Z546" s="52"/>
      <c r="AA546" s="52"/>
      <c r="AB546" s="52"/>
      <c r="AC546" s="52"/>
      <c r="AD546" s="53"/>
      <c r="AE546" s="53"/>
      <c r="AF546" s="53"/>
    </row>
    <row r="547">
      <c r="G547" s="55"/>
      <c r="H547" s="54"/>
      <c r="I547" s="54"/>
      <c r="J547" s="54"/>
      <c r="K547" s="54"/>
      <c r="L547" s="54"/>
      <c r="M547" s="54"/>
      <c r="N547" s="59"/>
      <c r="O547" s="61"/>
      <c r="P547" s="61"/>
      <c r="Q547" s="61"/>
      <c r="R547" s="50"/>
      <c r="S547" s="50"/>
      <c r="T547" s="61"/>
      <c r="U547" s="61"/>
      <c r="V547" s="61"/>
      <c r="W547" s="61"/>
      <c r="X547" s="61"/>
      <c r="Y547" s="61"/>
      <c r="Z547" s="52"/>
      <c r="AA547" s="52"/>
      <c r="AB547" s="52"/>
      <c r="AC547" s="52"/>
      <c r="AD547" s="53"/>
      <c r="AE547" s="53"/>
      <c r="AF547" s="53"/>
    </row>
    <row r="548">
      <c r="G548" s="55"/>
      <c r="H548" s="54"/>
      <c r="I548" s="54"/>
      <c r="J548" s="54"/>
      <c r="K548" s="54"/>
      <c r="L548" s="54"/>
      <c r="M548" s="54"/>
      <c r="N548" s="59"/>
      <c r="O548" s="61"/>
      <c r="P548" s="61"/>
      <c r="Q548" s="61"/>
      <c r="R548" s="50"/>
      <c r="S548" s="50"/>
      <c r="T548" s="61"/>
      <c r="U548" s="61"/>
      <c r="V548" s="61"/>
      <c r="W548" s="61"/>
      <c r="X548" s="61"/>
      <c r="Y548" s="61"/>
      <c r="Z548" s="52"/>
      <c r="AA548" s="52"/>
      <c r="AB548" s="52"/>
      <c r="AC548" s="52"/>
      <c r="AD548" s="53"/>
      <c r="AE548" s="53"/>
      <c r="AF548" s="53"/>
    </row>
    <row r="549">
      <c r="G549" s="55"/>
      <c r="H549" s="54"/>
      <c r="I549" s="54"/>
      <c r="J549" s="54"/>
      <c r="K549" s="54"/>
      <c r="L549" s="54"/>
      <c r="M549" s="54"/>
      <c r="N549" s="59"/>
      <c r="O549" s="61"/>
      <c r="P549" s="61"/>
      <c r="Q549" s="61"/>
      <c r="R549" s="50"/>
      <c r="S549" s="50"/>
      <c r="T549" s="61"/>
      <c r="U549" s="61"/>
      <c r="V549" s="61"/>
      <c r="W549" s="61"/>
      <c r="X549" s="61"/>
      <c r="Y549" s="61"/>
      <c r="Z549" s="52"/>
      <c r="AA549" s="52"/>
      <c r="AB549" s="52"/>
      <c r="AC549" s="52"/>
      <c r="AD549" s="53"/>
      <c r="AE549" s="53"/>
      <c r="AF549" s="53"/>
    </row>
    <row r="550">
      <c r="G550" s="55"/>
      <c r="H550" s="54"/>
      <c r="I550" s="54"/>
      <c r="J550" s="54"/>
      <c r="K550" s="54"/>
      <c r="L550" s="54"/>
      <c r="M550" s="54"/>
      <c r="N550" s="59"/>
      <c r="O550" s="61"/>
      <c r="P550" s="61"/>
      <c r="Q550" s="61"/>
      <c r="R550" s="50"/>
      <c r="S550" s="50"/>
      <c r="T550" s="61"/>
      <c r="U550" s="61"/>
      <c r="V550" s="61"/>
      <c r="W550" s="61"/>
      <c r="X550" s="61"/>
      <c r="Y550" s="61"/>
      <c r="Z550" s="52"/>
      <c r="AA550" s="52"/>
      <c r="AB550" s="52"/>
      <c r="AC550" s="52"/>
      <c r="AD550" s="53"/>
      <c r="AE550" s="53"/>
      <c r="AF550" s="53"/>
    </row>
    <row r="551">
      <c r="G551" s="55"/>
      <c r="H551" s="54"/>
      <c r="I551" s="54"/>
      <c r="J551" s="54"/>
      <c r="K551" s="54"/>
      <c r="L551" s="54"/>
      <c r="M551" s="54"/>
      <c r="N551" s="59"/>
      <c r="O551" s="61"/>
      <c r="P551" s="61"/>
      <c r="Q551" s="61"/>
      <c r="R551" s="50"/>
      <c r="S551" s="50"/>
      <c r="T551" s="61"/>
      <c r="U551" s="61"/>
      <c r="V551" s="61"/>
      <c r="W551" s="61"/>
      <c r="X551" s="61"/>
      <c r="Y551" s="61"/>
      <c r="Z551" s="52"/>
      <c r="AA551" s="52"/>
      <c r="AB551" s="52"/>
      <c r="AC551" s="52"/>
      <c r="AD551" s="53"/>
      <c r="AE551" s="53"/>
      <c r="AF551" s="53"/>
    </row>
    <row r="552">
      <c r="G552" s="55"/>
      <c r="H552" s="54"/>
      <c r="I552" s="54"/>
      <c r="J552" s="54"/>
      <c r="K552" s="54"/>
      <c r="L552" s="54"/>
      <c r="M552" s="54"/>
      <c r="N552" s="59"/>
      <c r="O552" s="61"/>
      <c r="P552" s="61"/>
      <c r="Q552" s="61"/>
      <c r="R552" s="50"/>
      <c r="S552" s="50"/>
      <c r="T552" s="61"/>
      <c r="U552" s="61"/>
      <c r="V552" s="61"/>
      <c r="W552" s="61"/>
      <c r="X552" s="61"/>
      <c r="Y552" s="61"/>
      <c r="Z552" s="52"/>
      <c r="AA552" s="52"/>
      <c r="AB552" s="52"/>
      <c r="AC552" s="52"/>
      <c r="AD552" s="53"/>
      <c r="AE552" s="53"/>
      <c r="AF552" s="53"/>
    </row>
    <row r="553">
      <c r="G553" s="55"/>
      <c r="H553" s="54"/>
      <c r="I553" s="54"/>
      <c r="J553" s="54"/>
      <c r="K553" s="54"/>
      <c r="L553" s="54"/>
      <c r="M553" s="54"/>
      <c r="N553" s="59"/>
      <c r="O553" s="61"/>
      <c r="P553" s="61"/>
      <c r="Q553" s="61"/>
      <c r="R553" s="50"/>
      <c r="S553" s="50"/>
      <c r="T553" s="61"/>
      <c r="U553" s="61"/>
      <c r="V553" s="61"/>
      <c r="W553" s="61"/>
      <c r="X553" s="61"/>
      <c r="Y553" s="61"/>
      <c r="Z553" s="52"/>
      <c r="AA553" s="52"/>
      <c r="AB553" s="52"/>
      <c r="AC553" s="52"/>
      <c r="AD553" s="53"/>
      <c r="AE553" s="53"/>
      <c r="AF553" s="53"/>
    </row>
    <row r="554">
      <c r="G554" s="55"/>
      <c r="H554" s="54"/>
      <c r="I554" s="54"/>
      <c r="J554" s="54"/>
      <c r="K554" s="54"/>
      <c r="L554" s="54"/>
      <c r="M554" s="54"/>
      <c r="N554" s="59"/>
      <c r="O554" s="61"/>
      <c r="P554" s="61"/>
      <c r="Q554" s="61"/>
      <c r="R554" s="50"/>
      <c r="S554" s="50"/>
      <c r="T554" s="61"/>
      <c r="U554" s="61"/>
      <c r="V554" s="61"/>
      <c r="W554" s="61"/>
      <c r="X554" s="61"/>
      <c r="Y554" s="61"/>
      <c r="Z554" s="52"/>
      <c r="AA554" s="52"/>
      <c r="AB554" s="52"/>
      <c r="AC554" s="52"/>
      <c r="AD554" s="53"/>
      <c r="AE554" s="53"/>
      <c r="AF554" s="53"/>
    </row>
    <row r="555">
      <c r="G555" s="55"/>
      <c r="H555" s="54"/>
      <c r="I555" s="54"/>
      <c r="J555" s="54"/>
      <c r="K555" s="54"/>
      <c r="L555" s="54"/>
      <c r="M555" s="54"/>
      <c r="N555" s="59"/>
      <c r="O555" s="61"/>
      <c r="P555" s="61"/>
      <c r="Q555" s="61"/>
      <c r="R555" s="50"/>
      <c r="S555" s="50"/>
      <c r="T555" s="61"/>
      <c r="U555" s="61"/>
      <c r="V555" s="61"/>
      <c r="W555" s="61"/>
      <c r="X555" s="61"/>
      <c r="Y555" s="61"/>
      <c r="Z555" s="52"/>
      <c r="AA555" s="52"/>
      <c r="AB555" s="52"/>
      <c r="AC555" s="52"/>
      <c r="AD555" s="53"/>
      <c r="AE555" s="53"/>
      <c r="AF555" s="53"/>
    </row>
    <row r="556">
      <c r="G556" s="55"/>
      <c r="H556" s="54"/>
      <c r="I556" s="54"/>
      <c r="J556" s="54"/>
      <c r="K556" s="54"/>
      <c r="L556" s="54"/>
      <c r="M556" s="54"/>
      <c r="N556" s="59"/>
      <c r="O556" s="61"/>
      <c r="P556" s="61"/>
      <c r="Q556" s="61"/>
      <c r="R556" s="50"/>
      <c r="S556" s="50"/>
      <c r="T556" s="61"/>
      <c r="U556" s="61"/>
      <c r="V556" s="61"/>
      <c r="W556" s="61"/>
      <c r="X556" s="61"/>
      <c r="Y556" s="61"/>
      <c r="Z556" s="52"/>
      <c r="AA556" s="52"/>
      <c r="AB556" s="52"/>
      <c r="AC556" s="52"/>
      <c r="AD556" s="53"/>
      <c r="AE556" s="53"/>
      <c r="AF556" s="53"/>
    </row>
    <row r="557">
      <c r="G557" s="55"/>
      <c r="H557" s="54"/>
      <c r="I557" s="54"/>
      <c r="J557" s="54"/>
      <c r="K557" s="54"/>
      <c r="L557" s="54"/>
      <c r="M557" s="54"/>
      <c r="N557" s="59"/>
      <c r="O557" s="61"/>
      <c r="P557" s="61"/>
      <c r="Q557" s="61"/>
      <c r="R557" s="50"/>
      <c r="S557" s="50"/>
      <c r="T557" s="61"/>
      <c r="U557" s="61"/>
      <c r="V557" s="61"/>
      <c r="W557" s="61"/>
      <c r="X557" s="61"/>
      <c r="Y557" s="61"/>
      <c r="Z557" s="52"/>
      <c r="AA557" s="52"/>
      <c r="AB557" s="52"/>
      <c r="AC557" s="52"/>
      <c r="AD557" s="53"/>
      <c r="AE557" s="53"/>
      <c r="AF557" s="53"/>
    </row>
    <row r="558">
      <c r="G558" s="55"/>
      <c r="H558" s="54"/>
      <c r="I558" s="54"/>
      <c r="J558" s="54"/>
      <c r="K558" s="54"/>
      <c r="L558" s="54"/>
      <c r="M558" s="54"/>
      <c r="N558" s="59"/>
      <c r="O558" s="61"/>
      <c r="P558" s="61"/>
      <c r="Q558" s="61"/>
      <c r="R558" s="50"/>
      <c r="S558" s="50"/>
      <c r="T558" s="61"/>
      <c r="U558" s="61"/>
      <c r="V558" s="61"/>
      <c r="W558" s="61"/>
      <c r="X558" s="61"/>
      <c r="Y558" s="61"/>
      <c r="Z558" s="52"/>
      <c r="AA558" s="52"/>
      <c r="AB558" s="52"/>
      <c r="AC558" s="52"/>
      <c r="AD558" s="53"/>
      <c r="AE558" s="53"/>
      <c r="AF558" s="53"/>
    </row>
    <row r="559">
      <c r="G559" s="55"/>
      <c r="H559" s="54"/>
      <c r="I559" s="54"/>
      <c r="J559" s="54"/>
      <c r="K559" s="54"/>
      <c r="L559" s="54"/>
      <c r="M559" s="54"/>
      <c r="N559" s="59"/>
      <c r="O559" s="61"/>
      <c r="P559" s="61"/>
      <c r="Q559" s="61"/>
      <c r="R559" s="50"/>
      <c r="S559" s="50"/>
      <c r="T559" s="61"/>
      <c r="U559" s="61"/>
      <c r="V559" s="61"/>
      <c r="W559" s="61"/>
      <c r="X559" s="61"/>
      <c r="Y559" s="61"/>
      <c r="Z559" s="52"/>
      <c r="AA559" s="52"/>
      <c r="AB559" s="52"/>
      <c r="AC559" s="52"/>
      <c r="AD559" s="53"/>
      <c r="AE559" s="53"/>
      <c r="AF559" s="53"/>
    </row>
    <row r="560">
      <c r="G560" s="55"/>
      <c r="H560" s="54"/>
      <c r="I560" s="54"/>
      <c r="J560" s="54"/>
      <c r="K560" s="54"/>
      <c r="L560" s="54"/>
      <c r="M560" s="54"/>
      <c r="N560" s="59"/>
      <c r="O560" s="61"/>
      <c r="P560" s="61"/>
      <c r="Q560" s="61"/>
      <c r="R560" s="50"/>
      <c r="S560" s="50"/>
      <c r="T560" s="61"/>
      <c r="U560" s="61"/>
      <c r="V560" s="61"/>
      <c r="W560" s="61"/>
      <c r="X560" s="61"/>
      <c r="Y560" s="61"/>
      <c r="Z560" s="52"/>
      <c r="AA560" s="52"/>
      <c r="AB560" s="52"/>
      <c r="AC560" s="52"/>
      <c r="AD560" s="53"/>
      <c r="AE560" s="53"/>
      <c r="AF560" s="53"/>
    </row>
    <row r="561">
      <c r="G561" s="55"/>
      <c r="H561" s="54"/>
      <c r="I561" s="54"/>
      <c r="J561" s="54"/>
      <c r="K561" s="54"/>
      <c r="L561" s="54"/>
      <c r="M561" s="54"/>
      <c r="N561" s="59"/>
      <c r="O561" s="61"/>
      <c r="P561" s="61"/>
      <c r="Q561" s="61"/>
      <c r="R561" s="50"/>
      <c r="S561" s="50"/>
      <c r="T561" s="61"/>
      <c r="U561" s="61"/>
      <c r="V561" s="61"/>
      <c r="W561" s="61"/>
      <c r="X561" s="61"/>
      <c r="Y561" s="61"/>
      <c r="Z561" s="52"/>
      <c r="AA561" s="52"/>
      <c r="AB561" s="52"/>
      <c r="AC561" s="52"/>
      <c r="AD561" s="53"/>
      <c r="AE561" s="53"/>
      <c r="AF561" s="53"/>
    </row>
    <row r="562">
      <c r="G562" s="55"/>
      <c r="H562" s="54"/>
      <c r="I562" s="54"/>
      <c r="J562" s="54"/>
      <c r="K562" s="54"/>
      <c r="L562" s="54"/>
      <c r="M562" s="54"/>
      <c r="N562" s="59"/>
      <c r="O562" s="61"/>
      <c r="P562" s="61"/>
      <c r="Q562" s="61"/>
      <c r="R562" s="50"/>
      <c r="S562" s="50"/>
      <c r="T562" s="61"/>
      <c r="U562" s="61"/>
      <c r="V562" s="61"/>
      <c r="W562" s="61"/>
      <c r="X562" s="61"/>
      <c r="Y562" s="61"/>
      <c r="Z562" s="52"/>
      <c r="AA562" s="52"/>
      <c r="AB562" s="52"/>
      <c r="AC562" s="52"/>
      <c r="AD562" s="53"/>
      <c r="AE562" s="53"/>
      <c r="AF562" s="53"/>
    </row>
    <row r="563">
      <c r="G563" s="55"/>
      <c r="H563" s="54"/>
      <c r="I563" s="54"/>
      <c r="J563" s="54"/>
      <c r="K563" s="54"/>
      <c r="L563" s="54"/>
      <c r="M563" s="54"/>
      <c r="N563" s="59"/>
      <c r="O563" s="61"/>
      <c r="P563" s="61"/>
      <c r="Q563" s="61"/>
      <c r="R563" s="50"/>
      <c r="S563" s="50"/>
      <c r="T563" s="61"/>
      <c r="U563" s="61"/>
      <c r="V563" s="61"/>
      <c r="W563" s="61"/>
      <c r="X563" s="61"/>
      <c r="Y563" s="61"/>
      <c r="Z563" s="52"/>
      <c r="AA563" s="52"/>
      <c r="AB563" s="52"/>
      <c r="AC563" s="52"/>
      <c r="AD563" s="53"/>
      <c r="AE563" s="53"/>
      <c r="AF563" s="53"/>
    </row>
    <row r="564">
      <c r="G564" s="55"/>
      <c r="H564" s="54"/>
      <c r="I564" s="54"/>
      <c r="J564" s="54"/>
      <c r="K564" s="54"/>
      <c r="L564" s="54"/>
      <c r="M564" s="54"/>
      <c r="N564" s="59"/>
      <c r="O564" s="61"/>
      <c r="P564" s="61"/>
      <c r="Q564" s="61"/>
      <c r="R564" s="50"/>
      <c r="S564" s="50"/>
      <c r="T564" s="61"/>
      <c r="U564" s="61"/>
      <c r="V564" s="61"/>
      <c r="W564" s="61"/>
      <c r="X564" s="61"/>
      <c r="Y564" s="61"/>
      <c r="Z564" s="52"/>
      <c r="AA564" s="52"/>
      <c r="AB564" s="52"/>
      <c r="AC564" s="52"/>
      <c r="AD564" s="53"/>
      <c r="AE564" s="53"/>
      <c r="AF564" s="53"/>
    </row>
    <row r="565">
      <c r="G565" s="55"/>
      <c r="H565" s="54"/>
      <c r="I565" s="54"/>
      <c r="J565" s="54"/>
      <c r="K565" s="54"/>
      <c r="L565" s="54"/>
      <c r="M565" s="54"/>
      <c r="N565" s="59"/>
      <c r="O565" s="61"/>
      <c r="P565" s="61"/>
      <c r="Q565" s="61"/>
      <c r="R565" s="50"/>
      <c r="S565" s="50"/>
      <c r="T565" s="61"/>
      <c r="U565" s="61"/>
      <c r="V565" s="61"/>
      <c r="W565" s="61"/>
      <c r="X565" s="61"/>
      <c r="Y565" s="61"/>
      <c r="Z565" s="52"/>
      <c r="AA565" s="52"/>
      <c r="AB565" s="52"/>
      <c r="AC565" s="52"/>
      <c r="AD565" s="53"/>
      <c r="AE565" s="53"/>
      <c r="AF565" s="53"/>
    </row>
    <row r="566">
      <c r="G566" s="55"/>
      <c r="H566" s="54"/>
      <c r="I566" s="54"/>
      <c r="J566" s="54"/>
      <c r="K566" s="54"/>
      <c r="L566" s="54"/>
      <c r="M566" s="54"/>
      <c r="N566" s="59"/>
      <c r="O566" s="61"/>
      <c r="P566" s="61"/>
      <c r="Q566" s="61"/>
      <c r="R566" s="50"/>
      <c r="S566" s="50"/>
      <c r="T566" s="61"/>
      <c r="U566" s="61"/>
      <c r="V566" s="61"/>
      <c r="W566" s="61"/>
      <c r="X566" s="61"/>
      <c r="Y566" s="61"/>
      <c r="Z566" s="52"/>
      <c r="AA566" s="52"/>
      <c r="AB566" s="52"/>
      <c r="AC566" s="52"/>
      <c r="AD566" s="53"/>
      <c r="AE566" s="53"/>
      <c r="AF566" s="53"/>
    </row>
    <row r="567">
      <c r="G567" s="55"/>
      <c r="H567" s="54"/>
      <c r="I567" s="54"/>
      <c r="J567" s="54"/>
      <c r="K567" s="54"/>
      <c r="L567" s="54"/>
      <c r="M567" s="54"/>
      <c r="N567" s="59"/>
      <c r="O567" s="61"/>
      <c r="P567" s="61"/>
      <c r="Q567" s="61"/>
      <c r="R567" s="50"/>
      <c r="S567" s="50"/>
      <c r="T567" s="61"/>
      <c r="U567" s="61"/>
      <c r="V567" s="61"/>
      <c r="W567" s="61"/>
      <c r="X567" s="61"/>
      <c r="Y567" s="61"/>
      <c r="Z567" s="52"/>
      <c r="AA567" s="52"/>
      <c r="AB567" s="52"/>
      <c r="AC567" s="52"/>
      <c r="AD567" s="53"/>
      <c r="AE567" s="53"/>
      <c r="AF567" s="53"/>
    </row>
    <row r="568">
      <c r="G568" s="55"/>
      <c r="H568" s="54"/>
      <c r="I568" s="54"/>
      <c r="J568" s="54"/>
      <c r="K568" s="54"/>
      <c r="L568" s="54"/>
      <c r="M568" s="54"/>
      <c r="N568" s="59"/>
      <c r="O568" s="61"/>
      <c r="P568" s="61"/>
      <c r="Q568" s="61"/>
      <c r="R568" s="50"/>
      <c r="S568" s="50"/>
      <c r="T568" s="61"/>
      <c r="U568" s="61"/>
      <c r="V568" s="61"/>
      <c r="W568" s="61"/>
      <c r="X568" s="61"/>
      <c r="Y568" s="61"/>
      <c r="Z568" s="52"/>
      <c r="AA568" s="52"/>
      <c r="AB568" s="52"/>
      <c r="AC568" s="52"/>
      <c r="AD568" s="53"/>
      <c r="AE568" s="53"/>
      <c r="AF568" s="53"/>
    </row>
    <row r="569">
      <c r="G569" s="55"/>
      <c r="H569" s="54"/>
      <c r="I569" s="54"/>
      <c r="J569" s="54"/>
      <c r="K569" s="54"/>
      <c r="L569" s="54"/>
      <c r="M569" s="54"/>
      <c r="N569" s="59"/>
      <c r="O569" s="61"/>
      <c r="P569" s="61"/>
      <c r="Q569" s="61"/>
      <c r="R569" s="50"/>
      <c r="S569" s="50"/>
      <c r="T569" s="61"/>
      <c r="U569" s="61"/>
      <c r="V569" s="61"/>
      <c r="W569" s="61"/>
      <c r="X569" s="61"/>
      <c r="Y569" s="61"/>
      <c r="Z569" s="52"/>
      <c r="AA569" s="52"/>
      <c r="AB569" s="52"/>
      <c r="AC569" s="52"/>
      <c r="AD569" s="53"/>
      <c r="AE569" s="53"/>
      <c r="AF569" s="53"/>
    </row>
    <row r="570">
      <c r="G570" s="55"/>
      <c r="H570" s="54"/>
      <c r="I570" s="54"/>
      <c r="J570" s="54"/>
      <c r="K570" s="54"/>
      <c r="L570" s="54"/>
      <c r="M570" s="54"/>
      <c r="N570" s="59"/>
      <c r="O570" s="61"/>
      <c r="P570" s="61"/>
      <c r="Q570" s="61"/>
      <c r="R570" s="50"/>
      <c r="S570" s="50"/>
      <c r="T570" s="61"/>
      <c r="U570" s="61"/>
      <c r="V570" s="61"/>
      <c r="W570" s="61"/>
      <c r="X570" s="61"/>
      <c r="Y570" s="61"/>
      <c r="Z570" s="52"/>
      <c r="AA570" s="52"/>
      <c r="AB570" s="52"/>
      <c r="AC570" s="52"/>
      <c r="AD570" s="53"/>
      <c r="AE570" s="53"/>
      <c r="AF570" s="53"/>
    </row>
    <row r="571">
      <c r="G571" s="55"/>
      <c r="H571" s="54"/>
      <c r="I571" s="54"/>
      <c r="J571" s="54"/>
      <c r="K571" s="54"/>
      <c r="L571" s="54"/>
      <c r="M571" s="54"/>
      <c r="N571" s="59"/>
      <c r="O571" s="61"/>
      <c r="P571" s="61"/>
      <c r="Q571" s="61"/>
      <c r="R571" s="50"/>
      <c r="S571" s="50"/>
      <c r="T571" s="61"/>
      <c r="U571" s="61"/>
      <c r="V571" s="61"/>
      <c r="W571" s="61"/>
      <c r="X571" s="61"/>
      <c r="Y571" s="61"/>
      <c r="Z571" s="52"/>
      <c r="AA571" s="52"/>
      <c r="AB571" s="52"/>
      <c r="AC571" s="52"/>
      <c r="AD571" s="53"/>
      <c r="AE571" s="53"/>
      <c r="AF571" s="53"/>
    </row>
    <row r="572">
      <c r="G572" s="55"/>
      <c r="H572" s="54"/>
      <c r="I572" s="54"/>
      <c r="J572" s="54"/>
      <c r="K572" s="54"/>
      <c r="L572" s="54"/>
      <c r="M572" s="54"/>
      <c r="N572" s="59"/>
      <c r="O572" s="61"/>
      <c r="P572" s="61"/>
      <c r="Q572" s="61"/>
      <c r="R572" s="50"/>
      <c r="S572" s="50"/>
      <c r="T572" s="61"/>
      <c r="U572" s="61"/>
      <c r="V572" s="61"/>
      <c r="W572" s="61"/>
      <c r="X572" s="61"/>
      <c r="Y572" s="61"/>
      <c r="Z572" s="52"/>
      <c r="AA572" s="52"/>
      <c r="AB572" s="52"/>
      <c r="AC572" s="52"/>
      <c r="AD572" s="53"/>
      <c r="AE572" s="53"/>
      <c r="AF572" s="53"/>
    </row>
    <row r="573">
      <c r="G573" s="55"/>
      <c r="H573" s="54"/>
      <c r="I573" s="54"/>
      <c r="J573" s="54"/>
      <c r="K573" s="54"/>
      <c r="L573" s="54"/>
      <c r="M573" s="54"/>
      <c r="N573" s="59"/>
      <c r="O573" s="61"/>
      <c r="P573" s="61"/>
      <c r="Q573" s="61"/>
      <c r="R573" s="50"/>
      <c r="S573" s="50"/>
      <c r="T573" s="61"/>
      <c r="U573" s="61"/>
      <c r="V573" s="61"/>
      <c r="W573" s="61"/>
      <c r="X573" s="61"/>
      <c r="Y573" s="61"/>
      <c r="Z573" s="52"/>
      <c r="AA573" s="52"/>
      <c r="AB573" s="52"/>
      <c r="AC573" s="52"/>
      <c r="AD573" s="53"/>
      <c r="AE573" s="53"/>
      <c r="AF573" s="53"/>
    </row>
    <row r="574">
      <c r="G574" s="55"/>
      <c r="H574" s="54"/>
      <c r="I574" s="54"/>
      <c r="J574" s="54"/>
      <c r="K574" s="54"/>
      <c r="L574" s="54"/>
      <c r="M574" s="54"/>
      <c r="N574" s="59"/>
      <c r="O574" s="61"/>
      <c r="P574" s="61"/>
      <c r="Q574" s="61"/>
      <c r="R574" s="50"/>
      <c r="S574" s="50"/>
      <c r="T574" s="61"/>
      <c r="U574" s="61"/>
      <c r="V574" s="61"/>
      <c r="W574" s="61"/>
      <c r="X574" s="61"/>
      <c r="Y574" s="61"/>
      <c r="Z574" s="52"/>
      <c r="AA574" s="52"/>
      <c r="AB574" s="52"/>
      <c r="AC574" s="52"/>
      <c r="AD574" s="53"/>
      <c r="AE574" s="53"/>
      <c r="AF574" s="53"/>
    </row>
    <row r="575">
      <c r="G575" s="55"/>
      <c r="H575" s="54"/>
      <c r="I575" s="54"/>
      <c r="J575" s="54"/>
      <c r="K575" s="54"/>
      <c r="L575" s="54"/>
      <c r="M575" s="54"/>
      <c r="N575" s="59"/>
      <c r="O575" s="61"/>
      <c r="P575" s="61"/>
      <c r="Q575" s="61"/>
      <c r="R575" s="50"/>
      <c r="S575" s="50"/>
      <c r="T575" s="61"/>
      <c r="U575" s="61"/>
      <c r="V575" s="61"/>
      <c r="W575" s="61"/>
      <c r="X575" s="61"/>
      <c r="Y575" s="61"/>
      <c r="Z575" s="52"/>
      <c r="AA575" s="52"/>
      <c r="AB575" s="52"/>
      <c r="AC575" s="52"/>
      <c r="AD575" s="53"/>
      <c r="AE575" s="53"/>
      <c r="AF575" s="53"/>
    </row>
    <row r="576">
      <c r="G576" s="55"/>
      <c r="H576" s="54"/>
      <c r="I576" s="54"/>
      <c r="J576" s="54"/>
      <c r="K576" s="54"/>
      <c r="L576" s="54"/>
      <c r="M576" s="54"/>
      <c r="N576" s="59"/>
      <c r="O576" s="61"/>
      <c r="P576" s="61"/>
      <c r="Q576" s="61"/>
      <c r="R576" s="50"/>
      <c r="S576" s="50"/>
      <c r="T576" s="61"/>
      <c r="U576" s="61"/>
      <c r="V576" s="61"/>
      <c r="W576" s="61"/>
      <c r="X576" s="61"/>
      <c r="Y576" s="61"/>
      <c r="Z576" s="52"/>
      <c r="AA576" s="52"/>
      <c r="AB576" s="52"/>
      <c r="AC576" s="52"/>
      <c r="AD576" s="53"/>
      <c r="AE576" s="53"/>
      <c r="AF576" s="53"/>
    </row>
    <row r="577">
      <c r="G577" s="55"/>
      <c r="H577" s="54"/>
      <c r="I577" s="54"/>
      <c r="J577" s="54"/>
      <c r="K577" s="54"/>
      <c r="L577" s="54"/>
      <c r="M577" s="54"/>
      <c r="N577" s="59"/>
      <c r="O577" s="61"/>
      <c r="P577" s="61"/>
      <c r="Q577" s="61"/>
      <c r="R577" s="50"/>
      <c r="S577" s="50"/>
      <c r="T577" s="61"/>
      <c r="U577" s="61"/>
      <c r="V577" s="61"/>
      <c r="W577" s="61"/>
      <c r="X577" s="61"/>
      <c r="Y577" s="61"/>
      <c r="Z577" s="52"/>
      <c r="AA577" s="52"/>
      <c r="AB577" s="52"/>
      <c r="AC577" s="52"/>
      <c r="AD577" s="53"/>
      <c r="AE577" s="53"/>
      <c r="AF577" s="53"/>
    </row>
    <row r="578">
      <c r="G578" s="55"/>
      <c r="H578" s="54"/>
      <c r="I578" s="54"/>
      <c r="J578" s="54"/>
      <c r="K578" s="54"/>
      <c r="L578" s="54"/>
      <c r="M578" s="54"/>
      <c r="N578" s="59"/>
      <c r="O578" s="61"/>
      <c r="P578" s="61"/>
      <c r="Q578" s="61"/>
      <c r="R578" s="50"/>
      <c r="S578" s="50"/>
      <c r="T578" s="61"/>
      <c r="U578" s="61"/>
      <c r="V578" s="61"/>
      <c r="W578" s="61"/>
      <c r="X578" s="61"/>
      <c r="Y578" s="61"/>
      <c r="Z578" s="52"/>
      <c r="AA578" s="52"/>
      <c r="AB578" s="52"/>
      <c r="AC578" s="52"/>
      <c r="AD578" s="53"/>
      <c r="AE578" s="53"/>
      <c r="AF578" s="53"/>
    </row>
    <row r="579">
      <c r="G579" s="55"/>
      <c r="H579" s="54"/>
      <c r="I579" s="54"/>
      <c r="J579" s="54"/>
      <c r="K579" s="54"/>
      <c r="L579" s="54"/>
      <c r="M579" s="54"/>
      <c r="N579" s="59"/>
      <c r="O579" s="61"/>
      <c r="P579" s="61"/>
      <c r="Q579" s="61"/>
      <c r="R579" s="50"/>
      <c r="S579" s="50"/>
      <c r="T579" s="61"/>
      <c r="U579" s="61"/>
      <c r="V579" s="61"/>
      <c r="W579" s="61"/>
      <c r="X579" s="61"/>
      <c r="Y579" s="61"/>
      <c r="Z579" s="52"/>
      <c r="AA579" s="52"/>
      <c r="AB579" s="52"/>
      <c r="AC579" s="52"/>
      <c r="AD579" s="53"/>
      <c r="AE579" s="53"/>
      <c r="AF579" s="53"/>
    </row>
    <row r="580">
      <c r="G580" s="55"/>
      <c r="H580" s="54"/>
      <c r="I580" s="54"/>
      <c r="J580" s="54"/>
      <c r="K580" s="54"/>
      <c r="L580" s="54"/>
      <c r="M580" s="54"/>
      <c r="N580" s="59"/>
      <c r="O580" s="61"/>
      <c r="P580" s="61"/>
      <c r="Q580" s="61"/>
      <c r="R580" s="50"/>
      <c r="S580" s="50"/>
      <c r="T580" s="61"/>
      <c r="U580" s="61"/>
      <c r="V580" s="61"/>
      <c r="W580" s="61"/>
      <c r="X580" s="61"/>
      <c r="Y580" s="61"/>
      <c r="Z580" s="52"/>
      <c r="AA580" s="52"/>
      <c r="AB580" s="52"/>
      <c r="AC580" s="52"/>
      <c r="AD580" s="53"/>
      <c r="AE580" s="53"/>
      <c r="AF580" s="53"/>
    </row>
    <row r="581">
      <c r="G581" s="55"/>
      <c r="H581" s="54"/>
      <c r="I581" s="54"/>
      <c r="J581" s="54"/>
      <c r="K581" s="54"/>
      <c r="L581" s="54"/>
      <c r="M581" s="54"/>
      <c r="N581" s="59"/>
      <c r="O581" s="61"/>
      <c r="P581" s="61"/>
      <c r="Q581" s="61"/>
      <c r="R581" s="50"/>
      <c r="S581" s="50"/>
      <c r="T581" s="61"/>
      <c r="U581" s="61"/>
      <c r="V581" s="61"/>
      <c r="W581" s="61"/>
      <c r="X581" s="61"/>
      <c r="Y581" s="61"/>
      <c r="Z581" s="52"/>
      <c r="AA581" s="52"/>
      <c r="AB581" s="52"/>
      <c r="AC581" s="52"/>
      <c r="AD581" s="53"/>
      <c r="AE581" s="53"/>
      <c r="AF581" s="53"/>
    </row>
    <row r="582">
      <c r="G582" s="55"/>
      <c r="H582" s="54"/>
      <c r="I582" s="54"/>
      <c r="J582" s="54"/>
      <c r="K582" s="54"/>
      <c r="L582" s="54"/>
      <c r="M582" s="54"/>
      <c r="N582" s="59"/>
      <c r="O582" s="61"/>
      <c r="P582" s="61"/>
      <c r="Q582" s="61"/>
      <c r="R582" s="50"/>
      <c r="S582" s="50"/>
      <c r="T582" s="61"/>
      <c r="U582" s="61"/>
      <c r="V582" s="61"/>
      <c r="W582" s="61"/>
      <c r="X582" s="61"/>
      <c r="Y582" s="61"/>
      <c r="Z582" s="52"/>
      <c r="AA582" s="52"/>
      <c r="AB582" s="52"/>
      <c r="AC582" s="52"/>
      <c r="AD582" s="53"/>
      <c r="AE582" s="53"/>
      <c r="AF582" s="53"/>
    </row>
    <row r="583">
      <c r="G583" s="55"/>
      <c r="H583" s="54"/>
      <c r="I583" s="54"/>
      <c r="J583" s="54"/>
      <c r="K583" s="54"/>
      <c r="L583" s="54"/>
      <c r="M583" s="54"/>
      <c r="N583" s="59"/>
      <c r="O583" s="61"/>
      <c r="P583" s="61"/>
      <c r="Q583" s="61"/>
      <c r="R583" s="50"/>
      <c r="S583" s="50"/>
      <c r="T583" s="61"/>
      <c r="U583" s="61"/>
      <c r="V583" s="61"/>
      <c r="W583" s="61"/>
      <c r="X583" s="61"/>
      <c r="Y583" s="61"/>
      <c r="Z583" s="52"/>
      <c r="AA583" s="52"/>
      <c r="AB583" s="52"/>
      <c r="AC583" s="52"/>
      <c r="AD583" s="53"/>
      <c r="AE583" s="53"/>
      <c r="AF583" s="53"/>
    </row>
    <row r="584">
      <c r="G584" s="55"/>
      <c r="H584" s="54"/>
      <c r="I584" s="54"/>
      <c r="J584" s="54"/>
      <c r="K584" s="54"/>
      <c r="L584" s="54"/>
      <c r="M584" s="54"/>
      <c r="N584" s="59"/>
      <c r="O584" s="61"/>
      <c r="P584" s="61"/>
      <c r="Q584" s="61"/>
      <c r="R584" s="50"/>
      <c r="S584" s="50"/>
      <c r="T584" s="61"/>
      <c r="U584" s="61"/>
      <c r="V584" s="61"/>
      <c r="W584" s="61"/>
      <c r="X584" s="61"/>
      <c r="Y584" s="61"/>
      <c r="Z584" s="52"/>
      <c r="AA584" s="52"/>
      <c r="AB584" s="52"/>
      <c r="AC584" s="52"/>
      <c r="AD584" s="53"/>
      <c r="AE584" s="53"/>
      <c r="AF584" s="53"/>
    </row>
    <row r="585">
      <c r="G585" s="55"/>
      <c r="H585" s="54"/>
      <c r="I585" s="54"/>
      <c r="J585" s="54"/>
      <c r="K585" s="54"/>
      <c r="L585" s="54"/>
      <c r="M585" s="54"/>
      <c r="N585" s="59"/>
      <c r="O585" s="61"/>
      <c r="P585" s="61"/>
      <c r="Q585" s="61"/>
      <c r="R585" s="50"/>
      <c r="S585" s="50"/>
      <c r="T585" s="61"/>
      <c r="U585" s="61"/>
      <c r="V585" s="61"/>
      <c r="W585" s="61"/>
      <c r="X585" s="61"/>
      <c r="Y585" s="61"/>
      <c r="Z585" s="52"/>
      <c r="AA585" s="52"/>
      <c r="AB585" s="52"/>
      <c r="AC585" s="52"/>
      <c r="AD585" s="53"/>
      <c r="AE585" s="53"/>
      <c r="AF585" s="53"/>
    </row>
    <row r="586">
      <c r="G586" s="55"/>
      <c r="H586" s="54"/>
      <c r="I586" s="54"/>
      <c r="J586" s="54"/>
      <c r="K586" s="54"/>
      <c r="L586" s="54"/>
      <c r="M586" s="54"/>
      <c r="N586" s="59"/>
      <c r="O586" s="61"/>
      <c r="P586" s="61"/>
      <c r="Q586" s="61"/>
      <c r="R586" s="50"/>
      <c r="S586" s="50"/>
      <c r="T586" s="61"/>
      <c r="U586" s="61"/>
      <c r="V586" s="61"/>
      <c r="W586" s="61"/>
      <c r="X586" s="61"/>
      <c r="Y586" s="61"/>
      <c r="Z586" s="52"/>
      <c r="AA586" s="52"/>
      <c r="AB586" s="52"/>
      <c r="AC586" s="52"/>
      <c r="AD586" s="53"/>
      <c r="AE586" s="53"/>
      <c r="AF586" s="53"/>
    </row>
    <row r="587">
      <c r="G587" s="55"/>
      <c r="H587" s="54"/>
      <c r="I587" s="54"/>
      <c r="J587" s="54"/>
      <c r="K587" s="54"/>
      <c r="L587" s="54"/>
      <c r="M587" s="54"/>
      <c r="N587" s="59"/>
      <c r="O587" s="61"/>
      <c r="P587" s="61"/>
      <c r="Q587" s="61"/>
      <c r="R587" s="50"/>
      <c r="S587" s="50"/>
      <c r="T587" s="61"/>
      <c r="U587" s="61"/>
      <c r="V587" s="61"/>
      <c r="W587" s="61"/>
      <c r="X587" s="61"/>
      <c r="Y587" s="61"/>
      <c r="Z587" s="52"/>
      <c r="AA587" s="52"/>
      <c r="AB587" s="52"/>
      <c r="AC587" s="52"/>
      <c r="AD587" s="53"/>
      <c r="AE587" s="53"/>
      <c r="AF587" s="53"/>
    </row>
    <row r="588">
      <c r="G588" s="55"/>
      <c r="H588" s="54"/>
      <c r="I588" s="54"/>
      <c r="J588" s="54"/>
      <c r="K588" s="54"/>
      <c r="L588" s="54"/>
      <c r="M588" s="54"/>
      <c r="N588" s="59"/>
      <c r="O588" s="61"/>
      <c r="P588" s="61"/>
      <c r="Q588" s="61"/>
      <c r="R588" s="50"/>
      <c r="S588" s="50"/>
      <c r="T588" s="61"/>
      <c r="U588" s="61"/>
      <c r="V588" s="61"/>
      <c r="W588" s="61"/>
      <c r="X588" s="61"/>
      <c r="Y588" s="61"/>
      <c r="Z588" s="52"/>
      <c r="AA588" s="52"/>
      <c r="AB588" s="52"/>
      <c r="AC588" s="52"/>
      <c r="AD588" s="53"/>
      <c r="AE588" s="53"/>
      <c r="AF588" s="53"/>
    </row>
    <row r="589">
      <c r="G589" s="55"/>
      <c r="H589" s="54"/>
      <c r="I589" s="54"/>
      <c r="J589" s="54"/>
      <c r="K589" s="54"/>
      <c r="L589" s="54"/>
      <c r="M589" s="54"/>
      <c r="N589" s="59"/>
      <c r="O589" s="61"/>
      <c r="P589" s="61"/>
      <c r="Q589" s="61"/>
      <c r="R589" s="50"/>
      <c r="S589" s="50"/>
      <c r="T589" s="61"/>
      <c r="U589" s="61"/>
      <c r="V589" s="61"/>
      <c r="W589" s="61"/>
      <c r="X589" s="61"/>
      <c r="Y589" s="61"/>
      <c r="Z589" s="52"/>
      <c r="AA589" s="52"/>
      <c r="AB589" s="52"/>
      <c r="AC589" s="52"/>
      <c r="AD589" s="53"/>
      <c r="AE589" s="53"/>
      <c r="AF589" s="53"/>
    </row>
    <row r="590">
      <c r="G590" s="55"/>
      <c r="H590" s="54"/>
      <c r="I590" s="54"/>
      <c r="J590" s="54"/>
      <c r="K590" s="54"/>
      <c r="L590" s="54"/>
      <c r="M590" s="54"/>
      <c r="N590" s="59"/>
      <c r="O590" s="61"/>
      <c r="P590" s="61"/>
      <c r="Q590" s="61"/>
      <c r="R590" s="50"/>
      <c r="S590" s="50"/>
      <c r="T590" s="61"/>
      <c r="U590" s="61"/>
      <c r="V590" s="61"/>
      <c r="W590" s="61"/>
      <c r="X590" s="61"/>
      <c r="Y590" s="61"/>
      <c r="Z590" s="52"/>
      <c r="AA590" s="52"/>
      <c r="AB590" s="52"/>
      <c r="AC590" s="52"/>
      <c r="AD590" s="53"/>
      <c r="AE590" s="53"/>
      <c r="AF590" s="53"/>
    </row>
    <row r="591">
      <c r="G591" s="55"/>
      <c r="H591" s="54"/>
      <c r="I591" s="54"/>
      <c r="J591" s="54"/>
      <c r="K591" s="54"/>
      <c r="L591" s="54"/>
      <c r="M591" s="54"/>
      <c r="N591" s="59"/>
      <c r="O591" s="61"/>
      <c r="P591" s="61"/>
      <c r="Q591" s="61"/>
      <c r="R591" s="50"/>
      <c r="S591" s="50"/>
      <c r="T591" s="61"/>
      <c r="U591" s="61"/>
      <c r="V591" s="61"/>
      <c r="W591" s="61"/>
      <c r="X591" s="61"/>
      <c r="Y591" s="61"/>
      <c r="Z591" s="52"/>
      <c r="AA591" s="52"/>
      <c r="AB591" s="52"/>
      <c r="AC591" s="52"/>
      <c r="AD591" s="53"/>
      <c r="AE591" s="53"/>
      <c r="AF591" s="53"/>
    </row>
    <row r="592">
      <c r="G592" s="55"/>
      <c r="H592" s="54"/>
      <c r="I592" s="54"/>
      <c r="J592" s="54"/>
      <c r="K592" s="54"/>
      <c r="L592" s="54"/>
      <c r="M592" s="54"/>
      <c r="N592" s="59"/>
      <c r="O592" s="61"/>
      <c r="P592" s="61"/>
      <c r="Q592" s="61"/>
      <c r="R592" s="50"/>
      <c r="S592" s="50"/>
      <c r="T592" s="61"/>
      <c r="U592" s="61"/>
      <c r="V592" s="61"/>
      <c r="W592" s="61"/>
      <c r="X592" s="61"/>
      <c r="Y592" s="61"/>
      <c r="Z592" s="52"/>
      <c r="AA592" s="52"/>
      <c r="AB592" s="52"/>
      <c r="AC592" s="52"/>
      <c r="AD592" s="53"/>
      <c r="AE592" s="53"/>
      <c r="AF592" s="53"/>
    </row>
    <row r="593">
      <c r="G593" s="55"/>
      <c r="H593" s="54"/>
      <c r="I593" s="54"/>
      <c r="J593" s="54"/>
      <c r="K593" s="54"/>
      <c r="L593" s="54"/>
      <c r="M593" s="54"/>
      <c r="N593" s="59"/>
      <c r="O593" s="61"/>
      <c r="P593" s="61"/>
      <c r="Q593" s="61"/>
      <c r="R593" s="50"/>
      <c r="S593" s="50"/>
      <c r="T593" s="61"/>
      <c r="U593" s="61"/>
      <c r="V593" s="61"/>
      <c r="W593" s="61"/>
      <c r="X593" s="61"/>
      <c r="Y593" s="61"/>
      <c r="Z593" s="52"/>
      <c r="AA593" s="52"/>
      <c r="AB593" s="52"/>
      <c r="AC593" s="52"/>
      <c r="AD593" s="53"/>
      <c r="AE593" s="53"/>
      <c r="AF593" s="53"/>
    </row>
    <row r="594">
      <c r="G594" s="55"/>
      <c r="H594" s="54"/>
      <c r="I594" s="54"/>
      <c r="J594" s="54"/>
      <c r="K594" s="54"/>
      <c r="L594" s="54"/>
      <c r="M594" s="54"/>
      <c r="N594" s="59"/>
      <c r="O594" s="61"/>
      <c r="P594" s="61"/>
      <c r="Q594" s="61"/>
      <c r="R594" s="50"/>
      <c r="S594" s="50"/>
      <c r="T594" s="61"/>
      <c r="U594" s="61"/>
      <c r="V594" s="61"/>
      <c r="W594" s="61"/>
      <c r="X594" s="61"/>
      <c r="Y594" s="61"/>
      <c r="Z594" s="52"/>
      <c r="AA594" s="52"/>
      <c r="AB594" s="52"/>
      <c r="AC594" s="52"/>
      <c r="AD594" s="53"/>
      <c r="AE594" s="53"/>
      <c r="AF594" s="53"/>
    </row>
    <row r="595">
      <c r="G595" s="55"/>
      <c r="H595" s="54"/>
      <c r="I595" s="54"/>
      <c r="J595" s="54"/>
      <c r="K595" s="54"/>
      <c r="L595" s="54"/>
      <c r="M595" s="54"/>
      <c r="N595" s="59"/>
      <c r="O595" s="61"/>
      <c r="P595" s="61"/>
      <c r="Q595" s="61"/>
      <c r="R595" s="50"/>
      <c r="S595" s="50"/>
      <c r="T595" s="61"/>
      <c r="U595" s="61"/>
      <c r="V595" s="61"/>
      <c r="W595" s="61"/>
      <c r="X595" s="61"/>
      <c r="Y595" s="61"/>
      <c r="Z595" s="52"/>
      <c r="AA595" s="52"/>
      <c r="AB595" s="52"/>
      <c r="AC595" s="52"/>
      <c r="AD595" s="53"/>
      <c r="AE595" s="53"/>
      <c r="AF595" s="53"/>
    </row>
    <row r="596">
      <c r="G596" s="55"/>
      <c r="H596" s="54"/>
      <c r="I596" s="54"/>
      <c r="J596" s="54"/>
      <c r="K596" s="54"/>
      <c r="L596" s="54"/>
      <c r="M596" s="54"/>
      <c r="N596" s="59"/>
      <c r="O596" s="61"/>
      <c r="P596" s="61"/>
      <c r="Q596" s="61"/>
      <c r="R596" s="50"/>
      <c r="S596" s="50"/>
      <c r="T596" s="61"/>
      <c r="U596" s="61"/>
      <c r="V596" s="61"/>
      <c r="W596" s="61"/>
      <c r="X596" s="61"/>
      <c r="Y596" s="61"/>
      <c r="Z596" s="52"/>
      <c r="AA596" s="52"/>
      <c r="AB596" s="52"/>
      <c r="AC596" s="52"/>
      <c r="AD596" s="53"/>
      <c r="AE596" s="53"/>
      <c r="AF596" s="53"/>
    </row>
    <row r="597">
      <c r="G597" s="55"/>
      <c r="H597" s="54"/>
      <c r="I597" s="54"/>
      <c r="J597" s="54"/>
      <c r="K597" s="54"/>
      <c r="L597" s="54"/>
      <c r="M597" s="54"/>
      <c r="N597" s="59"/>
      <c r="O597" s="61"/>
      <c r="P597" s="61"/>
      <c r="Q597" s="61"/>
      <c r="R597" s="50"/>
      <c r="S597" s="50"/>
      <c r="T597" s="61"/>
      <c r="U597" s="61"/>
      <c r="V597" s="61"/>
      <c r="W597" s="61"/>
      <c r="X597" s="61"/>
      <c r="Y597" s="61"/>
      <c r="Z597" s="52"/>
      <c r="AA597" s="52"/>
      <c r="AB597" s="52"/>
      <c r="AC597" s="52"/>
      <c r="AD597" s="53"/>
      <c r="AE597" s="53"/>
      <c r="AF597" s="53"/>
    </row>
    <row r="598">
      <c r="G598" s="55"/>
      <c r="H598" s="54"/>
      <c r="I598" s="54"/>
      <c r="J598" s="54"/>
      <c r="K598" s="54"/>
      <c r="L598" s="54"/>
      <c r="M598" s="54"/>
      <c r="N598" s="59"/>
      <c r="O598" s="61"/>
      <c r="P598" s="61"/>
      <c r="Q598" s="61"/>
      <c r="R598" s="50"/>
      <c r="S598" s="50"/>
      <c r="T598" s="61"/>
      <c r="U598" s="61"/>
      <c r="V598" s="61"/>
      <c r="W598" s="61"/>
      <c r="X598" s="61"/>
      <c r="Y598" s="61"/>
      <c r="Z598" s="52"/>
      <c r="AA598" s="52"/>
      <c r="AB598" s="52"/>
      <c r="AC598" s="52"/>
      <c r="AD598" s="53"/>
      <c r="AE598" s="53"/>
      <c r="AF598" s="53"/>
    </row>
    <row r="599">
      <c r="G599" s="55"/>
      <c r="H599" s="54"/>
      <c r="I599" s="54"/>
      <c r="J599" s="54"/>
      <c r="K599" s="54"/>
      <c r="L599" s="54"/>
      <c r="M599" s="54"/>
      <c r="N599" s="59"/>
      <c r="O599" s="61"/>
      <c r="P599" s="61"/>
      <c r="Q599" s="61"/>
      <c r="R599" s="50"/>
      <c r="S599" s="50"/>
      <c r="T599" s="61"/>
      <c r="U599" s="61"/>
      <c r="V599" s="61"/>
      <c r="W599" s="61"/>
      <c r="X599" s="61"/>
      <c r="Y599" s="61"/>
      <c r="Z599" s="52"/>
      <c r="AA599" s="52"/>
      <c r="AB599" s="52"/>
      <c r="AC599" s="52"/>
      <c r="AD599" s="53"/>
      <c r="AE599" s="53"/>
      <c r="AF599" s="53"/>
    </row>
    <row r="600">
      <c r="G600" s="55"/>
      <c r="H600" s="54"/>
      <c r="I600" s="54"/>
      <c r="J600" s="54"/>
      <c r="K600" s="54"/>
      <c r="L600" s="54"/>
      <c r="M600" s="54"/>
      <c r="N600" s="59"/>
      <c r="O600" s="61"/>
      <c r="P600" s="61"/>
      <c r="Q600" s="61"/>
      <c r="R600" s="50"/>
      <c r="S600" s="50"/>
      <c r="T600" s="61"/>
      <c r="U600" s="61"/>
      <c r="V600" s="61"/>
      <c r="W600" s="61"/>
      <c r="X600" s="61"/>
      <c r="Y600" s="61"/>
      <c r="Z600" s="52"/>
      <c r="AA600" s="52"/>
      <c r="AB600" s="52"/>
      <c r="AC600" s="52"/>
      <c r="AD600" s="53"/>
      <c r="AE600" s="53"/>
      <c r="AF600" s="53"/>
    </row>
    <row r="601">
      <c r="G601" s="55"/>
      <c r="H601" s="54"/>
      <c r="I601" s="54"/>
      <c r="J601" s="54"/>
      <c r="K601" s="54"/>
      <c r="L601" s="54"/>
      <c r="M601" s="54"/>
      <c r="N601" s="59"/>
      <c r="O601" s="61"/>
      <c r="P601" s="61"/>
      <c r="Q601" s="61"/>
      <c r="R601" s="50"/>
      <c r="S601" s="50"/>
      <c r="T601" s="61"/>
      <c r="U601" s="61"/>
      <c r="V601" s="61"/>
      <c r="W601" s="61"/>
      <c r="X601" s="61"/>
      <c r="Y601" s="61"/>
      <c r="Z601" s="52"/>
      <c r="AA601" s="52"/>
      <c r="AB601" s="52"/>
      <c r="AC601" s="52"/>
      <c r="AD601" s="53"/>
      <c r="AE601" s="53"/>
      <c r="AF601" s="53"/>
    </row>
    <row r="602">
      <c r="G602" s="55"/>
      <c r="H602" s="54"/>
      <c r="I602" s="54"/>
      <c r="J602" s="54"/>
      <c r="K602" s="54"/>
      <c r="L602" s="54"/>
      <c r="M602" s="54"/>
      <c r="N602" s="59"/>
      <c r="O602" s="61"/>
      <c r="P602" s="61"/>
      <c r="Q602" s="61"/>
      <c r="R602" s="50"/>
      <c r="S602" s="50"/>
      <c r="T602" s="61"/>
      <c r="U602" s="61"/>
      <c r="V602" s="61"/>
      <c r="W602" s="61"/>
      <c r="X602" s="61"/>
      <c r="Y602" s="61"/>
      <c r="Z602" s="52"/>
      <c r="AA602" s="52"/>
      <c r="AB602" s="52"/>
      <c r="AC602" s="52"/>
      <c r="AD602" s="53"/>
      <c r="AE602" s="53"/>
      <c r="AF602" s="53"/>
    </row>
    <row r="603">
      <c r="G603" s="55"/>
      <c r="H603" s="54"/>
      <c r="I603" s="54"/>
      <c r="J603" s="54"/>
      <c r="K603" s="54"/>
      <c r="L603" s="54"/>
      <c r="M603" s="54"/>
      <c r="N603" s="59"/>
      <c r="O603" s="61"/>
      <c r="P603" s="61"/>
      <c r="Q603" s="61"/>
      <c r="R603" s="50"/>
      <c r="S603" s="50"/>
      <c r="T603" s="61"/>
      <c r="U603" s="61"/>
      <c r="V603" s="61"/>
      <c r="W603" s="61"/>
      <c r="X603" s="61"/>
      <c r="Y603" s="61"/>
      <c r="Z603" s="52"/>
      <c r="AA603" s="52"/>
      <c r="AB603" s="52"/>
      <c r="AC603" s="52"/>
      <c r="AD603" s="53"/>
      <c r="AE603" s="53"/>
      <c r="AF603" s="53"/>
    </row>
    <row r="604">
      <c r="G604" s="55"/>
      <c r="H604" s="54"/>
      <c r="I604" s="54"/>
      <c r="J604" s="54"/>
      <c r="K604" s="54"/>
      <c r="L604" s="54"/>
      <c r="M604" s="54"/>
      <c r="N604" s="59"/>
      <c r="O604" s="61"/>
      <c r="P604" s="61"/>
      <c r="Q604" s="61"/>
      <c r="R604" s="50"/>
      <c r="S604" s="50"/>
      <c r="T604" s="61"/>
      <c r="U604" s="61"/>
      <c r="V604" s="61"/>
      <c r="W604" s="61"/>
      <c r="X604" s="61"/>
      <c r="Y604" s="61"/>
      <c r="Z604" s="52"/>
      <c r="AA604" s="52"/>
      <c r="AB604" s="52"/>
      <c r="AC604" s="52"/>
      <c r="AD604" s="53"/>
      <c r="AE604" s="53"/>
      <c r="AF604" s="53"/>
    </row>
    <row r="605">
      <c r="G605" s="55"/>
      <c r="H605" s="54"/>
      <c r="I605" s="54"/>
      <c r="J605" s="54"/>
      <c r="K605" s="54"/>
      <c r="L605" s="54"/>
      <c r="M605" s="54"/>
      <c r="N605" s="59"/>
      <c r="O605" s="61"/>
      <c r="P605" s="61"/>
      <c r="Q605" s="61"/>
      <c r="R605" s="50"/>
      <c r="S605" s="50"/>
      <c r="T605" s="61"/>
      <c r="U605" s="61"/>
      <c r="V605" s="61"/>
      <c r="W605" s="61"/>
      <c r="X605" s="61"/>
      <c r="Y605" s="61"/>
      <c r="Z605" s="52"/>
      <c r="AA605" s="52"/>
      <c r="AB605" s="52"/>
      <c r="AC605" s="52"/>
      <c r="AD605" s="53"/>
      <c r="AE605" s="53"/>
      <c r="AF605" s="53"/>
    </row>
    <row r="606">
      <c r="G606" s="55"/>
      <c r="H606" s="54"/>
      <c r="I606" s="54"/>
      <c r="J606" s="54"/>
      <c r="K606" s="54"/>
      <c r="L606" s="54"/>
      <c r="M606" s="54"/>
      <c r="N606" s="59"/>
      <c r="O606" s="61"/>
      <c r="P606" s="61"/>
      <c r="Q606" s="61"/>
      <c r="R606" s="50"/>
      <c r="S606" s="50"/>
      <c r="T606" s="61"/>
      <c r="U606" s="61"/>
      <c r="V606" s="61"/>
      <c r="W606" s="61"/>
      <c r="X606" s="61"/>
      <c r="Y606" s="61"/>
      <c r="Z606" s="52"/>
      <c r="AA606" s="52"/>
      <c r="AB606" s="52"/>
      <c r="AC606" s="52"/>
      <c r="AD606" s="53"/>
      <c r="AE606" s="53"/>
      <c r="AF606" s="53"/>
    </row>
    <row r="607">
      <c r="G607" s="55"/>
      <c r="H607" s="54"/>
      <c r="I607" s="54"/>
      <c r="J607" s="54"/>
      <c r="K607" s="54"/>
      <c r="L607" s="54"/>
      <c r="M607" s="54"/>
      <c r="N607" s="59"/>
      <c r="O607" s="61"/>
      <c r="P607" s="61"/>
      <c r="Q607" s="61"/>
      <c r="R607" s="50"/>
      <c r="S607" s="50"/>
      <c r="T607" s="61"/>
      <c r="U607" s="61"/>
      <c r="V607" s="61"/>
      <c r="W607" s="61"/>
      <c r="X607" s="61"/>
      <c r="Y607" s="61"/>
      <c r="Z607" s="52"/>
      <c r="AA607" s="52"/>
      <c r="AB607" s="52"/>
      <c r="AC607" s="52"/>
      <c r="AD607" s="53"/>
      <c r="AE607" s="53"/>
      <c r="AF607" s="53"/>
    </row>
    <row r="608">
      <c r="G608" s="55"/>
      <c r="H608" s="54"/>
      <c r="I608" s="54"/>
      <c r="J608" s="54"/>
      <c r="K608" s="54"/>
      <c r="L608" s="54"/>
      <c r="M608" s="54"/>
      <c r="N608" s="59"/>
      <c r="O608" s="61"/>
      <c r="P608" s="61"/>
      <c r="Q608" s="61"/>
      <c r="R608" s="50"/>
      <c r="S608" s="50"/>
      <c r="T608" s="61"/>
      <c r="U608" s="61"/>
      <c r="V608" s="61"/>
      <c r="W608" s="61"/>
      <c r="X608" s="61"/>
      <c r="Y608" s="61"/>
      <c r="Z608" s="52"/>
      <c r="AA608" s="52"/>
      <c r="AB608" s="52"/>
      <c r="AC608" s="52"/>
      <c r="AD608" s="53"/>
      <c r="AE608" s="53"/>
      <c r="AF608" s="53"/>
    </row>
    <row r="609">
      <c r="G609" s="55"/>
      <c r="H609" s="54"/>
      <c r="I609" s="54"/>
      <c r="J609" s="54"/>
      <c r="K609" s="54"/>
      <c r="L609" s="54"/>
      <c r="M609" s="54"/>
      <c r="N609" s="59"/>
      <c r="O609" s="61"/>
      <c r="P609" s="61"/>
      <c r="Q609" s="61"/>
      <c r="R609" s="50"/>
      <c r="S609" s="50"/>
      <c r="T609" s="61"/>
      <c r="U609" s="61"/>
      <c r="V609" s="61"/>
      <c r="W609" s="61"/>
      <c r="X609" s="61"/>
      <c r="Y609" s="61"/>
      <c r="Z609" s="52"/>
      <c r="AA609" s="52"/>
      <c r="AB609" s="52"/>
      <c r="AC609" s="52"/>
      <c r="AD609" s="53"/>
      <c r="AE609" s="53"/>
      <c r="AF609" s="53"/>
    </row>
    <row r="610">
      <c r="G610" s="55"/>
      <c r="H610" s="54"/>
      <c r="I610" s="54"/>
      <c r="J610" s="54"/>
      <c r="K610" s="54"/>
      <c r="L610" s="54"/>
      <c r="M610" s="54"/>
      <c r="N610" s="59"/>
      <c r="O610" s="61"/>
      <c r="P610" s="61"/>
      <c r="Q610" s="61"/>
      <c r="R610" s="50"/>
      <c r="S610" s="50"/>
      <c r="T610" s="61"/>
      <c r="U610" s="61"/>
      <c r="V610" s="61"/>
      <c r="W610" s="61"/>
      <c r="X610" s="61"/>
      <c r="Y610" s="61"/>
      <c r="Z610" s="52"/>
      <c r="AA610" s="52"/>
      <c r="AB610" s="52"/>
      <c r="AC610" s="52"/>
      <c r="AD610" s="53"/>
      <c r="AE610" s="53"/>
      <c r="AF610" s="53"/>
    </row>
    <row r="611">
      <c r="G611" s="55"/>
      <c r="H611" s="54"/>
      <c r="I611" s="54"/>
      <c r="J611" s="54"/>
      <c r="K611" s="54"/>
      <c r="L611" s="54"/>
      <c r="M611" s="54"/>
      <c r="N611" s="59"/>
      <c r="O611" s="61"/>
      <c r="P611" s="61"/>
      <c r="Q611" s="61"/>
      <c r="R611" s="50"/>
      <c r="S611" s="50"/>
      <c r="T611" s="61"/>
      <c r="U611" s="61"/>
      <c r="V611" s="61"/>
      <c r="W611" s="61"/>
      <c r="X611" s="61"/>
      <c r="Y611" s="61"/>
      <c r="Z611" s="52"/>
      <c r="AA611" s="52"/>
      <c r="AB611" s="52"/>
      <c r="AC611" s="52"/>
      <c r="AD611" s="53"/>
      <c r="AE611" s="53"/>
      <c r="AF611" s="53"/>
    </row>
    <row r="612">
      <c r="G612" s="55"/>
      <c r="H612" s="54"/>
      <c r="I612" s="54"/>
      <c r="J612" s="54"/>
      <c r="K612" s="54"/>
      <c r="L612" s="54"/>
      <c r="M612" s="54"/>
      <c r="N612" s="59"/>
      <c r="O612" s="61"/>
      <c r="P612" s="61"/>
      <c r="Q612" s="61"/>
      <c r="R612" s="50"/>
      <c r="S612" s="50"/>
      <c r="T612" s="61"/>
      <c r="U612" s="61"/>
      <c r="V612" s="61"/>
      <c r="W612" s="61"/>
      <c r="X612" s="61"/>
      <c r="Y612" s="61"/>
      <c r="Z612" s="52"/>
      <c r="AA612" s="52"/>
      <c r="AB612" s="52"/>
      <c r="AC612" s="52"/>
      <c r="AD612" s="53"/>
      <c r="AE612" s="53"/>
      <c r="AF612" s="53"/>
    </row>
    <row r="613">
      <c r="G613" s="55"/>
      <c r="H613" s="54"/>
      <c r="I613" s="54"/>
      <c r="J613" s="54"/>
      <c r="K613" s="54"/>
      <c r="L613" s="54"/>
      <c r="M613" s="54"/>
      <c r="N613" s="59"/>
      <c r="O613" s="61"/>
      <c r="P613" s="61"/>
      <c r="Q613" s="61"/>
      <c r="R613" s="50"/>
      <c r="S613" s="50"/>
      <c r="T613" s="61"/>
      <c r="U613" s="61"/>
      <c r="V613" s="61"/>
      <c r="W613" s="61"/>
      <c r="X613" s="61"/>
      <c r="Y613" s="61"/>
      <c r="Z613" s="52"/>
      <c r="AA613" s="52"/>
      <c r="AB613" s="52"/>
      <c r="AC613" s="52"/>
      <c r="AD613" s="53"/>
      <c r="AE613" s="53"/>
      <c r="AF613" s="53"/>
    </row>
    <row r="614">
      <c r="G614" s="55"/>
      <c r="H614" s="54"/>
      <c r="I614" s="54"/>
      <c r="J614" s="54"/>
      <c r="K614" s="54"/>
      <c r="L614" s="54"/>
      <c r="M614" s="54"/>
      <c r="N614" s="59"/>
      <c r="O614" s="61"/>
      <c r="P614" s="61"/>
      <c r="Q614" s="61"/>
      <c r="R614" s="50"/>
      <c r="S614" s="50"/>
      <c r="T614" s="61"/>
      <c r="U614" s="61"/>
      <c r="V614" s="61"/>
      <c r="W614" s="61"/>
      <c r="X614" s="61"/>
      <c r="Y614" s="61"/>
      <c r="Z614" s="52"/>
      <c r="AA614" s="52"/>
      <c r="AB614" s="52"/>
      <c r="AC614" s="52"/>
      <c r="AD614" s="53"/>
      <c r="AE614" s="53"/>
      <c r="AF614" s="53"/>
    </row>
    <row r="615">
      <c r="G615" s="55"/>
      <c r="H615" s="54"/>
      <c r="I615" s="54"/>
      <c r="J615" s="54"/>
      <c r="K615" s="54"/>
      <c r="L615" s="54"/>
      <c r="M615" s="54"/>
      <c r="N615" s="59"/>
      <c r="O615" s="61"/>
      <c r="P615" s="61"/>
      <c r="Q615" s="61"/>
      <c r="R615" s="50"/>
      <c r="S615" s="50"/>
      <c r="T615" s="61"/>
      <c r="U615" s="61"/>
      <c r="V615" s="61"/>
      <c r="W615" s="61"/>
      <c r="X615" s="61"/>
      <c r="Y615" s="61"/>
      <c r="Z615" s="52"/>
      <c r="AA615" s="52"/>
      <c r="AB615" s="52"/>
      <c r="AC615" s="52"/>
      <c r="AD615" s="53"/>
      <c r="AE615" s="53"/>
      <c r="AF615" s="53"/>
    </row>
    <row r="616">
      <c r="G616" s="55"/>
      <c r="H616" s="54"/>
      <c r="I616" s="54"/>
      <c r="J616" s="54"/>
      <c r="K616" s="54"/>
      <c r="L616" s="54"/>
      <c r="M616" s="54"/>
      <c r="N616" s="59"/>
      <c r="O616" s="61"/>
      <c r="P616" s="61"/>
      <c r="Q616" s="61"/>
      <c r="R616" s="50"/>
      <c r="S616" s="50"/>
      <c r="T616" s="61"/>
      <c r="U616" s="61"/>
      <c r="V616" s="61"/>
      <c r="W616" s="61"/>
      <c r="X616" s="61"/>
      <c r="Y616" s="61"/>
      <c r="Z616" s="52"/>
      <c r="AA616" s="52"/>
      <c r="AB616" s="52"/>
      <c r="AC616" s="52"/>
      <c r="AD616" s="53"/>
      <c r="AE616" s="53"/>
      <c r="AF616" s="53"/>
    </row>
    <row r="617">
      <c r="G617" s="55"/>
      <c r="H617" s="54"/>
      <c r="I617" s="54"/>
      <c r="J617" s="54"/>
      <c r="K617" s="54"/>
      <c r="L617" s="54"/>
      <c r="M617" s="54"/>
      <c r="N617" s="59"/>
      <c r="O617" s="61"/>
      <c r="P617" s="61"/>
      <c r="Q617" s="61"/>
      <c r="R617" s="50"/>
      <c r="S617" s="50"/>
      <c r="T617" s="61"/>
      <c r="U617" s="61"/>
      <c r="V617" s="61"/>
      <c r="W617" s="61"/>
      <c r="X617" s="61"/>
      <c r="Y617" s="61"/>
      <c r="Z617" s="52"/>
      <c r="AA617" s="52"/>
      <c r="AB617" s="52"/>
      <c r="AC617" s="52"/>
      <c r="AD617" s="53"/>
      <c r="AE617" s="53"/>
      <c r="AF617" s="53"/>
    </row>
    <row r="618">
      <c r="G618" s="55"/>
      <c r="H618" s="54"/>
      <c r="I618" s="54"/>
      <c r="J618" s="54"/>
      <c r="K618" s="54"/>
      <c r="L618" s="54"/>
      <c r="M618" s="54"/>
      <c r="N618" s="59"/>
      <c r="O618" s="61"/>
      <c r="P618" s="61"/>
      <c r="Q618" s="61"/>
      <c r="R618" s="50"/>
      <c r="S618" s="50"/>
      <c r="T618" s="61"/>
      <c r="U618" s="61"/>
      <c r="V618" s="61"/>
      <c r="W618" s="61"/>
      <c r="X618" s="61"/>
      <c r="Y618" s="61"/>
      <c r="Z618" s="52"/>
      <c r="AA618" s="52"/>
      <c r="AB618" s="52"/>
      <c r="AC618" s="52"/>
      <c r="AD618" s="53"/>
      <c r="AE618" s="53"/>
      <c r="AF618" s="53"/>
    </row>
    <row r="619">
      <c r="G619" s="55"/>
      <c r="H619" s="54"/>
      <c r="I619" s="54"/>
      <c r="J619" s="54"/>
      <c r="K619" s="54"/>
      <c r="L619" s="54"/>
      <c r="M619" s="54"/>
      <c r="N619" s="59"/>
      <c r="O619" s="61"/>
      <c r="P619" s="61"/>
      <c r="Q619" s="61"/>
      <c r="R619" s="50"/>
      <c r="S619" s="50"/>
      <c r="T619" s="61"/>
      <c r="U619" s="61"/>
      <c r="V619" s="61"/>
      <c r="W619" s="61"/>
      <c r="X619" s="61"/>
      <c r="Y619" s="61"/>
      <c r="Z619" s="52"/>
      <c r="AA619" s="52"/>
      <c r="AB619" s="52"/>
      <c r="AC619" s="52"/>
      <c r="AD619" s="53"/>
      <c r="AE619" s="53"/>
      <c r="AF619" s="53"/>
    </row>
    <row r="620">
      <c r="G620" s="55"/>
      <c r="H620" s="54"/>
      <c r="I620" s="54"/>
      <c r="J620" s="54"/>
      <c r="K620" s="54"/>
      <c r="L620" s="54"/>
      <c r="M620" s="54"/>
      <c r="N620" s="59"/>
      <c r="O620" s="61"/>
      <c r="P620" s="61"/>
      <c r="Q620" s="61"/>
      <c r="R620" s="50"/>
      <c r="S620" s="50"/>
      <c r="T620" s="61"/>
      <c r="U620" s="61"/>
      <c r="V620" s="61"/>
      <c r="W620" s="61"/>
      <c r="X620" s="61"/>
      <c r="Y620" s="61"/>
      <c r="Z620" s="52"/>
      <c r="AA620" s="52"/>
      <c r="AB620" s="52"/>
      <c r="AC620" s="52"/>
      <c r="AD620" s="53"/>
      <c r="AE620" s="53"/>
      <c r="AF620" s="53"/>
    </row>
    <row r="621">
      <c r="G621" s="55"/>
      <c r="H621" s="54"/>
      <c r="I621" s="54"/>
      <c r="J621" s="54"/>
      <c r="K621" s="54"/>
      <c r="L621" s="54"/>
      <c r="M621" s="54"/>
      <c r="N621" s="59"/>
      <c r="O621" s="61"/>
      <c r="P621" s="61"/>
      <c r="Q621" s="61"/>
      <c r="R621" s="50"/>
      <c r="S621" s="50"/>
      <c r="T621" s="61"/>
      <c r="U621" s="61"/>
      <c r="V621" s="61"/>
      <c r="W621" s="61"/>
      <c r="X621" s="61"/>
      <c r="Y621" s="61"/>
      <c r="Z621" s="52"/>
      <c r="AA621" s="52"/>
      <c r="AB621" s="52"/>
      <c r="AC621" s="52"/>
      <c r="AD621" s="53"/>
      <c r="AE621" s="53"/>
      <c r="AF621" s="53"/>
    </row>
    <row r="622">
      <c r="G622" s="55"/>
      <c r="H622" s="54"/>
      <c r="I622" s="54"/>
      <c r="J622" s="54"/>
      <c r="K622" s="54"/>
      <c r="L622" s="54"/>
      <c r="M622" s="54"/>
      <c r="N622" s="59"/>
      <c r="O622" s="61"/>
      <c r="P622" s="61"/>
      <c r="Q622" s="61"/>
      <c r="R622" s="50"/>
      <c r="S622" s="50"/>
      <c r="T622" s="61"/>
      <c r="U622" s="61"/>
      <c r="V622" s="61"/>
      <c r="W622" s="61"/>
      <c r="X622" s="61"/>
      <c r="Y622" s="61"/>
      <c r="Z622" s="52"/>
      <c r="AA622" s="52"/>
      <c r="AB622" s="52"/>
      <c r="AC622" s="52"/>
      <c r="AD622" s="53"/>
      <c r="AE622" s="53"/>
      <c r="AF622" s="53"/>
    </row>
    <row r="623">
      <c r="G623" s="55"/>
      <c r="H623" s="54"/>
      <c r="I623" s="54"/>
      <c r="J623" s="54"/>
      <c r="K623" s="54"/>
      <c r="L623" s="54"/>
      <c r="M623" s="54"/>
      <c r="N623" s="59"/>
      <c r="O623" s="61"/>
      <c r="P623" s="61"/>
      <c r="Q623" s="61"/>
      <c r="R623" s="50"/>
      <c r="S623" s="50"/>
      <c r="T623" s="61"/>
      <c r="U623" s="61"/>
      <c r="V623" s="61"/>
      <c r="W623" s="61"/>
      <c r="X623" s="61"/>
      <c r="Y623" s="61"/>
      <c r="Z623" s="52"/>
      <c r="AA623" s="52"/>
      <c r="AB623" s="52"/>
      <c r="AC623" s="52"/>
      <c r="AD623" s="53"/>
      <c r="AE623" s="53"/>
      <c r="AF623" s="53"/>
    </row>
    <row r="624">
      <c r="G624" s="55"/>
      <c r="H624" s="54"/>
      <c r="I624" s="54"/>
      <c r="J624" s="54"/>
      <c r="K624" s="54"/>
      <c r="L624" s="54"/>
      <c r="M624" s="54"/>
      <c r="N624" s="59"/>
      <c r="O624" s="61"/>
      <c r="P624" s="61"/>
      <c r="Q624" s="61"/>
      <c r="R624" s="50"/>
      <c r="S624" s="50"/>
      <c r="T624" s="61"/>
      <c r="U624" s="61"/>
      <c r="V624" s="61"/>
      <c r="W624" s="61"/>
      <c r="X624" s="61"/>
      <c r="Y624" s="61"/>
      <c r="Z624" s="52"/>
      <c r="AA624" s="52"/>
      <c r="AB624" s="52"/>
      <c r="AC624" s="52"/>
      <c r="AD624" s="53"/>
      <c r="AE624" s="53"/>
      <c r="AF624" s="53"/>
    </row>
    <row r="625">
      <c r="G625" s="55"/>
      <c r="H625" s="54"/>
      <c r="I625" s="54"/>
      <c r="J625" s="54"/>
      <c r="K625" s="54"/>
      <c r="L625" s="54"/>
      <c r="M625" s="54"/>
      <c r="N625" s="59"/>
      <c r="O625" s="61"/>
      <c r="P625" s="61"/>
      <c r="Q625" s="61"/>
      <c r="R625" s="50"/>
      <c r="S625" s="50"/>
      <c r="T625" s="61"/>
      <c r="U625" s="61"/>
      <c r="V625" s="61"/>
      <c r="W625" s="61"/>
      <c r="X625" s="61"/>
      <c r="Y625" s="61"/>
      <c r="Z625" s="52"/>
      <c r="AA625" s="52"/>
      <c r="AB625" s="52"/>
      <c r="AC625" s="52"/>
      <c r="AD625" s="53"/>
      <c r="AE625" s="53"/>
      <c r="AF625" s="53"/>
    </row>
    <row r="626">
      <c r="G626" s="55"/>
      <c r="H626" s="54"/>
      <c r="I626" s="54"/>
      <c r="J626" s="54"/>
      <c r="K626" s="54"/>
      <c r="L626" s="54"/>
      <c r="M626" s="54"/>
      <c r="N626" s="59"/>
      <c r="O626" s="61"/>
      <c r="P626" s="61"/>
      <c r="Q626" s="61"/>
      <c r="R626" s="50"/>
      <c r="S626" s="50"/>
      <c r="T626" s="61"/>
      <c r="U626" s="61"/>
      <c r="V626" s="61"/>
      <c r="W626" s="61"/>
      <c r="X626" s="61"/>
      <c r="Y626" s="61"/>
      <c r="Z626" s="52"/>
      <c r="AA626" s="52"/>
      <c r="AB626" s="52"/>
      <c r="AC626" s="52"/>
      <c r="AD626" s="53"/>
      <c r="AE626" s="53"/>
      <c r="AF626" s="53"/>
    </row>
    <row r="627">
      <c r="G627" s="55"/>
      <c r="H627" s="54"/>
      <c r="I627" s="54"/>
      <c r="J627" s="54"/>
      <c r="K627" s="54"/>
      <c r="L627" s="54"/>
      <c r="M627" s="54"/>
      <c r="N627" s="59"/>
      <c r="O627" s="61"/>
      <c r="P627" s="61"/>
      <c r="Q627" s="61"/>
      <c r="R627" s="50"/>
      <c r="S627" s="50"/>
      <c r="T627" s="61"/>
      <c r="U627" s="61"/>
      <c r="V627" s="61"/>
      <c r="W627" s="61"/>
      <c r="X627" s="61"/>
      <c r="Y627" s="61"/>
      <c r="Z627" s="52"/>
      <c r="AA627" s="52"/>
      <c r="AB627" s="52"/>
      <c r="AC627" s="52"/>
      <c r="AD627" s="53"/>
      <c r="AE627" s="53"/>
      <c r="AF627" s="53"/>
    </row>
    <row r="628">
      <c r="G628" s="55"/>
      <c r="H628" s="54"/>
      <c r="I628" s="54"/>
      <c r="J628" s="54"/>
      <c r="K628" s="54"/>
      <c r="L628" s="54"/>
      <c r="M628" s="54"/>
      <c r="N628" s="59"/>
      <c r="O628" s="61"/>
      <c r="P628" s="61"/>
      <c r="Q628" s="61"/>
      <c r="R628" s="50"/>
      <c r="S628" s="50"/>
      <c r="T628" s="61"/>
      <c r="U628" s="61"/>
      <c r="V628" s="61"/>
      <c r="W628" s="61"/>
      <c r="X628" s="61"/>
      <c r="Y628" s="61"/>
      <c r="Z628" s="52"/>
      <c r="AA628" s="52"/>
      <c r="AB628" s="52"/>
      <c r="AC628" s="52"/>
      <c r="AD628" s="53"/>
      <c r="AE628" s="53"/>
      <c r="AF628" s="53"/>
    </row>
    <row r="629">
      <c r="G629" s="55"/>
      <c r="H629" s="54"/>
      <c r="I629" s="54"/>
      <c r="J629" s="54"/>
      <c r="K629" s="54"/>
      <c r="L629" s="54"/>
      <c r="M629" s="54"/>
      <c r="N629" s="59"/>
      <c r="O629" s="61"/>
      <c r="P629" s="61"/>
      <c r="Q629" s="61"/>
      <c r="R629" s="50"/>
      <c r="S629" s="50"/>
      <c r="T629" s="61"/>
      <c r="U629" s="61"/>
      <c r="V629" s="61"/>
      <c r="W629" s="61"/>
      <c r="X629" s="61"/>
      <c r="Y629" s="61"/>
      <c r="Z629" s="52"/>
      <c r="AA629" s="52"/>
      <c r="AB629" s="52"/>
      <c r="AC629" s="52"/>
      <c r="AD629" s="53"/>
      <c r="AE629" s="53"/>
      <c r="AF629" s="53"/>
    </row>
    <row r="630">
      <c r="G630" s="55"/>
      <c r="H630" s="54"/>
      <c r="I630" s="54"/>
      <c r="J630" s="54"/>
      <c r="K630" s="54"/>
      <c r="L630" s="54"/>
      <c r="M630" s="54"/>
      <c r="N630" s="59"/>
      <c r="O630" s="61"/>
      <c r="P630" s="61"/>
      <c r="Q630" s="61"/>
      <c r="R630" s="50"/>
      <c r="S630" s="50"/>
      <c r="T630" s="61"/>
      <c r="U630" s="61"/>
      <c r="V630" s="61"/>
      <c r="W630" s="61"/>
      <c r="X630" s="61"/>
      <c r="Y630" s="61"/>
      <c r="Z630" s="52"/>
      <c r="AA630" s="52"/>
      <c r="AB630" s="52"/>
      <c r="AC630" s="52"/>
      <c r="AD630" s="53"/>
      <c r="AE630" s="53"/>
      <c r="AF630" s="53"/>
    </row>
    <row r="631">
      <c r="G631" s="55"/>
      <c r="H631" s="54"/>
      <c r="I631" s="54"/>
      <c r="J631" s="54"/>
      <c r="K631" s="54"/>
      <c r="L631" s="54"/>
      <c r="M631" s="54"/>
      <c r="N631" s="59"/>
      <c r="O631" s="61"/>
      <c r="P631" s="61"/>
      <c r="Q631" s="61"/>
      <c r="R631" s="50"/>
      <c r="S631" s="50"/>
      <c r="T631" s="61"/>
      <c r="U631" s="61"/>
      <c r="V631" s="61"/>
      <c r="W631" s="61"/>
      <c r="X631" s="61"/>
      <c r="Y631" s="61"/>
      <c r="Z631" s="52"/>
      <c r="AA631" s="52"/>
      <c r="AB631" s="52"/>
      <c r="AC631" s="52"/>
      <c r="AD631" s="53"/>
      <c r="AE631" s="53"/>
      <c r="AF631" s="53"/>
    </row>
    <row r="632">
      <c r="G632" s="55"/>
      <c r="H632" s="54"/>
      <c r="I632" s="54"/>
      <c r="J632" s="54"/>
      <c r="K632" s="54"/>
      <c r="L632" s="54"/>
      <c r="M632" s="54"/>
      <c r="N632" s="59"/>
      <c r="O632" s="61"/>
      <c r="P632" s="61"/>
      <c r="Q632" s="61"/>
      <c r="R632" s="50"/>
      <c r="S632" s="50"/>
      <c r="T632" s="61"/>
      <c r="U632" s="61"/>
      <c r="V632" s="61"/>
      <c r="W632" s="61"/>
      <c r="X632" s="61"/>
      <c r="Y632" s="61"/>
      <c r="Z632" s="52"/>
      <c r="AA632" s="52"/>
      <c r="AB632" s="52"/>
      <c r="AC632" s="52"/>
      <c r="AD632" s="53"/>
      <c r="AE632" s="53"/>
      <c r="AF632" s="53"/>
    </row>
    <row r="633">
      <c r="G633" s="55"/>
      <c r="H633" s="54"/>
      <c r="I633" s="54"/>
      <c r="J633" s="54"/>
      <c r="K633" s="54"/>
      <c r="L633" s="54"/>
      <c r="M633" s="54"/>
      <c r="N633" s="59"/>
      <c r="O633" s="61"/>
      <c r="P633" s="61"/>
      <c r="Q633" s="61"/>
      <c r="R633" s="50"/>
      <c r="S633" s="50"/>
      <c r="T633" s="61"/>
      <c r="U633" s="61"/>
      <c r="V633" s="61"/>
      <c r="W633" s="61"/>
      <c r="X633" s="61"/>
      <c r="Y633" s="61"/>
      <c r="Z633" s="52"/>
      <c r="AA633" s="52"/>
      <c r="AB633" s="52"/>
      <c r="AC633" s="52"/>
      <c r="AD633" s="53"/>
      <c r="AE633" s="53"/>
      <c r="AF633" s="53"/>
    </row>
    <row r="634">
      <c r="G634" s="55"/>
      <c r="H634" s="54"/>
      <c r="I634" s="54"/>
      <c r="J634" s="54"/>
      <c r="K634" s="54"/>
      <c r="L634" s="54"/>
      <c r="M634" s="54"/>
      <c r="N634" s="59"/>
      <c r="O634" s="61"/>
      <c r="P634" s="61"/>
      <c r="Q634" s="61"/>
      <c r="R634" s="50"/>
      <c r="S634" s="50"/>
      <c r="T634" s="61"/>
      <c r="U634" s="61"/>
      <c r="V634" s="61"/>
      <c r="W634" s="61"/>
      <c r="X634" s="61"/>
      <c r="Y634" s="61"/>
      <c r="Z634" s="52"/>
      <c r="AA634" s="52"/>
      <c r="AB634" s="52"/>
      <c r="AC634" s="52"/>
      <c r="AD634" s="53"/>
      <c r="AE634" s="53"/>
      <c r="AF634" s="53"/>
    </row>
    <row r="635">
      <c r="G635" s="55"/>
      <c r="H635" s="54"/>
      <c r="I635" s="54"/>
      <c r="J635" s="54"/>
      <c r="K635" s="54"/>
      <c r="L635" s="54"/>
      <c r="M635" s="54"/>
      <c r="N635" s="59"/>
      <c r="O635" s="61"/>
      <c r="P635" s="61"/>
      <c r="Q635" s="61"/>
      <c r="R635" s="50"/>
      <c r="S635" s="50"/>
      <c r="T635" s="61"/>
      <c r="U635" s="61"/>
      <c r="V635" s="61"/>
      <c r="W635" s="61"/>
      <c r="X635" s="61"/>
      <c r="Y635" s="61"/>
      <c r="Z635" s="52"/>
      <c r="AA635" s="52"/>
      <c r="AB635" s="52"/>
      <c r="AC635" s="52"/>
      <c r="AD635" s="53"/>
      <c r="AE635" s="53"/>
      <c r="AF635" s="53"/>
    </row>
    <row r="636">
      <c r="G636" s="55"/>
      <c r="H636" s="54"/>
      <c r="I636" s="54"/>
      <c r="J636" s="54"/>
      <c r="K636" s="54"/>
      <c r="L636" s="54"/>
      <c r="M636" s="54"/>
      <c r="N636" s="59"/>
      <c r="O636" s="61"/>
      <c r="P636" s="61"/>
      <c r="Q636" s="61"/>
      <c r="R636" s="50"/>
      <c r="S636" s="50"/>
      <c r="T636" s="61"/>
      <c r="U636" s="61"/>
      <c r="V636" s="61"/>
      <c r="W636" s="61"/>
      <c r="X636" s="61"/>
      <c r="Y636" s="61"/>
      <c r="Z636" s="52"/>
      <c r="AA636" s="52"/>
      <c r="AB636" s="52"/>
      <c r="AC636" s="52"/>
      <c r="AD636" s="53"/>
      <c r="AE636" s="53"/>
      <c r="AF636" s="53"/>
    </row>
    <row r="637">
      <c r="G637" s="55"/>
      <c r="H637" s="54"/>
      <c r="I637" s="54"/>
      <c r="J637" s="54"/>
      <c r="K637" s="54"/>
      <c r="L637" s="54"/>
      <c r="M637" s="54"/>
      <c r="N637" s="59"/>
      <c r="O637" s="61"/>
      <c r="P637" s="61"/>
      <c r="Q637" s="61"/>
      <c r="R637" s="50"/>
      <c r="S637" s="50"/>
      <c r="T637" s="61"/>
      <c r="U637" s="61"/>
      <c r="V637" s="61"/>
      <c r="W637" s="61"/>
      <c r="X637" s="61"/>
      <c r="Y637" s="61"/>
      <c r="Z637" s="52"/>
      <c r="AA637" s="52"/>
      <c r="AB637" s="52"/>
      <c r="AC637" s="52"/>
      <c r="AD637" s="53"/>
      <c r="AE637" s="53"/>
      <c r="AF637" s="53"/>
    </row>
    <row r="638">
      <c r="G638" s="55"/>
      <c r="H638" s="54"/>
      <c r="I638" s="54"/>
      <c r="J638" s="54"/>
      <c r="K638" s="54"/>
      <c r="L638" s="54"/>
      <c r="M638" s="54"/>
      <c r="N638" s="59"/>
      <c r="O638" s="61"/>
      <c r="P638" s="61"/>
      <c r="Q638" s="61"/>
      <c r="R638" s="50"/>
      <c r="S638" s="50"/>
      <c r="T638" s="61"/>
      <c r="U638" s="61"/>
      <c r="V638" s="61"/>
      <c r="W638" s="61"/>
      <c r="X638" s="61"/>
      <c r="Y638" s="61"/>
      <c r="Z638" s="52"/>
      <c r="AA638" s="52"/>
      <c r="AB638" s="52"/>
      <c r="AC638" s="52"/>
      <c r="AD638" s="53"/>
      <c r="AE638" s="53"/>
      <c r="AF638" s="53"/>
    </row>
    <row r="639">
      <c r="G639" s="55"/>
      <c r="H639" s="54"/>
      <c r="I639" s="54"/>
      <c r="J639" s="54"/>
      <c r="K639" s="54"/>
      <c r="L639" s="54"/>
      <c r="M639" s="54"/>
      <c r="N639" s="59"/>
      <c r="O639" s="61"/>
      <c r="P639" s="61"/>
      <c r="Q639" s="61"/>
      <c r="R639" s="50"/>
      <c r="S639" s="50"/>
      <c r="T639" s="61"/>
      <c r="U639" s="61"/>
      <c r="V639" s="61"/>
      <c r="W639" s="61"/>
      <c r="X639" s="61"/>
      <c r="Y639" s="61"/>
      <c r="Z639" s="52"/>
      <c r="AA639" s="52"/>
      <c r="AB639" s="52"/>
      <c r="AC639" s="52"/>
      <c r="AD639" s="53"/>
      <c r="AE639" s="53"/>
      <c r="AF639" s="53"/>
    </row>
    <row r="640">
      <c r="G640" s="55"/>
      <c r="H640" s="54"/>
      <c r="I640" s="54"/>
      <c r="J640" s="54"/>
      <c r="K640" s="54"/>
      <c r="L640" s="54"/>
      <c r="M640" s="54"/>
      <c r="N640" s="59"/>
      <c r="O640" s="61"/>
      <c r="P640" s="61"/>
      <c r="Q640" s="61"/>
      <c r="R640" s="50"/>
      <c r="S640" s="50"/>
      <c r="T640" s="61"/>
      <c r="U640" s="61"/>
      <c r="V640" s="61"/>
      <c r="W640" s="61"/>
      <c r="X640" s="61"/>
      <c r="Y640" s="61"/>
      <c r="Z640" s="52"/>
      <c r="AA640" s="52"/>
      <c r="AB640" s="52"/>
      <c r="AC640" s="52"/>
      <c r="AD640" s="53"/>
      <c r="AE640" s="53"/>
      <c r="AF640" s="53"/>
    </row>
    <row r="641">
      <c r="G641" s="55"/>
      <c r="H641" s="54"/>
      <c r="I641" s="54"/>
      <c r="J641" s="54"/>
      <c r="K641" s="54"/>
      <c r="L641" s="54"/>
      <c r="M641" s="54"/>
      <c r="N641" s="59"/>
      <c r="O641" s="61"/>
      <c r="P641" s="61"/>
      <c r="Q641" s="61"/>
      <c r="R641" s="50"/>
      <c r="S641" s="50"/>
      <c r="T641" s="61"/>
      <c r="U641" s="61"/>
      <c r="V641" s="61"/>
      <c r="W641" s="61"/>
      <c r="X641" s="61"/>
      <c r="Y641" s="61"/>
      <c r="Z641" s="52"/>
      <c r="AA641" s="52"/>
      <c r="AB641" s="52"/>
      <c r="AC641" s="52"/>
      <c r="AD641" s="53"/>
      <c r="AE641" s="53"/>
      <c r="AF641" s="53"/>
    </row>
    <row r="642">
      <c r="G642" s="55"/>
      <c r="H642" s="54"/>
      <c r="I642" s="54"/>
      <c r="J642" s="54"/>
      <c r="K642" s="54"/>
      <c r="L642" s="54"/>
      <c r="M642" s="54"/>
      <c r="N642" s="59"/>
      <c r="O642" s="61"/>
      <c r="P642" s="61"/>
      <c r="Q642" s="61"/>
      <c r="R642" s="50"/>
      <c r="S642" s="50"/>
      <c r="T642" s="61"/>
      <c r="U642" s="61"/>
      <c r="V642" s="61"/>
      <c r="W642" s="61"/>
      <c r="X642" s="61"/>
      <c r="Y642" s="61"/>
      <c r="Z642" s="52"/>
      <c r="AA642" s="52"/>
      <c r="AB642" s="52"/>
      <c r="AC642" s="52"/>
      <c r="AD642" s="53"/>
      <c r="AE642" s="53"/>
      <c r="AF642" s="53"/>
    </row>
    <row r="643">
      <c r="G643" s="55"/>
      <c r="H643" s="54"/>
      <c r="I643" s="54"/>
      <c r="J643" s="54"/>
      <c r="K643" s="54"/>
      <c r="L643" s="54"/>
      <c r="M643" s="54"/>
      <c r="N643" s="59"/>
      <c r="O643" s="61"/>
      <c r="P643" s="61"/>
      <c r="Q643" s="61"/>
      <c r="R643" s="50"/>
      <c r="S643" s="50"/>
      <c r="T643" s="61"/>
      <c r="U643" s="61"/>
      <c r="V643" s="61"/>
      <c r="W643" s="61"/>
      <c r="X643" s="61"/>
      <c r="Y643" s="61"/>
      <c r="Z643" s="52"/>
      <c r="AA643" s="52"/>
      <c r="AB643" s="52"/>
      <c r="AC643" s="52"/>
      <c r="AD643" s="53"/>
      <c r="AE643" s="53"/>
      <c r="AF643" s="53"/>
    </row>
    <row r="644">
      <c r="G644" s="55"/>
      <c r="H644" s="54"/>
      <c r="I644" s="54"/>
      <c r="J644" s="54"/>
      <c r="K644" s="54"/>
      <c r="L644" s="54"/>
      <c r="M644" s="54"/>
      <c r="N644" s="59"/>
      <c r="O644" s="61"/>
      <c r="P644" s="61"/>
      <c r="Q644" s="61"/>
      <c r="R644" s="50"/>
      <c r="S644" s="50"/>
      <c r="T644" s="61"/>
      <c r="U644" s="61"/>
      <c r="V644" s="61"/>
      <c r="W644" s="61"/>
      <c r="X644" s="61"/>
      <c r="Y644" s="61"/>
      <c r="Z644" s="52"/>
      <c r="AA644" s="52"/>
      <c r="AB644" s="52"/>
      <c r="AC644" s="52"/>
      <c r="AD644" s="53"/>
      <c r="AE644" s="53"/>
      <c r="AF644" s="53"/>
    </row>
    <row r="645">
      <c r="G645" s="55"/>
      <c r="H645" s="54"/>
      <c r="I645" s="54"/>
      <c r="J645" s="54"/>
      <c r="K645" s="54"/>
      <c r="L645" s="54"/>
      <c r="M645" s="54"/>
      <c r="N645" s="59"/>
      <c r="O645" s="61"/>
      <c r="P645" s="61"/>
      <c r="Q645" s="61"/>
      <c r="R645" s="50"/>
      <c r="S645" s="50"/>
      <c r="T645" s="61"/>
      <c r="U645" s="61"/>
      <c r="V645" s="61"/>
      <c r="W645" s="61"/>
      <c r="X645" s="61"/>
      <c r="Y645" s="61"/>
      <c r="Z645" s="52"/>
      <c r="AA645" s="52"/>
      <c r="AB645" s="52"/>
      <c r="AC645" s="52"/>
      <c r="AD645" s="53"/>
      <c r="AE645" s="53"/>
      <c r="AF645" s="53"/>
    </row>
    <row r="646">
      <c r="G646" s="55"/>
      <c r="H646" s="54"/>
      <c r="I646" s="54"/>
      <c r="J646" s="54"/>
      <c r="K646" s="54"/>
      <c r="L646" s="54"/>
      <c r="M646" s="54"/>
      <c r="N646" s="59"/>
      <c r="O646" s="61"/>
      <c r="P646" s="61"/>
      <c r="Q646" s="61"/>
      <c r="R646" s="50"/>
      <c r="S646" s="50"/>
      <c r="T646" s="61"/>
      <c r="U646" s="61"/>
      <c r="V646" s="61"/>
      <c r="W646" s="61"/>
      <c r="X646" s="61"/>
      <c r="Y646" s="61"/>
      <c r="Z646" s="52"/>
      <c r="AA646" s="52"/>
      <c r="AB646" s="52"/>
      <c r="AC646" s="52"/>
      <c r="AD646" s="53"/>
      <c r="AE646" s="53"/>
      <c r="AF646" s="53"/>
    </row>
    <row r="647">
      <c r="G647" s="55"/>
      <c r="H647" s="54"/>
      <c r="I647" s="54"/>
      <c r="J647" s="54"/>
      <c r="K647" s="54"/>
      <c r="L647" s="54"/>
      <c r="M647" s="54"/>
      <c r="N647" s="59"/>
      <c r="O647" s="61"/>
      <c r="P647" s="61"/>
      <c r="Q647" s="61"/>
      <c r="R647" s="50"/>
      <c r="S647" s="50"/>
      <c r="T647" s="61"/>
      <c r="U647" s="61"/>
      <c r="V647" s="61"/>
      <c r="W647" s="61"/>
      <c r="X647" s="61"/>
      <c r="Y647" s="61"/>
      <c r="Z647" s="52"/>
      <c r="AA647" s="52"/>
      <c r="AB647" s="52"/>
      <c r="AC647" s="52"/>
      <c r="AD647" s="53"/>
      <c r="AE647" s="53"/>
      <c r="AF647" s="53"/>
    </row>
    <row r="648">
      <c r="G648" s="55"/>
      <c r="H648" s="54"/>
      <c r="I648" s="54"/>
      <c r="J648" s="54"/>
      <c r="K648" s="54"/>
      <c r="L648" s="54"/>
      <c r="M648" s="54"/>
      <c r="N648" s="59"/>
      <c r="O648" s="61"/>
      <c r="P648" s="61"/>
      <c r="Q648" s="61"/>
      <c r="R648" s="50"/>
      <c r="S648" s="50"/>
      <c r="T648" s="61"/>
      <c r="U648" s="61"/>
      <c r="V648" s="61"/>
      <c r="W648" s="61"/>
      <c r="X648" s="61"/>
      <c r="Y648" s="61"/>
      <c r="Z648" s="52"/>
      <c r="AA648" s="52"/>
      <c r="AB648" s="52"/>
      <c r="AC648" s="52"/>
      <c r="AD648" s="53"/>
      <c r="AE648" s="53"/>
      <c r="AF648" s="53"/>
    </row>
    <row r="649">
      <c r="G649" s="55"/>
      <c r="H649" s="54"/>
      <c r="I649" s="54"/>
      <c r="J649" s="54"/>
      <c r="K649" s="54"/>
      <c r="L649" s="54"/>
      <c r="M649" s="54"/>
      <c r="N649" s="59"/>
      <c r="O649" s="61"/>
      <c r="P649" s="61"/>
      <c r="Q649" s="61"/>
      <c r="R649" s="50"/>
      <c r="S649" s="50"/>
      <c r="T649" s="61"/>
      <c r="U649" s="61"/>
      <c r="V649" s="61"/>
      <c r="W649" s="61"/>
      <c r="X649" s="61"/>
      <c r="Y649" s="61"/>
      <c r="Z649" s="52"/>
      <c r="AA649" s="52"/>
      <c r="AB649" s="52"/>
      <c r="AC649" s="52"/>
      <c r="AD649" s="53"/>
      <c r="AE649" s="53"/>
      <c r="AF649" s="53"/>
    </row>
    <row r="650">
      <c r="G650" s="55"/>
      <c r="H650" s="54"/>
      <c r="I650" s="54"/>
      <c r="J650" s="54"/>
      <c r="K650" s="54"/>
      <c r="L650" s="54"/>
      <c r="M650" s="54"/>
      <c r="N650" s="59"/>
      <c r="O650" s="61"/>
      <c r="P650" s="61"/>
      <c r="Q650" s="61"/>
      <c r="R650" s="50"/>
      <c r="S650" s="50"/>
      <c r="T650" s="61"/>
      <c r="U650" s="61"/>
      <c r="V650" s="61"/>
      <c r="W650" s="61"/>
      <c r="X650" s="61"/>
      <c r="Y650" s="61"/>
      <c r="Z650" s="52"/>
      <c r="AA650" s="52"/>
      <c r="AB650" s="52"/>
      <c r="AC650" s="52"/>
      <c r="AD650" s="53"/>
      <c r="AE650" s="53"/>
      <c r="AF650" s="53"/>
    </row>
    <row r="651">
      <c r="G651" s="55"/>
      <c r="H651" s="54"/>
      <c r="I651" s="54"/>
      <c r="J651" s="54"/>
      <c r="K651" s="54"/>
      <c r="L651" s="54"/>
      <c r="M651" s="54"/>
      <c r="N651" s="59"/>
      <c r="O651" s="61"/>
      <c r="P651" s="61"/>
      <c r="Q651" s="61"/>
      <c r="R651" s="50"/>
      <c r="S651" s="50"/>
      <c r="T651" s="61"/>
      <c r="U651" s="61"/>
      <c r="V651" s="61"/>
      <c r="W651" s="61"/>
      <c r="X651" s="61"/>
      <c r="Y651" s="61"/>
      <c r="Z651" s="52"/>
      <c r="AA651" s="52"/>
      <c r="AB651" s="52"/>
      <c r="AC651" s="52"/>
      <c r="AD651" s="53"/>
      <c r="AE651" s="53"/>
      <c r="AF651" s="53"/>
    </row>
    <row r="652">
      <c r="G652" s="55"/>
      <c r="H652" s="54"/>
      <c r="I652" s="54"/>
      <c r="J652" s="54"/>
      <c r="K652" s="54"/>
      <c r="L652" s="54"/>
      <c r="M652" s="54"/>
      <c r="N652" s="59"/>
      <c r="O652" s="61"/>
      <c r="P652" s="61"/>
      <c r="Q652" s="61"/>
      <c r="R652" s="50"/>
      <c r="S652" s="50"/>
      <c r="T652" s="61"/>
      <c r="U652" s="61"/>
      <c r="V652" s="61"/>
      <c r="W652" s="61"/>
      <c r="X652" s="61"/>
      <c r="Y652" s="61"/>
      <c r="Z652" s="52"/>
      <c r="AA652" s="52"/>
      <c r="AB652" s="52"/>
      <c r="AC652" s="52"/>
      <c r="AD652" s="53"/>
      <c r="AE652" s="53"/>
      <c r="AF652" s="53"/>
    </row>
    <row r="653">
      <c r="G653" s="55"/>
      <c r="H653" s="54"/>
      <c r="I653" s="54"/>
      <c r="J653" s="54"/>
      <c r="K653" s="54"/>
      <c r="L653" s="54"/>
      <c r="M653" s="54"/>
      <c r="N653" s="59"/>
      <c r="O653" s="61"/>
      <c r="P653" s="61"/>
      <c r="Q653" s="61"/>
      <c r="R653" s="50"/>
      <c r="S653" s="50"/>
      <c r="T653" s="61"/>
      <c r="U653" s="61"/>
      <c r="V653" s="61"/>
      <c r="W653" s="61"/>
      <c r="X653" s="61"/>
      <c r="Y653" s="61"/>
      <c r="Z653" s="52"/>
      <c r="AA653" s="52"/>
      <c r="AB653" s="52"/>
      <c r="AC653" s="52"/>
      <c r="AD653" s="53"/>
      <c r="AE653" s="53"/>
      <c r="AF653" s="53"/>
    </row>
    <row r="654">
      <c r="G654" s="55"/>
      <c r="H654" s="54"/>
      <c r="I654" s="54"/>
      <c r="J654" s="54"/>
      <c r="K654" s="54"/>
      <c r="L654" s="54"/>
      <c r="M654" s="54"/>
      <c r="N654" s="59"/>
      <c r="O654" s="61"/>
      <c r="P654" s="61"/>
      <c r="Q654" s="61"/>
      <c r="R654" s="50"/>
      <c r="S654" s="50"/>
      <c r="T654" s="61"/>
      <c r="U654" s="61"/>
      <c r="V654" s="61"/>
      <c r="W654" s="61"/>
      <c r="X654" s="61"/>
      <c r="Y654" s="61"/>
      <c r="Z654" s="52"/>
      <c r="AA654" s="52"/>
      <c r="AB654" s="52"/>
      <c r="AC654" s="52"/>
      <c r="AD654" s="53"/>
      <c r="AE654" s="53"/>
      <c r="AF654" s="53"/>
    </row>
    <row r="655">
      <c r="G655" s="55"/>
      <c r="H655" s="54"/>
      <c r="I655" s="54"/>
      <c r="J655" s="54"/>
      <c r="K655" s="54"/>
      <c r="L655" s="54"/>
      <c r="M655" s="54"/>
      <c r="N655" s="59"/>
      <c r="O655" s="61"/>
      <c r="P655" s="61"/>
      <c r="Q655" s="61"/>
      <c r="R655" s="50"/>
      <c r="S655" s="50"/>
      <c r="T655" s="61"/>
      <c r="U655" s="61"/>
      <c r="V655" s="61"/>
      <c r="W655" s="61"/>
      <c r="X655" s="61"/>
      <c r="Y655" s="61"/>
      <c r="Z655" s="52"/>
      <c r="AA655" s="52"/>
      <c r="AB655" s="52"/>
      <c r="AC655" s="52"/>
      <c r="AD655" s="53"/>
      <c r="AE655" s="53"/>
      <c r="AF655" s="53"/>
    </row>
    <row r="656">
      <c r="G656" s="55"/>
      <c r="H656" s="54"/>
      <c r="I656" s="54"/>
      <c r="J656" s="54"/>
      <c r="K656" s="54"/>
      <c r="L656" s="54"/>
      <c r="M656" s="54"/>
      <c r="N656" s="59"/>
      <c r="O656" s="61"/>
      <c r="P656" s="61"/>
      <c r="Q656" s="61"/>
      <c r="R656" s="50"/>
      <c r="S656" s="50"/>
      <c r="T656" s="61"/>
      <c r="U656" s="61"/>
      <c r="V656" s="61"/>
      <c r="W656" s="61"/>
      <c r="X656" s="61"/>
      <c r="Y656" s="61"/>
      <c r="Z656" s="52"/>
      <c r="AA656" s="52"/>
      <c r="AB656" s="52"/>
      <c r="AC656" s="52"/>
      <c r="AD656" s="53"/>
      <c r="AE656" s="53"/>
      <c r="AF656" s="53"/>
    </row>
    <row r="657">
      <c r="G657" s="55"/>
      <c r="H657" s="54"/>
      <c r="I657" s="54"/>
      <c r="J657" s="54"/>
      <c r="K657" s="54"/>
      <c r="L657" s="54"/>
      <c r="M657" s="54"/>
      <c r="N657" s="59"/>
      <c r="O657" s="61"/>
      <c r="P657" s="61"/>
      <c r="Q657" s="61"/>
      <c r="R657" s="50"/>
      <c r="S657" s="50"/>
      <c r="T657" s="61"/>
      <c r="U657" s="61"/>
      <c r="V657" s="61"/>
      <c r="W657" s="61"/>
      <c r="X657" s="61"/>
      <c r="Y657" s="61"/>
      <c r="Z657" s="52"/>
      <c r="AA657" s="52"/>
      <c r="AB657" s="52"/>
      <c r="AC657" s="52"/>
      <c r="AD657" s="53"/>
      <c r="AE657" s="53"/>
      <c r="AF657" s="53"/>
    </row>
    <row r="658">
      <c r="G658" s="55"/>
      <c r="H658" s="54"/>
      <c r="I658" s="54"/>
      <c r="J658" s="54"/>
      <c r="K658" s="54"/>
      <c r="L658" s="54"/>
      <c r="M658" s="54"/>
      <c r="N658" s="59"/>
      <c r="O658" s="61"/>
      <c r="P658" s="61"/>
      <c r="Q658" s="61"/>
      <c r="R658" s="50"/>
      <c r="S658" s="50"/>
      <c r="T658" s="61"/>
      <c r="U658" s="61"/>
      <c r="V658" s="61"/>
      <c r="W658" s="61"/>
      <c r="X658" s="61"/>
      <c r="Y658" s="61"/>
      <c r="Z658" s="52"/>
      <c r="AA658" s="52"/>
      <c r="AB658" s="52"/>
      <c r="AC658" s="52"/>
      <c r="AD658" s="53"/>
      <c r="AE658" s="53"/>
      <c r="AF658" s="53"/>
    </row>
    <row r="659">
      <c r="G659" s="55"/>
      <c r="H659" s="54"/>
      <c r="I659" s="54"/>
      <c r="J659" s="54"/>
      <c r="K659" s="54"/>
      <c r="L659" s="54"/>
      <c r="M659" s="54"/>
      <c r="N659" s="59"/>
      <c r="O659" s="61"/>
      <c r="P659" s="61"/>
      <c r="Q659" s="61"/>
      <c r="R659" s="50"/>
      <c r="S659" s="50"/>
      <c r="T659" s="61"/>
      <c r="U659" s="61"/>
      <c r="V659" s="61"/>
      <c r="W659" s="61"/>
      <c r="X659" s="61"/>
      <c r="Y659" s="61"/>
      <c r="Z659" s="52"/>
      <c r="AA659" s="52"/>
      <c r="AB659" s="52"/>
      <c r="AC659" s="52"/>
      <c r="AD659" s="53"/>
      <c r="AE659" s="53"/>
      <c r="AF659" s="53"/>
    </row>
    <row r="660">
      <c r="G660" s="55"/>
      <c r="H660" s="54"/>
      <c r="I660" s="54"/>
      <c r="J660" s="54"/>
      <c r="K660" s="54"/>
      <c r="L660" s="54"/>
      <c r="M660" s="54"/>
      <c r="N660" s="59"/>
      <c r="O660" s="61"/>
      <c r="P660" s="61"/>
      <c r="Q660" s="61"/>
      <c r="R660" s="50"/>
      <c r="S660" s="50"/>
      <c r="T660" s="61"/>
      <c r="U660" s="61"/>
      <c r="V660" s="61"/>
      <c r="W660" s="61"/>
      <c r="X660" s="61"/>
      <c r="Y660" s="61"/>
      <c r="Z660" s="52"/>
      <c r="AA660" s="52"/>
      <c r="AB660" s="52"/>
      <c r="AC660" s="52"/>
      <c r="AD660" s="53"/>
      <c r="AE660" s="53"/>
      <c r="AF660" s="53"/>
    </row>
    <row r="661">
      <c r="G661" s="55"/>
      <c r="H661" s="54"/>
      <c r="I661" s="54"/>
      <c r="J661" s="54"/>
      <c r="K661" s="54"/>
      <c r="L661" s="54"/>
      <c r="M661" s="54"/>
      <c r="N661" s="59"/>
      <c r="O661" s="61"/>
      <c r="P661" s="61"/>
      <c r="Q661" s="61"/>
      <c r="R661" s="50"/>
      <c r="S661" s="50"/>
      <c r="T661" s="61"/>
      <c r="U661" s="61"/>
      <c r="V661" s="61"/>
      <c r="W661" s="61"/>
      <c r="X661" s="61"/>
      <c r="Y661" s="61"/>
      <c r="Z661" s="52"/>
      <c r="AA661" s="52"/>
      <c r="AB661" s="52"/>
      <c r="AC661" s="52"/>
      <c r="AD661" s="53"/>
      <c r="AE661" s="53"/>
      <c r="AF661" s="53"/>
    </row>
    <row r="662">
      <c r="G662" s="55"/>
      <c r="H662" s="54"/>
      <c r="I662" s="54"/>
      <c r="J662" s="54"/>
      <c r="K662" s="54"/>
      <c r="L662" s="54"/>
      <c r="M662" s="54"/>
      <c r="N662" s="59"/>
      <c r="O662" s="61"/>
      <c r="P662" s="61"/>
      <c r="Q662" s="61"/>
      <c r="R662" s="50"/>
      <c r="S662" s="50"/>
      <c r="T662" s="61"/>
      <c r="U662" s="61"/>
      <c r="V662" s="61"/>
      <c r="W662" s="61"/>
      <c r="X662" s="61"/>
      <c r="Y662" s="61"/>
      <c r="Z662" s="52"/>
      <c r="AA662" s="52"/>
      <c r="AB662" s="52"/>
      <c r="AC662" s="52"/>
      <c r="AD662" s="53"/>
      <c r="AE662" s="53"/>
      <c r="AF662" s="53"/>
    </row>
    <row r="663">
      <c r="G663" s="55"/>
      <c r="H663" s="54"/>
      <c r="I663" s="54"/>
      <c r="J663" s="54"/>
      <c r="K663" s="54"/>
      <c r="L663" s="54"/>
      <c r="M663" s="54"/>
      <c r="N663" s="59"/>
      <c r="O663" s="61"/>
      <c r="P663" s="61"/>
      <c r="Q663" s="61"/>
      <c r="R663" s="50"/>
      <c r="S663" s="50"/>
      <c r="T663" s="61"/>
      <c r="U663" s="61"/>
      <c r="V663" s="61"/>
      <c r="W663" s="61"/>
      <c r="X663" s="61"/>
      <c r="Y663" s="61"/>
      <c r="Z663" s="52"/>
      <c r="AA663" s="52"/>
      <c r="AB663" s="52"/>
      <c r="AC663" s="52"/>
      <c r="AD663" s="53"/>
      <c r="AE663" s="53"/>
      <c r="AF663" s="53"/>
    </row>
    <row r="664">
      <c r="G664" s="55"/>
      <c r="H664" s="54"/>
      <c r="I664" s="54"/>
      <c r="J664" s="54"/>
      <c r="K664" s="54"/>
      <c r="L664" s="54"/>
      <c r="M664" s="54"/>
      <c r="N664" s="59"/>
      <c r="O664" s="61"/>
      <c r="P664" s="61"/>
      <c r="Q664" s="61"/>
      <c r="R664" s="50"/>
      <c r="S664" s="50"/>
      <c r="T664" s="61"/>
      <c r="U664" s="61"/>
      <c r="V664" s="61"/>
      <c r="W664" s="61"/>
      <c r="X664" s="61"/>
      <c r="Y664" s="61"/>
      <c r="Z664" s="52"/>
      <c r="AA664" s="52"/>
      <c r="AB664" s="52"/>
      <c r="AC664" s="52"/>
      <c r="AD664" s="53"/>
      <c r="AE664" s="53"/>
      <c r="AF664" s="53"/>
    </row>
    <row r="665">
      <c r="G665" s="55"/>
      <c r="H665" s="54"/>
      <c r="I665" s="54"/>
      <c r="J665" s="54"/>
      <c r="K665" s="54"/>
      <c r="L665" s="54"/>
      <c r="M665" s="54"/>
      <c r="N665" s="59"/>
      <c r="O665" s="61"/>
      <c r="P665" s="61"/>
      <c r="Q665" s="61"/>
      <c r="R665" s="50"/>
      <c r="S665" s="50"/>
      <c r="T665" s="61"/>
      <c r="U665" s="61"/>
      <c r="V665" s="61"/>
      <c r="W665" s="61"/>
      <c r="X665" s="61"/>
      <c r="Y665" s="61"/>
      <c r="Z665" s="52"/>
      <c r="AA665" s="52"/>
      <c r="AB665" s="52"/>
      <c r="AC665" s="52"/>
      <c r="AD665" s="53"/>
      <c r="AE665" s="53"/>
      <c r="AF665" s="53"/>
    </row>
    <row r="666">
      <c r="G666" s="55"/>
      <c r="H666" s="54"/>
      <c r="I666" s="54"/>
      <c r="J666" s="54"/>
      <c r="K666" s="54"/>
      <c r="L666" s="54"/>
      <c r="M666" s="54"/>
      <c r="N666" s="59"/>
      <c r="O666" s="61"/>
      <c r="P666" s="61"/>
      <c r="Q666" s="61"/>
      <c r="R666" s="50"/>
      <c r="S666" s="50"/>
      <c r="T666" s="61"/>
      <c r="U666" s="61"/>
      <c r="V666" s="61"/>
      <c r="W666" s="61"/>
      <c r="X666" s="61"/>
      <c r="Y666" s="61"/>
      <c r="Z666" s="52"/>
      <c r="AA666" s="52"/>
      <c r="AB666" s="52"/>
      <c r="AC666" s="52"/>
      <c r="AD666" s="53"/>
      <c r="AE666" s="53"/>
      <c r="AF666" s="53"/>
    </row>
    <row r="667">
      <c r="G667" s="55"/>
      <c r="H667" s="54"/>
      <c r="I667" s="54"/>
      <c r="J667" s="54"/>
      <c r="K667" s="54"/>
      <c r="L667" s="54"/>
      <c r="M667" s="54"/>
      <c r="N667" s="59"/>
      <c r="O667" s="61"/>
      <c r="P667" s="61"/>
      <c r="Q667" s="61"/>
      <c r="R667" s="50"/>
      <c r="S667" s="50"/>
      <c r="T667" s="61"/>
      <c r="U667" s="61"/>
      <c r="V667" s="61"/>
      <c r="W667" s="61"/>
      <c r="X667" s="61"/>
      <c r="Y667" s="61"/>
      <c r="Z667" s="52"/>
      <c r="AA667" s="52"/>
      <c r="AB667" s="52"/>
      <c r="AC667" s="52"/>
      <c r="AD667" s="53"/>
      <c r="AE667" s="53"/>
      <c r="AF667" s="53"/>
    </row>
    <row r="668">
      <c r="G668" s="55"/>
      <c r="H668" s="54"/>
      <c r="I668" s="54"/>
      <c r="J668" s="54"/>
      <c r="K668" s="54"/>
      <c r="L668" s="54"/>
      <c r="M668" s="54"/>
      <c r="N668" s="59"/>
      <c r="O668" s="61"/>
      <c r="P668" s="61"/>
      <c r="Q668" s="61"/>
      <c r="R668" s="50"/>
      <c r="S668" s="50"/>
      <c r="T668" s="61"/>
      <c r="U668" s="61"/>
      <c r="V668" s="61"/>
      <c r="W668" s="61"/>
      <c r="X668" s="61"/>
      <c r="Y668" s="61"/>
      <c r="Z668" s="52"/>
      <c r="AA668" s="52"/>
      <c r="AB668" s="52"/>
      <c r="AC668" s="52"/>
      <c r="AD668" s="53"/>
      <c r="AE668" s="53"/>
      <c r="AF668" s="53"/>
    </row>
    <row r="669">
      <c r="G669" s="55"/>
      <c r="H669" s="54"/>
      <c r="I669" s="54"/>
      <c r="J669" s="54"/>
      <c r="K669" s="54"/>
      <c r="L669" s="54"/>
      <c r="M669" s="54"/>
      <c r="N669" s="59"/>
      <c r="O669" s="61"/>
      <c r="P669" s="61"/>
      <c r="Q669" s="61"/>
      <c r="R669" s="50"/>
      <c r="S669" s="50"/>
      <c r="T669" s="61"/>
      <c r="U669" s="61"/>
      <c r="V669" s="61"/>
      <c r="W669" s="61"/>
      <c r="X669" s="61"/>
      <c r="Y669" s="61"/>
      <c r="Z669" s="52"/>
      <c r="AA669" s="52"/>
      <c r="AB669" s="52"/>
      <c r="AC669" s="52"/>
      <c r="AD669" s="53"/>
      <c r="AE669" s="53"/>
      <c r="AF669" s="53"/>
    </row>
    <row r="670">
      <c r="G670" s="55"/>
      <c r="H670" s="54"/>
      <c r="I670" s="54"/>
      <c r="J670" s="54"/>
      <c r="K670" s="54"/>
      <c r="L670" s="54"/>
      <c r="M670" s="54"/>
      <c r="N670" s="59"/>
      <c r="O670" s="61"/>
      <c r="P670" s="61"/>
      <c r="Q670" s="61"/>
      <c r="R670" s="50"/>
      <c r="S670" s="50"/>
      <c r="T670" s="61"/>
      <c r="U670" s="61"/>
      <c r="V670" s="61"/>
      <c r="W670" s="61"/>
      <c r="X670" s="61"/>
      <c r="Y670" s="61"/>
      <c r="Z670" s="52"/>
      <c r="AA670" s="52"/>
      <c r="AB670" s="52"/>
      <c r="AC670" s="52"/>
      <c r="AD670" s="53"/>
      <c r="AE670" s="53"/>
      <c r="AF670" s="53"/>
    </row>
    <row r="671">
      <c r="G671" s="55"/>
      <c r="H671" s="54"/>
      <c r="I671" s="54"/>
      <c r="J671" s="54"/>
      <c r="K671" s="54"/>
      <c r="L671" s="54"/>
      <c r="M671" s="54"/>
      <c r="N671" s="59"/>
      <c r="O671" s="61"/>
      <c r="P671" s="61"/>
      <c r="Q671" s="61"/>
      <c r="R671" s="50"/>
      <c r="S671" s="50"/>
      <c r="T671" s="61"/>
      <c r="U671" s="61"/>
      <c r="V671" s="61"/>
      <c r="W671" s="61"/>
      <c r="X671" s="61"/>
      <c r="Y671" s="61"/>
      <c r="Z671" s="52"/>
      <c r="AA671" s="52"/>
      <c r="AB671" s="52"/>
      <c r="AC671" s="52"/>
      <c r="AD671" s="53"/>
      <c r="AE671" s="53"/>
      <c r="AF671" s="53"/>
    </row>
    <row r="672">
      <c r="G672" s="55"/>
      <c r="H672" s="54"/>
      <c r="I672" s="54"/>
      <c r="J672" s="54"/>
      <c r="K672" s="54"/>
      <c r="L672" s="54"/>
      <c r="M672" s="54"/>
      <c r="N672" s="59"/>
      <c r="O672" s="61"/>
      <c r="P672" s="61"/>
      <c r="Q672" s="61"/>
      <c r="R672" s="50"/>
      <c r="S672" s="50"/>
      <c r="T672" s="61"/>
      <c r="U672" s="61"/>
      <c r="V672" s="61"/>
      <c r="W672" s="61"/>
      <c r="X672" s="61"/>
      <c r="Y672" s="61"/>
      <c r="Z672" s="52"/>
      <c r="AA672" s="52"/>
      <c r="AB672" s="52"/>
      <c r="AC672" s="52"/>
      <c r="AD672" s="53"/>
      <c r="AE672" s="53"/>
      <c r="AF672" s="53"/>
    </row>
    <row r="673">
      <c r="G673" s="55"/>
      <c r="H673" s="54"/>
      <c r="I673" s="54"/>
      <c r="J673" s="54"/>
      <c r="K673" s="54"/>
      <c r="L673" s="54"/>
      <c r="M673" s="54"/>
      <c r="N673" s="59"/>
      <c r="O673" s="61"/>
      <c r="P673" s="61"/>
      <c r="Q673" s="61"/>
      <c r="R673" s="50"/>
      <c r="S673" s="50"/>
      <c r="T673" s="61"/>
      <c r="U673" s="61"/>
      <c r="V673" s="61"/>
      <c r="W673" s="61"/>
      <c r="X673" s="61"/>
      <c r="Y673" s="61"/>
      <c r="Z673" s="52"/>
      <c r="AA673" s="52"/>
      <c r="AB673" s="52"/>
      <c r="AC673" s="52"/>
      <c r="AD673" s="53"/>
      <c r="AE673" s="53"/>
      <c r="AF673" s="53"/>
    </row>
    <row r="674">
      <c r="G674" s="55"/>
      <c r="H674" s="54"/>
      <c r="I674" s="54"/>
      <c r="J674" s="54"/>
      <c r="K674" s="54"/>
      <c r="L674" s="54"/>
      <c r="M674" s="54"/>
      <c r="N674" s="59"/>
      <c r="O674" s="61"/>
      <c r="P674" s="61"/>
      <c r="Q674" s="61"/>
      <c r="R674" s="50"/>
      <c r="S674" s="50"/>
      <c r="T674" s="61"/>
      <c r="U674" s="61"/>
      <c r="V674" s="61"/>
      <c r="W674" s="61"/>
      <c r="X674" s="61"/>
      <c r="Y674" s="61"/>
      <c r="Z674" s="52"/>
      <c r="AA674" s="52"/>
      <c r="AB674" s="52"/>
      <c r="AC674" s="52"/>
      <c r="AD674" s="53"/>
      <c r="AE674" s="53"/>
      <c r="AF674" s="53"/>
    </row>
    <row r="675">
      <c r="G675" s="55"/>
      <c r="H675" s="54"/>
      <c r="I675" s="54"/>
      <c r="J675" s="54"/>
      <c r="K675" s="54"/>
      <c r="L675" s="54"/>
      <c r="M675" s="54"/>
      <c r="N675" s="59"/>
      <c r="O675" s="61"/>
      <c r="P675" s="61"/>
      <c r="Q675" s="61"/>
      <c r="R675" s="50"/>
      <c r="S675" s="50"/>
      <c r="T675" s="61"/>
      <c r="U675" s="61"/>
      <c r="V675" s="61"/>
      <c r="W675" s="61"/>
      <c r="X675" s="61"/>
      <c r="Y675" s="61"/>
      <c r="Z675" s="52"/>
      <c r="AA675" s="52"/>
      <c r="AB675" s="52"/>
      <c r="AC675" s="52"/>
      <c r="AD675" s="53"/>
      <c r="AE675" s="53"/>
      <c r="AF675" s="53"/>
    </row>
    <row r="676">
      <c r="G676" s="55"/>
      <c r="H676" s="54"/>
      <c r="I676" s="54"/>
      <c r="J676" s="54"/>
      <c r="K676" s="54"/>
      <c r="L676" s="54"/>
      <c r="M676" s="54"/>
      <c r="N676" s="59"/>
      <c r="O676" s="61"/>
      <c r="P676" s="61"/>
      <c r="Q676" s="61"/>
      <c r="R676" s="50"/>
      <c r="S676" s="50"/>
      <c r="T676" s="61"/>
      <c r="U676" s="61"/>
      <c r="V676" s="61"/>
      <c r="W676" s="61"/>
      <c r="X676" s="61"/>
      <c r="Y676" s="61"/>
      <c r="Z676" s="52"/>
      <c r="AA676" s="52"/>
      <c r="AB676" s="52"/>
      <c r="AC676" s="52"/>
      <c r="AD676" s="53"/>
      <c r="AE676" s="53"/>
      <c r="AF676" s="53"/>
    </row>
    <row r="677">
      <c r="G677" s="55"/>
      <c r="H677" s="54"/>
      <c r="I677" s="54"/>
      <c r="J677" s="54"/>
      <c r="K677" s="54"/>
      <c r="L677" s="54"/>
      <c r="M677" s="54"/>
      <c r="N677" s="59"/>
      <c r="O677" s="61"/>
      <c r="P677" s="61"/>
      <c r="Q677" s="61"/>
      <c r="R677" s="50"/>
      <c r="S677" s="50"/>
      <c r="T677" s="61"/>
      <c r="U677" s="61"/>
      <c r="V677" s="61"/>
      <c r="W677" s="61"/>
      <c r="X677" s="61"/>
      <c r="Y677" s="61"/>
      <c r="Z677" s="52"/>
      <c r="AA677" s="52"/>
      <c r="AB677" s="52"/>
      <c r="AC677" s="52"/>
      <c r="AD677" s="53"/>
      <c r="AE677" s="53"/>
      <c r="AF677" s="53"/>
    </row>
    <row r="678">
      <c r="G678" s="55"/>
      <c r="H678" s="54"/>
      <c r="I678" s="54"/>
      <c r="J678" s="54"/>
      <c r="K678" s="54"/>
      <c r="L678" s="54"/>
      <c r="M678" s="54"/>
      <c r="N678" s="59"/>
      <c r="O678" s="61"/>
      <c r="P678" s="61"/>
      <c r="Q678" s="61"/>
      <c r="R678" s="50"/>
      <c r="S678" s="50"/>
      <c r="T678" s="61"/>
      <c r="U678" s="61"/>
      <c r="V678" s="61"/>
      <c r="W678" s="61"/>
      <c r="X678" s="61"/>
      <c r="Y678" s="61"/>
      <c r="Z678" s="52"/>
      <c r="AA678" s="52"/>
      <c r="AB678" s="52"/>
      <c r="AC678" s="52"/>
      <c r="AD678" s="53"/>
      <c r="AE678" s="53"/>
      <c r="AF678" s="53"/>
    </row>
    <row r="679">
      <c r="G679" s="55"/>
      <c r="H679" s="54"/>
      <c r="I679" s="54"/>
      <c r="J679" s="54"/>
      <c r="K679" s="54"/>
      <c r="L679" s="54"/>
      <c r="M679" s="54"/>
      <c r="N679" s="59"/>
      <c r="O679" s="61"/>
      <c r="P679" s="61"/>
      <c r="Q679" s="61"/>
      <c r="R679" s="50"/>
      <c r="S679" s="50"/>
      <c r="T679" s="61"/>
      <c r="U679" s="61"/>
      <c r="V679" s="61"/>
      <c r="W679" s="61"/>
      <c r="X679" s="61"/>
      <c r="Y679" s="61"/>
      <c r="Z679" s="52"/>
      <c r="AA679" s="52"/>
      <c r="AB679" s="52"/>
      <c r="AC679" s="52"/>
      <c r="AD679" s="53"/>
      <c r="AE679" s="53"/>
      <c r="AF679" s="53"/>
    </row>
    <row r="680">
      <c r="G680" s="55"/>
      <c r="H680" s="54"/>
      <c r="I680" s="54"/>
      <c r="J680" s="54"/>
      <c r="K680" s="54"/>
      <c r="L680" s="54"/>
      <c r="M680" s="54"/>
      <c r="N680" s="59"/>
      <c r="O680" s="61"/>
      <c r="P680" s="61"/>
      <c r="Q680" s="61"/>
      <c r="R680" s="50"/>
      <c r="S680" s="50"/>
      <c r="T680" s="61"/>
      <c r="U680" s="61"/>
      <c r="V680" s="61"/>
      <c r="W680" s="61"/>
      <c r="X680" s="61"/>
      <c r="Y680" s="61"/>
      <c r="Z680" s="52"/>
      <c r="AA680" s="52"/>
      <c r="AB680" s="52"/>
      <c r="AC680" s="52"/>
      <c r="AD680" s="53"/>
      <c r="AE680" s="53"/>
      <c r="AF680" s="53"/>
    </row>
    <row r="681">
      <c r="G681" s="55"/>
      <c r="H681" s="54"/>
      <c r="I681" s="54"/>
      <c r="J681" s="54"/>
      <c r="K681" s="54"/>
      <c r="L681" s="54"/>
      <c r="M681" s="54"/>
      <c r="N681" s="59"/>
      <c r="O681" s="61"/>
      <c r="P681" s="61"/>
      <c r="Q681" s="61"/>
      <c r="R681" s="50"/>
      <c r="S681" s="50"/>
      <c r="T681" s="61"/>
      <c r="U681" s="61"/>
      <c r="V681" s="61"/>
      <c r="W681" s="61"/>
      <c r="X681" s="61"/>
      <c r="Y681" s="61"/>
      <c r="Z681" s="52"/>
      <c r="AA681" s="52"/>
      <c r="AB681" s="52"/>
      <c r="AC681" s="52"/>
      <c r="AD681" s="53"/>
      <c r="AE681" s="53"/>
      <c r="AF681" s="53"/>
    </row>
    <row r="682">
      <c r="G682" s="55"/>
      <c r="H682" s="54"/>
      <c r="I682" s="54"/>
      <c r="J682" s="54"/>
      <c r="K682" s="54"/>
      <c r="L682" s="54"/>
      <c r="M682" s="54"/>
      <c r="N682" s="59"/>
      <c r="O682" s="61"/>
      <c r="P682" s="61"/>
      <c r="Q682" s="61"/>
      <c r="R682" s="50"/>
      <c r="S682" s="50"/>
      <c r="T682" s="61"/>
      <c r="U682" s="61"/>
      <c r="V682" s="61"/>
      <c r="W682" s="61"/>
      <c r="X682" s="61"/>
      <c r="Y682" s="61"/>
      <c r="Z682" s="52"/>
      <c r="AA682" s="52"/>
      <c r="AB682" s="52"/>
      <c r="AC682" s="52"/>
      <c r="AD682" s="53"/>
      <c r="AE682" s="53"/>
      <c r="AF682" s="53"/>
    </row>
    <row r="683">
      <c r="G683" s="55"/>
      <c r="H683" s="54"/>
      <c r="I683" s="54"/>
      <c r="J683" s="54"/>
      <c r="K683" s="54"/>
      <c r="L683" s="54"/>
      <c r="M683" s="54"/>
      <c r="N683" s="59"/>
      <c r="O683" s="61"/>
      <c r="P683" s="61"/>
      <c r="Q683" s="61"/>
      <c r="R683" s="50"/>
      <c r="S683" s="50"/>
      <c r="T683" s="61"/>
      <c r="U683" s="61"/>
      <c r="V683" s="61"/>
      <c r="W683" s="61"/>
      <c r="X683" s="61"/>
      <c r="Y683" s="61"/>
      <c r="Z683" s="52"/>
      <c r="AA683" s="52"/>
      <c r="AB683" s="52"/>
      <c r="AC683" s="52"/>
      <c r="AD683" s="53"/>
      <c r="AE683" s="53"/>
      <c r="AF683" s="53"/>
    </row>
    <row r="684">
      <c r="G684" s="55"/>
      <c r="H684" s="54"/>
      <c r="I684" s="54"/>
      <c r="J684" s="54"/>
      <c r="K684" s="54"/>
      <c r="L684" s="54"/>
      <c r="M684" s="54"/>
      <c r="N684" s="59"/>
      <c r="O684" s="61"/>
      <c r="P684" s="61"/>
      <c r="Q684" s="61"/>
      <c r="R684" s="50"/>
      <c r="S684" s="50"/>
      <c r="T684" s="61"/>
      <c r="U684" s="61"/>
      <c r="V684" s="61"/>
      <c r="W684" s="61"/>
      <c r="X684" s="61"/>
      <c r="Y684" s="61"/>
      <c r="Z684" s="52"/>
      <c r="AA684" s="52"/>
      <c r="AB684" s="52"/>
      <c r="AC684" s="52"/>
      <c r="AD684" s="53"/>
      <c r="AE684" s="53"/>
      <c r="AF684" s="53"/>
    </row>
    <row r="685">
      <c r="G685" s="55"/>
      <c r="H685" s="54"/>
      <c r="I685" s="54"/>
      <c r="J685" s="54"/>
      <c r="K685" s="54"/>
      <c r="L685" s="54"/>
      <c r="M685" s="54"/>
      <c r="N685" s="59"/>
      <c r="O685" s="61"/>
      <c r="P685" s="61"/>
      <c r="Q685" s="61"/>
      <c r="R685" s="50"/>
      <c r="S685" s="50"/>
      <c r="T685" s="61"/>
      <c r="U685" s="61"/>
      <c r="V685" s="61"/>
      <c r="W685" s="61"/>
      <c r="X685" s="61"/>
      <c r="Y685" s="61"/>
      <c r="Z685" s="52"/>
      <c r="AA685" s="52"/>
      <c r="AB685" s="52"/>
      <c r="AC685" s="52"/>
      <c r="AD685" s="53"/>
      <c r="AE685" s="53"/>
      <c r="AF685" s="53"/>
    </row>
    <row r="686">
      <c r="G686" s="55"/>
      <c r="H686" s="54"/>
      <c r="I686" s="54"/>
      <c r="J686" s="54"/>
      <c r="K686" s="54"/>
      <c r="L686" s="54"/>
      <c r="M686" s="54"/>
      <c r="N686" s="59"/>
      <c r="O686" s="61"/>
      <c r="P686" s="61"/>
      <c r="Q686" s="61"/>
      <c r="R686" s="50"/>
      <c r="S686" s="50"/>
      <c r="T686" s="61"/>
      <c r="U686" s="61"/>
      <c r="V686" s="61"/>
      <c r="W686" s="61"/>
      <c r="X686" s="61"/>
      <c r="Y686" s="61"/>
      <c r="Z686" s="52"/>
      <c r="AA686" s="52"/>
      <c r="AB686" s="52"/>
      <c r="AC686" s="52"/>
      <c r="AD686" s="53"/>
      <c r="AE686" s="53"/>
      <c r="AF686" s="53"/>
    </row>
    <row r="687">
      <c r="G687" s="55"/>
      <c r="H687" s="54"/>
      <c r="I687" s="54"/>
      <c r="J687" s="54"/>
      <c r="K687" s="54"/>
      <c r="L687" s="54"/>
      <c r="M687" s="54"/>
      <c r="N687" s="59"/>
      <c r="O687" s="61"/>
      <c r="P687" s="61"/>
      <c r="Q687" s="61"/>
      <c r="R687" s="50"/>
      <c r="S687" s="50"/>
      <c r="T687" s="61"/>
      <c r="U687" s="61"/>
      <c r="V687" s="61"/>
      <c r="W687" s="61"/>
      <c r="X687" s="61"/>
      <c r="Y687" s="61"/>
      <c r="Z687" s="52"/>
      <c r="AA687" s="52"/>
      <c r="AB687" s="52"/>
      <c r="AC687" s="52"/>
      <c r="AD687" s="53"/>
      <c r="AE687" s="53"/>
      <c r="AF687" s="53"/>
    </row>
    <row r="688">
      <c r="G688" s="55"/>
      <c r="H688" s="54"/>
      <c r="I688" s="54"/>
      <c r="J688" s="54"/>
      <c r="K688" s="54"/>
      <c r="L688" s="54"/>
      <c r="M688" s="54"/>
      <c r="N688" s="59"/>
      <c r="O688" s="61"/>
      <c r="P688" s="61"/>
      <c r="Q688" s="61"/>
      <c r="R688" s="50"/>
      <c r="S688" s="50"/>
      <c r="T688" s="61"/>
      <c r="U688" s="61"/>
      <c r="V688" s="61"/>
      <c r="W688" s="61"/>
      <c r="X688" s="61"/>
      <c r="Y688" s="61"/>
      <c r="Z688" s="52"/>
      <c r="AA688" s="52"/>
      <c r="AB688" s="52"/>
      <c r="AC688" s="52"/>
      <c r="AD688" s="53"/>
      <c r="AE688" s="53"/>
      <c r="AF688" s="53"/>
    </row>
    <row r="689">
      <c r="G689" s="55"/>
      <c r="H689" s="54"/>
      <c r="I689" s="54"/>
      <c r="J689" s="54"/>
      <c r="K689" s="54"/>
      <c r="L689" s="54"/>
      <c r="M689" s="54"/>
      <c r="N689" s="59"/>
      <c r="O689" s="61"/>
      <c r="P689" s="61"/>
      <c r="Q689" s="61"/>
      <c r="R689" s="50"/>
      <c r="S689" s="50"/>
      <c r="T689" s="61"/>
      <c r="U689" s="61"/>
      <c r="V689" s="61"/>
      <c r="W689" s="61"/>
      <c r="X689" s="61"/>
      <c r="Y689" s="61"/>
      <c r="Z689" s="52"/>
      <c r="AA689" s="52"/>
      <c r="AB689" s="52"/>
      <c r="AC689" s="52"/>
      <c r="AD689" s="53"/>
      <c r="AE689" s="53"/>
      <c r="AF689" s="53"/>
    </row>
    <row r="690">
      <c r="G690" s="55"/>
      <c r="H690" s="54"/>
      <c r="I690" s="54"/>
      <c r="J690" s="54"/>
      <c r="K690" s="54"/>
      <c r="L690" s="54"/>
      <c r="M690" s="54"/>
      <c r="N690" s="59"/>
      <c r="O690" s="61"/>
      <c r="P690" s="61"/>
      <c r="Q690" s="61"/>
      <c r="R690" s="50"/>
      <c r="S690" s="50"/>
      <c r="T690" s="61"/>
      <c r="U690" s="61"/>
      <c r="V690" s="61"/>
      <c r="W690" s="61"/>
      <c r="X690" s="61"/>
      <c r="Y690" s="61"/>
      <c r="Z690" s="52"/>
      <c r="AA690" s="52"/>
      <c r="AB690" s="52"/>
      <c r="AC690" s="52"/>
      <c r="AD690" s="53"/>
      <c r="AE690" s="53"/>
      <c r="AF690" s="53"/>
    </row>
    <row r="691">
      <c r="G691" s="55"/>
      <c r="H691" s="54"/>
      <c r="I691" s="54"/>
      <c r="J691" s="54"/>
      <c r="K691" s="54"/>
      <c r="L691" s="54"/>
      <c r="M691" s="54"/>
      <c r="N691" s="59"/>
      <c r="O691" s="61"/>
      <c r="P691" s="61"/>
      <c r="Q691" s="61"/>
      <c r="R691" s="50"/>
      <c r="S691" s="50"/>
      <c r="T691" s="61"/>
      <c r="U691" s="61"/>
      <c r="V691" s="61"/>
      <c r="W691" s="61"/>
      <c r="X691" s="61"/>
      <c r="Y691" s="61"/>
      <c r="Z691" s="52"/>
      <c r="AA691" s="52"/>
      <c r="AB691" s="52"/>
      <c r="AC691" s="52"/>
      <c r="AD691" s="53"/>
      <c r="AE691" s="53"/>
      <c r="AF691" s="53"/>
    </row>
    <row r="692">
      <c r="G692" s="55"/>
      <c r="H692" s="54"/>
      <c r="I692" s="54"/>
      <c r="J692" s="54"/>
      <c r="K692" s="54"/>
      <c r="L692" s="54"/>
      <c r="M692" s="54"/>
      <c r="N692" s="59"/>
      <c r="O692" s="61"/>
      <c r="P692" s="61"/>
      <c r="Q692" s="61"/>
      <c r="R692" s="50"/>
      <c r="S692" s="50"/>
      <c r="T692" s="61"/>
      <c r="U692" s="61"/>
      <c r="V692" s="61"/>
      <c r="W692" s="61"/>
      <c r="X692" s="61"/>
      <c r="Y692" s="61"/>
      <c r="Z692" s="52"/>
      <c r="AA692" s="52"/>
      <c r="AB692" s="52"/>
      <c r="AC692" s="52"/>
      <c r="AD692" s="53"/>
      <c r="AE692" s="53"/>
      <c r="AF692" s="53"/>
    </row>
    <row r="693">
      <c r="G693" s="55"/>
      <c r="H693" s="54"/>
      <c r="I693" s="54"/>
      <c r="J693" s="54"/>
      <c r="K693" s="54"/>
      <c r="L693" s="54"/>
      <c r="M693" s="54"/>
      <c r="N693" s="59"/>
      <c r="O693" s="61"/>
      <c r="P693" s="61"/>
      <c r="Q693" s="61"/>
      <c r="R693" s="50"/>
      <c r="S693" s="50"/>
      <c r="T693" s="61"/>
      <c r="U693" s="61"/>
      <c r="V693" s="61"/>
      <c r="W693" s="61"/>
      <c r="X693" s="61"/>
      <c r="Y693" s="61"/>
      <c r="Z693" s="52"/>
      <c r="AA693" s="52"/>
      <c r="AB693" s="52"/>
      <c r="AC693" s="52"/>
      <c r="AD693" s="53"/>
      <c r="AE693" s="53"/>
      <c r="AF693" s="53"/>
    </row>
    <row r="694">
      <c r="G694" s="55"/>
      <c r="H694" s="54"/>
      <c r="I694" s="54"/>
      <c r="J694" s="54"/>
      <c r="K694" s="54"/>
      <c r="L694" s="54"/>
      <c r="M694" s="54"/>
      <c r="N694" s="59"/>
      <c r="O694" s="61"/>
      <c r="P694" s="61"/>
      <c r="Q694" s="61"/>
      <c r="R694" s="50"/>
      <c r="S694" s="50"/>
      <c r="T694" s="61"/>
      <c r="U694" s="61"/>
      <c r="V694" s="61"/>
      <c r="W694" s="61"/>
      <c r="X694" s="61"/>
      <c r="Y694" s="61"/>
      <c r="Z694" s="52"/>
      <c r="AA694" s="52"/>
      <c r="AB694" s="52"/>
      <c r="AC694" s="52"/>
      <c r="AD694" s="53"/>
      <c r="AE694" s="53"/>
      <c r="AF694" s="53"/>
    </row>
    <row r="695">
      <c r="G695" s="55"/>
      <c r="H695" s="54"/>
      <c r="I695" s="54"/>
      <c r="J695" s="54"/>
      <c r="K695" s="54"/>
      <c r="L695" s="54"/>
      <c r="M695" s="54"/>
      <c r="N695" s="59"/>
      <c r="O695" s="61"/>
      <c r="P695" s="61"/>
      <c r="Q695" s="61"/>
      <c r="R695" s="50"/>
      <c r="S695" s="50"/>
      <c r="T695" s="61"/>
      <c r="U695" s="61"/>
      <c r="V695" s="61"/>
      <c r="W695" s="61"/>
      <c r="X695" s="61"/>
      <c r="Y695" s="61"/>
      <c r="Z695" s="52"/>
      <c r="AA695" s="52"/>
      <c r="AB695" s="52"/>
      <c r="AC695" s="52"/>
      <c r="AD695" s="53"/>
      <c r="AE695" s="53"/>
      <c r="AF695" s="53"/>
    </row>
    <row r="696">
      <c r="G696" s="55"/>
      <c r="H696" s="54"/>
      <c r="I696" s="54"/>
      <c r="J696" s="54"/>
      <c r="K696" s="54"/>
      <c r="L696" s="54"/>
      <c r="M696" s="54"/>
      <c r="N696" s="59"/>
      <c r="O696" s="61"/>
      <c r="P696" s="61"/>
      <c r="Q696" s="61"/>
      <c r="R696" s="50"/>
      <c r="S696" s="50"/>
      <c r="T696" s="61"/>
      <c r="U696" s="61"/>
      <c r="V696" s="61"/>
      <c r="W696" s="61"/>
      <c r="X696" s="61"/>
      <c r="Y696" s="61"/>
      <c r="Z696" s="52"/>
      <c r="AA696" s="52"/>
      <c r="AB696" s="52"/>
      <c r="AC696" s="52"/>
      <c r="AD696" s="53"/>
      <c r="AE696" s="53"/>
      <c r="AF696" s="53"/>
    </row>
    <row r="697">
      <c r="G697" s="55"/>
      <c r="H697" s="54"/>
      <c r="I697" s="54"/>
      <c r="J697" s="54"/>
      <c r="K697" s="54"/>
      <c r="L697" s="54"/>
      <c r="M697" s="54"/>
      <c r="N697" s="59"/>
      <c r="O697" s="61"/>
      <c r="P697" s="61"/>
      <c r="Q697" s="61"/>
      <c r="R697" s="50"/>
      <c r="S697" s="50"/>
      <c r="T697" s="61"/>
      <c r="U697" s="61"/>
      <c r="V697" s="61"/>
      <c r="W697" s="61"/>
      <c r="X697" s="61"/>
      <c r="Y697" s="61"/>
      <c r="Z697" s="52"/>
      <c r="AA697" s="52"/>
      <c r="AB697" s="52"/>
      <c r="AC697" s="52"/>
      <c r="AD697" s="53"/>
      <c r="AE697" s="53"/>
      <c r="AF697" s="53"/>
    </row>
    <row r="698">
      <c r="G698" s="55"/>
      <c r="H698" s="54"/>
      <c r="I698" s="54"/>
      <c r="J698" s="54"/>
      <c r="K698" s="54"/>
      <c r="L698" s="54"/>
      <c r="M698" s="54"/>
      <c r="N698" s="59"/>
      <c r="O698" s="61"/>
      <c r="P698" s="61"/>
      <c r="Q698" s="61"/>
      <c r="R698" s="50"/>
      <c r="S698" s="50"/>
      <c r="T698" s="61"/>
      <c r="U698" s="61"/>
      <c r="V698" s="61"/>
      <c r="W698" s="61"/>
      <c r="X698" s="61"/>
      <c r="Y698" s="61"/>
      <c r="Z698" s="52"/>
      <c r="AA698" s="52"/>
      <c r="AB698" s="52"/>
      <c r="AC698" s="52"/>
      <c r="AD698" s="53"/>
      <c r="AE698" s="53"/>
      <c r="AF698" s="53"/>
    </row>
    <row r="699">
      <c r="G699" s="55"/>
      <c r="H699" s="54"/>
      <c r="I699" s="54"/>
      <c r="J699" s="54"/>
      <c r="K699" s="54"/>
      <c r="L699" s="54"/>
      <c r="M699" s="54"/>
      <c r="N699" s="59"/>
      <c r="O699" s="61"/>
      <c r="P699" s="61"/>
      <c r="Q699" s="61"/>
      <c r="R699" s="50"/>
      <c r="S699" s="50"/>
      <c r="T699" s="61"/>
      <c r="U699" s="61"/>
      <c r="V699" s="61"/>
      <c r="W699" s="61"/>
      <c r="X699" s="61"/>
      <c r="Y699" s="61"/>
      <c r="Z699" s="52"/>
      <c r="AA699" s="52"/>
      <c r="AB699" s="52"/>
      <c r="AC699" s="52"/>
      <c r="AD699" s="53"/>
      <c r="AE699" s="53"/>
      <c r="AF699" s="53"/>
    </row>
    <row r="700">
      <c r="G700" s="55"/>
      <c r="H700" s="54"/>
      <c r="I700" s="54"/>
      <c r="J700" s="54"/>
      <c r="K700" s="54"/>
      <c r="L700" s="54"/>
      <c r="M700" s="54"/>
      <c r="N700" s="59"/>
      <c r="O700" s="61"/>
      <c r="P700" s="61"/>
      <c r="Q700" s="61"/>
      <c r="R700" s="50"/>
      <c r="S700" s="50"/>
      <c r="T700" s="61"/>
      <c r="U700" s="61"/>
      <c r="V700" s="61"/>
      <c r="W700" s="61"/>
      <c r="X700" s="61"/>
      <c r="Y700" s="61"/>
      <c r="Z700" s="52"/>
      <c r="AA700" s="52"/>
      <c r="AB700" s="52"/>
      <c r="AC700" s="52"/>
      <c r="AD700" s="53"/>
      <c r="AE700" s="53"/>
      <c r="AF700" s="53"/>
    </row>
    <row r="701">
      <c r="G701" s="55"/>
      <c r="H701" s="54"/>
      <c r="I701" s="54"/>
      <c r="J701" s="54"/>
      <c r="K701" s="54"/>
      <c r="L701" s="54"/>
      <c r="M701" s="54"/>
      <c r="N701" s="59"/>
      <c r="O701" s="61"/>
      <c r="P701" s="61"/>
      <c r="Q701" s="61"/>
      <c r="R701" s="50"/>
      <c r="S701" s="50"/>
      <c r="T701" s="61"/>
      <c r="U701" s="61"/>
      <c r="V701" s="61"/>
      <c r="W701" s="61"/>
      <c r="X701" s="61"/>
      <c r="Y701" s="61"/>
      <c r="Z701" s="52"/>
      <c r="AA701" s="52"/>
      <c r="AB701" s="52"/>
      <c r="AC701" s="52"/>
      <c r="AD701" s="53"/>
      <c r="AE701" s="53"/>
      <c r="AF701" s="53"/>
    </row>
    <row r="702">
      <c r="G702" s="55"/>
      <c r="H702" s="54"/>
      <c r="I702" s="54"/>
      <c r="J702" s="54"/>
      <c r="K702" s="54"/>
      <c r="L702" s="54"/>
      <c r="M702" s="54"/>
      <c r="N702" s="59"/>
      <c r="O702" s="61"/>
      <c r="P702" s="61"/>
      <c r="Q702" s="61"/>
      <c r="R702" s="50"/>
      <c r="S702" s="50"/>
      <c r="T702" s="61"/>
      <c r="U702" s="61"/>
      <c r="V702" s="61"/>
      <c r="W702" s="61"/>
      <c r="X702" s="61"/>
      <c r="Y702" s="61"/>
      <c r="Z702" s="52"/>
      <c r="AA702" s="52"/>
      <c r="AB702" s="52"/>
      <c r="AC702" s="52"/>
      <c r="AD702" s="53"/>
      <c r="AE702" s="53"/>
      <c r="AF702" s="53"/>
    </row>
    <row r="703">
      <c r="G703" s="55"/>
      <c r="H703" s="54"/>
      <c r="I703" s="54"/>
      <c r="J703" s="54"/>
      <c r="K703" s="54"/>
      <c r="L703" s="54"/>
      <c r="M703" s="54"/>
      <c r="N703" s="59"/>
      <c r="O703" s="61"/>
      <c r="P703" s="61"/>
      <c r="Q703" s="61"/>
      <c r="R703" s="50"/>
      <c r="S703" s="50"/>
      <c r="T703" s="61"/>
      <c r="U703" s="61"/>
      <c r="V703" s="61"/>
      <c r="W703" s="61"/>
      <c r="X703" s="61"/>
      <c r="Y703" s="61"/>
      <c r="Z703" s="52"/>
      <c r="AA703" s="52"/>
      <c r="AB703" s="52"/>
      <c r="AC703" s="52"/>
      <c r="AD703" s="53"/>
      <c r="AE703" s="53"/>
      <c r="AF703" s="53"/>
    </row>
    <row r="704">
      <c r="G704" s="55"/>
      <c r="H704" s="54"/>
      <c r="I704" s="54"/>
      <c r="J704" s="54"/>
      <c r="K704" s="54"/>
      <c r="L704" s="54"/>
      <c r="M704" s="54"/>
      <c r="N704" s="59"/>
      <c r="O704" s="61"/>
      <c r="P704" s="61"/>
      <c r="Q704" s="61"/>
      <c r="R704" s="50"/>
      <c r="S704" s="50"/>
      <c r="T704" s="61"/>
      <c r="U704" s="61"/>
      <c r="V704" s="61"/>
      <c r="W704" s="61"/>
      <c r="X704" s="61"/>
      <c r="Y704" s="61"/>
      <c r="Z704" s="52"/>
      <c r="AA704" s="52"/>
      <c r="AB704" s="52"/>
      <c r="AC704" s="52"/>
      <c r="AD704" s="53"/>
      <c r="AE704" s="53"/>
      <c r="AF704" s="53"/>
    </row>
    <row r="705">
      <c r="G705" s="55"/>
      <c r="H705" s="54"/>
      <c r="I705" s="54"/>
      <c r="J705" s="54"/>
      <c r="K705" s="54"/>
      <c r="L705" s="54"/>
      <c r="M705" s="54"/>
      <c r="N705" s="59"/>
      <c r="O705" s="61"/>
      <c r="P705" s="61"/>
      <c r="Q705" s="61"/>
      <c r="R705" s="50"/>
      <c r="S705" s="50"/>
      <c r="T705" s="61"/>
      <c r="U705" s="61"/>
      <c r="V705" s="61"/>
      <c r="W705" s="61"/>
      <c r="X705" s="61"/>
      <c r="Y705" s="61"/>
      <c r="Z705" s="52"/>
      <c r="AA705" s="52"/>
      <c r="AB705" s="52"/>
      <c r="AC705" s="52"/>
      <c r="AD705" s="53"/>
      <c r="AE705" s="53"/>
      <c r="AF705" s="53"/>
    </row>
    <row r="706">
      <c r="G706" s="55"/>
      <c r="H706" s="54"/>
      <c r="I706" s="54"/>
      <c r="J706" s="54"/>
      <c r="K706" s="54"/>
      <c r="L706" s="54"/>
      <c r="M706" s="54"/>
      <c r="N706" s="59"/>
      <c r="O706" s="61"/>
      <c r="P706" s="61"/>
      <c r="Q706" s="61"/>
      <c r="R706" s="50"/>
      <c r="S706" s="50"/>
      <c r="T706" s="61"/>
      <c r="U706" s="61"/>
      <c r="V706" s="61"/>
      <c r="W706" s="61"/>
      <c r="X706" s="61"/>
      <c r="Y706" s="61"/>
      <c r="Z706" s="52"/>
      <c r="AA706" s="52"/>
      <c r="AB706" s="52"/>
      <c r="AC706" s="52"/>
      <c r="AD706" s="53"/>
      <c r="AE706" s="53"/>
      <c r="AF706" s="53"/>
    </row>
    <row r="707">
      <c r="G707" s="55"/>
      <c r="H707" s="54"/>
      <c r="I707" s="54"/>
      <c r="J707" s="54"/>
      <c r="K707" s="54"/>
      <c r="L707" s="54"/>
      <c r="M707" s="54"/>
      <c r="N707" s="59"/>
      <c r="O707" s="61"/>
      <c r="P707" s="61"/>
      <c r="Q707" s="61"/>
      <c r="R707" s="50"/>
      <c r="S707" s="50"/>
      <c r="T707" s="61"/>
      <c r="U707" s="61"/>
      <c r="V707" s="61"/>
      <c r="W707" s="61"/>
      <c r="X707" s="61"/>
      <c r="Y707" s="61"/>
      <c r="Z707" s="52"/>
      <c r="AA707" s="52"/>
      <c r="AB707" s="52"/>
      <c r="AC707" s="52"/>
      <c r="AD707" s="53"/>
      <c r="AE707" s="53"/>
      <c r="AF707" s="53"/>
    </row>
    <row r="708">
      <c r="G708" s="55"/>
      <c r="H708" s="54"/>
      <c r="I708" s="54"/>
      <c r="J708" s="54"/>
      <c r="K708" s="54"/>
      <c r="L708" s="54"/>
      <c r="M708" s="54"/>
      <c r="N708" s="59"/>
      <c r="O708" s="61"/>
      <c r="P708" s="61"/>
      <c r="Q708" s="61"/>
      <c r="R708" s="50"/>
      <c r="S708" s="50"/>
      <c r="T708" s="61"/>
      <c r="U708" s="61"/>
      <c r="V708" s="61"/>
      <c r="W708" s="61"/>
      <c r="X708" s="61"/>
      <c r="Y708" s="61"/>
      <c r="Z708" s="52"/>
      <c r="AA708" s="52"/>
      <c r="AB708" s="52"/>
      <c r="AC708" s="52"/>
      <c r="AD708" s="53"/>
      <c r="AE708" s="53"/>
      <c r="AF708" s="53"/>
    </row>
    <row r="709">
      <c r="G709" s="55"/>
      <c r="H709" s="54"/>
      <c r="I709" s="54"/>
      <c r="J709" s="54"/>
      <c r="K709" s="54"/>
      <c r="L709" s="54"/>
      <c r="M709" s="54"/>
      <c r="N709" s="59"/>
      <c r="O709" s="61"/>
      <c r="P709" s="61"/>
      <c r="Q709" s="61"/>
      <c r="R709" s="50"/>
      <c r="S709" s="50"/>
      <c r="T709" s="61"/>
      <c r="U709" s="61"/>
      <c r="V709" s="61"/>
      <c r="W709" s="61"/>
      <c r="X709" s="61"/>
      <c r="Y709" s="61"/>
      <c r="Z709" s="52"/>
      <c r="AA709" s="52"/>
      <c r="AB709" s="52"/>
      <c r="AC709" s="52"/>
      <c r="AD709" s="53"/>
      <c r="AE709" s="53"/>
      <c r="AF709" s="53"/>
    </row>
    <row r="710">
      <c r="G710" s="55"/>
      <c r="H710" s="54"/>
      <c r="I710" s="54"/>
      <c r="J710" s="54"/>
      <c r="K710" s="54"/>
      <c r="L710" s="54"/>
      <c r="M710" s="54"/>
      <c r="N710" s="59"/>
      <c r="O710" s="61"/>
      <c r="P710" s="61"/>
      <c r="Q710" s="61"/>
      <c r="R710" s="50"/>
      <c r="S710" s="50"/>
      <c r="T710" s="61"/>
      <c r="U710" s="61"/>
      <c r="V710" s="61"/>
      <c r="W710" s="61"/>
      <c r="X710" s="61"/>
      <c r="Y710" s="61"/>
      <c r="Z710" s="52"/>
      <c r="AA710" s="52"/>
      <c r="AB710" s="52"/>
      <c r="AC710" s="52"/>
      <c r="AD710" s="53"/>
      <c r="AE710" s="53"/>
      <c r="AF710" s="53"/>
    </row>
    <row r="711">
      <c r="G711" s="55"/>
      <c r="H711" s="54"/>
      <c r="I711" s="54"/>
      <c r="J711" s="54"/>
      <c r="K711" s="54"/>
      <c r="L711" s="54"/>
      <c r="M711" s="54"/>
      <c r="N711" s="59"/>
      <c r="O711" s="61"/>
      <c r="P711" s="61"/>
      <c r="Q711" s="61"/>
      <c r="R711" s="50"/>
      <c r="S711" s="50"/>
      <c r="T711" s="61"/>
      <c r="U711" s="61"/>
      <c r="V711" s="61"/>
      <c r="W711" s="61"/>
      <c r="X711" s="61"/>
      <c r="Y711" s="61"/>
      <c r="Z711" s="52"/>
      <c r="AA711" s="52"/>
      <c r="AB711" s="52"/>
      <c r="AC711" s="52"/>
      <c r="AD711" s="53"/>
      <c r="AE711" s="53"/>
      <c r="AF711" s="53"/>
    </row>
    <row r="712">
      <c r="G712" s="55"/>
      <c r="H712" s="54"/>
      <c r="I712" s="54"/>
      <c r="J712" s="54"/>
      <c r="K712" s="54"/>
      <c r="L712" s="54"/>
      <c r="M712" s="54"/>
      <c r="N712" s="59"/>
      <c r="O712" s="61"/>
      <c r="P712" s="61"/>
      <c r="Q712" s="61"/>
      <c r="R712" s="50"/>
      <c r="S712" s="50"/>
      <c r="T712" s="61"/>
      <c r="U712" s="61"/>
      <c r="V712" s="61"/>
      <c r="W712" s="61"/>
      <c r="X712" s="61"/>
      <c r="Y712" s="61"/>
      <c r="Z712" s="52"/>
      <c r="AA712" s="52"/>
      <c r="AB712" s="52"/>
      <c r="AC712" s="52"/>
      <c r="AD712" s="53"/>
      <c r="AE712" s="53"/>
      <c r="AF712" s="53"/>
    </row>
    <row r="713">
      <c r="G713" s="55"/>
      <c r="H713" s="54"/>
      <c r="I713" s="54"/>
      <c r="J713" s="54"/>
      <c r="K713" s="54"/>
      <c r="L713" s="54"/>
      <c r="M713" s="54"/>
      <c r="N713" s="59"/>
      <c r="O713" s="61"/>
      <c r="P713" s="61"/>
      <c r="Q713" s="61"/>
      <c r="R713" s="50"/>
      <c r="S713" s="50"/>
      <c r="T713" s="61"/>
      <c r="U713" s="61"/>
      <c r="V713" s="61"/>
      <c r="W713" s="61"/>
      <c r="X713" s="61"/>
      <c r="Y713" s="61"/>
      <c r="Z713" s="52"/>
      <c r="AA713" s="52"/>
      <c r="AB713" s="52"/>
      <c r="AC713" s="52"/>
      <c r="AD713" s="53"/>
      <c r="AE713" s="53"/>
      <c r="AF713" s="53"/>
    </row>
    <row r="714">
      <c r="G714" s="55"/>
      <c r="H714" s="54"/>
      <c r="I714" s="54"/>
      <c r="J714" s="54"/>
      <c r="K714" s="54"/>
      <c r="L714" s="54"/>
      <c r="M714" s="54"/>
      <c r="N714" s="59"/>
      <c r="O714" s="61"/>
      <c r="P714" s="61"/>
      <c r="Q714" s="61"/>
      <c r="R714" s="50"/>
      <c r="S714" s="50"/>
      <c r="T714" s="61"/>
      <c r="U714" s="61"/>
      <c r="V714" s="61"/>
      <c r="W714" s="61"/>
      <c r="X714" s="61"/>
      <c r="Y714" s="61"/>
      <c r="Z714" s="52"/>
      <c r="AA714" s="52"/>
      <c r="AB714" s="52"/>
      <c r="AC714" s="52"/>
      <c r="AD714" s="53"/>
      <c r="AE714" s="53"/>
      <c r="AF714" s="53"/>
    </row>
    <row r="715">
      <c r="G715" s="55"/>
      <c r="H715" s="54"/>
      <c r="I715" s="54"/>
      <c r="J715" s="54"/>
      <c r="K715" s="54"/>
      <c r="L715" s="54"/>
      <c r="M715" s="54"/>
      <c r="N715" s="59"/>
      <c r="O715" s="61"/>
      <c r="P715" s="61"/>
      <c r="Q715" s="61"/>
      <c r="R715" s="50"/>
      <c r="S715" s="50"/>
      <c r="T715" s="61"/>
      <c r="U715" s="61"/>
      <c r="V715" s="61"/>
      <c r="W715" s="61"/>
      <c r="X715" s="61"/>
      <c r="Y715" s="61"/>
      <c r="Z715" s="52"/>
      <c r="AA715" s="52"/>
      <c r="AB715" s="52"/>
      <c r="AC715" s="52"/>
      <c r="AD715" s="53"/>
      <c r="AE715" s="53"/>
      <c r="AF715" s="53"/>
    </row>
    <row r="716">
      <c r="G716" s="55"/>
      <c r="H716" s="54"/>
      <c r="I716" s="54"/>
      <c r="J716" s="54"/>
      <c r="K716" s="54"/>
      <c r="L716" s="54"/>
      <c r="M716" s="54"/>
      <c r="N716" s="59"/>
      <c r="O716" s="61"/>
      <c r="P716" s="61"/>
      <c r="Q716" s="61"/>
      <c r="R716" s="50"/>
      <c r="S716" s="50"/>
      <c r="T716" s="61"/>
      <c r="U716" s="61"/>
      <c r="V716" s="61"/>
      <c r="W716" s="61"/>
      <c r="X716" s="61"/>
      <c r="Y716" s="61"/>
      <c r="Z716" s="52"/>
      <c r="AA716" s="52"/>
      <c r="AB716" s="52"/>
      <c r="AC716" s="52"/>
      <c r="AD716" s="53"/>
      <c r="AE716" s="53"/>
      <c r="AF716" s="53"/>
    </row>
    <row r="717">
      <c r="G717" s="55"/>
      <c r="H717" s="54"/>
      <c r="I717" s="54"/>
      <c r="J717" s="54"/>
      <c r="K717" s="54"/>
      <c r="L717" s="54"/>
      <c r="M717" s="54"/>
      <c r="N717" s="59"/>
      <c r="O717" s="61"/>
      <c r="P717" s="61"/>
      <c r="Q717" s="61"/>
      <c r="R717" s="50"/>
      <c r="S717" s="50"/>
      <c r="T717" s="61"/>
      <c r="U717" s="61"/>
      <c r="V717" s="61"/>
      <c r="W717" s="61"/>
      <c r="X717" s="61"/>
      <c r="Y717" s="61"/>
      <c r="Z717" s="52"/>
      <c r="AA717" s="52"/>
      <c r="AB717" s="52"/>
      <c r="AC717" s="52"/>
      <c r="AD717" s="53"/>
      <c r="AE717" s="53"/>
      <c r="AF717" s="53"/>
    </row>
    <row r="718">
      <c r="G718" s="55"/>
      <c r="H718" s="54"/>
      <c r="I718" s="54"/>
      <c r="J718" s="54"/>
      <c r="K718" s="54"/>
      <c r="L718" s="54"/>
      <c r="M718" s="54"/>
      <c r="N718" s="59"/>
      <c r="O718" s="61"/>
      <c r="P718" s="61"/>
      <c r="Q718" s="61"/>
      <c r="R718" s="50"/>
      <c r="S718" s="50"/>
      <c r="T718" s="61"/>
      <c r="U718" s="61"/>
      <c r="V718" s="61"/>
      <c r="W718" s="61"/>
      <c r="X718" s="61"/>
      <c r="Y718" s="61"/>
      <c r="Z718" s="52"/>
      <c r="AA718" s="52"/>
      <c r="AB718" s="52"/>
      <c r="AC718" s="52"/>
      <c r="AD718" s="53"/>
      <c r="AE718" s="53"/>
      <c r="AF718" s="53"/>
    </row>
    <row r="719">
      <c r="G719" s="55"/>
      <c r="H719" s="54"/>
      <c r="I719" s="54"/>
      <c r="J719" s="54"/>
      <c r="K719" s="54"/>
      <c r="L719" s="54"/>
      <c r="M719" s="54"/>
      <c r="N719" s="59"/>
      <c r="O719" s="61"/>
      <c r="P719" s="61"/>
      <c r="Q719" s="61"/>
      <c r="R719" s="50"/>
      <c r="S719" s="50"/>
      <c r="T719" s="61"/>
      <c r="U719" s="61"/>
      <c r="V719" s="61"/>
      <c r="W719" s="61"/>
      <c r="X719" s="61"/>
      <c r="Y719" s="61"/>
      <c r="Z719" s="52"/>
      <c r="AA719" s="52"/>
      <c r="AB719" s="52"/>
      <c r="AC719" s="52"/>
      <c r="AD719" s="53"/>
      <c r="AE719" s="53"/>
      <c r="AF719" s="53"/>
    </row>
    <row r="720">
      <c r="G720" s="55"/>
      <c r="H720" s="54"/>
      <c r="I720" s="54"/>
      <c r="J720" s="54"/>
      <c r="K720" s="54"/>
      <c r="L720" s="54"/>
      <c r="M720" s="54"/>
      <c r="N720" s="59"/>
      <c r="O720" s="61"/>
      <c r="P720" s="61"/>
      <c r="Q720" s="61"/>
      <c r="R720" s="50"/>
      <c r="S720" s="50"/>
      <c r="T720" s="61"/>
      <c r="U720" s="61"/>
      <c r="V720" s="61"/>
      <c r="W720" s="61"/>
      <c r="X720" s="61"/>
      <c r="Y720" s="61"/>
      <c r="Z720" s="52"/>
      <c r="AA720" s="52"/>
      <c r="AB720" s="52"/>
      <c r="AC720" s="52"/>
      <c r="AD720" s="53"/>
      <c r="AE720" s="53"/>
      <c r="AF720" s="53"/>
    </row>
    <row r="721">
      <c r="G721" s="55"/>
      <c r="H721" s="54"/>
      <c r="I721" s="54"/>
      <c r="J721" s="54"/>
      <c r="K721" s="54"/>
      <c r="L721" s="54"/>
      <c r="M721" s="54"/>
      <c r="N721" s="59"/>
      <c r="O721" s="61"/>
      <c r="P721" s="61"/>
      <c r="Q721" s="61"/>
      <c r="R721" s="50"/>
      <c r="S721" s="50"/>
      <c r="T721" s="61"/>
      <c r="U721" s="61"/>
      <c r="V721" s="61"/>
      <c r="W721" s="61"/>
      <c r="X721" s="61"/>
      <c r="Y721" s="61"/>
      <c r="Z721" s="52"/>
      <c r="AA721" s="52"/>
      <c r="AB721" s="52"/>
      <c r="AC721" s="52"/>
      <c r="AD721" s="53"/>
      <c r="AE721" s="53"/>
      <c r="AF721" s="53"/>
    </row>
    <row r="722">
      <c r="G722" s="55"/>
      <c r="H722" s="54"/>
      <c r="I722" s="54"/>
      <c r="J722" s="54"/>
      <c r="K722" s="54"/>
      <c r="L722" s="54"/>
      <c r="M722" s="54"/>
      <c r="N722" s="59"/>
      <c r="O722" s="61"/>
      <c r="P722" s="61"/>
      <c r="Q722" s="61"/>
      <c r="R722" s="50"/>
      <c r="S722" s="50"/>
      <c r="T722" s="61"/>
      <c r="U722" s="61"/>
      <c r="V722" s="61"/>
      <c r="W722" s="61"/>
      <c r="X722" s="61"/>
      <c r="Y722" s="61"/>
      <c r="Z722" s="52"/>
      <c r="AA722" s="52"/>
      <c r="AB722" s="52"/>
      <c r="AC722" s="52"/>
      <c r="AD722" s="53"/>
      <c r="AE722" s="53"/>
      <c r="AF722" s="53"/>
    </row>
    <row r="723">
      <c r="G723" s="55"/>
      <c r="H723" s="54"/>
      <c r="I723" s="54"/>
      <c r="J723" s="54"/>
      <c r="K723" s="54"/>
      <c r="L723" s="54"/>
      <c r="M723" s="54"/>
      <c r="N723" s="59"/>
      <c r="O723" s="61"/>
      <c r="P723" s="61"/>
      <c r="Q723" s="61"/>
      <c r="R723" s="50"/>
      <c r="S723" s="50"/>
      <c r="T723" s="61"/>
      <c r="U723" s="61"/>
      <c r="V723" s="61"/>
      <c r="W723" s="61"/>
      <c r="X723" s="61"/>
      <c r="Y723" s="61"/>
      <c r="Z723" s="52"/>
      <c r="AA723" s="52"/>
      <c r="AB723" s="52"/>
      <c r="AC723" s="52"/>
      <c r="AD723" s="53"/>
      <c r="AE723" s="53"/>
      <c r="AF723" s="53"/>
    </row>
    <row r="724">
      <c r="G724" s="55"/>
      <c r="H724" s="54"/>
      <c r="I724" s="54"/>
      <c r="J724" s="54"/>
      <c r="K724" s="54"/>
      <c r="L724" s="54"/>
      <c r="M724" s="54"/>
      <c r="N724" s="59"/>
      <c r="O724" s="61"/>
      <c r="P724" s="61"/>
      <c r="Q724" s="61"/>
      <c r="R724" s="50"/>
      <c r="S724" s="50"/>
      <c r="T724" s="61"/>
      <c r="U724" s="61"/>
      <c r="V724" s="61"/>
      <c r="W724" s="61"/>
      <c r="X724" s="61"/>
      <c r="Y724" s="61"/>
      <c r="Z724" s="52"/>
      <c r="AA724" s="52"/>
      <c r="AB724" s="52"/>
      <c r="AC724" s="52"/>
      <c r="AD724" s="53"/>
      <c r="AE724" s="53"/>
      <c r="AF724" s="53"/>
    </row>
    <row r="725">
      <c r="G725" s="55"/>
      <c r="H725" s="54"/>
      <c r="I725" s="54"/>
      <c r="J725" s="54"/>
      <c r="K725" s="54"/>
      <c r="L725" s="54"/>
      <c r="M725" s="54"/>
      <c r="N725" s="59"/>
      <c r="O725" s="61"/>
      <c r="P725" s="61"/>
      <c r="Q725" s="61"/>
      <c r="R725" s="50"/>
      <c r="S725" s="50"/>
      <c r="T725" s="61"/>
      <c r="U725" s="61"/>
      <c r="V725" s="61"/>
      <c r="W725" s="61"/>
      <c r="X725" s="61"/>
      <c r="Y725" s="61"/>
      <c r="Z725" s="52"/>
      <c r="AA725" s="52"/>
      <c r="AB725" s="52"/>
      <c r="AC725" s="52"/>
      <c r="AD725" s="53"/>
      <c r="AE725" s="53"/>
      <c r="AF725" s="53"/>
    </row>
    <row r="726">
      <c r="G726" s="55"/>
      <c r="H726" s="54"/>
      <c r="I726" s="54"/>
      <c r="J726" s="54"/>
      <c r="K726" s="54"/>
      <c r="L726" s="54"/>
      <c r="M726" s="54"/>
      <c r="N726" s="59"/>
      <c r="O726" s="61"/>
      <c r="P726" s="61"/>
      <c r="Q726" s="61"/>
      <c r="R726" s="50"/>
      <c r="S726" s="50"/>
      <c r="T726" s="61"/>
      <c r="U726" s="61"/>
      <c r="V726" s="61"/>
      <c r="W726" s="61"/>
      <c r="X726" s="61"/>
      <c r="Y726" s="61"/>
      <c r="Z726" s="52"/>
      <c r="AA726" s="52"/>
      <c r="AB726" s="52"/>
      <c r="AC726" s="52"/>
      <c r="AD726" s="53"/>
      <c r="AE726" s="53"/>
      <c r="AF726" s="53"/>
    </row>
    <row r="727">
      <c r="G727" s="55"/>
      <c r="H727" s="54"/>
      <c r="I727" s="54"/>
      <c r="J727" s="54"/>
      <c r="K727" s="54"/>
      <c r="L727" s="54"/>
      <c r="M727" s="54"/>
      <c r="N727" s="59"/>
      <c r="O727" s="61"/>
      <c r="P727" s="61"/>
      <c r="Q727" s="61"/>
      <c r="R727" s="50"/>
      <c r="S727" s="50"/>
      <c r="T727" s="61"/>
      <c r="U727" s="61"/>
      <c r="V727" s="61"/>
      <c r="W727" s="61"/>
      <c r="X727" s="61"/>
      <c r="Y727" s="61"/>
      <c r="Z727" s="52"/>
      <c r="AA727" s="52"/>
      <c r="AB727" s="52"/>
      <c r="AC727" s="52"/>
      <c r="AD727" s="53"/>
      <c r="AE727" s="53"/>
      <c r="AF727" s="53"/>
    </row>
    <row r="728">
      <c r="G728" s="55"/>
      <c r="H728" s="54"/>
      <c r="I728" s="54"/>
      <c r="J728" s="54"/>
      <c r="K728" s="54"/>
      <c r="L728" s="54"/>
      <c r="M728" s="54"/>
      <c r="N728" s="59"/>
      <c r="O728" s="61"/>
      <c r="P728" s="61"/>
      <c r="Q728" s="61"/>
      <c r="R728" s="50"/>
      <c r="S728" s="50"/>
      <c r="T728" s="61"/>
      <c r="U728" s="61"/>
      <c r="V728" s="61"/>
      <c r="W728" s="61"/>
      <c r="X728" s="61"/>
      <c r="Y728" s="61"/>
      <c r="Z728" s="52"/>
      <c r="AA728" s="52"/>
      <c r="AB728" s="52"/>
      <c r="AC728" s="52"/>
      <c r="AD728" s="53"/>
      <c r="AE728" s="53"/>
      <c r="AF728" s="53"/>
    </row>
    <row r="729">
      <c r="G729" s="55"/>
      <c r="H729" s="54"/>
      <c r="I729" s="54"/>
      <c r="J729" s="54"/>
      <c r="K729" s="54"/>
      <c r="L729" s="54"/>
      <c r="M729" s="54"/>
      <c r="N729" s="59"/>
      <c r="O729" s="61"/>
      <c r="P729" s="61"/>
      <c r="Q729" s="61"/>
      <c r="R729" s="50"/>
      <c r="S729" s="50"/>
      <c r="T729" s="61"/>
      <c r="U729" s="61"/>
      <c r="V729" s="61"/>
      <c r="W729" s="61"/>
      <c r="X729" s="61"/>
      <c r="Y729" s="61"/>
      <c r="Z729" s="52"/>
      <c r="AA729" s="52"/>
      <c r="AB729" s="52"/>
      <c r="AC729" s="52"/>
      <c r="AD729" s="53"/>
      <c r="AE729" s="53"/>
      <c r="AF729" s="53"/>
    </row>
    <row r="730">
      <c r="G730" s="55"/>
      <c r="H730" s="54"/>
      <c r="I730" s="54"/>
      <c r="J730" s="54"/>
      <c r="K730" s="54"/>
      <c r="L730" s="54"/>
      <c r="M730" s="54"/>
      <c r="N730" s="59"/>
      <c r="O730" s="61"/>
      <c r="P730" s="61"/>
      <c r="Q730" s="61"/>
      <c r="R730" s="50"/>
      <c r="S730" s="50"/>
      <c r="T730" s="61"/>
      <c r="U730" s="61"/>
      <c r="V730" s="61"/>
      <c r="W730" s="61"/>
      <c r="X730" s="61"/>
      <c r="Y730" s="61"/>
      <c r="Z730" s="52"/>
      <c r="AA730" s="52"/>
      <c r="AB730" s="52"/>
      <c r="AC730" s="52"/>
      <c r="AD730" s="53"/>
      <c r="AE730" s="53"/>
      <c r="AF730" s="53"/>
    </row>
    <row r="731">
      <c r="G731" s="55"/>
      <c r="H731" s="54"/>
      <c r="I731" s="54"/>
      <c r="J731" s="54"/>
      <c r="K731" s="54"/>
      <c r="L731" s="54"/>
      <c r="M731" s="54"/>
      <c r="N731" s="59"/>
      <c r="O731" s="61"/>
      <c r="P731" s="61"/>
      <c r="Q731" s="61"/>
      <c r="R731" s="50"/>
      <c r="S731" s="50"/>
      <c r="T731" s="61"/>
      <c r="U731" s="61"/>
      <c r="V731" s="61"/>
      <c r="W731" s="61"/>
      <c r="X731" s="61"/>
      <c r="Y731" s="61"/>
      <c r="Z731" s="52"/>
      <c r="AA731" s="52"/>
      <c r="AB731" s="52"/>
      <c r="AC731" s="52"/>
      <c r="AD731" s="53"/>
      <c r="AE731" s="53"/>
      <c r="AF731" s="53"/>
    </row>
    <row r="732">
      <c r="G732" s="55"/>
      <c r="H732" s="54"/>
      <c r="I732" s="54"/>
      <c r="J732" s="54"/>
      <c r="K732" s="54"/>
      <c r="L732" s="54"/>
      <c r="M732" s="54"/>
      <c r="N732" s="59"/>
      <c r="O732" s="61"/>
      <c r="P732" s="61"/>
      <c r="Q732" s="61"/>
      <c r="R732" s="50"/>
      <c r="S732" s="50"/>
      <c r="T732" s="61"/>
      <c r="U732" s="61"/>
      <c r="V732" s="61"/>
      <c r="W732" s="61"/>
      <c r="X732" s="61"/>
      <c r="Y732" s="61"/>
      <c r="Z732" s="52"/>
      <c r="AA732" s="52"/>
      <c r="AB732" s="52"/>
      <c r="AC732" s="52"/>
      <c r="AD732" s="53"/>
      <c r="AE732" s="53"/>
      <c r="AF732" s="53"/>
    </row>
    <row r="733">
      <c r="G733" s="55"/>
      <c r="H733" s="54"/>
      <c r="I733" s="54"/>
      <c r="J733" s="54"/>
      <c r="K733" s="54"/>
      <c r="L733" s="54"/>
      <c r="M733" s="54"/>
      <c r="N733" s="59"/>
      <c r="O733" s="61"/>
      <c r="P733" s="61"/>
      <c r="Q733" s="61"/>
      <c r="R733" s="50"/>
      <c r="S733" s="50"/>
      <c r="T733" s="61"/>
      <c r="U733" s="61"/>
      <c r="V733" s="61"/>
      <c r="W733" s="61"/>
      <c r="X733" s="61"/>
      <c r="Y733" s="61"/>
      <c r="Z733" s="52"/>
      <c r="AA733" s="52"/>
      <c r="AB733" s="52"/>
      <c r="AC733" s="52"/>
      <c r="AD733" s="53"/>
      <c r="AE733" s="53"/>
      <c r="AF733" s="53"/>
    </row>
    <row r="734">
      <c r="G734" s="55"/>
      <c r="H734" s="54"/>
      <c r="I734" s="54"/>
      <c r="J734" s="54"/>
      <c r="K734" s="54"/>
      <c r="L734" s="54"/>
      <c r="M734" s="54"/>
      <c r="N734" s="59"/>
      <c r="O734" s="61"/>
      <c r="P734" s="61"/>
      <c r="Q734" s="61"/>
      <c r="R734" s="50"/>
      <c r="S734" s="50"/>
      <c r="T734" s="61"/>
      <c r="U734" s="61"/>
      <c r="V734" s="61"/>
      <c r="W734" s="61"/>
      <c r="X734" s="61"/>
      <c r="Y734" s="61"/>
      <c r="Z734" s="52"/>
      <c r="AA734" s="52"/>
      <c r="AB734" s="52"/>
      <c r="AC734" s="52"/>
      <c r="AD734" s="53"/>
      <c r="AE734" s="53"/>
      <c r="AF734" s="53"/>
    </row>
    <row r="735">
      <c r="G735" s="55"/>
      <c r="H735" s="54"/>
      <c r="I735" s="54"/>
      <c r="J735" s="54"/>
      <c r="K735" s="54"/>
      <c r="L735" s="54"/>
      <c r="M735" s="54"/>
      <c r="N735" s="59"/>
      <c r="O735" s="61"/>
      <c r="P735" s="61"/>
      <c r="Q735" s="61"/>
      <c r="R735" s="50"/>
      <c r="S735" s="50"/>
      <c r="T735" s="61"/>
      <c r="U735" s="61"/>
      <c r="V735" s="61"/>
      <c r="W735" s="61"/>
      <c r="X735" s="61"/>
      <c r="Y735" s="61"/>
      <c r="Z735" s="52"/>
      <c r="AA735" s="52"/>
      <c r="AB735" s="52"/>
      <c r="AC735" s="52"/>
      <c r="AD735" s="53"/>
      <c r="AE735" s="53"/>
      <c r="AF735" s="53"/>
    </row>
    <row r="736">
      <c r="G736" s="55"/>
      <c r="H736" s="54"/>
      <c r="I736" s="54"/>
      <c r="J736" s="54"/>
      <c r="K736" s="54"/>
      <c r="L736" s="54"/>
      <c r="M736" s="54"/>
      <c r="N736" s="59"/>
      <c r="O736" s="61"/>
      <c r="P736" s="61"/>
      <c r="Q736" s="61"/>
      <c r="R736" s="50"/>
      <c r="S736" s="50"/>
      <c r="T736" s="61"/>
      <c r="U736" s="61"/>
      <c r="V736" s="61"/>
      <c r="W736" s="61"/>
      <c r="X736" s="61"/>
      <c r="Y736" s="61"/>
      <c r="Z736" s="52"/>
      <c r="AA736" s="52"/>
      <c r="AB736" s="52"/>
      <c r="AC736" s="52"/>
      <c r="AD736" s="53"/>
      <c r="AE736" s="53"/>
      <c r="AF736" s="53"/>
    </row>
    <row r="737">
      <c r="G737" s="55"/>
      <c r="H737" s="54"/>
      <c r="I737" s="54"/>
      <c r="J737" s="54"/>
      <c r="K737" s="54"/>
      <c r="L737" s="54"/>
      <c r="M737" s="54"/>
      <c r="N737" s="59"/>
      <c r="O737" s="61"/>
      <c r="P737" s="61"/>
      <c r="Q737" s="61"/>
      <c r="R737" s="50"/>
      <c r="S737" s="50"/>
      <c r="T737" s="61"/>
      <c r="U737" s="61"/>
      <c r="V737" s="61"/>
      <c r="W737" s="61"/>
      <c r="X737" s="61"/>
      <c r="Y737" s="61"/>
      <c r="Z737" s="52"/>
      <c r="AA737" s="52"/>
      <c r="AB737" s="52"/>
      <c r="AC737" s="52"/>
      <c r="AD737" s="53"/>
      <c r="AE737" s="53"/>
      <c r="AF737" s="53"/>
    </row>
    <row r="738">
      <c r="G738" s="55"/>
      <c r="H738" s="54"/>
      <c r="I738" s="54"/>
      <c r="J738" s="54"/>
      <c r="K738" s="54"/>
      <c r="L738" s="54"/>
      <c r="M738" s="54"/>
      <c r="N738" s="59"/>
      <c r="O738" s="61"/>
      <c r="P738" s="61"/>
      <c r="Q738" s="61"/>
      <c r="R738" s="50"/>
      <c r="S738" s="50"/>
      <c r="T738" s="61"/>
      <c r="U738" s="61"/>
      <c r="V738" s="61"/>
      <c r="W738" s="61"/>
      <c r="X738" s="61"/>
      <c r="Y738" s="61"/>
      <c r="Z738" s="52"/>
      <c r="AA738" s="52"/>
      <c r="AB738" s="52"/>
      <c r="AC738" s="52"/>
      <c r="AD738" s="53"/>
      <c r="AE738" s="53"/>
      <c r="AF738" s="53"/>
    </row>
    <row r="739">
      <c r="G739" s="55"/>
      <c r="H739" s="54"/>
      <c r="I739" s="54"/>
      <c r="J739" s="54"/>
      <c r="K739" s="54"/>
      <c r="L739" s="54"/>
      <c r="M739" s="54"/>
      <c r="N739" s="59"/>
      <c r="O739" s="61"/>
      <c r="P739" s="61"/>
      <c r="Q739" s="61"/>
      <c r="R739" s="50"/>
      <c r="S739" s="50"/>
      <c r="T739" s="61"/>
      <c r="U739" s="61"/>
      <c r="V739" s="61"/>
      <c r="W739" s="61"/>
      <c r="X739" s="61"/>
      <c r="Y739" s="61"/>
      <c r="Z739" s="52"/>
      <c r="AA739" s="52"/>
      <c r="AB739" s="52"/>
      <c r="AC739" s="52"/>
      <c r="AD739" s="53"/>
      <c r="AE739" s="53"/>
      <c r="AF739" s="53"/>
    </row>
    <row r="740">
      <c r="G740" s="55"/>
      <c r="H740" s="54"/>
      <c r="I740" s="54"/>
      <c r="J740" s="54"/>
      <c r="K740" s="54"/>
      <c r="L740" s="54"/>
      <c r="M740" s="54"/>
      <c r="N740" s="59"/>
      <c r="O740" s="61"/>
      <c r="P740" s="61"/>
      <c r="Q740" s="61"/>
      <c r="R740" s="50"/>
      <c r="S740" s="50"/>
      <c r="T740" s="61"/>
      <c r="U740" s="61"/>
      <c r="V740" s="61"/>
      <c r="W740" s="61"/>
      <c r="X740" s="61"/>
      <c r="Y740" s="61"/>
      <c r="Z740" s="52"/>
      <c r="AA740" s="52"/>
      <c r="AB740" s="52"/>
      <c r="AC740" s="52"/>
      <c r="AD740" s="53"/>
      <c r="AE740" s="53"/>
      <c r="AF740" s="53"/>
    </row>
    <row r="741">
      <c r="G741" s="55"/>
      <c r="H741" s="54"/>
      <c r="I741" s="54"/>
      <c r="J741" s="54"/>
      <c r="K741" s="54"/>
      <c r="L741" s="54"/>
      <c r="M741" s="54"/>
      <c r="N741" s="59"/>
      <c r="O741" s="61"/>
      <c r="P741" s="61"/>
      <c r="Q741" s="61"/>
      <c r="R741" s="50"/>
      <c r="S741" s="50"/>
      <c r="T741" s="61"/>
      <c r="U741" s="61"/>
      <c r="V741" s="61"/>
      <c r="W741" s="61"/>
      <c r="X741" s="61"/>
      <c r="Y741" s="61"/>
      <c r="Z741" s="52"/>
      <c r="AA741" s="52"/>
      <c r="AB741" s="52"/>
      <c r="AC741" s="52"/>
      <c r="AD741" s="53"/>
      <c r="AE741" s="53"/>
      <c r="AF741" s="53"/>
    </row>
    <row r="742">
      <c r="G742" s="55"/>
      <c r="H742" s="54"/>
      <c r="I742" s="54"/>
      <c r="J742" s="54"/>
      <c r="K742" s="54"/>
      <c r="L742" s="54"/>
      <c r="M742" s="54"/>
      <c r="N742" s="59"/>
      <c r="O742" s="61"/>
      <c r="P742" s="61"/>
      <c r="Q742" s="61"/>
      <c r="R742" s="50"/>
      <c r="S742" s="50"/>
      <c r="T742" s="61"/>
      <c r="U742" s="61"/>
      <c r="V742" s="61"/>
      <c r="W742" s="61"/>
      <c r="X742" s="61"/>
      <c r="Y742" s="61"/>
      <c r="Z742" s="52"/>
      <c r="AA742" s="52"/>
      <c r="AB742" s="52"/>
      <c r="AC742" s="52"/>
      <c r="AD742" s="53"/>
      <c r="AE742" s="53"/>
      <c r="AF742" s="53"/>
    </row>
    <row r="743">
      <c r="G743" s="55"/>
      <c r="H743" s="54"/>
      <c r="I743" s="54"/>
      <c r="J743" s="54"/>
      <c r="K743" s="54"/>
      <c r="L743" s="54"/>
      <c r="M743" s="54"/>
      <c r="N743" s="59"/>
      <c r="O743" s="61"/>
      <c r="P743" s="61"/>
      <c r="Q743" s="61"/>
      <c r="R743" s="50"/>
      <c r="S743" s="50"/>
      <c r="T743" s="61"/>
      <c r="U743" s="61"/>
      <c r="V743" s="61"/>
      <c r="W743" s="61"/>
      <c r="X743" s="61"/>
      <c r="Y743" s="61"/>
      <c r="Z743" s="52"/>
      <c r="AA743" s="52"/>
      <c r="AB743" s="52"/>
      <c r="AC743" s="52"/>
      <c r="AD743" s="53"/>
      <c r="AE743" s="53"/>
      <c r="AF743" s="53"/>
    </row>
    <row r="744">
      <c r="G744" s="55"/>
      <c r="H744" s="54"/>
      <c r="I744" s="54"/>
      <c r="J744" s="54"/>
      <c r="K744" s="54"/>
      <c r="L744" s="54"/>
      <c r="M744" s="54"/>
      <c r="N744" s="59"/>
      <c r="O744" s="61"/>
      <c r="P744" s="61"/>
      <c r="Q744" s="61"/>
      <c r="R744" s="50"/>
      <c r="S744" s="50"/>
      <c r="T744" s="61"/>
      <c r="U744" s="61"/>
      <c r="V744" s="61"/>
      <c r="W744" s="61"/>
      <c r="X744" s="61"/>
      <c r="Y744" s="61"/>
      <c r="Z744" s="52"/>
      <c r="AA744" s="52"/>
      <c r="AB744" s="52"/>
      <c r="AC744" s="52"/>
      <c r="AD744" s="53"/>
      <c r="AE744" s="53"/>
      <c r="AF744" s="53"/>
    </row>
    <row r="745">
      <c r="G745" s="55"/>
      <c r="H745" s="54"/>
      <c r="I745" s="54"/>
      <c r="J745" s="54"/>
      <c r="K745" s="54"/>
      <c r="L745" s="54"/>
      <c r="M745" s="54"/>
      <c r="N745" s="59"/>
      <c r="O745" s="61"/>
      <c r="P745" s="61"/>
      <c r="Q745" s="61"/>
      <c r="R745" s="50"/>
      <c r="S745" s="50"/>
      <c r="T745" s="61"/>
      <c r="U745" s="61"/>
      <c r="V745" s="61"/>
      <c r="W745" s="61"/>
      <c r="X745" s="61"/>
      <c r="Y745" s="61"/>
      <c r="Z745" s="52"/>
      <c r="AA745" s="52"/>
      <c r="AB745" s="52"/>
      <c r="AC745" s="52"/>
      <c r="AD745" s="53"/>
      <c r="AE745" s="53"/>
      <c r="AF745" s="53"/>
    </row>
    <row r="746">
      <c r="G746" s="55"/>
      <c r="H746" s="54"/>
      <c r="I746" s="54"/>
      <c r="J746" s="54"/>
      <c r="K746" s="54"/>
      <c r="L746" s="54"/>
      <c r="M746" s="54"/>
      <c r="N746" s="59"/>
      <c r="O746" s="61"/>
      <c r="P746" s="61"/>
      <c r="Q746" s="61"/>
      <c r="R746" s="50"/>
      <c r="S746" s="50"/>
      <c r="T746" s="61"/>
      <c r="U746" s="61"/>
      <c r="V746" s="61"/>
      <c r="W746" s="61"/>
      <c r="X746" s="61"/>
      <c r="Y746" s="61"/>
      <c r="Z746" s="52"/>
      <c r="AA746" s="52"/>
      <c r="AB746" s="52"/>
      <c r="AC746" s="52"/>
      <c r="AD746" s="53"/>
      <c r="AE746" s="53"/>
      <c r="AF746" s="53"/>
    </row>
    <row r="747">
      <c r="G747" s="55"/>
      <c r="H747" s="54"/>
      <c r="I747" s="54"/>
      <c r="J747" s="54"/>
      <c r="K747" s="54"/>
      <c r="L747" s="54"/>
      <c r="M747" s="54"/>
      <c r="N747" s="59"/>
      <c r="O747" s="61"/>
      <c r="P747" s="61"/>
      <c r="Q747" s="61"/>
      <c r="R747" s="50"/>
      <c r="S747" s="50"/>
      <c r="T747" s="61"/>
      <c r="U747" s="61"/>
      <c r="V747" s="61"/>
      <c r="W747" s="61"/>
      <c r="X747" s="61"/>
      <c r="Y747" s="61"/>
      <c r="Z747" s="52"/>
      <c r="AA747" s="52"/>
      <c r="AB747" s="52"/>
      <c r="AC747" s="52"/>
      <c r="AD747" s="53"/>
      <c r="AE747" s="53"/>
      <c r="AF747" s="53"/>
    </row>
    <row r="748">
      <c r="G748" s="55"/>
      <c r="H748" s="54"/>
      <c r="I748" s="54"/>
      <c r="J748" s="54"/>
      <c r="K748" s="54"/>
      <c r="L748" s="54"/>
      <c r="M748" s="54"/>
      <c r="N748" s="59"/>
      <c r="O748" s="61"/>
      <c r="P748" s="61"/>
      <c r="Q748" s="61"/>
      <c r="R748" s="50"/>
      <c r="S748" s="50"/>
      <c r="T748" s="61"/>
      <c r="U748" s="61"/>
      <c r="V748" s="61"/>
      <c r="W748" s="61"/>
      <c r="X748" s="61"/>
      <c r="Y748" s="61"/>
      <c r="Z748" s="52"/>
      <c r="AA748" s="52"/>
      <c r="AB748" s="52"/>
      <c r="AC748" s="52"/>
      <c r="AD748" s="53"/>
      <c r="AE748" s="53"/>
      <c r="AF748" s="53"/>
    </row>
    <row r="749">
      <c r="G749" s="55"/>
      <c r="H749" s="54"/>
      <c r="I749" s="54"/>
      <c r="J749" s="54"/>
      <c r="K749" s="54"/>
      <c r="L749" s="54"/>
      <c r="M749" s="54"/>
      <c r="N749" s="59"/>
      <c r="O749" s="61"/>
      <c r="P749" s="61"/>
      <c r="Q749" s="61"/>
      <c r="R749" s="50"/>
      <c r="S749" s="50"/>
      <c r="T749" s="61"/>
      <c r="U749" s="61"/>
      <c r="V749" s="61"/>
      <c r="W749" s="61"/>
      <c r="X749" s="61"/>
      <c r="Y749" s="61"/>
      <c r="Z749" s="52"/>
      <c r="AA749" s="52"/>
      <c r="AB749" s="52"/>
      <c r="AC749" s="52"/>
      <c r="AD749" s="53"/>
      <c r="AE749" s="53"/>
      <c r="AF749" s="53"/>
    </row>
    <row r="750">
      <c r="G750" s="55"/>
      <c r="H750" s="54"/>
      <c r="I750" s="54"/>
      <c r="J750" s="54"/>
      <c r="K750" s="54"/>
      <c r="L750" s="54"/>
      <c r="M750" s="54"/>
      <c r="N750" s="59"/>
      <c r="O750" s="61"/>
      <c r="P750" s="61"/>
      <c r="Q750" s="61"/>
      <c r="R750" s="50"/>
      <c r="S750" s="50"/>
      <c r="T750" s="61"/>
      <c r="U750" s="61"/>
      <c r="V750" s="61"/>
      <c r="W750" s="61"/>
      <c r="X750" s="61"/>
      <c r="Y750" s="61"/>
      <c r="Z750" s="52"/>
      <c r="AA750" s="52"/>
      <c r="AB750" s="52"/>
      <c r="AC750" s="52"/>
      <c r="AD750" s="53"/>
      <c r="AE750" s="53"/>
      <c r="AF750" s="53"/>
    </row>
    <row r="751">
      <c r="G751" s="55"/>
      <c r="H751" s="54"/>
      <c r="I751" s="54"/>
      <c r="J751" s="54"/>
      <c r="K751" s="54"/>
      <c r="L751" s="54"/>
      <c r="M751" s="54"/>
      <c r="N751" s="59"/>
      <c r="O751" s="61"/>
      <c r="P751" s="61"/>
      <c r="Q751" s="61"/>
      <c r="R751" s="50"/>
      <c r="S751" s="50"/>
      <c r="T751" s="61"/>
      <c r="U751" s="61"/>
      <c r="V751" s="61"/>
      <c r="W751" s="61"/>
      <c r="X751" s="61"/>
      <c r="Y751" s="61"/>
      <c r="Z751" s="52"/>
      <c r="AA751" s="52"/>
      <c r="AB751" s="52"/>
      <c r="AC751" s="52"/>
      <c r="AD751" s="53"/>
      <c r="AE751" s="53"/>
      <c r="AF751" s="53"/>
    </row>
    <row r="752">
      <c r="G752" s="55"/>
      <c r="H752" s="54"/>
      <c r="I752" s="54"/>
      <c r="J752" s="54"/>
      <c r="K752" s="54"/>
      <c r="L752" s="54"/>
      <c r="M752" s="54"/>
      <c r="N752" s="59"/>
      <c r="O752" s="61"/>
      <c r="P752" s="61"/>
      <c r="Q752" s="61"/>
      <c r="R752" s="50"/>
      <c r="S752" s="50"/>
      <c r="T752" s="61"/>
      <c r="U752" s="61"/>
      <c r="V752" s="61"/>
      <c r="W752" s="61"/>
      <c r="X752" s="61"/>
      <c r="Y752" s="61"/>
      <c r="Z752" s="52"/>
      <c r="AA752" s="52"/>
      <c r="AB752" s="52"/>
      <c r="AC752" s="52"/>
      <c r="AD752" s="53"/>
      <c r="AE752" s="53"/>
      <c r="AF752" s="53"/>
    </row>
    <row r="753">
      <c r="G753" s="55"/>
      <c r="H753" s="54"/>
      <c r="I753" s="54"/>
      <c r="J753" s="54"/>
      <c r="K753" s="54"/>
      <c r="L753" s="54"/>
      <c r="M753" s="54"/>
      <c r="N753" s="59"/>
      <c r="O753" s="61"/>
      <c r="P753" s="61"/>
      <c r="Q753" s="61"/>
      <c r="R753" s="50"/>
      <c r="S753" s="50"/>
      <c r="T753" s="61"/>
      <c r="U753" s="61"/>
      <c r="V753" s="61"/>
      <c r="W753" s="61"/>
      <c r="X753" s="61"/>
      <c r="Y753" s="61"/>
      <c r="Z753" s="52"/>
      <c r="AA753" s="52"/>
      <c r="AB753" s="52"/>
      <c r="AC753" s="52"/>
      <c r="AD753" s="53"/>
      <c r="AE753" s="53"/>
      <c r="AF753" s="53"/>
    </row>
    <row r="754">
      <c r="G754" s="55"/>
      <c r="H754" s="54"/>
      <c r="I754" s="54"/>
      <c r="J754" s="54"/>
      <c r="K754" s="54"/>
      <c r="L754" s="54"/>
      <c r="M754" s="54"/>
      <c r="N754" s="59"/>
      <c r="O754" s="61"/>
      <c r="P754" s="61"/>
      <c r="Q754" s="61"/>
      <c r="R754" s="50"/>
      <c r="S754" s="50"/>
      <c r="T754" s="61"/>
      <c r="U754" s="61"/>
      <c r="V754" s="61"/>
      <c r="W754" s="61"/>
      <c r="X754" s="61"/>
      <c r="Y754" s="61"/>
      <c r="Z754" s="52"/>
      <c r="AA754" s="52"/>
      <c r="AB754" s="52"/>
      <c r="AC754" s="52"/>
      <c r="AD754" s="53"/>
      <c r="AE754" s="53"/>
      <c r="AF754" s="53"/>
    </row>
    <row r="755">
      <c r="G755" s="55"/>
      <c r="H755" s="54"/>
      <c r="I755" s="54"/>
      <c r="J755" s="54"/>
      <c r="K755" s="54"/>
      <c r="L755" s="54"/>
      <c r="M755" s="54"/>
      <c r="N755" s="59"/>
      <c r="O755" s="61"/>
      <c r="P755" s="61"/>
      <c r="Q755" s="61"/>
      <c r="R755" s="50"/>
      <c r="S755" s="50"/>
      <c r="T755" s="61"/>
      <c r="U755" s="61"/>
      <c r="V755" s="61"/>
      <c r="W755" s="61"/>
      <c r="X755" s="61"/>
      <c r="Y755" s="61"/>
      <c r="Z755" s="52"/>
      <c r="AA755" s="52"/>
      <c r="AB755" s="52"/>
      <c r="AC755" s="52"/>
      <c r="AD755" s="53"/>
      <c r="AE755" s="53"/>
      <c r="AF755" s="53"/>
    </row>
    <row r="756">
      <c r="G756" s="55"/>
      <c r="H756" s="54"/>
      <c r="I756" s="54"/>
      <c r="J756" s="54"/>
      <c r="K756" s="54"/>
      <c r="L756" s="54"/>
      <c r="M756" s="54"/>
      <c r="N756" s="59"/>
      <c r="O756" s="61"/>
      <c r="P756" s="61"/>
      <c r="Q756" s="61"/>
      <c r="R756" s="50"/>
      <c r="S756" s="50"/>
      <c r="T756" s="61"/>
      <c r="U756" s="61"/>
      <c r="V756" s="61"/>
      <c r="W756" s="61"/>
      <c r="X756" s="61"/>
      <c r="Y756" s="61"/>
      <c r="Z756" s="52"/>
      <c r="AA756" s="52"/>
      <c r="AB756" s="52"/>
      <c r="AC756" s="52"/>
      <c r="AD756" s="53"/>
      <c r="AE756" s="53"/>
      <c r="AF756" s="53"/>
    </row>
    <row r="757">
      <c r="G757" s="55"/>
      <c r="H757" s="54"/>
      <c r="I757" s="54"/>
      <c r="J757" s="54"/>
      <c r="K757" s="54"/>
      <c r="L757" s="54"/>
      <c r="M757" s="54"/>
      <c r="N757" s="59"/>
      <c r="O757" s="61"/>
      <c r="P757" s="61"/>
      <c r="Q757" s="61"/>
      <c r="R757" s="50"/>
      <c r="S757" s="50"/>
      <c r="T757" s="61"/>
      <c r="U757" s="61"/>
      <c r="V757" s="61"/>
      <c r="W757" s="61"/>
      <c r="X757" s="61"/>
      <c r="Y757" s="61"/>
      <c r="Z757" s="52"/>
      <c r="AA757" s="52"/>
      <c r="AB757" s="52"/>
      <c r="AC757" s="52"/>
      <c r="AD757" s="53"/>
      <c r="AE757" s="53"/>
      <c r="AF757" s="53"/>
    </row>
    <row r="758">
      <c r="G758" s="55"/>
      <c r="H758" s="54"/>
      <c r="I758" s="54"/>
      <c r="J758" s="54"/>
      <c r="K758" s="54"/>
      <c r="L758" s="54"/>
      <c r="M758" s="54"/>
      <c r="N758" s="59"/>
      <c r="O758" s="61"/>
      <c r="P758" s="61"/>
      <c r="Q758" s="61"/>
      <c r="R758" s="50"/>
      <c r="S758" s="50"/>
      <c r="T758" s="61"/>
      <c r="U758" s="61"/>
      <c r="V758" s="61"/>
      <c r="W758" s="61"/>
      <c r="X758" s="61"/>
      <c r="Y758" s="61"/>
      <c r="Z758" s="52"/>
      <c r="AA758" s="52"/>
      <c r="AB758" s="52"/>
      <c r="AC758" s="52"/>
      <c r="AD758" s="53"/>
      <c r="AE758" s="53"/>
      <c r="AF758" s="53"/>
    </row>
    <row r="759">
      <c r="G759" s="55"/>
      <c r="H759" s="54"/>
      <c r="I759" s="54"/>
      <c r="J759" s="54"/>
      <c r="K759" s="54"/>
      <c r="L759" s="54"/>
      <c r="M759" s="54"/>
      <c r="N759" s="59"/>
      <c r="O759" s="61"/>
      <c r="P759" s="61"/>
      <c r="Q759" s="61"/>
      <c r="R759" s="50"/>
      <c r="S759" s="50"/>
      <c r="T759" s="61"/>
      <c r="U759" s="61"/>
      <c r="V759" s="61"/>
      <c r="W759" s="61"/>
      <c r="X759" s="61"/>
      <c r="Y759" s="61"/>
      <c r="Z759" s="52"/>
      <c r="AA759" s="52"/>
      <c r="AB759" s="52"/>
      <c r="AC759" s="52"/>
      <c r="AD759" s="53"/>
      <c r="AE759" s="53"/>
      <c r="AF759" s="53"/>
    </row>
    <row r="760">
      <c r="G760" s="55"/>
      <c r="H760" s="54"/>
      <c r="I760" s="54"/>
      <c r="J760" s="54"/>
      <c r="K760" s="54"/>
      <c r="L760" s="54"/>
      <c r="M760" s="54"/>
      <c r="N760" s="59"/>
      <c r="O760" s="61"/>
      <c r="P760" s="61"/>
      <c r="Q760" s="61"/>
      <c r="R760" s="50"/>
      <c r="S760" s="50"/>
      <c r="T760" s="61"/>
      <c r="U760" s="61"/>
      <c r="V760" s="61"/>
      <c r="W760" s="61"/>
      <c r="X760" s="61"/>
      <c r="Y760" s="61"/>
      <c r="Z760" s="52"/>
      <c r="AA760" s="52"/>
      <c r="AB760" s="52"/>
      <c r="AC760" s="52"/>
      <c r="AD760" s="53"/>
      <c r="AE760" s="53"/>
      <c r="AF760" s="53"/>
    </row>
    <row r="761">
      <c r="G761" s="55"/>
      <c r="H761" s="54"/>
      <c r="I761" s="54"/>
      <c r="J761" s="54"/>
      <c r="K761" s="54"/>
      <c r="L761" s="54"/>
      <c r="M761" s="54"/>
      <c r="N761" s="59"/>
      <c r="O761" s="61"/>
      <c r="P761" s="61"/>
      <c r="Q761" s="61"/>
      <c r="R761" s="50"/>
      <c r="S761" s="50"/>
      <c r="T761" s="61"/>
      <c r="U761" s="61"/>
      <c r="V761" s="61"/>
      <c r="W761" s="61"/>
      <c r="X761" s="61"/>
      <c r="Y761" s="61"/>
      <c r="Z761" s="52"/>
      <c r="AA761" s="52"/>
      <c r="AB761" s="52"/>
      <c r="AC761" s="52"/>
      <c r="AD761" s="53"/>
      <c r="AE761" s="53"/>
      <c r="AF761" s="53"/>
    </row>
    <row r="762">
      <c r="G762" s="55"/>
      <c r="H762" s="54"/>
      <c r="I762" s="54"/>
      <c r="J762" s="54"/>
      <c r="K762" s="54"/>
      <c r="L762" s="54"/>
      <c r="M762" s="54"/>
      <c r="N762" s="59"/>
      <c r="O762" s="61"/>
      <c r="P762" s="61"/>
      <c r="Q762" s="61"/>
      <c r="R762" s="50"/>
      <c r="S762" s="50"/>
      <c r="T762" s="61"/>
      <c r="U762" s="61"/>
      <c r="V762" s="61"/>
      <c r="W762" s="61"/>
      <c r="X762" s="61"/>
      <c r="Y762" s="61"/>
      <c r="Z762" s="52"/>
      <c r="AA762" s="52"/>
      <c r="AB762" s="52"/>
      <c r="AC762" s="52"/>
      <c r="AD762" s="53"/>
      <c r="AE762" s="53"/>
      <c r="AF762" s="53"/>
    </row>
    <row r="763">
      <c r="G763" s="55"/>
      <c r="H763" s="54"/>
      <c r="I763" s="54"/>
      <c r="J763" s="54"/>
      <c r="K763" s="54"/>
      <c r="L763" s="54"/>
      <c r="M763" s="54"/>
      <c r="N763" s="59"/>
      <c r="O763" s="61"/>
      <c r="P763" s="61"/>
      <c r="Q763" s="61"/>
      <c r="R763" s="50"/>
      <c r="S763" s="50"/>
      <c r="T763" s="61"/>
      <c r="U763" s="61"/>
      <c r="V763" s="61"/>
      <c r="W763" s="61"/>
      <c r="X763" s="61"/>
      <c r="Y763" s="61"/>
      <c r="Z763" s="52"/>
      <c r="AA763" s="52"/>
      <c r="AB763" s="52"/>
      <c r="AC763" s="52"/>
      <c r="AD763" s="53"/>
      <c r="AE763" s="53"/>
      <c r="AF763" s="53"/>
    </row>
    <row r="764">
      <c r="G764" s="55"/>
      <c r="H764" s="54"/>
      <c r="I764" s="54"/>
      <c r="J764" s="54"/>
      <c r="K764" s="54"/>
      <c r="L764" s="54"/>
      <c r="M764" s="54"/>
      <c r="N764" s="59"/>
      <c r="O764" s="61"/>
      <c r="P764" s="61"/>
      <c r="Q764" s="61"/>
      <c r="R764" s="50"/>
      <c r="S764" s="50"/>
      <c r="T764" s="61"/>
      <c r="U764" s="61"/>
      <c r="V764" s="61"/>
      <c r="W764" s="61"/>
      <c r="X764" s="61"/>
      <c r="Y764" s="61"/>
      <c r="Z764" s="52"/>
      <c r="AA764" s="52"/>
      <c r="AB764" s="52"/>
      <c r="AC764" s="52"/>
      <c r="AD764" s="53"/>
      <c r="AE764" s="53"/>
      <c r="AF764" s="53"/>
    </row>
    <row r="765">
      <c r="G765" s="55"/>
      <c r="H765" s="54"/>
      <c r="I765" s="54"/>
      <c r="J765" s="54"/>
      <c r="K765" s="54"/>
      <c r="L765" s="54"/>
      <c r="M765" s="54"/>
      <c r="N765" s="59"/>
      <c r="O765" s="61"/>
      <c r="P765" s="61"/>
      <c r="Q765" s="61"/>
      <c r="R765" s="50"/>
      <c r="S765" s="50"/>
      <c r="T765" s="61"/>
      <c r="U765" s="61"/>
      <c r="V765" s="61"/>
      <c r="W765" s="61"/>
      <c r="X765" s="61"/>
      <c r="Y765" s="61"/>
      <c r="Z765" s="52"/>
      <c r="AA765" s="52"/>
      <c r="AB765" s="52"/>
      <c r="AC765" s="52"/>
      <c r="AD765" s="53"/>
      <c r="AE765" s="53"/>
      <c r="AF765" s="53"/>
    </row>
    <row r="766">
      <c r="G766" s="55"/>
      <c r="H766" s="54"/>
      <c r="I766" s="54"/>
      <c r="J766" s="54"/>
      <c r="K766" s="54"/>
      <c r="L766" s="54"/>
      <c r="M766" s="54"/>
      <c r="N766" s="59"/>
      <c r="O766" s="61"/>
      <c r="P766" s="61"/>
      <c r="Q766" s="61"/>
      <c r="R766" s="50"/>
      <c r="S766" s="50"/>
      <c r="T766" s="61"/>
      <c r="U766" s="61"/>
      <c r="V766" s="61"/>
      <c r="W766" s="61"/>
      <c r="X766" s="61"/>
      <c r="Y766" s="61"/>
      <c r="Z766" s="52"/>
      <c r="AA766" s="52"/>
      <c r="AB766" s="52"/>
      <c r="AC766" s="52"/>
      <c r="AD766" s="53"/>
      <c r="AE766" s="53"/>
      <c r="AF766" s="53"/>
    </row>
    <row r="767">
      <c r="G767" s="55"/>
      <c r="H767" s="54"/>
      <c r="I767" s="54"/>
      <c r="J767" s="54"/>
      <c r="K767" s="54"/>
      <c r="L767" s="54"/>
      <c r="M767" s="54"/>
      <c r="N767" s="59"/>
      <c r="O767" s="61"/>
      <c r="P767" s="61"/>
      <c r="Q767" s="61"/>
      <c r="R767" s="50"/>
      <c r="S767" s="50"/>
      <c r="T767" s="61"/>
      <c r="U767" s="61"/>
      <c r="V767" s="61"/>
      <c r="W767" s="61"/>
      <c r="X767" s="61"/>
      <c r="Y767" s="61"/>
      <c r="Z767" s="52"/>
      <c r="AA767" s="52"/>
      <c r="AB767" s="52"/>
      <c r="AC767" s="52"/>
      <c r="AD767" s="53"/>
      <c r="AE767" s="53"/>
      <c r="AF767" s="53"/>
    </row>
    <row r="768">
      <c r="G768" s="55"/>
      <c r="H768" s="54"/>
      <c r="I768" s="54"/>
      <c r="J768" s="54"/>
      <c r="K768" s="54"/>
      <c r="L768" s="54"/>
      <c r="M768" s="54"/>
      <c r="N768" s="59"/>
      <c r="O768" s="61"/>
      <c r="P768" s="61"/>
      <c r="Q768" s="61"/>
      <c r="R768" s="50"/>
      <c r="S768" s="50"/>
      <c r="T768" s="61"/>
      <c r="U768" s="61"/>
      <c r="V768" s="61"/>
      <c r="W768" s="61"/>
      <c r="X768" s="61"/>
      <c r="Y768" s="61"/>
      <c r="Z768" s="52"/>
      <c r="AA768" s="52"/>
      <c r="AB768" s="52"/>
      <c r="AC768" s="52"/>
      <c r="AD768" s="53"/>
      <c r="AE768" s="53"/>
      <c r="AF768" s="53"/>
    </row>
    <row r="769">
      <c r="G769" s="55"/>
      <c r="H769" s="54"/>
      <c r="I769" s="54"/>
      <c r="J769" s="54"/>
      <c r="K769" s="54"/>
      <c r="L769" s="54"/>
      <c r="M769" s="54"/>
      <c r="N769" s="59"/>
      <c r="O769" s="61"/>
      <c r="P769" s="61"/>
      <c r="Q769" s="61"/>
      <c r="R769" s="50"/>
      <c r="S769" s="50"/>
      <c r="T769" s="61"/>
      <c r="U769" s="61"/>
      <c r="V769" s="61"/>
      <c r="W769" s="61"/>
      <c r="X769" s="61"/>
      <c r="Y769" s="61"/>
      <c r="Z769" s="52"/>
      <c r="AA769" s="52"/>
      <c r="AB769" s="52"/>
      <c r="AC769" s="52"/>
      <c r="AD769" s="53"/>
      <c r="AE769" s="53"/>
      <c r="AF769" s="53"/>
    </row>
    <row r="770">
      <c r="G770" s="55"/>
      <c r="H770" s="54"/>
      <c r="I770" s="54"/>
      <c r="J770" s="54"/>
      <c r="K770" s="54"/>
      <c r="L770" s="54"/>
      <c r="M770" s="54"/>
      <c r="N770" s="59"/>
      <c r="O770" s="61"/>
      <c r="P770" s="61"/>
      <c r="Q770" s="61"/>
      <c r="R770" s="50"/>
      <c r="S770" s="50"/>
      <c r="T770" s="61"/>
      <c r="U770" s="61"/>
      <c r="V770" s="61"/>
      <c r="W770" s="61"/>
      <c r="X770" s="61"/>
      <c r="Y770" s="61"/>
      <c r="Z770" s="52"/>
      <c r="AA770" s="52"/>
      <c r="AB770" s="52"/>
      <c r="AC770" s="52"/>
      <c r="AD770" s="53"/>
      <c r="AE770" s="53"/>
      <c r="AF770" s="53"/>
    </row>
    <row r="771">
      <c r="G771" s="55"/>
      <c r="H771" s="54"/>
      <c r="I771" s="54"/>
      <c r="J771" s="54"/>
      <c r="K771" s="54"/>
      <c r="L771" s="54"/>
      <c r="M771" s="54"/>
      <c r="N771" s="59"/>
      <c r="O771" s="61"/>
      <c r="P771" s="61"/>
      <c r="Q771" s="61"/>
      <c r="R771" s="50"/>
      <c r="S771" s="50"/>
      <c r="T771" s="61"/>
      <c r="U771" s="61"/>
      <c r="V771" s="61"/>
      <c r="W771" s="61"/>
      <c r="X771" s="61"/>
      <c r="Y771" s="61"/>
      <c r="Z771" s="52"/>
      <c r="AA771" s="52"/>
      <c r="AB771" s="52"/>
      <c r="AC771" s="52"/>
      <c r="AD771" s="53"/>
      <c r="AE771" s="53"/>
      <c r="AF771" s="53"/>
    </row>
    <row r="772">
      <c r="G772" s="55"/>
      <c r="H772" s="54"/>
      <c r="I772" s="54"/>
      <c r="J772" s="54"/>
      <c r="K772" s="54"/>
      <c r="L772" s="54"/>
      <c r="M772" s="54"/>
      <c r="N772" s="59"/>
      <c r="O772" s="61"/>
      <c r="P772" s="61"/>
      <c r="Q772" s="61"/>
      <c r="R772" s="50"/>
      <c r="S772" s="50"/>
      <c r="T772" s="61"/>
      <c r="U772" s="61"/>
      <c r="V772" s="61"/>
      <c r="W772" s="61"/>
      <c r="X772" s="61"/>
      <c r="Y772" s="61"/>
      <c r="Z772" s="52"/>
      <c r="AA772" s="52"/>
      <c r="AB772" s="52"/>
      <c r="AC772" s="52"/>
      <c r="AD772" s="53"/>
      <c r="AE772" s="53"/>
      <c r="AF772" s="53"/>
    </row>
    <row r="773">
      <c r="G773" s="55"/>
      <c r="H773" s="54"/>
      <c r="I773" s="54"/>
      <c r="J773" s="54"/>
      <c r="K773" s="54"/>
      <c r="L773" s="54"/>
      <c r="M773" s="54"/>
      <c r="N773" s="59"/>
      <c r="O773" s="61"/>
      <c r="P773" s="61"/>
      <c r="Q773" s="61"/>
      <c r="R773" s="50"/>
      <c r="S773" s="50"/>
      <c r="T773" s="61"/>
      <c r="U773" s="61"/>
      <c r="V773" s="61"/>
      <c r="W773" s="61"/>
      <c r="X773" s="61"/>
      <c r="Y773" s="61"/>
      <c r="Z773" s="52"/>
      <c r="AA773" s="52"/>
      <c r="AB773" s="52"/>
      <c r="AC773" s="52"/>
      <c r="AD773" s="53"/>
      <c r="AE773" s="53"/>
      <c r="AF773" s="53"/>
    </row>
    <row r="774">
      <c r="G774" s="55"/>
      <c r="H774" s="54"/>
      <c r="I774" s="54"/>
      <c r="J774" s="54"/>
      <c r="K774" s="54"/>
      <c r="L774" s="54"/>
      <c r="M774" s="54"/>
      <c r="N774" s="59"/>
      <c r="O774" s="61"/>
      <c r="P774" s="61"/>
      <c r="Q774" s="61"/>
      <c r="R774" s="50"/>
      <c r="S774" s="50"/>
      <c r="T774" s="61"/>
      <c r="U774" s="61"/>
      <c r="V774" s="61"/>
      <c r="W774" s="61"/>
      <c r="X774" s="61"/>
      <c r="Y774" s="61"/>
      <c r="Z774" s="52"/>
      <c r="AA774" s="52"/>
      <c r="AB774" s="52"/>
      <c r="AC774" s="52"/>
      <c r="AD774" s="53"/>
      <c r="AE774" s="53"/>
      <c r="AF774" s="53"/>
    </row>
    <row r="775">
      <c r="G775" s="55"/>
      <c r="H775" s="54"/>
      <c r="I775" s="54"/>
      <c r="J775" s="54"/>
      <c r="K775" s="54"/>
      <c r="L775" s="54"/>
      <c r="M775" s="54"/>
      <c r="N775" s="59"/>
      <c r="O775" s="61"/>
      <c r="P775" s="61"/>
      <c r="Q775" s="61"/>
      <c r="R775" s="50"/>
      <c r="S775" s="50"/>
      <c r="T775" s="61"/>
      <c r="U775" s="61"/>
      <c r="V775" s="61"/>
      <c r="W775" s="61"/>
      <c r="X775" s="61"/>
      <c r="Y775" s="61"/>
      <c r="Z775" s="52"/>
      <c r="AA775" s="52"/>
      <c r="AB775" s="52"/>
      <c r="AC775" s="52"/>
      <c r="AD775" s="53"/>
      <c r="AE775" s="53"/>
      <c r="AF775" s="53"/>
    </row>
    <row r="776">
      <c r="G776" s="55"/>
      <c r="H776" s="54"/>
      <c r="I776" s="54"/>
      <c r="J776" s="54"/>
      <c r="K776" s="54"/>
      <c r="L776" s="54"/>
      <c r="M776" s="54"/>
      <c r="N776" s="59"/>
      <c r="O776" s="61"/>
      <c r="P776" s="61"/>
      <c r="Q776" s="61"/>
      <c r="R776" s="50"/>
      <c r="S776" s="50"/>
      <c r="T776" s="61"/>
      <c r="U776" s="61"/>
      <c r="V776" s="61"/>
      <c r="W776" s="61"/>
      <c r="X776" s="61"/>
      <c r="Y776" s="61"/>
      <c r="Z776" s="52"/>
      <c r="AA776" s="52"/>
      <c r="AB776" s="52"/>
      <c r="AC776" s="52"/>
      <c r="AD776" s="53"/>
      <c r="AE776" s="53"/>
      <c r="AF776" s="53"/>
    </row>
    <row r="777">
      <c r="G777" s="55"/>
      <c r="H777" s="54"/>
      <c r="I777" s="54"/>
      <c r="J777" s="54"/>
      <c r="K777" s="54"/>
      <c r="L777" s="54"/>
      <c r="M777" s="54"/>
      <c r="N777" s="59"/>
      <c r="O777" s="61"/>
      <c r="P777" s="61"/>
      <c r="Q777" s="61"/>
      <c r="R777" s="50"/>
      <c r="S777" s="50"/>
      <c r="T777" s="61"/>
      <c r="U777" s="61"/>
      <c r="V777" s="61"/>
      <c r="W777" s="61"/>
      <c r="X777" s="61"/>
      <c r="Y777" s="61"/>
      <c r="Z777" s="52"/>
      <c r="AA777" s="52"/>
      <c r="AB777" s="52"/>
      <c r="AC777" s="52"/>
      <c r="AD777" s="53"/>
      <c r="AE777" s="53"/>
      <c r="AF777" s="53"/>
    </row>
    <row r="778">
      <c r="G778" s="55"/>
      <c r="H778" s="54"/>
      <c r="I778" s="54"/>
      <c r="J778" s="54"/>
      <c r="K778" s="54"/>
      <c r="L778" s="54"/>
      <c r="M778" s="54"/>
      <c r="N778" s="59"/>
      <c r="O778" s="61"/>
      <c r="P778" s="61"/>
      <c r="Q778" s="61"/>
      <c r="R778" s="50"/>
      <c r="S778" s="50"/>
      <c r="T778" s="61"/>
      <c r="U778" s="61"/>
      <c r="V778" s="61"/>
      <c r="W778" s="61"/>
      <c r="X778" s="61"/>
      <c r="Y778" s="61"/>
      <c r="Z778" s="52"/>
      <c r="AA778" s="52"/>
      <c r="AB778" s="52"/>
      <c r="AC778" s="52"/>
      <c r="AD778" s="53"/>
      <c r="AE778" s="53"/>
      <c r="AF778" s="53"/>
    </row>
    <row r="779">
      <c r="G779" s="55"/>
      <c r="H779" s="54"/>
      <c r="I779" s="54"/>
      <c r="J779" s="54"/>
      <c r="K779" s="54"/>
      <c r="L779" s="54"/>
      <c r="M779" s="54"/>
      <c r="N779" s="59"/>
      <c r="O779" s="61"/>
      <c r="P779" s="61"/>
      <c r="Q779" s="61"/>
      <c r="R779" s="50"/>
      <c r="S779" s="50"/>
      <c r="T779" s="61"/>
      <c r="U779" s="61"/>
      <c r="V779" s="61"/>
      <c r="W779" s="61"/>
      <c r="X779" s="61"/>
      <c r="Y779" s="61"/>
      <c r="Z779" s="52"/>
      <c r="AA779" s="52"/>
      <c r="AB779" s="52"/>
      <c r="AC779" s="52"/>
      <c r="AD779" s="53"/>
      <c r="AE779" s="53"/>
      <c r="AF779" s="53"/>
    </row>
    <row r="780">
      <c r="G780" s="55"/>
      <c r="H780" s="54"/>
      <c r="I780" s="54"/>
      <c r="J780" s="54"/>
      <c r="K780" s="54"/>
      <c r="L780" s="54"/>
      <c r="M780" s="54"/>
      <c r="N780" s="59"/>
      <c r="O780" s="61"/>
      <c r="P780" s="61"/>
      <c r="Q780" s="61"/>
      <c r="R780" s="50"/>
      <c r="S780" s="50"/>
      <c r="T780" s="61"/>
      <c r="U780" s="61"/>
      <c r="V780" s="61"/>
      <c r="W780" s="61"/>
      <c r="X780" s="61"/>
      <c r="Y780" s="61"/>
      <c r="Z780" s="52"/>
      <c r="AA780" s="52"/>
      <c r="AB780" s="52"/>
      <c r="AC780" s="52"/>
      <c r="AD780" s="53"/>
      <c r="AE780" s="53"/>
      <c r="AF780" s="53"/>
    </row>
    <row r="781">
      <c r="G781" s="55"/>
      <c r="H781" s="54"/>
      <c r="I781" s="54"/>
      <c r="J781" s="54"/>
      <c r="K781" s="54"/>
      <c r="L781" s="54"/>
      <c r="M781" s="54"/>
      <c r="N781" s="59"/>
      <c r="O781" s="61"/>
      <c r="P781" s="61"/>
      <c r="Q781" s="61"/>
      <c r="R781" s="50"/>
      <c r="S781" s="50"/>
      <c r="T781" s="61"/>
      <c r="U781" s="61"/>
      <c r="V781" s="61"/>
      <c r="W781" s="61"/>
      <c r="X781" s="61"/>
      <c r="Y781" s="61"/>
      <c r="Z781" s="52"/>
      <c r="AA781" s="52"/>
      <c r="AB781" s="52"/>
      <c r="AC781" s="52"/>
      <c r="AD781" s="53"/>
      <c r="AE781" s="53"/>
      <c r="AF781" s="53"/>
    </row>
    <row r="782">
      <c r="G782" s="55"/>
      <c r="H782" s="54"/>
      <c r="I782" s="54"/>
      <c r="J782" s="54"/>
      <c r="K782" s="54"/>
      <c r="L782" s="54"/>
      <c r="M782" s="54"/>
      <c r="N782" s="59"/>
      <c r="O782" s="61"/>
      <c r="P782" s="61"/>
      <c r="Q782" s="61"/>
      <c r="R782" s="50"/>
      <c r="S782" s="50"/>
      <c r="T782" s="61"/>
      <c r="U782" s="61"/>
      <c r="V782" s="61"/>
      <c r="W782" s="61"/>
      <c r="X782" s="61"/>
      <c r="Y782" s="61"/>
      <c r="Z782" s="52"/>
      <c r="AA782" s="52"/>
      <c r="AB782" s="52"/>
      <c r="AC782" s="52"/>
      <c r="AD782" s="53"/>
      <c r="AE782" s="53"/>
      <c r="AF782" s="53"/>
    </row>
    <row r="783">
      <c r="G783" s="55"/>
      <c r="H783" s="54"/>
      <c r="I783" s="54"/>
      <c r="J783" s="54"/>
      <c r="K783" s="54"/>
      <c r="L783" s="54"/>
      <c r="M783" s="54"/>
      <c r="N783" s="59"/>
      <c r="O783" s="61"/>
      <c r="P783" s="61"/>
      <c r="Q783" s="61"/>
      <c r="R783" s="50"/>
      <c r="S783" s="50"/>
      <c r="T783" s="61"/>
      <c r="U783" s="61"/>
      <c r="V783" s="61"/>
      <c r="W783" s="61"/>
      <c r="X783" s="61"/>
      <c r="Y783" s="61"/>
      <c r="Z783" s="52"/>
      <c r="AA783" s="52"/>
      <c r="AB783" s="52"/>
      <c r="AC783" s="52"/>
      <c r="AD783" s="53"/>
      <c r="AE783" s="53"/>
      <c r="AF783" s="53"/>
    </row>
    <row r="784">
      <c r="G784" s="55"/>
      <c r="H784" s="54"/>
      <c r="I784" s="54"/>
      <c r="J784" s="54"/>
      <c r="K784" s="54"/>
      <c r="L784" s="54"/>
      <c r="M784" s="54"/>
      <c r="N784" s="59"/>
      <c r="O784" s="61"/>
      <c r="P784" s="61"/>
      <c r="Q784" s="61"/>
      <c r="R784" s="50"/>
      <c r="S784" s="50"/>
      <c r="T784" s="61"/>
      <c r="U784" s="61"/>
      <c r="V784" s="61"/>
      <c r="W784" s="61"/>
      <c r="X784" s="61"/>
      <c r="Y784" s="61"/>
      <c r="Z784" s="52"/>
      <c r="AA784" s="52"/>
      <c r="AB784" s="52"/>
      <c r="AC784" s="52"/>
      <c r="AD784" s="53"/>
      <c r="AE784" s="53"/>
      <c r="AF784" s="53"/>
    </row>
    <row r="785">
      <c r="G785" s="55"/>
      <c r="H785" s="54"/>
      <c r="I785" s="54"/>
      <c r="J785" s="54"/>
      <c r="K785" s="54"/>
      <c r="L785" s="54"/>
      <c r="M785" s="54"/>
      <c r="N785" s="59"/>
      <c r="O785" s="61"/>
      <c r="P785" s="61"/>
      <c r="Q785" s="61"/>
      <c r="R785" s="50"/>
      <c r="S785" s="50"/>
      <c r="T785" s="61"/>
      <c r="U785" s="61"/>
      <c r="V785" s="61"/>
      <c r="W785" s="61"/>
      <c r="X785" s="61"/>
      <c r="Y785" s="61"/>
      <c r="Z785" s="52"/>
      <c r="AA785" s="52"/>
      <c r="AB785" s="52"/>
      <c r="AC785" s="52"/>
      <c r="AD785" s="53"/>
      <c r="AE785" s="53"/>
      <c r="AF785" s="53"/>
    </row>
    <row r="786">
      <c r="G786" s="55"/>
      <c r="H786" s="54"/>
      <c r="I786" s="54"/>
      <c r="J786" s="54"/>
      <c r="K786" s="54"/>
      <c r="L786" s="54"/>
      <c r="M786" s="54"/>
      <c r="N786" s="59"/>
      <c r="O786" s="61"/>
      <c r="P786" s="61"/>
      <c r="Q786" s="61"/>
      <c r="R786" s="50"/>
      <c r="S786" s="50"/>
      <c r="T786" s="61"/>
      <c r="U786" s="61"/>
      <c r="V786" s="61"/>
      <c r="W786" s="61"/>
      <c r="X786" s="61"/>
      <c r="Y786" s="61"/>
      <c r="Z786" s="52"/>
      <c r="AA786" s="52"/>
      <c r="AB786" s="52"/>
      <c r="AC786" s="52"/>
      <c r="AD786" s="53"/>
      <c r="AE786" s="53"/>
      <c r="AF786" s="53"/>
    </row>
    <row r="787">
      <c r="G787" s="55"/>
      <c r="H787" s="54"/>
      <c r="I787" s="54"/>
      <c r="J787" s="54"/>
      <c r="K787" s="54"/>
      <c r="L787" s="54"/>
      <c r="M787" s="54"/>
      <c r="N787" s="59"/>
      <c r="O787" s="61"/>
      <c r="P787" s="61"/>
      <c r="Q787" s="61"/>
      <c r="R787" s="50"/>
      <c r="S787" s="50"/>
      <c r="T787" s="61"/>
      <c r="U787" s="61"/>
      <c r="V787" s="61"/>
      <c r="W787" s="61"/>
      <c r="X787" s="61"/>
      <c r="Y787" s="61"/>
      <c r="Z787" s="52"/>
      <c r="AA787" s="52"/>
      <c r="AB787" s="52"/>
      <c r="AC787" s="52"/>
      <c r="AD787" s="53"/>
      <c r="AE787" s="53"/>
      <c r="AF787" s="53"/>
    </row>
    <row r="788">
      <c r="G788" s="55"/>
      <c r="H788" s="54"/>
      <c r="I788" s="54"/>
      <c r="J788" s="54"/>
      <c r="K788" s="54"/>
      <c r="L788" s="54"/>
      <c r="M788" s="54"/>
      <c r="N788" s="59"/>
      <c r="O788" s="61"/>
      <c r="P788" s="61"/>
      <c r="Q788" s="61"/>
      <c r="R788" s="50"/>
      <c r="S788" s="50"/>
      <c r="T788" s="61"/>
      <c r="U788" s="61"/>
      <c r="V788" s="61"/>
      <c r="W788" s="61"/>
      <c r="X788" s="61"/>
      <c r="Y788" s="61"/>
      <c r="Z788" s="52"/>
      <c r="AA788" s="52"/>
      <c r="AB788" s="52"/>
      <c r="AC788" s="52"/>
      <c r="AD788" s="53"/>
      <c r="AE788" s="53"/>
      <c r="AF788" s="53"/>
    </row>
    <row r="789">
      <c r="G789" s="55"/>
      <c r="H789" s="54"/>
      <c r="I789" s="54"/>
      <c r="J789" s="54"/>
      <c r="K789" s="54"/>
      <c r="L789" s="54"/>
      <c r="M789" s="54"/>
      <c r="N789" s="59"/>
      <c r="O789" s="61"/>
      <c r="P789" s="61"/>
      <c r="Q789" s="61"/>
      <c r="R789" s="50"/>
      <c r="S789" s="50"/>
      <c r="T789" s="61"/>
      <c r="U789" s="61"/>
      <c r="V789" s="61"/>
      <c r="W789" s="61"/>
      <c r="X789" s="61"/>
      <c r="Y789" s="61"/>
      <c r="Z789" s="52"/>
      <c r="AA789" s="52"/>
      <c r="AB789" s="52"/>
      <c r="AC789" s="52"/>
      <c r="AD789" s="53"/>
      <c r="AE789" s="53"/>
      <c r="AF789" s="53"/>
    </row>
    <row r="790">
      <c r="G790" s="55"/>
      <c r="H790" s="54"/>
      <c r="I790" s="54"/>
      <c r="J790" s="54"/>
      <c r="K790" s="54"/>
      <c r="L790" s="54"/>
      <c r="M790" s="54"/>
      <c r="N790" s="59"/>
      <c r="O790" s="61"/>
      <c r="P790" s="61"/>
      <c r="Q790" s="61"/>
      <c r="R790" s="50"/>
      <c r="S790" s="50"/>
      <c r="T790" s="61"/>
      <c r="U790" s="61"/>
      <c r="V790" s="61"/>
      <c r="W790" s="61"/>
      <c r="X790" s="61"/>
      <c r="Y790" s="61"/>
      <c r="Z790" s="52"/>
      <c r="AA790" s="52"/>
      <c r="AB790" s="52"/>
      <c r="AC790" s="52"/>
      <c r="AD790" s="53"/>
      <c r="AE790" s="53"/>
      <c r="AF790" s="53"/>
    </row>
    <row r="791">
      <c r="G791" s="55"/>
      <c r="H791" s="54"/>
      <c r="I791" s="54"/>
      <c r="J791" s="54"/>
      <c r="K791" s="54"/>
      <c r="L791" s="54"/>
      <c r="M791" s="54"/>
      <c r="N791" s="59"/>
      <c r="O791" s="61"/>
      <c r="P791" s="61"/>
      <c r="Q791" s="61"/>
      <c r="R791" s="50"/>
      <c r="S791" s="50"/>
      <c r="T791" s="61"/>
      <c r="U791" s="61"/>
      <c r="V791" s="61"/>
      <c r="W791" s="61"/>
      <c r="X791" s="61"/>
      <c r="Y791" s="61"/>
      <c r="Z791" s="52"/>
      <c r="AA791" s="52"/>
      <c r="AB791" s="52"/>
      <c r="AC791" s="52"/>
      <c r="AD791" s="53"/>
      <c r="AE791" s="53"/>
      <c r="AF791" s="53"/>
    </row>
    <row r="792">
      <c r="G792" s="55"/>
      <c r="H792" s="54"/>
      <c r="I792" s="54"/>
      <c r="J792" s="54"/>
      <c r="K792" s="54"/>
      <c r="L792" s="54"/>
      <c r="M792" s="54"/>
      <c r="N792" s="59"/>
      <c r="O792" s="61"/>
      <c r="P792" s="61"/>
      <c r="Q792" s="61"/>
      <c r="R792" s="50"/>
      <c r="S792" s="50"/>
      <c r="T792" s="61"/>
      <c r="U792" s="61"/>
      <c r="V792" s="61"/>
      <c r="W792" s="61"/>
      <c r="X792" s="61"/>
      <c r="Y792" s="61"/>
      <c r="Z792" s="52"/>
      <c r="AA792" s="52"/>
      <c r="AB792" s="52"/>
      <c r="AC792" s="52"/>
      <c r="AD792" s="53"/>
      <c r="AE792" s="53"/>
      <c r="AF792" s="53"/>
    </row>
    <row r="793">
      <c r="G793" s="55"/>
      <c r="H793" s="54"/>
      <c r="I793" s="54"/>
      <c r="J793" s="54"/>
      <c r="K793" s="54"/>
      <c r="L793" s="54"/>
      <c r="M793" s="54"/>
      <c r="N793" s="59"/>
      <c r="O793" s="61"/>
      <c r="P793" s="61"/>
      <c r="Q793" s="61"/>
      <c r="R793" s="50"/>
      <c r="S793" s="50"/>
      <c r="T793" s="61"/>
      <c r="U793" s="61"/>
      <c r="V793" s="61"/>
      <c r="W793" s="61"/>
      <c r="X793" s="61"/>
      <c r="Y793" s="61"/>
      <c r="Z793" s="52"/>
      <c r="AA793" s="52"/>
      <c r="AB793" s="52"/>
      <c r="AC793" s="52"/>
      <c r="AD793" s="53"/>
      <c r="AE793" s="53"/>
      <c r="AF793" s="53"/>
    </row>
    <row r="794">
      <c r="G794" s="55"/>
      <c r="H794" s="54"/>
      <c r="I794" s="54"/>
      <c r="J794" s="54"/>
      <c r="K794" s="54"/>
      <c r="L794" s="54"/>
      <c r="M794" s="54"/>
      <c r="N794" s="59"/>
      <c r="O794" s="61"/>
      <c r="P794" s="61"/>
      <c r="Q794" s="61"/>
      <c r="R794" s="50"/>
      <c r="S794" s="50"/>
      <c r="T794" s="61"/>
      <c r="U794" s="61"/>
      <c r="V794" s="61"/>
      <c r="W794" s="61"/>
      <c r="X794" s="61"/>
      <c r="Y794" s="61"/>
      <c r="Z794" s="52"/>
      <c r="AA794" s="52"/>
      <c r="AB794" s="52"/>
      <c r="AC794" s="52"/>
      <c r="AD794" s="53"/>
      <c r="AE794" s="53"/>
      <c r="AF794" s="53"/>
    </row>
    <row r="795">
      <c r="G795" s="55"/>
      <c r="H795" s="54"/>
      <c r="I795" s="54"/>
      <c r="J795" s="54"/>
      <c r="K795" s="54"/>
      <c r="L795" s="54"/>
      <c r="M795" s="54"/>
      <c r="N795" s="59"/>
      <c r="O795" s="61"/>
      <c r="P795" s="61"/>
      <c r="Q795" s="61"/>
      <c r="R795" s="50"/>
      <c r="S795" s="50"/>
      <c r="T795" s="61"/>
      <c r="U795" s="61"/>
      <c r="V795" s="61"/>
      <c r="W795" s="61"/>
      <c r="X795" s="61"/>
      <c r="Y795" s="61"/>
      <c r="Z795" s="52"/>
      <c r="AA795" s="52"/>
      <c r="AB795" s="52"/>
      <c r="AC795" s="52"/>
      <c r="AD795" s="53"/>
      <c r="AE795" s="53"/>
      <c r="AF795" s="53"/>
    </row>
    <row r="796">
      <c r="G796" s="55"/>
      <c r="H796" s="54"/>
      <c r="I796" s="54"/>
      <c r="J796" s="54"/>
      <c r="K796" s="54"/>
      <c r="L796" s="54"/>
      <c r="M796" s="54"/>
      <c r="N796" s="59"/>
      <c r="O796" s="61"/>
      <c r="P796" s="61"/>
      <c r="Q796" s="61"/>
      <c r="R796" s="50"/>
      <c r="S796" s="50"/>
      <c r="T796" s="61"/>
      <c r="U796" s="61"/>
      <c r="V796" s="61"/>
      <c r="W796" s="61"/>
      <c r="X796" s="61"/>
      <c r="Y796" s="61"/>
      <c r="Z796" s="52"/>
      <c r="AA796" s="52"/>
      <c r="AB796" s="52"/>
      <c r="AC796" s="52"/>
      <c r="AD796" s="53"/>
      <c r="AE796" s="53"/>
      <c r="AF796" s="53"/>
    </row>
    <row r="797">
      <c r="G797" s="55"/>
      <c r="H797" s="54"/>
      <c r="I797" s="54"/>
      <c r="J797" s="54"/>
      <c r="K797" s="54"/>
      <c r="L797" s="54"/>
      <c r="M797" s="54"/>
      <c r="N797" s="59"/>
      <c r="O797" s="61"/>
      <c r="P797" s="61"/>
      <c r="Q797" s="61"/>
      <c r="R797" s="50"/>
      <c r="S797" s="50"/>
      <c r="T797" s="61"/>
      <c r="U797" s="61"/>
      <c r="V797" s="61"/>
      <c r="W797" s="61"/>
      <c r="X797" s="61"/>
      <c r="Y797" s="61"/>
      <c r="Z797" s="52"/>
      <c r="AA797" s="52"/>
      <c r="AB797" s="52"/>
      <c r="AC797" s="52"/>
      <c r="AD797" s="53"/>
      <c r="AE797" s="53"/>
      <c r="AF797" s="53"/>
    </row>
    <row r="798">
      <c r="G798" s="55"/>
      <c r="H798" s="54"/>
      <c r="I798" s="54"/>
      <c r="J798" s="54"/>
      <c r="K798" s="54"/>
      <c r="L798" s="54"/>
      <c r="M798" s="54"/>
      <c r="N798" s="59"/>
      <c r="O798" s="61"/>
      <c r="P798" s="61"/>
      <c r="Q798" s="61"/>
      <c r="R798" s="50"/>
      <c r="S798" s="50"/>
      <c r="T798" s="61"/>
      <c r="U798" s="61"/>
      <c r="V798" s="61"/>
      <c r="W798" s="61"/>
      <c r="X798" s="61"/>
      <c r="Y798" s="61"/>
      <c r="Z798" s="52"/>
      <c r="AA798" s="52"/>
      <c r="AB798" s="52"/>
      <c r="AC798" s="52"/>
      <c r="AD798" s="53"/>
      <c r="AE798" s="53"/>
      <c r="AF798" s="53"/>
    </row>
    <row r="799">
      <c r="G799" s="55"/>
      <c r="H799" s="54"/>
      <c r="I799" s="54"/>
      <c r="J799" s="54"/>
      <c r="K799" s="54"/>
      <c r="L799" s="54"/>
      <c r="M799" s="54"/>
      <c r="N799" s="59"/>
      <c r="O799" s="61"/>
      <c r="P799" s="61"/>
      <c r="Q799" s="61"/>
      <c r="R799" s="50"/>
      <c r="S799" s="50"/>
      <c r="T799" s="61"/>
      <c r="U799" s="61"/>
      <c r="V799" s="61"/>
      <c r="W799" s="61"/>
      <c r="X799" s="61"/>
      <c r="Y799" s="61"/>
      <c r="Z799" s="52"/>
      <c r="AA799" s="52"/>
      <c r="AB799" s="52"/>
      <c r="AC799" s="52"/>
      <c r="AD799" s="53"/>
      <c r="AE799" s="53"/>
      <c r="AF799" s="53"/>
    </row>
    <row r="800">
      <c r="G800" s="55"/>
      <c r="H800" s="54"/>
      <c r="I800" s="54"/>
      <c r="J800" s="54"/>
      <c r="K800" s="54"/>
      <c r="L800" s="54"/>
      <c r="M800" s="54"/>
      <c r="N800" s="59"/>
      <c r="O800" s="61"/>
      <c r="P800" s="61"/>
      <c r="Q800" s="61"/>
      <c r="R800" s="50"/>
      <c r="S800" s="50"/>
      <c r="T800" s="61"/>
      <c r="U800" s="61"/>
      <c r="V800" s="61"/>
      <c r="W800" s="61"/>
      <c r="X800" s="61"/>
      <c r="Y800" s="61"/>
      <c r="Z800" s="52"/>
      <c r="AA800" s="52"/>
      <c r="AB800" s="52"/>
      <c r="AC800" s="52"/>
      <c r="AD800" s="53"/>
      <c r="AE800" s="53"/>
      <c r="AF800" s="53"/>
    </row>
    <row r="801">
      <c r="G801" s="55"/>
      <c r="H801" s="54"/>
      <c r="I801" s="54"/>
      <c r="J801" s="54"/>
      <c r="K801" s="54"/>
      <c r="L801" s="54"/>
      <c r="M801" s="54"/>
      <c r="N801" s="59"/>
      <c r="O801" s="61"/>
      <c r="P801" s="61"/>
      <c r="Q801" s="61"/>
      <c r="R801" s="50"/>
      <c r="S801" s="50"/>
      <c r="T801" s="61"/>
      <c r="U801" s="61"/>
      <c r="V801" s="61"/>
      <c r="W801" s="61"/>
      <c r="X801" s="61"/>
      <c r="Y801" s="61"/>
      <c r="Z801" s="52"/>
      <c r="AA801" s="52"/>
      <c r="AB801" s="52"/>
      <c r="AC801" s="52"/>
      <c r="AD801" s="53"/>
      <c r="AE801" s="53"/>
      <c r="AF801" s="53"/>
    </row>
    <row r="802">
      <c r="G802" s="55"/>
      <c r="H802" s="54"/>
      <c r="I802" s="54"/>
      <c r="J802" s="54"/>
      <c r="K802" s="54"/>
      <c r="L802" s="54"/>
      <c r="M802" s="54"/>
      <c r="N802" s="59"/>
      <c r="O802" s="61"/>
      <c r="P802" s="61"/>
      <c r="Q802" s="61"/>
      <c r="R802" s="50"/>
      <c r="S802" s="50"/>
      <c r="T802" s="61"/>
      <c r="U802" s="61"/>
      <c r="V802" s="61"/>
      <c r="W802" s="61"/>
      <c r="X802" s="61"/>
      <c r="Y802" s="61"/>
      <c r="Z802" s="52"/>
      <c r="AA802" s="52"/>
      <c r="AB802" s="52"/>
      <c r="AC802" s="52"/>
      <c r="AD802" s="53"/>
      <c r="AE802" s="53"/>
      <c r="AF802" s="53"/>
    </row>
    <row r="803">
      <c r="G803" s="55"/>
      <c r="H803" s="54"/>
      <c r="I803" s="54"/>
      <c r="J803" s="54"/>
      <c r="K803" s="54"/>
      <c r="L803" s="54"/>
      <c r="M803" s="54"/>
      <c r="N803" s="59"/>
      <c r="O803" s="61"/>
      <c r="P803" s="61"/>
      <c r="Q803" s="61"/>
      <c r="R803" s="50"/>
      <c r="S803" s="50"/>
      <c r="T803" s="61"/>
      <c r="U803" s="61"/>
      <c r="V803" s="61"/>
      <c r="W803" s="61"/>
      <c r="X803" s="61"/>
      <c r="Y803" s="61"/>
      <c r="Z803" s="52"/>
      <c r="AA803" s="52"/>
      <c r="AB803" s="52"/>
      <c r="AC803" s="52"/>
      <c r="AD803" s="53"/>
      <c r="AE803" s="53"/>
      <c r="AF803" s="53"/>
    </row>
    <row r="804">
      <c r="G804" s="55"/>
      <c r="H804" s="54"/>
      <c r="I804" s="54"/>
      <c r="J804" s="54"/>
      <c r="K804" s="54"/>
      <c r="L804" s="54"/>
      <c r="M804" s="54"/>
      <c r="N804" s="59"/>
      <c r="O804" s="61"/>
      <c r="P804" s="61"/>
      <c r="Q804" s="61"/>
      <c r="R804" s="50"/>
      <c r="S804" s="50"/>
      <c r="T804" s="61"/>
      <c r="U804" s="61"/>
      <c r="V804" s="61"/>
      <c r="W804" s="61"/>
      <c r="X804" s="61"/>
      <c r="Y804" s="61"/>
      <c r="Z804" s="52"/>
      <c r="AA804" s="52"/>
      <c r="AB804" s="52"/>
      <c r="AC804" s="52"/>
      <c r="AD804" s="53"/>
      <c r="AE804" s="53"/>
      <c r="AF804" s="53"/>
    </row>
    <row r="805">
      <c r="G805" s="55"/>
      <c r="H805" s="54"/>
      <c r="I805" s="54"/>
      <c r="J805" s="54"/>
      <c r="K805" s="54"/>
      <c r="L805" s="54"/>
      <c r="M805" s="54"/>
      <c r="N805" s="59"/>
      <c r="O805" s="61"/>
      <c r="P805" s="61"/>
      <c r="Q805" s="61"/>
      <c r="R805" s="50"/>
      <c r="S805" s="50"/>
      <c r="T805" s="61"/>
      <c r="U805" s="61"/>
      <c r="V805" s="61"/>
      <c r="W805" s="61"/>
      <c r="X805" s="61"/>
      <c r="Y805" s="61"/>
      <c r="Z805" s="52"/>
      <c r="AA805" s="52"/>
      <c r="AB805" s="52"/>
      <c r="AC805" s="52"/>
      <c r="AD805" s="53"/>
      <c r="AE805" s="53"/>
      <c r="AF805" s="53"/>
    </row>
    <row r="806">
      <c r="G806" s="55"/>
      <c r="H806" s="54"/>
      <c r="I806" s="54"/>
      <c r="J806" s="54"/>
      <c r="K806" s="54"/>
      <c r="L806" s="54"/>
      <c r="M806" s="54"/>
      <c r="N806" s="59"/>
      <c r="O806" s="61"/>
      <c r="P806" s="61"/>
      <c r="Q806" s="61"/>
      <c r="R806" s="50"/>
      <c r="S806" s="50"/>
      <c r="T806" s="61"/>
      <c r="U806" s="61"/>
      <c r="V806" s="61"/>
      <c r="W806" s="61"/>
      <c r="X806" s="61"/>
      <c r="Y806" s="61"/>
      <c r="Z806" s="52"/>
      <c r="AA806" s="52"/>
      <c r="AB806" s="52"/>
      <c r="AC806" s="52"/>
      <c r="AD806" s="53"/>
      <c r="AE806" s="53"/>
      <c r="AF806" s="53"/>
    </row>
    <row r="807">
      <c r="G807" s="55"/>
      <c r="H807" s="54"/>
      <c r="I807" s="54"/>
      <c r="J807" s="54"/>
      <c r="K807" s="54"/>
      <c r="L807" s="54"/>
      <c r="M807" s="54"/>
      <c r="N807" s="59"/>
      <c r="O807" s="61"/>
      <c r="P807" s="61"/>
      <c r="Q807" s="61"/>
      <c r="R807" s="50"/>
      <c r="S807" s="50"/>
      <c r="T807" s="61"/>
      <c r="U807" s="61"/>
      <c r="V807" s="61"/>
      <c r="W807" s="61"/>
      <c r="X807" s="61"/>
      <c r="Y807" s="61"/>
      <c r="Z807" s="52"/>
      <c r="AA807" s="52"/>
      <c r="AB807" s="52"/>
      <c r="AC807" s="52"/>
      <c r="AD807" s="53"/>
      <c r="AE807" s="53"/>
      <c r="AF807" s="53"/>
    </row>
    <row r="808">
      <c r="G808" s="55"/>
      <c r="H808" s="54"/>
      <c r="I808" s="54"/>
      <c r="J808" s="54"/>
      <c r="K808" s="54"/>
      <c r="L808" s="54"/>
      <c r="M808" s="54"/>
      <c r="N808" s="59"/>
      <c r="O808" s="61"/>
      <c r="P808" s="61"/>
      <c r="Q808" s="61"/>
      <c r="R808" s="50"/>
      <c r="S808" s="50"/>
      <c r="T808" s="61"/>
      <c r="U808" s="61"/>
      <c r="V808" s="61"/>
      <c r="W808" s="61"/>
      <c r="X808" s="61"/>
      <c r="Y808" s="61"/>
      <c r="Z808" s="52"/>
      <c r="AA808" s="52"/>
      <c r="AB808" s="52"/>
      <c r="AC808" s="52"/>
      <c r="AD808" s="53"/>
      <c r="AE808" s="53"/>
      <c r="AF808" s="53"/>
    </row>
    <row r="809">
      <c r="G809" s="55"/>
      <c r="H809" s="54"/>
      <c r="I809" s="54"/>
      <c r="J809" s="54"/>
      <c r="K809" s="54"/>
      <c r="L809" s="54"/>
      <c r="M809" s="54"/>
      <c r="N809" s="59"/>
      <c r="O809" s="61"/>
      <c r="P809" s="61"/>
      <c r="Q809" s="61"/>
      <c r="R809" s="50"/>
      <c r="S809" s="50"/>
      <c r="T809" s="61"/>
      <c r="U809" s="61"/>
      <c r="V809" s="61"/>
      <c r="W809" s="61"/>
      <c r="X809" s="61"/>
      <c r="Y809" s="61"/>
      <c r="Z809" s="52"/>
      <c r="AA809" s="52"/>
      <c r="AB809" s="52"/>
      <c r="AC809" s="52"/>
      <c r="AD809" s="53"/>
      <c r="AE809" s="53"/>
      <c r="AF809" s="53"/>
    </row>
    <row r="810">
      <c r="G810" s="55"/>
      <c r="H810" s="54"/>
      <c r="I810" s="54"/>
      <c r="J810" s="54"/>
      <c r="K810" s="54"/>
      <c r="L810" s="54"/>
      <c r="M810" s="54"/>
      <c r="N810" s="59"/>
      <c r="O810" s="61"/>
      <c r="P810" s="61"/>
      <c r="Q810" s="61"/>
      <c r="R810" s="50"/>
      <c r="S810" s="50"/>
      <c r="T810" s="61"/>
      <c r="U810" s="61"/>
      <c r="V810" s="61"/>
      <c r="W810" s="61"/>
      <c r="X810" s="61"/>
      <c r="Y810" s="61"/>
      <c r="Z810" s="52"/>
      <c r="AA810" s="52"/>
      <c r="AB810" s="52"/>
      <c r="AC810" s="52"/>
      <c r="AD810" s="53"/>
      <c r="AE810" s="53"/>
      <c r="AF810" s="53"/>
    </row>
    <row r="811">
      <c r="G811" s="55"/>
      <c r="H811" s="54"/>
      <c r="I811" s="54"/>
      <c r="J811" s="54"/>
      <c r="K811" s="54"/>
      <c r="L811" s="54"/>
      <c r="M811" s="54"/>
      <c r="N811" s="59"/>
      <c r="O811" s="61"/>
      <c r="P811" s="61"/>
      <c r="Q811" s="61"/>
      <c r="R811" s="50"/>
      <c r="S811" s="50"/>
      <c r="T811" s="61"/>
      <c r="U811" s="61"/>
      <c r="V811" s="61"/>
      <c r="W811" s="61"/>
      <c r="X811" s="61"/>
      <c r="Y811" s="61"/>
      <c r="Z811" s="52"/>
      <c r="AA811" s="52"/>
      <c r="AB811" s="52"/>
      <c r="AC811" s="52"/>
      <c r="AD811" s="53"/>
      <c r="AE811" s="53"/>
      <c r="AF811" s="53"/>
    </row>
    <row r="812">
      <c r="G812" s="55"/>
      <c r="H812" s="54"/>
      <c r="I812" s="54"/>
      <c r="J812" s="54"/>
      <c r="K812" s="54"/>
      <c r="L812" s="54"/>
      <c r="M812" s="54"/>
      <c r="N812" s="59"/>
      <c r="O812" s="61"/>
      <c r="P812" s="61"/>
      <c r="Q812" s="61"/>
      <c r="R812" s="50"/>
      <c r="S812" s="50"/>
      <c r="T812" s="61"/>
      <c r="U812" s="61"/>
      <c r="V812" s="61"/>
      <c r="W812" s="61"/>
      <c r="X812" s="61"/>
      <c r="Y812" s="61"/>
      <c r="Z812" s="52"/>
      <c r="AA812" s="52"/>
      <c r="AB812" s="52"/>
      <c r="AC812" s="52"/>
      <c r="AD812" s="53"/>
      <c r="AE812" s="53"/>
      <c r="AF812" s="53"/>
    </row>
    <row r="813">
      <c r="G813" s="55"/>
      <c r="H813" s="54"/>
      <c r="I813" s="54"/>
      <c r="J813" s="54"/>
      <c r="K813" s="54"/>
      <c r="L813" s="54"/>
      <c r="M813" s="54"/>
      <c r="N813" s="59"/>
      <c r="O813" s="61"/>
      <c r="P813" s="61"/>
      <c r="Q813" s="61"/>
      <c r="R813" s="50"/>
      <c r="S813" s="50"/>
      <c r="T813" s="61"/>
      <c r="U813" s="61"/>
      <c r="V813" s="61"/>
      <c r="W813" s="61"/>
      <c r="X813" s="61"/>
      <c r="Y813" s="61"/>
      <c r="Z813" s="52"/>
      <c r="AA813" s="52"/>
      <c r="AB813" s="52"/>
      <c r="AC813" s="52"/>
      <c r="AD813" s="53"/>
      <c r="AE813" s="53"/>
      <c r="AF813" s="53"/>
    </row>
    <row r="814">
      <c r="G814" s="55"/>
      <c r="H814" s="54"/>
      <c r="I814" s="54"/>
      <c r="J814" s="54"/>
      <c r="K814" s="54"/>
      <c r="L814" s="54"/>
      <c r="M814" s="54"/>
      <c r="N814" s="59"/>
      <c r="O814" s="61"/>
      <c r="P814" s="61"/>
      <c r="Q814" s="61"/>
      <c r="R814" s="50"/>
      <c r="S814" s="50"/>
      <c r="T814" s="61"/>
      <c r="U814" s="61"/>
      <c r="V814" s="61"/>
      <c r="W814" s="61"/>
      <c r="X814" s="61"/>
      <c r="Y814" s="61"/>
      <c r="Z814" s="52"/>
      <c r="AA814" s="52"/>
      <c r="AB814" s="52"/>
      <c r="AC814" s="52"/>
      <c r="AD814" s="53"/>
      <c r="AE814" s="53"/>
      <c r="AF814" s="53"/>
    </row>
    <row r="815">
      <c r="G815" s="55"/>
      <c r="H815" s="54"/>
      <c r="I815" s="54"/>
      <c r="J815" s="54"/>
      <c r="K815" s="54"/>
      <c r="L815" s="54"/>
      <c r="M815" s="54"/>
      <c r="N815" s="59"/>
      <c r="O815" s="61"/>
      <c r="P815" s="61"/>
      <c r="Q815" s="61"/>
      <c r="R815" s="50"/>
      <c r="S815" s="50"/>
      <c r="T815" s="61"/>
      <c r="U815" s="61"/>
      <c r="V815" s="61"/>
      <c r="W815" s="61"/>
      <c r="X815" s="61"/>
      <c r="Y815" s="61"/>
      <c r="Z815" s="52"/>
      <c r="AA815" s="52"/>
      <c r="AB815" s="52"/>
      <c r="AC815" s="52"/>
      <c r="AD815" s="53"/>
      <c r="AE815" s="53"/>
      <c r="AF815" s="53"/>
    </row>
    <row r="816">
      <c r="G816" s="55"/>
      <c r="H816" s="54"/>
      <c r="I816" s="54"/>
      <c r="J816" s="54"/>
      <c r="K816" s="54"/>
      <c r="L816" s="54"/>
      <c r="M816" s="54"/>
      <c r="N816" s="59"/>
      <c r="O816" s="61"/>
      <c r="P816" s="61"/>
      <c r="Q816" s="61"/>
      <c r="R816" s="50"/>
      <c r="S816" s="50"/>
      <c r="T816" s="61"/>
      <c r="U816" s="61"/>
      <c r="V816" s="61"/>
      <c r="W816" s="61"/>
      <c r="X816" s="61"/>
      <c r="Y816" s="61"/>
      <c r="Z816" s="52"/>
      <c r="AA816" s="52"/>
      <c r="AB816" s="52"/>
      <c r="AC816" s="52"/>
      <c r="AD816" s="53"/>
      <c r="AE816" s="53"/>
      <c r="AF816" s="53"/>
    </row>
    <row r="817">
      <c r="G817" s="55"/>
      <c r="H817" s="54"/>
      <c r="I817" s="54"/>
      <c r="J817" s="54"/>
      <c r="K817" s="54"/>
      <c r="L817" s="54"/>
      <c r="M817" s="54"/>
      <c r="N817" s="59"/>
      <c r="O817" s="61"/>
      <c r="P817" s="61"/>
      <c r="Q817" s="61"/>
      <c r="R817" s="50"/>
      <c r="S817" s="50"/>
      <c r="T817" s="61"/>
      <c r="U817" s="61"/>
      <c r="V817" s="61"/>
      <c r="W817" s="61"/>
      <c r="X817" s="61"/>
      <c r="Y817" s="61"/>
      <c r="Z817" s="52"/>
      <c r="AA817" s="52"/>
      <c r="AB817" s="52"/>
      <c r="AC817" s="52"/>
      <c r="AD817" s="53"/>
      <c r="AE817" s="53"/>
      <c r="AF817" s="53"/>
    </row>
    <row r="818">
      <c r="G818" s="55"/>
      <c r="H818" s="54"/>
      <c r="I818" s="54"/>
      <c r="J818" s="54"/>
      <c r="K818" s="54"/>
      <c r="L818" s="54"/>
      <c r="M818" s="54"/>
      <c r="N818" s="59"/>
      <c r="O818" s="61"/>
      <c r="P818" s="61"/>
      <c r="Q818" s="61"/>
      <c r="R818" s="50"/>
      <c r="S818" s="50"/>
      <c r="T818" s="61"/>
      <c r="U818" s="61"/>
      <c r="V818" s="61"/>
      <c r="W818" s="61"/>
      <c r="X818" s="61"/>
      <c r="Y818" s="61"/>
      <c r="Z818" s="52"/>
      <c r="AA818" s="52"/>
      <c r="AB818" s="52"/>
      <c r="AC818" s="52"/>
      <c r="AD818" s="53"/>
      <c r="AE818" s="53"/>
      <c r="AF818" s="53"/>
    </row>
    <row r="819">
      <c r="G819" s="55"/>
      <c r="H819" s="54"/>
      <c r="I819" s="54"/>
      <c r="J819" s="54"/>
      <c r="K819" s="54"/>
      <c r="L819" s="54"/>
      <c r="M819" s="54"/>
      <c r="N819" s="59"/>
      <c r="O819" s="61"/>
      <c r="P819" s="61"/>
      <c r="Q819" s="61"/>
      <c r="R819" s="50"/>
      <c r="S819" s="50"/>
      <c r="T819" s="61"/>
      <c r="U819" s="61"/>
      <c r="V819" s="61"/>
      <c r="W819" s="61"/>
      <c r="X819" s="61"/>
      <c r="Y819" s="61"/>
      <c r="Z819" s="52"/>
      <c r="AA819" s="52"/>
      <c r="AB819" s="52"/>
      <c r="AC819" s="52"/>
      <c r="AD819" s="53"/>
      <c r="AE819" s="53"/>
      <c r="AF819" s="53"/>
    </row>
    <row r="820">
      <c r="G820" s="55"/>
      <c r="H820" s="54"/>
      <c r="I820" s="54"/>
      <c r="J820" s="54"/>
      <c r="K820" s="54"/>
      <c r="L820" s="54"/>
      <c r="M820" s="54"/>
      <c r="N820" s="59"/>
      <c r="O820" s="61"/>
      <c r="P820" s="61"/>
      <c r="Q820" s="61"/>
      <c r="R820" s="50"/>
      <c r="S820" s="50"/>
      <c r="T820" s="61"/>
      <c r="U820" s="61"/>
      <c r="V820" s="61"/>
      <c r="W820" s="61"/>
      <c r="X820" s="61"/>
      <c r="Y820" s="61"/>
      <c r="Z820" s="52"/>
      <c r="AA820" s="52"/>
      <c r="AB820" s="52"/>
      <c r="AC820" s="52"/>
      <c r="AD820" s="53"/>
      <c r="AE820" s="53"/>
      <c r="AF820" s="53"/>
    </row>
    <row r="821">
      <c r="G821" s="55"/>
      <c r="H821" s="54"/>
      <c r="I821" s="54"/>
      <c r="J821" s="54"/>
      <c r="K821" s="54"/>
      <c r="L821" s="54"/>
      <c r="M821" s="54"/>
      <c r="N821" s="59"/>
      <c r="O821" s="61"/>
      <c r="P821" s="61"/>
      <c r="Q821" s="61"/>
      <c r="R821" s="50"/>
      <c r="S821" s="50"/>
      <c r="T821" s="61"/>
      <c r="U821" s="61"/>
      <c r="V821" s="61"/>
      <c r="W821" s="61"/>
      <c r="X821" s="61"/>
      <c r="Y821" s="61"/>
      <c r="Z821" s="52"/>
      <c r="AA821" s="52"/>
      <c r="AB821" s="52"/>
      <c r="AC821" s="52"/>
      <c r="AD821" s="53"/>
      <c r="AE821" s="53"/>
      <c r="AF821" s="53"/>
    </row>
    <row r="822">
      <c r="G822" s="55"/>
      <c r="H822" s="54"/>
      <c r="I822" s="54"/>
      <c r="J822" s="54"/>
      <c r="K822" s="54"/>
      <c r="L822" s="54"/>
      <c r="M822" s="54"/>
      <c r="N822" s="59"/>
      <c r="O822" s="61"/>
      <c r="P822" s="61"/>
      <c r="Q822" s="61"/>
      <c r="R822" s="50"/>
      <c r="S822" s="50"/>
      <c r="T822" s="61"/>
      <c r="U822" s="61"/>
      <c r="V822" s="61"/>
      <c r="W822" s="61"/>
      <c r="X822" s="61"/>
      <c r="Y822" s="61"/>
      <c r="Z822" s="52"/>
      <c r="AA822" s="52"/>
      <c r="AB822" s="52"/>
      <c r="AC822" s="52"/>
      <c r="AD822" s="53"/>
      <c r="AE822" s="53"/>
      <c r="AF822" s="53"/>
    </row>
    <row r="823">
      <c r="G823" s="55"/>
      <c r="H823" s="54"/>
      <c r="I823" s="54"/>
      <c r="J823" s="54"/>
      <c r="K823" s="54"/>
      <c r="L823" s="54"/>
      <c r="M823" s="54"/>
      <c r="N823" s="59"/>
      <c r="O823" s="61"/>
      <c r="P823" s="61"/>
      <c r="Q823" s="61"/>
      <c r="R823" s="50"/>
      <c r="S823" s="50"/>
      <c r="T823" s="61"/>
      <c r="U823" s="61"/>
      <c r="V823" s="61"/>
      <c r="W823" s="61"/>
      <c r="X823" s="61"/>
      <c r="Y823" s="61"/>
      <c r="Z823" s="52"/>
      <c r="AA823" s="52"/>
      <c r="AB823" s="52"/>
      <c r="AC823" s="52"/>
      <c r="AD823" s="53"/>
      <c r="AE823" s="53"/>
      <c r="AF823" s="53"/>
    </row>
    <row r="824">
      <c r="G824" s="55"/>
      <c r="H824" s="54"/>
      <c r="I824" s="54"/>
      <c r="J824" s="54"/>
      <c r="K824" s="54"/>
      <c r="L824" s="54"/>
      <c r="M824" s="54"/>
      <c r="N824" s="59"/>
      <c r="O824" s="61"/>
      <c r="P824" s="61"/>
      <c r="Q824" s="61"/>
      <c r="R824" s="50"/>
      <c r="S824" s="50"/>
      <c r="T824" s="61"/>
      <c r="U824" s="61"/>
      <c r="V824" s="61"/>
      <c r="W824" s="61"/>
      <c r="X824" s="61"/>
      <c r="Y824" s="61"/>
      <c r="Z824" s="52"/>
      <c r="AA824" s="52"/>
      <c r="AB824" s="52"/>
      <c r="AC824" s="52"/>
      <c r="AD824" s="53"/>
      <c r="AE824" s="53"/>
      <c r="AF824" s="53"/>
    </row>
    <row r="825">
      <c r="G825" s="55"/>
      <c r="H825" s="54"/>
      <c r="I825" s="54"/>
      <c r="J825" s="54"/>
      <c r="K825" s="54"/>
      <c r="L825" s="54"/>
      <c r="M825" s="54"/>
      <c r="N825" s="59"/>
      <c r="O825" s="61"/>
      <c r="P825" s="61"/>
      <c r="Q825" s="61"/>
      <c r="R825" s="50"/>
      <c r="S825" s="50"/>
      <c r="T825" s="61"/>
      <c r="U825" s="61"/>
      <c r="V825" s="61"/>
      <c r="W825" s="61"/>
      <c r="X825" s="61"/>
      <c r="Y825" s="61"/>
      <c r="Z825" s="52"/>
      <c r="AA825" s="52"/>
      <c r="AB825" s="52"/>
      <c r="AC825" s="52"/>
      <c r="AD825" s="53"/>
      <c r="AE825" s="53"/>
      <c r="AF825" s="53"/>
    </row>
    <row r="826">
      <c r="G826" s="55"/>
      <c r="H826" s="54"/>
      <c r="I826" s="54"/>
      <c r="J826" s="54"/>
      <c r="K826" s="54"/>
      <c r="L826" s="54"/>
      <c r="M826" s="54"/>
      <c r="N826" s="59"/>
      <c r="O826" s="61"/>
      <c r="P826" s="61"/>
      <c r="Q826" s="61"/>
      <c r="R826" s="50"/>
      <c r="S826" s="50"/>
      <c r="T826" s="61"/>
      <c r="U826" s="61"/>
      <c r="V826" s="61"/>
      <c r="W826" s="61"/>
      <c r="X826" s="61"/>
      <c r="Y826" s="61"/>
      <c r="Z826" s="52"/>
      <c r="AA826" s="52"/>
      <c r="AB826" s="52"/>
      <c r="AC826" s="52"/>
      <c r="AD826" s="53"/>
      <c r="AE826" s="53"/>
      <c r="AF826" s="53"/>
    </row>
    <row r="827">
      <c r="G827" s="55"/>
      <c r="H827" s="54"/>
      <c r="I827" s="54"/>
      <c r="J827" s="54"/>
      <c r="K827" s="54"/>
      <c r="L827" s="54"/>
      <c r="M827" s="54"/>
      <c r="N827" s="59"/>
      <c r="O827" s="61"/>
      <c r="P827" s="61"/>
      <c r="Q827" s="61"/>
      <c r="R827" s="50"/>
      <c r="S827" s="50"/>
      <c r="T827" s="61"/>
      <c r="U827" s="61"/>
      <c r="V827" s="61"/>
      <c r="W827" s="61"/>
      <c r="X827" s="61"/>
      <c r="Y827" s="61"/>
      <c r="Z827" s="52"/>
      <c r="AA827" s="52"/>
      <c r="AB827" s="52"/>
      <c r="AC827" s="52"/>
      <c r="AD827" s="53"/>
      <c r="AE827" s="53"/>
      <c r="AF827" s="53"/>
    </row>
    <row r="828">
      <c r="G828" s="55"/>
      <c r="H828" s="54"/>
      <c r="I828" s="54"/>
      <c r="J828" s="54"/>
      <c r="K828" s="54"/>
      <c r="L828" s="54"/>
      <c r="M828" s="54"/>
      <c r="N828" s="59"/>
      <c r="O828" s="61"/>
      <c r="P828" s="61"/>
      <c r="Q828" s="61"/>
      <c r="R828" s="50"/>
      <c r="S828" s="50"/>
      <c r="T828" s="61"/>
      <c r="U828" s="61"/>
      <c r="V828" s="61"/>
      <c r="W828" s="61"/>
      <c r="X828" s="61"/>
      <c r="Y828" s="61"/>
      <c r="Z828" s="52"/>
      <c r="AA828" s="52"/>
      <c r="AB828" s="52"/>
      <c r="AC828" s="52"/>
      <c r="AD828" s="53"/>
      <c r="AE828" s="53"/>
      <c r="AF828" s="53"/>
    </row>
    <row r="829">
      <c r="G829" s="55"/>
      <c r="H829" s="54"/>
      <c r="I829" s="54"/>
      <c r="J829" s="54"/>
      <c r="K829" s="54"/>
      <c r="L829" s="54"/>
      <c r="M829" s="54"/>
      <c r="N829" s="59"/>
      <c r="O829" s="61"/>
      <c r="P829" s="61"/>
      <c r="Q829" s="61"/>
      <c r="R829" s="50"/>
      <c r="S829" s="50"/>
      <c r="T829" s="61"/>
      <c r="U829" s="61"/>
      <c r="V829" s="61"/>
      <c r="W829" s="61"/>
      <c r="X829" s="61"/>
      <c r="Y829" s="61"/>
      <c r="Z829" s="52"/>
      <c r="AA829" s="52"/>
      <c r="AB829" s="52"/>
      <c r="AC829" s="52"/>
      <c r="AD829" s="53"/>
      <c r="AE829" s="53"/>
      <c r="AF829" s="53"/>
    </row>
    <row r="830">
      <c r="G830" s="55"/>
      <c r="H830" s="54"/>
      <c r="I830" s="54"/>
      <c r="J830" s="54"/>
      <c r="K830" s="54"/>
      <c r="L830" s="54"/>
      <c r="M830" s="54"/>
      <c r="N830" s="59"/>
      <c r="O830" s="61"/>
      <c r="P830" s="61"/>
      <c r="Q830" s="61"/>
      <c r="R830" s="50"/>
      <c r="S830" s="50"/>
      <c r="T830" s="61"/>
      <c r="U830" s="61"/>
      <c r="V830" s="61"/>
      <c r="W830" s="61"/>
      <c r="X830" s="61"/>
      <c r="Y830" s="61"/>
      <c r="Z830" s="52"/>
      <c r="AA830" s="52"/>
      <c r="AB830" s="52"/>
      <c r="AC830" s="52"/>
      <c r="AD830" s="53"/>
      <c r="AE830" s="53"/>
      <c r="AF830" s="53"/>
    </row>
    <row r="831">
      <c r="G831" s="55"/>
      <c r="H831" s="54"/>
      <c r="I831" s="54"/>
      <c r="J831" s="54"/>
      <c r="K831" s="54"/>
      <c r="L831" s="54"/>
      <c r="M831" s="54"/>
      <c r="N831" s="59"/>
      <c r="O831" s="61"/>
      <c r="P831" s="61"/>
      <c r="Q831" s="61"/>
      <c r="R831" s="50"/>
      <c r="S831" s="50"/>
      <c r="T831" s="61"/>
      <c r="U831" s="61"/>
      <c r="V831" s="61"/>
      <c r="W831" s="61"/>
      <c r="X831" s="61"/>
      <c r="Y831" s="61"/>
      <c r="Z831" s="52"/>
      <c r="AA831" s="52"/>
      <c r="AB831" s="52"/>
      <c r="AC831" s="52"/>
      <c r="AD831" s="53"/>
      <c r="AE831" s="53"/>
      <c r="AF831" s="53"/>
    </row>
    <row r="832">
      <c r="G832" s="55"/>
      <c r="H832" s="54"/>
      <c r="I832" s="54"/>
      <c r="J832" s="54"/>
      <c r="K832" s="54"/>
      <c r="L832" s="54"/>
      <c r="M832" s="54"/>
      <c r="N832" s="59"/>
      <c r="O832" s="61"/>
      <c r="P832" s="61"/>
      <c r="Q832" s="61"/>
      <c r="R832" s="50"/>
      <c r="S832" s="50"/>
      <c r="T832" s="61"/>
      <c r="U832" s="61"/>
      <c r="V832" s="61"/>
      <c r="W832" s="61"/>
      <c r="X832" s="61"/>
      <c r="Y832" s="61"/>
      <c r="Z832" s="52"/>
      <c r="AA832" s="52"/>
      <c r="AB832" s="52"/>
      <c r="AC832" s="52"/>
      <c r="AD832" s="53"/>
      <c r="AE832" s="53"/>
      <c r="AF832" s="53"/>
    </row>
    <row r="833">
      <c r="G833" s="55"/>
      <c r="H833" s="54"/>
      <c r="I833" s="54"/>
      <c r="J833" s="54"/>
      <c r="K833" s="54"/>
      <c r="L833" s="54"/>
      <c r="M833" s="54"/>
      <c r="N833" s="59"/>
      <c r="O833" s="61"/>
      <c r="P833" s="61"/>
      <c r="Q833" s="61"/>
      <c r="R833" s="50"/>
      <c r="S833" s="50"/>
      <c r="T833" s="61"/>
      <c r="U833" s="61"/>
      <c r="V833" s="61"/>
      <c r="W833" s="61"/>
      <c r="X833" s="61"/>
      <c r="Y833" s="61"/>
      <c r="Z833" s="52"/>
      <c r="AA833" s="52"/>
      <c r="AB833" s="52"/>
      <c r="AC833" s="52"/>
      <c r="AD833" s="53"/>
      <c r="AE833" s="53"/>
      <c r="AF833" s="53"/>
    </row>
    <row r="834">
      <c r="G834" s="55"/>
      <c r="H834" s="54"/>
      <c r="I834" s="54"/>
      <c r="J834" s="54"/>
      <c r="K834" s="54"/>
      <c r="L834" s="54"/>
      <c r="M834" s="54"/>
      <c r="N834" s="59"/>
      <c r="O834" s="61"/>
      <c r="P834" s="61"/>
      <c r="Q834" s="61"/>
      <c r="R834" s="50"/>
      <c r="S834" s="50"/>
      <c r="T834" s="61"/>
      <c r="U834" s="61"/>
      <c r="V834" s="61"/>
      <c r="W834" s="61"/>
      <c r="X834" s="61"/>
      <c r="Y834" s="61"/>
      <c r="Z834" s="52"/>
      <c r="AA834" s="52"/>
      <c r="AB834" s="52"/>
      <c r="AC834" s="52"/>
      <c r="AD834" s="53"/>
      <c r="AE834" s="53"/>
      <c r="AF834" s="53"/>
    </row>
    <row r="835">
      <c r="G835" s="55"/>
      <c r="H835" s="54"/>
      <c r="I835" s="54"/>
      <c r="J835" s="54"/>
      <c r="K835" s="54"/>
      <c r="L835" s="54"/>
      <c r="M835" s="54"/>
      <c r="N835" s="59"/>
      <c r="O835" s="61"/>
      <c r="P835" s="61"/>
      <c r="Q835" s="61"/>
      <c r="R835" s="50"/>
      <c r="S835" s="50"/>
      <c r="T835" s="61"/>
      <c r="U835" s="61"/>
      <c r="V835" s="61"/>
      <c r="W835" s="61"/>
      <c r="X835" s="61"/>
      <c r="Y835" s="61"/>
      <c r="Z835" s="52"/>
      <c r="AA835" s="52"/>
      <c r="AB835" s="52"/>
      <c r="AC835" s="52"/>
      <c r="AD835" s="53"/>
      <c r="AE835" s="53"/>
      <c r="AF835" s="53"/>
    </row>
    <row r="836">
      <c r="G836" s="55"/>
      <c r="H836" s="54"/>
      <c r="I836" s="54"/>
      <c r="J836" s="54"/>
      <c r="K836" s="54"/>
      <c r="L836" s="54"/>
      <c r="M836" s="54"/>
      <c r="N836" s="59"/>
      <c r="O836" s="61"/>
      <c r="P836" s="61"/>
      <c r="Q836" s="61"/>
      <c r="R836" s="50"/>
      <c r="S836" s="50"/>
      <c r="T836" s="61"/>
      <c r="U836" s="61"/>
      <c r="V836" s="61"/>
      <c r="W836" s="61"/>
      <c r="X836" s="61"/>
      <c r="Y836" s="61"/>
      <c r="Z836" s="52"/>
      <c r="AA836" s="52"/>
      <c r="AB836" s="52"/>
      <c r="AC836" s="52"/>
      <c r="AD836" s="53"/>
      <c r="AE836" s="53"/>
      <c r="AF836" s="53"/>
    </row>
    <row r="837">
      <c r="G837" s="55"/>
      <c r="H837" s="54"/>
      <c r="I837" s="54"/>
      <c r="J837" s="54"/>
      <c r="K837" s="54"/>
      <c r="L837" s="54"/>
      <c r="M837" s="54"/>
      <c r="N837" s="59"/>
      <c r="O837" s="61"/>
      <c r="P837" s="61"/>
      <c r="Q837" s="61"/>
      <c r="R837" s="50"/>
      <c r="S837" s="50"/>
      <c r="T837" s="61"/>
      <c r="U837" s="61"/>
      <c r="V837" s="61"/>
      <c r="W837" s="61"/>
      <c r="X837" s="61"/>
      <c r="Y837" s="61"/>
      <c r="Z837" s="52"/>
      <c r="AA837" s="52"/>
      <c r="AB837" s="52"/>
      <c r="AC837" s="52"/>
      <c r="AD837" s="53"/>
      <c r="AE837" s="53"/>
      <c r="AF837" s="53"/>
    </row>
    <row r="838">
      <c r="G838" s="55"/>
      <c r="H838" s="54"/>
      <c r="I838" s="54"/>
      <c r="J838" s="54"/>
      <c r="K838" s="54"/>
      <c r="L838" s="54"/>
      <c r="M838" s="54"/>
      <c r="N838" s="59"/>
      <c r="O838" s="61"/>
      <c r="P838" s="61"/>
      <c r="Q838" s="61"/>
      <c r="R838" s="50"/>
      <c r="S838" s="50"/>
      <c r="T838" s="61"/>
      <c r="U838" s="61"/>
      <c r="V838" s="61"/>
      <c r="W838" s="61"/>
      <c r="X838" s="61"/>
      <c r="Y838" s="61"/>
      <c r="Z838" s="52"/>
      <c r="AA838" s="52"/>
      <c r="AB838" s="52"/>
      <c r="AC838" s="52"/>
      <c r="AD838" s="53"/>
      <c r="AE838" s="53"/>
      <c r="AF838" s="53"/>
    </row>
    <row r="839">
      <c r="G839" s="55"/>
      <c r="H839" s="54"/>
      <c r="I839" s="54"/>
      <c r="J839" s="54"/>
      <c r="K839" s="54"/>
      <c r="L839" s="54"/>
      <c r="M839" s="54"/>
      <c r="N839" s="59"/>
      <c r="O839" s="61"/>
      <c r="P839" s="61"/>
      <c r="Q839" s="61"/>
      <c r="R839" s="50"/>
      <c r="S839" s="50"/>
      <c r="T839" s="61"/>
      <c r="U839" s="61"/>
      <c r="V839" s="61"/>
      <c r="W839" s="61"/>
      <c r="X839" s="61"/>
      <c r="Y839" s="61"/>
      <c r="Z839" s="52"/>
      <c r="AA839" s="52"/>
      <c r="AB839" s="52"/>
      <c r="AC839" s="52"/>
      <c r="AD839" s="53"/>
      <c r="AE839" s="53"/>
      <c r="AF839" s="53"/>
    </row>
    <row r="840">
      <c r="G840" s="55"/>
      <c r="H840" s="54"/>
      <c r="I840" s="54"/>
      <c r="J840" s="54"/>
      <c r="K840" s="54"/>
      <c r="L840" s="54"/>
      <c r="M840" s="54"/>
      <c r="N840" s="59"/>
      <c r="O840" s="61"/>
      <c r="P840" s="61"/>
      <c r="Q840" s="61"/>
      <c r="R840" s="50"/>
      <c r="S840" s="50"/>
      <c r="T840" s="61"/>
      <c r="U840" s="61"/>
      <c r="V840" s="61"/>
      <c r="W840" s="61"/>
      <c r="X840" s="61"/>
      <c r="Y840" s="61"/>
      <c r="Z840" s="52"/>
      <c r="AA840" s="52"/>
      <c r="AB840" s="52"/>
      <c r="AC840" s="52"/>
      <c r="AD840" s="53"/>
      <c r="AE840" s="53"/>
      <c r="AF840" s="53"/>
    </row>
    <row r="841">
      <c r="G841" s="55"/>
      <c r="H841" s="54"/>
      <c r="I841" s="54"/>
      <c r="J841" s="54"/>
      <c r="K841" s="54"/>
      <c r="L841" s="54"/>
      <c r="M841" s="54"/>
      <c r="N841" s="59"/>
      <c r="O841" s="61"/>
      <c r="P841" s="61"/>
      <c r="Q841" s="61"/>
      <c r="R841" s="50"/>
      <c r="S841" s="50"/>
      <c r="T841" s="61"/>
      <c r="U841" s="61"/>
      <c r="V841" s="61"/>
      <c r="W841" s="61"/>
      <c r="X841" s="61"/>
      <c r="Y841" s="61"/>
      <c r="Z841" s="52"/>
      <c r="AA841" s="52"/>
      <c r="AB841" s="52"/>
      <c r="AC841" s="52"/>
      <c r="AD841" s="53"/>
      <c r="AE841" s="53"/>
      <c r="AF841" s="53"/>
    </row>
    <row r="842">
      <c r="G842" s="55"/>
      <c r="H842" s="54"/>
      <c r="I842" s="54"/>
      <c r="J842" s="54"/>
      <c r="K842" s="54"/>
      <c r="L842" s="54"/>
      <c r="M842" s="54"/>
      <c r="N842" s="59"/>
      <c r="O842" s="61"/>
      <c r="P842" s="61"/>
      <c r="Q842" s="61"/>
      <c r="R842" s="50"/>
      <c r="S842" s="50"/>
      <c r="T842" s="61"/>
      <c r="U842" s="61"/>
      <c r="V842" s="61"/>
      <c r="W842" s="61"/>
      <c r="X842" s="61"/>
      <c r="Y842" s="61"/>
      <c r="Z842" s="52"/>
      <c r="AA842" s="52"/>
      <c r="AB842" s="52"/>
      <c r="AC842" s="52"/>
      <c r="AD842" s="53"/>
      <c r="AE842" s="53"/>
      <c r="AF842" s="53"/>
    </row>
    <row r="843">
      <c r="G843" s="55"/>
      <c r="H843" s="54"/>
      <c r="I843" s="54"/>
      <c r="J843" s="54"/>
      <c r="K843" s="54"/>
      <c r="L843" s="54"/>
      <c r="M843" s="54"/>
      <c r="N843" s="59"/>
      <c r="O843" s="61"/>
      <c r="P843" s="61"/>
      <c r="Q843" s="61"/>
      <c r="R843" s="50"/>
      <c r="S843" s="50"/>
      <c r="T843" s="61"/>
      <c r="U843" s="61"/>
      <c r="V843" s="61"/>
      <c r="W843" s="61"/>
      <c r="X843" s="61"/>
      <c r="Y843" s="61"/>
      <c r="Z843" s="52"/>
      <c r="AA843" s="52"/>
      <c r="AB843" s="52"/>
      <c r="AC843" s="52"/>
      <c r="AD843" s="53"/>
      <c r="AE843" s="53"/>
      <c r="AF843" s="53"/>
    </row>
    <row r="844">
      <c r="G844" s="55"/>
      <c r="H844" s="54"/>
      <c r="I844" s="54"/>
      <c r="J844" s="54"/>
      <c r="K844" s="54"/>
      <c r="L844" s="54"/>
      <c r="M844" s="54"/>
      <c r="N844" s="59"/>
      <c r="O844" s="61"/>
      <c r="P844" s="61"/>
      <c r="Q844" s="61"/>
      <c r="R844" s="50"/>
      <c r="S844" s="50"/>
      <c r="T844" s="61"/>
      <c r="U844" s="61"/>
      <c r="V844" s="61"/>
      <c r="W844" s="61"/>
      <c r="X844" s="61"/>
      <c r="Y844" s="61"/>
      <c r="Z844" s="52"/>
      <c r="AA844" s="52"/>
      <c r="AB844" s="52"/>
      <c r="AC844" s="52"/>
      <c r="AD844" s="53"/>
      <c r="AE844" s="53"/>
      <c r="AF844" s="53"/>
    </row>
    <row r="845">
      <c r="G845" s="55"/>
      <c r="H845" s="54"/>
      <c r="I845" s="54"/>
      <c r="J845" s="54"/>
      <c r="K845" s="54"/>
      <c r="L845" s="54"/>
      <c r="M845" s="54"/>
      <c r="N845" s="59"/>
      <c r="O845" s="61"/>
      <c r="P845" s="61"/>
      <c r="Q845" s="61"/>
      <c r="R845" s="50"/>
      <c r="S845" s="50"/>
      <c r="T845" s="61"/>
      <c r="U845" s="61"/>
      <c r="V845" s="61"/>
      <c r="W845" s="61"/>
      <c r="X845" s="61"/>
      <c r="Y845" s="61"/>
      <c r="Z845" s="52"/>
      <c r="AA845" s="52"/>
      <c r="AB845" s="52"/>
      <c r="AC845" s="52"/>
      <c r="AD845" s="53"/>
      <c r="AE845" s="53"/>
      <c r="AF845" s="53"/>
    </row>
    <row r="846">
      <c r="G846" s="55"/>
      <c r="H846" s="54"/>
      <c r="I846" s="54"/>
      <c r="J846" s="54"/>
      <c r="K846" s="54"/>
      <c r="L846" s="54"/>
      <c r="M846" s="54"/>
      <c r="N846" s="59"/>
      <c r="O846" s="61"/>
      <c r="P846" s="61"/>
      <c r="Q846" s="61"/>
      <c r="R846" s="50"/>
      <c r="S846" s="50"/>
      <c r="T846" s="61"/>
      <c r="U846" s="61"/>
      <c r="V846" s="61"/>
      <c r="W846" s="61"/>
      <c r="X846" s="61"/>
      <c r="Y846" s="61"/>
      <c r="Z846" s="52"/>
      <c r="AA846" s="52"/>
      <c r="AB846" s="52"/>
      <c r="AC846" s="52"/>
      <c r="AD846" s="53"/>
      <c r="AE846" s="53"/>
      <c r="AF846" s="53"/>
    </row>
    <row r="847">
      <c r="G847" s="55"/>
      <c r="H847" s="54"/>
      <c r="I847" s="54"/>
      <c r="J847" s="54"/>
      <c r="K847" s="54"/>
      <c r="L847" s="54"/>
      <c r="M847" s="54"/>
      <c r="N847" s="59"/>
      <c r="O847" s="61"/>
      <c r="P847" s="61"/>
      <c r="Q847" s="61"/>
      <c r="R847" s="50"/>
      <c r="S847" s="50"/>
      <c r="T847" s="61"/>
      <c r="U847" s="61"/>
      <c r="V847" s="61"/>
      <c r="W847" s="61"/>
      <c r="X847" s="61"/>
      <c r="Y847" s="61"/>
      <c r="Z847" s="52"/>
      <c r="AA847" s="52"/>
      <c r="AB847" s="52"/>
      <c r="AC847" s="52"/>
      <c r="AD847" s="53"/>
      <c r="AE847" s="53"/>
      <c r="AF847" s="53"/>
    </row>
    <row r="848">
      <c r="G848" s="55"/>
      <c r="H848" s="54"/>
      <c r="I848" s="54"/>
      <c r="J848" s="54"/>
      <c r="K848" s="54"/>
      <c r="L848" s="54"/>
      <c r="M848" s="54"/>
      <c r="N848" s="59"/>
      <c r="O848" s="61"/>
      <c r="P848" s="61"/>
      <c r="Q848" s="61"/>
      <c r="R848" s="50"/>
      <c r="S848" s="50"/>
      <c r="T848" s="61"/>
      <c r="U848" s="61"/>
      <c r="V848" s="61"/>
      <c r="W848" s="61"/>
      <c r="X848" s="61"/>
      <c r="Y848" s="61"/>
      <c r="Z848" s="52"/>
      <c r="AA848" s="52"/>
      <c r="AB848" s="52"/>
      <c r="AC848" s="52"/>
      <c r="AD848" s="53"/>
      <c r="AE848" s="53"/>
      <c r="AF848" s="53"/>
    </row>
    <row r="849">
      <c r="G849" s="55"/>
      <c r="H849" s="54"/>
      <c r="I849" s="54"/>
      <c r="J849" s="54"/>
      <c r="K849" s="54"/>
      <c r="L849" s="54"/>
      <c r="M849" s="54"/>
      <c r="N849" s="59"/>
      <c r="O849" s="61"/>
      <c r="P849" s="61"/>
      <c r="Q849" s="61"/>
      <c r="R849" s="50"/>
      <c r="S849" s="50"/>
      <c r="T849" s="61"/>
      <c r="U849" s="61"/>
      <c r="V849" s="61"/>
      <c r="W849" s="61"/>
      <c r="X849" s="61"/>
      <c r="Y849" s="61"/>
      <c r="Z849" s="52"/>
      <c r="AA849" s="52"/>
      <c r="AB849" s="52"/>
      <c r="AC849" s="52"/>
      <c r="AD849" s="53"/>
      <c r="AE849" s="53"/>
      <c r="AF849" s="53"/>
    </row>
    <row r="850">
      <c r="G850" s="55"/>
      <c r="H850" s="54"/>
      <c r="I850" s="54"/>
      <c r="J850" s="54"/>
      <c r="K850" s="54"/>
      <c r="L850" s="54"/>
      <c r="M850" s="54"/>
      <c r="N850" s="59"/>
      <c r="O850" s="61"/>
      <c r="P850" s="61"/>
      <c r="Q850" s="61"/>
      <c r="R850" s="50"/>
      <c r="S850" s="50"/>
      <c r="T850" s="61"/>
      <c r="U850" s="61"/>
      <c r="V850" s="61"/>
      <c r="W850" s="61"/>
      <c r="X850" s="61"/>
      <c r="Y850" s="61"/>
      <c r="Z850" s="52"/>
      <c r="AA850" s="52"/>
      <c r="AB850" s="52"/>
      <c r="AC850" s="52"/>
      <c r="AD850" s="53"/>
      <c r="AE850" s="53"/>
      <c r="AF850" s="53"/>
    </row>
    <row r="851">
      <c r="G851" s="55"/>
      <c r="H851" s="54"/>
      <c r="I851" s="54"/>
      <c r="J851" s="54"/>
      <c r="K851" s="54"/>
      <c r="L851" s="54"/>
      <c r="M851" s="54"/>
      <c r="N851" s="59"/>
      <c r="O851" s="61"/>
      <c r="P851" s="61"/>
      <c r="Q851" s="61"/>
      <c r="R851" s="50"/>
      <c r="S851" s="50"/>
      <c r="T851" s="61"/>
      <c r="U851" s="61"/>
      <c r="V851" s="61"/>
      <c r="W851" s="61"/>
      <c r="X851" s="61"/>
      <c r="Y851" s="61"/>
      <c r="Z851" s="52"/>
      <c r="AA851" s="52"/>
      <c r="AB851" s="52"/>
      <c r="AC851" s="52"/>
      <c r="AD851" s="53"/>
      <c r="AE851" s="53"/>
      <c r="AF851" s="53"/>
    </row>
    <row r="852">
      <c r="G852" s="55"/>
      <c r="H852" s="54"/>
      <c r="I852" s="54"/>
      <c r="J852" s="54"/>
      <c r="K852" s="54"/>
      <c r="L852" s="54"/>
      <c r="M852" s="54"/>
      <c r="N852" s="59"/>
      <c r="O852" s="61"/>
      <c r="P852" s="61"/>
      <c r="Q852" s="61"/>
      <c r="R852" s="50"/>
      <c r="S852" s="50"/>
      <c r="T852" s="61"/>
      <c r="U852" s="61"/>
      <c r="V852" s="61"/>
      <c r="W852" s="61"/>
      <c r="X852" s="61"/>
      <c r="Y852" s="61"/>
      <c r="Z852" s="52"/>
      <c r="AA852" s="52"/>
      <c r="AB852" s="52"/>
      <c r="AC852" s="52"/>
      <c r="AD852" s="53"/>
      <c r="AE852" s="53"/>
      <c r="AF852" s="53"/>
    </row>
    <row r="853">
      <c r="G853" s="55"/>
      <c r="H853" s="54"/>
      <c r="I853" s="54"/>
      <c r="J853" s="54"/>
      <c r="K853" s="54"/>
      <c r="L853" s="54"/>
      <c r="M853" s="54"/>
      <c r="N853" s="59"/>
      <c r="O853" s="61"/>
      <c r="P853" s="61"/>
      <c r="Q853" s="61"/>
      <c r="R853" s="50"/>
      <c r="S853" s="50"/>
      <c r="T853" s="61"/>
      <c r="U853" s="61"/>
      <c r="V853" s="61"/>
      <c r="W853" s="61"/>
      <c r="X853" s="61"/>
      <c r="Y853" s="61"/>
      <c r="Z853" s="52"/>
      <c r="AA853" s="52"/>
      <c r="AB853" s="52"/>
      <c r="AC853" s="52"/>
      <c r="AD853" s="53"/>
      <c r="AE853" s="53"/>
      <c r="AF853" s="53"/>
    </row>
    <row r="854">
      <c r="G854" s="55"/>
      <c r="H854" s="54"/>
      <c r="I854" s="54"/>
      <c r="J854" s="54"/>
      <c r="K854" s="54"/>
      <c r="L854" s="54"/>
      <c r="M854" s="54"/>
      <c r="N854" s="59"/>
      <c r="O854" s="61"/>
      <c r="P854" s="61"/>
      <c r="Q854" s="61"/>
      <c r="R854" s="50"/>
      <c r="S854" s="50"/>
      <c r="T854" s="61"/>
      <c r="U854" s="61"/>
      <c r="V854" s="61"/>
      <c r="W854" s="61"/>
      <c r="X854" s="61"/>
      <c r="Y854" s="61"/>
      <c r="Z854" s="52"/>
      <c r="AA854" s="52"/>
      <c r="AB854" s="52"/>
      <c r="AC854" s="52"/>
      <c r="AD854" s="53"/>
      <c r="AE854" s="53"/>
      <c r="AF854" s="53"/>
    </row>
    <row r="855">
      <c r="G855" s="55"/>
      <c r="H855" s="54"/>
      <c r="I855" s="54"/>
      <c r="J855" s="54"/>
      <c r="K855" s="54"/>
      <c r="L855" s="54"/>
      <c r="M855" s="54"/>
      <c r="N855" s="59"/>
      <c r="O855" s="61"/>
      <c r="P855" s="61"/>
      <c r="Q855" s="61"/>
      <c r="R855" s="50"/>
      <c r="S855" s="50"/>
      <c r="T855" s="61"/>
      <c r="U855" s="61"/>
      <c r="V855" s="61"/>
      <c r="W855" s="61"/>
      <c r="X855" s="61"/>
      <c r="Y855" s="61"/>
      <c r="Z855" s="52"/>
      <c r="AA855" s="52"/>
      <c r="AB855" s="52"/>
      <c r="AC855" s="52"/>
      <c r="AD855" s="53"/>
      <c r="AE855" s="53"/>
      <c r="AF855" s="53"/>
    </row>
    <row r="856">
      <c r="G856" s="55"/>
      <c r="H856" s="54"/>
      <c r="I856" s="54"/>
      <c r="J856" s="54"/>
      <c r="K856" s="54"/>
      <c r="L856" s="54"/>
      <c r="M856" s="54"/>
      <c r="N856" s="59"/>
      <c r="O856" s="61"/>
      <c r="P856" s="61"/>
      <c r="Q856" s="61"/>
      <c r="R856" s="50"/>
      <c r="S856" s="50"/>
      <c r="T856" s="61"/>
      <c r="U856" s="61"/>
      <c r="V856" s="61"/>
      <c r="W856" s="61"/>
      <c r="X856" s="61"/>
      <c r="Y856" s="61"/>
      <c r="Z856" s="52"/>
      <c r="AA856" s="52"/>
      <c r="AB856" s="52"/>
      <c r="AC856" s="52"/>
      <c r="AD856" s="53"/>
      <c r="AE856" s="53"/>
      <c r="AF856" s="53"/>
    </row>
    <row r="857">
      <c r="G857" s="55"/>
      <c r="H857" s="54"/>
      <c r="I857" s="54"/>
      <c r="J857" s="54"/>
      <c r="K857" s="54"/>
      <c r="L857" s="54"/>
      <c r="M857" s="54"/>
      <c r="N857" s="59"/>
      <c r="O857" s="61"/>
      <c r="P857" s="61"/>
      <c r="Q857" s="61"/>
      <c r="R857" s="50"/>
      <c r="S857" s="50"/>
      <c r="T857" s="61"/>
      <c r="U857" s="61"/>
      <c r="V857" s="61"/>
      <c r="W857" s="61"/>
      <c r="X857" s="61"/>
      <c r="Y857" s="61"/>
      <c r="Z857" s="52"/>
      <c r="AA857" s="52"/>
      <c r="AB857" s="52"/>
      <c r="AC857" s="52"/>
      <c r="AD857" s="53"/>
      <c r="AE857" s="53"/>
      <c r="AF857" s="53"/>
    </row>
    <row r="858">
      <c r="G858" s="55"/>
      <c r="H858" s="54"/>
      <c r="I858" s="54"/>
      <c r="J858" s="54"/>
      <c r="K858" s="54"/>
      <c r="L858" s="54"/>
      <c r="M858" s="54"/>
      <c r="N858" s="59"/>
      <c r="O858" s="61"/>
      <c r="P858" s="61"/>
      <c r="Q858" s="61"/>
      <c r="R858" s="50"/>
      <c r="S858" s="50"/>
      <c r="T858" s="61"/>
      <c r="U858" s="61"/>
      <c r="V858" s="61"/>
      <c r="W858" s="61"/>
      <c r="X858" s="61"/>
      <c r="Y858" s="61"/>
      <c r="Z858" s="52"/>
      <c r="AA858" s="52"/>
      <c r="AB858" s="52"/>
      <c r="AC858" s="52"/>
      <c r="AD858" s="53"/>
      <c r="AE858" s="53"/>
      <c r="AF858" s="53"/>
    </row>
    <row r="859">
      <c r="G859" s="55"/>
      <c r="H859" s="54"/>
      <c r="I859" s="54"/>
      <c r="J859" s="54"/>
      <c r="K859" s="54"/>
      <c r="L859" s="54"/>
      <c r="M859" s="54"/>
      <c r="N859" s="59"/>
      <c r="O859" s="61"/>
      <c r="P859" s="61"/>
      <c r="Q859" s="61"/>
      <c r="R859" s="50"/>
      <c r="S859" s="50"/>
      <c r="T859" s="61"/>
      <c r="U859" s="61"/>
      <c r="V859" s="61"/>
      <c r="W859" s="61"/>
      <c r="X859" s="61"/>
      <c r="Y859" s="61"/>
      <c r="Z859" s="52"/>
      <c r="AA859" s="52"/>
      <c r="AB859" s="52"/>
      <c r="AC859" s="52"/>
      <c r="AD859" s="53"/>
      <c r="AE859" s="53"/>
      <c r="AF859" s="53"/>
    </row>
    <row r="860">
      <c r="G860" s="55"/>
      <c r="H860" s="54"/>
      <c r="I860" s="54"/>
      <c r="J860" s="54"/>
      <c r="K860" s="54"/>
      <c r="L860" s="54"/>
      <c r="M860" s="54"/>
      <c r="N860" s="59"/>
      <c r="O860" s="61"/>
      <c r="P860" s="61"/>
      <c r="Q860" s="61"/>
      <c r="R860" s="50"/>
      <c r="S860" s="50"/>
      <c r="T860" s="61"/>
      <c r="U860" s="61"/>
      <c r="V860" s="61"/>
      <c r="W860" s="61"/>
      <c r="X860" s="61"/>
      <c r="Y860" s="61"/>
      <c r="Z860" s="52"/>
      <c r="AA860" s="52"/>
      <c r="AB860" s="52"/>
      <c r="AC860" s="52"/>
      <c r="AD860" s="53"/>
      <c r="AE860" s="53"/>
      <c r="AF860" s="53"/>
    </row>
    <row r="861">
      <c r="G861" s="55"/>
      <c r="H861" s="54"/>
      <c r="I861" s="54"/>
      <c r="J861" s="54"/>
      <c r="K861" s="54"/>
      <c r="L861" s="54"/>
      <c r="M861" s="54"/>
      <c r="N861" s="59"/>
      <c r="O861" s="61"/>
      <c r="P861" s="61"/>
      <c r="Q861" s="61"/>
      <c r="R861" s="50"/>
      <c r="S861" s="50"/>
      <c r="T861" s="61"/>
      <c r="U861" s="61"/>
      <c r="V861" s="61"/>
      <c r="W861" s="61"/>
      <c r="X861" s="61"/>
      <c r="Y861" s="61"/>
      <c r="Z861" s="52"/>
      <c r="AA861" s="52"/>
      <c r="AB861" s="52"/>
      <c r="AC861" s="52"/>
      <c r="AD861" s="53"/>
      <c r="AE861" s="53"/>
      <c r="AF861" s="53"/>
    </row>
    <row r="862">
      <c r="G862" s="55"/>
      <c r="H862" s="54"/>
      <c r="I862" s="54"/>
      <c r="J862" s="54"/>
      <c r="K862" s="54"/>
      <c r="L862" s="54"/>
      <c r="M862" s="54"/>
      <c r="N862" s="59"/>
      <c r="O862" s="61"/>
      <c r="P862" s="61"/>
      <c r="Q862" s="61"/>
      <c r="R862" s="50"/>
      <c r="S862" s="50"/>
      <c r="T862" s="61"/>
      <c r="U862" s="61"/>
      <c r="V862" s="61"/>
      <c r="W862" s="61"/>
      <c r="X862" s="61"/>
      <c r="Y862" s="61"/>
      <c r="Z862" s="52"/>
      <c r="AA862" s="52"/>
      <c r="AB862" s="52"/>
      <c r="AC862" s="52"/>
      <c r="AD862" s="53"/>
      <c r="AE862" s="53"/>
      <c r="AF862" s="53"/>
    </row>
    <row r="863">
      <c r="G863" s="55"/>
      <c r="H863" s="54"/>
      <c r="I863" s="54"/>
      <c r="J863" s="54"/>
      <c r="K863" s="54"/>
      <c r="L863" s="54"/>
      <c r="M863" s="54"/>
      <c r="N863" s="59"/>
      <c r="O863" s="61"/>
      <c r="P863" s="61"/>
      <c r="Q863" s="61"/>
      <c r="R863" s="50"/>
      <c r="S863" s="50"/>
      <c r="T863" s="61"/>
      <c r="U863" s="61"/>
      <c r="V863" s="61"/>
      <c r="W863" s="61"/>
      <c r="X863" s="61"/>
      <c r="Y863" s="61"/>
      <c r="Z863" s="52"/>
      <c r="AA863" s="52"/>
      <c r="AB863" s="52"/>
      <c r="AC863" s="52"/>
      <c r="AD863" s="53"/>
      <c r="AE863" s="53"/>
      <c r="AF863" s="53"/>
    </row>
    <row r="864">
      <c r="G864" s="55"/>
      <c r="H864" s="54"/>
      <c r="I864" s="54"/>
      <c r="J864" s="54"/>
      <c r="K864" s="54"/>
      <c r="L864" s="54"/>
      <c r="M864" s="54"/>
      <c r="N864" s="59"/>
      <c r="O864" s="61"/>
      <c r="P864" s="61"/>
      <c r="Q864" s="61"/>
      <c r="R864" s="50"/>
      <c r="S864" s="50"/>
      <c r="T864" s="61"/>
      <c r="U864" s="61"/>
      <c r="V864" s="61"/>
      <c r="W864" s="61"/>
      <c r="X864" s="61"/>
      <c r="Y864" s="61"/>
      <c r="Z864" s="52"/>
      <c r="AA864" s="52"/>
      <c r="AB864" s="52"/>
      <c r="AC864" s="52"/>
      <c r="AD864" s="53"/>
      <c r="AE864" s="53"/>
      <c r="AF864" s="53"/>
    </row>
    <row r="865">
      <c r="G865" s="55"/>
      <c r="H865" s="54"/>
      <c r="I865" s="54"/>
      <c r="J865" s="54"/>
      <c r="K865" s="54"/>
      <c r="L865" s="54"/>
      <c r="M865" s="54"/>
      <c r="N865" s="59"/>
      <c r="O865" s="61"/>
      <c r="P865" s="61"/>
      <c r="Q865" s="61"/>
      <c r="R865" s="50"/>
      <c r="S865" s="50"/>
      <c r="T865" s="61"/>
      <c r="U865" s="61"/>
      <c r="V865" s="61"/>
      <c r="W865" s="61"/>
      <c r="X865" s="61"/>
      <c r="Y865" s="61"/>
      <c r="Z865" s="52"/>
      <c r="AA865" s="52"/>
      <c r="AB865" s="52"/>
      <c r="AC865" s="52"/>
      <c r="AD865" s="53"/>
      <c r="AE865" s="53"/>
      <c r="AF865" s="53"/>
    </row>
    <row r="866">
      <c r="G866" s="55"/>
      <c r="H866" s="54"/>
      <c r="I866" s="54"/>
      <c r="J866" s="54"/>
      <c r="K866" s="54"/>
      <c r="L866" s="54"/>
      <c r="M866" s="54"/>
      <c r="N866" s="59"/>
      <c r="O866" s="61"/>
      <c r="P866" s="61"/>
      <c r="Q866" s="61"/>
      <c r="R866" s="50"/>
      <c r="S866" s="50"/>
      <c r="T866" s="61"/>
      <c r="U866" s="61"/>
      <c r="V866" s="61"/>
      <c r="W866" s="61"/>
      <c r="X866" s="61"/>
      <c r="Y866" s="61"/>
      <c r="Z866" s="52"/>
      <c r="AA866" s="52"/>
      <c r="AB866" s="52"/>
      <c r="AC866" s="52"/>
      <c r="AD866" s="53"/>
      <c r="AE866" s="53"/>
      <c r="AF866" s="53"/>
    </row>
    <row r="867">
      <c r="G867" s="55"/>
      <c r="H867" s="54"/>
      <c r="I867" s="54"/>
      <c r="J867" s="54"/>
      <c r="K867" s="54"/>
      <c r="L867" s="54"/>
      <c r="M867" s="54"/>
      <c r="N867" s="59"/>
      <c r="O867" s="61"/>
      <c r="P867" s="61"/>
      <c r="Q867" s="61"/>
      <c r="R867" s="50"/>
      <c r="S867" s="50"/>
      <c r="T867" s="61"/>
      <c r="U867" s="61"/>
      <c r="V867" s="61"/>
      <c r="W867" s="61"/>
      <c r="X867" s="61"/>
      <c r="Y867" s="61"/>
      <c r="Z867" s="52"/>
      <c r="AA867" s="52"/>
      <c r="AB867" s="52"/>
      <c r="AC867" s="52"/>
      <c r="AD867" s="53"/>
      <c r="AE867" s="53"/>
      <c r="AF867" s="53"/>
    </row>
    <row r="868">
      <c r="G868" s="55"/>
      <c r="H868" s="54"/>
      <c r="I868" s="54"/>
      <c r="J868" s="54"/>
      <c r="K868" s="54"/>
      <c r="L868" s="54"/>
      <c r="M868" s="54"/>
      <c r="N868" s="59"/>
      <c r="O868" s="61"/>
      <c r="P868" s="61"/>
      <c r="Q868" s="61"/>
      <c r="R868" s="50"/>
      <c r="S868" s="50"/>
      <c r="T868" s="61"/>
      <c r="U868" s="61"/>
      <c r="V868" s="61"/>
      <c r="W868" s="61"/>
      <c r="X868" s="61"/>
      <c r="Y868" s="61"/>
      <c r="Z868" s="52"/>
      <c r="AA868" s="52"/>
      <c r="AB868" s="52"/>
      <c r="AC868" s="52"/>
      <c r="AD868" s="53"/>
      <c r="AE868" s="53"/>
      <c r="AF868" s="53"/>
    </row>
    <row r="869">
      <c r="G869" s="55"/>
      <c r="H869" s="54"/>
      <c r="I869" s="54"/>
      <c r="J869" s="54"/>
      <c r="K869" s="54"/>
      <c r="L869" s="54"/>
      <c r="M869" s="54"/>
      <c r="N869" s="59"/>
      <c r="O869" s="61"/>
      <c r="P869" s="61"/>
      <c r="Q869" s="61"/>
      <c r="R869" s="50"/>
      <c r="S869" s="50"/>
      <c r="T869" s="61"/>
      <c r="U869" s="61"/>
      <c r="V869" s="61"/>
      <c r="W869" s="61"/>
      <c r="X869" s="61"/>
      <c r="Y869" s="61"/>
      <c r="Z869" s="52"/>
      <c r="AA869" s="52"/>
      <c r="AB869" s="52"/>
      <c r="AC869" s="52"/>
      <c r="AD869" s="53"/>
      <c r="AE869" s="53"/>
      <c r="AF869" s="53"/>
    </row>
    <row r="870">
      <c r="G870" s="55"/>
      <c r="H870" s="54"/>
      <c r="I870" s="54"/>
      <c r="J870" s="54"/>
      <c r="K870" s="54"/>
      <c r="L870" s="54"/>
      <c r="M870" s="54"/>
      <c r="N870" s="59"/>
      <c r="O870" s="61"/>
      <c r="P870" s="61"/>
      <c r="Q870" s="61"/>
      <c r="R870" s="50"/>
      <c r="S870" s="50"/>
      <c r="T870" s="61"/>
      <c r="U870" s="61"/>
      <c r="V870" s="61"/>
      <c r="W870" s="61"/>
      <c r="X870" s="61"/>
      <c r="Y870" s="61"/>
      <c r="Z870" s="52"/>
      <c r="AA870" s="52"/>
      <c r="AB870" s="52"/>
      <c r="AC870" s="52"/>
      <c r="AD870" s="53"/>
      <c r="AE870" s="53"/>
      <c r="AF870" s="53"/>
    </row>
    <row r="871">
      <c r="G871" s="55"/>
      <c r="H871" s="54"/>
      <c r="I871" s="54"/>
      <c r="J871" s="54"/>
      <c r="K871" s="54"/>
      <c r="L871" s="54"/>
      <c r="M871" s="54"/>
      <c r="N871" s="59"/>
      <c r="O871" s="61"/>
      <c r="P871" s="61"/>
      <c r="Q871" s="61"/>
      <c r="R871" s="50"/>
      <c r="S871" s="50"/>
      <c r="T871" s="61"/>
      <c r="U871" s="61"/>
      <c r="V871" s="61"/>
      <c r="W871" s="61"/>
      <c r="X871" s="61"/>
      <c r="Y871" s="61"/>
      <c r="Z871" s="52"/>
      <c r="AA871" s="52"/>
      <c r="AB871" s="52"/>
      <c r="AC871" s="52"/>
      <c r="AD871" s="53"/>
      <c r="AE871" s="53"/>
      <c r="AF871" s="53"/>
    </row>
    <row r="872">
      <c r="G872" s="55"/>
      <c r="H872" s="54"/>
      <c r="I872" s="54"/>
      <c r="J872" s="54"/>
      <c r="K872" s="54"/>
      <c r="L872" s="54"/>
      <c r="M872" s="54"/>
      <c r="N872" s="59"/>
      <c r="O872" s="61"/>
      <c r="P872" s="61"/>
      <c r="Q872" s="61"/>
      <c r="R872" s="50"/>
      <c r="S872" s="50"/>
      <c r="T872" s="61"/>
      <c r="U872" s="61"/>
      <c r="V872" s="61"/>
      <c r="W872" s="61"/>
      <c r="X872" s="61"/>
      <c r="Y872" s="61"/>
      <c r="Z872" s="52"/>
      <c r="AA872" s="52"/>
      <c r="AB872" s="52"/>
      <c r="AC872" s="52"/>
      <c r="AD872" s="53"/>
      <c r="AE872" s="53"/>
      <c r="AF872" s="53"/>
    </row>
    <row r="873">
      <c r="G873" s="55"/>
      <c r="H873" s="54"/>
      <c r="I873" s="54"/>
      <c r="J873" s="54"/>
      <c r="K873" s="54"/>
      <c r="L873" s="54"/>
      <c r="M873" s="54"/>
      <c r="N873" s="59"/>
      <c r="O873" s="61"/>
      <c r="P873" s="61"/>
      <c r="Q873" s="61"/>
      <c r="R873" s="50"/>
      <c r="S873" s="50"/>
      <c r="T873" s="61"/>
      <c r="U873" s="61"/>
      <c r="V873" s="61"/>
      <c r="W873" s="61"/>
      <c r="X873" s="61"/>
      <c r="Y873" s="61"/>
      <c r="Z873" s="52"/>
      <c r="AA873" s="52"/>
      <c r="AB873" s="52"/>
      <c r="AC873" s="52"/>
      <c r="AD873" s="53"/>
      <c r="AE873" s="53"/>
      <c r="AF873" s="53"/>
    </row>
    <row r="874">
      <c r="G874" s="55"/>
      <c r="H874" s="54"/>
      <c r="I874" s="54"/>
      <c r="J874" s="54"/>
      <c r="K874" s="54"/>
      <c r="L874" s="54"/>
      <c r="M874" s="54"/>
      <c r="N874" s="59"/>
      <c r="O874" s="61"/>
      <c r="P874" s="61"/>
      <c r="Q874" s="61"/>
      <c r="R874" s="50"/>
      <c r="S874" s="50"/>
      <c r="T874" s="61"/>
      <c r="U874" s="61"/>
      <c r="V874" s="61"/>
      <c r="W874" s="61"/>
      <c r="X874" s="61"/>
      <c r="Y874" s="61"/>
      <c r="Z874" s="52"/>
      <c r="AA874" s="52"/>
      <c r="AB874" s="52"/>
      <c r="AC874" s="52"/>
      <c r="AD874" s="53"/>
      <c r="AE874" s="53"/>
      <c r="AF874" s="53"/>
    </row>
    <row r="875">
      <c r="G875" s="55"/>
      <c r="H875" s="54"/>
      <c r="I875" s="54"/>
      <c r="J875" s="54"/>
      <c r="K875" s="54"/>
      <c r="L875" s="54"/>
      <c r="M875" s="54"/>
      <c r="N875" s="59"/>
      <c r="O875" s="61"/>
      <c r="P875" s="61"/>
      <c r="Q875" s="61"/>
      <c r="R875" s="50"/>
      <c r="S875" s="50"/>
      <c r="T875" s="61"/>
      <c r="U875" s="61"/>
      <c r="V875" s="61"/>
      <c r="W875" s="61"/>
      <c r="X875" s="61"/>
      <c r="Y875" s="61"/>
      <c r="Z875" s="52"/>
      <c r="AA875" s="52"/>
      <c r="AB875" s="52"/>
      <c r="AC875" s="52"/>
      <c r="AD875" s="53"/>
      <c r="AE875" s="53"/>
      <c r="AF875" s="53"/>
    </row>
    <row r="876">
      <c r="G876" s="55"/>
      <c r="H876" s="54"/>
      <c r="I876" s="54"/>
      <c r="J876" s="54"/>
      <c r="K876" s="54"/>
      <c r="L876" s="54"/>
      <c r="M876" s="54"/>
      <c r="N876" s="59"/>
      <c r="O876" s="61"/>
      <c r="P876" s="61"/>
      <c r="Q876" s="61"/>
      <c r="R876" s="50"/>
      <c r="S876" s="50"/>
      <c r="T876" s="61"/>
      <c r="U876" s="61"/>
      <c r="V876" s="61"/>
      <c r="W876" s="61"/>
      <c r="X876" s="61"/>
      <c r="Y876" s="61"/>
      <c r="Z876" s="52"/>
      <c r="AA876" s="52"/>
      <c r="AB876" s="52"/>
      <c r="AC876" s="52"/>
      <c r="AD876" s="53"/>
      <c r="AE876" s="53"/>
      <c r="AF876" s="53"/>
    </row>
    <row r="877">
      <c r="G877" s="55"/>
      <c r="H877" s="54"/>
      <c r="I877" s="54"/>
      <c r="J877" s="54"/>
      <c r="K877" s="54"/>
      <c r="L877" s="54"/>
      <c r="M877" s="54"/>
      <c r="N877" s="59"/>
      <c r="O877" s="61"/>
      <c r="P877" s="61"/>
      <c r="Q877" s="61"/>
      <c r="R877" s="50"/>
      <c r="S877" s="50"/>
      <c r="T877" s="61"/>
      <c r="U877" s="61"/>
      <c r="V877" s="61"/>
      <c r="W877" s="61"/>
      <c r="X877" s="61"/>
      <c r="Y877" s="61"/>
      <c r="Z877" s="52"/>
      <c r="AA877" s="52"/>
      <c r="AB877" s="52"/>
      <c r="AC877" s="52"/>
      <c r="AD877" s="53"/>
      <c r="AE877" s="53"/>
      <c r="AF877" s="53"/>
    </row>
    <row r="878">
      <c r="G878" s="55"/>
      <c r="H878" s="54"/>
      <c r="I878" s="54"/>
      <c r="J878" s="54"/>
      <c r="K878" s="54"/>
      <c r="L878" s="54"/>
      <c r="M878" s="54"/>
      <c r="N878" s="59"/>
      <c r="O878" s="61"/>
      <c r="P878" s="61"/>
      <c r="Q878" s="61"/>
      <c r="R878" s="50"/>
      <c r="S878" s="50"/>
      <c r="T878" s="61"/>
      <c r="U878" s="61"/>
      <c r="V878" s="61"/>
      <c r="W878" s="61"/>
      <c r="X878" s="61"/>
      <c r="Y878" s="61"/>
      <c r="Z878" s="52"/>
      <c r="AA878" s="52"/>
      <c r="AB878" s="52"/>
      <c r="AC878" s="52"/>
      <c r="AD878" s="53"/>
      <c r="AE878" s="53"/>
      <c r="AF878" s="53"/>
    </row>
    <row r="879">
      <c r="G879" s="55"/>
      <c r="H879" s="54"/>
      <c r="I879" s="54"/>
      <c r="J879" s="54"/>
      <c r="K879" s="54"/>
      <c r="L879" s="54"/>
      <c r="M879" s="54"/>
      <c r="N879" s="59"/>
      <c r="O879" s="61"/>
      <c r="P879" s="61"/>
      <c r="Q879" s="61"/>
      <c r="R879" s="50"/>
      <c r="S879" s="50"/>
      <c r="T879" s="61"/>
      <c r="U879" s="61"/>
      <c r="V879" s="61"/>
      <c r="W879" s="61"/>
      <c r="X879" s="61"/>
      <c r="Y879" s="61"/>
      <c r="Z879" s="52"/>
      <c r="AA879" s="52"/>
      <c r="AB879" s="52"/>
      <c r="AC879" s="52"/>
      <c r="AD879" s="53"/>
      <c r="AE879" s="53"/>
      <c r="AF879" s="53"/>
    </row>
    <row r="880">
      <c r="G880" s="55"/>
      <c r="H880" s="54"/>
      <c r="I880" s="54"/>
      <c r="J880" s="54"/>
      <c r="K880" s="54"/>
      <c r="L880" s="54"/>
      <c r="M880" s="54"/>
      <c r="N880" s="59"/>
      <c r="O880" s="61"/>
      <c r="P880" s="61"/>
      <c r="Q880" s="61"/>
      <c r="R880" s="50"/>
      <c r="S880" s="50"/>
      <c r="T880" s="61"/>
      <c r="U880" s="61"/>
      <c r="V880" s="61"/>
      <c r="W880" s="61"/>
      <c r="X880" s="61"/>
      <c r="Y880" s="61"/>
      <c r="Z880" s="52"/>
      <c r="AA880" s="52"/>
      <c r="AB880" s="52"/>
      <c r="AC880" s="52"/>
      <c r="AD880" s="53"/>
      <c r="AE880" s="53"/>
      <c r="AF880" s="53"/>
    </row>
    <row r="881">
      <c r="G881" s="55"/>
      <c r="H881" s="54"/>
      <c r="I881" s="54"/>
      <c r="J881" s="54"/>
      <c r="K881" s="54"/>
      <c r="L881" s="54"/>
      <c r="M881" s="54"/>
      <c r="N881" s="59"/>
      <c r="O881" s="61"/>
      <c r="P881" s="61"/>
      <c r="Q881" s="61"/>
      <c r="R881" s="50"/>
      <c r="S881" s="50"/>
      <c r="T881" s="61"/>
      <c r="U881" s="61"/>
      <c r="V881" s="61"/>
      <c r="W881" s="61"/>
      <c r="X881" s="61"/>
      <c r="Y881" s="61"/>
      <c r="Z881" s="52"/>
      <c r="AA881" s="52"/>
      <c r="AB881" s="52"/>
      <c r="AC881" s="52"/>
      <c r="AD881" s="53"/>
      <c r="AE881" s="53"/>
      <c r="AF881" s="53"/>
    </row>
    <row r="882">
      <c r="G882" s="55"/>
      <c r="H882" s="54"/>
      <c r="I882" s="54"/>
      <c r="J882" s="54"/>
      <c r="K882" s="54"/>
      <c r="L882" s="54"/>
      <c r="M882" s="54"/>
      <c r="N882" s="59"/>
      <c r="O882" s="61"/>
      <c r="P882" s="61"/>
      <c r="Q882" s="61"/>
      <c r="R882" s="50"/>
      <c r="S882" s="50"/>
      <c r="T882" s="61"/>
      <c r="U882" s="61"/>
      <c r="V882" s="61"/>
      <c r="W882" s="61"/>
      <c r="X882" s="61"/>
      <c r="Y882" s="61"/>
      <c r="Z882" s="52"/>
      <c r="AA882" s="52"/>
      <c r="AB882" s="52"/>
      <c r="AC882" s="52"/>
      <c r="AD882" s="53"/>
      <c r="AE882" s="53"/>
      <c r="AF882" s="53"/>
    </row>
    <row r="883">
      <c r="G883" s="55"/>
      <c r="H883" s="54"/>
      <c r="I883" s="54"/>
      <c r="J883" s="54"/>
      <c r="K883" s="54"/>
      <c r="L883" s="54"/>
      <c r="M883" s="54"/>
      <c r="N883" s="59"/>
      <c r="O883" s="61"/>
      <c r="P883" s="61"/>
      <c r="Q883" s="61"/>
      <c r="R883" s="50"/>
      <c r="S883" s="50"/>
      <c r="T883" s="61"/>
      <c r="U883" s="61"/>
      <c r="V883" s="61"/>
      <c r="W883" s="61"/>
      <c r="X883" s="61"/>
      <c r="Y883" s="61"/>
      <c r="Z883" s="52"/>
      <c r="AA883" s="52"/>
      <c r="AB883" s="52"/>
      <c r="AC883" s="52"/>
      <c r="AD883" s="53"/>
      <c r="AE883" s="53"/>
      <c r="AF883" s="53"/>
    </row>
    <row r="884">
      <c r="G884" s="55"/>
      <c r="H884" s="54"/>
      <c r="I884" s="54"/>
      <c r="J884" s="54"/>
      <c r="K884" s="54"/>
      <c r="L884" s="54"/>
      <c r="M884" s="54"/>
      <c r="N884" s="59"/>
      <c r="O884" s="61"/>
      <c r="P884" s="61"/>
      <c r="Q884" s="61"/>
      <c r="R884" s="50"/>
      <c r="S884" s="50"/>
      <c r="T884" s="61"/>
      <c r="U884" s="61"/>
      <c r="V884" s="61"/>
      <c r="W884" s="61"/>
      <c r="X884" s="61"/>
      <c r="Y884" s="61"/>
      <c r="Z884" s="52"/>
      <c r="AA884" s="52"/>
      <c r="AB884" s="52"/>
      <c r="AC884" s="52"/>
      <c r="AD884" s="53"/>
      <c r="AE884" s="53"/>
      <c r="AF884" s="53"/>
    </row>
    <row r="885">
      <c r="G885" s="55"/>
      <c r="H885" s="54"/>
      <c r="I885" s="54"/>
      <c r="J885" s="54"/>
      <c r="K885" s="54"/>
      <c r="L885" s="54"/>
      <c r="M885" s="54"/>
      <c r="N885" s="59"/>
      <c r="O885" s="61"/>
      <c r="P885" s="61"/>
      <c r="Q885" s="61"/>
      <c r="R885" s="50"/>
      <c r="S885" s="50"/>
      <c r="T885" s="61"/>
      <c r="U885" s="61"/>
      <c r="V885" s="61"/>
      <c r="W885" s="61"/>
      <c r="X885" s="61"/>
      <c r="Y885" s="61"/>
      <c r="Z885" s="52"/>
      <c r="AA885" s="52"/>
      <c r="AB885" s="52"/>
      <c r="AC885" s="52"/>
      <c r="AD885" s="53"/>
      <c r="AE885" s="53"/>
      <c r="AF885" s="53"/>
    </row>
    <row r="886">
      <c r="G886" s="55"/>
      <c r="H886" s="54"/>
      <c r="I886" s="54"/>
      <c r="J886" s="54"/>
      <c r="K886" s="54"/>
      <c r="L886" s="54"/>
      <c r="M886" s="54"/>
      <c r="N886" s="59"/>
      <c r="O886" s="61"/>
      <c r="P886" s="61"/>
      <c r="Q886" s="61"/>
      <c r="R886" s="50"/>
      <c r="S886" s="50"/>
      <c r="T886" s="61"/>
      <c r="U886" s="61"/>
      <c r="V886" s="61"/>
      <c r="W886" s="61"/>
      <c r="X886" s="61"/>
      <c r="Y886" s="61"/>
      <c r="Z886" s="52"/>
      <c r="AA886" s="52"/>
      <c r="AB886" s="52"/>
      <c r="AC886" s="52"/>
      <c r="AD886" s="53"/>
      <c r="AE886" s="53"/>
      <c r="AF886" s="53"/>
    </row>
    <row r="887">
      <c r="G887" s="55"/>
      <c r="H887" s="54"/>
      <c r="I887" s="54"/>
      <c r="J887" s="54"/>
      <c r="K887" s="54"/>
      <c r="L887" s="54"/>
      <c r="M887" s="54"/>
      <c r="N887" s="59"/>
      <c r="O887" s="61"/>
      <c r="P887" s="61"/>
      <c r="Q887" s="61"/>
      <c r="R887" s="50"/>
      <c r="S887" s="50"/>
      <c r="T887" s="61"/>
      <c r="U887" s="61"/>
      <c r="V887" s="61"/>
      <c r="W887" s="61"/>
      <c r="X887" s="61"/>
      <c r="Y887" s="61"/>
      <c r="Z887" s="52"/>
      <c r="AA887" s="52"/>
      <c r="AB887" s="52"/>
      <c r="AC887" s="52"/>
      <c r="AD887" s="53"/>
      <c r="AE887" s="53"/>
      <c r="AF887" s="53"/>
    </row>
    <row r="888">
      <c r="G888" s="55"/>
      <c r="H888" s="54"/>
      <c r="I888" s="54"/>
      <c r="J888" s="54"/>
      <c r="K888" s="54"/>
      <c r="L888" s="54"/>
      <c r="M888" s="54"/>
      <c r="N888" s="59"/>
      <c r="O888" s="61"/>
      <c r="P888" s="61"/>
      <c r="Q888" s="61"/>
      <c r="R888" s="50"/>
      <c r="S888" s="50"/>
      <c r="T888" s="61"/>
      <c r="U888" s="61"/>
      <c r="V888" s="61"/>
      <c r="W888" s="61"/>
      <c r="X888" s="61"/>
      <c r="Y888" s="61"/>
      <c r="Z888" s="52"/>
      <c r="AA888" s="52"/>
      <c r="AB888" s="52"/>
      <c r="AC888" s="52"/>
      <c r="AD888" s="53"/>
      <c r="AE888" s="53"/>
      <c r="AF888" s="53"/>
    </row>
    <row r="889">
      <c r="G889" s="55"/>
      <c r="H889" s="54"/>
      <c r="I889" s="54"/>
      <c r="J889" s="54"/>
      <c r="K889" s="54"/>
      <c r="L889" s="54"/>
      <c r="M889" s="54"/>
      <c r="N889" s="59"/>
      <c r="O889" s="61"/>
      <c r="P889" s="61"/>
      <c r="Q889" s="61"/>
      <c r="R889" s="50"/>
      <c r="S889" s="50"/>
      <c r="T889" s="61"/>
      <c r="U889" s="61"/>
      <c r="V889" s="61"/>
      <c r="W889" s="61"/>
      <c r="X889" s="61"/>
      <c r="Y889" s="61"/>
      <c r="Z889" s="52"/>
      <c r="AA889" s="52"/>
      <c r="AB889" s="52"/>
      <c r="AC889" s="52"/>
      <c r="AD889" s="53"/>
      <c r="AE889" s="53"/>
      <c r="AF889" s="53"/>
    </row>
    <row r="890">
      <c r="G890" s="55"/>
      <c r="H890" s="54"/>
      <c r="I890" s="54"/>
      <c r="J890" s="54"/>
      <c r="K890" s="54"/>
      <c r="L890" s="54"/>
      <c r="M890" s="54"/>
      <c r="N890" s="59"/>
      <c r="O890" s="61"/>
      <c r="P890" s="61"/>
      <c r="Q890" s="61"/>
      <c r="R890" s="50"/>
      <c r="S890" s="50"/>
      <c r="T890" s="61"/>
      <c r="U890" s="61"/>
      <c r="V890" s="61"/>
      <c r="W890" s="61"/>
      <c r="X890" s="61"/>
      <c r="Y890" s="61"/>
      <c r="Z890" s="52"/>
      <c r="AA890" s="52"/>
      <c r="AB890" s="52"/>
      <c r="AC890" s="52"/>
      <c r="AD890" s="53"/>
      <c r="AE890" s="53"/>
      <c r="AF890" s="53"/>
    </row>
    <row r="891">
      <c r="G891" s="55"/>
      <c r="H891" s="54"/>
      <c r="I891" s="54"/>
      <c r="J891" s="54"/>
      <c r="K891" s="54"/>
      <c r="L891" s="54"/>
      <c r="M891" s="54"/>
      <c r="N891" s="59"/>
      <c r="O891" s="61"/>
      <c r="P891" s="61"/>
      <c r="Q891" s="61"/>
      <c r="R891" s="50"/>
      <c r="S891" s="50"/>
      <c r="T891" s="61"/>
      <c r="U891" s="61"/>
      <c r="V891" s="61"/>
      <c r="W891" s="61"/>
      <c r="X891" s="61"/>
      <c r="Y891" s="61"/>
      <c r="Z891" s="52"/>
      <c r="AA891" s="52"/>
      <c r="AB891" s="52"/>
      <c r="AC891" s="52"/>
      <c r="AD891" s="53"/>
      <c r="AE891" s="53"/>
      <c r="AF891" s="53"/>
    </row>
    <row r="892">
      <c r="G892" s="55"/>
      <c r="H892" s="54"/>
      <c r="I892" s="54"/>
      <c r="J892" s="54"/>
      <c r="K892" s="54"/>
      <c r="L892" s="54"/>
      <c r="M892" s="54"/>
      <c r="N892" s="59"/>
      <c r="O892" s="61"/>
      <c r="P892" s="61"/>
      <c r="Q892" s="61"/>
      <c r="R892" s="50"/>
      <c r="S892" s="50"/>
      <c r="T892" s="61"/>
      <c r="U892" s="61"/>
      <c r="V892" s="61"/>
      <c r="W892" s="61"/>
      <c r="X892" s="61"/>
      <c r="Y892" s="61"/>
      <c r="Z892" s="52"/>
      <c r="AA892" s="52"/>
      <c r="AB892" s="52"/>
      <c r="AC892" s="52"/>
      <c r="AD892" s="53"/>
      <c r="AE892" s="53"/>
      <c r="AF892" s="53"/>
    </row>
    <row r="893">
      <c r="G893" s="55"/>
      <c r="H893" s="54"/>
      <c r="I893" s="54"/>
      <c r="J893" s="54"/>
      <c r="K893" s="54"/>
      <c r="L893" s="54"/>
      <c r="M893" s="54"/>
      <c r="N893" s="59"/>
      <c r="O893" s="61"/>
      <c r="P893" s="61"/>
      <c r="Q893" s="61"/>
      <c r="R893" s="50"/>
      <c r="S893" s="50"/>
      <c r="T893" s="61"/>
      <c r="U893" s="61"/>
      <c r="V893" s="61"/>
      <c r="W893" s="61"/>
      <c r="X893" s="61"/>
      <c r="Y893" s="61"/>
      <c r="Z893" s="52"/>
      <c r="AA893" s="52"/>
      <c r="AB893" s="52"/>
      <c r="AC893" s="52"/>
      <c r="AD893" s="53"/>
      <c r="AE893" s="53"/>
      <c r="AF893" s="53"/>
    </row>
    <row r="894">
      <c r="G894" s="55"/>
      <c r="H894" s="54"/>
      <c r="I894" s="54"/>
      <c r="J894" s="54"/>
      <c r="K894" s="54"/>
      <c r="L894" s="54"/>
      <c r="M894" s="54"/>
      <c r="N894" s="59"/>
      <c r="O894" s="61"/>
      <c r="P894" s="61"/>
      <c r="Q894" s="61"/>
      <c r="R894" s="50"/>
      <c r="S894" s="50"/>
      <c r="T894" s="61"/>
      <c r="U894" s="61"/>
      <c r="V894" s="61"/>
      <c r="W894" s="61"/>
      <c r="X894" s="61"/>
      <c r="Y894" s="61"/>
      <c r="Z894" s="52"/>
      <c r="AA894" s="52"/>
      <c r="AB894" s="52"/>
      <c r="AC894" s="52"/>
      <c r="AD894" s="53"/>
      <c r="AE894" s="53"/>
      <c r="AF894" s="53"/>
    </row>
    <row r="895">
      <c r="G895" s="55"/>
      <c r="H895" s="54"/>
      <c r="I895" s="54"/>
      <c r="J895" s="54"/>
      <c r="K895" s="54"/>
      <c r="L895" s="54"/>
      <c r="M895" s="54"/>
      <c r="N895" s="59"/>
      <c r="O895" s="61"/>
      <c r="P895" s="61"/>
      <c r="Q895" s="61"/>
      <c r="R895" s="50"/>
      <c r="S895" s="50"/>
      <c r="T895" s="61"/>
      <c r="U895" s="61"/>
      <c r="V895" s="61"/>
      <c r="W895" s="61"/>
      <c r="X895" s="61"/>
      <c r="Y895" s="61"/>
      <c r="Z895" s="52"/>
      <c r="AA895" s="52"/>
      <c r="AB895" s="52"/>
      <c r="AC895" s="52"/>
      <c r="AD895" s="53"/>
      <c r="AE895" s="53"/>
      <c r="AF895" s="53"/>
    </row>
    <row r="896">
      <c r="G896" s="55"/>
      <c r="H896" s="54"/>
      <c r="I896" s="54"/>
      <c r="J896" s="54"/>
      <c r="K896" s="54"/>
      <c r="L896" s="54"/>
      <c r="M896" s="54"/>
      <c r="N896" s="59"/>
      <c r="O896" s="61"/>
      <c r="P896" s="61"/>
      <c r="Q896" s="61"/>
      <c r="R896" s="50"/>
      <c r="S896" s="50"/>
      <c r="T896" s="61"/>
      <c r="U896" s="61"/>
      <c r="V896" s="61"/>
      <c r="W896" s="61"/>
      <c r="X896" s="61"/>
      <c r="Y896" s="61"/>
      <c r="Z896" s="52"/>
      <c r="AA896" s="52"/>
      <c r="AB896" s="52"/>
      <c r="AC896" s="52"/>
      <c r="AD896" s="53"/>
      <c r="AE896" s="53"/>
      <c r="AF896" s="53"/>
    </row>
    <row r="897">
      <c r="G897" s="55"/>
      <c r="H897" s="54"/>
      <c r="I897" s="54"/>
      <c r="J897" s="54"/>
      <c r="K897" s="54"/>
      <c r="L897" s="54"/>
      <c r="M897" s="54"/>
      <c r="N897" s="59"/>
      <c r="O897" s="61"/>
      <c r="P897" s="61"/>
      <c r="Q897" s="61"/>
      <c r="R897" s="50"/>
      <c r="S897" s="50"/>
      <c r="T897" s="61"/>
      <c r="U897" s="61"/>
      <c r="V897" s="61"/>
      <c r="W897" s="61"/>
      <c r="X897" s="61"/>
      <c r="Y897" s="61"/>
      <c r="Z897" s="52"/>
      <c r="AA897" s="52"/>
      <c r="AB897" s="52"/>
      <c r="AC897" s="52"/>
      <c r="AD897" s="53"/>
      <c r="AE897" s="53"/>
      <c r="AF897" s="53"/>
    </row>
    <row r="898">
      <c r="G898" s="55"/>
      <c r="H898" s="54"/>
      <c r="I898" s="54"/>
      <c r="J898" s="54"/>
      <c r="K898" s="54"/>
      <c r="L898" s="54"/>
      <c r="M898" s="54"/>
      <c r="N898" s="59"/>
      <c r="O898" s="61"/>
      <c r="P898" s="61"/>
      <c r="Q898" s="61"/>
      <c r="R898" s="50"/>
      <c r="S898" s="50"/>
      <c r="T898" s="61"/>
      <c r="U898" s="61"/>
      <c r="V898" s="61"/>
      <c r="W898" s="61"/>
      <c r="X898" s="61"/>
      <c r="Y898" s="61"/>
      <c r="Z898" s="52"/>
      <c r="AA898" s="52"/>
      <c r="AB898" s="52"/>
      <c r="AC898" s="52"/>
      <c r="AD898" s="53"/>
      <c r="AE898" s="53"/>
      <c r="AF898" s="53"/>
    </row>
    <row r="899">
      <c r="G899" s="55"/>
      <c r="H899" s="54"/>
      <c r="I899" s="54"/>
      <c r="J899" s="54"/>
      <c r="K899" s="54"/>
      <c r="L899" s="54"/>
      <c r="M899" s="54"/>
      <c r="N899" s="59"/>
      <c r="O899" s="61"/>
      <c r="P899" s="61"/>
      <c r="Q899" s="61"/>
      <c r="R899" s="50"/>
      <c r="S899" s="50"/>
      <c r="T899" s="61"/>
      <c r="U899" s="61"/>
      <c r="V899" s="61"/>
      <c r="W899" s="61"/>
      <c r="X899" s="61"/>
      <c r="Y899" s="61"/>
      <c r="Z899" s="52"/>
      <c r="AA899" s="52"/>
      <c r="AB899" s="52"/>
      <c r="AC899" s="52"/>
      <c r="AD899" s="53"/>
      <c r="AE899" s="53"/>
      <c r="AF899" s="53"/>
    </row>
    <row r="900">
      <c r="G900" s="55"/>
      <c r="H900" s="54"/>
      <c r="I900" s="54"/>
      <c r="J900" s="54"/>
      <c r="K900" s="54"/>
      <c r="L900" s="54"/>
      <c r="M900" s="54"/>
      <c r="N900" s="59"/>
      <c r="O900" s="61"/>
      <c r="P900" s="61"/>
      <c r="Q900" s="61"/>
      <c r="R900" s="50"/>
      <c r="S900" s="50"/>
      <c r="T900" s="61"/>
      <c r="U900" s="61"/>
      <c r="V900" s="61"/>
      <c r="W900" s="61"/>
      <c r="X900" s="61"/>
      <c r="Y900" s="61"/>
      <c r="Z900" s="52"/>
      <c r="AA900" s="52"/>
      <c r="AB900" s="52"/>
      <c r="AC900" s="52"/>
      <c r="AD900" s="53"/>
      <c r="AE900" s="53"/>
      <c r="AF900" s="53"/>
    </row>
    <row r="901">
      <c r="G901" s="55"/>
      <c r="H901" s="54"/>
      <c r="I901" s="54"/>
      <c r="J901" s="54"/>
      <c r="K901" s="54"/>
      <c r="L901" s="54"/>
      <c r="M901" s="54"/>
      <c r="N901" s="59"/>
      <c r="O901" s="61"/>
      <c r="P901" s="61"/>
      <c r="Q901" s="61"/>
      <c r="R901" s="50"/>
      <c r="S901" s="50"/>
      <c r="T901" s="61"/>
      <c r="U901" s="61"/>
      <c r="V901" s="61"/>
      <c r="W901" s="61"/>
      <c r="X901" s="61"/>
      <c r="Y901" s="61"/>
      <c r="Z901" s="52"/>
      <c r="AA901" s="52"/>
      <c r="AB901" s="52"/>
      <c r="AC901" s="52"/>
      <c r="AD901" s="53"/>
      <c r="AE901" s="53"/>
      <c r="AF901" s="53"/>
    </row>
    <row r="902">
      <c r="G902" s="55"/>
      <c r="H902" s="54"/>
      <c r="I902" s="54"/>
      <c r="J902" s="54"/>
      <c r="K902" s="54"/>
      <c r="L902" s="54"/>
      <c r="M902" s="54"/>
      <c r="N902" s="59"/>
      <c r="O902" s="61"/>
      <c r="P902" s="61"/>
      <c r="Q902" s="61"/>
      <c r="R902" s="50"/>
      <c r="S902" s="50"/>
      <c r="T902" s="61"/>
      <c r="U902" s="61"/>
      <c r="V902" s="61"/>
      <c r="W902" s="61"/>
      <c r="X902" s="61"/>
      <c r="Y902" s="61"/>
      <c r="Z902" s="52"/>
      <c r="AA902" s="52"/>
      <c r="AB902" s="52"/>
      <c r="AC902" s="52"/>
      <c r="AD902" s="53"/>
      <c r="AE902" s="53"/>
      <c r="AF902" s="53"/>
    </row>
    <row r="903">
      <c r="G903" s="55"/>
      <c r="H903" s="54"/>
      <c r="I903" s="54"/>
      <c r="J903" s="54"/>
      <c r="K903" s="54"/>
      <c r="L903" s="54"/>
      <c r="M903" s="54"/>
      <c r="N903" s="59"/>
      <c r="O903" s="61"/>
      <c r="P903" s="61"/>
      <c r="Q903" s="61"/>
      <c r="R903" s="50"/>
      <c r="S903" s="50"/>
      <c r="T903" s="61"/>
      <c r="U903" s="61"/>
      <c r="V903" s="61"/>
      <c r="W903" s="61"/>
      <c r="X903" s="61"/>
      <c r="Y903" s="61"/>
      <c r="Z903" s="52"/>
      <c r="AA903" s="52"/>
      <c r="AB903" s="52"/>
      <c r="AC903" s="52"/>
      <c r="AD903" s="53"/>
      <c r="AE903" s="53"/>
      <c r="AF903" s="53"/>
    </row>
    <row r="904">
      <c r="G904" s="55"/>
      <c r="H904" s="54"/>
      <c r="I904" s="54"/>
      <c r="J904" s="54"/>
      <c r="K904" s="54"/>
      <c r="L904" s="54"/>
      <c r="M904" s="54"/>
      <c r="N904" s="59"/>
      <c r="O904" s="61"/>
      <c r="P904" s="61"/>
      <c r="Q904" s="61"/>
      <c r="R904" s="50"/>
      <c r="S904" s="50"/>
      <c r="T904" s="61"/>
      <c r="U904" s="61"/>
      <c r="V904" s="61"/>
      <c r="W904" s="61"/>
      <c r="X904" s="61"/>
      <c r="Y904" s="61"/>
      <c r="Z904" s="52"/>
      <c r="AA904" s="52"/>
      <c r="AB904" s="52"/>
      <c r="AC904" s="52"/>
      <c r="AD904" s="53"/>
      <c r="AE904" s="53"/>
      <c r="AF904" s="53"/>
    </row>
    <row r="905">
      <c r="G905" s="55"/>
      <c r="H905" s="54"/>
      <c r="I905" s="54"/>
      <c r="J905" s="54"/>
      <c r="K905" s="54"/>
      <c r="L905" s="54"/>
      <c r="M905" s="54"/>
      <c r="N905" s="59"/>
      <c r="O905" s="61"/>
      <c r="P905" s="61"/>
      <c r="Q905" s="61"/>
      <c r="R905" s="50"/>
      <c r="S905" s="50"/>
      <c r="T905" s="61"/>
      <c r="U905" s="61"/>
      <c r="V905" s="61"/>
      <c r="W905" s="61"/>
      <c r="X905" s="61"/>
      <c r="Y905" s="61"/>
      <c r="Z905" s="52"/>
      <c r="AA905" s="52"/>
      <c r="AB905" s="52"/>
      <c r="AC905" s="52"/>
      <c r="AD905" s="53"/>
      <c r="AE905" s="53"/>
      <c r="AF905" s="53"/>
    </row>
    <row r="906">
      <c r="G906" s="55"/>
      <c r="H906" s="54"/>
      <c r="I906" s="54"/>
      <c r="J906" s="54"/>
      <c r="K906" s="54"/>
      <c r="L906" s="54"/>
      <c r="M906" s="54"/>
      <c r="N906" s="59"/>
      <c r="O906" s="61"/>
      <c r="P906" s="61"/>
      <c r="Q906" s="61"/>
      <c r="R906" s="50"/>
      <c r="S906" s="50"/>
      <c r="T906" s="61"/>
      <c r="U906" s="61"/>
      <c r="V906" s="61"/>
      <c r="W906" s="61"/>
      <c r="X906" s="61"/>
      <c r="Y906" s="61"/>
      <c r="Z906" s="52"/>
      <c r="AA906" s="52"/>
      <c r="AB906" s="52"/>
      <c r="AC906" s="52"/>
      <c r="AD906" s="53"/>
      <c r="AE906" s="53"/>
      <c r="AF906" s="53"/>
    </row>
    <row r="907">
      <c r="G907" s="55"/>
      <c r="H907" s="54"/>
      <c r="I907" s="54"/>
      <c r="J907" s="54"/>
      <c r="K907" s="54"/>
      <c r="L907" s="54"/>
      <c r="M907" s="54"/>
      <c r="N907" s="59"/>
      <c r="O907" s="61"/>
      <c r="P907" s="61"/>
      <c r="Q907" s="61"/>
      <c r="R907" s="50"/>
      <c r="S907" s="50"/>
      <c r="T907" s="61"/>
      <c r="U907" s="61"/>
      <c r="V907" s="61"/>
      <c r="W907" s="61"/>
      <c r="X907" s="61"/>
      <c r="Y907" s="61"/>
      <c r="Z907" s="52"/>
      <c r="AA907" s="52"/>
      <c r="AB907" s="52"/>
      <c r="AC907" s="52"/>
      <c r="AD907" s="53"/>
      <c r="AE907" s="53"/>
      <c r="AF907" s="53"/>
    </row>
    <row r="908">
      <c r="G908" s="55"/>
      <c r="H908" s="54"/>
      <c r="I908" s="54"/>
      <c r="J908" s="54"/>
      <c r="K908" s="54"/>
      <c r="L908" s="54"/>
      <c r="M908" s="54"/>
      <c r="N908" s="59"/>
      <c r="O908" s="61"/>
      <c r="P908" s="61"/>
      <c r="Q908" s="61"/>
      <c r="R908" s="50"/>
      <c r="S908" s="50"/>
      <c r="T908" s="61"/>
      <c r="U908" s="61"/>
      <c r="V908" s="61"/>
      <c r="W908" s="61"/>
      <c r="X908" s="61"/>
      <c r="Y908" s="61"/>
      <c r="Z908" s="52"/>
      <c r="AA908" s="52"/>
      <c r="AB908" s="52"/>
      <c r="AC908" s="52"/>
      <c r="AD908" s="53"/>
      <c r="AE908" s="53"/>
      <c r="AF908" s="53"/>
    </row>
    <row r="909">
      <c r="G909" s="55"/>
      <c r="H909" s="54"/>
      <c r="I909" s="54"/>
      <c r="J909" s="54"/>
      <c r="K909" s="54"/>
      <c r="L909" s="54"/>
      <c r="M909" s="54"/>
      <c r="N909" s="59"/>
      <c r="O909" s="61"/>
      <c r="P909" s="61"/>
      <c r="Q909" s="61"/>
      <c r="R909" s="50"/>
      <c r="S909" s="50"/>
      <c r="T909" s="61"/>
      <c r="U909" s="61"/>
      <c r="V909" s="61"/>
      <c r="W909" s="61"/>
      <c r="X909" s="61"/>
      <c r="Y909" s="61"/>
      <c r="Z909" s="52"/>
      <c r="AA909" s="52"/>
      <c r="AB909" s="52"/>
      <c r="AC909" s="52"/>
      <c r="AD909" s="53"/>
      <c r="AE909" s="53"/>
      <c r="AF909" s="53"/>
    </row>
    <row r="910">
      <c r="G910" s="55"/>
      <c r="H910" s="54"/>
      <c r="I910" s="54"/>
      <c r="J910" s="54"/>
      <c r="K910" s="54"/>
      <c r="L910" s="54"/>
      <c r="M910" s="54"/>
      <c r="N910" s="59"/>
      <c r="O910" s="61"/>
      <c r="P910" s="61"/>
      <c r="Q910" s="61"/>
      <c r="R910" s="50"/>
      <c r="S910" s="50"/>
      <c r="T910" s="61"/>
      <c r="U910" s="61"/>
      <c r="V910" s="61"/>
      <c r="W910" s="61"/>
      <c r="X910" s="61"/>
      <c r="Y910" s="61"/>
      <c r="Z910" s="52"/>
      <c r="AA910" s="52"/>
      <c r="AB910" s="52"/>
      <c r="AC910" s="52"/>
      <c r="AD910" s="53"/>
      <c r="AE910" s="53"/>
      <c r="AF910" s="53"/>
    </row>
    <row r="911">
      <c r="G911" s="55"/>
      <c r="H911" s="54"/>
      <c r="I911" s="54"/>
      <c r="J911" s="54"/>
      <c r="K911" s="54"/>
      <c r="L911" s="54"/>
      <c r="M911" s="54"/>
      <c r="N911" s="59"/>
      <c r="O911" s="61"/>
      <c r="P911" s="61"/>
      <c r="Q911" s="61"/>
      <c r="R911" s="50"/>
      <c r="S911" s="50"/>
      <c r="T911" s="61"/>
      <c r="U911" s="61"/>
      <c r="V911" s="61"/>
      <c r="W911" s="61"/>
      <c r="X911" s="61"/>
      <c r="Y911" s="61"/>
      <c r="Z911" s="52"/>
      <c r="AA911" s="52"/>
      <c r="AB911" s="52"/>
      <c r="AC911" s="52"/>
      <c r="AD911" s="53"/>
      <c r="AE911" s="53"/>
      <c r="AF911" s="53"/>
    </row>
    <row r="912">
      <c r="G912" s="55"/>
      <c r="H912" s="54"/>
      <c r="I912" s="54"/>
      <c r="J912" s="54"/>
      <c r="K912" s="54"/>
      <c r="L912" s="54"/>
      <c r="M912" s="54"/>
      <c r="N912" s="59"/>
      <c r="O912" s="61"/>
      <c r="P912" s="61"/>
      <c r="Q912" s="61"/>
      <c r="R912" s="50"/>
      <c r="S912" s="50"/>
      <c r="T912" s="61"/>
      <c r="U912" s="61"/>
      <c r="V912" s="61"/>
      <c r="W912" s="61"/>
      <c r="X912" s="61"/>
      <c r="Y912" s="61"/>
      <c r="Z912" s="52"/>
      <c r="AA912" s="52"/>
      <c r="AB912" s="52"/>
      <c r="AC912" s="52"/>
      <c r="AD912" s="53"/>
      <c r="AE912" s="53"/>
      <c r="AF912" s="53"/>
    </row>
    <row r="913">
      <c r="G913" s="55"/>
      <c r="H913" s="54"/>
      <c r="I913" s="54"/>
      <c r="J913" s="54"/>
      <c r="K913" s="54"/>
      <c r="L913" s="54"/>
      <c r="M913" s="54"/>
      <c r="N913" s="59"/>
      <c r="O913" s="61"/>
      <c r="P913" s="61"/>
      <c r="Q913" s="61"/>
      <c r="R913" s="50"/>
      <c r="S913" s="50"/>
      <c r="T913" s="61"/>
      <c r="U913" s="61"/>
      <c r="V913" s="61"/>
      <c r="W913" s="61"/>
      <c r="X913" s="61"/>
      <c r="Y913" s="61"/>
      <c r="Z913" s="52"/>
      <c r="AA913" s="52"/>
      <c r="AB913" s="52"/>
      <c r="AC913" s="52"/>
      <c r="AD913" s="53"/>
      <c r="AE913" s="53"/>
      <c r="AF913" s="53"/>
    </row>
    <row r="914">
      <c r="G914" s="55"/>
      <c r="H914" s="54"/>
      <c r="I914" s="54"/>
      <c r="J914" s="54"/>
      <c r="K914" s="54"/>
      <c r="L914" s="54"/>
      <c r="M914" s="54"/>
      <c r="N914" s="59"/>
      <c r="O914" s="61"/>
      <c r="P914" s="61"/>
      <c r="Q914" s="61"/>
      <c r="R914" s="50"/>
      <c r="S914" s="50"/>
      <c r="T914" s="61"/>
      <c r="U914" s="61"/>
      <c r="V914" s="61"/>
      <c r="W914" s="61"/>
      <c r="X914" s="61"/>
      <c r="Y914" s="61"/>
      <c r="Z914" s="52"/>
      <c r="AA914" s="52"/>
      <c r="AB914" s="52"/>
      <c r="AC914" s="52"/>
      <c r="AD914" s="53"/>
      <c r="AE914" s="53"/>
      <c r="AF914" s="53"/>
    </row>
    <row r="915">
      <c r="G915" s="55"/>
      <c r="H915" s="54"/>
      <c r="I915" s="54"/>
      <c r="J915" s="54"/>
      <c r="K915" s="54"/>
      <c r="L915" s="54"/>
      <c r="M915" s="54"/>
      <c r="N915" s="59"/>
      <c r="O915" s="61"/>
      <c r="P915" s="61"/>
      <c r="Q915" s="61"/>
      <c r="R915" s="50"/>
      <c r="S915" s="50"/>
      <c r="T915" s="61"/>
      <c r="U915" s="61"/>
      <c r="V915" s="61"/>
      <c r="W915" s="61"/>
      <c r="X915" s="61"/>
      <c r="Y915" s="61"/>
      <c r="Z915" s="52"/>
      <c r="AA915" s="52"/>
      <c r="AB915" s="52"/>
      <c r="AC915" s="52"/>
      <c r="AD915" s="53"/>
      <c r="AE915" s="53"/>
      <c r="AF915" s="53"/>
    </row>
    <row r="916">
      <c r="G916" s="55"/>
      <c r="H916" s="54"/>
      <c r="I916" s="54"/>
      <c r="J916" s="54"/>
      <c r="K916" s="54"/>
      <c r="L916" s="54"/>
      <c r="M916" s="54"/>
      <c r="N916" s="59"/>
      <c r="O916" s="61"/>
      <c r="P916" s="61"/>
      <c r="Q916" s="61"/>
      <c r="R916" s="50"/>
      <c r="S916" s="50"/>
      <c r="T916" s="61"/>
      <c r="U916" s="61"/>
      <c r="V916" s="61"/>
      <c r="W916" s="61"/>
      <c r="X916" s="61"/>
      <c r="Y916" s="61"/>
      <c r="Z916" s="52"/>
      <c r="AA916" s="52"/>
      <c r="AB916" s="52"/>
      <c r="AC916" s="52"/>
      <c r="AD916" s="53"/>
      <c r="AE916" s="53"/>
      <c r="AF916" s="53"/>
    </row>
    <row r="917">
      <c r="G917" s="55"/>
      <c r="H917" s="54"/>
      <c r="I917" s="54"/>
      <c r="J917" s="54"/>
      <c r="K917" s="54"/>
      <c r="L917" s="54"/>
      <c r="M917" s="54"/>
      <c r="N917" s="59"/>
      <c r="O917" s="61"/>
      <c r="P917" s="61"/>
      <c r="Q917" s="61"/>
      <c r="R917" s="50"/>
      <c r="S917" s="50"/>
      <c r="T917" s="61"/>
      <c r="U917" s="61"/>
      <c r="V917" s="61"/>
      <c r="W917" s="61"/>
      <c r="X917" s="61"/>
      <c r="Y917" s="61"/>
      <c r="Z917" s="52"/>
      <c r="AA917" s="52"/>
      <c r="AB917" s="52"/>
      <c r="AC917" s="52"/>
      <c r="AD917" s="53"/>
      <c r="AE917" s="53"/>
      <c r="AF917" s="53"/>
    </row>
    <row r="918">
      <c r="G918" s="55"/>
      <c r="H918" s="54"/>
      <c r="I918" s="54"/>
      <c r="J918" s="54"/>
      <c r="K918" s="54"/>
      <c r="L918" s="54"/>
      <c r="M918" s="54"/>
      <c r="N918" s="59"/>
      <c r="O918" s="61"/>
      <c r="P918" s="61"/>
      <c r="Q918" s="61"/>
      <c r="R918" s="50"/>
      <c r="S918" s="50"/>
      <c r="T918" s="61"/>
      <c r="U918" s="61"/>
      <c r="V918" s="61"/>
      <c r="W918" s="61"/>
      <c r="X918" s="61"/>
      <c r="Y918" s="61"/>
      <c r="Z918" s="52"/>
      <c r="AA918" s="52"/>
      <c r="AB918" s="52"/>
      <c r="AC918" s="52"/>
      <c r="AD918" s="53"/>
      <c r="AE918" s="53"/>
      <c r="AF918" s="53"/>
    </row>
    <row r="919">
      <c r="G919" s="55"/>
      <c r="H919" s="54"/>
      <c r="I919" s="54"/>
      <c r="J919" s="54"/>
      <c r="K919" s="54"/>
      <c r="L919" s="54"/>
      <c r="M919" s="54"/>
      <c r="N919" s="59"/>
      <c r="O919" s="61"/>
      <c r="P919" s="61"/>
      <c r="Q919" s="61"/>
      <c r="R919" s="50"/>
      <c r="S919" s="50"/>
      <c r="T919" s="61"/>
      <c r="U919" s="61"/>
      <c r="V919" s="61"/>
      <c r="W919" s="61"/>
      <c r="X919" s="61"/>
      <c r="Y919" s="61"/>
      <c r="Z919" s="52"/>
      <c r="AA919" s="52"/>
      <c r="AB919" s="52"/>
      <c r="AC919" s="52"/>
      <c r="AD919" s="53"/>
      <c r="AE919" s="53"/>
      <c r="AF919" s="53"/>
    </row>
    <row r="920">
      <c r="G920" s="55"/>
      <c r="H920" s="54"/>
      <c r="I920" s="54"/>
      <c r="J920" s="54"/>
      <c r="K920" s="54"/>
      <c r="L920" s="54"/>
      <c r="M920" s="54"/>
      <c r="N920" s="59"/>
      <c r="O920" s="61"/>
      <c r="P920" s="61"/>
      <c r="Q920" s="61"/>
      <c r="R920" s="50"/>
      <c r="S920" s="50"/>
      <c r="T920" s="61"/>
      <c r="U920" s="61"/>
      <c r="V920" s="61"/>
      <c r="W920" s="61"/>
      <c r="X920" s="61"/>
      <c r="Y920" s="61"/>
      <c r="Z920" s="52"/>
      <c r="AA920" s="52"/>
      <c r="AB920" s="52"/>
      <c r="AC920" s="52"/>
      <c r="AD920" s="53"/>
      <c r="AE920" s="53"/>
      <c r="AF920" s="53"/>
    </row>
    <row r="921">
      <c r="G921" s="55"/>
      <c r="H921" s="54"/>
      <c r="I921" s="54"/>
      <c r="J921" s="54"/>
      <c r="K921" s="54"/>
      <c r="L921" s="54"/>
      <c r="M921" s="54"/>
      <c r="N921" s="59"/>
      <c r="O921" s="61"/>
      <c r="P921" s="61"/>
      <c r="Q921" s="61"/>
      <c r="R921" s="50"/>
      <c r="S921" s="50"/>
      <c r="T921" s="61"/>
      <c r="U921" s="61"/>
      <c r="V921" s="61"/>
      <c r="W921" s="61"/>
      <c r="X921" s="61"/>
      <c r="Y921" s="61"/>
      <c r="Z921" s="52"/>
      <c r="AA921" s="52"/>
      <c r="AB921" s="52"/>
      <c r="AC921" s="52"/>
      <c r="AD921" s="53"/>
      <c r="AE921" s="53"/>
      <c r="AF921" s="53"/>
    </row>
    <row r="922">
      <c r="G922" s="55"/>
      <c r="H922" s="54"/>
      <c r="I922" s="54"/>
      <c r="J922" s="54"/>
      <c r="K922" s="54"/>
      <c r="L922" s="54"/>
      <c r="M922" s="54"/>
      <c r="N922" s="59"/>
      <c r="O922" s="61"/>
      <c r="P922" s="61"/>
      <c r="Q922" s="61"/>
      <c r="R922" s="50"/>
      <c r="S922" s="50"/>
      <c r="T922" s="61"/>
      <c r="U922" s="61"/>
      <c r="V922" s="61"/>
      <c r="W922" s="61"/>
      <c r="X922" s="61"/>
      <c r="Y922" s="61"/>
      <c r="Z922" s="52"/>
      <c r="AA922" s="52"/>
      <c r="AB922" s="52"/>
      <c r="AC922" s="52"/>
      <c r="AD922" s="53"/>
      <c r="AE922" s="53"/>
      <c r="AF922" s="53"/>
    </row>
    <row r="923">
      <c r="G923" s="55"/>
      <c r="H923" s="54"/>
      <c r="I923" s="54"/>
      <c r="J923" s="54"/>
      <c r="K923" s="54"/>
      <c r="L923" s="54"/>
      <c r="M923" s="54"/>
      <c r="N923" s="59"/>
      <c r="O923" s="61"/>
      <c r="P923" s="61"/>
      <c r="Q923" s="61"/>
      <c r="R923" s="50"/>
      <c r="S923" s="50"/>
      <c r="T923" s="61"/>
      <c r="U923" s="61"/>
      <c r="V923" s="61"/>
      <c r="W923" s="61"/>
      <c r="X923" s="61"/>
      <c r="Y923" s="61"/>
      <c r="Z923" s="52"/>
      <c r="AA923" s="52"/>
      <c r="AB923" s="52"/>
      <c r="AC923" s="52"/>
      <c r="AD923" s="53"/>
      <c r="AE923" s="53"/>
      <c r="AF923" s="53"/>
    </row>
    <row r="924">
      <c r="G924" s="55"/>
      <c r="H924" s="54"/>
      <c r="I924" s="54"/>
      <c r="J924" s="54"/>
      <c r="K924" s="54"/>
      <c r="L924" s="54"/>
      <c r="M924" s="54"/>
      <c r="N924" s="59"/>
      <c r="O924" s="61"/>
      <c r="P924" s="61"/>
      <c r="Q924" s="61"/>
      <c r="R924" s="50"/>
      <c r="S924" s="50"/>
      <c r="T924" s="61"/>
      <c r="U924" s="61"/>
      <c r="V924" s="61"/>
      <c r="W924" s="61"/>
      <c r="X924" s="61"/>
      <c r="Y924" s="61"/>
      <c r="Z924" s="52"/>
      <c r="AA924" s="52"/>
      <c r="AB924" s="52"/>
      <c r="AC924" s="52"/>
      <c r="AD924" s="53"/>
      <c r="AE924" s="53"/>
      <c r="AF924" s="53"/>
    </row>
    <row r="925">
      <c r="G925" s="55"/>
      <c r="H925" s="54"/>
      <c r="I925" s="54"/>
      <c r="J925" s="54"/>
      <c r="K925" s="54"/>
      <c r="L925" s="54"/>
      <c r="M925" s="54"/>
      <c r="N925" s="59"/>
      <c r="O925" s="61"/>
      <c r="P925" s="61"/>
      <c r="Q925" s="61"/>
      <c r="R925" s="50"/>
      <c r="S925" s="50"/>
      <c r="T925" s="61"/>
      <c r="U925" s="61"/>
      <c r="V925" s="61"/>
      <c r="W925" s="61"/>
      <c r="X925" s="61"/>
      <c r="Y925" s="61"/>
      <c r="Z925" s="52"/>
      <c r="AA925" s="52"/>
      <c r="AB925" s="52"/>
      <c r="AC925" s="52"/>
      <c r="AD925" s="53"/>
      <c r="AE925" s="53"/>
      <c r="AF925" s="53"/>
    </row>
    <row r="926">
      <c r="G926" s="55"/>
      <c r="H926" s="54"/>
      <c r="I926" s="54"/>
      <c r="J926" s="54"/>
      <c r="K926" s="54"/>
      <c r="L926" s="54"/>
      <c r="M926" s="54"/>
      <c r="N926" s="59"/>
      <c r="O926" s="61"/>
      <c r="P926" s="61"/>
      <c r="Q926" s="61"/>
      <c r="R926" s="50"/>
      <c r="S926" s="50"/>
      <c r="T926" s="61"/>
      <c r="U926" s="61"/>
      <c r="V926" s="61"/>
      <c r="W926" s="61"/>
      <c r="X926" s="61"/>
      <c r="Y926" s="61"/>
      <c r="Z926" s="52"/>
      <c r="AA926" s="52"/>
      <c r="AB926" s="52"/>
      <c r="AC926" s="52"/>
      <c r="AD926" s="53"/>
      <c r="AE926" s="53"/>
      <c r="AF926" s="53"/>
    </row>
    <row r="927">
      <c r="G927" s="55"/>
      <c r="H927" s="54"/>
      <c r="I927" s="54"/>
      <c r="J927" s="54"/>
      <c r="K927" s="54"/>
      <c r="L927" s="54"/>
      <c r="M927" s="54"/>
      <c r="N927" s="59"/>
      <c r="O927" s="61"/>
      <c r="P927" s="61"/>
      <c r="Q927" s="61"/>
      <c r="R927" s="50"/>
      <c r="S927" s="50"/>
      <c r="T927" s="61"/>
      <c r="U927" s="61"/>
      <c r="V927" s="61"/>
      <c r="W927" s="61"/>
      <c r="X927" s="61"/>
      <c r="Y927" s="61"/>
      <c r="Z927" s="52"/>
      <c r="AA927" s="52"/>
      <c r="AB927" s="52"/>
      <c r="AC927" s="52"/>
      <c r="AD927" s="53"/>
      <c r="AE927" s="53"/>
      <c r="AF927" s="53"/>
    </row>
    <row r="928">
      <c r="G928" s="55"/>
      <c r="H928" s="54"/>
      <c r="I928" s="54"/>
      <c r="J928" s="54"/>
      <c r="K928" s="54"/>
      <c r="L928" s="54"/>
      <c r="M928" s="54"/>
      <c r="N928" s="59"/>
      <c r="O928" s="61"/>
      <c r="P928" s="61"/>
      <c r="Q928" s="61"/>
      <c r="R928" s="50"/>
      <c r="S928" s="50"/>
      <c r="T928" s="61"/>
      <c r="U928" s="61"/>
      <c r="V928" s="61"/>
      <c r="W928" s="61"/>
      <c r="X928" s="61"/>
      <c r="Y928" s="61"/>
      <c r="Z928" s="52"/>
      <c r="AA928" s="52"/>
      <c r="AB928" s="52"/>
      <c r="AC928" s="52"/>
      <c r="AD928" s="53"/>
      <c r="AE928" s="53"/>
      <c r="AF928" s="53"/>
    </row>
    <row r="929">
      <c r="G929" s="55"/>
      <c r="H929" s="54"/>
      <c r="I929" s="54"/>
      <c r="J929" s="54"/>
      <c r="K929" s="54"/>
      <c r="L929" s="54"/>
      <c r="M929" s="54"/>
      <c r="N929" s="59"/>
      <c r="O929" s="61"/>
      <c r="P929" s="61"/>
      <c r="Q929" s="61"/>
      <c r="R929" s="50"/>
      <c r="S929" s="50"/>
      <c r="T929" s="61"/>
      <c r="U929" s="61"/>
      <c r="V929" s="61"/>
      <c r="W929" s="61"/>
      <c r="X929" s="61"/>
      <c r="Y929" s="61"/>
      <c r="Z929" s="52"/>
      <c r="AA929" s="52"/>
      <c r="AB929" s="52"/>
      <c r="AC929" s="52"/>
      <c r="AD929" s="53"/>
      <c r="AE929" s="53"/>
      <c r="AF929" s="53"/>
    </row>
    <row r="930">
      <c r="G930" s="55"/>
      <c r="H930" s="54"/>
      <c r="I930" s="54"/>
      <c r="J930" s="54"/>
      <c r="K930" s="54"/>
      <c r="L930" s="54"/>
      <c r="M930" s="54"/>
      <c r="N930" s="59"/>
      <c r="O930" s="61"/>
      <c r="P930" s="61"/>
      <c r="Q930" s="61"/>
      <c r="R930" s="50"/>
      <c r="S930" s="50"/>
      <c r="T930" s="61"/>
      <c r="U930" s="61"/>
      <c r="V930" s="61"/>
      <c r="W930" s="61"/>
      <c r="X930" s="61"/>
      <c r="Y930" s="61"/>
      <c r="Z930" s="52"/>
      <c r="AA930" s="52"/>
      <c r="AB930" s="52"/>
      <c r="AC930" s="52"/>
      <c r="AD930" s="53"/>
      <c r="AE930" s="53"/>
      <c r="AF930" s="53"/>
    </row>
    <row r="931">
      <c r="G931" s="55"/>
      <c r="H931" s="54"/>
      <c r="I931" s="54"/>
      <c r="J931" s="54"/>
      <c r="K931" s="54"/>
      <c r="L931" s="54"/>
      <c r="M931" s="54"/>
      <c r="N931" s="59"/>
      <c r="O931" s="61"/>
      <c r="P931" s="61"/>
      <c r="Q931" s="61"/>
      <c r="R931" s="50"/>
      <c r="S931" s="50"/>
      <c r="T931" s="61"/>
      <c r="U931" s="61"/>
      <c r="V931" s="61"/>
      <c r="W931" s="61"/>
      <c r="X931" s="61"/>
      <c r="Y931" s="61"/>
      <c r="Z931" s="52"/>
      <c r="AA931" s="52"/>
      <c r="AB931" s="52"/>
      <c r="AC931" s="52"/>
      <c r="AD931" s="53"/>
      <c r="AE931" s="53"/>
      <c r="AF931" s="53"/>
    </row>
    <row r="932">
      <c r="G932" s="55"/>
      <c r="H932" s="54"/>
      <c r="I932" s="54"/>
      <c r="J932" s="54"/>
      <c r="K932" s="54"/>
      <c r="L932" s="54"/>
      <c r="M932" s="54"/>
      <c r="N932" s="59"/>
      <c r="O932" s="61"/>
      <c r="P932" s="61"/>
      <c r="Q932" s="61"/>
      <c r="R932" s="50"/>
      <c r="S932" s="50"/>
      <c r="T932" s="61"/>
      <c r="U932" s="61"/>
      <c r="V932" s="61"/>
      <c r="W932" s="61"/>
      <c r="X932" s="61"/>
      <c r="Y932" s="61"/>
      <c r="Z932" s="52"/>
      <c r="AA932" s="52"/>
      <c r="AB932" s="52"/>
      <c r="AC932" s="52"/>
      <c r="AD932" s="53"/>
      <c r="AE932" s="53"/>
      <c r="AF932" s="53"/>
    </row>
    <row r="933">
      <c r="G933" s="55"/>
      <c r="H933" s="54"/>
      <c r="I933" s="54"/>
      <c r="J933" s="54"/>
      <c r="K933" s="54"/>
      <c r="L933" s="54"/>
      <c r="M933" s="54"/>
      <c r="N933" s="59"/>
      <c r="O933" s="61"/>
      <c r="P933" s="61"/>
      <c r="Q933" s="61"/>
      <c r="R933" s="50"/>
      <c r="S933" s="50"/>
      <c r="T933" s="61"/>
      <c r="U933" s="61"/>
      <c r="V933" s="61"/>
      <c r="W933" s="61"/>
      <c r="X933" s="61"/>
      <c r="Y933" s="61"/>
      <c r="Z933" s="52"/>
      <c r="AA933" s="52"/>
      <c r="AB933" s="52"/>
      <c r="AC933" s="52"/>
      <c r="AD933" s="53"/>
      <c r="AE933" s="53"/>
      <c r="AF933" s="53"/>
    </row>
    <row r="934">
      <c r="G934" s="55"/>
      <c r="H934" s="54"/>
      <c r="I934" s="54"/>
      <c r="J934" s="54"/>
      <c r="K934" s="54"/>
      <c r="L934" s="54"/>
      <c r="M934" s="54"/>
      <c r="N934" s="59"/>
      <c r="O934" s="61"/>
      <c r="P934" s="61"/>
      <c r="Q934" s="61"/>
      <c r="R934" s="50"/>
      <c r="S934" s="50"/>
      <c r="T934" s="61"/>
      <c r="U934" s="61"/>
      <c r="V934" s="61"/>
      <c r="W934" s="61"/>
      <c r="X934" s="61"/>
      <c r="Y934" s="61"/>
      <c r="Z934" s="52"/>
      <c r="AA934" s="52"/>
      <c r="AB934" s="52"/>
      <c r="AC934" s="52"/>
      <c r="AD934" s="53"/>
      <c r="AE934" s="53"/>
      <c r="AF934" s="53"/>
    </row>
    <row r="935">
      <c r="G935" s="55"/>
      <c r="H935" s="54"/>
      <c r="I935" s="54"/>
      <c r="J935" s="54"/>
      <c r="K935" s="54"/>
      <c r="L935" s="54"/>
      <c r="M935" s="54"/>
      <c r="N935" s="59"/>
      <c r="O935" s="61"/>
      <c r="P935" s="61"/>
      <c r="Q935" s="61"/>
      <c r="R935" s="50"/>
      <c r="S935" s="50"/>
      <c r="T935" s="61"/>
      <c r="U935" s="61"/>
      <c r="V935" s="61"/>
      <c r="W935" s="61"/>
      <c r="X935" s="61"/>
      <c r="Y935" s="61"/>
      <c r="Z935" s="52"/>
      <c r="AA935" s="52"/>
      <c r="AB935" s="52"/>
      <c r="AC935" s="52"/>
      <c r="AD935" s="53"/>
      <c r="AE935" s="53"/>
      <c r="AF935" s="53"/>
    </row>
    <row r="936">
      <c r="G936" s="55"/>
      <c r="H936" s="54"/>
      <c r="I936" s="54"/>
      <c r="J936" s="54"/>
      <c r="K936" s="54"/>
      <c r="L936" s="54"/>
      <c r="M936" s="54"/>
      <c r="N936" s="59"/>
      <c r="O936" s="61"/>
      <c r="P936" s="61"/>
      <c r="Q936" s="61"/>
      <c r="R936" s="50"/>
      <c r="S936" s="50"/>
      <c r="T936" s="61"/>
      <c r="U936" s="61"/>
      <c r="V936" s="61"/>
      <c r="W936" s="61"/>
      <c r="X936" s="61"/>
      <c r="Y936" s="61"/>
      <c r="Z936" s="52"/>
      <c r="AA936" s="52"/>
      <c r="AB936" s="52"/>
      <c r="AC936" s="52"/>
      <c r="AD936" s="53"/>
      <c r="AE936" s="53"/>
      <c r="AF936" s="53"/>
    </row>
    <row r="937">
      <c r="G937" s="55"/>
      <c r="H937" s="54"/>
      <c r="I937" s="54"/>
      <c r="J937" s="54"/>
      <c r="K937" s="54"/>
      <c r="L937" s="54"/>
      <c r="M937" s="54"/>
      <c r="N937" s="59"/>
      <c r="O937" s="61"/>
      <c r="P937" s="61"/>
      <c r="Q937" s="61"/>
      <c r="R937" s="50"/>
      <c r="S937" s="50"/>
      <c r="T937" s="61"/>
      <c r="U937" s="61"/>
      <c r="V937" s="61"/>
      <c r="W937" s="61"/>
      <c r="X937" s="61"/>
      <c r="Y937" s="61"/>
      <c r="Z937" s="52"/>
      <c r="AA937" s="52"/>
      <c r="AB937" s="52"/>
      <c r="AC937" s="52"/>
      <c r="AD937" s="53"/>
      <c r="AE937" s="53"/>
      <c r="AF937" s="53"/>
    </row>
    <row r="938">
      <c r="G938" s="55"/>
      <c r="H938" s="54"/>
      <c r="I938" s="54"/>
      <c r="J938" s="54"/>
      <c r="K938" s="54"/>
      <c r="L938" s="54"/>
      <c r="M938" s="54"/>
      <c r="N938" s="59"/>
      <c r="O938" s="61"/>
      <c r="P938" s="61"/>
      <c r="Q938" s="61"/>
      <c r="R938" s="50"/>
      <c r="S938" s="50"/>
      <c r="T938" s="61"/>
      <c r="U938" s="61"/>
      <c r="V938" s="61"/>
      <c r="W938" s="61"/>
      <c r="X938" s="61"/>
      <c r="Y938" s="61"/>
      <c r="Z938" s="52"/>
      <c r="AA938" s="52"/>
      <c r="AB938" s="52"/>
      <c r="AC938" s="52"/>
      <c r="AD938" s="53"/>
      <c r="AE938" s="53"/>
      <c r="AF938" s="53"/>
    </row>
    <row r="939">
      <c r="G939" s="55"/>
      <c r="H939" s="54"/>
      <c r="I939" s="54"/>
      <c r="J939" s="54"/>
      <c r="K939" s="54"/>
      <c r="L939" s="54"/>
      <c r="M939" s="54"/>
      <c r="N939" s="59"/>
      <c r="O939" s="61"/>
      <c r="P939" s="61"/>
      <c r="Q939" s="61"/>
      <c r="R939" s="50"/>
      <c r="S939" s="50"/>
      <c r="T939" s="61"/>
      <c r="U939" s="61"/>
      <c r="V939" s="61"/>
      <c r="W939" s="61"/>
      <c r="X939" s="61"/>
      <c r="Y939" s="61"/>
      <c r="Z939" s="52"/>
      <c r="AA939" s="52"/>
      <c r="AB939" s="52"/>
      <c r="AC939" s="52"/>
      <c r="AD939" s="53"/>
      <c r="AE939" s="53"/>
      <c r="AF939" s="53"/>
    </row>
    <row r="940">
      <c r="G940" s="55"/>
      <c r="H940" s="54"/>
      <c r="I940" s="54"/>
      <c r="J940" s="54"/>
      <c r="K940" s="54"/>
      <c r="L940" s="54"/>
      <c r="M940" s="54"/>
      <c r="N940" s="59"/>
      <c r="O940" s="61"/>
      <c r="P940" s="61"/>
      <c r="Q940" s="61"/>
      <c r="R940" s="50"/>
      <c r="S940" s="50"/>
      <c r="T940" s="61"/>
      <c r="U940" s="61"/>
      <c r="V940" s="61"/>
      <c r="W940" s="61"/>
      <c r="X940" s="61"/>
      <c r="Y940" s="61"/>
      <c r="Z940" s="52"/>
      <c r="AA940" s="52"/>
      <c r="AB940" s="52"/>
      <c r="AC940" s="52"/>
      <c r="AD940" s="53"/>
      <c r="AE940" s="53"/>
      <c r="AF940" s="53"/>
    </row>
    <row r="941">
      <c r="G941" s="55"/>
      <c r="H941" s="54"/>
      <c r="I941" s="54"/>
      <c r="J941" s="54"/>
      <c r="K941" s="54"/>
      <c r="L941" s="54"/>
      <c r="M941" s="54"/>
      <c r="N941" s="59"/>
      <c r="O941" s="61"/>
      <c r="P941" s="61"/>
      <c r="Q941" s="61"/>
      <c r="R941" s="50"/>
      <c r="S941" s="50"/>
      <c r="T941" s="61"/>
      <c r="U941" s="61"/>
      <c r="V941" s="61"/>
      <c r="W941" s="61"/>
      <c r="X941" s="61"/>
      <c r="Y941" s="61"/>
      <c r="Z941" s="52"/>
      <c r="AA941" s="52"/>
      <c r="AB941" s="52"/>
      <c r="AC941" s="52"/>
      <c r="AD941" s="53"/>
      <c r="AE941" s="53"/>
      <c r="AF941" s="53"/>
    </row>
    <row r="942">
      <c r="G942" s="55"/>
      <c r="H942" s="54"/>
      <c r="I942" s="54"/>
      <c r="J942" s="54"/>
      <c r="K942" s="54"/>
      <c r="L942" s="54"/>
      <c r="M942" s="54"/>
      <c r="N942" s="59"/>
      <c r="O942" s="61"/>
      <c r="P942" s="61"/>
      <c r="Q942" s="61"/>
      <c r="R942" s="50"/>
      <c r="S942" s="50"/>
      <c r="T942" s="61"/>
      <c r="U942" s="61"/>
      <c r="V942" s="61"/>
      <c r="W942" s="61"/>
      <c r="X942" s="61"/>
      <c r="Y942" s="61"/>
      <c r="Z942" s="52"/>
      <c r="AA942" s="52"/>
      <c r="AB942" s="52"/>
      <c r="AC942" s="52"/>
      <c r="AD942" s="53"/>
      <c r="AE942" s="53"/>
      <c r="AF942" s="53"/>
    </row>
    <row r="943">
      <c r="G943" s="55"/>
      <c r="H943" s="54"/>
      <c r="I943" s="54"/>
      <c r="J943" s="54"/>
      <c r="K943" s="54"/>
      <c r="L943" s="54"/>
      <c r="M943" s="54"/>
      <c r="N943" s="59"/>
      <c r="O943" s="61"/>
      <c r="P943" s="61"/>
      <c r="Q943" s="61"/>
      <c r="R943" s="50"/>
      <c r="S943" s="50"/>
      <c r="T943" s="61"/>
      <c r="U943" s="61"/>
      <c r="V943" s="61"/>
      <c r="W943" s="61"/>
      <c r="X943" s="61"/>
      <c r="Y943" s="61"/>
      <c r="Z943" s="52"/>
      <c r="AA943" s="52"/>
      <c r="AB943" s="52"/>
      <c r="AC943" s="52"/>
      <c r="AD943" s="53"/>
      <c r="AE943" s="53"/>
      <c r="AF943" s="53"/>
    </row>
    <row r="944">
      <c r="G944" s="55"/>
      <c r="H944" s="54"/>
      <c r="I944" s="54"/>
      <c r="J944" s="54"/>
      <c r="K944" s="54"/>
      <c r="L944" s="54"/>
      <c r="M944" s="54"/>
      <c r="N944" s="59"/>
      <c r="O944" s="61"/>
      <c r="P944" s="61"/>
      <c r="Q944" s="61"/>
      <c r="R944" s="50"/>
      <c r="S944" s="50"/>
      <c r="T944" s="61"/>
      <c r="U944" s="61"/>
      <c r="V944" s="61"/>
      <c r="W944" s="61"/>
      <c r="X944" s="61"/>
      <c r="Y944" s="61"/>
      <c r="Z944" s="52"/>
      <c r="AA944" s="52"/>
      <c r="AB944" s="52"/>
      <c r="AC944" s="52"/>
      <c r="AD944" s="53"/>
      <c r="AE944" s="53"/>
      <c r="AF944" s="53"/>
    </row>
    <row r="945">
      <c r="G945" s="55"/>
      <c r="H945" s="54"/>
      <c r="I945" s="54"/>
      <c r="J945" s="54"/>
      <c r="K945" s="54"/>
      <c r="L945" s="54"/>
      <c r="M945" s="54"/>
      <c r="N945" s="59"/>
      <c r="O945" s="61"/>
      <c r="P945" s="61"/>
      <c r="Q945" s="61"/>
      <c r="R945" s="50"/>
      <c r="S945" s="50"/>
      <c r="T945" s="61"/>
      <c r="U945" s="61"/>
      <c r="V945" s="61"/>
      <c r="W945" s="61"/>
      <c r="X945" s="61"/>
      <c r="Y945" s="61"/>
      <c r="Z945" s="52"/>
      <c r="AA945" s="52"/>
      <c r="AB945" s="52"/>
      <c r="AC945" s="52"/>
      <c r="AD945" s="53"/>
      <c r="AE945" s="53"/>
      <c r="AF945" s="53"/>
    </row>
    <row r="946">
      <c r="G946" s="55"/>
      <c r="H946" s="54"/>
      <c r="I946" s="54"/>
      <c r="J946" s="54"/>
      <c r="K946" s="54"/>
      <c r="L946" s="54"/>
      <c r="M946" s="54"/>
      <c r="N946" s="59"/>
      <c r="O946" s="61"/>
      <c r="P946" s="61"/>
      <c r="Q946" s="61"/>
      <c r="R946" s="50"/>
      <c r="S946" s="50"/>
      <c r="T946" s="61"/>
      <c r="U946" s="61"/>
      <c r="V946" s="61"/>
      <c r="W946" s="61"/>
      <c r="X946" s="61"/>
      <c r="Y946" s="61"/>
      <c r="Z946" s="52"/>
      <c r="AA946" s="52"/>
      <c r="AB946" s="52"/>
      <c r="AC946" s="52"/>
      <c r="AD946" s="53"/>
      <c r="AE946" s="53"/>
      <c r="AF946" s="53"/>
    </row>
    <row r="947">
      <c r="G947" s="55"/>
      <c r="H947" s="54"/>
      <c r="I947" s="54"/>
      <c r="J947" s="54"/>
      <c r="K947" s="54"/>
      <c r="L947" s="54"/>
      <c r="M947" s="54"/>
      <c r="N947" s="59"/>
      <c r="O947" s="61"/>
      <c r="P947" s="61"/>
      <c r="Q947" s="61"/>
      <c r="R947" s="50"/>
      <c r="S947" s="50"/>
      <c r="T947" s="61"/>
      <c r="U947" s="61"/>
      <c r="V947" s="61"/>
      <c r="W947" s="61"/>
      <c r="X947" s="61"/>
      <c r="Y947" s="61"/>
      <c r="Z947" s="52"/>
      <c r="AA947" s="52"/>
      <c r="AB947" s="52"/>
      <c r="AC947" s="52"/>
      <c r="AD947" s="53"/>
      <c r="AE947" s="53"/>
      <c r="AF947" s="53"/>
    </row>
    <row r="948">
      <c r="G948" s="55"/>
      <c r="H948" s="54"/>
      <c r="I948" s="54"/>
      <c r="J948" s="54"/>
      <c r="K948" s="54"/>
      <c r="L948" s="54"/>
      <c r="M948" s="54"/>
      <c r="N948" s="59"/>
      <c r="O948" s="61"/>
      <c r="P948" s="61"/>
      <c r="Q948" s="61"/>
      <c r="R948" s="50"/>
      <c r="S948" s="50"/>
      <c r="T948" s="61"/>
      <c r="U948" s="61"/>
      <c r="V948" s="61"/>
      <c r="W948" s="61"/>
      <c r="X948" s="61"/>
      <c r="Y948" s="61"/>
      <c r="Z948" s="52"/>
      <c r="AA948" s="52"/>
      <c r="AB948" s="52"/>
      <c r="AC948" s="52"/>
      <c r="AD948" s="53"/>
      <c r="AE948" s="53"/>
      <c r="AF948" s="53"/>
    </row>
    <row r="949">
      <c r="G949" s="55"/>
      <c r="H949" s="54"/>
      <c r="I949" s="54"/>
      <c r="J949" s="54"/>
      <c r="K949" s="54"/>
      <c r="L949" s="54"/>
      <c r="M949" s="54"/>
      <c r="N949" s="59"/>
      <c r="O949" s="61"/>
      <c r="P949" s="61"/>
      <c r="Q949" s="61"/>
      <c r="R949" s="50"/>
      <c r="S949" s="50"/>
      <c r="T949" s="61"/>
      <c r="U949" s="61"/>
      <c r="V949" s="61"/>
      <c r="W949" s="61"/>
      <c r="X949" s="61"/>
      <c r="Y949" s="61"/>
      <c r="Z949" s="52"/>
      <c r="AA949" s="52"/>
      <c r="AB949" s="52"/>
      <c r="AC949" s="52"/>
      <c r="AD949" s="53"/>
      <c r="AE949" s="53"/>
      <c r="AF949" s="53"/>
    </row>
    <row r="950">
      <c r="G950" s="55"/>
      <c r="H950" s="54"/>
      <c r="I950" s="54"/>
      <c r="J950" s="54"/>
      <c r="K950" s="54"/>
      <c r="L950" s="54"/>
      <c r="M950" s="54"/>
      <c r="N950" s="59"/>
      <c r="O950" s="61"/>
      <c r="P950" s="61"/>
      <c r="Q950" s="61"/>
      <c r="R950" s="50"/>
      <c r="S950" s="50"/>
      <c r="T950" s="61"/>
      <c r="U950" s="61"/>
      <c r="V950" s="61"/>
      <c r="W950" s="61"/>
      <c r="X950" s="61"/>
      <c r="Y950" s="61"/>
      <c r="Z950" s="52"/>
      <c r="AA950" s="52"/>
      <c r="AB950" s="52"/>
      <c r="AC950" s="52"/>
      <c r="AD950" s="53"/>
      <c r="AE950" s="53"/>
      <c r="AF950" s="53"/>
    </row>
    <row r="951">
      <c r="G951" s="55"/>
      <c r="H951" s="54"/>
      <c r="I951" s="54"/>
      <c r="J951" s="54"/>
      <c r="K951" s="54"/>
      <c r="L951" s="54"/>
      <c r="M951" s="54"/>
      <c r="N951" s="59"/>
      <c r="O951" s="61"/>
      <c r="P951" s="61"/>
      <c r="Q951" s="61"/>
      <c r="R951" s="50"/>
      <c r="S951" s="50"/>
      <c r="T951" s="61"/>
      <c r="U951" s="61"/>
      <c r="V951" s="61"/>
      <c r="W951" s="61"/>
      <c r="X951" s="61"/>
      <c r="Y951" s="61"/>
      <c r="Z951" s="52"/>
      <c r="AA951" s="52"/>
      <c r="AB951" s="52"/>
      <c r="AC951" s="52"/>
      <c r="AD951" s="53"/>
      <c r="AE951" s="53"/>
      <c r="AF951" s="53"/>
    </row>
    <row r="952">
      <c r="G952" s="55"/>
      <c r="H952" s="54"/>
      <c r="I952" s="54"/>
      <c r="J952" s="54"/>
      <c r="K952" s="54"/>
      <c r="L952" s="54"/>
      <c r="M952" s="54"/>
      <c r="N952" s="59"/>
      <c r="O952" s="61"/>
      <c r="P952" s="61"/>
      <c r="Q952" s="61"/>
      <c r="R952" s="50"/>
      <c r="S952" s="50"/>
      <c r="T952" s="61"/>
      <c r="U952" s="61"/>
      <c r="V952" s="61"/>
      <c r="W952" s="61"/>
      <c r="X952" s="61"/>
      <c r="Y952" s="61"/>
      <c r="Z952" s="52"/>
      <c r="AA952" s="52"/>
      <c r="AB952" s="52"/>
      <c r="AC952" s="52"/>
      <c r="AD952" s="53"/>
      <c r="AE952" s="53"/>
      <c r="AF952" s="53"/>
    </row>
    <row r="953">
      <c r="G953" s="55"/>
      <c r="H953" s="54"/>
      <c r="I953" s="54"/>
      <c r="J953" s="54"/>
      <c r="K953" s="54"/>
      <c r="L953" s="54"/>
      <c r="M953" s="54"/>
      <c r="N953" s="59"/>
      <c r="O953" s="61"/>
      <c r="P953" s="61"/>
      <c r="Q953" s="61"/>
      <c r="R953" s="50"/>
      <c r="S953" s="50"/>
      <c r="T953" s="61"/>
      <c r="U953" s="61"/>
      <c r="V953" s="61"/>
      <c r="W953" s="61"/>
      <c r="X953" s="61"/>
      <c r="Y953" s="61"/>
      <c r="Z953" s="52"/>
      <c r="AA953" s="52"/>
      <c r="AB953" s="52"/>
      <c r="AC953" s="52"/>
      <c r="AD953" s="53"/>
      <c r="AE953" s="53"/>
      <c r="AF953" s="53"/>
    </row>
    <row r="954">
      <c r="G954" s="55"/>
      <c r="H954" s="54"/>
      <c r="I954" s="54"/>
      <c r="J954" s="54"/>
      <c r="K954" s="54"/>
      <c r="L954" s="54"/>
      <c r="M954" s="54"/>
      <c r="N954" s="59"/>
      <c r="O954" s="61"/>
      <c r="P954" s="61"/>
      <c r="Q954" s="61"/>
      <c r="R954" s="50"/>
      <c r="S954" s="50"/>
      <c r="T954" s="61"/>
      <c r="U954" s="61"/>
      <c r="V954" s="61"/>
      <c r="W954" s="61"/>
      <c r="X954" s="61"/>
      <c r="Y954" s="61"/>
      <c r="Z954" s="52"/>
      <c r="AA954" s="52"/>
      <c r="AB954" s="52"/>
      <c r="AC954" s="52"/>
      <c r="AD954" s="53"/>
      <c r="AE954" s="53"/>
      <c r="AF954" s="53"/>
    </row>
    <row r="955">
      <c r="G955" s="55"/>
      <c r="H955" s="54"/>
      <c r="I955" s="54"/>
      <c r="J955" s="54"/>
      <c r="K955" s="54"/>
      <c r="L955" s="54"/>
      <c r="M955" s="54"/>
      <c r="N955" s="59"/>
      <c r="O955" s="61"/>
      <c r="P955" s="61"/>
      <c r="Q955" s="61"/>
      <c r="R955" s="50"/>
      <c r="S955" s="50"/>
      <c r="T955" s="61"/>
      <c r="U955" s="61"/>
      <c r="V955" s="61"/>
      <c r="W955" s="61"/>
      <c r="X955" s="61"/>
      <c r="Y955" s="61"/>
      <c r="Z955" s="52"/>
      <c r="AA955" s="52"/>
      <c r="AB955" s="52"/>
      <c r="AC955" s="52"/>
      <c r="AD955" s="53"/>
      <c r="AE955" s="53"/>
      <c r="AF955" s="53"/>
    </row>
    <row r="956">
      <c r="G956" s="55"/>
      <c r="H956" s="54"/>
      <c r="I956" s="54"/>
      <c r="J956" s="54"/>
      <c r="K956" s="54"/>
      <c r="L956" s="54"/>
      <c r="M956" s="54"/>
      <c r="N956" s="59"/>
      <c r="O956" s="61"/>
      <c r="P956" s="61"/>
      <c r="Q956" s="61"/>
      <c r="R956" s="50"/>
      <c r="S956" s="50"/>
      <c r="T956" s="61"/>
      <c r="U956" s="61"/>
      <c r="V956" s="61"/>
      <c r="W956" s="61"/>
      <c r="X956" s="61"/>
      <c r="Y956" s="61"/>
      <c r="Z956" s="52"/>
      <c r="AA956" s="52"/>
      <c r="AB956" s="52"/>
      <c r="AC956" s="52"/>
      <c r="AD956" s="53"/>
      <c r="AE956" s="53"/>
      <c r="AF956" s="53"/>
    </row>
    <row r="957">
      <c r="G957" s="55"/>
      <c r="H957" s="54"/>
      <c r="I957" s="54"/>
      <c r="J957" s="54"/>
      <c r="K957" s="54"/>
      <c r="L957" s="54"/>
      <c r="M957" s="54"/>
      <c r="N957" s="59"/>
      <c r="O957" s="61"/>
      <c r="P957" s="61"/>
      <c r="Q957" s="61"/>
      <c r="R957" s="50"/>
      <c r="S957" s="50"/>
      <c r="T957" s="61"/>
      <c r="U957" s="61"/>
      <c r="V957" s="61"/>
      <c r="W957" s="61"/>
      <c r="X957" s="61"/>
      <c r="Y957" s="61"/>
      <c r="Z957" s="52"/>
      <c r="AA957" s="52"/>
      <c r="AB957" s="52"/>
      <c r="AC957" s="52"/>
      <c r="AD957" s="53"/>
      <c r="AE957" s="53"/>
      <c r="AF957" s="53"/>
    </row>
    <row r="958">
      <c r="G958" s="55"/>
      <c r="H958" s="54"/>
      <c r="I958" s="54"/>
      <c r="J958" s="54"/>
      <c r="K958" s="54"/>
      <c r="L958" s="54"/>
      <c r="M958" s="54"/>
      <c r="N958" s="59"/>
      <c r="O958" s="61"/>
      <c r="P958" s="61"/>
      <c r="Q958" s="61"/>
      <c r="R958" s="50"/>
      <c r="S958" s="50"/>
      <c r="T958" s="61"/>
      <c r="U958" s="61"/>
      <c r="V958" s="61"/>
      <c r="W958" s="61"/>
      <c r="X958" s="61"/>
      <c r="Y958" s="61"/>
      <c r="Z958" s="52"/>
      <c r="AA958" s="52"/>
      <c r="AB958" s="52"/>
      <c r="AC958" s="52"/>
      <c r="AD958" s="53"/>
      <c r="AE958" s="53"/>
      <c r="AF958" s="53"/>
    </row>
    <row r="959">
      <c r="G959" s="55"/>
      <c r="H959" s="54"/>
      <c r="I959" s="54"/>
      <c r="J959" s="54"/>
      <c r="K959" s="54"/>
      <c r="L959" s="54"/>
      <c r="M959" s="54"/>
      <c r="N959" s="59"/>
      <c r="O959" s="61"/>
      <c r="P959" s="61"/>
      <c r="Q959" s="61"/>
      <c r="R959" s="50"/>
      <c r="S959" s="50"/>
      <c r="T959" s="61"/>
      <c r="U959" s="61"/>
      <c r="V959" s="61"/>
      <c r="W959" s="61"/>
      <c r="X959" s="61"/>
      <c r="Y959" s="61"/>
      <c r="Z959" s="52"/>
      <c r="AA959" s="52"/>
      <c r="AB959" s="52"/>
      <c r="AC959" s="52"/>
      <c r="AD959" s="53"/>
      <c r="AE959" s="53"/>
      <c r="AF959" s="53"/>
    </row>
    <row r="960">
      <c r="G960" s="55"/>
      <c r="H960" s="54"/>
      <c r="I960" s="54"/>
      <c r="J960" s="54"/>
      <c r="K960" s="54"/>
      <c r="L960" s="54"/>
      <c r="M960" s="54"/>
      <c r="N960" s="59"/>
      <c r="O960" s="61"/>
      <c r="P960" s="61"/>
      <c r="Q960" s="61"/>
      <c r="R960" s="50"/>
      <c r="S960" s="50"/>
      <c r="T960" s="61"/>
      <c r="U960" s="61"/>
      <c r="V960" s="61"/>
      <c r="W960" s="61"/>
      <c r="X960" s="61"/>
      <c r="Y960" s="61"/>
      <c r="Z960" s="52"/>
      <c r="AA960" s="52"/>
      <c r="AB960" s="52"/>
      <c r="AC960" s="52"/>
      <c r="AD960" s="53"/>
      <c r="AE960" s="53"/>
      <c r="AF960" s="53"/>
    </row>
    <row r="961">
      <c r="G961" s="55"/>
      <c r="H961" s="54"/>
      <c r="I961" s="54"/>
      <c r="J961" s="54"/>
      <c r="K961" s="54"/>
      <c r="L961" s="54"/>
      <c r="M961" s="54"/>
      <c r="N961" s="59"/>
      <c r="O961" s="61"/>
      <c r="P961" s="61"/>
      <c r="Q961" s="61"/>
      <c r="R961" s="50"/>
      <c r="S961" s="50"/>
      <c r="T961" s="61"/>
      <c r="U961" s="61"/>
      <c r="V961" s="61"/>
      <c r="W961" s="61"/>
      <c r="X961" s="61"/>
      <c r="Y961" s="61"/>
      <c r="Z961" s="52"/>
      <c r="AA961" s="52"/>
      <c r="AB961" s="52"/>
      <c r="AC961" s="52"/>
      <c r="AD961" s="53"/>
      <c r="AE961" s="53"/>
      <c r="AF961" s="53"/>
    </row>
    <row r="962">
      <c r="G962" s="55"/>
      <c r="H962" s="54"/>
      <c r="I962" s="54"/>
      <c r="J962" s="54"/>
      <c r="K962" s="54"/>
      <c r="L962" s="54"/>
      <c r="M962" s="54"/>
      <c r="N962" s="59"/>
      <c r="O962" s="61"/>
      <c r="P962" s="61"/>
      <c r="Q962" s="61"/>
      <c r="R962" s="50"/>
      <c r="S962" s="50"/>
      <c r="T962" s="61"/>
      <c r="U962" s="61"/>
      <c r="V962" s="61"/>
      <c r="W962" s="61"/>
      <c r="X962" s="61"/>
      <c r="Y962" s="61"/>
      <c r="Z962" s="52"/>
      <c r="AA962" s="52"/>
      <c r="AB962" s="52"/>
      <c r="AC962" s="52"/>
      <c r="AD962" s="53"/>
      <c r="AE962" s="53"/>
      <c r="AF962" s="53"/>
    </row>
    <row r="963">
      <c r="G963" s="55"/>
      <c r="H963" s="54"/>
      <c r="I963" s="54"/>
      <c r="J963" s="54"/>
      <c r="K963" s="54"/>
      <c r="L963" s="54"/>
      <c r="M963" s="54"/>
      <c r="N963" s="59"/>
      <c r="O963" s="61"/>
      <c r="P963" s="61"/>
      <c r="Q963" s="61"/>
      <c r="R963" s="50"/>
      <c r="S963" s="50"/>
      <c r="T963" s="61"/>
      <c r="U963" s="61"/>
      <c r="V963" s="61"/>
      <c r="W963" s="61"/>
      <c r="X963" s="61"/>
      <c r="Y963" s="61"/>
      <c r="Z963" s="52"/>
      <c r="AA963" s="52"/>
      <c r="AB963" s="52"/>
      <c r="AC963" s="52"/>
      <c r="AD963" s="53"/>
      <c r="AE963" s="53"/>
      <c r="AF963" s="53"/>
    </row>
    <row r="964">
      <c r="G964" s="55"/>
      <c r="H964" s="54"/>
      <c r="I964" s="54"/>
      <c r="J964" s="54"/>
      <c r="K964" s="54"/>
      <c r="L964" s="54"/>
      <c r="M964" s="54"/>
      <c r="N964" s="59"/>
      <c r="O964" s="61"/>
      <c r="P964" s="61"/>
      <c r="Q964" s="61"/>
      <c r="R964" s="50"/>
      <c r="S964" s="50"/>
      <c r="T964" s="61"/>
      <c r="U964" s="61"/>
      <c r="V964" s="61"/>
      <c r="W964" s="61"/>
      <c r="X964" s="61"/>
      <c r="Y964" s="61"/>
      <c r="Z964" s="52"/>
      <c r="AA964" s="52"/>
      <c r="AB964" s="52"/>
      <c r="AC964" s="52"/>
      <c r="AD964" s="53"/>
      <c r="AE964" s="53"/>
      <c r="AF964" s="53"/>
    </row>
    <row r="965">
      <c r="G965" s="55"/>
      <c r="H965" s="54"/>
      <c r="I965" s="54"/>
      <c r="J965" s="54"/>
      <c r="K965" s="54"/>
      <c r="L965" s="54"/>
      <c r="M965" s="54"/>
      <c r="N965" s="59"/>
      <c r="O965" s="61"/>
      <c r="P965" s="61"/>
      <c r="Q965" s="61"/>
      <c r="R965" s="50"/>
      <c r="S965" s="50"/>
      <c r="T965" s="61"/>
      <c r="U965" s="61"/>
      <c r="V965" s="61"/>
      <c r="W965" s="61"/>
      <c r="X965" s="61"/>
      <c r="Y965" s="61"/>
      <c r="Z965" s="52"/>
      <c r="AA965" s="52"/>
      <c r="AB965" s="52"/>
      <c r="AC965" s="52"/>
      <c r="AD965" s="53"/>
      <c r="AE965" s="53"/>
      <c r="AF965" s="53"/>
    </row>
    <row r="966">
      <c r="G966" s="55"/>
      <c r="H966" s="54"/>
      <c r="I966" s="54"/>
      <c r="J966" s="54"/>
      <c r="K966" s="54"/>
      <c r="L966" s="54"/>
      <c r="M966" s="54"/>
      <c r="N966" s="59"/>
      <c r="O966" s="61"/>
      <c r="P966" s="61"/>
      <c r="Q966" s="61"/>
      <c r="R966" s="50"/>
      <c r="S966" s="50"/>
      <c r="T966" s="61"/>
      <c r="U966" s="61"/>
      <c r="V966" s="61"/>
      <c r="W966" s="61"/>
      <c r="X966" s="61"/>
      <c r="Y966" s="61"/>
      <c r="Z966" s="52"/>
      <c r="AA966" s="52"/>
      <c r="AB966" s="52"/>
      <c r="AC966" s="52"/>
      <c r="AD966" s="53"/>
      <c r="AE966" s="53"/>
      <c r="AF966" s="53"/>
    </row>
    <row r="967">
      <c r="G967" s="55"/>
      <c r="H967" s="54"/>
      <c r="I967" s="54"/>
      <c r="J967" s="54"/>
      <c r="K967" s="54"/>
      <c r="L967" s="54"/>
      <c r="M967" s="54"/>
      <c r="N967" s="59"/>
      <c r="O967" s="61"/>
      <c r="P967" s="61"/>
      <c r="Q967" s="61"/>
      <c r="R967" s="50"/>
      <c r="S967" s="50"/>
      <c r="T967" s="61"/>
      <c r="U967" s="61"/>
      <c r="V967" s="61"/>
      <c r="W967" s="61"/>
      <c r="X967" s="61"/>
      <c r="Y967" s="61"/>
      <c r="Z967" s="52"/>
      <c r="AA967" s="52"/>
      <c r="AB967" s="52"/>
      <c r="AC967" s="52"/>
      <c r="AD967" s="53"/>
      <c r="AE967" s="53"/>
      <c r="AF967" s="53"/>
    </row>
    <row r="968">
      <c r="G968" s="55"/>
      <c r="H968" s="54"/>
      <c r="I968" s="54"/>
      <c r="J968" s="54"/>
      <c r="K968" s="54"/>
      <c r="L968" s="54"/>
      <c r="M968" s="54"/>
      <c r="N968" s="59"/>
      <c r="O968" s="61"/>
      <c r="P968" s="61"/>
      <c r="Q968" s="61"/>
      <c r="R968" s="50"/>
      <c r="S968" s="50"/>
      <c r="T968" s="61"/>
      <c r="U968" s="61"/>
      <c r="V968" s="61"/>
      <c r="W968" s="61"/>
      <c r="X968" s="61"/>
      <c r="Y968" s="61"/>
      <c r="Z968" s="52"/>
      <c r="AA968" s="52"/>
      <c r="AB968" s="52"/>
      <c r="AC968" s="52"/>
      <c r="AD968" s="53"/>
      <c r="AE968" s="53"/>
      <c r="AF968" s="53"/>
    </row>
    <row r="969">
      <c r="G969" s="55"/>
      <c r="H969" s="54"/>
      <c r="I969" s="54"/>
      <c r="J969" s="54"/>
      <c r="K969" s="54"/>
      <c r="L969" s="54"/>
      <c r="M969" s="54"/>
      <c r="N969" s="59"/>
      <c r="O969" s="61"/>
      <c r="P969" s="61"/>
      <c r="Q969" s="61"/>
      <c r="R969" s="50"/>
      <c r="S969" s="50"/>
      <c r="T969" s="61"/>
      <c r="U969" s="61"/>
      <c r="V969" s="61"/>
      <c r="W969" s="61"/>
      <c r="X969" s="61"/>
      <c r="Y969" s="61"/>
      <c r="Z969" s="52"/>
      <c r="AA969" s="52"/>
      <c r="AB969" s="52"/>
      <c r="AC969" s="52"/>
      <c r="AD969" s="53"/>
      <c r="AE969" s="53"/>
      <c r="AF969" s="53"/>
    </row>
    <row r="970">
      <c r="G970" s="55"/>
      <c r="H970" s="54"/>
      <c r="I970" s="54"/>
      <c r="J970" s="54"/>
      <c r="K970" s="54"/>
      <c r="L970" s="54"/>
      <c r="M970" s="54"/>
      <c r="N970" s="59"/>
      <c r="O970" s="61"/>
      <c r="P970" s="61"/>
      <c r="Q970" s="61"/>
      <c r="R970" s="50"/>
      <c r="S970" s="50"/>
      <c r="T970" s="61"/>
      <c r="U970" s="61"/>
      <c r="V970" s="61"/>
      <c r="W970" s="61"/>
      <c r="X970" s="61"/>
      <c r="Y970" s="61"/>
      <c r="Z970" s="52"/>
      <c r="AA970" s="52"/>
      <c r="AB970" s="52"/>
      <c r="AC970" s="52"/>
      <c r="AD970" s="53"/>
      <c r="AE970" s="53"/>
      <c r="AF970" s="53"/>
    </row>
    <row r="971">
      <c r="G971" s="55"/>
      <c r="H971" s="54"/>
      <c r="I971" s="54"/>
      <c r="J971" s="54"/>
      <c r="K971" s="54"/>
      <c r="L971" s="54"/>
      <c r="M971" s="54"/>
      <c r="N971" s="59"/>
      <c r="O971" s="61"/>
      <c r="P971" s="61"/>
      <c r="Q971" s="61"/>
      <c r="R971" s="50"/>
      <c r="S971" s="50"/>
      <c r="T971" s="61"/>
      <c r="U971" s="61"/>
      <c r="V971" s="61"/>
      <c r="W971" s="61"/>
      <c r="X971" s="61"/>
      <c r="Y971" s="61"/>
      <c r="Z971" s="52"/>
      <c r="AA971" s="52"/>
      <c r="AB971" s="52"/>
      <c r="AC971" s="52"/>
      <c r="AD971" s="53"/>
      <c r="AE971" s="53"/>
      <c r="AF971" s="53"/>
    </row>
    <row r="972">
      <c r="G972" s="55"/>
      <c r="H972" s="54"/>
      <c r="I972" s="54"/>
      <c r="J972" s="54"/>
      <c r="K972" s="54"/>
      <c r="L972" s="54"/>
      <c r="M972" s="54"/>
      <c r="N972" s="59"/>
      <c r="O972" s="61"/>
      <c r="P972" s="61"/>
      <c r="Q972" s="61"/>
      <c r="R972" s="50"/>
      <c r="S972" s="50"/>
      <c r="T972" s="61"/>
      <c r="U972" s="61"/>
      <c r="V972" s="61"/>
      <c r="W972" s="61"/>
      <c r="X972" s="61"/>
      <c r="Y972" s="61"/>
      <c r="Z972" s="52"/>
      <c r="AA972" s="52"/>
      <c r="AB972" s="52"/>
      <c r="AC972" s="52"/>
      <c r="AD972" s="53"/>
      <c r="AE972" s="53"/>
      <c r="AF972" s="53"/>
    </row>
    <row r="973">
      <c r="G973" s="55"/>
      <c r="H973" s="54"/>
      <c r="I973" s="54"/>
      <c r="J973" s="54"/>
      <c r="K973" s="54"/>
      <c r="L973" s="54"/>
      <c r="M973" s="54"/>
      <c r="N973" s="59"/>
      <c r="O973" s="61"/>
      <c r="P973" s="61"/>
      <c r="Q973" s="61"/>
      <c r="R973" s="50"/>
      <c r="S973" s="50"/>
      <c r="T973" s="61"/>
      <c r="U973" s="61"/>
      <c r="V973" s="61"/>
      <c r="W973" s="61"/>
      <c r="X973" s="61"/>
      <c r="Y973" s="61"/>
      <c r="Z973" s="52"/>
      <c r="AA973" s="52"/>
      <c r="AB973" s="52"/>
      <c r="AC973" s="52"/>
      <c r="AD973" s="53"/>
      <c r="AE973" s="53"/>
      <c r="AF973" s="53"/>
    </row>
    <row r="974">
      <c r="G974" s="55"/>
      <c r="H974" s="54"/>
      <c r="I974" s="54"/>
      <c r="J974" s="54"/>
      <c r="K974" s="54"/>
      <c r="L974" s="54"/>
      <c r="M974" s="54"/>
      <c r="N974" s="59"/>
      <c r="O974" s="61"/>
      <c r="P974" s="61"/>
      <c r="Q974" s="61"/>
      <c r="R974" s="50"/>
      <c r="S974" s="50"/>
      <c r="T974" s="61"/>
      <c r="U974" s="61"/>
      <c r="V974" s="61"/>
      <c r="W974" s="61"/>
      <c r="X974" s="61"/>
      <c r="Y974" s="61"/>
      <c r="Z974" s="52"/>
      <c r="AA974" s="52"/>
      <c r="AB974" s="52"/>
      <c r="AC974" s="52"/>
      <c r="AD974" s="53"/>
      <c r="AE974" s="53"/>
      <c r="AF974" s="53"/>
    </row>
    <row r="975">
      <c r="G975" s="55"/>
      <c r="H975" s="54"/>
      <c r="I975" s="54"/>
      <c r="J975" s="54"/>
      <c r="K975" s="54"/>
      <c r="L975" s="54"/>
      <c r="M975" s="54"/>
      <c r="N975" s="59"/>
      <c r="O975" s="61"/>
      <c r="P975" s="61"/>
      <c r="Q975" s="61"/>
      <c r="R975" s="50"/>
      <c r="S975" s="50"/>
      <c r="T975" s="61"/>
      <c r="U975" s="61"/>
      <c r="V975" s="61"/>
      <c r="W975" s="61"/>
      <c r="X975" s="61"/>
      <c r="Y975" s="61"/>
      <c r="Z975" s="52"/>
      <c r="AA975" s="52"/>
      <c r="AB975" s="52"/>
      <c r="AC975" s="52"/>
      <c r="AD975" s="53"/>
      <c r="AE975" s="53"/>
      <c r="AF975" s="53"/>
    </row>
    <row r="976">
      <c r="G976" s="55"/>
      <c r="H976" s="54"/>
      <c r="I976" s="54"/>
      <c r="J976" s="54"/>
      <c r="K976" s="54"/>
      <c r="L976" s="54"/>
      <c r="M976" s="54"/>
      <c r="N976" s="59"/>
      <c r="O976" s="61"/>
      <c r="P976" s="61"/>
      <c r="Q976" s="61"/>
      <c r="R976" s="50"/>
      <c r="S976" s="50"/>
      <c r="T976" s="61"/>
      <c r="U976" s="61"/>
      <c r="V976" s="61"/>
      <c r="W976" s="61"/>
      <c r="X976" s="61"/>
      <c r="Y976" s="61"/>
      <c r="Z976" s="52"/>
      <c r="AA976" s="52"/>
      <c r="AB976" s="52"/>
      <c r="AC976" s="52"/>
      <c r="AD976" s="53"/>
      <c r="AE976" s="53"/>
      <c r="AF976" s="53"/>
    </row>
    <row r="977">
      <c r="G977" s="55"/>
      <c r="H977" s="54"/>
      <c r="I977" s="54"/>
      <c r="J977" s="54"/>
      <c r="K977" s="54"/>
      <c r="L977" s="54"/>
      <c r="M977" s="54"/>
      <c r="N977" s="59"/>
      <c r="O977" s="61"/>
      <c r="P977" s="61"/>
      <c r="Q977" s="61"/>
      <c r="R977" s="50"/>
      <c r="S977" s="50"/>
      <c r="T977" s="61"/>
      <c r="U977" s="61"/>
      <c r="V977" s="61"/>
      <c r="W977" s="61"/>
      <c r="X977" s="61"/>
      <c r="Y977" s="61"/>
      <c r="Z977" s="52"/>
      <c r="AA977" s="52"/>
      <c r="AB977" s="52"/>
      <c r="AC977" s="52"/>
      <c r="AD977" s="53"/>
      <c r="AE977" s="53"/>
      <c r="AF977" s="53"/>
    </row>
    <row r="978">
      <c r="G978" s="55"/>
      <c r="H978" s="54"/>
      <c r="I978" s="54"/>
      <c r="J978" s="54"/>
      <c r="K978" s="54"/>
      <c r="L978" s="54"/>
      <c r="M978" s="54"/>
      <c r="N978" s="59"/>
      <c r="O978" s="61"/>
      <c r="P978" s="61"/>
      <c r="Q978" s="61"/>
      <c r="R978" s="50"/>
      <c r="S978" s="50"/>
      <c r="T978" s="61"/>
      <c r="U978" s="61"/>
      <c r="V978" s="61"/>
      <c r="W978" s="61"/>
      <c r="X978" s="61"/>
      <c r="Y978" s="61"/>
      <c r="Z978" s="52"/>
      <c r="AA978" s="52"/>
      <c r="AB978" s="52"/>
      <c r="AC978" s="52"/>
      <c r="AD978" s="53"/>
      <c r="AE978" s="53"/>
      <c r="AF978" s="53"/>
    </row>
    <row r="979">
      <c r="G979" s="55"/>
      <c r="H979" s="54"/>
      <c r="I979" s="54"/>
      <c r="J979" s="54"/>
      <c r="K979" s="54"/>
      <c r="L979" s="54"/>
      <c r="M979" s="54"/>
      <c r="N979" s="59"/>
      <c r="O979" s="61"/>
      <c r="P979" s="61"/>
      <c r="Q979" s="61"/>
      <c r="R979" s="50"/>
      <c r="S979" s="50"/>
      <c r="T979" s="61"/>
      <c r="U979" s="61"/>
      <c r="V979" s="61"/>
      <c r="W979" s="61"/>
      <c r="X979" s="61"/>
      <c r="Y979" s="61"/>
      <c r="Z979" s="52"/>
      <c r="AA979" s="52"/>
      <c r="AB979" s="52"/>
      <c r="AC979" s="52"/>
      <c r="AD979" s="53"/>
      <c r="AE979" s="53"/>
      <c r="AF979" s="53"/>
    </row>
    <row r="980">
      <c r="G980" s="55"/>
      <c r="H980" s="54"/>
      <c r="I980" s="54"/>
      <c r="J980" s="54"/>
      <c r="K980" s="54"/>
      <c r="L980" s="54"/>
      <c r="M980" s="54"/>
      <c r="N980" s="59"/>
      <c r="O980" s="61"/>
      <c r="P980" s="61"/>
      <c r="Q980" s="61"/>
      <c r="R980" s="50"/>
      <c r="S980" s="50"/>
      <c r="T980" s="61"/>
      <c r="U980" s="61"/>
      <c r="V980" s="61"/>
      <c r="W980" s="61"/>
      <c r="X980" s="61"/>
      <c r="Y980" s="61"/>
      <c r="Z980" s="52"/>
      <c r="AA980" s="52"/>
      <c r="AB980" s="52"/>
      <c r="AC980" s="52"/>
      <c r="AD980" s="53"/>
      <c r="AE980" s="53"/>
      <c r="AF980" s="53"/>
    </row>
    <row r="981">
      <c r="G981" s="55"/>
      <c r="H981" s="54"/>
      <c r="I981" s="54"/>
      <c r="J981" s="54"/>
      <c r="K981" s="54"/>
      <c r="L981" s="54"/>
      <c r="M981" s="54"/>
      <c r="N981" s="59"/>
      <c r="O981" s="61"/>
      <c r="P981" s="61"/>
      <c r="Q981" s="61"/>
      <c r="R981" s="50"/>
      <c r="S981" s="50"/>
      <c r="T981" s="61"/>
      <c r="U981" s="61"/>
      <c r="V981" s="61"/>
      <c r="W981" s="61"/>
      <c r="X981" s="61"/>
      <c r="Y981" s="61"/>
      <c r="Z981" s="52"/>
      <c r="AA981" s="52"/>
      <c r="AB981" s="52"/>
      <c r="AC981" s="52"/>
      <c r="AD981" s="53"/>
      <c r="AE981" s="53"/>
      <c r="AF981" s="53"/>
    </row>
    <row r="982">
      <c r="G982" s="55"/>
      <c r="H982" s="54"/>
      <c r="I982" s="54"/>
      <c r="J982" s="54"/>
      <c r="K982" s="54"/>
      <c r="L982" s="54"/>
      <c r="M982" s="54"/>
      <c r="N982" s="59"/>
      <c r="O982" s="61"/>
      <c r="P982" s="61"/>
      <c r="Q982" s="61"/>
      <c r="R982" s="50"/>
      <c r="S982" s="50"/>
      <c r="T982" s="61"/>
      <c r="U982" s="61"/>
      <c r="V982" s="61"/>
      <c r="W982" s="61"/>
      <c r="X982" s="61"/>
      <c r="Y982" s="61"/>
      <c r="Z982" s="52"/>
      <c r="AA982" s="52"/>
      <c r="AB982" s="52"/>
      <c r="AC982" s="52"/>
      <c r="AD982" s="53"/>
      <c r="AE982" s="53"/>
      <c r="AF982" s="53"/>
    </row>
    <row r="983">
      <c r="G983" s="55"/>
      <c r="H983" s="54"/>
      <c r="I983" s="54"/>
      <c r="J983" s="54"/>
      <c r="K983" s="54"/>
      <c r="L983" s="54"/>
      <c r="M983" s="54"/>
      <c r="N983" s="59"/>
      <c r="O983" s="61"/>
      <c r="P983" s="61"/>
      <c r="Q983" s="61"/>
      <c r="R983" s="50"/>
      <c r="S983" s="50"/>
      <c r="T983" s="61"/>
      <c r="U983" s="61"/>
      <c r="V983" s="61"/>
      <c r="W983" s="61"/>
      <c r="X983" s="61"/>
      <c r="Y983" s="61"/>
      <c r="Z983" s="52"/>
      <c r="AA983" s="52"/>
      <c r="AB983" s="52"/>
      <c r="AC983" s="52"/>
      <c r="AD983" s="53"/>
      <c r="AE983" s="53"/>
      <c r="AF983" s="53"/>
    </row>
    <row r="984">
      <c r="G984" s="55"/>
      <c r="H984" s="54"/>
      <c r="I984" s="54"/>
      <c r="J984" s="54"/>
      <c r="K984" s="54"/>
      <c r="L984" s="54"/>
      <c r="M984" s="54"/>
      <c r="N984" s="59"/>
      <c r="O984" s="61"/>
      <c r="P984" s="61"/>
      <c r="Q984" s="61"/>
      <c r="R984" s="50"/>
      <c r="S984" s="50"/>
      <c r="T984" s="61"/>
      <c r="U984" s="61"/>
      <c r="V984" s="61"/>
      <c r="W984" s="61"/>
      <c r="X984" s="61"/>
      <c r="Y984" s="61"/>
      <c r="Z984" s="52"/>
      <c r="AA984" s="52"/>
      <c r="AB984" s="52"/>
      <c r="AC984" s="52"/>
      <c r="AD984" s="53"/>
      <c r="AE984" s="53"/>
      <c r="AF984" s="53"/>
    </row>
    <row r="985">
      <c r="G985" s="55"/>
      <c r="H985" s="54"/>
      <c r="I985" s="54"/>
      <c r="J985" s="54"/>
      <c r="K985" s="54"/>
      <c r="L985" s="54"/>
      <c r="M985" s="54"/>
      <c r="N985" s="59"/>
      <c r="O985" s="61"/>
      <c r="P985" s="61"/>
      <c r="Q985" s="61"/>
      <c r="R985" s="50"/>
      <c r="S985" s="50"/>
      <c r="T985" s="61"/>
      <c r="U985" s="61"/>
      <c r="V985" s="61"/>
      <c r="W985" s="61"/>
      <c r="X985" s="61"/>
      <c r="Y985" s="61"/>
      <c r="Z985" s="52"/>
      <c r="AA985" s="52"/>
      <c r="AB985" s="52"/>
      <c r="AC985" s="52"/>
      <c r="AD985" s="53"/>
      <c r="AE985" s="53"/>
      <c r="AF985" s="53"/>
    </row>
    <row r="986">
      <c r="G986" s="55"/>
      <c r="H986" s="54"/>
      <c r="I986" s="54"/>
      <c r="J986" s="54"/>
      <c r="K986" s="54"/>
      <c r="L986" s="54"/>
      <c r="M986" s="54"/>
      <c r="N986" s="59"/>
      <c r="O986" s="61"/>
      <c r="P986" s="61"/>
      <c r="Q986" s="61"/>
      <c r="R986" s="50"/>
      <c r="S986" s="50"/>
      <c r="T986" s="61"/>
      <c r="U986" s="61"/>
      <c r="V986" s="61"/>
      <c r="W986" s="61"/>
      <c r="X986" s="61"/>
      <c r="Y986" s="61"/>
      <c r="Z986" s="52"/>
      <c r="AA986" s="52"/>
      <c r="AB986" s="52"/>
      <c r="AC986" s="52"/>
      <c r="AD986" s="53"/>
      <c r="AE986" s="53"/>
      <c r="AF986" s="53"/>
    </row>
    <row r="987">
      <c r="G987" s="55"/>
      <c r="H987" s="54"/>
      <c r="I987" s="54"/>
      <c r="J987" s="54"/>
      <c r="K987" s="54"/>
      <c r="L987" s="54"/>
      <c r="M987" s="54"/>
      <c r="N987" s="59"/>
      <c r="O987" s="61"/>
      <c r="P987" s="61"/>
      <c r="Q987" s="61"/>
      <c r="R987" s="50"/>
      <c r="S987" s="50"/>
      <c r="T987" s="61"/>
      <c r="U987" s="61"/>
      <c r="V987" s="61"/>
      <c r="W987" s="61"/>
      <c r="X987" s="61"/>
      <c r="Y987" s="61"/>
      <c r="Z987" s="52"/>
      <c r="AA987" s="52"/>
      <c r="AB987" s="52"/>
      <c r="AC987" s="52"/>
      <c r="AD987" s="53"/>
      <c r="AE987" s="53"/>
      <c r="AF987" s="53"/>
    </row>
    <row r="988">
      <c r="G988" s="55"/>
      <c r="H988" s="54"/>
      <c r="I988" s="54"/>
      <c r="J988" s="54"/>
      <c r="K988" s="54"/>
      <c r="L988" s="54"/>
      <c r="M988" s="54"/>
      <c r="N988" s="59"/>
      <c r="O988" s="61"/>
      <c r="P988" s="61"/>
      <c r="Q988" s="61"/>
      <c r="R988" s="50"/>
      <c r="S988" s="50"/>
      <c r="T988" s="61"/>
      <c r="U988" s="61"/>
      <c r="V988" s="61"/>
      <c r="W988" s="61"/>
      <c r="X988" s="61"/>
      <c r="Y988" s="61"/>
      <c r="Z988" s="52"/>
      <c r="AA988" s="52"/>
      <c r="AB988" s="52"/>
      <c r="AC988" s="52"/>
      <c r="AD988" s="53"/>
      <c r="AE988" s="53"/>
      <c r="AF988" s="53"/>
    </row>
    <row r="989">
      <c r="G989" s="55"/>
      <c r="H989" s="54"/>
      <c r="I989" s="54"/>
      <c r="J989" s="54"/>
      <c r="K989" s="54"/>
      <c r="L989" s="54"/>
      <c r="M989" s="54"/>
      <c r="N989" s="59"/>
      <c r="O989" s="61"/>
      <c r="P989" s="61"/>
      <c r="Q989" s="61"/>
      <c r="R989" s="50"/>
      <c r="S989" s="50"/>
      <c r="T989" s="61"/>
      <c r="U989" s="61"/>
      <c r="V989" s="61"/>
      <c r="W989" s="61"/>
      <c r="X989" s="61"/>
      <c r="Y989" s="61"/>
      <c r="Z989" s="52"/>
      <c r="AA989" s="52"/>
      <c r="AB989" s="52"/>
      <c r="AC989" s="52"/>
      <c r="AD989" s="53"/>
      <c r="AE989" s="53"/>
      <c r="AF989" s="53"/>
    </row>
    <row r="990">
      <c r="G990" s="55"/>
      <c r="H990" s="54"/>
      <c r="I990" s="54"/>
      <c r="J990" s="54"/>
      <c r="K990" s="54"/>
      <c r="L990" s="54"/>
      <c r="M990" s="54"/>
      <c r="N990" s="59"/>
      <c r="O990" s="61"/>
      <c r="P990" s="61"/>
      <c r="Q990" s="61"/>
      <c r="R990" s="50"/>
      <c r="S990" s="50"/>
      <c r="T990" s="61"/>
      <c r="U990" s="61"/>
      <c r="V990" s="61"/>
      <c r="W990" s="61"/>
      <c r="X990" s="61"/>
      <c r="Y990" s="61"/>
      <c r="Z990" s="52"/>
      <c r="AA990" s="52"/>
      <c r="AB990" s="52"/>
      <c r="AC990" s="52"/>
      <c r="AD990" s="53"/>
      <c r="AE990" s="53"/>
      <c r="AF990" s="53"/>
    </row>
    <row r="991">
      <c r="G991" s="55"/>
      <c r="H991" s="54"/>
      <c r="I991" s="54"/>
      <c r="J991" s="54"/>
      <c r="K991" s="54"/>
      <c r="L991" s="54"/>
      <c r="M991" s="54"/>
      <c r="N991" s="59"/>
      <c r="O991" s="61"/>
      <c r="P991" s="61"/>
      <c r="Q991" s="61"/>
      <c r="R991" s="50"/>
      <c r="S991" s="50"/>
      <c r="T991" s="61"/>
      <c r="U991" s="61"/>
      <c r="V991" s="61"/>
      <c r="W991" s="61"/>
      <c r="X991" s="61"/>
      <c r="Y991" s="61"/>
      <c r="Z991" s="52"/>
      <c r="AA991" s="52"/>
      <c r="AB991" s="52"/>
      <c r="AC991" s="52"/>
      <c r="AD991" s="53"/>
      <c r="AE991" s="53"/>
      <c r="AF991" s="53"/>
    </row>
    <row r="992">
      <c r="G992" s="55"/>
      <c r="H992" s="54"/>
      <c r="I992" s="54"/>
      <c r="J992" s="54"/>
      <c r="K992" s="54"/>
      <c r="L992" s="54"/>
      <c r="M992" s="54"/>
      <c r="N992" s="59"/>
      <c r="O992" s="61"/>
      <c r="P992" s="61"/>
      <c r="Q992" s="61"/>
      <c r="R992" s="50"/>
      <c r="S992" s="50"/>
      <c r="T992" s="61"/>
      <c r="U992" s="61"/>
      <c r="V992" s="61"/>
      <c r="W992" s="61"/>
      <c r="X992" s="61"/>
      <c r="Y992" s="61"/>
      <c r="Z992" s="52"/>
      <c r="AA992" s="52"/>
      <c r="AB992" s="52"/>
      <c r="AC992" s="52"/>
      <c r="AD992" s="53"/>
      <c r="AE992" s="53"/>
      <c r="AF992" s="53"/>
    </row>
    <row r="993">
      <c r="G993" s="55"/>
      <c r="H993" s="54"/>
      <c r="I993" s="54"/>
      <c r="J993" s="54"/>
      <c r="K993" s="54"/>
      <c r="L993" s="54"/>
      <c r="M993" s="54"/>
      <c r="N993" s="59"/>
      <c r="O993" s="61"/>
      <c r="P993" s="61"/>
      <c r="Q993" s="61"/>
      <c r="R993" s="50"/>
      <c r="S993" s="50"/>
      <c r="T993" s="61"/>
      <c r="U993" s="61"/>
      <c r="V993" s="61"/>
      <c r="W993" s="61"/>
      <c r="X993" s="61"/>
      <c r="Y993" s="61"/>
      <c r="Z993" s="52"/>
      <c r="AA993" s="52"/>
      <c r="AB993" s="52"/>
      <c r="AC993" s="52"/>
      <c r="AD993" s="53"/>
      <c r="AE993" s="53"/>
      <c r="AF993" s="53"/>
    </row>
    <row r="994">
      <c r="G994" s="55"/>
      <c r="H994" s="54"/>
      <c r="I994" s="54"/>
      <c r="J994" s="54"/>
      <c r="K994" s="54"/>
      <c r="L994" s="54"/>
      <c r="M994" s="54"/>
      <c r="N994" s="59"/>
      <c r="O994" s="61"/>
      <c r="P994" s="61"/>
      <c r="Q994" s="61"/>
      <c r="R994" s="50"/>
      <c r="S994" s="50"/>
      <c r="T994" s="61"/>
      <c r="U994" s="61"/>
      <c r="V994" s="61"/>
      <c r="W994" s="61"/>
      <c r="X994" s="61"/>
      <c r="Y994" s="61"/>
      <c r="Z994" s="52"/>
      <c r="AA994" s="52"/>
      <c r="AB994" s="52"/>
      <c r="AC994" s="52"/>
      <c r="AD994" s="53"/>
      <c r="AE994" s="53"/>
      <c r="AF994" s="53"/>
    </row>
    <row r="995">
      <c r="G995" s="55"/>
      <c r="H995" s="54"/>
      <c r="I995" s="54"/>
      <c r="J995" s="54"/>
      <c r="K995" s="54"/>
      <c r="L995" s="54"/>
      <c r="M995" s="54"/>
      <c r="N995" s="59"/>
      <c r="O995" s="61"/>
      <c r="P995" s="61"/>
      <c r="Q995" s="61"/>
      <c r="R995" s="50"/>
      <c r="S995" s="50"/>
      <c r="T995" s="61"/>
      <c r="U995" s="61"/>
      <c r="V995" s="61"/>
      <c r="W995" s="61"/>
      <c r="X995" s="61"/>
      <c r="Y995" s="61"/>
      <c r="Z995" s="52"/>
      <c r="AA995" s="52"/>
      <c r="AB995" s="52"/>
      <c r="AC995" s="52"/>
      <c r="AD995" s="53"/>
      <c r="AE995" s="53"/>
      <c r="AF995" s="53"/>
    </row>
    <row r="996">
      <c r="G996" s="55"/>
      <c r="H996" s="54"/>
      <c r="I996" s="54"/>
      <c r="J996" s="54"/>
      <c r="K996" s="54"/>
      <c r="L996" s="54"/>
      <c r="M996" s="54"/>
      <c r="N996" s="59"/>
      <c r="O996" s="61"/>
      <c r="P996" s="61"/>
      <c r="Q996" s="61"/>
      <c r="R996" s="50"/>
      <c r="S996" s="50"/>
      <c r="T996" s="61"/>
      <c r="U996" s="61"/>
      <c r="V996" s="61"/>
      <c r="W996" s="61"/>
      <c r="X996" s="61"/>
      <c r="Y996" s="61"/>
      <c r="Z996" s="52"/>
      <c r="AA996" s="52"/>
      <c r="AB996" s="52"/>
      <c r="AC996" s="52"/>
      <c r="AD996" s="53"/>
      <c r="AE996" s="53"/>
      <c r="AF996" s="53"/>
    </row>
    <row r="997">
      <c r="G997" s="55"/>
      <c r="H997" s="54"/>
      <c r="I997" s="54"/>
      <c r="J997" s="54"/>
      <c r="K997" s="54"/>
      <c r="L997" s="54"/>
      <c r="M997" s="54"/>
      <c r="N997" s="59"/>
      <c r="O997" s="61"/>
      <c r="P997" s="61"/>
      <c r="Q997" s="61"/>
      <c r="R997" s="50"/>
      <c r="S997" s="50"/>
      <c r="T997" s="61"/>
      <c r="U997" s="61"/>
      <c r="V997" s="61"/>
      <c r="W997" s="61"/>
      <c r="X997" s="61"/>
      <c r="Y997" s="61"/>
      <c r="Z997" s="52"/>
      <c r="AA997" s="52"/>
      <c r="AB997" s="52"/>
      <c r="AC997" s="52"/>
      <c r="AD997" s="53"/>
      <c r="AE997" s="53"/>
      <c r="AF997" s="53"/>
    </row>
    <row r="998">
      <c r="G998" s="55"/>
      <c r="H998" s="54"/>
      <c r="I998" s="54"/>
      <c r="J998" s="54"/>
      <c r="K998" s="54"/>
      <c r="L998" s="54"/>
      <c r="M998" s="54"/>
      <c r="N998" s="59"/>
      <c r="O998" s="61"/>
      <c r="P998" s="61"/>
      <c r="Q998" s="61"/>
      <c r="R998" s="50"/>
      <c r="S998" s="50"/>
      <c r="T998" s="61"/>
      <c r="U998" s="61"/>
      <c r="V998" s="61"/>
      <c r="W998" s="61"/>
      <c r="X998" s="61"/>
      <c r="Y998" s="61"/>
      <c r="Z998" s="52"/>
      <c r="AA998" s="52"/>
      <c r="AB998" s="52"/>
      <c r="AC998" s="52"/>
      <c r="AD998" s="53"/>
      <c r="AE998" s="53"/>
      <c r="AF998" s="53"/>
    </row>
    <row r="999">
      <c r="G999" s="55"/>
      <c r="H999" s="54"/>
      <c r="I999" s="54"/>
      <c r="J999" s="54"/>
      <c r="K999" s="54"/>
      <c r="L999" s="54"/>
      <c r="M999" s="54"/>
      <c r="N999" s="59"/>
      <c r="O999" s="61"/>
      <c r="P999" s="61"/>
      <c r="Q999" s="61"/>
      <c r="R999" s="50"/>
      <c r="S999" s="50"/>
      <c r="T999" s="61"/>
      <c r="U999" s="61"/>
      <c r="V999" s="61"/>
      <c r="W999" s="61"/>
      <c r="X999" s="61"/>
      <c r="Y999" s="61"/>
      <c r="Z999" s="52"/>
      <c r="AA999" s="52"/>
      <c r="AB999" s="52"/>
      <c r="AC999" s="52"/>
      <c r="AD999" s="53"/>
      <c r="AE999" s="53"/>
      <c r="AF999" s="53"/>
    </row>
    <row r="1000">
      <c r="G1000" s="55"/>
      <c r="H1000" s="54"/>
      <c r="I1000" s="54"/>
      <c r="J1000" s="54"/>
      <c r="K1000" s="54"/>
      <c r="L1000" s="54"/>
      <c r="M1000" s="54"/>
      <c r="N1000" s="59"/>
      <c r="O1000" s="61"/>
      <c r="P1000" s="61"/>
      <c r="Q1000" s="61"/>
      <c r="R1000" s="50"/>
      <c r="S1000" s="50"/>
      <c r="T1000" s="61"/>
      <c r="U1000" s="61"/>
      <c r="V1000" s="61"/>
      <c r="W1000" s="61"/>
      <c r="X1000" s="61"/>
      <c r="Y1000" s="61"/>
      <c r="Z1000" s="52"/>
      <c r="AA1000" s="52"/>
      <c r="AB1000" s="52"/>
      <c r="AC1000" s="52"/>
      <c r="AD1000" s="53"/>
      <c r="AE1000" s="53"/>
      <c r="AF1000" s="53"/>
    </row>
    <row r="1001">
      <c r="G1001" s="55"/>
      <c r="H1001" s="54"/>
      <c r="I1001" s="54"/>
      <c r="J1001" s="54"/>
      <c r="K1001" s="54"/>
      <c r="L1001" s="54"/>
      <c r="M1001" s="54"/>
      <c r="N1001" s="59"/>
      <c r="O1001" s="61"/>
      <c r="P1001" s="61"/>
      <c r="Q1001" s="61"/>
      <c r="R1001" s="50"/>
      <c r="S1001" s="50"/>
      <c r="T1001" s="61"/>
      <c r="U1001" s="61"/>
      <c r="V1001" s="61"/>
      <c r="W1001" s="61"/>
      <c r="X1001" s="61"/>
      <c r="Y1001" s="61"/>
      <c r="Z1001" s="52"/>
      <c r="AA1001" s="52"/>
      <c r="AB1001" s="52"/>
      <c r="AC1001" s="52"/>
      <c r="AD1001" s="53"/>
      <c r="AE1001" s="53"/>
      <c r="AF1001" s="53"/>
    </row>
    <row r="1002">
      <c r="G1002" s="55"/>
      <c r="H1002" s="54"/>
      <c r="I1002" s="54"/>
      <c r="J1002" s="54"/>
      <c r="K1002" s="54"/>
      <c r="L1002" s="54"/>
      <c r="M1002" s="54"/>
      <c r="N1002" s="59"/>
      <c r="O1002" s="61"/>
      <c r="P1002" s="61"/>
      <c r="Q1002" s="61"/>
      <c r="R1002" s="50"/>
      <c r="S1002" s="50"/>
      <c r="T1002" s="61"/>
      <c r="U1002" s="61"/>
      <c r="V1002" s="61"/>
      <c r="W1002" s="61"/>
      <c r="X1002" s="61"/>
      <c r="Y1002" s="61"/>
      <c r="Z1002" s="52"/>
      <c r="AA1002" s="52"/>
      <c r="AB1002" s="52"/>
      <c r="AC1002" s="52"/>
      <c r="AD1002" s="53"/>
      <c r="AE1002" s="53"/>
      <c r="AF1002" s="53"/>
    </row>
    <row r="1003">
      <c r="G1003" s="55"/>
      <c r="H1003" s="54"/>
      <c r="I1003" s="54"/>
      <c r="J1003" s="54"/>
      <c r="K1003" s="54"/>
      <c r="L1003" s="54"/>
      <c r="M1003" s="54"/>
      <c r="N1003" s="59"/>
      <c r="O1003" s="61"/>
      <c r="P1003" s="61"/>
      <c r="Q1003" s="61"/>
      <c r="R1003" s="50"/>
      <c r="S1003" s="50"/>
      <c r="T1003" s="61"/>
      <c r="U1003" s="61"/>
      <c r="V1003" s="61"/>
      <c r="W1003" s="61"/>
      <c r="X1003" s="61"/>
      <c r="Y1003" s="61"/>
      <c r="Z1003" s="52"/>
      <c r="AA1003" s="52"/>
      <c r="AB1003" s="52"/>
      <c r="AC1003" s="52"/>
      <c r="AD1003" s="53"/>
      <c r="AE1003" s="53"/>
      <c r="AF1003" s="53"/>
    </row>
    <row r="1004">
      <c r="G1004" s="55"/>
      <c r="H1004" s="54"/>
      <c r="I1004" s="54"/>
      <c r="J1004" s="54"/>
      <c r="K1004" s="54"/>
      <c r="L1004" s="54"/>
      <c r="M1004" s="54"/>
      <c r="N1004" s="59"/>
      <c r="O1004" s="61"/>
      <c r="P1004" s="61"/>
      <c r="Q1004" s="61"/>
      <c r="R1004" s="50"/>
      <c r="S1004" s="50"/>
      <c r="T1004" s="61"/>
      <c r="U1004" s="61"/>
      <c r="V1004" s="61"/>
      <c r="W1004" s="61"/>
      <c r="X1004" s="61"/>
      <c r="Y1004" s="61"/>
      <c r="Z1004" s="52"/>
      <c r="AA1004" s="52"/>
      <c r="AB1004" s="52"/>
      <c r="AC1004" s="52"/>
      <c r="AD1004" s="53"/>
      <c r="AE1004" s="53"/>
      <c r="AF1004" s="53"/>
    </row>
    <row r="1005">
      <c r="G1005" s="55"/>
      <c r="H1005" s="54"/>
      <c r="I1005" s="54"/>
      <c r="J1005" s="54"/>
      <c r="K1005" s="54"/>
      <c r="L1005" s="54"/>
      <c r="M1005" s="54"/>
      <c r="N1005" s="59"/>
      <c r="O1005" s="61"/>
      <c r="P1005" s="61"/>
      <c r="Q1005" s="61"/>
      <c r="R1005" s="50"/>
      <c r="S1005" s="50"/>
      <c r="T1005" s="61"/>
      <c r="U1005" s="61"/>
      <c r="V1005" s="61"/>
      <c r="W1005" s="61"/>
      <c r="X1005" s="61"/>
      <c r="Y1005" s="61"/>
      <c r="Z1005" s="52"/>
      <c r="AA1005" s="52"/>
      <c r="AB1005" s="52"/>
      <c r="AC1005" s="52"/>
      <c r="AD1005" s="53"/>
      <c r="AE1005" s="53"/>
      <c r="AF1005" s="53"/>
    </row>
    <row r="1006">
      <c r="G1006" s="55"/>
      <c r="H1006" s="54"/>
      <c r="I1006" s="54"/>
      <c r="J1006" s="54"/>
      <c r="K1006" s="54"/>
      <c r="L1006" s="54"/>
      <c r="M1006" s="54"/>
      <c r="N1006" s="59"/>
      <c r="O1006" s="61"/>
      <c r="P1006" s="61"/>
      <c r="Q1006" s="61"/>
      <c r="R1006" s="50"/>
      <c r="S1006" s="50"/>
      <c r="T1006" s="61"/>
      <c r="U1006" s="61"/>
      <c r="V1006" s="61"/>
      <c r="W1006" s="61"/>
      <c r="X1006" s="61"/>
      <c r="Y1006" s="61"/>
      <c r="Z1006" s="52"/>
      <c r="AA1006" s="52"/>
      <c r="AB1006" s="52"/>
      <c r="AC1006" s="52"/>
      <c r="AD1006" s="53"/>
      <c r="AE1006" s="53"/>
      <c r="AF1006" s="53"/>
    </row>
    <row r="1007">
      <c r="G1007" s="55"/>
      <c r="H1007" s="54"/>
      <c r="I1007" s="54"/>
      <c r="J1007" s="54"/>
      <c r="K1007" s="54"/>
      <c r="L1007" s="54"/>
      <c r="M1007" s="54"/>
      <c r="N1007" s="59"/>
      <c r="O1007" s="61"/>
      <c r="P1007" s="61"/>
      <c r="Q1007" s="61"/>
      <c r="R1007" s="50"/>
      <c r="S1007" s="50"/>
      <c r="T1007" s="61"/>
      <c r="U1007" s="61"/>
      <c r="V1007" s="61"/>
      <c r="W1007" s="61"/>
      <c r="X1007" s="61"/>
      <c r="Y1007" s="61"/>
      <c r="Z1007" s="52"/>
      <c r="AA1007" s="52"/>
      <c r="AB1007" s="52"/>
      <c r="AC1007" s="52"/>
      <c r="AD1007" s="53"/>
      <c r="AE1007" s="53"/>
      <c r="AF1007" s="53"/>
    </row>
    <row r="1008">
      <c r="G1008" s="55"/>
      <c r="H1008" s="54"/>
      <c r="I1008" s="54"/>
      <c r="J1008" s="54"/>
      <c r="K1008" s="54"/>
      <c r="L1008" s="54"/>
      <c r="M1008" s="54"/>
      <c r="N1008" s="59"/>
      <c r="O1008" s="61"/>
      <c r="P1008" s="61"/>
      <c r="Q1008" s="61"/>
      <c r="R1008" s="50"/>
      <c r="S1008" s="50"/>
      <c r="T1008" s="61"/>
      <c r="U1008" s="61"/>
      <c r="V1008" s="61"/>
      <c r="W1008" s="61"/>
      <c r="X1008" s="61"/>
      <c r="Y1008" s="61"/>
      <c r="Z1008" s="52"/>
      <c r="AA1008" s="52"/>
      <c r="AB1008" s="52"/>
      <c r="AC1008" s="52"/>
      <c r="AD1008" s="53"/>
      <c r="AE1008" s="53"/>
      <c r="AF1008" s="53"/>
    </row>
    <row r="1009">
      <c r="G1009" s="55"/>
      <c r="H1009" s="54"/>
      <c r="I1009" s="54"/>
      <c r="J1009" s="54"/>
      <c r="K1009" s="54"/>
      <c r="L1009" s="54"/>
      <c r="M1009" s="54"/>
      <c r="N1009" s="59"/>
      <c r="O1009" s="61"/>
      <c r="P1009" s="61"/>
      <c r="Q1009" s="61"/>
      <c r="R1009" s="50"/>
      <c r="S1009" s="50"/>
      <c r="T1009" s="61"/>
      <c r="U1009" s="61"/>
      <c r="V1009" s="61"/>
      <c r="W1009" s="61"/>
      <c r="X1009" s="61"/>
      <c r="Y1009" s="61"/>
      <c r="Z1009" s="52"/>
      <c r="AA1009" s="52"/>
      <c r="AB1009" s="52"/>
      <c r="AC1009" s="52"/>
      <c r="AD1009" s="53"/>
      <c r="AE1009" s="53"/>
      <c r="AF1009" s="53"/>
    </row>
    <row r="1010">
      <c r="G1010" s="55"/>
      <c r="H1010" s="54"/>
      <c r="I1010" s="54"/>
      <c r="J1010" s="54"/>
      <c r="K1010" s="54"/>
      <c r="L1010" s="54"/>
      <c r="M1010" s="54"/>
      <c r="N1010" s="59"/>
      <c r="O1010" s="61"/>
      <c r="P1010" s="61"/>
      <c r="Q1010" s="61"/>
      <c r="R1010" s="50"/>
      <c r="S1010" s="50"/>
      <c r="T1010" s="61"/>
      <c r="U1010" s="61"/>
      <c r="V1010" s="61"/>
      <c r="W1010" s="61"/>
      <c r="X1010" s="61"/>
      <c r="Y1010" s="61"/>
      <c r="Z1010" s="52"/>
      <c r="AA1010" s="52"/>
      <c r="AB1010" s="52"/>
      <c r="AC1010" s="52"/>
      <c r="AD1010" s="53"/>
      <c r="AE1010" s="53"/>
      <c r="AF1010" s="53"/>
    </row>
    <row r="1011">
      <c r="G1011" s="55"/>
      <c r="H1011" s="54"/>
      <c r="I1011" s="54"/>
      <c r="J1011" s="54"/>
      <c r="K1011" s="54"/>
      <c r="L1011" s="54"/>
      <c r="M1011" s="54"/>
      <c r="N1011" s="59"/>
      <c r="O1011" s="61"/>
      <c r="P1011" s="61"/>
      <c r="Q1011" s="61"/>
      <c r="R1011" s="50"/>
      <c r="S1011" s="50"/>
      <c r="T1011" s="61"/>
      <c r="U1011" s="61"/>
      <c r="V1011" s="61"/>
      <c r="W1011" s="61"/>
      <c r="X1011" s="61"/>
      <c r="Y1011" s="61"/>
      <c r="Z1011" s="52"/>
      <c r="AA1011" s="52"/>
      <c r="AB1011" s="52"/>
      <c r="AC1011" s="52"/>
      <c r="AD1011" s="53"/>
      <c r="AE1011" s="53"/>
      <c r="AF1011" s="53"/>
    </row>
    <row r="1012">
      <c r="G1012" s="55"/>
      <c r="H1012" s="54"/>
      <c r="I1012" s="54"/>
      <c r="J1012" s="54"/>
      <c r="K1012" s="54"/>
      <c r="L1012" s="54"/>
      <c r="M1012" s="54"/>
      <c r="N1012" s="59"/>
      <c r="O1012" s="61"/>
      <c r="P1012" s="61"/>
      <c r="Q1012" s="61"/>
      <c r="R1012" s="50"/>
      <c r="S1012" s="50"/>
      <c r="T1012" s="61"/>
      <c r="U1012" s="61"/>
      <c r="V1012" s="61"/>
      <c r="W1012" s="61"/>
      <c r="X1012" s="61"/>
      <c r="Y1012" s="61"/>
      <c r="Z1012" s="52"/>
      <c r="AA1012" s="52"/>
      <c r="AB1012" s="52"/>
      <c r="AC1012" s="52"/>
      <c r="AD1012" s="53"/>
      <c r="AE1012" s="53"/>
      <c r="AF1012" s="53"/>
    </row>
    <row r="1013">
      <c r="G1013" s="55"/>
      <c r="H1013" s="54"/>
      <c r="I1013" s="54"/>
      <c r="J1013" s="54"/>
      <c r="K1013" s="54"/>
      <c r="L1013" s="54"/>
      <c r="M1013" s="54"/>
      <c r="N1013" s="59"/>
      <c r="O1013" s="61"/>
      <c r="P1013" s="61"/>
      <c r="Q1013" s="61"/>
      <c r="R1013" s="50"/>
      <c r="S1013" s="50"/>
      <c r="T1013" s="61"/>
      <c r="U1013" s="61"/>
      <c r="V1013" s="61"/>
      <c r="W1013" s="61"/>
      <c r="X1013" s="61"/>
      <c r="Y1013" s="61"/>
      <c r="Z1013" s="52"/>
      <c r="AA1013" s="52"/>
      <c r="AB1013" s="52"/>
      <c r="AC1013" s="52"/>
      <c r="AD1013" s="53"/>
      <c r="AE1013" s="53"/>
      <c r="AF1013" s="53"/>
    </row>
    <row r="1014">
      <c r="G1014" s="55"/>
      <c r="H1014" s="54"/>
      <c r="I1014" s="54"/>
      <c r="J1014" s="54"/>
      <c r="K1014" s="54"/>
      <c r="L1014" s="54"/>
      <c r="M1014" s="54"/>
      <c r="N1014" s="59"/>
      <c r="O1014" s="61"/>
      <c r="P1014" s="61"/>
      <c r="Q1014" s="61"/>
      <c r="R1014" s="50"/>
      <c r="S1014" s="50"/>
      <c r="T1014" s="61"/>
      <c r="U1014" s="61"/>
      <c r="V1014" s="61"/>
      <c r="W1014" s="61"/>
      <c r="X1014" s="61"/>
      <c r="Y1014" s="61"/>
      <c r="Z1014" s="52"/>
      <c r="AA1014" s="52"/>
      <c r="AB1014" s="52"/>
      <c r="AC1014" s="52"/>
      <c r="AD1014" s="53"/>
      <c r="AE1014" s="53"/>
      <c r="AF1014" s="53"/>
    </row>
    <row r="1015">
      <c r="G1015" s="55"/>
      <c r="H1015" s="54"/>
      <c r="I1015" s="54"/>
      <c r="J1015" s="54"/>
      <c r="K1015" s="54"/>
      <c r="L1015" s="54"/>
      <c r="M1015" s="54"/>
      <c r="N1015" s="59"/>
      <c r="O1015" s="61"/>
      <c r="P1015" s="61"/>
      <c r="Q1015" s="61"/>
      <c r="R1015" s="50"/>
      <c r="S1015" s="50"/>
      <c r="T1015" s="61"/>
      <c r="U1015" s="61"/>
      <c r="V1015" s="61"/>
      <c r="W1015" s="61"/>
      <c r="X1015" s="61"/>
      <c r="Y1015" s="61"/>
      <c r="Z1015" s="52"/>
      <c r="AA1015" s="52"/>
      <c r="AB1015" s="52"/>
      <c r="AC1015" s="52"/>
      <c r="AD1015" s="53"/>
      <c r="AE1015" s="53"/>
      <c r="AF1015" s="53"/>
    </row>
    <row r="1016">
      <c r="G1016" s="55"/>
      <c r="H1016" s="54"/>
      <c r="I1016" s="54"/>
      <c r="J1016" s="54"/>
      <c r="K1016" s="54"/>
      <c r="L1016" s="54"/>
      <c r="M1016" s="54"/>
      <c r="N1016" s="59"/>
      <c r="O1016" s="61"/>
      <c r="P1016" s="61"/>
      <c r="Q1016" s="61"/>
      <c r="R1016" s="50"/>
      <c r="S1016" s="50"/>
      <c r="T1016" s="61"/>
      <c r="U1016" s="61"/>
      <c r="V1016" s="61"/>
      <c r="W1016" s="61"/>
      <c r="X1016" s="61"/>
      <c r="Y1016" s="61"/>
      <c r="Z1016" s="52"/>
      <c r="AA1016" s="52"/>
      <c r="AB1016" s="52"/>
      <c r="AC1016" s="52"/>
      <c r="AD1016" s="53"/>
      <c r="AE1016" s="53"/>
      <c r="AF1016" s="53"/>
    </row>
    <row r="1017">
      <c r="G1017" s="55"/>
      <c r="H1017" s="54"/>
      <c r="I1017" s="54"/>
      <c r="J1017" s="54"/>
      <c r="K1017" s="54"/>
      <c r="L1017" s="54"/>
      <c r="M1017" s="54"/>
      <c r="N1017" s="59"/>
      <c r="O1017" s="61"/>
      <c r="P1017" s="61"/>
      <c r="Q1017" s="61"/>
      <c r="R1017" s="50"/>
      <c r="S1017" s="50"/>
      <c r="T1017" s="61"/>
      <c r="U1017" s="61"/>
      <c r="V1017" s="61"/>
      <c r="W1017" s="61"/>
      <c r="X1017" s="61"/>
      <c r="Y1017" s="61"/>
      <c r="Z1017" s="52"/>
      <c r="AA1017" s="52"/>
      <c r="AB1017" s="52"/>
      <c r="AC1017" s="52"/>
      <c r="AD1017" s="53"/>
      <c r="AE1017" s="53"/>
      <c r="AF1017" s="53"/>
    </row>
    <row r="1018">
      <c r="G1018" s="55"/>
      <c r="H1018" s="54"/>
      <c r="I1018" s="54"/>
      <c r="J1018" s="54"/>
      <c r="K1018" s="54"/>
      <c r="L1018" s="54"/>
      <c r="M1018" s="54"/>
      <c r="N1018" s="59"/>
      <c r="O1018" s="61"/>
      <c r="P1018" s="61"/>
      <c r="Q1018" s="61"/>
      <c r="R1018" s="50"/>
      <c r="S1018" s="50"/>
      <c r="T1018" s="61"/>
      <c r="U1018" s="61"/>
      <c r="V1018" s="61"/>
      <c r="W1018" s="61"/>
      <c r="X1018" s="61"/>
      <c r="Y1018" s="61"/>
      <c r="Z1018" s="52"/>
      <c r="AA1018" s="52"/>
      <c r="AB1018" s="52"/>
      <c r="AC1018" s="52"/>
      <c r="AD1018" s="53"/>
      <c r="AE1018" s="53"/>
      <c r="AF1018" s="53"/>
    </row>
    <row r="1019">
      <c r="G1019" s="55"/>
      <c r="H1019" s="54"/>
      <c r="I1019" s="54"/>
      <c r="J1019" s="54"/>
      <c r="K1019" s="54"/>
      <c r="L1019" s="54"/>
      <c r="M1019" s="54"/>
      <c r="N1019" s="59"/>
      <c r="O1019" s="61"/>
      <c r="P1019" s="61"/>
      <c r="Q1019" s="61"/>
      <c r="R1019" s="50"/>
      <c r="S1019" s="50"/>
      <c r="T1019" s="61"/>
      <c r="U1019" s="61"/>
      <c r="V1019" s="61"/>
      <c r="W1019" s="61"/>
      <c r="X1019" s="61"/>
      <c r="Y1019" s="61"/>
      <c r="Z1019" s="52"/>
      <c r="AA1019" s="52"/>
      <c r="AB1019" s="52"/>
      <c r="AC1019" s="52"/>
      <c r="AD1019" s="53"/>
      <c r="AE1019" s="53"/>
      <c r="AF1019" s="53"/>
    </row>
    <row r="1020">
      <c r="G1020" s="55"/>
      <c r="H1020" s="54"/>
      <c r="I1020" s="54"/>
      <c r="J1020" s="54"/>
      <c r="K1020" s="54"/>
      <c r="L1020" s="54"/>
      <c r="M1020" s="54"/>
      <c r="N1020" s="59"/>
      <c r="O1020" s="61"/>
      <c r="P1020" s="61"/>
      <c r="Q1020" s="61"/>
      <c r="R1020" s="50"/>
      <c r="S1020" s="50"/>
      <c r="T1020" s="61"/>
      <c r="U1020" s="61"/>
      <c r="V1020" s="61"/>
      <c r="W1020" s="61"/>
      <c r="X1020" s="61"/>
      <c r="Y1020" s="61"/>
      <c r="Z1020" s="52"/>
      <c r="AA1020" s="52"/>
      <c r="AB1020" s="52"/>
      <c r="AC1020" s="52"/>
      <c r="AD1020" s="53"/>
      <c r="AE1020" s="53"/>
      <c r="AF1020" s="53"/>
    </row>
    <row r="1021">
      <c r="G1021" s="55"/>
      <c r="H1021" s="54"/>
      <c r="I1021" s="54"/>
      <c r="J1021" s="54"/>
      <c r="K1021" s="54"/>
      <c r="L1021" s="54"/>
      <c r="M1021" s="54"/>
      <c r="N1021" s="59"/>
      <c r="O1021" s="61"/>
      <c r="P1021" s="61"/>
      <c r="Q1021" s="61"/>
      <c r="R1021" s="50"/>
      <c r="S1021" s="50"/>
      <c r="T1021" s="61"/>
      <c r="U1021" s="61"/>
      <c r="V1021" s="61"/>
      <c r="W1021" s="61"/>
      <c r="X1021" s="61"/>
      <c r="Y1021" s="61"/>
      <c r="Z1021" s="52"/>
      <c r="AA1021" s="52"/>
      <c r="AB1021" s="52"/>
      <c r="AC1021" s="52"/>
      <c r="AD1021" s="53"/>
      <c r="AE1021" s="53"/>
      <c r="AF1021" s="53"/>
    </row>
    <row r="1022">
      <c r="G1022" s="55"/>
      <c r="H1022" s="54"/>
      <c r="I1022" s="54"/>
      <c r="J1022" s="54"/>
      <c r="K1022" s="54"/>
      <c r="L1022" s="54"/>
      <c r="M1022" s="54"/>
      <c r="N1022" s="59"/>
      <c r="O1022" s="61"/>
      <c r="P1022" s="61"/>
      <c r="Q1022" s="61"/>
      <c r="R1022" s="50"/>
      <c r="S1022" s="50"/>
      <c r="T1022" s="61"/>
      <c r="U1022" s="61"/>
      <c r="V1022" s="61"/>
      <c r="W1022" s="61"/>
      <c r="X1022" s="61"/>
      <c r="Y1022" s="61"/>
      <c r="Z1022" s="52"/>
      <c r="AA1022" s="52"/>
      <c r="AB1022" s="52"/>
      <c r="AC1022" s="52"/>
      <c r="AD1022" s="53"/>
      <c r="AE1022" s="53"/>
      <c r="AF1022" s="53"/>
    </row>
    <row r="1023">
      <c r="G1023" s="55"/>
      <c r="H1023" s="54"/>
      <c r="I1023" s="54"/>
      <c r="J1023" s="54"/>
      <c r="K1023" s="54"/>
      <c r="L1023" s="54"/>
      <c r="M1023" s="54"/>
      <c r="N1023" s="59"/>
      <c r="O1023" s="61"/>
      <c r="P1023" s="61"/>
      <c r="Q1023" s="61"/>
      <c r="R1023" s="50"/>
      <c r="S1023" s="50"/>
      <c r="T1023" s="61"/>
      <c r="U1023" s="61"/>
      <c r="V1023" s="61"/>
      <c r="W1023" s="61"/>
      <c r="X1023" s="61"/>
      <c r="Y1023" s="61"/>
      <c r="Z1023" s="52"/>
      <c r="AA1023" s="52"/>
      <c r="AB1023" s="52"/>
      <c r="AC1023" s="52"/>
      <c r="AD1023" s="53"/>
      <c r="AE1023" s="53"/>
      <c r="AF1023" s="53"/>
    </row>
    <row r="1024">
      <c r="G1024" s="55"/>
      <c r="H1024" s="54"/>
      <c r="I1024" s="54"/>
      <c r="J1024" s="54"/>
      <c r="K1024" s="54"/>
      <c r="L1024" s="54"/>
      <c r="M1024" s="54"/>
      <c r="N1024" s="59"/>
      <c r="O1024" s="61"/>
      <c r="P1024" s="61"/>
      <c r="Q1024" s="61"/>
      <c r="R1024" s="50"/>
      <c r="S1024" s="50"/>
      <c r="T1024" s="61"/>
      <c r="U1024" s="61"/>
      <c r="V1024" s="61"/>
      <c r="W1024" s="61"/>
      <c r="X1024" s="61"/>
      <c r="Y1024" s="61"/>
      <c r="Z1024" s="52"/>
      <c r="AA1024" s="52"/>
      <c r="AB1024" s="52"/>
      <c r="AC1024" s="52"/>
      <c r="AD1024" s="53"/>
      <c r="AE1024" s="53"/>
      <c r="AF1024" s="53"/>
    </row>
    <row r="1025">
      <c r="G1025" s="55"/>
      <c r="H1025" s="54"/>
      <c r="I1025" s="54"/>
      <c r="J1025" s="54"/>
      <c r="K1025" s="54"/>
      <c r="L1025" s="54"/>
      <c r="M1025" s="54"/>
      <c r="N1025" s="59"/>
      <c r="O1025" s="61"/>
      <c r="P1025" s="61"/>
      <c r="Q1025" s="61"/>
      <c r="R1025" s="50"/>
      <c r="S1025" s="50"/>
      <c r="T1025" s="61"/>
      <c r="U1025" s="61"/>
      <c r="V1025" s="61"/>
      <c r="W1025" s="61"/>
      <c r="X1025" s="61"/>
      <c r="Y1025" s="61"/>
      <c r="Z1025" s="52"/>
      <c r="AA1025" s="52"/>
      <c r="AB1025" s="52"/>
      <c r="AC1025" s="52"/>
      <c r="AD1025" s="53"/>
      <c r="AE1025" s="53"/>
      <c r="AF1025" s="53"/>
    </row>
    <row r="1026">
      <c r="G1026" s="55"/>
      <c r="H1026" s="54"/>
      <c r="I1026" s="54"/>
      <c r="J1026" s="54"/>
      <c r="K1026" s="54"/>
      <c r="L1026" s="54"/>
      <c r="M1026" s="54"/>
      <c r="N1026" s="59"/>
      <c r="O1026" s="61"/>
      <c r="P1026" s="61"/>
      <c r="Q1026" s="61"/>
      <c r="R1026" s="50"/>
      <c r="S1026" s="50"/>
      <c r="T1026" s="61"/>
      <c r="U1026" s="61"/>
      <c r="V1026" s="61"/>
      <c r="W1026" s="61"/>
      <c r="X1026" s="61"/>
      <c r="Y1026" s="61"/>
      <c r="Z1026" s="52"/>
      <c r="AA1026" s="52"/>
      <c r="AB1026" s="52"/>
      <c r="AC1026" s="52"/>
      <c r="AD1026" s="53"/>
      <c r="AE1026" s="53"/>
      <c r="AF1026" s="53"/>
    </row>
    <row r="1027">
      <c r="G1027" s="55"/>
      <c r="H1027" s="54"/>
      <c r="I1027" s="54"/>
      <c r="J1027" s="54"/>
      <c r="K1027" s="54"/>
      <c r="L1027" s="54"/>
      <c r="M1027" s="54"/>
      <c r="N1027" s="59"/>
      <c r="O1027" s="61"/>
      <c r="P1027" s="61"/>
      <c r="Q1027" s="61"/>
      <c r="R1027" s="50"/>
      <c r="S1027" s="50"/>
      <c r="T1027" s="61"/>
      <c r="U1027" s="61"/>
      <c r="V1027" s="61"/>
      <c r="W1027" s="61"/>
      <c r="X1027" s="61"/>
      <c r="Y1027" s="61"/>
      <c r="Z1027" s="52"/>
      <c r="AA1027" s="52"/>
      <c r="AB1027" s="52"/>
      <c r="AC1027" s="52"/>
      <c r="AD1027" s="53"/>
      <c r="AE1027" s="53"/>
      <c r="AF1027" s="53"/>
    </row>
    <row r="1028">
      <c r="G1028" s="55"/>
      <c r="H1028" s="54"/>
      <c r="I1028" s="54"/>
      <c r="J1028" s="54"/>
      <c r="K1028" s="54"/>
      <c r="L1028" s="54"/>
      <c r="M1028" s="54"/>
      <c r="N1028" s="59"/>
      <c r="O1028" s="61"/>
      <c r="P1028" s="61"/>
      <c r="Q1028" s="61"/>
      <c r="R1028" s="50"/>
      <c r="S1028" s="50"/>
      <c r="T1028" s="61"/>
      <c r="U1028" s="61"/>
      <c r="V1028" s="61"/>
      <c r="W1028" s="61"/>
      <c r="X1028" s="61"/>
      <c r="Y1028" s="61"/>
      <c r="Z1028" s="52"/>
      <c r="AA1028" s="52"/>
      <c r="AB1028" s="52"/>
      <c r="AC1028" s="52"/>
      <c r="AD1028" s="53"/>
      <c r="AE1028" s="53"/>
      <c r="AF1028" s="53"/>
    </row>
    <row r="1029">
      <c r="G1029" s="55"/>
      <c r="H1029" s="54"/>
      <c r="I1029" s="54"/>
      <c r="J1029" s="54"/>
      <c r="K1029" s="54"/>
      <c r="L1029" s="54"/>
      <c r="M1029" s="54"/>
      <c r="N1029" s="59"/>
      <c r="O1029" s="61"/>
      <c r="P1029" s="61"/>
      <c r="Q1029" s="61"/>
      <c r="R1029" s="50"/>
      <c r="S1029" s="50"/>
      <c r="T1029" s="61"/>
      <c r="U1029" s="61"/>
      <c r="V1029" s="61"/>
      <c r="W1029" s="61"/>
      <c r="X1029" s="61"/>
      <c r="Y1029" s="61"/>
      <c r="Z1029" s="52"/>
      <c r="AA1029" s="52"/>
      <c r="AB1029" s="52"/>
      <c r="AC1029" s="52"/>
      <c r="AD1029" s="53"/>
      <c r="AE1029" s="53"/>
      <c r="AF1029" s="53"/>
    </row>
    <row r="1030">
      <c r="G1030" s="55"/>
      <c r="H1030" s="54"/>
      <c r="I1030" s="54"/>
      <c r="J1030" s="54"/>
      <c r="K1030" s="54"/>
      <c r="L1030" s="54"/>
      <c r="M1030" s="54"/>
      <c r="N1030" s="59"/>
      <c r="O1030" s="61"/>
      <c r="P1030" s="61"/>
      <c r="Q1030" s="61"/>
      <c r="R1030" s="50"/>
      <c r="S1030" s="50"/>
      <c r="T1030" s="61"/>
      <c r="U1030" s="61"/>
      <c r="V1030" s="61"/>
      <c r="W1030" s="61"/>
      <c r="X1030" s="61"/>
      <c r="Y1030" s="61"/>
      <c r="Z1030" s="52"/>
      <c r="AA1030" s="52"/>
      <c r="AB1030" s="52"/>
      <c r="AC1030" s="52"/>
      <c r="AD1030" s="53"/>
      <c r="AE1030" s="53"/>
      <c r="AF1030" s="53"/>
    </row>
    <row r="1031">
      <c r="G1031" s="55"/>
      <c r="H1031" s="54"/>
      <c r="I1031" s="54"/>
      <c r="J1031" s="54"/>
      <c r="K1031" s="54"/>
      <c r="L1031" s="54"/>
      <c r="M1031" s="54"/>
      <c r="N1031" s="59"/>
      <c r="O1031" s="61"/>
      <c r="P1031" s="61"/>
      <c r="Q1031" s="61"/>
      <c r="R1031" s="50"/>
      <c r="S1031" s="50"/>
      <c r="T1031" s="61"/>
      <c r="U1031" s="61"/>
      <c r="V1031" s="61"/>
      <c r="W1031" s="61"/>
      <c r="X1031" s="61"/>
      <c r="Y1031" s="61"/>
      <c r="Z1031" s="52"/>
      <c r="AA1031" s="52"/>
      <c r="AB1031" s="52"/>
      <c r="AC1031" s="52"/>
      <c r="AD1031" s="53"/>
      <c r="AE1031" s="53"/>
      <c r="AF1031" s="53"/>
    </row>
    <row r="1032">
      <c r="G1032" s="55"/>
      <c r="H1032" s="54"/>
      <c r="I1032" s="54"/>
      <c r="J1032" s="54"/>
      <c r="K1032" s="54"/>
      <c r="L1032" s="54"/>
      <c r="M1032" s="54"/>
      <c r="N1032" s="59"/>
      <c r="O1032" s="61"/>
      <c r="P1032" s="61"/>
      <c r="Q1032" s="61"/>
      <c r="R1032" s="50"/>
      <c r="S1032" s="50"/>
      <c r="T1032" s="61"/>
      <c r="U1032" s="61"/>
      <c r="V1032" s="61"/>
      <c r="W1032" s="61"/>
      <c r="X1032" s="61"/>
      <c r="Y1032" s="61"/>
      <c r="Z1032" s="52"/>
      <c r="AA1032" s="52"/>
      <c r="AB1032" s="52"/>
      <c r="AC1032" s="52"/>
      <c r="AD1032" s="53"/>
      <c r="AE1032" s="53"/>
      <c r="AF1032" s="53"/>
    </row>
    <row r="1033">
      <c r="G1033" s="55"/>
      <c r="H1033" s="54"/>
      <c r="I1033" s="54"/>
      <c r="J1033" s="54"/>
      <c r="K1033" s="54"/>
      <c r="L1033" s="54"/>
      <c r="M1033" s="54"/>
      <c r="N1033" s="59"/>
      <c r="O1033" s="61"/>
      <c r="P1033" s="61"/>
      <c r="Q1033" s="61"/>
      <c r="R1033" s="50"/>
      <c r="S1033" s="50"/>
      <c r="T1033" s="61"/>
      <c r="U1033" s="61"/>
      <c r="V1033" s="61"/>
      <c r="W1033" s="61"/>
      <c r="X1033" s="61"/>
      <c r="Y1033" s="61"/>
      <c r="Z1033" s="52"/>
      <c r="AA1033" s="52"/>
      <c r="AB1033" s="52"/>
      <c r="AC1033" s="52"/>
      <c r="AD1033" s="53"/>
      <c r="AE1033" s="53"/>
      <c r="AF1033" s="53"/>
    </row>
    <row r="1034">
      <c r="G1034" s="55"/>
      <c r="H1034" s="54"/>
      <c r="I1034" s="54"/>
      <c r="J1034" s="54"/>
      <c r="K1034" s="54"/>
      <c r="L1034" s="54"/>
      <c r="M1034" s="54"/>
      <c r="N1034" s="59"/>
      <c r="O1034" s="61"/>
      <c r="P1034" s="61"/>
      <c r="Q1034" s="61"/>
      <c r="R1034" s="50"/>
      <c r="S1034" s="50"/>
      <c r="T1034" s="61"/>
      <c r="U1034" s="61"/>
      <c r="V1034" s="61"/>
      <c r="W1034" s="61"/>
      <c r="X1034" s="61"/>
      <c r="Y1034" s="61"/>
      <c r="Z1034" s="52"/>
      <c r="AA1034" s="52"/>
      <c r="AB1034" s="52"/>
      <c r="AC1034" s="52"/>
      <c r="AD1034" s="53"/>
      <c r="AE1034" s="53"/>
      <c r="AF1034" s="53"/>
    </row>
    <row r="1035">
      <c r="G1035" s="55"/>
      <c r="H1035" s="54"/>
      <c r="I1035" s="54"/>
      <c r="J1035" s="54"/>
      <c r="K1035" s="54"/>
      <c r="L1035" s="54"/>
      <c r="M1035" s="54"/>
      <c r="N1035" s="59"/>
      <c r="O1035" s="61"/>
      <c r="P1035" s="61"/>
      <c r="Q1035" s="61"/>
      <c r="R1035" s="50"/>
      <c r="S1035" s="50"/>
      <c r="T1035" s="61"/>
      <c r="U1035" s="61"/>
      <c r="V1035" s="61"/>
      <c r="W1035" s="61"/>
      <c r="X1035" s="61"/>
      <c r="Y1035" s="61"/>
      <c r="Z1035" s="52"/>
      <c r="AA1035" s="52"/>
      <c r="AB1035" s="52"/>
      <c r="AC1035" s="52"/>
      <c r="AD1035" s="53"/>
      <c r="AE1035" s="53"/>
      <c r="AF1035" s="53"/>
    </row>
    <row r="1036">
      <c r="G1036" s="55"/>
      <c r="H1036" s="54"/>
      <c r="I1036" s="54"/>
      <c r="J1036" s="54"/>
      <c r="K1036" s="54"/>
      <c r="L1036" s="54"/>
      <c r="M1036" s="54"/>
      <c r="N1036" s="59"/>
      <c r="O1036" s="61"/>
      <c r="P1036" s="61"/>
      <c r="Q1036" s="61"/>
      <c r="R1036" s="50"/>
      <c r="S1036" s="50"/>
      <c r="T1036" s="61"/>
      <c r="U1036" s="61"/>
      <c r="V1036" s="61"/>
      <c r="W1036" s="61"/>
      <c r="X1036" s="61"/>
      <c r="Y1036" s="61"/>
      <c r="Z1036" s="52"/>
      <c r="AA1036" s="52"/>
      <c r="AB1036" s="52"/>
      <c r="AC1036" s="52"/>
      <c r="AD1036" s="53"/>
      <c r="AE1036" s="53"/>
      <c r="AF1036" s="53"/>
    </row>
    <row r="1037">
      <c r="G1037" s="55"/>
      <c r="H1037" s="54"/>
      <c r="I1037" s="54"/>
      <c r="J1037" s="54"/>
      <c r="K1037" s="54"/>
      <c r="L1037" s="54"/>
      <c r="M1037" s="54"/>
      <c r="N1037" s="59"/>
      <c r="O1037" s="61"/>
      <c r="P1037" s="61"/>
      <c r="Q1037" s="61"/>
      <c r="R1037" s="50"/>
      <c r="S1037" s="50"/>
      <c r="T1037" s="61"/>
      <c r="U1037" s="61"/>
      <c r="V1037" s="61"/>
      <c r="W1037" s="61"/>
      <c r="X1037" s="61"/>
      <c r="Y1037" s="61"/>
      <c r="Z1037" s="52"/>
      <c r="AA1037" s="52"/>
      <c r="AB1037" s="52"/>
      <c r="AC1037" s="52"/>
      <c r="AD1037" s="53"/>
      <c r="AE1037" s="53"/>
      <c r="AF1037" s="53"/>
    </row>
    <row r="1038">
      <c r="G1038" s="55"/>
      <c r="H1038" s="54"/>
      <c r="I1038" s="54"/>
      <c r="J1038" s="54"/>
      <c r="K1038" s="54"/>
      <c r="L1038" s="54"/>
      <c r="M1038" s="54"/>
      <c r="N1038" s="59"/>
      <c r="O1038" s="61"/>
      <c r="P1038" s="61"/>
      <c r="Q1038" s="61"/>
      <c r="R1038" s="50"/>
      <c r="S1038" s="50"/>
      <c r="T1038" s="61"/>
      <c r="U1038" s="61"/>
      <c r="V1038" s="61"/>
      <c r="W1038" s="61"/>
      <c r="X1038" s="61"/>
      <c r="Y1038" s="61"/>
      <c r="Z1038" s="52"/>
      <c r="AA1038" s="52"/>
      <c r="AB1038" s="52"/>
      <c r="AC1038" s="52"/>
      <c r="AD1038" s="53"/>
      <c r="AE1038" s="53"/>
      <c r="AF1038" s="53"/>
    </row>
    <row r="1039">
      <c r="G1039" s="55"/>
      <c r="H1039" s="54"/>
      <c r="I1039" s="54"/>
      <c r="J1039" s="54"/>
      <c r="K1039" s="54"/>
      <c r="L1039" s="54"/>
      <c r="M1039" s="54"/>
      <c r="N1039" s="59"/>
      <c r="O1039" s="61"/>
      <c r="P1039" s="61"/>
      <c r="Q1039" s="61"/>
      <c r="R1039" s="50"/>
      <c r="S1039" s="50"/>
      <c r="T1039" s="61"/>
      <c r="U1039" s="61"/>
      <c r="V1039" s="61"/>
      <c r="W1039" s="61"/>
      <c r="X1039" s="61"/>
      <c r="Y1039" s="61"/>
      <c r="Z1039" s="52"/>
      <c r="AA1039" s="52"/>
      <c r="AB1039" s="52"/>
      <c r="AC1039" s="52"/>
      <c r="AD1039" s="53"/>
      <c r="AE1039" s="53"/>
      <c r="AF1039" s="53"/>
    </row>
    <row r="1040">
      <c r="G1040" s="55"/>
      <c r="H1040" s="54"/>
      <c r="I1040" s="54"/>
      <c r="J1040" s="54"/>
      <c r="K1040" s="54"/>
      <c r="L1040" s="54"/>
      <c r="M1040" s="54"/>
      <c r="N1040" s="59"/>
      <c r="O1040" s="61"/>
      <c r="P1040" s="61"/>
      <c r="Q1040" s="61"/>
      <c r="R1040" s="50"/>
      <c r="S1040" s="50"/>
      <c r="T1040" s="61"/>
      <c r="U1040" s="61"/>
      <c r="V1040" s="61"/>
      <c r="W1040" s="61"/>
      <c r="X1040" s="61"/>
      <c r="Y1040" s="61"/>
      <c r="Z1040" s="52"/>
      <c r="AA1040" s="52"/>
      <c r="AB1040" s="52"/>
      <c r="AC1040" s="52"/>
      <c r="AD1040" s="53"/>
      <c r="AE1040" s="53"/>
      <c r="AF1040" s="53"/>
    </row>
    <row r="1041">
      <c r="G1041" s="55"/>
      <c r="H1041" s="54"/>
      <c r="I1041" s="54"/>
      <c r="J1041" s="54"/>
      <c r="K1041" s="54"/>
      <c r="L1041" s="54"/>
      <c r="M1041" s="54"/>
      <c r="N1041" s="59"/>
      <c r="O1041" s="61"/>
      <c r="P1041" s="61"/>
      <c r="Q1041" s="61"/>
      <c r="R1041" s="50"/>
      <c r="S1041" s="50"/>
      <c r="T1041" s="61"/>
      <c r="U1041" s="61"/>
      <c r="V1041" s="61"/>
      <c r="W1041" s="61"/>
      <c r="X1041" s="61"/>
      <c r="Y1041" s="61"/>
      <c r="Z1041" s="52"/>
      <c r="AA1041" s="52"/>
      <c r="AB1041" s="52"/>
      <c r="AC1041" s="52"/>
      <c r="AD1041" s="53"/>
      <c r="AE1041" s="53"/>
      <c r="AF1041" s="53"/>
    </row>
    <row r="1042">
      <c r="G1042" s="55"/>
      <c r="H1042" s="54"/>
      <c r="I1042" s="54"/>
      <c r="J1042" s="54"/>
      <c r="K1042" s="54"/>
      <c r="L1042" s="54"/>
      <c r="M1042" s="54"/>
      <c r="N1042" s="59"/>
      <c r="O1042" s="61"/>
      <c r="P1042" s="61"/>
      <c r="Q1042" s="61"/>
      <c r="R1042" s="50"/>
      <c r="S1042" s="50"/>
      <c r="T1042" s="61"/>
      <c r="U1042" s="61"/>
      <c r="V1042" s="61"/>
      <c r="W1042" s="61"/>
      <c r="X1042" s="61"/>
      <c r="Y1042" s="61"/>
      <c r="Z1042" s="52"/>
      <c r="AA1042" s="52"/>
      <c r="AB1042" s="52"/>
      <c r="AC1042" s="52"/>
      <c r="AD1042" s="53"/>
      <c r="AE1042" s="53"/>
      <c r="AF1042" s="53"/>
    </row>
    <row r="1043">
      <c r="G1043" s="55"/>
      <c r="H1043" s="54"/>
      <c r="I1043" s="54"/>
      <c r="J1043" s="54"/>
      <c r="K1043" s="54"/>
      <c r="L1043" s="54"/>
      <c r="M1043" s="54"/>
      <c r="N1043" s="59"/>
      <c r="O1043" s="61"/>
      <c r="P1043" s="61"/>
      <c r="Q1043" s="61"/>
      <c r="R1043" s="50"/>
      <c r="S1043" s="50"/>
      <c r="T1043" s="61"/>
      <c r="U1043" s="61"/>
      <c r="V1043" s="61"/>
      <c r="W1043" s="61"/>
      <c r="X1043" s="61"/>
      <c r="Y1043" s="61"/>
      <c r="Z1043" s="52"/>
      <c r="AA1043" s="52"/>
      <c r="AB1043" s="52"/>
      <c r="AC1043" s="52"/>
      <c r="AD1043" s="53"/>
      <c r="AE1043" s="53"/>
      <c r="AF1043" s="53"/>
    </row>
    <row r="1044">
      <c r="G1044" s="55"/>
      <c r="H1044" s="54"/>
      <c r="I1044" s="54"/>
      <c r="J1044" s="54"/>
      <c r="K1044" s="54"/>
      <c r="L1044" s="54"/>
      <c r="M1044" s="54"/>
      <c r="N1044" s="59"/>
      <c r="O1044" s="61"/>
      <c r="P1044" s="61"/>
      <c r="Q1044" s="61"/>
      <c r="R1044" s="50"/>
      <c r="S1044" s="50"/>
      <c r="T1044" s="61"/>
      <c r="U1044" s="61"/>
      <c r="V1044" s="61"/>
      <c r="W1044" s="61"/>
      <c r="X1044" s="61"/>
      <c r="Y1044" s="61"/>
      <c r="Z1044" s="52"/>
      <c r="AA1044" s="52"/>
      <c r="AB1044" s="52"/>
      <c r="AC1044" s="52"/>
      <c r="AD1044" s="53"/>
      <c r="AE1044" s="53"/>
      <c r="AF1044" s="53"/>
    </row>
    <row r="1045">
      <c r="G1045" s="55"/>
      <c r="H1045" s="54"/>
      <c r="I1045" s="54"/>
      <c r="J1045" s="54"/>
      <c r="K1045" s="54"/>
      <c r="L1045" s="54"/>
      <c r="M1045" s="54"/>
      <c r="N1045" s="59"/>
      <c r="O1045" s="61"/>
      <c r="P1045" s="61"/>
      <c r="Q1045" s="61"/>
      <c r="R1045" s="50"/>
      <c r="S1045" s="50"/>
      <c r="T1045" s="61"/>
      <c r="U1045" s="61"/>
      <c r="V1045" s="61"/>
      <c r="W1045" s="61"/>
      <c r="X1045" s="61"/>
      <c r="Y1045" s="61"/>
      <c r="Z1045" s="52"/>
      <c r="AA1045" s="52"/>
      <c r="AB1045" s="52"/>
      <c r="AC1045" s="52"/>
      <c r="AD1045" s="53"/>
      <c r="AE1045" s="53"/>
      <c r="AF1045" s="53"/>
    </row>
    <row r="1046">
      <c r="G1046" s="55"/>
      <c r="H1046" s="54"/>
      <c r="I1046" s="54"/>
      <c r="J1046" s="54"/>
      <c r="K1046" s="54"/>
      <c r="L1046" s="54"/>
      <c r="M1046" s="54"/>
      <c r="N1046" s="59"/>
      <c r="O1046" s="61"/>
      <c r="P1046" s="61"/>
      <c r="Q1046" s="61"/>
      <c r="R1046" s="50"/>
      <c r="S1046" s="50"/>
      <c r="T1046" s="61"/>
      <c r="U1046" s="61"/>
      <c r="V1046" s="61"/>
      <c r="W1046" s="61"/>
      <c r="X1046" s="61"/>
      <c r="Y1046" s="61"/>
      <c r="Z1046" s="52"/>
      <c r="AA1046" s="52"/>
      <c r="AB1046" s="52"/>
      <c r="AC1046" s="52"/>
      <c r="AD1046" s="53"/>
      <c r="AE1046" s="53"/>
      <c r="AF1046" s="53"/>
    </row>
    <row r="1047">
      <c r="G1047" s="55"/>
      <c r="H1047" s="54"/>
      <c r="I1047" s="54"/>
      <c r="J1047" s="54"/>
      <c r="K1047" s="54"/>
      <c r="L1047" s="54"/>
      <c r="M1047" s="54"/>
      <c r="N1047" s="59"/>
      <c r="O1047" s="61"/>
      <c r="P1047" s="61"/>
      <c r="Q1047" s="61"/>
      <c r="R1047" s="50"/>
      <c r="S1047" s="50"/>
      <c r="T1047" s="61"/>
      <c r="U1047" s="61"/>
      <c r="V1047" s="61"/>
      <c r="W1047" s="61"/>
      <c r="X1047" s="61"/>
      <c r="Y1047" s="61"/>
      <c r="Z1047" s="52"/>
      <c r="AA1047" s="52"/>
      <c r="AB1047" s="52"/>
      <c r="AC1047" s="52"/>
      <c r="AD1047" s="53"/>
      <c r="AE1047" s="53"/>
      <c r="AF1047" s="53"/>
    </row>
    <row r="1048">
      <c r="G1048" s="55"/>
      <c r="H1048" s="54"/>
      <c r="I1048" s="54"/>
      <c r="J1048" s="54"/>
      <c r="K1048" s="54"/>
      <c r="L1048" s="54"/>
      <c r="M1048" s="54"/>
      <c r="N1048" s="59"/>
      <c r="O1048" s="61"/>
      <c r="P1048" s="61"/>
      <c r="Q1048" s="61"/>
      <c r="R1048" s="50"/>
      <c r="S1048" s="50"/>
      <c r="T1048" s="61"/>
      <c r="U1048" s="61"/>
      <c r="V1048" s="61"/>
      <c r="W1048" s="61"/>
      <c r="X1048" s="61"/>
      <c r="Y1048" s="61"/>
      <c r="Z1048" s="52"/>
      <c r="AA1048" s="52"/>
      <c r="AB1048" s="52"/>
      <c r="AC1048" s="52"/>
      <c r="AD1048" s="53"/>
      <c r="AE1048" s="53"/>
      <c r="AF1048" s="53"/>
    </row>
    <row r="1049">
      <c r="G1049" s="55"/>
      <c r="H1049" s="54"/>
      <c r="I1049" s="54"/>
      <c r="J1049" s="54"/>
      <c r="K1049" s="54"/>
      <c r="L1049" s="54"/>
      <c r="M1049" s="54"/>
      <c r="N1049" s="59"/>
      <c r="O1049" s="61"/>
      <c r="P1049" s="61"/>
      <c r="Q1049" s="61"/>
      <c r="R1049" s="50"/>
      <c r="S1049" s="50"/>
      <c r="T1049" s="61"/>
      <c r="U1049" s="61"/>
      <c r="V1049" s="61"/>
      <c r="W1049" s="61"/>
      <c r="X1049" s="61"/>
      <c r="Y1049" s="61"/>
      <c r="Z1049" s="52"/>
      <c r="AA1049" s="52"/>
      <c r="AB1049" s="52"/>
      <c r="AC1049" s="52"/>
      <c r="AD1049" s="53"/>
      <c r="AE1049" s="53"/>
      <c r="AF1049" s="53"/>
    </row>
    <row r="1050">
      <c r="G1050" s="55"/>
      <c r="H1050" s="54"/>
      <c r="I1050" s="54"/>
      <c r="J1050" s="54"/>
      <c r="K1050" s="54"/>
      <c r="L1050" s="54"/>
      <c r="M1050" s="54"/>
      <c r="N1050" s="59"/>
      <c r="O1050" s="61"/>
      <c r="P1050" s="61"/>
      <c r="Q1050" s="61"/>
      <c r="R1050" s="50"/>
      <c r="S1050" s="50"/>
      <c r="T1050" s="61"/>
      <c r="U1050" s="61"/>
      <c r="V1050" s="61"/>
      <c r="W1050" s="61"/>
      <c r="X1050" s="61"/>
      <c r="Y1050" s="61"/>
      <c r="Z1050" s="52"/>
      <c r="AA1050" s="52"/>
      <c r="AB1050" s="52"/>
      <c r="AC1050" s="52"/>
      <c r="AD1050" s="53"/>
      <c r="AE1050" s="53"/>
      <c r="AF1050" s="53"/>
    </row>
    <row r="1051">
      <c r="G1051" s="55"/>
      <c r="H1051" s="54"/>
      <c r="I1051" s="54"/>
      <c r="J1051" s="54"/>
      <c r="K1051" s="54"/>
      <c r="L1051" s="54"/>
      <c r="M1051" s="54"/>
      <c r="N1051" s="59"/>
      <c r="O1051" s="61"/>
      <c r="P1051" s="61"/>
      <c r="Q1051" s="61"/>
      <c r="R1051" s="50"/>
      <c r="S1051" s="50"/>
      <c r="T1051" s="61"/>
      <c r="U1051" s="61"/>
      <c r="V1051" s="61"/>
      <c r="W1051" s="61"/>
      <c r="X1051" s="61"/>
      <c r="Y1051" s="61"/>
      <c r="Z1051" s="52"/>
      <c r="AA1051" s="52"/>
      <c r="AB1051" s="52"/>
      <c r="AC1051" s="52"/>
      <c r="AD1051" s="53"/>
      <c r="AE1051" s="53"/>
      <c r="AF1051" s="53"/>
    </row>
    <row r="1052">
      <c r="G1052" s="55"/>
      <c r="H1052" s="54"/>
      <c r="I1052" s="54"/>
      <c r="J1052" s="54"/>
      <c r="K1052" s="54"/>
      <c r="L1052" s="54"/>
      <c r="M1052" s="54"/>
      <c r="N1052" s="59"/>
      <c r="O1052" s="61"/>
      <c r="P1052" s="61"/>
      <c r="Q1052" s="61"/>
      <c r="R1052" s="50"/>
      <c r="S1052" s="50"/>
      <c r="T1052" s="61"/>
      <c r="U1052" s="61"/>
      <c r="V1052" s="61"/>
      <c r="W1052" s="61"/>
      <c r="X1052" s="61"/>
      <c r="Y1052" s="61"/>
      <c r="Z1052" s="52"/>
      <c r="AA1052" s="52"/>
      <c r="AB1052" s="52"/>
      <c r="AC1052" s="52"/>
      <c r="AD1052" s="53"/>
      <c r="AE1052" s="53"/>
      <c r="AF1052" s="53"/>
    </row>
    <row r="1053">
      <c r="G1053" s="55"/>
      <c r="H1053" s="54"/>
      <c r="I1053" s="54"/>
      <c r="J1053" s="54"/>
      <c r="K1053" s="54"/>
      <c r="L1053" s="54"/>
      <c r="M1053" s="54"/>
      <c r="N1053" s="59"/>
      <c r="O1053" s="61"/>
      <c r="P1053" s="61"/>
      <c r="Q1053" s="61"/>
      <c r="R1053" s="50"/>
      <c r="S1053" s="50"/>
      <c r="T1053" s="61"/>
      <c r="U1053" s="61"/>
      <c r="V1053" s="61"/>
      <c r="W1053" s="61"/>
      <c r="X1053" s="61"/>
      <c r="Y1053" s="61"/>
      <c r="Z1053" s="52"/>
      <c r="AA1053" s="52"/>
      <c r="AB1053" s="52"/>
      <c r="AC1053" s="52"/>
      <c r="AD1053" s="53"/>
      <c r="AE1053" s="53"/>
      <c r="AF1053" s="53"/>
    </row>
    <row r="1054">
      <c r="G1054" s="55"/>
      <c r="H1054" s="54"/>
      <c r="I1054" s="54"/>
      <c r="J1054" s="54"/>
      <c r="K1054" s="54"/>
      <c r="L1054" s="54"/>
      <c r="M1054" s="54"/>
      <c r="N1054" s="59"/>
      <c r="O1054" s="61"/>
      <c r="P1054" s="61"/>
      <c r="Q1054" s="61"/>
      <c r="R1054" s="50"/>
      <c r="S1054" s="50"/>
      <c r="T1054" s="61"/>
      <c r="U1054" s="61"/>
      <c r="V1054" s="61"/>
      <c r="W1054" s="61"/>
      <c r="X1054" s="61"/>
      <c r="Y1054" s="61"/>
      <c r="Z1054" s="52"/>
      <c r="AA1054" s="52"/>
      <c r="AB1054" s="52"/>
      <c r="AC1054" s="52"/>
      <c r="AD1054" s="53"/>
      <c r="AE1054" s="53"/>
      <c r="AF1054" s="53"/>
    </row>
    <row r="1055">
      <c r="G1055" s="55"/>
      <c r="H1055" s="54"/>
      <c r="I1055" s="54"/>
      <c r="J1055" s="54"/>
      <c r="K1055" s="54"/>
      <c r="L1055" s="54"/>
      <c r="M1055" s="54"/>
      <c r="N1055" s="59"/>
      <c r="O1055" s="61"/>
      <c r="P1055" s="61"/>
      <c r="Q1055" s="61"/>
      <c r="R1055" s="50"/>
      <c r="S1055" s="50"/>
      <c r="T1055" s="61"/>
      <c r="U1055" s="61"/>
      <c r="V1055" s="61"/>
      <c r="W1055" s="61"/>
      <c r="X1055" s="61"/>
      <c r="Y1055" s="61"/>
      <c r="Z1055" s="52"/>
      <c r="AA1055" s="52"/>
      <c r="AB1055" s="52"/>
      <c r="AC1055" s="52"/>
      <c r="AD1055" s="53"/>
      <c r="AE1055" s="53"/>
      <c r="AF1055" s="53"/>
    </row>
    <row r="1056">
      <c r="G1056" s="55"/>
      <c r="H1056" s="54"/>
      <c r="I1056" s="54"/>
      <c r="J1056" s="54"/>
      <c r="K1056" s="54"/>
      <c r="L1056" s="54"/>
      <c r="M1056" s="54"/>
      <c r="N1056" s="59"/>
      <c r="O1056" s="61"/>
      <c r="P1056" s="61"/>
      <c r="Q1056" s="61"/>
      <c r="R1056" s="50"/>
      <c r="S1056" s="50"/>
      <c r="T1056" s="61"/>
      <c r="U1056" s="61"/>
      <c r="V1056" s="61"/>
      <c r="W1056" s="61"/>
      <c r="X1056" s="61"/>
      <c r="Y1056" s="61"/>
      <c r="Z1056" s="52"/>
      <c r="AA1056" s="52"/>
      <c r="AB1056" s="52"/>
      <c r="AC1056" s="52"/>
      <c r="AD1056" s="53"/>
      <c r="AE1056" s="53"/>
      <c r="AF1056" s="53"/>
    </row>
    <row r="1057">
      <c r="G1057" s="55"/>
      <c r="H1057" s="54"/>
      <c r="I1057" s="54"/>
      <c r="J1057" s="54"/>
      <c r="K1057" s="54"/>
      <c r="L1057" s="54"/>
      <c r="M1057" s="54"/>
      <c r="N1057" s="59"/>
      <c r="O1057" s="61"/>
      <c r="P1057" s="61"/>
      <c r="Q1057" s="61"/>
      <c r="R1057" s="50"/>
      <c r="S1057" s="50"/>
      <c r="T1057" s="61"/>
      <c r="U1057" s="61"/>
      <c r="V1057" s="61"/>
      <c r="W1057" s="61"/>
      <c r="X1057" s="61"/>
      <c r="Y1057" s="61"/>
      <c r="Z1057" s="52"/>
      <c r="AA1057" s="52"/>
      <c r="AB1057" s="52"/>
      <c r="AC1057" s="52"/>
      <c r="AD1057" s="53"/>
      <c r="AE1057" s="53"/>
      <c r="AF1057" s="53"/>
    </row>
    <row r="1058">
      <c r="G1058" s="55"/>
      <c r="H1058" s="54"/>
      <c r="I1058" s="54"/>
      <c r="J1058" s="54"/>
      <c r="K1058" s="54"/>
      <c r="L1058" s="54"/>
      <c r="M1058" s="54"/>
      <c r="N1058" s="59"/>
      <c r="O1058" s="61"/>
      <c r="P1058" s="61"/>
      <c r="Q1058" s="61"/>
      <c r="R1058" s="50"/>
      <c r="S1058" s="50"/>
      <c r="T1058" s="61"/>
      <c r="U1058" s="61"/>
      <c r="V1058" s="61"/>
      <c r="W1058" s="61"/>
      <c r="X1058" s="61"/>
      <c r="Y1058" s="61"/>
      <c r="Z1058" s="52"/>
      <c r="AA1058" s="52"/>
      <c r="AB1058" s="52"/>
      <c r="AC1058" s="52"/>
      <c r="AD1058" s="53"/>
      <c r="AE1058" s="53"/>
      <c r="AF1058" s="53"/>
    </row>
    <row r="1059">
      <c r="G1059" s="55"/>
      <c r="H1059" s="54"/>
      <c r="I1059" s="54"/>
      <c r="J1059" s="54"/>
      <c r="K1059" s="54"/>
      <c r="L1059" s="54"/>
      <c r="M1059" s="54"/>
      <c r="N1059" s="59"/>
      <c r="O1059" s="61"/>
      <c r="P1059" s="61"/>
      <c r="Q1059" s="61"/>
      <c r="R1059" s="50"/>
      <c r="S1059" s="50"/>
      <c r="T1059" s="61"/>
      <c r="U1059" s="61"/>
      <c r="V1059" s="61"/>
      <c r="W1059" s="61"/>
      <c r="X1059" s="61"/>
      <c r="Y1059" s="61"/>
      <c r="Z1059" s="52"/>
      <c r="AA1059" s="52"/>
      <c r="AB1059" s="52"/>
      <c r="AC1059" s="52"/>
      <c r="AD1059" s="53"/>
      <c r="AE1059" s="53"/>
      <c r="AF1059" s="53"/>
    </row>
    <row r="1060">
      <c r="G1060" s="55"/>
      <c r="H1060" s="54"/>
      <c r="I1060" s="54"/>
      <c r="J1060" s="54"/>
      <c r="K1060" s="54"/>
      <c r="L1060" s="54"/>
      <c r="M1060" s="54"/>
      <c r="N1060" s="59"/>
      <c r="O1060" s="61"/>
      <c r="P1060" s="61"/>
      <c r="Q1060" s="61"/>
      <c r="R1060" s="50"/>
      <c r="S1060" s="50"/>
      <c r="T1060" s="61"/>
      <c r="U1060" s="61"/>
      <c r="V1060" s="61"/>
      <c r="W1060" s="61"/>
      <c r="X1060" s="61"/>
      <c r="Y1060" s="61"/>
      <c r="Z1060" s="52"/>
      <c r="AA1060" s="52"/>
      <c r="AB1060" s="52"/>
      <c r="AC1060" s="52"/>
      <c r="AD1060" s="53"/>
      <c r="AE1060" s="53"/>
      <c r="AF1060" s="53"/>
    </row>
    <row r="1061">
      <c r="G1061" s="55"/>
      <c r="H1061" s="54"/>
      <c r="I1061" s="54"/>
      <c r="J1061" s="54"/>
      <c r="K1061" s="54"/>
      <c r="L1061" s="54"/>
      <c r="M1061" s="54"/>
      <c r="N1061" s="59"/>
      <c r="O1061" s="61"/>
      <c r="P1061" s="61"/>
      <c r="Q1061" s="61"/>
      <c r="R1061" s="50"/>
      <c r="S1061" s="50"/>
      <c r="T1061" s="61"/>
      <c r="U1061" s="61"/>
      <c r="V1061" s="61"/>
      <c r="W1061" s="61"/>
      <c r="X1061" s="61"/>
      <c r="Y1061" s="61"/>
      <c r="Z1061" s="52"/>
      <c r="AA1061" s="52"/>
      <c r="AB1061" s="52"/>
      <c r="AC1061" s="52"/>
      <c r="AD1061" s="53"/>
      <c r="AE1061" s="53"/>
      <c r="AF1061" s="53"/>
    </row>
    <row r="1062">
      <c r="G1062" s="55"/>
      <c r="H1062" s="54"/>
      <c r="I1062" s="54"/>
      <c r="J1062" s="54"/>
      <c r="K1062" s="54"/>
      <c r="L1062" s="54"/>
      <c r="M1062" s="54"/>
      <c r="N1062" s="59"/>
      <c r="O1062" s="61"/>
      <c r="P1062" s="61"/>
      <c r="Q1062" s="61"/>
      <c r="R1062" s="50"/>
      <c r="S1062" s="50"/>
      <c r="T1062" s="61"/>
      <c r="U1062" s="61"/>
      <c r="V1062" s="61"/>
      <c r="W1062" s="61"/>
      <c r="X1062" s="61"/>
      <c r="Y1062" s="61"/>
      <c r="Z1062" s="52"/>
      <c r="AA1062" s="52"/>
      <c r="AB1062" s="52"/>
      <c r="AC1062" s="52"/>
      <c r="AD1062" s="53"/>
      <c r="AE1062" s="53"/>
      <c r="AF1062" s="53"/>
    </row>
    <row r="1063">
      <c r="G1063" s="55"/>
      <c r="H1063" s="54"/>
      <c r="I1063" s="54"/>
      <c r="J1063" s="54"/>
      <c r="K1063" s="54"/>
      <c r="L1063" s="54"/>
      <c r="M1063" s="54"/>
      <c r="N1063" s="59"/>
      <c r="O1063" s="61"/>
      <c r="P1063" s="61"/>
      <c r="Q1063" s="61"/>
      <c r="R1063" s="50"/>
      <c r="S1063" s="50"/>
      <c r="T1063" s="61"/>
      <c r="U1063" s="61"/>
      <c r="V1063" s="61"/>
      <c r="W1063" s="61"/>
      <c r="X1063" s="61"/>
      <c r="Y1063" s="61"/>
      <c r="Z1063" s="52"/>
      <c r="AA1063" s="52"/>
      <c r="AB1063" s="52"/>
      <c r="AC1063" s="52"/>
      <c r="AD1063" s="53"/>
      <c r="AE1063" s="53"/>
      <c r="AF1063" s="53"/>
    </row>
    <row r="1064">
      <c r="G1064" s="55"/>
      <c r="H1064" s="54"/>
      <c r="I1064" s="54"/>
      <c r="J1064" s="54"/>
      <c r="K1064" s="54"/>
      <c r="L1064" s="54"/>
      <c r="M1064" s="54"/>
      <c r="N1064" s="59"/>
      <c r="O1064" s="61"/>
      <c r="P1064" s="61"/>
      <c r="Q1064" s="61"/>
      <c r="R1064" s="50"/>
      <c r="S1064" s="50"/>
      <c r="T1064" s="61"/>
      <c r="U1064" s="61"/>
      <c r="V1064" s="61"/>
      <c r="W1064" s="61"/>
      <c r="X1064" s="61"/>
      <c r="Y1064" s="61"/>
      <c r="Z1064" s="52"/>
      <c r="AA1064" s="52"/>
      <c r="AB1064" s="52"/>
      <c r="AC1064" s="52"/>
      <c r="AD1064" s="53"/>
      <c r="AE1064" s="53"/>
      <c r="AF1064" s="53"/>
    </row>
    <row r="1065">
      <c r="G1065" s="55"/>
      <c r="H1065" s="54"/>
      <c r="I1065" s="54"/>
      <c r="J1065" s="54"/>
      <c r="K1065" s="54"/>
      <c r="L1065" s="54"/>
      <c r="M1065" s="54"/>
      <c r="N1065" s="59"/>
      <c r="O1065" s="61"/>
      <c r="P1065" s="61"/>
      <c r="Q1065" s="61"/>
      <c r="R1065" s="50"/>
      <c r="S1065" s="50"/>
      <c r="T1065" s="61"/>
      <c r="U1065" s="61"/>
      <c r="V1065" s="61"/>
      <c r="W1065" s="61"/>
      <c r="X1065" s="61"/>
      <c r="Y1065" s="61"/>
      <c r="Z1065" s="52"/>
      <c r="AA1065" s="52"/>
      <c r="AB1065" s="52"/>
      <c r="AC1065" s="52"/>
      <c r="AD1065" s="53"/>
      <c r="AE1065" s="53"/>
      <c r="AF1065" s="53"/>
    </row>
    <row r="1066">
      <c r="G1066" s="55"/>
      <c r="H1066" s="54"/>
      <c r="I1066" s="54"/>
      <c r="J1066" s="54"/>
      <c r="K1066" s="54"/>
      <c r="L1066" s="54"/>
      <c r="M1066" s="54"/>
      <c r="N1066" s="59"/>
      <c r="O1066" s="61"/>
      <c r="P1066" s="61"/>
      <c r="Q1066" s="61"/>
      <c r="R1066" s="50"/>
      <c r="S1066" s="50"/>
      <c r="T1066" s="61"/>
      <c r="U1066" s="61"/>
      <c r="V1066" s="61"/>
      <c r="W1066" s="61"/>
      <c r="X1066" s="61"/>
      <c r="Y1066" s="61"/>
      <c r="Z1066" s="52"/>
      <c r="AA1066" s="52"/>
      <c r="AB1066" s="52"/>
      <c r="AC1066" s="52"/>
      <c r="AD1066" s="53"/>
      <c r="AE1066" s="53"/>
      <c r="AF1066" s="53"/>
    </row>
    <row r="1067">
      <c r="G1067" s="55"/>
      <c r="H1067" s="54"/>
      <c r="I1067" s="54"/>
      <c r="J1067" s="54"/>
      <c r="K1067" s="54"/>
      <c r="L1067" s="54"/>
      <c r="M1067" s="54"/>
      <c r="N1067" s="59"/>
      <c r="O1067" s="61"/>
      <c r="P1067" s="61"/>
      <c r="Q1067" s="61"/>
      <c r="R1067" s="50"/>
      <c r="S1067" s="50"/>
      <c r="T1067" s="61"/>
      <c r="U1067" s="61"/>
      <c r="V1067" s="61"/>
      <c r="W1067" s="61"/>
      <c r="X1067" s="61"/>
      <c r="Y1067" s="61"/>
      <c r="Z1067" s="52"/>
      <c r="AA1067" s="52"/>
      <c r="AB1067" s="52"/>
      <c r="AC1067" s="52"/>
      <c r="AD1067" s="53"/>
      <c r="AE1067" s="53"/>
      <c r="AF1067" s="53"/>
    </row>
    <row r="1068">
      <c r="G1068" s="55"/>
      <c r="H1068" s="54"/>
      <c r="I1068" s="54"/>
      <c r="J1068" s="54"/>
      <c r="K1068" s="54"/>
      <c r="L1068" s="54"/>
      <c r="M1068" s="54"/>
      <c r="N1068" s="59"/>
      <c r="O1068" s="61"/>
      <c r="P1068" s="61"/>
      <c r="Q1068" s="61"/>
      <c r="R1068" s="50"/>
      <c r="S1068" s="50"/>
      <c r="T1068" s="61"/>
      <c r="U1068" s="61"/>
      <c r="V1068" s="61"/>
      <c r="W1068" s="61"/>
      <c r="X1068" s="61"/>
      <c r="Y1068" s="61"/>
      <c r="Z1068" s="52"/>
      <c r="AA1068" s="52"/>
      <c r="AB1068" s="52"/>
      <c r="AC1068" s="52"/>
      <c r="AD1068" s="53"/>
      <c r="AE1068" s="53"/>
      <c r="AF1068" s="53"/>
    </row>
    <row r="1069">
      <c r="G1069" s="55"/>
      <c r="H1069" s="54"/>
      <c r="I1069" s="54"/>
      <c r="J1069" s="54"/>
      <c r="K1069" s="54"/>
      <c r="L1069" s="54"/>
      <c r="M1069" s="54"/>
      <c r="N1069" s="59"/>
      <c r="O1069" s="61"/>
      <c r="P1069" s="61"/>
      <c r="Q1069" s="61"/>
      <c r="R1069" s="50"/>
      <c r="S1069" s="50"/>
      <c r="T1069" s="61"/>
      <c r="U1069" s="61"/>
      <c r="V1069" s="61"/>
      <c r="W1069" s="61"/>
      <c r="X1069" s="61"/>
      <c r="Y1069" s="61"/>
      <c r="Z1069" s="52"/>
      <c r="AA1069" s="52"/>
      <c r="AB1069" s="52"/>
      <c r="AC1069" s="52"/>
      <c r="AD1069" s="53"/>
      <c r="AE1069" s="53"/>
      <c r="AF1069" s="53"/>
    </row>
    <row r="1070">
      <c r="G1070" s="55"/>
      <c r="H1070" s="54"/>
      <c r="I1070" s="54"/>
      <c r="J1070" s="54"/>
      <c r="K1070" s="54"/>
      <c r="L1070" s="54"/>
      <c r="M1070" s="54"/>
      <c r="N1070" s="59"/>
      <c r="O1070" s="61"/>
      <c r="P1070" s="61"/>
      <c r="Q1070" s="61"/>
      <c r="R1070" s="50"/>
      <c r="S1070" s="50"/>
      <c r="T1070" s="61"/>
      <c r="U1070" s="61"/>
      <c r="V1070" s="61"/>
      <c r="W1070" s="61"/>
      <c r="X1070" s="61"/>
      <c r="Y1070" s="61"/>
      <c r="Z1070" s="52"/>
      <c r="AA1070" s="52"/>
      <c r="AB1070" s="52"/>
      <c r="AC1070" s="52"/>
      <c r="AD1070" s="53"/>
      <c r="AE1070" s="53"/>
      <c r="AF1070" s="53"/>
    </row>
    <row r="1071">
      <c r="G1071" s="55"/>
      <c r="H1071" s="54"/>
      <c r="I1071" s="54"/>
      <c r="J1071" s="54"/>
      <c r="K1071" s="54"/>
      <c r="L1071" s="54"/>
      <c r="M1071" s="54"/>
      <c r="N1071" s="59"/>
      <c r="O1071" s="61"/>
      <c r="P1071" s="61"/>
      <c r="Q1071" s="61"/>
      <c r="R1071" s="50"/>
      <c r="S1071" s="50"/>
      <c r="T1071" s="61"/>
      <c r="U1071" s="61"/>
      <c r="V1071" s="61"/>
      <c r="W1071" s="61"/>
      <c r="X1071" s="61"/>
      <c r="Y1071" s="61"/>
      <c r="Z1071" s="52"/>
      <c r="AA1071" s="52"/>
      <c r="AB1071" s="52"/>
      <c r="AC1071" s="52"/>
      <c r="AD1071" s="53"/>
      <c r="AE1071" s="53"/>
      <c r="AF1071" s="53"/>
    </row>
    <row r="1072">
      <c r="G1072" s="55"/>
      <c r="H1072" s="54"/>
      <c r="I1072" s="54"/>
      <c r="J1072" s="54"/>
      <c r="K1072" s="54"/>
      <c r="L1072" s="54"/>
      <c r="M1072" s="54"/>
      <c r="N1072" s="59"/>
      <c r="O1072" s="61"/>
      <c r="P1072" s="61"/>
      <c r="Q1072" s="61"/>
      <c r="R1072" s="50"/>
      <c r="S1072" s="50"/>
      <c r="T1072" s="61"/>
      <c r="U1072" s="61"/>
      <c r="V1072" s="61"/>
      <c r="W1072" s="61"/>
      <c r="X1072" s="61"/>
      <c r="Y1072" s="61"/>
      <c r="Z1072" s="52"/>
      <c r="AA1072" s="52"/>
      <c r="AB1072" s="52"/>
      <c r="AC1072" s="52"/>
      <c r="AD1072" s="53"/>
      <c r="AE1072" s="53"/>
      <c r="AF1072" s="53"/>
    </row>
    <row r="1073">
      <c r="G1073" s="55"/>
      <c r="H1073" s="54"/>
      <c r="I1073" s="54"/>
      <c r="J1073" s="54"/>
      <c r="K1073" s="54"/>
      <c r="L1073" s="54"/>
      <c r="M1073" s="54"/>
      <c r="N1073" s="59"/>
      <c r="O1073" s="61"/>
      <c r="P1073" s="61"/>
      <c r="Q1073" s="61"/>
      <c r="R1073" s="50"/>
      <c r="S1073" s="50"/>
      <c r="T1073" s="61"/>
      <c r="U1073" s="61"/>
      <c r="V1073" s="61"/>
      <c r="W1073" s="61"/>
      <c r="X1073" s="61"/>
      <c r="Y1073" s="61"/>
      <c r="Z1073" s="52"/>
      <c r="AA1073" s="52"/>
      <c r="AB1073" s="52"/>
      <c r="AC1073" s="52"/>
      <c r="AD1073" s="53"/>
      <c r="AE1073" s="53"/>
      <c r="AF1073" s="53"/>
    </row>
    <row r="1074">
      <c r="G1074" s="55"/>
      <c r="H1074" s="54"/>
      <c r="I1074" s="54"/>
      <c r="J1074" s="54"/>
      <c r="K1074" s="54"/>
      <c r="L1074" s="54"/>
      <c r="M1074" s="54"/>
      <c r="N1074" s="59"/>
      <c r="O1074" s="61"/>
      <c r="P1074" s="61"/>
      <c r="Q1074" s="61"/>
      <c r="R1074" s="50"/>
      <c r="S1074" s="50"/>
      <c r="T1074" s="61"/>
      <c r="U1074" s="61"/>
      <c r="V1074" s="61"/>
      <c r="W1074" s="61"/>
      <c r="X1074" s="61"/>
      <c r="Y1074" s="61"/>
      <c r="Z1074" s="52"/>
      <c r="AA1074" s="52"/>
      <c r="AB1074" s="52"/>
      <c r="AC1074" s="52"/>
      <c r="AD1074" s="53"/>
      <c r="AE1074" s="53"/>
      <c r="AF1074" s="53"/>
    </row>
    <row r="1075">
      <c r="G1075" s="55"/>
      <c r="H1075" s="54"/>
      <c r="I1075" s="54"/>
      <c r="J1075" s="54"/>
      <c r="K1075" s="54"/>
      <c r="L1075" s="54"/>
      <c r="M1075" s="54"/>
      <c r="N1075" s="59"/>
      <c r="O1075" s="61"/>
      <c r="P1075" s="61"/>
      <c r="Q1075" s="61"/>
      <c r="R1075" s="50"/>
      <c r="S1075" s="50"/>
      <c r="T1075" s="61"/>
      <c r="U1075" s="61"/>
      <c r="V1075" s="61"/>
      <c r="W1075" s="61"/>
      <c r="X1075" s="61"/>
      <c r="Y1075" s="61"/>
      <c r="Z1075" s="52"/>
      <c r="AA1075" s="52"/>
      <c r="AB1075" s="52"/>
      <c r="AC1075" s="52"/>
      <c r="AD1075" s="53"/>
      <c r="AE1075" s="53"/>
      <c r="AF1075" s="53"/>
    </row>
    <row r="1076">
      <c r="G1076" s="55"/>
      <c r="H1076" s="54"/>
      <c r="I1076" s="54"/>
      <c r="J1076" s="54"/>
      <c r="K1076" s="54"/>
      <c r="L1076" s="54"/>
      <c r="M1076" s="54"/>
      <c r="N1076" s="59"/>
      <c r="O1076" s="61"/>
      <c r="P1076" s="61"/>
      <c r="Q1076" s="61"/>
      <c r="R1076" s="50"/>
      <c r="S1076" s="50"/>
      <c r="T1076" s="61"/>
      <c r="U1076" s="61"/>
      <c r="V1076" s="61"/>
      <c r="W1076" s="61"/>
      <c r="X1076" s="61"/>
      <c r="Y1076" s="61"/>
      <c r="Z1076" s="52"/>
      <c r="AA1076" s="52"/>
      <c r="AB1076" s="52"/>
      <c r="AC1076" s="52"/>
      <c r="AD1076" s="53"/>
      <c r="AE1076" s="53"/>
      <c r="AF1076" s="53"/>
    </row>
    <row r="1077">
      <c r="G1077" s="55"/>
      <c r="H1077" s="54"/>
      <c r="I1077" s="54"/>
      <c r="J1077" s="54"/>
      <c r="K1077" s="54"/>
      <c r="L1077" s="54"/>
      <c r="M1077" s="54"/>
      <c r="N1077" s="59"/>
      <c r="O1077" s="61"/>
      <c r="P1077" s="61"/>
      <c r="Q1077" s="61"/>
      <c r="R1077" s="50"/>
      <c r="S1077" s="50"/>
      <c r="T1077" s="61"/>
      <c r="U1077" s="61"/>
      <c r="V1077" s="61"/>
      <c r="W1077" s="61"/>
      <c r="X1077" s="61"/>
      <c r="Y1077" s="61"/>
      <c r="Z1077" s="52"/>
      <c r="AA1077" s="52"/>
      <c r="AB1077" s="52"/>
      <c r="AC1077" s="52"/>
      <c r="AD1077" s="53"/>
      <c r="AE1077" s="53"/>
      <c r="AF1077" s="53"/>
    </row>
    <row r="1078">
      <c r="G1078" s="55"/>
      <c r="H1078" s="54"/>
      <c r="I1078" s="54"/>
      <c r="J1078" s="54"/>
      <c r="K1078" s="54"/>
      <c r="L1078" s="54"/>
      <c r="M1078" s="54"/>
      <c r="N1078" s="59"/>
      <c r="O1078" s="61"/>
      <c r="P1078" s="61"/>
      <c r="Q1078" s="61"/>
      <c r="R1078" s="50"/>
      <c r="S1078" s="50"/>
      <c r="T1078" s="61"/>
      <c r="U1078" s="61"/>
      <c r="V1078" s="61"/>
      <c r="W1078" s="61"/>
      <c r="X1078" s="61"/>
      <c r="Y1078" s="61"/>
      <c r="Z1078" s="52"/>
      <c r="AA1078" s="52"/>
      <c r="AB1078" s="52"/>
      <c r="AC1078" s="52"/>
      <c r="AD1078" s="53"/>
      <c r="AE1078" s="53"/>
      <c r="AF1078" s="53"/>
    </row>
    <row r="1079">
      <c r="G1079" s="55"/>
      <c r="H1079" s="54"/>
      <c r="I1079" s="54"/>
      <c r="J1079" s="54"/>
      <c r="K1079" s="54"/>
      <c r="L1079" s="54"/>
      <c r="M1079" s="54"/>
      <c r="N1079" s="59"/>
      <c r="O1079" s="61"/>
      <c r="P1079" s="61"/>
      <c r="Q1079" s="61"/>
      <c r="R1079" s="50"/>
      <c r="S1079" s="50"/>
      <c r="T1079" s="61"/>
      <c r="U1079" s="61"/>
      <c r="V1079" s="61"/>
      <c r="W1079" s="61"/>
      <c r="X1079" s="61"/>
      <c r="Y1079" s="61"/>
      <c r="Z1079" s="52"/>
      <c r="AA1079" s="52"/>
      <c r="AB1079" s="52"/>
      <c r="AC1079" s="52"/>
      <c r="AD1079" s="53"/>
      <c r="AE1079" s="53"/>
      <c r="AF1079" s="53"/>
    </row>
    <row r="1080">
      <c r="G1080" s="55"/>
      <c r="H1080" s="54"/>
      <c r="I1080" s="54"/>
      <c r="J1080" s="54"/>
      <c r="K1080" s="54"/>
      <c r="L1080" s="54"/>
      <c r="M1080" s="54"/>
      <c r="N1080" s="59"/>
      <c r="O1080" s="61"/>
      <c r="P1080" s="61"/>
      <c r="Q1080" s="61"/>
      <c r="R1080" s="50"/>
      <c r="S1080" s="50"/>
      <c r="T1080" s="61"/>
      <c r="U1080" s="61"/>
      <c r="V1080" s="61"/>
      <c r="W1080" s="61"/>
      <c r="X1080" s="61"/>
      <c r="Y1080" s="61"/>
      <c r="Z1080" s="52"/>
      <c r="AA1080" s="52"/>
      <c r="AB1080" s="52"/>
      <c r="AC1080" s="52"/>
      <c r="AD1080" s="53"/>
      <c r="AE1080" s="53"/>
      <c r="AF1080" s="53"/>
    </row>
    <row r="1081">
      <c r="G1081" s="55"/>
      <c r="H1081" s="54"/>
      <c r="I1081" s="54"/>
      <c r="J1081" s="54"/>
      <c r="K1081" s="54"/>
      <c r="L1081" s="54"/>
      <c r="M1081" s="54"/>
      <c r="N1081" s="59"/>
      <c r="O1081" s="61"/>
      <c r="P1081" s="61"/>
      <c r="Q1081" s="61"/>
      <c r="R1081" s="50"/>
      <c r="S1081" s="50"/>
      <c r="T1081" s="61"/>
      <c r="U1081" s="61"/>
      <c r="V1081" s="61"/>
      <c r="W1081" s="61"/>
      <c r="X1081" s="61"/>
      <c r="Y1081" s="61"/>
      <c r="Z1081" s="52"/>
      <c r="AA1081" s="52"/>
      <c r="AB1081" s="52"/>
      <c r="AC1081" s="52"/>
      <c r="AD1081" s="53"/>
      <c r="AE1081" s="53"/>
      <c r="AF1081" s="53"/>
    </row>
    <row r="1082">
      <c r="G1082" s="55"/>
      <c r="H1082" s="54"/>
      <c r="I1082" s="54"/>
      <c r="J1082" s="54"/>
      <c r="K1082" s="54"/>
      <c r="L1082" s="54"/>
      <c r="M1082" s="54"/>
      <c r="N1082" s="59"/>
      <c r="O1082" s="61"/>
      <c r="P1082" s="61"/>
      <c r="Q1082" s="61"/>
      <c r="R1082" s="50"/>
      <c r="S1082" s="50"/>
      <c r="T1082" s="61"/>
      <c r="U1082" s="61"/>
      <c r="V1082" s="61"/>
      <c r="W1082" s="61"/>
      <c r="X1082" s="61"/>
      <c r="Y1082" s="61"/>
      <c r="Z1082" s="52"/>
      <c r="AA1082" s="52"/>
      <c r="AB1082" s="52"/>
      <c r="AC1082" s="52"/>
      <c r="AD1082" s="53"/>
      <c r="AE1082" s="53"/>
      <c r="AF1082" s="53"/>
    </row>
    <row r="1083">
      <c r="G1083" s="55"/>
      <c r="H1083" s="54"/>
      <c r="I1083" s="54"/>
      <c r="J1083" s="54"/>
      <c r="K1083" s="54"/>
      <c r="L1083" s="54"/>
      <c r="M1083" s="54"/>
      <c r="N1083" s="59"/>
      <c r="O1083" s="61"/>
      <c r="P1083" s="61"/>
      <c r="Q1083" s="61"/>
      <c r="R1083" s="50"/>
      <c r="S1083" s="50"/>
      <c r="T1083" s="61"/>
      <c r="U1083" s="61"/>
      <c r="V1083" s="61"/>
      <c r="W1083" s="61"/>
      <c r="X1083" s="61"/>
      <c r="Y1083" s="61"/>
      <c r="Z1083" s="52"/>
      <c r="AA1083" s="52"/>
      <c r="AB1083" s="52"/>
      <c r="AC1083" s="52"/>
      <c r="AD1083" s="53"/>
      <c r="AE1083" s="53"/>
      <c r="AF1083" s="53"/>
    </row>
    <row r="1084">
      <c r="G1084" s="55"/>
      <c r="H1084" s="54"/>
      <c r="I1084" s="54"/>
      <c r="J1084" s="54"/>
      <c r="K1084" s="54"/>
      <c r="L1084" s="54"/>
      <c r="M1084" s="54"/>
      <c r="N1084" s="59"/>
      <c r="O1084" s="61"/>
      <c r="P1084" s="61"/>
      <c r="Q1084" s="61"/>
      <c r="R1084" s="50"/>
      <c r="S1084" s="50"/>
      <c r="T1084" s="61"/>
      <c r="U1084" s="61"/>
      <c r="V1084" s="61"/>
      <c r="W1084" s="61"/>
      <c r="X1084" s="61"/>
      <c r="Y1084" s="61"/>
      <c r="Z1084" s="52"/>
      <c r="AA1084" s="52"/>
      <c r="AB1084" s="52"/>
      <c r="AC1084" s="52"/>
      <c r="AD1084" s="53"/>
      <c r="AE1084" s="53"/>
      <c r="AF1084" s="53"/>
    </row>
    <row r="1085">
      <c r="G1085" s="55"/>
      <c r="H1085" s="54"/>
      <c r="I1085" s="54"/>
      <c r="J1085" s="54"/>
      <c r="K1085" s="54"/>
      <c r="L1085" s="54"/>
      <c r="M1085" s="54"/>
      <c r="N1085" s="59"/>
      <c r="O1085" s="61"/>
      <c r="P1085" s="61"/>
      <c r="Q1085" s="61"/>
      <c r="R1085" s="50"/>
      <c r="S1085" s="50"/>
      <c r="T1085" s="61"/>
      <c r="U1085" s="61"/>
      <c r="V1085" s="61"/>
      <c r="W1085" s="61"/>
      <c r="X1085" s="61"/>
      <c r="Y1085" s="61"/>
      <c r="Z1085" s="52"/>
      <c r="AA1085" s="52"/>
      <c r="AB1085" s="52"/>
      <c r="AC1085" s="52"/>
      <c r="AD1085" s="53"/>
      <c r="AE1085" s="53"/>
      <c r="AF1085" s="53"/>
    </row>
    <row r="1086">
      <c r="G1086" s="55"/>
      <c r="H1086" s="54"/>
      <c r="I1086" s="54"/>
      <c r="J1086" s="54"/>
      <c r="K1086" s="54"/>
      <c r="L1086" s="54"/>
      <c r="M1086" s="54"/>
      <c r="N1086" s="59"/>
      <c r="O1086" s="61"/>
      <c r="P1086" s="61"/>
      <c r="Q1086" s="61"/>
      <c r="R1086" s="50"/>
      <c r="S1086" s="50"/>
      <c r="T1086" s="61"/>
      <c r="U1086" s="61"/>
      <c r="V1086" s="61"/>
      <c r="W1086" s="61"/>
      <c r="X1086" s="61"/>
      <c r="Y1086" s="61"/>
      <c r="Z1086" s="52"/>
      <c r="AA1086" s="52"/>
      <c r="AB1086" s="52"/>
      <c r="AC1086" s="52"/>
      <c r="AD1086" s="53"/>
      <c r="AE1086" s="53"/>
      <c r="AF1086" s="53"/>
    </row>
    <row r="1087">
      <c r="G1087" s="55"/>
      <c r="H1087" s="54"/>
      <c r="I1087" s="54"/>
      <c r="J1087" s="54"/>
      <c r="K1087" s="54"/>
      <c r="L1087" s="54"/>
      <c r="M1087" s="54"/>
      <c r="N1087" s="59"/>
      <c r="O1087" s="61"/>
      <c r="P1087" s="61"/>
      <c r="Q1087" s="61"/>
      <c r="R1087" s="50"/>
      <c r="S1087" s="50"/>
      <c r="T1087" s="61"/>
      <c r="U1087" s="61"/>
      <c r="V1087" s="61"/>
      <c r="W1087" s="61"/>
      <c r="X1087" s="61"/>
      <c r="Y1087" s="61"/>
      <c r="Z1087" s="52"/>
      <c r="AA1087" s="52"/>
      <c r="AB1087" s="52"/>
      <c r="AC1087" s="52"/>
      <c r="AD1087" s="53"/>
      <c r="AE1087" s="53"/>
      <c r="AF1087" s="53"/>
    </row>
    <row r="1088">
      <c r="G1088" s="55"/>
      <c r="H1088" s="54"/>
      <c r="I1088" s="54"/>
      <c r="J1088" s="54"/>
      <c r="K1088" s="54"/>
      <c r="L1088" s="54"/>
      <c r="M1088" s="54"/>
      <c r="N1088" s="59"/>
      <c r="O1088" s="61"/>
      <c r="P1088" s="61"/>
      <c r="Q1088" s="61"/>
      <c r="R1088" s="50"/>
      <c r="S1088" s="50"/>
      <c r="T1088" s="61"/>
      <c r="U1088" s="61"/>
      <c r="V1088" s="61"/>
      <c r="W1088" s="61"/>
      <c r="X1088" s="61"/>
      <c r="Y1088" s="61"/>
      <c r="Z1088" s="52"/>
      <c r="AA1088" s="52"/>
      <c r="AB1088" s="52"/>
      <c r="AC1088" s="52"/>
      <c r="AD1088" s="53"/>
      <c r="AE1088" s="53"/>
      <c r="AF1088" s="53"/>
    </row>
    <row r="1089">
      <c r="G1089" s="55"/>
      <c r="H1089" s="54"/>
      <c r="I1089" s="54"/>
      <c r="J1089" s="54"/>
      <c r="K1089" s="54"/>
      <c r="L1089" s="54"/>
      <c r="M1089" s="54"/>
      <c r="N1089" s="59"/>
      <c r="O1089" s="61"/>
      <c r="P1089" s="61"/>
      <c r="Q1089" s="61"/>
      <c r="R1089" s="50"/>
      <c r="S1089" s="50"/>
      <c r="T1089" s="61"/>
      <c r="U1089" s="61"/>
      <c r="V1089" s="61"/>
      <c r="W1089" s="61"/>
      <c r="X1089" s="61"/>
      <c r="Y1089" s="61"/>
      <c r="Z1089" s="52"/>
      <c r="AA1089" s="52"/>
      <c r="AB1089" s="52"/>
      <c r="AC1089" s="52"/>
      <c r="AD1089" s="53"/>
      <c r="AE1089" s="53"/>
      <c r="AF1089" s="53"/>
    </row>
    <row r="1090">
      <c r="G1090" s="55"/>
      <c r="H1090" s="54"/>
      <c r="I1090" s="54"/>
      <c r="J1090" s="54"/>
      <c r="K1090" s="54"/>
      <c r="L1090" s="54"/>
      <c r="M1090" s="54"/>
      <c r="N1090" s="59"/>
      <c r="O1090" s="61"/>
      <c r="P1090" s="61"/>
      <c r="Q1090" s="61"/>
      <c r="R1090" s="50"/>
      <c r="S1090" s="50"/>
      <c r="T1090" s="61"/>
      <c r="U1090" s="61"/>
      <c r="V1090" s="61"/>
      <c r="W1090" s="61"/>
      <c r="X1090" s="61"/>
      <c r="Y1090" s="61"/>
      <c r="Z1090" s="52"/>
      <c r="AA1090" s="52"/>
      <c r="AB1090" s="52"/>
      <c r="AC1090" s="52"/>
      <c r="AD1090" s="53"/>
      <c r="AE1090" s="53"/>
      <c r="AF1090" s="53"/>
    </row>
    <row r="1091">
      <c r="G1091" s="55"/>
      <c r="H1091" s="54"/>
      <c r="I1091" s="54"/>
      <c r="J1091" s="54"/>
      <c r="K1091" s="54"/>
      <c r="L1091" s="54"/>
      <c r="M1091" s="54"/>
      <c r="N1091" s="59"/>
      <c r="O1091" s="61"/>
      <c r="P1091" s="61"/>
      <c r="Q1091" s="61"/>
      <c r="R1091" s="50"/>
      <c r="S1091" s="50"/>
      <c r="T1091" s="61"/>
      <c r="U1091" s="61"/>
      <c r="V1091" s="61"/>
      <c r="W1091" s="61"/>
      <c r="X1091" s="61"/>
      <c r="Y1091" s="61"/>
      <c r="Z1091" s="52"/>
      <c r="AA1091" s="52"/>
      <c r="AB1091" s="52"/>
      <c r="AC1091" s="52"/>
      <c r="AD1091" s="53"/>
      <c r="AE1091" s="53"/>
      <c r="AF1091" s="53"/>
    </row>
    <row r="1092">
      <c r="G1092" s="55"/>
      <c r="H1092" s="54"/>
      <c r="I1092" s="54"/>
      <c r="J1092" s="54"/>
      <c r="K1092" s="54"/>
      <c r="L1092" s="54"/>
      <c r="M1092" s="54"/>
      <c r="N1092" s="59"/>
      <c r="O1092" s="61"/>
      <c r="P1092" s="61"/>
      <c r="Q1092" s="61"/>
      <c r="R1092" s="50"/>
      <c r="S1092" s="50"/>
      <c r="T1092" s="61"/>
      <c r="U1092" s="61"/>
      <c r="V1092" s="61"/>
      <c r="W1092" s="61"/>
      <c r="X1092" s="61"/>
      <c r="Y1092" s="61"/>
      <c r="Z1092" s="52"/>
      <c r="AA1092" s="52"/>
      <c r="AB1092" s="52"/>
      <c r="AC1092" s="52"/>
      <c r="AD1092" s="53"/>
      <c r="AE1092" s="53"/>
      <c r="AF1092" s="53"/>
    </row>
    <row r="1093">
      <c r="G1093" s="55"/>
      <c r="H1093" s="54"/>
      <c r="I1093" s="54"/>
      <c r="J1093" s="54"/>
      <c r="K1093" s="54"/>
      <c r="L1093" s="54"/>
      <c r="M1093" s="54"/>
      <c r="N1093" s="59"/>
      <c r="O1093" s="61"/>
      <c r="P1093" s="61"/>
      <c r="Q1093" s="61"/>
      <c r="R1093" s="50"/>
      <c r="S1093" s="50"/>
      <c r="T1093" s="61"/>
      <c r="U1093" s="61"/>
      <c r="V1093" s="61"/>
      <c r="W1093" s="61"/>
      <c r="X1093" s="61"/>
      <c r="Y1093" s="61"/>
      <c r="Z1093" s="52"/>
      <c r="AA1093" s="52"/>
      <c r="AB1093" s="52"/>
      <c r="AC1093" s="52"/>
      <c r="AD1093" s="53"/>
      <c r="AE1093" s="53"/>
      <c r="AF1093" s="53"/>
    </row>
    <row r="1094">
      <c r="G1094" s="55"/>
      <c r="H1094" s="54"/>
      <c r="I1094" s="54"/>
      <c r="J1094" s="54"/>
      <c r="K1094" s="54"/>
      <c r="L1094" s="54"/>
      <c r="M1094" s="54"/>
      <c r="N1094" s="59"/>
      <c r="O1094" s="61"/>
      <c r="P1094" s="61"/>
      <c r="Q1094" s="61"/>
      <c r="R1094" s="50"/>
      <c r="S1094" s="50"/>
      <c r="T1094" s="61"/>
      <c r="U1094" s="61"/>
      <c r="V1094" s="61"/>
      <c r="W1094" s="61"/>
      <c r="X1094" s="61"/>
      <c r="Y1094" s="61"/>
      <c r="Z1094" s="52"/>
      <c r="AA1094" s="52"/>
      <c r="AB1094" s="52"/>
      <c r="AC1094" s="52"/>
      <c r="AD1094" s="53"/>
      <c r="AE1094" s="53"/>
      <c r="AF1094" s="53"/>
    </row>
    <row r="1095">
      <c r="G1095" s="55"/>
      <c r="H1095" s="54"/>
      <c r="I1095" s="54"/>
      <c r="J1095" s="54"/>
      <c r="K1095" s="54"/>
      <c r="L1095" s="54"/>
      <c r="M1095" s="54"/>
      <c r="N1095" s="59"/>
      <c r="O1095" s="61"/>
      <c r="P1095" s="61"/>
      <c r="Q1095" s="61"/>
      <c r="R1095" s="50"/>
      <c r="S1095" s="50"/>
      <c r="T1095" s="61"/>
      <c r="U1095" s="61"/>
      <c r="V1095" s="61"/>
      <c r="W1095" s="61"/>
      <c r="X1095" s="61"/>
      <c r="Y1095" s="61"/>
      <c r="Z1095" s="52"/>
      <c r="AA1095" s="52"/>
      <c r="AB1095" s="52"/>
      <c r="AC1095" s="52"/>
      <c r="AD1095" s="53"/>
      <c r="AE1095" s="53"/>
      <c r="AF1095" s="53"/>
    </row>
    <row r="1096">
      <c r="G1096" s="55"/>
      <c r="H1096" s="54"/>
      <c r="I1096" s="54"/>
      <c r="J1096" s="54"/>
      <c r="K1096" s="54"/>
      <c r="L1096" s="54"/>
      <c r="M1096" s="54"/>
      <c r="N1096" s="59"/>
      <c r="O1096" s="61"/>
      <c r="P1096" s="61"/>
      <c r="Q1096" s="61"/>
      <c r="R1096" s="50"/>
      <c r="S1096" s="50"/>
      <c r="T1096" s="61"/>
      <c r="U1096" s="61"/>
      <c r="V1096" s="61"/>
      <c r="W1096" s="61"/>
      <c r="X1096" s="61"/>
      <c r="Y1096" s="61"/>
      <c r="Z1096" s="52"/>
      <c r="AA1096" s="52"/>
      <c r="AB1096" s="52"/>
      <c r="AC1096" s="52"/>
      <c r="AD1096" s="53"/>
      <c r="AE1096" s="53"/>
      <c r="AF1096" s="53"/>
    </row>
    <row r="1097">
      <c r="G1097" s="55"/>
      <c r="H1097" s="54"/>
      <c r="I1097" s="54"/>
      <c r="J1097" s="54"/>
      <c r="K1097" s="54"/>
      <c r="L1097" s="54"/>
      <c r="M1097" s="54"/>
      <c r="N1097" s="59"/>
      <c r="O1097" s="61"/>
      <c r="P1097" s="61"/>
      <c r="Q1097" s="61"/>
      <c r="R1097" s="50"/>
      <c r="S1097" s="50"/>
      <c r="T1097" s="61"/>
      <c r="U1097" s="61"/>
      <c r="V1097" s="61"/>
      <c r="W1097" s="61"/>
      <c r="X1097" s="61"/>
      <c r="Y1097" s="61"/>
      <c r="Z1097" s="52"/>
      <c r="AA1097" s="52"/>
      <c r="AB1097" s="52"/>
      <c r="AC1097" s="52"/>
      <c r="AD1097" s="53"/>
      <c r="AE1097" s="53"/>
      <c r="AF1097" s="53"/>
    </row>
    <row r="1098">
      <c r="G1098" s="55"/>
      <c r="H1098" s="54"/>
      <c r="I1098" s="54"/>
      <c r="J1098" s="54"/>
      <c r="K1098" s="54"/>
      <c r="L1098" s="54"/>
      <c r="M1098" s="54"/>
      <c r="N1098" s="59"/>
      <c r="O1098" s="61"/>
      <c r="P1098" s="61"/>
      <c r="Q1098" s="61"/>
      <c r="R1098" s="50"/>
      <c r="S1098" s="50"/>
      <c r="T1098" s="61"/>
      <c r="U1098" s="61"/>
      <c r="V1098" s="61"/>
      <c r="W1098" s="61"/>
      <c r="X1098" s="61"/>
      <c r="Y1098" s="61"/>
      <c r="Z1098" s="52"/>
      <c r="AA1098" s="52"/>
      <c r="AB1098" s="52"/>
      <c r="AC1098" s="52"/>
      <c r="AD1098" s="53"/>
      <c r="AE1098" s="53"/>
      <c r="AF1098" s="53"/>
    </row>
    <row r="1099">
      <c r="G1099" s="55"/>
      <c r="H1099" s="54"/>
      <c r="I1099" s="54"/>
      <c r="J1099" s="54"/>
      <c r="K1099" s="54"/>
      <c r="L1099" s="54"/>
      <c r="M1099" s="54"/>
      <c r="N1099" s="59"/>
      <c r="O1099" s="61"/>
      <c r="P1099" s="61"/>
      <c r="Q1099" s="61"/>
      <c r="R1099" s="50"/>
      <c r="S1099" s="50"/>
      <c r="T1099" s="61"/>
      <c r="U1099" s="61"/>
      <c r="V1099" s="61"/>
      <c r="W1099" s="61"/>
      <c r="X1099" s="61"/>
      <c r="Y1099" s="61"/>
      <c r="Z1099" s="52"/>
      <c r="AA1099" s="52"/>
      <c r="AB1099" s="52"/>
      <c r="AC1099" s="52"/>
      <c r="AD1099" s="53"/>
      <c r="AE1099" s="53"/>
      <c r="AF1099" s="53"/>
    </row>
    <row r="1100">
      <c r="G1100" s="55"/>
      <c r="H1100" s="54"/>
      <c r="I1100" s="54"/>
      <c r="J1100" s="54"/>
      <c r="K1100" s="54"/>
      <c r="L1100" s="54"/>
      <c r="M1100" s="54"/>
      <c r="N1100" s="59"/>
      <c r="O1100" s="61"/>
      <c r="P1100" s="61"/>
      <c r="Q1100" s="61"/>
      <c r="R1100" s="50"/>
      <c r="S1100" s="50"/>
      <c r="T1100" s="61"/>
      <c r="U1100" s="61"/>
      <c r="V1100" s="61"/>
      <c r="W1100" s="61"/>
      <c r="X1100" s="61"/>
      <c r="Y1100" s="61"/>
      <c r="Z1100" s="52"/>
      <c r="AA1100" s="52"/>
      <c r="AB1100" s="52"/>
      <c r="AC1100" s="52"/>
      <c r="AD1100" s="53"/>
      <c r="AE1100" s="53"/>
      <c r="AF1100" s="53"/>
    </row>
    <row r="1101">
      <c r="G1101" s="55"/>
      <c r="H1101" s="54"/>
      <c r="I1101" s="54"/>
      <c r="J1101" s="54"/>
      <c r="K1101" s="54"/>
      <c r="L1101" s="54"/>
      <c r="M1101" s="54"/>
      <c r="N1101" s="59"/>
      <c r="O1101" s="61"/>
      <c r="P1101" s="61"/>
      <c r="Q1101" s="61"/>
      <c r="R1101" s="50"/>
      <c r="S1101" s="50"/>
      <c r="T1101" s="61"/>
      <c r="U1101" s="61"/>
      <c r="V1101" s="61"/>
      <c r="W1101" s="61"/>
      <c r="X1101" s="61"/>
      <c r="Y1101" s="61"/>
      <c r="Z1101" s="52"/>
      <c r="AA1101" s="52"/>
      <c r="AB1101" s="52"/>
      <c r="AC1101" s="52"/>
      <c r="AD1101" s="53"/>
      <c r="AE1101" s="53"/>
      <c r="AF1101" s="53"/>
    </row>
    <row r="1102">
      <c r="G1102" s="55"/>
      <c r="H1102" s="54"/>
      <c r="I1102" s="54"/>
      <c r="J1102" s="54"/>
      <c r="K1102" s="54"/>
      <c r="L1102" s="54"/>
      <c r="M1102" s="54"/>
      <c r="N1102" s="59"/>
      <c r="O1102" s="61"/>
      <c r="P1102" s="61"/>
      <c r="Q1102" s="61"/>
      <c r="R1102" s="50"/>
      <c r="S1102" s="50"/>
      <c r="T1102" s="61"/>
      <c r="U1102" s="61"/>
      <c r="V1102" s="61"/>
      <c r="W1102" s="61"/>
      <c r="X1102" s="61"/>
      <c r="Y1102" s="61"/>
      <c r="Z1102" s="52"/>
      <c r="AA1102" s="52"/>
      <c r="AB1102" s="52"/>
      <c r="AC1102" s="52"/>
      <c r="AD1102" s="53"/>
      <c r="AE1102" s="53"/>
      <c r="AF1102" s="53"/>
    </row>
    <row r="1103">
      <c r="G1103" s="55"/>
      <c r="H1103" s="54"/>
      <c r="I1103" s="54"/>
      <c r="J1103" s="54"/>
      <c r="K1103" s="54"/>
      <c r="L1103" s="54"/>
      <c r="M1103" s="54"/>
      <c r="N1103" s="59"/>
      <c r="O1103" s="61"/>
      <c r="P1103" s="61"/>
      <c r="Q1103" s="61"/>
      <c r="R1103" s="50"/>
      <c r="S1103" s="50"/>
      <c r="T1103" s="61"/>
      <c r="U1103" s="61"/>
      <c r="V1103" s="61"/>
      <c r="W1103" s="61"/>
      <c r="X1103" s="61"/>
      <c r="Y1103" s="61"/>
      <c r="Z1103" s="52"/>
      <c r="AA1103" s="52"/>
      <c r="AB1103" s="52"/>
      <c r="AC1103" s="52"/>
      <c r="AD1103" s="53"/>
      <c r="AE1103" s="53"/>
      <c r="AF1103" s="53"/>
    </row>
    <row r="1104">
      <c r="G1104" s="55"/>
      <c r="H1104" s="54"/>
      <c r="I1104" s="54"/>
      <c r="J1104" s="54"/>
      <c r="K1104" s="54"/>
      <c r="L1104" s="54"/>
      <c r="M1104" s="54"/>
      <c r="N1104" s="59"/>
      <c r="O1104" s="61"/>
      <c r="P1104" s="61"/>
      <c r="Q1104" s="61"/>
      <c r="R1104" s="50"/>
      <c r="S1104" s="50"/>
      <c r="T1104" s="61"/>
      <c r="U1104" s="61"/>
      <c r="V1104" s="61"/>
      <c r="W1104" s="61"/>
      <c r="X1104" s="61"/>
      <c r="Y1104" s="61"/>
      <c r="Z1104" s="52"/>
      <c r="AA1104" s="52"/>
      <c r="AB1104" s="52"/>
      <c r="AC1104" s="52"/>
      <c r="AD1104" s="53"/>
      <c r="AE1104" s="53"/>
      <c r="AF1104" s="53"/>
    </row>
    <row r="1105">
      <c r="G1105" s="55"/>
      <c r="H1105" s="54"/>
      <c r="I1105" s="54"/>
      <c r="J1105" s="54"/>
      <c r="K1105" s="54"/>
      <c r="L1105" s="54"/>
      <c r="M1105" s="54"/>
      <c r="N1105" s="59"/>
      <c r="O1105" s="61"/>
      <c r="P1105" s="61"/>
      <c r="Q1105" s="61"/>
      <c r="R1105" s="50"/>
      <c r="S1105" s="50"/>
      <c r="T1105" s="61"/>
      <c r="U1105" s="61"/>
      <c r="V1105" s="61"/>
      <c r="W1105" s="61"/>
      <c r="X1105" s="61"/>
      <c r="Y1105" s="61"/>
      <c r="Z1105" s="52"/>
      <c r="AA1105" s="52"/>
      <c r="AB1105" s="52"/>
      <c r="AC1105" s="52"/>
      <c r="AD1105" s="53"/>
      <c r="AE1105" s="53"/>
      <c r="AF1105" s="53"/>
    </row>
    <row r="1106">
      <c r="G1106" s="55"/>
      <c r="H1106" s="54"/>
      <c r="I1106" s="54"/>
      <c r="J1106" s="54"/>
      <c r="K1106" s="54"/>
      <c r="L1106" s="54"/>
      <c r="M1106" s="54"/>
      <c r="N1106" s="59"/>
      <c r="O1106" s="61"/>
      <c r="P1106" s="61"/>
      <c r="Q1106" s="61"/>
      <c r="R1106" s="50"/>
      <c r="S1106" s="50"/>
      <c r="T1106" s="61"/>
      <c r="U1106" s="61"/>
      <c r="V1106" s="61"/>
      <c r="W1106" s="61"/>
      <c r="X1106" s="61"/>
      <c r="Y1106" s="61"/>
      <c r="Z1106" s="52"/>
      <c r="AA1106" s="52"/>
      <c r="AB1106" s="52"/>
      <c r="AC1106" s="52"/>
      <c r="AD1106" s="53"/>
      <c r="AE1106" s="53"/>
      <c r="AF1106" s="53"/>
    </row>
    <row r="1107">
      <c r="G1107" s="55"/>
      <c r="H1107" s="54"/>
      <c r="I1107" s="54"/>
      <c r="J1107" s="54"/>
      <c r="K1107" s="54"/>
      <c r="L1107" s="54"/>
      <c r="M1107" s="54"/>
      <c r="N1107" s="59"/>
      <c r="O1107" s="61"/>
      <c r="P1107" s="61"/>
      <c r="Q1107" s="61"/>
      <c r="R1107" s="50"/>
      <c r="S1107" s="50"/>
      <c r="T1107" s="61"/>
      <c r="U1107" s="61"/>
      <c r="V1107" s="61"/>
      <c r="W1107" s="61"/>
      <c r="X1107" s="61"/>
      <c r="Y1107" s="61"/>
      <c r="Z1107" s="52"/>
      <c r="AA1107" s="52"/>
      <c r="AB1107" s="52"/>
      <c r="AC1107" s="52"/>
      <c r="AD1107" s="53"/>
      <c r="AE1107" s="53"/>
      <c r="AF1107" s="53"/>
    </row>
    <row r="1108">
      <c r="G1108" s="55"/>
      <c r="H1108" s="54"/>
      <c r="I1108" s="54"/>
      <c r="J1108" s="54"/>
      <c r="K1108" s="54"/>
      <c r="L1108" s="54"/>
      <c r="M1108" s="54"/>
      <c r="N1108" s="59"/>
      <c r="O1108" s="61"/>
      <c r="P1108" s="61"/>
      <c r="Q1108" s="61"/>
      <c r="R1108" s="50"/>
      <c r="S1108" s="50"/>
      <c r="T1108" s="61"/>
      <c r="U1108" s="61"/>
      <c r="V1108" s="61"/>
      <c r="W1108" s="61"/>
      <c r="X1108" s="61"/>
      <c r="Y1108" s="61"/>
      <c r="Z1108" s="52"/>
      <c r="AA1108" s="52"/>
      <c r="AB1108" s="52"/>
      <c r="AC1108" s="52"/>
      <c r="AD1108" s="53"/>
      <c r="AE1108" s="53"/>
      <c r="AF1108" s="53"/>
    </row>
    <row r="1109">
      <c r="G1109" s="55"/>
      <c r="H1109" s="54"/>
      <c r="I1109" s="54"/>
      <c r="J1109" s="54"/>
      <c r="K1109" s="54"/>
      <c r="L1109" s="54"/>
      <c r="M1109" s="54"/>
      <c r="N1109" s="59"/>
      <c r="O1109" s="61"/>
      <c r="P1109" s="61"/>
      <c r="Q1109" s="61"/>
      <c r="R1109" s="50"/>
      <c r="S1109" s="50"/>
      <c r="T1109" s="61"/>
      <c r="U1109" s="61"/>
      <c r="V1109" s="61"/>
      <c r="W1109" s="61"/>
      <c r="X1109" s="61"/>
      <c r="Y1109" s="61"/>
      <c r="Z1109" s="52"/>
      <c r="AA1109" s="52"/>
      <c r="AB1109" s="52"/>
      <c r="AC1109" s="52"/>
      <c r="AD1109" s="53"/>
      <c r="AE1109" s="53"/>
      <c r="AF1109" s="53"/>
    </row>
    <row r="1110">
      <c r="G1110" s="55"/>
      <c r="H1110" s="54"/>
      <c r="I1110" s="54"/>
      <c r="J1110" s="54"/>
      <c r="K1110" s="54"/>
      <c r="L1110" s="54"/>
      <c r="M1110" s="54"/>
      <c r="N1110" s="59"/>
      <c r="O1110" s="61"/>
      <c r="P1110" s="61"/>
      <c r="Q1110" s="61"/>
      <c r="R1110" s="50"/>
      <c r="S1110" s="50"/>
      <c r="T1110" s="61"/>
      <c r="U1110" s="61"/>
      <c r="V1110" s="61"/>
      <c r="W1110" s="61"/>
      <c r="X1110" s="61"/>
      <c r="Y1110" s="61"/>
      <c r="Z1110" s="52"/>
      <c r="AA1110" s="52"/>
      <c r="AB1110" s="52"/>
      <c r="AC1110" s="52"/>
      <c r="AD1110" s="53"/>
      <c r="AE1110" s="53"/>
      <c r="AF1110" s="53"/>
    </row>
    <row r="1111">
      <c r="G1111" s="55"/>
      <c r="H1111" s="54"/>
      <c r="I1111" s="54"/>
      <c r="J1111" s="54"/>
      <c r="K1111" s="54"/>
      <c r="L1111" s="54"/>
      <c r="M1111" s="54"/>
      <c r="N1111" s="59"/>
      <c r="O1111" s="61"/>
      <c r="P1111" s="61"/>
      <c r="Q1111" s="61"/>
      <c r="R1111" s="50"/>
      <c r="S1111" s="50"/>
      <c r="T1111" s="61"/>
      <c r="U1111" s="61"/>
      <c r="V1111" s="61"/>
      <c r="W1111" s="61"/>
      <c r="X1111" s="61"/>
      <c r="Y1111" s="61"/>
      <c r="Z1111" s="52"/>
      <c r="AA1111" s="52"/>
      <c r="AB1111" s="52"/>
      <c r="AC1111" s="52"/>
      <c r="AD1111" s="53"/>
      <c r="AE1111" s="53"/>
      <c r="AF1111" s="53"/>
    </row>
    <row r="1112">
      <c r="G1112" s="55"/>
      <c r="H1112" s="54"/>
      <c r="I1112" s="54"/>
      <c r="J1112" s="54"/>
      <c r="K1112" s="54"/>
      <c r="L1112" s="54"/>
      <c r="M1112" s="54"/>
      <c r="N1112" s="59"/>
      <c r="O1112" s="61"/>
      <c r="P1112" s="61"/>
      <c r="Q1112" s="61"/>
      <c r="R1112" s="50"/>
      <c r="S1112" s="50"/>
      <c r="T1112" s="61"/>
      <c r="U1112" s="61"/>
      <c r="V1112" s="61"/>
      <c r="W1112" s="61"/>
      <c r="X1112" s="61"/>
      <c r="Y1112" s="61"/>
      <c r="Z1112" s="52"/>
      <c r="AA1112" s="52"/>
      <c r="AB1112" s="52"/>
      <c r="AC1112" s="52"/>
      <c r="AD1112" s="53"/>
      <c r="AE1112" s="53"/>
      <c r="AF1112" s="53"/>
    </row>
    <row r="1113">
      <c r="G1113" s="55"/>
      <c r="H1113" s="54"/>
      <c r="I1113" s="54"/>
      <c r="J1113" s="54"/>
      <c r="K1113" s="54"/>
      <c r="L1113" s="54"/>
      <c r="M1113" s="54"/>
      <c r="N1113" s="59"/>
      <c r="O1113" s="61"/>
      <c r="P1113" s="61"/>
      <c r="Q1113" s="61"/>
      <c r="R1113" s="50"/>
      <c r="S1113" s="50"/>
      <c r="T1113" s="61"/>
      <c r="U1113" s="61"/>
      <c r="V1113" s="61"/>
      <c r="W1113" s="61"/>
      <c r="X1113" s="61"/>
      <c r="Y1113" s="61"/>
      <c r="Z1113" s="52"/>
      <c r="AA1113" s="52"/>
      <c r="AB1113" s="52"/>
      <c r="AC1113" s="52"/>
      <c r="AD1113" s="53"/>
      <c r="AE1113" s="53"/>
      <c r="AF1113" s="53"/>
    </row>
    <row r="1114">
      <c r="G1114" s="55"/>
      <c r="H1114" s="54"/>
      <c r="I1114" s="54"/>
      <c r="J1114" s="54"/>
      <c r="K1114" s="54"/>
      <c r="L1114" s="54"/>
      <c r="M1114" s="54"/>
      <c r="N1114" s="59"/>
      <c r="O1114" s="61"/>
      <c r="P1114" s="61"/>
      <c r="Q1114" s="61"/>
      <c r="R1114" s="50"/>
      <c r="S1114" s="50"/>
      <c r="T1114" s="61"/>
      <c r="U1114" s="61"/>
      <c r="V1114" s="61"/>
      <c r="W1114" s="61"/>
      <c r="X1114" s="61"/>
      <c r="Y1114" s="61"/>
      <c r="Z1114" s="52"/>
      <c r="AA1114" s="52"/>
      <c r="AB1114" s="52"/>
      <c r="AC1114" s="52"/>
      <c r="AD1114" s="53"/>
      <c r="AE1114" s="53"/>
      <c r="AF1114" s="53"/>
    </row>
    <row r="1115">
      <c r="G1115" s="55"/>
      <c r="H1115" s="54"/>
      <c r="I1115" s="54"/>
      <c r="J1115" s="54"/>
      <c r="K1115" s="54"/>
      <c r="L1115" s="54"/>
      <c r="M1115" s="54"/>
      <c r="N1115" s="59"/>
      <c r="O1115" s="61"/>
      <c r="P1115" s="61"/>
      <c r="Q1115" s="61"/>
      <c r="R1115" s="50"/>
      <c r="S1115" s="50"/>
      <c r="T1115" s="61"/>
      <c r="U1115" s="61"/>
      <c r="V1115" s="61"/>
      <c r="W1115" s="61"/>
      <c r="X1115" s="61"/>
      <c r="Y1115" s="61"/>
      <c r="Z1115" s="52"/>
      <c r="AA1115" s="52"/>
      <c r="AB1115" s="52"/>
      <c r="AC1115" s="52"/>
      <c r="AD1115" s="53"/>
      <c r="AE1115" s="53"/>
      <c r="AF1115" s="53"/>
    </row>
    <row r="1116">
      <c r="G1116" s="55"/>
      <c r="H1116" s="54"/>
      <c r="I1116" s="54"/>
      <c r="J1116" s="54"/>
      <c r="K1116" s="54"/>
      <c r="L1116" s="54"/>
      <c r="M1116" s="54"/>
      <c r="N1116" s="59"/>
      <c r="O1116" s="61"/>
      <c r="P1116" s="61"/>
      <c r="Q1116" s="61"/>
      <c r="R1116" s="50"/>
      <c r="S1116" s="50"/>
      <c r="T1116" s="61"/>
      <c r="U1116" s="61"/>
      <c r="V1116" s="61"/>
      <c r="W1116" s="61"/>
      <c r="X1116" s="61"/>
      <c r="Y1116" s="61"/>
      <c r="Z1116" s="52"/>
      <c r="AA1116" s="52"/>
      <c r="AB1116" s="52"/>
      <c r="AC1116" s="52"/>
      <c r="AD1116" s="53"/>
      <c r="AE1116" s="53"/>
      <c r="AF1116" s="53"/>
    </row>
    <row r="1117">
      <c r="G1117" s="55"/>
      <c r="H1117" s="54"/>
      <c r="I1117" s="54"/>
      <c r="J1117" s="54"/>
      <c r="K1117" s="54"/>
      <c r="L1117" s="54"/>
      <c r="M1117" s="54"/>
      <c r="N1117" s="59"/>
      <c r="O1117" s="61"/>
      <c r="P1117" s="61"/>
      <c r="Q1117" s="61"/>
      <c r="R1117" s="50"/>
      <c r="S1117" s="50"/>
      <c r="T1117" s="61"/>
      <c r="U1117" s="61"/>
      <c r="V1117" s="61"/>
      <c r="W1117" s="61"/>
      <c r="X1117" s="61"/>
      <c r="Y1117" s="61"/>
      <c r="Z1117" s="52"/>
      <c r="AA1117" s="52"/>
      <c r="AB1117" s="52"/>
      <c r="AC1117" s="52"/>
      <c r="AD1117" s="53"/>
      <c r="AE1117" s="53"/>
      <c r="AF1117" s="53"/>
    </row>
    <row r="1118">
      <c r="G1118" s="55"/>
      <c r="H1118" s="54"/>
      <c r="I1118" s="54"/>
      <c r="J1118" s="54"/>
      <c r="K1118" s="54"/>
      <c r="L1118" s="54"/>
      <c r="M1118" s="54"/>
      <c r="N1118" s="59"/>
      <c r="O1118" s="61"/>
      <c r="P1118" s="61"/>
      <c r="Q1118" s="61"/>
      <c r="R1118" s="50"/>
      <c r="S1118" s="50"/>
      <c r="T1118" s="61"/>
      <c r="U1118" s="61"/>
      <c r="V1118" s="61"/>
      <c r="W1118" s="61"/>
      <c r="X1118" s="61"/>
      <c r="Y1118" s="61"/>
      <c r="Z1118" s="52"/>
      <c r="AA1118" s="52"/>
      <c r="AB1118" s="52"/>
      <c r="AC1118" s="52"/>
      <c r="AD1118" s="53"/>
      <c r="AE1118" s="53"/>
      <c r="AF1118" s="53"/>
    </row>
    <row r="1119">
      <c r="G1119" s="55"/>
      <c r="H1119" s="54"/>
      <c r="I1119" s="54"/>
      <c r="J1119" s="54"/>
      <c r="K1119" s="54"/>
      <c r="L1119" s="54"/>
      <c r="M1119" s="54"/>
      <c r="N1119" s="59"/>
      <c r="O1119" s="61"/>
      <c r="P1119" s="61"/>
      <c r="Q1119" s="61"/>
      <c r="R1119" s="50"/>
      <c r="S1119" s="50"/>
      <c r="T1119" s="61"/>
      <c r="U1119" s="61"/>
      <c r="V1119" s="61"/>
      <c r="W1119" s="61"/>
      <c r="X1119" s="61"/>
      <c r="Y1119" s="61"/>
      <c r="Z1119" s="52"/>
      <c r="AA1119" s="52"/>
      <c r="AB1119" s="52"/>
      <c r="AC1119" s="52"/>
      <c r="AD1119" s="53"/>
      <c r="AE1119" s="53"/>
      <c r="AF1119" s="53"/>
    </row>
    <row r="1120">
      <c r="G1120" s="55"/>
      <c r="H1120" s="54"/>
      <c r="I1120" s="54"/>
      <c r="J1120" s="54"/>
      <c r="K1120" s="54"/>
      <c r="L1120" s="54"/>
      <c r="M1120" s="54"/>
      <c r="N1120" s="59"/>
      <c r="O1120" s="61"/>
      <c r="P1120" s="61"/>
      <c r="Q1120" s="61"/>
      <c r="R1120" s="50"/>
      <c r="S1120" s="50"/>
      <c r="T1120" s="61"/>
      <c r="U1120" s="61"/>
      <c r="V1120" s="61"/>
      <c r="W1120" s="61"/>
      <c r="X1120" s="61"/>
      <c r="Y1120" s="61"/>
      <c r="Z1120" s="52"/>
      <c r="AA1120" s="52"/>
      <c r="AB1120" s="52"/>
      <c r="AC1120" s="52"/>
      <c r="AD1120" s="53"/>
      <c r="AE1120" s="53"/>
      <c r="AF1120" s="53"/>
    </row>
    <row r="1121">
      <c r="G1121" s="55"/>
      <c r="H1121" s="54"/>
      <c r="I1121" s="54"/>
      <c r="J1121" s="54"/>
      <c r="K1121" s="54"/>
      <c r="L1121" s="54"/>
      <c r="M1121" s="54"/>
      <c r="N1121" s="59"/>
      <c r="O1121" s="61"/>
      <c r="P1121" s="61"/>
      <c r="Q1121" s="61"/>
      <c r="R1121" s="50"/>
      <c r="S1121" s="50"/>
      <c r="T1121" s="61"/>
      <c r="U1121" s="61"/>
      <c r="V1121" s="61"/>
      <c r="W1121" s="61"/>
      <c r="X1121" s="61"/>
      <c r="Y1121" s="61"/>
      <c r="Z1121" s="52"/>
      <c r="AA1121" s="52"/>
      <c r="AB1121" s="52"/>
      <c r="AC1121" s="52"/>
      <c r="AD1121" s="53"/>
      <c r="AE1121" s="53"/>
      <c r="AF1121" s="53"/>
    </row>
    <row r="1122">
      <c r="G1122" s="55"/>
      <c r="H1122" s="54"/>
      <c r="I1122" s="54"/>
      <c r="J1122" s="54"/>
      <c r="K1122" s="54"/>
      <c r="L1122" s="54"/>
      <c r="M1122" s="54"/>
      <c r="N1122" s="59"/>
      <c r="O1122" s="61"/>
      <c r="P1122" s="61"/>
      <c r="Q1122" s="61"/>
      <c r="R1122" s="50"/>
      <c r="S1122" s="50"/>
      <c r="T1122" s="61"/>
      <c r="U1122" s="61"/>
      <c r="V1122" s="61"/>
      <c r="W1122" s="61"/>
      <c r="X1122" s="61"/>
      <c r="Y1122" s="61"/>
      <c r="Z1122" s="52"/>
      <c r="AA1122" s="52"/>
      <c r="AB1122" s="52"/>
      <c r="AC1122" s="52"/>
      <c r="AD1122" s="53"/>
      <c r="AE1122" s="53"/>
      <c r="AF1122" s="53"/>
    </row>
    <row r="1123">
      <c r="G1123" s="55"/>
      <c r="H1123" s="54"/>
      <c r="I1123" s="54"/>
      <c r="J1123" s="54"/>
      <c r="K1123" s="54"/>
      <c r="L1123" s="54"/>
      <c r="M1123" s="54"/>
      <c r="N1123" s="59"/>
      <c r="O1123" s="61"/>
      <c r="P1123" s="61"/>
      <c r="Q1123" s="61"/>
      <c r="R1123" s="50"/>
      <c r="S1123" s="50"/>
      <c r="T1123" s="61"/>
      <c r="U1123" s="61"/>
      <c r="V1123" s="61"/>
      <c r="W1123" s="61"/>
      <c r="X1123" s="61"/>
      <c r="Y1123" s="61"/>
      <c r="Z1123" s="52"/>
      <c r="AA1123" s="52"/>
      <c r="AB1123" s="52"/>
      <c r="AC1123" s="52"/>
      <c r="AD1123" s="53"/>
      <c r="AE1123" s="53"/>
      <c r="AF1123" s="53"/>
    </row>
    <row r="1124">
      <c r="G1124" s="55"/>
      <c r="H1124" s="54"/>
      <c r="I1124" s="54"/>
      <c r="J1124" s="54"/>
      <c r="K1124" s="54"/>
      <c r="L1124" s="54"/>
      <c r="M1124" s="54"/>
      <c r="N1124" s="59"/>
      <c r="O1124" s="61"/>
      <c r="P1124" s="61"/>
      <c r="Q1124" s="61"/>
      <c r="R1124" s="50"/>
      <c r="S1124" s="50"/>
      <c r="T1124" s="61"/>
      <c r="U1124" s="61"/>
      <c r="V1124" s="61"/>
      <c r="W1124" s="61"/>
      <c r="X1124" s="61"/>
      <c r="Y1124" s="61"/>
      <c r="Z1124" s="52"/>
      <c r="AA1124" s="52"/>
      <c r="AB1124" s="52"/>
      <c r="AC1124" s="52"/>
      <c r="AD1124" s="53"/>
      <c r="AE1124" s="53"/>
      <c r="AF1124" s="53"/>
    </row>
    <row r="1125">
      <c r="G1125" s="55"/>
      <c r="H1125" s="54"/>
      <c r="I1125" s="54"/>
      <c r="J1125" s="54"/>
      <c r="K1125" s="54"/>
      <c r="L1125" s="54"/>
      <c r="M1125" s="54"/>
      <c r="N1125" s="59"/>
      <c r="O1125" s="61"/>
      <c r="P1125" s="61"/>
      <c r="Q1125" s="61"/>
      <c r="R1125" s="50"/>
      <c r="S1125" s="50"/>
      <c r="T1125" s="61"/>
      <c r="U1125" s="61"/>
      <c r="V1125" s="61"/>
      <c r="W1125" s="61"/>
      <c r="X1125" s="61"/>
      <c r="Y1125" s="61"/>
      <c r="Z1125" s="52"/>
      <c r="AA1125" s="52"/>
      <c r="AB1125" s="52"/>
      <c r="AC1125" s="52"/>
      <c r="AD1125" s="53"/>
      <c r="AE1125" s="53"/>
      <c r="AF1125" s="53"/>
    </row>
    <row r="1126">
      <c r="G1126" s="55"/>
      <c r="H1126" s="54"/>
      <c r="I1126" s="54"/>
      <c r="J1126" s="54"/>
      <c r="K1126" s="54"/>
      <c r="L1126" s="54"/>
      <c r="M1126" s="54"/>
      <c r="N1126" s="59"/>
      <c r="O1126" s="61"/>
      <c r="P1126" s="61"/>
      <c r="Q1126" s="61"/>
      <c r="R1126" s="50"/>
      <c r="S1126" s="50"/>
      <c r="T1126" s="61"/>
      <c r="U1126" s="61"/>
      <c r="V1126" s="61"/>
      <c r="W1126" s="61"/>
      <c r="X1126" s="61"/>
      <c r="Y1126" s="61"/>
      <c r="Z1126" s="52"/>
      <c r="AA1126" s="52"/>
      <c r="AB1126" s="52"/>
      <c r="AC1126" s="52"/>
      <c r="AD1126" s="53"/>
      <c r="AE1126" s="53"/>
      <c r="AF1126" s="53"/>
    </row>
    <row r="1127">
      <c r="G1127" s="55"/>
      <c r="H1127" s="54"/>
      <c r="I1127" s="54"/>
      <c r="J1127" s="54"/>
      <c r="K1127" s="54"/>
      <c r="L1127" s="54"/>
      <c r="M1127" s="54"/>
      <c r="N1127" s="59"/>
      <c r="O1127" s="61"/>
      <c r="P1127" s="61"/>
      <c r="Q1127" s="61"/>
      <c r="R1127" s="50"/>
      <c r="S1127" s="50"/>
      <c r="T1127" s="61"/>
      <c r="U1127" s="61"/>
      <c r="V1127" s="61"/>
      <c r="W1127" s="61"/>
      <c r="X1127" s="61"/>
      <c r="Y1127" s="61"/>
      <c r="Z1127" s="52"/>
      <c r="AA1127" s="52"/>
      <c r="AB1127" s="52"/>
      <c r="AC1127" s="52"/>
      <c r="AD1127" s="53"/>
      <c r="AE1127" s="53"/>
      <c r="AF1127" s="53"/>
    </row>
    <row r="1128">
      <c r="G1128" s="55"/>
      <c r="H1128" s="54"/>
      <c r="I1128" s="54"/>
      <c r="J1128" s="54"/>
      <c r="K1128" s="54"/>
      <c r="L1128" s="54"/>
      <c r="M1128" s="54"/>
      <c r="N1128" s="59"/>
      <c r="O1128" s="61"/>
      <c r="P1128" s="61"/>
      <c r="Q1128" s="61"/>
      <c r="R1128" s="50"/>
      <c r="S1128" s="50"/>
      <c r="T1128" s="61"/>
      <c r="U1128" s="61"/>
      <c r="V1128" s="61"/>
      <c r="W1128" s="61"/>
      <c r="X1128" s="61"/>
      <c r="Y1128" s="61"/>
      <c r="Z1128" s="52"/>
      <c r="AA1128" s="52"/>
      <c r="AB1128" s="52"/>
      <c r="AC1128" s="52"/>
      <c r="AD1128" s="53"/>
      <c r="AE1128" s="53"/>
      <c r="AF1128" s="53"/>
    </row>
    <row r="1129">
      <c r="G1129" s="55"/>
      <c r="H1129" s="54"/>
      <c r="I1129" s="54"/>
      <c r="J1129" s="54"/>
      <c r="K1129" s="54"/>
      <c r="L1129" s="54"/>
      <c r="M1129" s="54"/>
      <c r="N1129" s="59"/>
      <c r="O1129" s="61"/>
      <c r="P1129" s="61"/>
      <c r="Q1129" s="61"/>
      <c r="R1129" s="50"/>
      <c r="S1129" s="50"/>
      <c r="T1129" s="61"/>
      <c r="U1129" s="61"/>
      <c r="V1129" s="61"/>
      <c r="W1129" s="61"/>
      <c r="X1129" s="61"/>
      <c r="Y1129" s="61"/>
      <c r="Z1129" s="52"/>
      <c r="AA1129" s="52"/>
      <c r="AB1129" s="52"/>
      <c r="AC1129" s="52"/>
      <c r="AD1129" s="53"/>
      <c r="AE1129" s="53"/>
      <c r="AF1129" s="53"/>
    </row>
    <row r="1130">
      <c r="G1130" s="55"/>
      <c r="H1130" s="54"/>
      <c r="I1130" s="54"/>
      <c r="J1130" s="54"/>
      <c r="K1130" s="54"/>
      <c r="L1130" s="54"/>
      <c r="M1130" s="54"/>
      <c r="N1130" s="59"/>
      <c r="O1130" s="61"/>
      <c r="P1130" s="61"/>
      <c r="Q1130" s="61"/>
      <c r="R1130" s="50"/>
      <c r="S1130" s="50"/>
      <c r="T1130" s="61"/>
      <c r="U1130" s="61"/>
      <c r="V1130" s="61"/>
      <c r="W1130" s="61"/>
      <c r="X1130" s="61"/>
      <c r="Y1130" s="61"/>
      <c r="Z1130" s="52"/>
      <c r="AA1130" s="52"/>
      <c r="AB1130" s="52"/>
      <c r="AC1130" s="52"/>
      <c r="AD1130" s="53"/>
      <c r="AE1130" s="53"/>
      <c r="AF1130" s="53"/>
    </row>
    <row r="1131">
      <c r="G1131" s="55"/>
      <c r="H1131" s="54"/>
      <c r="I1131" s="54"/>
      <c r="J1131" s="54"/>
      <c r="K1131" s="54"/>
      <c r="L1131" s="54"/>
      <c r="M1131" s="54"/>
      <c r="N1131" s="59"/>
      <c r="O1131" s="61"/>
      <c r="P1131" s="61"/>
      <c r="Q1131" s="61"/>
      <c r="R1131" s="50"/>
      <c r="S1131" s="50"/>
      <c r="T1131" s="61"/>
      <c r="U1131" s="61"/>
      <c r="V1131" s="61"/>
      <c r="W1131" s="61"/>
      <c r="X1131" s="61"/>
      <c r="Y1131" s="61"/>
      <c r="Z1131" s="52"/>
      <c r="AA1131" s="52"/>
      <c r="AB1131" s="52"/>
      <c r="AC1131" s="52"/>
      <c r="AD1131" s="53"/>
      <c r="AE1131" s="53"/>
      <c r="AF1131" s="53"/>
    </row>
    <row r="1132">
      <c r="G1132" s="55"/>
      <c r="H1132" s="54"/>
      <c r="I1132" s="54"/>
      <c r="J1132" s="54"/>
      <c r="K1132" s="54"/>
      <c r="L1132" s="54"/>
      <c r="M1132" s="54"/>
      <c r="N1132" s="59"/>
      <c r="O1132" s="61"/>
      <c r="P1132" s="61"/>
      <c r="Q1132" s="61"/>
      <c r="R1132" s="50"/>
      <c r="S1132" s="50"/>
      <c r="T1132" s="61"/>
      <c r="U1132" s="61"/>
      <c r="V1132" s="61"/>
      <c r="W1132" s="61"/>
      <c r="X1132" s="61"/>
      <c r="Y1132" s="61"/>
      <c r="Z1132" s="52"/>
      <c r="AA1132" s="52"/>
      <c r="AB1132" s="52"/>
      <c r="AC1132" s="52"/>
      <c r="AD1132" s="53"/>
      <c r="AE1132" s="53"/>
      <c r="AF1132" s="53"/>
    </row>
    <row r="1133">
      <c r="G1133" s="55"/>
      <c r="H1133" s="54"/>
      <c r="I1133" s="54"/>
      <c r="J1133" s="54"/>
      <c r="K1133" s="54"/>
      <c r="L1133" s="54"/>
      <c r="M1133" s="54"/>
      <c r="N1133" s="59"/>
      <c r="O1133" s="61"/>
      <c r="P1133" s="61"/>
      <c r="Q1133" s="61"/>
      <c r="R1133" s="50"/>
      <c r="S1133" s="50"/>
      <c r="T1133" s="61"/>
      <c r="U1133" s="61"/>
      <c r="V1133" s="61"/>
      <c r="W1133" s="61"/>
      <c r="X1133" s="61"/>
      <c r="Y1133" s="61"/>
      <c r="Z1133" s="52"/>
      <c r="AA1133" s="52"/>
      <c r="AB1133" s="52"/>
      <c r="AC1133" s="52"/>
      <c r="AD1133" s="53"/>
      <c r="AE1133" s="53"/>
      <c r="AF1133" s="53"/>
    </row>
    <row r="1134">
      <c r="G1134" s="55"/>
      <c r="H1134" s="54"/>
      <c r="I1134" s="54"/>
      <c r="J1134" s="54"/>
      <c r="K1134" s="54"/>
      <c r="L1134" s="54"/>
      <c r="M1134" s="54"/>
      <c r="N1134" s="59"/>
      <c r="O1134" s="61"/>
      <c r="P1134" s="61"/>
      <c r="Q1134" s="61"/>
      <c r="R1134" s="50"/>
      <c r="S1134" s="50"/>
      <c r="T1134" s="61"/>
      <c r="U1134" s="61"/>
      <c r="V1134" s="61"/>
      <c r="W1134" s="61"/>
      <c r="X1134" s="61"/>
      <c r="Y1134" s="61"/>
      <c r="Z1134" s="52"/>
      <c r="AA1134" s="52"/>
      <c r="AB1134" s="52"/>
      <c r="AC1134" s="52"/>
      <c r="AD1134" s="53"/>
      <c r="AE1134" s="53"/>
      <c r="AF1134" s="53"/>
    </row>
    <row r="1135">
      <c r="G1135" s="55"/>
      <c r="H1135" s="54"/>
      <c r="I1135" s="54"/>
      <c r="J1135" s="54"/>
      <c r="K1135" s="54"/>
      <c r="L1135" s="54"/>
      <c r="M1135" s="54"/>
      <c r="N1135" s="59"/>
      <c r="O1135" s="61"/>
      <c r="P1135" s="61"/>
      <c r="Q1135" s="61"/>
      <c r="R1135" s="50"/>
      <c r="S1135" s="50"/>
      <c r="T1135" s="61"/>
      <c r="U1135" s="61"/>
      <c r="V1135" s="61"/>
      <c r="W1135" s="61"/>
      <c r="X1135" s="61"/>
      <c r="Y1135" s="61"/>
      <c r="Z1135" s="52"/>
      <c r="AA1135" s="52"/>
      <c r="AB1135" s="52"/>
      <c r="AC1135" s="52"/>
      <c r="AD1135" s="53"/>
      <c r="AE1135" s="53"/>
      <c r="AF1135" s="53"/>
    </row>
    <row r="1136">
      <c r="G1136" s="55"/>
      <c r="H1136" s="54"/>
      <c r="I1136" s="54"/>
      <c r="J1136" s="54"/>
      <c r="K1136" s="54"/>
      <c r="L1136" s="54"/>
      <c r="M1136" s="54"/>
      <c r="N1136" s="59"/>
      <c r="O1136" s="61"/>
      <c r="P1136" s="61"/>
      <c r="Q1136" s="61"/>
      <c r="R1136" s="50"/>
      <c r="S1136" s="50"/>
      <c r="T1136" s="61"/>
      <c r="U1136" s="61"/>
      <c r="V1136" s="61"/>
      <c r="W1136" s="61"/>
      <c r="X1136" s="61"/>
      <c r="Y1136" s="61"/>
      <c r="Z1136" s="52"/>
      <c r="AA1136" s="52"/>
      <c r="AB1136" s="52"/>
      <c r="AC1136" s="52"/>
      <c r="AD1136" s="53"/>
      <c r="AE1136" s="53"/>
      <c r="AF1136" s="53"/>
    </row>
    <row r="1137">
      <c r="G1137" s="55"/>
      <c r="H1137" s="54"/>
      <c r="I1137" s="54"/>
      <c r="J1137" s="54"/>
      <c r="K1137" s="54"/>
      <c r="L1137" s="54"/>
      <c r="M1137" s="54"/>
      <c r="N1137" s="59"/>
      <c r="O1137" s="61"/>
      <c r="P1137" s="61"/>
      <c r="Q1137" s="61"/>
      <c r="R1137" s="50"/>
      <c r="S1137" s="50"/>
      <c r="T1137" s="61"/>
      <c r="U1137" s="61"/>
      <c r="V1137" s="61"/>
      <c r="W1137" s="61"/>
      <c r="X1137" s="61"/>
      <c r="Y1137" s="61"/>
      <c r="Z1137" s="52"/>
      <c r="AA1137" s="52"/>
      <c r="AB1137" s="52"/>
      <c r="AC1137" s="52"/>
      <c r="AD1137" s="53"/>
      <c r="AE1137" s="53"/>
      <c r="AF1137" s="53"/>
    </row>
    <row r="1138">
      <c r="G1138" s="55"/>
      <c r="H1138" s="54"/>
      <c r="I1138" s="54"/>
      <c r="J1138" s="54"/>
      <c r="K1138" s="54"/>
      <c r="L1138" s="54"/>
      <c r="M1138" s="54"/>
      <c r="N1138" s="59"/>
      <c r="O1138" s="61"/>
      <c r="P1138" s="61"/>
      <c r="Q1138" s="61"/>
      <c r="R1138" s="50"/>
      <c r="S1138" s="50"/>
      <c r="T1138" s="61"/>
      <c r="U1138" s="61"/>
      <c r="V1138" s="61"/>
      <c r="W1138" s="61"/>
      <c r="X1138" s="61"/>
      <c r="Y1138" s="61"/>
      <c r="Z1138" s="52"/>
      <c r="AA1138" s="52"/>
      <c r="AB1138" s="52"/>
      <c r="AC1138" s="52"/>
      <c r="AD1138" s="53"/>
      <c r="AE1138" s="53"/>
      <c r="AF1138" s="53"/>
    </row>
    <row r="1139">
      <c r="G1139" s="55"/>
      <c r="H1139" s="54"/>
      <c r="I1139" s="54"/>
      <c r="J1139" s="54"/>
      <c r="K1139" s="54"/>
      <c r="L1139" s="54"/>
      <c r="M1139" s="54"/>
      <c r="N1139" s="59"/>
      <c r="O1139" s="61"/>
      <c r="P1139" s="61"/>
      <c r="Q1139" s="61"/>
      <c r="R1139" s="50"/>
      <c r="S1139" s="50"/>
      <c r="T1139" s="61"/>
      <c r="U1139" s="61"/>
      <c r="V1139" s="61"/>
      <c r="W1139" s="61"/>
      <c r="X1139" s="61"/>
      <c r="Y1139" s="61"/>
      <c r="Z1139" s="52"/>
      <c r="AA1139" s="52"/>
      <c r="AB1139" s="52"/>
      <c r="AC1139" s="52"/>
      <c r="AD1139" s="53"/>
      <c r="AE1139" s="53"/>
      <c r="AF1139" s="53"/>
    </row>
    <row r="1140">
      <c r="G1140" s="55"/>
      <c r="H1140" s="54"/>
      <c r="I1140" s="54"/>
      <c r="J1140" s="54"/>
      <c r="K1140" s="54"/>
      <c r="L1140" s="54"/>
      <c r="M1140" s="54"/>
      <c r="N1140" s="59"/>
      <c r="O1140" s="61"/>
      <c r="P1140" s="61"/>
      <c r="Q1140" s="61"/>
      <c r="R1140" s="50"/>
      <c r="S1140" s="50"/>
      <c r="T1140" s="61"/>
      <c r="U1140" s="61"/>
      <c r="V1140" s="61"/>
      <c r="W1140" s="61"/>
      <c r="X1140" s="61"/>
      <c r="Y1140" s="61"/>
      <c r="Z1140" s="52"/>
      <c r="AA1140" s="52"/>
      <c r="AB1140" s="52"/>
      <c r="AC1140" s="52"/>
      <c r="AD1140" s="53"/>
      <c r="AE1140" s="53"/>
      <c r="AF1140" s="53"/>
    </row>
    <row r="1141">
      <c r="G1141" s="55"/>
      <c r="H1141" s="54"/>
      <c r="I1141" s="54"/>
      <c r="J1141" s="54"/>
      <c r="K1141" s="54"/>
      <c r="L1141" s="54"/>
      <c r="M1141" s="54"/>
      <c r="N1141" s="59"/>
      <c r="O1141" s="61"/>
      <c r="P1141" s="61"/>
      <c r="Q1141" s="61"/>
      <c r="R1141" s="50"/>
      <c r="S1141" s="50"/>
      <c r="T1141" s="61"/>
      <c r="U1141" s="61"/>
      <c r="V1141" s="61"/>
      <c r="W1141" s="61"/>
      <c r="X1141" s="61"/>
      <c r="Y1141" s="61"/>
      <c r="Z1141" s="52"/>
      <c r="AA1141" s="52"/>
      <c r="AB1141" s="52"/>
      <c r="AC1141" s="52"/>
      <c r="AD1141" s="53"/>
      <c r="AE1141" s="53"/>
      <c r="AF1141" s="53"/>
    </row>
    <row r="1142">
      <c r="G1142" s="55"/>
      <c r="H1142" s="54"/>
      <c r="I1142" s="54"/>
      <c r="J1142" s="54"/>
      <c r="K1142" s="54"/>
      <c r="L1142" s="54"/>
      <c r="M1142" s="54"/>
      <c r="N1142" s="59"/>
      <c r="O1142" s="61"/>
      <c r="P1142" s="61"/>
      <c r="Q1142" s="61"/>
      <c r="R1142" s="50"/>
      <c r="S1142" s="50"/>
      <c r="T1142" s="61"/>
      <c r="U1142" s="61"/>
      <c r="V1142" s="61"/>
      <c r="W1142" s="61"/>
      <c r="X1142" s="61"/>
      <c r="Y1142" s="61"/>
      <c r="Z1142" s="52"/>
      <c r="AA1142" s="52"/>
      <c r="AB1142" s="52"/>
      <c r="AC1142" s="52"/>
      <c r="AD1142" s="53"/>
      <c r="AE1142" s="53"/>
      <c r="AF1142" s="53"/>
    </row>
    <row r="1143">
      <c r="G1143" s="55"/>
      <c r="H1143" s="54"/>
      <c r="I1143" s="54"/>
      <c r="J1143" s="54"/>
      <c r="K1143" s="54"/>
      <c r="L1143" s="54"/>
      <c r="M1143" s="54"/>
      <c r="N1143" s="59"/>
      <c r="O1143" s="61"/>
      <c r="P1143" s="61"/>
      <c r="Q1143" s="61"/>
      <c r="R1143" s="50"/>
      <c r="S1143" s="50"/>
      <c r="T1143" s="61"/>
      <c r="U1143" s="61"/>
      <c r="V1143" s="61"/>
      <c r="W1143" s="61"/>
      <c r="X1143" s="61"/>
      <c r="Y1143" s="61"/>
      <c r="Z1143" s="52"/>
      <c r="AA1143" s="52"/>
      <c r="AB1143" s="52"/>
      <c r="AC1143" s="52"/>
      <c r="AD1143" s="53"/>
      <c r="AE1143" s="53"/>
      <c r="AF1143" s="53"/>
    </row>
    <row r="1144">
      <c r="G1144" s="55"/>
      <c r="H1144" s="54"/>
      <c r="I1144" s="54"/>
      <c r="J1144" s="54"/>
      <c r="K1144" s="54"/>
      <c r="L1144" s="54"/>
      <c r="M1144" s="54"/>
      <c r="N1144" s="59"/>
      <c r="O1144" s="61"/>
      <c r="P1144" s="61"/>
      <c r="Q1144" s="61"/>
      <c r="R1144" s="50"/>
      <c r="S1144" s="50"/>
      <c r="T1144" s="61"/>
      <c r="U1144" s="61"/>
      <c r="V1144" s="61"/>
      <c r="W1144" s="61"/>
      <c r="X1144" s="61"/>
      <c r="Y1144" s="61"/>
      <c r="Z1144" s="52"/>
      <c r="AA1144" s="52"/>
      <c r="AB1144" s="52"/>
      <c r="AC1144" s="52"/>
      <c r="AD1144" s="53"/>
      <c r="AE1144" s="53"/>
      <c r="AF1144" s="53"/>
    </row>
    <row r="1145">
      <c r="G1145" s="55"/>
      <c r="H1145" s="54"/>
      <c r="I1145" s="54"/>
      <c r="J1145" s="54"/>
      <c r="K1145" s="54"/>
      <c r="L1145" s="54"/>
      <c r="M1145" s="54"/>
      <c r="N1145" s="59"/>
      <c r="O1145" s="61"/>
      <c r="P1145" s="61"/>
      <c r="Q1145" s="61"/>
      <c r="R1145" s="50"/>
      <c r="S1145" s="50"/>
      <c r="T1145" s="61"/>
      <c r="U1145" s="61"/>
      <c r="V1145" s="61"/>
      <c r="W1145" s="61"/>
      <c r="X1145" s="61"/>
      <c r="Y1145" s="61"/>
      <c r="Z1145" s="52"/>
      <c r="AA1145" s="52"/>
      <c r="AB1145" s="52"/>
      <c r="AC1145" s="52"/>
      <c r="AD1145" s="53"/>
      <c r="AE1145" s="53"/>
      <c r="AF1145" s="53"/>
    </row>
    <row r="1146">
      <c r="G1146" s="55"/>
      <c r="H1146" s="54"/>
      <c r="I1146" s="54"/>
      <c r="J1146" s="54"/>
      <c r="K1146" s="54"/>
      <c r="L1146" s="54"/>
      <c r="M1146" s="54"/>
      <c r="N1146" s="59"/>
      <c r="O1146" s="61"/>
      <c r="P1146" s="61"/>
      <c r="Q1146" s="61"/>
      <c r="R1146" s="50"/>
      <c r="S1146" s="50"/>
      <c r="T1146" s="61"/>
      <c r="U1146" s="61"/>
      <c r="V1146" s="61"/>
      <c r="W1146" s="61"/>
      <c r="X1146" s="61"/>
      <c r="Y1146" s="61"/>
      <c r="Z1146" s="52"/>
      <c r="AA1146" s="52"/>
      <c r="AB1146" s="52"/>
      <c r="AC1146" s="52"/>
      <c r="AD1146" s="53"/>
      <c r="AE1146" s="53"/>
      <c r="AF1146" s="53"/>
    </row>
    <row r="1147">
      <c r="G1147" s="55"/>
      <c r="H1147" s="54"/>
      <c r="I1147" s="54"/>
      <c r="J1147" s="54"/>
      <c r="K1147" s="54"/>
      <c r="L1147" s="54"/>
      <c r="M1147" s="54"/>
      <c r="N1147" s="59"/>
      <c r="O1147" s="61"/>
      <c r="P1147" s="61"/>
      <c r="Q1147" s="61"/>
      <c r="R1147" s="50"/>
      <c r="S1147" s="50"/>
      <c r="T1147" s="61"/>
      <c r="U1147" s="61"/>
      <c r="V1147" s="61"/>
      <c r="W1147" s="61"/>
      <c r="X1147" s="61"/>
      <c r="Y1147" s="61"/>
      <c r="Z1147" s="52"/>
      <c r="AA1147" s="52"/>
      <c r="AB1147" s="52"/>
      <c r="AC1147" s="52"/>
      <c r="AD1147" s="53"/>
      <c r="AE1147" s="53"/>
      <c r="AF1147" s="53"/>
    </row>
    <row r="1148">
      <c r="G1148" s="55"/>
      <c r="H1148" s="54"/>
      <c r="I1148" s="54"/>
      <c r="J1148" s="54"/>
      <c r="K1148" s="54"/>
      <c r="L1148" s="54"/>
      <c r="M1148" s="54"/>
      <c r="N1148" s="59"/>
      <c r="O1148" s="61"/>
      <c r="P1148" s="61"/>
      <c r="Q1148" s="61"/>
      <c r="R1148" s="50"/>
      <c r="S1148" s="50"/>
      <c r="T1148" s="61"/>
      <c r="U1148" s="61"/>
      <c r="V1148" s="61"/>
      <c r="W1148" s="61"/>
      <c r="X1148" s="61"/>
      <c r="Y1148" s="61"/>
      <c r="Z1148" s="52"/>
      <c r="AA1148" s="52"/>
      <c r="AB1148" s="52"/>
      <c r="AC1148" s="52"/>
      <c r="AD1148" s="53"/>
      <c r="AE1148" s="53"/>
      <c r="AF1148" s="53"/>
    </row>
    <row r="1149">
      <c r="G1149" s="55"/>
      <c r="H1149" s="54"/>
      <c r="I1149" s="54"/>
      <c r="J1149" s="54"/>
      <c r="K1149" s="54"/>
      <c r="L1149" s="54"/>
      <c r="M1149" s="54"/>
      <c r="N1149" s="59"/>
      <c r="O1149" s="61"/>
      <c r="P1149" s="61"/>
      <c r="Q1149" s="61"/>
      <c r="R1149" s="50"/>
      <c r="S1149" s="50"/>
      <c r="T1149" s="61"/>
      <c r="U1149" s="61"/>
      <c r="V1149" s="61"/>
      <c r="W1149" s="61"/>
      <c r="X1149" s="61"/>
      <c r="Y1149" s="61"/>
      <c r="Z1149" s="52"/>
      <c r="AA1149" s="52"/>
      <c r="AB1149" s="52"/>
      <c r="AC1149" s="52"/>
      <c r="AD1149" s="53"/>
      <c r="AE1149" s="53"/>
      <c r="AF1149" s="53"/>
    </row>
    <row r="1150">
      <c r="G1150" s="55"/>
      <c r="H1150" s="54"/>
      <c r="I1150" s="54"/>
      <c r="J1150" s="54"/>
      <c r="K1150" s="54"/>
      <c r="L1150" s="54"/>
      <c r="M1150" s="54"/>
      <c r="N1150" s="59"/>
      <c r="O1150" s="61"/>
      <c r="P1150" s="61"/>
      <c r="Q1150" s="61"/>
      <c r="R1150" s="50"/>
      <c r="S1150" s="50"/>
      <c r="T1150" s="61"/>
      <c r="U1150" s="61"/>
      <c r="V1150" s="61"/>
      <c r="W1150" s="61"/>
      <c r="X1150" s="61"/>
      <c r="Y1150" s="61"/>
      <c r="Z1150" s="52"/>
      <c r="AA1150" s="52"/>
      <c r="AB1150" s="52"/>
      <c r="AC1150" s="52"/>
      <c r="AD1150" s="53"/>
      <c r="AE1150" s="53"/>
      <c r="AF1150" s="53"/>
    </row>
    <row r="1151">
      <c r="G1151" s="55"/>
      <c r="H1151" s="54"/>
      <c r="I1151" s="54"/>
      <c r="J1151" s="54"/>
      <c r="K1151" s="54"/>
      <c r="L1151" s="54"/>
      <c r="M1151" s="54"/>
      <c r="N1151" s="59"/>
      <c r="O1151" s="61"/>
      <c r="P1151" s="61"/>
      <c r="Q1151" s="61"/>
      <c r="R1151" s="50"/>
      <c r="S1151" s="50"/>
      <c r="T1151" s="61"/>
      <c r="U1151" s="61"/>
      <c r="V1151" s="61"/>
      <c r="W1151" s="61"/>
      <c r="X1151" s="61"/>
      <c r="Y1151" s="61"/>
      <c r="Z1151" s="52"/>
      <c r="AA1151" s="52"/>
      <c r="AB1151" s="52"/>
      <c r="AC1151" s="52"/>
      <c r="AD1151" s="53"/>
      <c r="AE1151" s="53"/>
      <c r="AF1151" s="53"/>
    </row>
    <row r="1152">
      <c r="G1152" s="55"/>
      <c r="H1152" s="54"/>
      <c r="I1152" s="54"/>
      <c r="J1152" s="54"/>
      <c r="K1152" s="54"/>
      <c r="L1152" s="54"/>
      <c r="M1152" s="54"/>
      <c r="N1152" s="59"/>
      <c r="O1152" s="61"/>
      <c r="P1152" s="61"/>
      <c r="Q1152" s="61"/>
      <c r="R1152" s="50"/>
      <c r="S1152" s="50"/>
      <c r="T1152" s="61"/>
      <c r="U1152" s="61"/>
      <c r="V1152" s="61"/>
      <c r="W1152" s="61"/>
      <c r="X1152" s="61"/>
      <c r="Y1152" s="61"/>
      <c r="Z1152" s="52"/>
      <c r="AA1152" s="52"/>
      <c r="AB1152" s="52"/>
      <c r="AC1152" s="52"/>
      <c r="AD1152" s="53"/>
      <c r="AE1152" s="53"/>
      <c r="AF1152" s="53"/>
    </row>
    <row r="1153">
      <c r="G1153" s="55"/>
      <c r="H1153" s="54"/>
      <c r="I1153" s="54"/>
      <c r="J1153" s="54"/>
      <c r="K1153" s="54"/>
      <c r="L1153" s="54"/>
      <c r="M1153" s="54"/>
      <c r="N1153" s="59"/>
      <c r="O1153" s="61"/>
      <c r="P1153" s="61"/>
      <c r="Q1153" s="61"/>
      <c r="R1153" s="50"/>
      <c r="S1153" s="50"/>
      <c r="T1153" s="61"/>
      <c r="U1153" s="61"/>
      <c r="V1153" s="61"/>
      <c r="W1153" s="61"/>
      <c r="X1153" s="61"/>
      <c r="Y1153" s="61"/>
      <c r="Z1153" s="52"/>
      <c r="AA1153" s="52"/>
      <c r="AB1153" s="52"/>
      <c r="AC1153" s="52"/>
      <c r="AD1153" s="53"/>
      <c r="AE1153" s="53"/>
      <c r="AF1153" s="53"/>
    </row>
    <row r="1154">
      <c r="G1154" s="55"/>
      <c r="H1154" s="54"/>
      <c r="I1154" s="54"/>
      <c r="J1154" s="54"/>
      <c r="K1154" s="54"/>
      <c r="L1154" s="54"/>
      <c r="M1154" s="54"/>
      <c r="N1154" s="59"/>
      <c r="O1154" s="61"/>
      <c r="P1154" s="61"/>
      <c r="Q1154" s="61"/>
      <c r="R1154" s="50"/>
      <c r="S1154" s="50"/>
      <c r="T1154" s="61"/>
      <c r="U1154" s="61"/>
      <c r="V1154" s="61"/>
      <c r="W1154" s="61"/>
      <c r="X1154" s="61"/>
      <c r="Y1154" s="61"/>
      <c r="Z1154" s="52"/>
      <c r="AA1154" s="52"/>
      <c r="AB1154" s="52"/>
      <c r="AC1154" s="52"/>
      <c r="AD1154" s="53"/>
      <c r="AE1154" s="53"/>
      <c r="AF1154" s="53"/>
    </row>
    <row r="1155">
      <c r="G1155" s="55"/>
      <c r="H1155" s="54"/>
      <c r="I1155" s="54"/>
      <c r="J1155" s="54"/>
      <c r="K1155" s="54"/>
      <c r="L1155" s="54"/>
      <c r="M1155" s="54"/>
      <c r="N1155" s="59"/>
      <c r="O1155" s="61"/>
      <c r="P1155" s="61"/>
      <c r="Q1155" s="61"/>
      <c r="R1155" s="50"/>
      <c r="S1155" s="50"/>
      <c r="T1155" s="61"/>
      <c r="U1155" s="61"/>
      <c r="V1155" s="61"/>
      <c r="W1155" s="61"/>
      <c r="X1155" s="61"/>
      <c r="Y1155" s="61"/>
      <c r="Z1155" s="52"/>
      <c r="AA1155" s="52"/>
      <c r="AB1155" s="52"/>
      <c r="AC1155" s="52"/>
      <c r="AD1155" s="53"/>
      <c r="AE1155" s="53"/>
      <c r="AF1155" s="53"/>
    </row>
    <row r="1156">
      <c r="G1156" s="55"/>
      <c r="H1156" s="54"/>
      <c r="I1156" s="54"/>
      <c r="J1156" s="54"/>
      <c r="K1156" s="54"/>
      <c r="L1156" s="54"/>
      <c r="M1156" s="54"/>
      <c r="N1156" s="59"/>
      <c r="O1156" s="61"/>
      <c r="P1156" s="61"/>
      <c r="Q1156" s="61"/>
      <c r="R1156" s="50"/>
      <c r="S1156" s="50"/>
      <c r="T1156" s="61"/>
      <c r="U1156" s="61"/>
      <c r="V1156" s="61"/>
      <c r="W1156" s="61"/>
      <c r="X1156" s="61"/>
      <c r="Y1156" s="61"/>
      <c r="Z1156" s="52"/>
      <c r="AA1156" s="52"/>
      <c r="AB1156" s="52"/>
      <c r="AC1156" s="52"/>
      <c r="AD1156" s="53"/>
      <c r="AE1156" s="53"/>
      <c r="AF1156" s="53"/>
    </row>
    <row r="1157">
      <c r="G1157" s="55"/>
      <c r="H1157" s="54"/>
      <c r="I1157" s="54"/>
      <c r="J1157" s="54"/>
      <c r="K1157" s="54"/>
      <c r="L1157" s="54"/>
      <c r="M1157" s="54"/>
      <c r="N1157" s="59"/>
      <c r="O1157" s="61"/>
      <c r="P1157" s="61"/>
      <c r="Q1157" s="61"/>
      <c r="R1157" s="50"/>
      <c r="S1157" s="50"/>
      <c r="T1157" s="61"/>
      <c r="U1157" s="61"/>
      <c r="V1157" s="61"/>
      <c r="W1157" s="61"/>
      <c r="X1157" s="61"/>
      <c r="Y1157" s="61"/>
      <c r="Z1157" s="52"/>
      <c r="AA1157" s="52"/>
      <c r="AB1157" s="52"/>
      <c r="AC1157" s="52"/>
      <c r="AD1157" s="53"/>
      <c r="AE1157" s="53"/>
      <c r="AF1157" s="53"/>
    </row>
    <row r="1158">
      <c r="G1158" s="55"/>
      <c r="H1158" s="54"/>
      <c r="I1158" s="54"/>
      <c r="J1158" s="54"/>
      <c r="K1158" s="54"/>
      <c r="L1158" s="54"/>
      <c r="M1158" s="54"/>
      <c r="N1158" s="59"/>
      <c r="O1158" s="61"/>
      <c r="P1158" s="61"/>
      <c r="Q1158" s="61"/>
      <c r="R1158" s="50"/>
      <c r="S1158" s="50"/>
      <c r="T1158" s="61"/>
      <c r="U1158" s="61"/>
      <c r="V1158" s="61"/>
      <c r="W1158" s="61"/>
      <c r="X1158" s="61"/>
      <c r="Y1158" s="61"/>
      <c r="Z1158" s="52"/>
      <c r="AA1158" s="52"/>
      <c r="AB1158" s="52"/>
      <c r="AC1158" s="52"/>
      <c r="AD1158" s="53"/>
      <c r="AE1158" s="53"/>
      <c r="AF1158" s="53"/>
    </row>
    <row r="1159">
      <c r="G1159" s="55"/>
      <c r="H1159" s="54"/>
      <c r="I1159" s="54"/>
      <c r="J1159" s="54"/>
      <c r="K1159" s="54"/>
      <c r="L1159" s="54"/>
      <c r="M1159" s="54"/>
      <c r="N1159" s="59"/>
      <c r="O1159" s="61"/>
      <c r="P1159" s="61"/>
      <c r="Q1159" s="61"/>
      <c r="R1159" s="50"/>
      <c r="S1159" s="50"/>
      <c r="T1159" s="61"/>
      <c r="U1159" s="61"/>
      <c r="V1159" s="61"/>
      <c r="W1159" s="61"/>
      <c r="X1159" s="61"/>
      <c r="Y1159" s="61"/>
      <c r="Z1159" s="52"/>
      <c r="AA1159" s="52"/>
      <c r="AB1159" s="52"/>
      <c r="AC1159" s="52"/>
      <c r="AD1159" s="53"/>
      <c r="AE1159" s="53"/>
      <c r="AF1159" s="53"/>
    </row>
    <row r="1160">
      <c r="G1160" s="55"/>
      <c r="H1160" s="54"/>
      <c r="I1160" s="54"/>
      <c r="J1160" s="54"/>
      <c r="K1160" s="54"/>
      <c r="L1160" s="54"/>
      <c r="M1160" s="54"/>
      <c r="N1160" s="59"/>
      <c r="O1160" s="61"/>
      <c r="P1160" s="61"/>
      <c r="Q1160" s="61"/>
      <c r="R1160" s="50"/>
      <c r="S1160" s="50"/>
      <c r="T1160" s="61"/>
      <c r="U1160" s="61"/>
      <c r="V1160" s="61"/>
      <c r="W1160" s="61"/>
      <c r="X1160" s="61"/>
      <c r="Y1160" s="61"/>
      <c r="Z1160" s="52"/>
      <c r="AA1160" s="52"/>
      <c r="AB1160" s="52"/>
      <c r="AC1160" s="52"/>
      <c r="AD1160" s="53"/>
      <c r="AE1160" s="53"/>
      <c r="AF1160" s="53"/>
    </row>
    <row r="1161">
      <c r="G1161" s="55"/>
      <c r="H1161" s="54"/>
      <c r="I1161" s="54"/>
      <c r="J1161" s="54"/>
      <c r="K1161" s="54"/>
      <c r="L1161" s="54"/>
      <c r="M1161" s="54"/>
      <c r="N1161" s="59"/>
      <c r="O1161" s="61"/>
      <c r="P1161" s="61"/>
      <c r="Q1161" s="61"/>
      <c r="R1161" s="50"/>
      <c r="S1161" s="50"/>
      <c r="T1161" s="61"/>
      <c r="U1161" s="61"/>
      <c r="V1161" s="61"/>
      <c r="W1161" s="61"/>
      <c r="X1161" s="61"/>
      <c r="Y1161" s="61"/>
      <c r="Z1161" s="52"/>
      <c r="AA1161" s="52"/>
      <c r="AB1161" s="52"/>
      <c r="AC1161" s="52"/>
      <c r="AD1161" s="53"/>
      <c r="AE1161" s="53"/>
      <c r="AF1161" s="53"/>
    </row>
    <row r="1162">
      <c r="G1162" s="55"/>
      <c r="H1162" s="54"/>
      <c r="I1162" s="54"/>
      <c r="J1162" s="54"/>
      <c r="K1162" s="54"/>
      <c r="L1162" s="54"/>
      <c r="M1162" s="54"/>
      <c r="N1162" s="59"/>
      <c r="O1162" s="61"/>
      <c r="P1162" s="61"/>
      <c r="Q1162" s="61"/>
      <c r="R1162" s="50"/>
      <c r="S1162" s="50"/>
      <c r="T1162" s="61"/>
      <c r="U1162" s="61"/>
      <c r="V1162" s="61"/>
      <c r="W1162" s="61"/>
      <c r="X1162" s="61"/>
      <c r="Y1162" s="61"/>
      <c r="Z1162" s="52"/>
      <c r="AA1162" s="52"/>
      <c r="AB1162" s="52"/>
      <c r="AC1162" s="52"/>
      <c r="AD1162" s="53"/>
      <c r="AE1162" s="53"/>
      <c r="AF1162" s="53"/>
    </row>
    <row r="1163">
      <c r="G1163" s="55"/>
      <c r="H1163" s="54"/>
      <c r="I1163" s="54"/>
      <c r="J1163" s="54"/>
      <c r="K1163" s="54"/>
      <c r="L1163" s="54"/>
      <c r="M1163" s="54"/>
      <c r="N1163" s="59"/>
      <c r="O1163" s="61"/>
      <c r="P1163" s="61"/>
      <c r="Q1163" s="61"/>
      <c r="R1163" s="50"/>
      <c r="S1163" s="50"/>
      <c r="T1163" s="61"/>
      <c r="U1163" s="61"/>
      <c r="V1163" s="61"/>
      <c r="W1163" s="61"/>
      <c r="X1163" s="61"/>
      <c r="Y1163" s="61"/>
      <c r="Z1163" s="52"/>
      <c r="AA1163" s="52"/>
      <c r="AB1163" s="52"/>
      <c r="AC1163" s="52"/>
      <c r="AD1163" s="53"/>
      <c r="AE1163" s="53"/>
      <c r="AF1163" s="53"/>
    </row>
    <row r="1164">
      <c r="G1164" s="55"/>
      <c r="H1164" s="54"/>
      <c r="I1164" s="54"/>
      <c r="J1164" s="54"/>
      <c r="K1164" s="54"/>
      <c r="L1164" s="54"/>
      <c r="M1164" s="54"/>
      <c r="N1164" s="59"/>
      <c r="O1164" s="61"/>
      <c r="P1164" s="61"/>
      <c r="Q1164" s="61"/>
      <c r="R1164" s="50"/>
      <c r="S1164" s="50"/>
      <c r="T1164" s="61"/>
      <c r="U1164" s="61"/>
      <c r="V1164" s="61"/>
      <c r="W1164" s="61"/>
      <c r="X1164" s="61"/>
      <c r="Y1164" s="61"/>
      <c r="Z1164" s="52"/>
      <c r="AA1164" s="52"/>
      <c r="AB1164" s="52"/>
      <c r="AC1164" s="52"/>
      <c r="AD1164" s="53"/>
      <c r="AE1164" s="53"/>
      <c r="AF1164" s="53"/>
    </row>
    <row r="1165">
      <c r="G1165" s="55"/>
      <c r="H1165" s="54"/>
      <c r="I1165" s="54"/>
      <c r="J1165" s="54"/>
      <c r="K1165" s="54"/>
      <c r="L1165" s="54"/>
      <c r="M1165" s="54"/>
      <c r="N1165" s="59"/>
      <c r="O1165" s="61"/>
      <c r="P1165" s="61"/>
      <c r="Q1165" s="61"/>
      <c r="R1165" s="50"/>
      <c r="S1165" s="50"/>
      <c r="T1165" s="61"/>
      <c r="U1165" s="61"/>
      <c r="V1165" s="61"/>
      <c r="W1165" s="61"/>
      <c r="X1165" s="61"/>
      <c r="Y1165" s="61"/>
      <c r="Z1165" s="52"/>
      <c r="AA1165" s="52"/>
      <c r="AB1165" s="52"/>
      <c r="AC1165" s="52"/>
      <c r="AD1165" s="53"/>
      <c r="AE1165" s="53"/>
      <c r="AF1165" s="53"/>
    </row>
    <row r="1166">
      <c r="G1166" s="55"/>
      <c r="H1166" s="54"/>
      <c r="I1166" s="54"/>
      <c r="J1166" s="54"/>
      <c r="K1166" s="54"/>
      <c r="L1166" s="54"/>
      <c r="M1166" s="54"/>
      <c r="N1166" s="59"/>
      <c r="O1166" s="61"/>
      <c r="P1166" s="61"/>
      <c r="Q1166" s="61"/>
      <c r="R1166" s="50"/>
      <c r="S1166" s="50"/>
      <c r="T1166" s="61"/>
      <c r="U1166" s="61"/>
      <c r="V1166" s="61"/>
      <c r="W1166" s="61"/>
      <c r="X1166" s="61"/>
      <c r="Y1166" s="61"/>
      <c r="Z1166" s="52"/>
      <c r="AA1166" s="52"/>
      <c r="AB1166" s="52"/>
      <c r="AC1166" s="52"/>
      <c r="AD1166" s="53"/>
      <c r="AE1166" s="53"/>
      <c r="AF1166" s="53"/>
    </row>
    <row r="1167">
      <c r="G1167" s="55"/>
      <c r="H1167" s="54"/>
      <c r="I1167" s="54"/>
      <c r="J1167" s="54"/>
      <c r="K1167" s="54"/>
      <c r="L1167" s="54"/>
      <c r="M1167" s="54"/>
      <c r="N1167" s="59"/>
      <c r="O1167" s="61"/>
      <c r="P1167" s="61"/>
      <c r="Q1167" s="61"/>
      <c r="R1167" s="50"/>
      <c r="S1167" s="50"/>
      <c r="T1167" s="61"/>
      <c r="U1167" s="61"/>
      <c r="V1167" s="61"/>
      <c r="W1167" s="61"/>
      <c r="X1167" s="61"/>
      <c r="Y1167" s="61"/>
      <c r="Z1167" s="52"/>
      <c r="AA1167" s="52"/>
      <c r="AB1167" s="52"/>
      <c r="AC1167" s="52"/>
      <c r="AD1167" s="53"/>
      <c r="AE1167" s="53"/>
      <c r="AF1167" s="53"/>
    </row>
    <row r="1168">
      <c r="G1168" s="55"/>
      <c r="H1168" s="54"/>
      <c r="I1168" s="54"/>
      <c r="J1168" s="54"/>
      <c r="K1168" s="54"/>
      <c r="L1168" s="54"/>
      <c r="M1168" s="54"/>
      <c r="N1168" s="59"/>
      <c r="O1168" s="61"/>
      <c r="P1168" s="61"/>
      <c r="Q1168" s="61"/>
      <c r="R1168" s="50"/>
      <c r="S1168" s="50"/>
      <c r="T1168" s="61"/>
      <c r="U1168" s="61"/>
      <c r="V1168" s="61"/>
      <c r="W1168" s="61"/>
      <c r="X1168" s="61"/>
      <c r="Y1168" s="61"/>
      <c r="Z1168" s="52"/>
      <c r="AA1168" s="52"/>
      <c r="AB1168" s="52"/>
      <c r="AC1168" s="52"/>
      <c r="AD1168" s="53"/>
      <c r="AE1168" s="53"/>
      <c r="AF1168" s="53"/>
    </row>
    <row r="1169">
      <c r="G1169" s="55"/>
      <c r="H1169" s="54"/>
      <c r="I1169" s="54"/>
      <c r="J1169" s="54"/>
      <c r="K1169" s="54"/>
      <c r="L1169" s="54"/>
      <c r="M1169" s="54"/>
      <c r="N1169" s="59"/>
      <c r="O1169" s="61"/>
      <c r="P1169" s="61"/>
      <c r="Q1169" s="61"/>
      <c r="R1169" s="50"/>
      <c r="S1169" s="50"/>
      <c r="T1169" s="61"/>
      <c r="U1169" s="61"/>
      <c r="V1169" s="61"/>
      <c r="W1169" s="61"/>
      <c r="X1169" s="61"/>
      <c r="Y1169" s="61"/>
      <c r="Z1169" s="52"/>
      <c r="AA1169" s="52"/>
      <c r="AB1169" s="52"/>
      <c r="AC1169" s="52"/>
      <c r="AD1169" s="53"/>
      <c r="AE1169" s="53"/>
      <c r="AF1169" s="53"/>
    </row>
    <row r="1170">
      <c r="G1170" s="55"/>
      <c r="H1170" s="54"/>
      <c r="I1170" s="54"/>
      <c r="J1170" s="54"/>
      <c r="K1170" s="54"/>
      <c r="L1170" s="54"/>
      <c r="M1170" s="54"/>
      <c r="N1170" s="59"/>
      <c r="O1170" s="61"/>
      <c r="P1170" s="61"/>
      <c r="Q1170" s="61"/>
      <c r="R1170" s="50"/>
      <c r="S1170" s="50"/>
      <c r="T1170" s="61"/>
      <c r="U1170" s="61"/>
      <c r="V1170" s="61"/>
      <c r="W1170" s="61"/>
      <c r="X1170" s="61"/>
      <c r="Y1170" s="61"/>
      <c r="Z1170" s="52"/>
      <c r="AA1170" s="52"/>
      <c r="AB1170" s="52"/>
      <c r="AC1170" s="52"/>
      <c r="AD1170" s="53"/>
      <c r="AE1170" s="53"/>
      <c r="AF1170" s="53"/>
    </row>
    <row r="1171">
      <c r="G1171" s="55"/>
      <c r="H1171" s="54"/>
      <c r="I1171" s="54"/>
      <c r="J1171" s="54"/>
      <c r="K1171" s="54"/>
      <c r="L1171" s="54"/>
      <c r="M1171" s="54"/>
      <c r="N1171" s="59"/>
      <c r="O1171" s="61"/>
      <c r="P1171" s="61"/>
      <c r="Q1171" s="61"/>
      <c r="R1171" s="50"/>
      <c r="S1171" s="50"/>
      <c r="T1171" s="61"/>
      <c r="U1171" s="61"/>
      <c r="V1171" s="61"/>
      <c r="W1171" s="61"/>
      <c r="X1171" s="61"/>
      <c r="Y1171" s="61"/>
      <c r="Z1171" s="52"/>
      <c r="AA1171" s="52"/>
      <c r="AB1171" s="52"/>
      <c r="AC1171" s="52"/>
      <c r="AD1171" s="53"/>
      <c r="AE1171" s="53"/>
      <c r="AF1171" s="53"/>
    </row>
    <row r="1172">
      <c r="G1172" s="55"/>
      <c r="H1172" s="54"/>
      <c r="I1172" s="54"/>
      <c r="J1172" s="54"/>
      <c r="K1172" s="54"/>
      <c r="L1172" s="54"/>
      <c r="M1172" s="54"/>
      <c r="N1172" s="59"/>
      <c r="O1172" s="61"/>
      <c r="P1172" s="61"/>
      <c r="Q1172" s="61"/>
      <c r="R1172" s="50"/>
      <c r="S1172" s="50"/>
      <c r="T1172" s="61"/>
      <c r="U1172" s="61"/>
      <c r="V1172" s="61"/>
      <c r="W1172" s="61"/>
      <c r="X1172" s="61"/>
      <c r="Y1172" s="61"/>
      <c r="Z1172" s="52"/>
      <c r="AA1172" s="52"/>
      <c r="AB1172" s="52"/>
      <c r="AC1172" s="52"/>
      <c r="AD1172" s="53"/>
      <c r="AE1172" s="53"/>
      <c r="AF1172" s="53"/>
    </row>
    <row r="1173">
      <c r="G1173" s="55"/>
      <c r="H1173" s="54"/>
      <c r="I1173" s="54"/>
      <c r="J1173" s="54"/>
      <c r="K1173" s="54"/>
      <c r="L1173" s="54"/>
      <c r="M1173" s="54"/>
      <c r="N1173" s="59"/>
      <c r="O1173" s="61"/>
      <c r="P1173" s="61"/>
      <c r="Q1173" s="61"/>
      <c r="R1173" s="50"/>
      <c r="S1173" s="50"/>
      <c r="T1173" s="61"/>
      <c r="U1173" s="61"/>
      <c r="V1173" s="61"/>
      <c r="W1173" s="61"/>
      <c r="X1173" s="61"/>
      <c r="Y1173" s="61"/>
      <c r="Z1173" s="52"/>
      <c r="AA1173" s="52"/>
      <c r="AB1173" s="52"/>
      <c r="AC1173" s="52"/>
      <c r="AD1173" s="53"/>
      <c r="AE1173" s="53"/>
      <c r="AF1173" s="53"/>
    </row>
    <row r="1174">
      <c r="G1174" s="55"/>
      <c r="H1174" s="54"/>
      <c r="I1174" s="54"/>
      <c r="J1174" s="54"/>
      <c r="K1174" s="54"/>
      <c r="L1174" s="54"/>
      <c r="M1174" s="54"/>
      <c r="N1174" s="59"/>
      <c r="O1174" s="61"/>
      <c r="P1174" s="61"/>
      <c r="Q1174" s="61"/>
      <c r="R1174" s="50"/>
      <c r="S1174" s="50"/>
      <c r="T1174" s="61"/>
      <c r="U1174" s="61"/>
      <c r="V1174" s="61"/>
      <c r="W1174" s="61"/>
      <c r="X1174" s="61"/>
      <c r="Y1174" s="61"/>
      <c r="Z1174" s="52"/>
      <c r="AA1174" s="52"/>
      <c r="AB1174" s="52"/>
      <c r="AC1174" s="52"/>
      <c r="AD1174" s="53"/>
      <c r="AE1174" s="53"/>
      <c r="AF1174" s="53"/>
    </row>
    <row r="1175">
      <c r="G1175" s="55"/>
      <c r="H1175" s="54"/>
      <c r="I1175" s="54"/>
      <c r="J1175" s="54"/>
      <c r="K1175" s="54"/>
      <c r="L1175" s="54"/>
      <c r="M1175" s="54"/>
      <c r="N1175" s="59"/>
      <c r="O1175" s="61"/>
      <c r="P1175" s="61"/>
      <c r="Q1175" s="61"/>
      <c r="R1175" s="50"/>
      <c r="S1175" s="50"/>
      <c r="T1175" s="61"/>
      <c r="U1175" s="61"/>
      <c r="V1175" s="61"/>
      <c r="W1175" s="61"/>
      <c r="X1175" s="61"/>
      <c r="Y1175" s="61"/>
      <c r="Z1175" s="52"/>
      <c r="AA1175" s="52"/>
      <c r="AB1175" s="52"/>
      <c r="AC1175" s="52"/>
      <c r="AD1175" s="53"/>
      <c r="AE1175" s="53"/>
      <c r="AF1175" s="53"/>
    </row>
    <row r="1176">
      <c r="G1176" s="55"/>
      <c r="H1176" s="54"/>
      <c r="I1176" s="54"/>
      <c r="J1176" s="54"/>
      <c r="K1176" s="54"/>
      <c r="L1176" s="54"/>
      <c r="M1176" s="54"/>
      <c r="N1176" s="59"/>
      <c r="O1176" s="61"/>
      <c r="P1176" s="61"/>
      <c r="Q1176" s="61"/>
      <c r="R1176" s="50"/>
      <c r="S1176" s="50"/>
      <c r="T1176" s="61"/>
      <c r="U1176" s="61"/>
      <c r="V1176" s="61"/>
      <c r="W1176" s="61"/>
      <c r="X1176" s="61"/>
      <c r="Y1176" s="61"/>
      <c r="Z1176" s="52"/>
      <c r="AA1176" s="52"/>
      <c r="AB1176" s="52"/>
      <c r="AC1176" s="52"/>
      <c r="AD1176" s="53"/>
      <c r="AE1176" s="53"/>
      <c r="AF1176" s="53"/>
    </row>
    <row r="1177">
      <c r="G1177" s="55"/>
      <c r="H1177" s="54"/>
      <c r="I1177" s="54"/>
      <c r="J1177" s="54"/>
      <c r="K1177" s="54"/>
      <c r="L1177" s="54"/>
      <c r="M1177" s="54"/>
      <c r="N1177" s="59"/>
      <c r="O1177" s="61"/>
      <c r="P1177" s="61"/>
      <c r="Q1177" s="61"/>
      <c r="R1177" s="50"/>
      <c r="S1177" s="50"/>
      <c r="T1177" s="61"/>
      <c r="U1177" s="61"/>
      <c r="V1177" s="61"/>
      <c r="W1177" s="61"/>
      <c r="X1177" s="61"/>
      <c r="Y1177" s="61"/>
      <c r="Z1177" s="52"/>
      <c r="AA1177" s="52"/>
      <c r="AB1177" s="52"/>
      <c r="AC1177" s="52"/>
      <c r="AD1177" s="53"/>
      <c r="AE1177" s="53"/>
      <c r="AF1177" s="53"/>
    </row>
    <row r="1178">
      <c r="G1178" s="55"/>
      <c r="H1178" s="54"/>
      <c r="I1178" s="54"/>
      <c r="J1178" s="54"/>
      <c r="K1178" s="54"/>
      <c r="L1178" s="54"/>
      <c r="M1178" s="54"/>
      <c r="N1178" s="59"/>
      <c r="O1178" s="61"/>
      <c r="P1178" s="61"/>
      <c r="Q1178" s="61"/>
      <c r="R1178" s="50"/>
      <c r="S1178" s="50"/>
      <c r="T1178" s="61"/>
      <c r="U1178" s="61"/>
      <c r="V1178" s="61"/>
      <c r="W1178" s="61"/>
      <c r="X1178" s="61"/>
      <c r="Y1178" s="61"/>
      <c r="Z1178" s="52"/>
      <c r="AA1178" s="52"/>
      <c r="AB1178" s="52"/>
      <c r="AC1178" s="52"/>
      <c r="AD1178" s="53"/>
      <c r="AE1178" s="53"/>
      <c r="AF1178" s="53"/>
    </row>
    <row r="1179">
      <c r="G1179" s="55"/>
      <c r="H1179" s="54"/>
      <c r="I1179" s="54"/>
      <c r="J1179" s="54"/>
      <c r="K1179" s="54"/>
      <c r="L1179" s="54"/>
      <c r="M1179" s="54"/>
      <c r="N1179" s="59"/>
      <c r="O1179" s="61"/>
      <c r="P1179" s="61"/>
      <c r="Q1179" s="61"/>
      <c r="R1179" s="50"/>
      <c r="S1179" s="50"/>
      <c r="T1179" s="61"/>
      <c r="U1179" s="61"/>
      <c r="V1179" s="61"/>
      <c r="W1179" s="61"/>
      <c r="X1179" s="61"/>
      <c r="Y1179" s="61"/>
      <c r="Z1179" s="52"/>
      <c r="AA1179" s="52"/>
      <c r="AB1179" s="52"/>
      <c r="AC1179" s="52"/>
      <c r="AD1179" s="53"/>
      <c r="AE1179" s="53"/>
      <c r="AF1179" s="53"/>
    </row>
    <row r="1180">
      <c r="G1180" s="55"/>
      <c r="H1180" s="54"/>
      <c r="I1180" s="54"/>
      <c r="J1180" s="54"/>
      <c r="K1180" s="54"/>
      <c r="L1180" s="54"/>
      <c r="M1180" s="54"/>
      <c r="N1180" s="59"/>
      <c r="O1180" s="61"/>
      <c r="P1180" s="61"/>
      <c r="Q1180" s="61"/>
      <c r="R1180" s="50"/>
      <c r="S1180" s="50"/>
      <c r="T1180" s="61"/>
      <c r="U1180" s="61"/>
      <c r="V1180" s="61"/>
      <c r="W1180" s="61"/>
      <c r="X1180" s="61"/>
      <c r="Y1180" s="61"/>
      <c r="Z1180" s="52"/>
      <c r="AA1180" s="52"/>
      <c r="AB1180" s="52"/>
      <c r="AC1180" s="52"/>
      <c r="AD1180" s="53"/>
      <c r="AE1180" s="53"/>
      <c r="AF1180" s="53"/>
    </row>
    <row r="1181">
      <c r="G1181" s="55"/>
      <c r="H1181" s="54"/>
      <c r="I1181" s="54"/>
      <c r="J1181" s="54"/>
      <c r="K1181" s="54"/>
      <c r="L1181" s="54"/>
      <c r="M1181" s="54"/>
      <c r="N1181" s="59"/>
      <c r="O1181" s="61"/>
      <c r="P1181" s="61"/>
      <c r="Q1181" s="61"/>
      <c r="R1181" s="50"/>
      <c r="S1181" s="50"/>
      <c r="T1181" s="61"/>
      <c r="U1181" s="61"/>
      <c r="V1181" s="61"/>
      <c r="W1181" s="61"/>
      <c r="X1181" s="61"/>
      <c r="Y1181" s="61"/>
      <c r="Z1181" s="52"/>
      <c r="AA1181" s="52"/>
      <c r="AB1181" s="52"/>
      <c r="AC1181" s="52"/>
      <c r="AD1181" s="53"/>
      <c r="AE1181" s="53"/>
      <c r="AF1181" s="53"/>
    </row>
    <row r="1182">
      <c r="G1182" s="55"/>
      <c r="H1182" s="54"/>
      <c r="I1182" s="54"/>
      <c r="J1182" s="54"/>
      <c r="K1182" s="54"/>
      <c r="L1182" s="54"/>
      <c r="M1182" s="54"/>
      <c r="N1182" s="59"/>
      <c r="O1182" s="61"/>
      <c r="P1182" s="61"/>
      <c r="Q1182" s="61"/>
      <c r="R1182" s="50"/>
      <c r="S1182" s="50"/>
      <c r="T1182" s="61"/>
      <c r="U1182" s="61"/>
      <c r="V1182" s="61"/>
      <c r="W1182" s="61"/>
      <c r="X1182" s="61"/>
      <c r="Y1182" s="61"/>
      <c r="Z1182" s="52"/>
      <c r="AA1182" s="52"/>
      <c r="AB1182" s="52"/>
      <c r="AC1182" s="52"/>
      <c r="AD1182" s="53"/>
      <c r="AE1182" s="53"/>
      <c r="AF1182" s="53"/>
    </row>
    <row r="1183">
      <c r="G1183" s="55"/>
      <c r="H1183" s="54"/>
      <c r="I1183" s="54"/>
      <c r="J1183" s="54"/>
      <c r="K1183" s="54"/>
      <c r="L1183" s="54"/>
      <c r="M1183" s="54"/>
      <c r="N1183" s="59"/>
      <c r="O1183" s="61"/>
      <c r="P1183" s="61"/>
      <c r="Q1183" s="61"/>
      <c r="R1183" s="50"/>
      <c r="S1183" s="50"/>
      <c r="T1183" s="61"/>
      <c r="U1183" s="61"/>
      <c r="V1183" s="61"/>
      <c r="W1183" s="61"/>
      <c r="X1183" s="61"/>
      <c r="Y1183" s="61"/>
      <c r="Z1183" s="52"/>
      <c r="AA1183" s="52"/>
      <c r="AB1183" s="52"/>
      <c r="AC1183" s="52"/>
      <c r="AD1183" s="53"/>
      <c r="AE1183" s="53"/>
      <c r="AF1183" s="53"/>
    </row>
    <row r="1184">
      <c r="G1184" s="55"/>
      <c r="H1184" s="54"/>
      <c r="I1184" s="54"/>
      <c r="J1184" s="54"/>
      <c r="K1184" s="54"/>
      <c r="L1184" s="54"/>
      <c r="M1184" s="54"/>
      <c r="N1184" s="59"/>
      <c r="O1184" s="61"/>
      <c r="P1184" s="61"/>
      <c r="Q1184" s="61"/>
      <c r="R1184" s="50"/>
      <c r="S1184" s="50"/>
      <c r="T1184" s="61"/>
      <c r="U1184" s="61"/>
      <c r="V1184" s="61"/>
      <c r="W1184" s="61"/>
      <c r="X1184" s="61"/>
      <c r="Y1184" s="61"/>
      <c r="Z1184" s="52"/>
      <c r="AA1184" s="52"/>
      <c r="AB1184" s="52"/>
      <c r="AC1184" s="52"/>
      <c r="AD1184" s="53"/>
      <c r="AE1184" s="53"/>
      <c r="AF1184" s="53"/>
    </row>
    <row r="1185">
      <c r="G1185" s="55"/>
      <c r="H1185" s="54"/>
      <c r="I1185" s="54"/>
      <c r="J1185" s="54"/>
      <c r="K1185" s="54"/>
      <c r="L1185" s="54"/>
      <c r="M1185" s="54"/>
      <c r="N1185" s="59"/>
      <c r="O1185" s="61"/>
      <c r="P1185" s="61"/>
      <c r="Q1185" s="61"/>
      <c r="R1185" s="50"/>
      <c r="S1185" s="50"/>
      <c r="T1185" s="61"/>
      <c r="U1185" s="61"/>
      <c r="V1185" s="61"/>
      <c r="W1185" s="61"/>
      <c r="X1185" s="61"/>
      <c r="Y1185" s="61"/>
      <c r="Z1185" s="52"/>
      <c r="AA1185" s="52"/>
      <c r="AB1185" s="52"/>
      <c r="AC1185" s="52"/>
      <c r="AD1185" s="53"/>
      <c r="AE1185" s="53"/>
      <c r="AF1185" s="53"/>
    </row>
    <row r="1186">
      <c r="G1186" s="55"/>
      <c r="H1186" s="54"/>
      <c r="I1186" s="54"/>
      <c r="J1186" s="54"/>
      <c r="K1186" s="54"/>
      <c r="L1186" s="54"/>
      <c r="M1186" s="54"/>
      <c r="N1186" s="59"/>
      <c r="O1186" s="61"/>
      <c r="P1186" s="61"/>
      <c r="Q1186" s="61"/>
      <c r="R1186" s="50"/>
      <c r="S1186" s="50"/>
      <c r="T1186" s="61"/>
      <c r="U1186" s="61"/>
      <c r="V1186" s="61"/>
      <c r="W1186" s="61"/>
      <c r="X1186" s="61"/>
      <c r="Y1186" s="61"/>
      <c r="Z1186" s="52"/>
      <c r="AA1186" s="52"/>
      <c r="AB1186" s="52"/>
      <c r="AC1186" s="52"/>
      <c r="AD1186" s="53"/>
      <c r="AE1186" s="53"/>
      <c r="AF1186" s="53"/>
    </row>
    <row r="1187">
      <c r="G1187" s="55"/>
      <c r="H1187" s="54"/>
      <c r="I1187" s="54"/>
      <c r="J1187" s="54"/>
      <c r="K1187" s="54"/>
      <c r="L1187" s="54"/>
      <c r="M1187" s="54"/>
      <c r="N1187" s="59"/>
      <c r="O1187" s="61"/>
      <c r="P1187" s="61"/>
      <c r="Q1187" s="61"/>
      <c r="R1187" s="50"/>
      <c r="S1187" s="50"/>
      <c r="T1187" s="61"/>
      <c r="U1187" s="61"/>
      <c r="V1187" s="61"/>
      <c r="W1187" s="61"/>
      <c r="X1187" s="61"/>
      <c r="Y1187" s="61"/>
      <c r="Z1187" s="52"/>
      <c r="AA1187" s="52"/>
      <c r="AB1187" s="52"/>
      <c r="AC1187" s="52"/>
      <c r="AD1187" s="53"/>
      <c r="AE1187" s="53"/>
      <c r="AF1187" s="53"/>
    </row>
    <row r="1188">
      <c r="G1188" s="55"/>
      <c r="H1188" s="54"/>
      <c r="I1188" s="54"/>
      <c r="J1188" s="54"/>
      <c r="K1188" s="54"/>
      <c r="L1188" s="54"/>
      <c r="M1188" s="54"/>
      <c r="N1188" s="59"/>
      <c r="O1188" s="61"/>
      <c r="P1188" s="61"/>
      <c r="Q1188" s="61"/>
      <c r="R1188" s="50"/>
      <c r="S1188" s="50"/>
      <c r="T1188" s="61"/>
      <c r="U1188" s="61"/>
      <c r="V1188" s="61"/>
      <c r="W1188" s="61"/>
      <c r="X1188" s="61"/>
      <c r="Y1188" s="61"/>
      <c r="Z1188" s="52"/>
      <c r="AA1188" s="52"/>
      <c r="AB1188" s="52"/>
      <c r="AC1188" s="52"/>
      <c r="AD1188" s="53"/>
      <c r="AE1188" s="53"/>
      <c r="AF1188" s="53"/>
    </row>
    <row r="1189">
      <c r="G1189" s="55"/>
      <c r="H1189" s="54"/>
      <c r="I1189" s="54"/>
      <c r="J1189" s="54"/>
      <c r="K1189" s="54"/>
      <c r="L1189" s="54"/>
      <c r="M1189" s="54"/>
      <c r="N1189" s="59"/>
      <c r="O1189" s="61"/>
      <c r="P1189" s="61"/>
      <c r="Q1189" s="61"/>
      <c r="R1189" s="50"/>
      <c r="S1189" s="50"/>
      <c r="T1189" s="61"/>
      <c r="U1189" s="61"/>
      <c r="V1189" s="61"/>
      <c r="W1189" s="61"/>
      <c r="X1189" s="61"/>
      <c r="Y1189" s="61"/>
      <c r="Z1189" s="52"/>
      <c r="AA1189" s="52"/>
      <c r="AB1189" s="52"/>
      <c r="AC1189" s="52"/>
      <c r="AD1189" s="53"/>
      <c r="AE1189" s="53"/>
      <c r="AF1189" s="53"/>
    </row>
    <row r="1190">
      <c r="G1190" s="55"/>
      <c r="H1190" s="54"/>
      <c r="I1190" s="54"/>
      <c r="J1190" s="54"/>
      <c r="K1190" s="54"/>
      <c r="L1190" s="54"/>
      <c r="M1190" s="54"/>
      <c r="N1190" s="59"/>
      <c r="O1190" s="61"/>
      <c r="P1190" s="61"/>
      <c r="Q1190" s="61"/>
      <c r="R1190" s="50"/>
      <c r="S1190" s="50"/>
      <c r="T1190" s="61"/>
      <c r="U1190" s="61"/>
      <c r="V1190" s="61"/>
      <c r="W1190" s="61"/>
      <c r="X1190" s="61"/>
      <c r="Y1190" s="61"/>
      <c r="Z1190" s="52"/>
      <c r="AA1190" s="52"/>
      <c r="AB1190" s="52"/>
      <c r="AC1190" s="52"/>
      <c r="AD1190" s="53"/>
      <c r="AE1190" s="53"/>
      <c r="AF1190" s="53"/>
    </row>
    <row r="1191">
      <c r="G1191" s="55"/>
      <c r="H1191" s="54"/>
      <c r="I1191" s="54"/>
      <c r="J1191" s="54"/>
      <c r="K1191" s="54"/>
      <c r="L1191" s="54"/>
      <c r="M1191" s="54"/>
      <c r="N1191" s="59"/>
      <c r="O1191" s="61"/>
      <c r="P1191" s="61"/>
      <c r="Q1191" s="61"/>
      <c r="R1191" s="50"/>
      <c r="S1191" s="50"/>
      <c r="T1191" s="61"/>
      <c r="U1191" s="61"/>
      <c r="V1191" s="61"/>
      <c r="W1191" s="61"/>
      <c r="X1191" s="61"/>
      <c r="Y1191" s="61"/>
      <c r="Z1191" s="52"/>
      <c r="AA1191" s="52"/>
      <c r="AB1191" s="52"/>
      <c r="AC1191" s="52"/>
      <c r="AD1191" s="53"/>
      <c r="AE1191" s="53"/>
      <c r="AF1191" s="53"/>
    </row>
    <row r="1192">
      <c r="G1192" s="55"/>
      <c r="H1192" s="54"/>
      <c r="I1192" s="54"/>
      <c r="J1192" s="54"/>
      <c r="K1192" s="54"/>
      <c r="L1192" s="54"/>
      <c r="M1192" s="54"/>
      <c r="N1192" s="59"/>
      <c r="O1192" s="61"/>
      <c r="P1192" s="61"/>
      <c r="Q1192" s="61"/>
      <c r="R1192" s="50"/>
      <c r="S1192" s="50"/>
      <c r="T1192" s="61"/>
      <c r="U1192" s="61"/>
      <c r="V1192" s="61"/>
      <c r="W1192" s="61"/>
      <c r="X1192" s="61"/>
      <c r="Y1192" s="61"/>
      <c r="Z1192" s="52"/>
      <c r="AA1192" s="52"/>
      <c r="AB1192" s="52"/>
      <c r="AC1192" s="52"/>
      <c r="AD1192" s="53"/>
      <c r="AE1192" s="53"/>
      <c r="AF1192" s="53"/>
    </row>
    <row r="1193">
      <c r="G1193" s="55"/>
      <c r="H1193" s="54"/>
      <c r="I1193" s="54"/>
      <c r="J1193" s="54"/>
      <c r="K1193" s="54"/>
      <c r="L1193" s="54"/>
      <c r="M1193" s="54"/>
      <c r="N1193" s="59"/>
      <c r="O1193" s="61"/>
      <c r="P1193" s="61"/>
      <c r="Q1193" s="61"/>
      <c r="R1193" s="50"/>
      <c r="S1193" s="50"/>
      <c r="T1193" s="61"/>
      <c r="U1193" s="61"/>
      <c r="V1193" s="61"/>
      <c r="W1193" s="61"/>
      <c r="X1193" s="61"/>
      <c r="Y1193" s="61"/>
      <c r="Z1193" s="52"/>
      <c r="AA1193" s="52"/>
      <c r="AB1193" s="52"/>
      <c r="AC1193" s="52"/>
      <c r="AD1193" s="53"/>
      <c r="AE1193" s="53"/>
      <c r="AF1193" s="53"/>
    </row>
    <row r="1194">
      <c r="G1194" s="55"/>
      <c r="H1194" s="54"/>
      <c r="I1194" s="54"/>
      <c r="J1194" s="54"/>
      <c r="K1194" s="54"/>
      <c r="L1194" s="54"/>
      <c r="M1194" s="54"/>
      <c r="N1194" s="59"/>
      <c r="O1194" s="61"/>
      <c r="P1194" s="61"/>
      <c r="Q1194" s="61"/>
      <c r="R1194" s="50"/>
      <c r="S1194" s="50"/>
      <c r="T1194" s="61"/>
      <c r="U1194" s="61"/>
      <c r="V1194" s="61"/>
      <c r="W1194" s="61"/>
      <c r="X1194" s="61"/>
      <c r="Y1194" s="61"/>
      <c r="Z1194" s="52"/>
      <c r="AA1194" s="52"/>
      <c r="AB1194" s="52"/>
      <c r="AC1194" s="52"/>
      <c r="AD1194" s="53"/>
      <c r="AE1194" s="53"/>
      <c r="AF1194" s="53"/>
    </row>
    <row r="1195">
      <c r="G1195" s="55"/>
      <c r="H1195" s="54"/>
      <c r="I1195" s="54"/>
      <c r="J1195" s="54"/>
      <c r="K1195" s="54"/>
      <c r="L1195" s="54"/>
      <c r="M1195" s="54"/>
      <c r="N1195" s="59"/>
      <c r="O1195" s="61"/>
      <c r="P1195" s="61"/>
      <c r="Q1195" s="61"/>
      <c r="R1195" s="50"/>
      <c r="S1195" s="50"/>
      <c r="T1195" s="61"/>
      <c r="U1195" s="61"/>
      <c r="V1195" s="61"/>
      <c r="W1195" s="61"/>
      <c r="X1195" s="61"/>
      <c r="Y1195" s="61"/>
      <c r="Z1195" s="52"/>
      <c r="AA1195" s="52"/>
      <c r="AB1195" s="52"/>
      <c r="AC1195" s="52"/>
      <c r="AD1195" s="53"/>
      <c r="AE1195" s="53"/>
      <c r="AF1195" s="53"/>
    </row>
    <row r="1196">
      <c r="G1196" s="55"/>
      <c r="H1196" s="54"/>
      <c r="I1196" s="54"/>
      <c r="J1196" s="54"/>
      <c r="K1196" s="54"/>
      <c r="L1196" s="54"/>
      <c r="M1196" s="54"/>
      <c r="N1196" s="59"/>
      <c r="O1196" s="61"/>
      <c r="P1196" s="61"/>
      <c r="Q1196" s="61"/>
      <c r="R1196" s="50"/>
      <c r="S1196" s="50"/>
      <c r="T1196" s="61"/>
      <c r="U1196" s="61"/>
      <c r="V1196" s="61"/>
      <c r="W1196" s="61"/>
      <c r="X1196" s="61"/>
      <c r="Y1196" s="61"/>
      <c r="Z1196" s="52"/>
      <c r="AA1196" s="52"/>
      <c r="AB1196" s="52"/>
      <c r="AC1196" s="52"/>
      <c r="AD1196" s="53"/>
      <c r="AE1196" s="53"/>
      <c r="AF1196" s="53"/>
    </row>
    <row r="1197">
      <c r="G1197" s="55"/>
      <c r="H1197" s="54"/>
      <c r="I1197" s="54"/>
      <c r="J1197" s="54"/>
      <c r="K1197" s="54"/>
      <c r="L1197" s="54"/>
      <c r="M1197" s="54"/>
      <c r="N1197" s="59"/>
      <c r="O1197" s="61"/>
      <c r="P1197" s="61"/>
      <c r="Q1197" s="61"/>
      <c r="R1197" s="50"/>
      <c r="S1197" s="50"/>
      <c r="T1197" s="61"/>
      <c r="U1197" s="61"/>
      <c r="V1197" s="61"/>
      <c r="W1197" s="61"/>
      <c r="X1197" s="61"/>
      <c r="Y1197" s="61"/>
      <c r="Z1197" s="52"/>
      <c r="AA1197" s="52"/>
      <c r="AB1197" s="52"/>
      <c r="AC1197" s="52"/>
      <c r="AD1197" s="53"/>
      <c r="AE1197" s="53"/>
      <c r="AF1197" s="53"/>
    </row>
    <row r="1198">
      <c r="G1198" s="55"/>
      <c r="H1198" s="54"/>
      <c r="I1198" s="54"/>
      <c r="J1198" s="54"/>
      <c r="K1198" s="54"/>
      <c r="L1198" s="54"/>
      <c r="M1198" s="54"/>
      <c r="N1198" s="59"/>
      <c r="O1198" s="61"/>
      <c r="P1198" s="61"/>
      <c r="Q1198" s="61"/>
      <c r="R1198" s="50"/>
      <c r="S1198" s="50"/>
      <c r="T1198" s="61"/>
      <c r="U1198" s="61"/>
      <c r="V1198" s="61"/>
      <c r="W1198" s="61"/>
      <c r="X1198" s="61"/>
      <c r="Y1198" s="61"/>
      <c r="Z1198" s="52"/>
      <c r="AA1198" s="52"/>
      <c r="AB1198" s="52"/>
      <c r="AC1198" s="52"/>
      <c r="AD1198" s="53"/>
      <c r="AE1198" s="53"/>
      <c r="AF1198" s="53"/>
    </row>
    <row r="1199">
      <c r="G1199" s="55"/>
      <c r="H1199" s="54"/>
      <c r="I1199" s="54"/>
      <c r="J1199" s="54"/>
      <c r="K1199" s="54"/>
      <c r="L1199" s="54"/>
      <c r="M1199" s="54"/>
      <c r="N1199" s="59"/>
      <c r="O1199" s="61"/>
      <c r="P1199" s="61"/>
      <c r="Q1199" s="61"/>
      <c r="R1199" s="50"/>
      <c r="S1199" s="50"/>
      <c r="T1199" s="61"/>
      <c r="U1199" s="61"/>
      <c r="V1199" s="61"/>
      <c r="W1199" s="61"/>
      <c r="X1199" s="61"/>
      <c r="Y1199" s="61"/>
      <c r="Z1199" s="52"/>
      <c r="AA1199" s="52"/>
      <c r="AB1199" s="52"/>
      <c r="AC1199" s="52"/>
      <c r="AD1199" s="53"/>
      <c r="AE1199" s="53"/>
      <c r="AF1199" s="53"/>
    </row>
    <row r="1200">
      <c r="G1200" s="55"/>
      <c r="H1200" s="54"/>
      <c r="I1200" s="54"/>
      <c r="J1200" s="54"/>
      <c r="K1200" s="54"/>
      <c r="L1200" s="54"/>
      <c r="M1200" s="54"/>
      <c r="N1200" s="59"/>
      <c r="O1200" s="61"/>
      <c r="P1200" s="61"/>
      <c r="Q1200" s="61"/>
      <c r="R1200" s="50"/>
      <c r="S1200" s="50"/>
      <c r="T1200" s="61"/>
      <c r="U1200" s="61"/>
      <c r="V1200" s="61"/>
      <c r="W1200" s="61"/>
      <c r="X1200" s="61"/>
      <c r="Y1200" s="61"/>
      <c r="Z1200" s="52"/>
      <c r="AA1200" s="52"/>
      <c r="AB1200" s="52"/>
      <c r="AC1200" s="52"/>
      <c r="AD1200" s="53"/>
      <c r="AE1200" s="53"/>
      <c r="AF1200" s="53"/>
    </row>
    <row r="1201">
      <c r="G1201" s="55"/>
      <c r="H1201" s="54"/>
      <c r="I1201" s="54"/>
      <c r="J1201" s="54"/>
      <c r="K1201" s="54"/>
      <c r="L1201" s="54"/>
      <c r="M1201" s="54"/>
      <c r="N1201" s="59"/>
      <c r="O1201" s="61"/>
      <c r="P1201" s="61"/>
      <c r="Q1201" s="61"/>
      <c r="R1201" s="50"/>
      <c r="S1201" s="50"/>
      <c r="T1201" s="61"/>
      <c r="U1201" s="61"/>
      <c r="V1201" s="61"/>
      <c r="W1201" s="61"/>
      <c r="X1201" s="61"/>
      <c r="Y1201" s="61"/>
      <c r="Z1201" s="52"/>
      <c r="AA1201" s="52"/>
      <c r="AB1201" s="52"/>
      <c r="AC1201" s="52"/>
      <c r="AD1201" s="53"/>
      <c r="AE1201" s="53"/>
      <c r="AF1201" s="53"/>
    </row>
    <row r="1202">
      <c r="G1202" s="55"/>
      <c r="H1202" s="54"/>
      <c r="I1202" s="54"/>
      <c r="J1202" s="54"/>
      <c r="K1202" s="54"/>
      <c r="L1202" s="54"/>
      <c r="M1202" s="54"/>
      <c r="N1202" s="59"/>
      <c r="O1202" s="61"/>
      <c r="P1202" s="61"/>
      <c r="Q1202" s="61"/>
      <c r="R1202" s="50"/>
      <c r="S1202" s="50"/>
      <c r="T1202" s="61"/>
      <c r="U1202" s="61"/>
      <c r="V1202" s="61"/>
      <c r="W1202" s="61"/>
      <c r="X1202" s="61"/>
      <c r="Y1202" s="61"/>
      <c r="Z1202" s="52"/>
      <c r="AA1202" s="52"/>
      <c r="AB1202" s="52"/>
      <c r="AC1202" s="52"/>
      <c r="AD1202" s="53"/>
      <c r="AE1202" s="53"/>
      <c r="AF1202" s="53"/>
    </row>
    <row r="1203">
      <c r="G1203" s="55"/>
      <c r="H1203" s="54"/>
      <c r="I1203" s="54"/>
      <c r="J1203" s="54"/>
      <c r="K1203" s="54"/>
      <c r="L1203" s="54"/>
      <c r="M1203" s="54"/>
      <c r="N1203" s="59"/>
      <c r="O1203" s="61"/>
      <c r="P1203" s="61"/>
      <c r="Q1203" s="61"/>
      <c r="R1203" s="50"/>
      <c r="S1203" s="50"/>
      <c r="T1203" s="61"/>
      <c r="U1203" s="61"/>
      <c r="V1203" s="61"/>
      <c r="W1203" s="61"/>
      <c r="X1203" s="61"/>
      <c r="Y1203" s="61"/>
      <c r="Z1203" s="52"/>
      <c r="AA1203" s="52"/>
      <c r="AB1203" s="52"/>
      <c r="AC1203" s="52"/>
      <c r="AD1203" s="53"/>
      <c r="AE1203" s="53"/>
      <c r="AF1203" s="53"/>
    </row>
    <row r="1204">
      <c r="G1204" s="55"/>
      <c r="H1204" s="54"/>
      <c r="I1204" s="54"/>
      <c r="J1204" s="54"/>
      <c r="K1204" s="54"/>
      <c r="L1204" s="54"/>
      <c r="M1204" s="54"/>
      <c r="N1204" s="59"/>
      <c r="O1204" s="61"/>
      <c r="P1204" s="61"/>
      <c r="Q1204" s="61"/>
      <c r="R1204" s="50"/>
      <c r="S1204" s="50"/>
      <c r="T1204" s="61"/>
      <c r="U1204" s="61"/>
      <c r="V1204" s="61"/>
      <c r="W1204" s="61"/>
      <c r="X1204" s="61"/>
      <c r="Y1204" s="61"/>
      <c r="Z1204" s="52"/>
      <c r="AA1204" s="52"/>
      <c r="AB1204" s="52"/>
      <c r="AC1204" s="52"/>
      <c r="AD1204" s="53"/>
      <c r="AE1204" s="53"/>
      <c r="AF1204" s="53"/>
    </row>
    <row r="1205">
      <c r="G1205" s="55"/>
      <c r="H1205" s="54"/>
      <c r="I1205" s="54"/>
      <c r="J1205" s="54"/>
      <c r="K1205" s="54"/>
      <c r="L1205" s="54"/>
      <c r="M1205" s="54"/>
      <c r="N1205" s="59"/>
      <c r="O1205" s="61"/>
      <c r="P1205" s="61"/>
      <c r="Q1205" s="61"/>
      <c r="R1205" s="50"/>
      <c r="S1205" s="50"/>
      <c r="T1205" s="61"/>
      <c r="U1205" s="61"/>
      <c r="V1205" s="61"/>
      <c r="W1205" s="61"/>
      <c r="X1205" s="61"/>
      <c r="Y1205" s="61"/>
      <c r="Z1205" s="52"/>
      <c r="AA1205" s="52"/>
      <c r="AB1205" s="52"/>
      <c r="AC1205" s="52"/>
      <c r="AD1205" s="53"/>
      <c r="AE1205" s="53"/>
      <c r="AF1205" s="53"/>
    </row>
    <row r="1206">
      <c r="G1206" s="55"/>
      <c r="H1206" s="54"/>
      <c r="I1206" s="54"/>
      <c r="J1206" s="54"/>
      <c r="K1206" s="54"/>
      <c r="L1206" s="54"/>
      <c r="M1206" s="54"/>
      <c r="N1206" s="59"/>
      <c r="O1206" s="61"/>
      <c r="P1206" s="61"/>
      <c r="Q1206" s="61"/>
      <c r="R1206" s="50"/>
      <c r="S1206" s="50"/>
      <c r="T1206" s="61"/>
      <c r="U1206" s="61"/>
      <c r="V1206" s="61"/>
      <c r="W1206" s="61"/>
      <c r="X1206" s="61"/>
      <c r="Y1206" s="61"/>
      <c r="Z1206" s="52"/>
      <c r="AA1206" s="52"/>
      <c r="AB1206" s="52"/>
      <c r="AC1206" s="52"/>
      <c r="AD1206" s="53"/>
      <c r="AE1206" s="53"/>
      <c r="AF1206" s="53"/>
    </row>
    <row r="1207">
      <c r="G1207" s="55"/>
      <c r="H1207" s="54"/>
      <c r="I1207" s="54"/>
      <c r="J1207" s="54"/>
      <c r="K1207" s="54"/>
      <c r="L1207" s="54"/>
      <c r="M1207" s="54"/>
      <c r="N1207" s="59"/>
      <c r="O1207" s="61"/>
      <c r="P1207" s="61"/>
      <c r="Q1207" s="61"/>
      <c r="R1207" s="50"/>
      <c r="S1207" s="50"/>
      <c r="T1207" s="61"/>
      <c r="U1207" s="61"/>
      <c r="V1207" s="61"/>
      <c r="W1207" s="61"/>
      <c r="X1207" s="61"/>
      <c r="Y1207" s="61"/>
      <c r="Z1207" s="52"/>
      <c r="AA1207" s="52"/>
      <c r="AB1207" s="52"/>
      <c r="AC1207" s="52"/>
      <c r="AD1207" s="53"/>
      <c r="AE1207" s="53"/>
      <c r="AF1207" s="53"/>
    </row>
    <row r="1208">
      <c r="G1208" s="55"/>
      <c r="H1208" s="54"/>
      <c r="I1208" s="54"/>
      <c r="J1208" s="54"/>
      <c r="K1208" s="54"/>
      <c r="L1208" s="54"/>
      <c r="M1208" s="54"/>
      <c r="N1208" s="59"/>
      <c r="O1208" s="61"/>
      <c r="P1208" s="61"/>
      <c r="Q1208" s="61"/>
      <c r="R1208" s="50"/>
      <c r="S1208" s="50"/>
      <c r="T1208" s="61"/>
      <c r="U1208" s="61"/>
      <c r="V1208" s="61"/>
      <c r="W1208" s="61"/>
      <c r="X1208" s="61"/>
      <c r="Y1208" s="61"/>
      <c r="Z1208" s="52"/>
      <c r="AA1208" s="52"/>
      <c r="AB1208" s="52"/>
      <c r="AC1208" s="52"/>
      <c r="AD1208" s="53"/>
      <c r="AE1208" s="53"/>
      <c r="AF1208" s="53"/>
    </row>
    <row r="1209">
      <c r="G1209" s="55"/>
      <c r="H1209" s="54"/>
      <c r="I1209" s="54"/>
      <c r="J1209" s="54"/>
      <c r="K1209" s="54"/>
      <c r="L1209" s="54"/>
      <c r="M1209" s="54"/>
      <c r="N1209" s="59"/>
      <c r="O1209" s="61"/>
      <c r="P1209" s="61"/>
      <c r="Q1209" s="61"/>
      <c r="R1209" s="50"/>
      <c r="S1209" s="50"/>
      <c r="T1209" s="61"/>
      <c r="U1209" s="61"/>
      <c r="V1209" s="61"/>
      <c r="W1209" s="61"/>
      <c r="X1209" s="61"/>
      <c r="Y1209" s="61"/>
      <c r="Z1209" s="52"/>
      <c r="AA1209" s="52"/>
      <c r="AB1209" s="52"/>
      <c r="AC1209" s="52"/>
      <c r="AD1209" s="53"/>
      <c r="AE1209" s="53"/>
      <c r="AF1209" s="53"/>
    </row>
    <row r="1210">
      <c r="G1210" s="55"/>
      <c r="H1210" s="54"/>
      <c r="I1210" s="54"/>
      <c r="J1210" s="54"/>
      <c r="K1210" s="54"/>
      <c r="L1210" s="54"/>
      <c r="M1210" s="54"/>
      <c r="N1210" s="59"/>
      <c r="O1210" s="61"/>
      <c r="P1210" s="61"/>
      <c r="Q1210" s="61"/>
      <c r="R1210" s="50"/>
      <c r="S1210" s="50"/>
      <c r="T1210" s="61"/>
      <c r="U1210" s="61"/>
      <c r="V1210" s="61"/>
      <c r="W1210" s="61"/>
      <c r="X1210" s="61"/>
      <c r="Y1210" s="61"/>
      <c r="Z1210" s="52"/>
      <c r="AA1210" s="52"/>
      <c r="AB1210" s="52"/>
      <c r="AC1210" s="52"/>
      <c r="AD1210" s="53"/>
      <c r="AE1210" s="53"/>
      <c r="AF1210" s="53"/>
    </row>
    <row r="1211">
      <c r="G1211" s="55"/>
      <c r="H1211" s="54"/>
      <c r="I1211" s="54"/>
      <c r="J1211" s="54"/>
      <c r="K1211" s="54"/>
      <c r="L1211" s="54"/>
      <c r="M1211" s="54"/>
      <c r="N1211" s="59"/>
      <c r="O1211" s="61"/>
      <c r="P1211" s="61"/>
      <c r="Q1211" s="61"/>
      <c r="R1211" s="50"/>
      <c r="S1211" s="50"/>
      <c r="T1211" s="61"/>
      <c r="U1211" s="61"/>
      <c r="V1211" s="61"/>
      <c r="W1211" s="61"/>
      <c r="X1211" s="61"/>
      <c r="Y1211" s="61"/>
      <c r="Z1211" s="52"/>
      <c r="AA1211" s="52"/>
      <c r="AB1211" s="52"/>
      <c r="AC1211" s="52"/>
      <c r="AD1211" s="53"/>
      <c r="AE1211" s="53"/>
      <c r="AF1211" s="53"/>
    </row>
    <row r="1212">
      <c r="G1212" s="55"/>
      <c r="H1212" s="54"/>
      <c r="I1212" s="54"/>
      <c r="J1212" s="54"/>
      <c r="K1212" s="54"/>
      <c r="L1212" s="54"/>
      <c r="M1212" s="54"/>
      <c r="N1212" s="59"/>
      <c r="O1212" s="61"/>
      <c r="P1212" s="61"/>
      <c r="Q1212" s="61"/>
      <c r="R1212" s="50"/>
      <c r="S1212" s="50"/>
      <c r="T1212" s="61"/>
      <c r="U1212" s="61"/>
      <c r="V1212" s="61"/>
      <c r="W1212" s="61"/>
      <c r="X1212" s="61"/>
      <c r="Y1212" s="61"/>
      <c r="Z1212" s="52"/>
      <c r="AA1212" s="52"/>
      <c r="AB1212" s="52"/>
      <c r="AC1212" s="52"/>
      <c r="AD1212" s="53"/>
      <c r="AE1212" s="53"/>
      <c r="AF1212" s="53"/>
    </row>
    <row r="1213">
      <c r="G1213" s="55"/>
      <c r="H1213" s="54"/>
      <c r="I1213" s="54"/>
      <c r="J1213" s="54"/>
      <c r="K1213" s="54"/>
      <c r="L1213" s="54"/>
      <c r="M1213" s="54"/>
      <c r="N1213" s="59"/>
      <c r="O1213" s="61"/>
      <c r="P1213" s="61"/>
      <c r="Q1213" s="61"/>
      <c r="R1213" s="50"/>
      <c r="S1213" s="50"/>
      <c r="T1213" s="61"/>
      <c r="U1213" s="61"/>
      <c r="V1213" s="61"/>
      <c r="W1213" s="61"/>
      <c r="X1213" s="61"/>
      <c r="Y1213" s="61"/>
      <c r="Z1213" s="52"/>
      <c r="AA1213" s="52"/>
      <c r="AB1213" s="52"/>
      <c r="AC1213" s="52"/>
      <c r="AD1213" s="53"/>
      <c r="AE1213" s="53"/>
      <c r="AF1213" s="53"/>
    </row>
    <row r="1214">
      <c r="G1214" s="55"/>
      <c r="H1214" s="54"/>
      <c r="I1214" s="54"/>
      <c r="J1214" s="54"/>
      <c r="K1214" s="54"/>
      <c r="L1214" s="54"/>
      <c r="M1214" s="54"/>
      <c r="N1214" s="59"/>
      <c r="O1214" s="61"/>
      <c r="P1214" s="61"/>
      <c r="Q1214" s="61"/>
      <c r="R1214" s="50"/>
      <c r="S1214" s="50"/>
      <c r="T1214" s="61"/>
      <c r="U1214" s="61"/>
      <c r="V1214" s="61"/>
      <c r="W1214" s="61"/>
      <c r="X1214" s="61"/>
      <c r="Y1214" s="61"/>
      <c r="Z1214" s="52"/>
      <c r="AA1214" s="52"/>
      <c r="AB1214" s="52"/>
      <c r="AC1214" s="52"/>
      <c r="AD1214" s="53"/>
      <c r="AE1214" s="53"/>
      <c r="AF1214" s="53"/>
    </row>
    <row r="1215">
      <c r="G1215" s="55"/>
      <c r="H1215" s="54"/>
      <c r="I1215" s="54"/>
      <c r="J1215" s="54"/>
      <c r="K1215" s="54"/>
      <c r="L1215" s="54"/>
      <c r="M1215" s="54"/>
      <c r="N1215" s="59"/>
      <c r="O1215" s="61"/>
      <c r="P1215" s="61"/>
      <c r="Q1215" s="61"/>
      <c r="R1215" s="50"/>
      <c r="S1215" s="50"/>
      <c r="T1215" s="61"/>
      <c r="U1215" s="61"/>
      <c r="V1215" s="61"/>
      <c r="W1215" s="61"/>
      <c r="X1215" s="61"/>
      <c r="Y1215" s="61"/>
      <c r="Z1215" s="52"/>
      <c r="AA1215" s="52"/>
      <c r="AB1215" s="52"/>
      <c r="AC1215" s="52"/>
      <c r="AD1215" s="53"/>
      <c r="AE1215" s="53"/>
      <c r="AF1215" s="53"/>
    </row>
    <row r="1216">
      <c r="G1216" s="55"/>
      <c r="H1216" s="54"/>
      <c r="I1216" s="54"/>
      <c r="J1216" s="54"/>
      <c r="K1216" s="54"/>
      <c r="L1216" s="54"/>
      <c r="M1216" s="54"/>
      <c r="N1216" s="59"/>
      <c r="O1216" s="61"/>
      <c r="P1216" s="61"/>
      <c r="Q1216" s="61"/>
      <c r="R1216" s="50"/>
      <c r="S1216" s="50"/>
      <c r="T1216" s="61"/>
      <c r="U1216" s="61"/>
      <c r="V1216" s="61"/>
      <c r="W1216" s="61"/>
      <c r="X1216" s="61"/>
      <c r="Y1216" s="61"/>
      <c r="Z1216" s="52"/>
      <c r="AA1216" s="52"/>
      <c r="AB1216" s="52"/>
      <c r="AC1216" s="52"/>
      <c r="AD1216" s="53"/>
      <c r="AE1216" s="53"/>
      <c r="AF1216" s="53"/>
    </row>
    <row r="1217">
      <c r="G1217" s="55"/>
      <c r="H1217" s="54"/>
      <c r="I1217" s="54"/>
      <c r="J1217" s="54"/>
      <c r="K1217" s="54"/>
      <c r="L1217" s="54"/>
      <c r="M1217" s="54"/>
      <c r="N1217" s="59"/>
      <c r="O1217" s="61"/>
      <c r="P1217" s="61"/>
      <c r="Q1217" s="61"/>
      <c r="R1217" s="50"/>
      <c r="S1217" s="50"/>
      <c r="T1217" s="61"/>
      <c r="U1217" s="61"/>
      <c r="V1217" s="61"/>
      <c r="W1217" s="61"/>
      <c r="X1217" s="61"/>
      <c r="Y1217" s="61"/>
      <c r="Z1217" s="52"/>
      <c r="AA1217" s="52"/>
      <c r="AB1217" s="52"/>
      <c r="AC1217" s="52"/>
      <c r="AD1217" s="53"/>
      <c r="AE1217" s="53"/>
      <c r="AF1217" s="53"/>
    </row>
    <row r="1218">
      <c r="G1218" s="55"/>
      <c r="H1218" s="54"/>
      <c r="I1218" s="54"/>
      <c r="J1218" s="54"/>
      <c r="K1218" s="54"/>
      <c r="L1218" s="54"/>
      <c r="M1218" s="54"/>
      <c r="N1218" s="59"/>
      <c r="O1218" s="61"/>
      <c r="P1218" s="61"/>
      <c r="Q1218" s="61"/>
      <c r="R1218" s="50"/>
      <c r="S1218" s="50"/>
      <c r="T1218" s="61"/>
      <c r="U1218" s="61"/>
      <c r="V1218" s="61"/>
      <c r="W1218" s="61"/>
      <c r="X1218" s="61"/>
      <c r="Y1218" s="61"/>
      <c r="Z1218" s="52"/>
      <c r="AA1218" s="52"/>
      <c r="AB1218" s="52"/>
      <c r="AC1218" s="52"/>
      <c r="AD1218" s="53"/>
      <c r="AE1218" s="53"/>
      <c r="AF1218" s="53"/>
    </row>
    <row r="1219">
      <c r="G1219" s="55"/>
      <c r="H1219" s="54"/>
      <c r="I1219" s="54"/>
      <c r="J1219" s="54"/>
      <c r="K1219" s="54"/>
      <c r="L1219" s="54"/>
      <c r="M1219" s="54"/>
      <c r="N1219" s="59"/>
      <c r="O1219" s="61"/>
      <c r="P1219" s="61"/>
      <c r="Q1219" s="61"/>
      <c r="R1219" s="50"/>
      <c r="S1219" s="50"/>
      <c r="T1219" s="61"/>
      <c r="U1219" s="61"/>
      <c r="V1219" s="61"/>
      <c r="W1219" s="61"/>
      <c r="X1219" s="61"/>
      <c r="Y1219" s="61"/>
      <c r="Z1219" s="52"/>
      <c r="AA1219" s="52"/>
      <c r="AB1219" s="52"/>
      <c r="AC1219" s="52"/>
      <c r="AD1219" s="53"/>
      <c r="AE1219" s="53"/>
      <c r="AF1219" s="53"/>
    </row>
    <row r="1220">
      <c r="G1220" s="55"/>
      <c r="H1220" s="54"/>
      <c r="I1220" s="54"/>
      <c r="J1220" s="54"/>
      <c r="K1220" s="54"/>
      <c r="L1220" s="54"/>
      <c r="M1220" s="54"/>
      <c r="N1220" s="59"/>
      <c r="O1220" s="61"/>
      <c r="P1220" s="61"/>
      <c r="Q1220" s="61"/>
      <c r="R1220" s="50"/>
      <c r="S1220" s="50"/>
      <c r="T1220" s="61"/>
      <c r="U1220" s="61"/>
      <c r="V1220" s="61"/>
      <c r="W1220" s="61"/>
      <c r="X1220" s="61"/>
      <c r="Y1220" s="61"/>
      <c r="Z1220" s="52"/>
      <c r="AA1220" s="52"/>
      <c r="AB1220" s="52"/>
      <c r="AC1220" s="52"/>
      <c r="AD1220" s="53"/>
      <c r="AE1220" s="53"/>
      <c r="AF1220" s="53"/>
    </row>
    <row r="1221">
      <c r="G1221" s="55"/>
      <c r="H1221" s="54"/>
      <c r="I1221" s="54"/>
      <c r="J1221" s="54"/>
      <c r="K1221" s="54"/>
      <c r="L1221" s="54"/>
      <c r="M1221" s="54"/>
      <c r="N1221" s="59"/>
      <c r="O1221" s="61"/>
      <c r="P1221" s="61"/>
      <c r="Q1221" s="61"/>
      <c r="R1221" s="50"/>
      <c r="S1221" s="50"/>
      <c r="T1221" s="61"/>
      <c r="U1221" s="61"/>
      <c r="V1221" s="61"/>
      <c r="W1221" s="61"/>
      <c r="X1221" s="61"/>
      <c r="Y1221" s="61"/>
      <c r="Z1221" s="52"/>
      <c r="AA1221" s="52"/>
      <c r="AB1221" s="52"/>
      <c r="AC1221" s="52"/>
      <c r="AD1221" s="53"/>
      <c r="AE1221" s="53"/>
      <c r="AF1221" s="53"/>
    </row>
    <row r="1222">
      <c r="G1222" s="55"/>
      <c r="H1222" s="54"/>
      <c r="I1222" s="54"/>
      <c r="J1222" s="54"/>
      <c r="K1222" s="54"/>
      <c r="L1222" s="54"/>
      <c r="M1222" s="54"/>
      <c r="N1222" s="59"/>
      <c r="O1222" s="61"/>
      <c r="P1222" s="61"/>
      <c r="Q1222" s="61"/>
      <c r="R1222" s="50"/>
      <c r="S1222" s="50"/>
      <c r="T1222" s="61"/>
      <c r="U1222" s="61"/>
      <c r="V1222" s="61"/>
      <c r="W1222" s="61"/>
      <c r="X1222" s="61"/>
      <c r="Y1222" s="61"/>
      <c r="Z1222" s="52"/>
      <c r="AA1222" s="52"/>
      <c r="AB1222" s="52"/>
      <c r="AC1222" s="52"/>
      <c r="AD1222" s="53"/>
      <c r="AE1222" s="53"/>
      <c r="AF1222" s="53"/>
    </row>
    <row r="1223">
      <c r="G1223" s="55"/>
      <c r="H1223" s="54"/>
      <c r="I1223" s="54"/>
      <c r="J1223" s="54"/>
      <c r="K1223" s="54"/>
      <c r="L1223" s="54"/>
      <c r="M1223" s="54"/>
      <c r="N1223" s="59"/>
      <c r="O1223" s="61"/>
      <c r="P1223" s="61"/>
      <c r="Q1223" s="61"/>
      <c r="R1223" s="50"/>
      <c r="S1223" s="50"/>
      <c r="T1223" s="61"/>
      <c r="U1223" s="61"/>
      <c r="V1223" s="61"/>
      <c r="W1223" s="61"/>
      <c r="X1223" s="61"/>
      <c r="Y1223" s="61"/>
      <c r="Z1223" s="52"/>
      <c r="AA1223" s="52"/>
      <c r="AB1223" s="52"/>
      <c r="AC1223" s="52"/>
      <c r="AD1223" s="53"/>
      <c r="AE1223" s="53"/>
      <c r="AF1223" s="53"/>
    </row>
    <row r="1224">
      <c r="G1224" s="55"/>
      <c r="H1224" s="54"/>
      <c r="I1224" s="54"/>
      <c r="J1224" s="54"/>
      <c r="K1224" s="54"/>
      <c r="L1224" s="54"/>
      <c r="M1224" s="54"/>
      <c r="N1224" s="59"/>
      <c r="O1224" s="61"/>
      <c r="P1224" s="61"/>
      <c r="Q1224" s="61"/>
      <c r="R1224" s="50"/>
      <c r="S1224" s="50"/>
      <c r="T1224" s="61"/>
      <c r="U1224" s="61"/>
      <c r="V1224" s="61"/>
      <c r="W1224" s="61"/>
      <c r="X1224" s="61"/>
      <c r="Y1224" s="61"/>
      <c r="Z1224" s="52"/>
      <c r="AA1224" s="52"/>
      <c r="AB1224" s="52"/>
      <c r="AC1224" s="52"/>
      <c r="AD1224" s="53"/>
      <c r="AE1224" s="53"/>
      <c r="AF1224" s="53"/>
    </row>
    <row r="1225">
      <c r="G1225" s="55"/>
      <c r="H1225" s="54"/>
      <c r="I1225" s="54"/>
      <c r="J1225" s="54"/>
      <c r="K1225" s="54"/>
      <c r="L1225" s="54"/>
      <c r="M1225" s="54"/>
      <c r="N1225" s="59"/>
      <c r="O1225" s="61"/>
      <c r="P1225" s="61"/>
      <c r="Q1225" s="61"/>
      <c r="R1225" s="50"/>
      <c r="S1225" s="50"/>
      <c r="T1225" s="61"/>
      <c r="U1225" s="61"/>
      <c r="V1225" s="61"/>
      <c r="W1225" s="61"/>
      <c r="X1225" s="61"/>
      <c r="Y1225" s="61"/>
      <c r="Z1225" s="52"/>
      <c r="AA1225" s="52"/>
      <c r="AB1225" s="52"/>
      <c r="AC1225" s="52"/>
      <c r="AD1225" s="53"/>
      <c r="AE1225" s="53"/>
      <c r="AF1225" s="53"/>
    </row>
    <row r="1226">
      <c r="G1226" s="55"/>
      <c r="H1226" s="54"/>
      <c r="I1226" s="54"/>
      <c r="J1226" s="54"/>
      <c r="K1226" s="54"/>
      <c r="L1226" s="54"/>
      <c r="M1226" s="54"/>
      <c r="N1226" s="59"/>
      <c r="O1226" s="61"/>
      <c r="P1226" s="61"/>
      <c r="Q1226" s="61"/>
      <c r="R1226" s="50"/>
      <c r="S1226" s="50"/>
      <c r="T1226" s="61"/>
      <c r="U1226" s="61"/>
      <c r="V1226" s="61"/>
      <c r="W1226" s="61"/>
      <c r="X1226" s="61"/>
      <c r="Y1226" s="61"/>
      <c r="Z1226" s="52"/>
      <c r="AA1226" s="52"/>
      <c r="AB1226" s="52"/>
      <c r="AC1226" s="52"/>
      <c r="AD1226" s="53"/>
      <c r="AE1226" s="53"/>
      <c r="AF1226" s="53"/>
    </row>
    <row r="1227">
      <c r="G1227" s="55"/>
      <c r="H1227" s="54"/>
      <c r="I1227" s="54"/>
      <c r="J1227" s="54"/>
      <c r="K1227" s="54"/>
      <c r="L1227" s="54"/>
      <c r="M1227" s="54"/>
      <c r="N1227" s="59"/>
      <c r="O1227" s="61"/>
      <c r="P1227" s="61"/>
      <c r="Q1227" s="61"/>
      <c r="R1227" s="50"/>
      <c r="S1227" s="50"/>
      <c r="T1227" s="61"/>
      <c r="U1227" s="61"/>
      <c r="V1227" s="61"/>
      <c r="W1227" s="61"/>
      <c r="X1227" s="61"/>
      <c r="Y1227" s="61"/>
      <c r="Z1227" s="52"/>
      <c r="AA1227" s="52"/>
      <c r="AB1227" s="52"/>
      <c r="AC1227" s="52"/>
      <c r="AD1227" s="53"/>
      <c r="AE1227" s="53"/>
      <c r="AF1227" s="53"/>
    </row>
    <row r="1228">
      <c r="G1228" s="55"/>
      <c r="H1228" s="54"/>
      <c r="I1228" s="54"/>
      <c r="J1228" s="54"/>
      <c r="K1228" s="54"/>
      <c r="L1228" s="54"/>
      <c r="M1228" s="54"/>
      <c r="N1228" s="59"/>
      <c r="O1228" s="61"/>
      <c r="P1228" s="61"/>
      <c r="Q1228" s="61"/>
      <c r="R1228" s="50"/>
      <c r="S1228" s="50"/>
      <c r="T1228" s="61"/>
      <c r="U1228" s="61"/>
      <c r="V1228" s="61"/>
      <c r="W1228" s="61"/>
      <c r="X1228" s="61"/>
      <c r="Y1228" s="61"/>
      <c r="Z1228" s="52"/>
      <c r="AA1228" s="52"/>
      <c r="AB1228" s="52"/>
      <c r="AC1228" s="52"/>
      <c r="AD1228" s="53"/>
      <c r="AE1228" s="53"/>
      <c r="AF1228" s="53"/>
    </row>
    <row r="1229">
      <c r="G1229" s="55"/>
      <c r="H1229" s="54"/>
      <c r="I1229" s="54"/>
      <c r="J1229" s="54"/>
      <c r="K1229" s="54"/>
      <c r="L1229" s="54"/>
      <c r="M1229" s="54"/>
      <c r="N1229" s="59"/>
      <c r="O1229" s="61"/>
      <c r="P1229" s="61"/>
      <c r="Q1229" s="61"/>
      <c r="R1229" s="50"/>
      <c r="S1229" s="50"/>
      <c r="T1229" s="61"/>
      <c r="U1229" s="61"/>
      <c r="V1229" s="61"/>
      <c r="W1229" s="61"/>
      <c r="X1229" s="61"/>
      <c r="Y1229" s="61"/>
      <c r="Z1229" s="52"/>
      <c r="AA1229" s="52"/>
      <c r="AB1229" s="52"/>
      <c r="AC1229" s="52"/>
      <c r="AD1229" s="53"/>
      <c r="AE1229" s="53"/>
      <c r="AF1229" s="53"/>
    </row>
    <row r="1230">
      <c r="G1230" s="55"/>
      <c r="H1230" s="54"/>
      <c r="I1230" s="54"/>
      <c r="J1230" s="54"/>
      <c r="K1230" s="54"/>
      <c r="L1230" s="54"/>
      <c r="M1230" s="54"/>
      <c r="N1230" s="59"/>
      <c r="O1230" s="61"/>
      <c r="P1230" s="61"/>
      <c r="Q1230" s="61"/>
      <c r="R1230" s="50"/>
      <c r="S1230" s="50"/>
      <c r="T1230" s="61"/>
      <c r="U1230" s="61"/>
      <c r="V1230" s="61"/>
      <c r="W1230" s="61"/>
      <c r="X1230" s="61"/>
      <c r="Y1230" s="61"/>
      <c r="Z1230" s="52"/>
      <c r="AA1230" s="52"/>
      <c r="AB1230" s="52"/>
      <c r="AC1230" s="52"/>
      <c r="AD1230" s="53"/>
      <c r="AE1230" s="53"/>
      <c r="AF1230" s="53"/>
    </row>
    <row r="1231">
      <c r="G1231" s="55"/>
      <c r="H1231" s="54"/>
      <c r="I1231" s="54"/>
      <c r="J1231" s="54"/>
      <c r="K1231" s="54"/>
      <c r="L1231" s="54"/>
      <c r="M1231" s="54"/>
      <c r="N1231" s="59"/>
      <c r="O1231" s="61"/>
      <c r="P1231" s="61"/>
      <c r="Q1231" s="61"/>
      <c r="R1231" s="50"/>
      <c r="S1231" s="50"/>
      <c r="T1231" s="61"/>
      <c r="U1231" s="61"/>
      <c r="V1231" s="61"/>
      <c r="W1231" s="61"/>
      <c r="X1231" s="61"/>
      <c r="Y1231" s="61"/>
      <c r="Z1231" s="52"/>
      <c r="AA1231" s="52"/>
      <c r="AB1231" s="52"/>
      <c r="AC1231" s="52"/>
      <c r="AD1231" s="53"/>
      <c r="AE1231" s="53"/>
      <c r="AF1231" s="53"/>
    </row>
    <row r="1232">
      <c r="G1232" s="55"/>
      <c r="H1232" s="54"/>
      <c r="I1232" s="54"/>
      <c r="J1232" s="54"/>
      <c r="K1232" s="54"/>
      <c r="L1232" s="54"/>
      <c r="M1232" s="54"/>
      <c r="N1232" s="59"/>
      <c r="O1232" s="61"/>
      <c r="P1232" s="61"/>
      <c r="Q1232" s="61"/>
      <c r="R1232" s="50"/>
      <c r="S1232" s="50"/>
      <c r="T1232" s="61"/>
      <c r="U1232" s="61"/>
      <c r="V1232" s="61"/>
      <c r="W1232" s="61"/>
      <c r="X1232" s="61"/>
      <c r="Y1232" s="61"/>
      <c r="Z1232" s="52"/>
      <c r="AA1232" s="52"/>
      <c r="AB1232" s="52"/>
      <c r="AC1232" s="52"/>
      <c r="AD1232" s="53"/>
      <c r="AE1232" s="53"/>
      <c r="AF1232" s="53"/>
    </row>
    <row r="1233">
      <c r="G1233" s="55"/>
      <c r="H1233" s="54"/>
      <c r="I1233" s="54"/>
      <c r="J1233" s="54"/>
      <c r="K1233" s="54"/>
      <c r="L1233" s="54"/>
      <c r="M1233" s="54"/>
      <c r="N1233" s="59"/>
      <c r="O1233" s="61"/>
      <c r="P1233" s="61"/>
      <c r="Q1233" s="61"/>
      <c r="R1233" s="50"/>
      <c r="S1233" s="50"/>
      <c r="T1233" s="61"/>
      <c r="U1233" s="61"/>
      <c r="V1233" s="61"/>
      <c r="W1233" s="61"/>
      <c r="X1233" s="61"/>
      <c r="Y1233" s="61"/>
      <c r="Z1233" s="52"/>
      <c r="AA1233" s="52"/>
      <c r="AB1233" s="52"/>
      <c r="AC1233" s="52"/>
      <c r="AD1233" s="53"/>
      <c r="AE1233" s="53"/>
      <c r="AF1233" s="53"/>
    </row>
    <row r="1234">
      <c r="G1234" s="55"/>
      <c r="H1234" s="54"/>
      <c r="I1234" s="54"/>
      <c r="J1234" s="54"/>
      <c r="K1234" s="54"/>
      <c r="L1234" s="54"/>
      <c r="M1234" s="54"/>
      <c r="N1234" s="59"/>
      <c r="O1234" s="61"/>
      <c r="P1234" s="61"/>
      <c r="Q1234" s="61"/>
      <c r="R1234" s="50"/>
      <c r="S1234" s="50"/>
      <c r="T1234" s="61"/>
      <c r="U1234" s="61"/>
      <c r="V1234" s="61"/>
      <c r="W1234" s="61"/>
      <c r="X1234" s="61"/>
      <c r="Y1234" s="61"/>
      <c r="Z1234" s="52"/>
      <c r="AA1234" s="52"/>
      <c r="AB1234" s="52"/>
      <c r="AC1234" s="52"/>
      <c r="AD1234" s="53"/>
      <c r="AE1234" s="53"/>
      <c r="AF1234" s="53"/>
    </row>
    <row r="1235">
      <c r="G1235" s="55"/>
      <c r="H1235" s="54"/>
      <c r="I1235" s="54"/>
      <c r="J1235" s="54"/>
      <c r="K1235" s="54"/>
      <c r="L1235" s="54"/>
      <c r="M1235" s="54"/>
      <c r="N1235" s="59"/>
      <c r="O1235" s="61"/>
      <c r="P1235" s="61"/>
      <c r="Q1235" s="61"/>
      <c r="R1235" s="50"/>
      <c r="S1235" s="50"/>
      <c r="T1235" s="61"/>
      <c r="U1235" s="61"/>
      <c r="V1235" s="61"/>
      <c r="W1235" s="61"/>
      <c r="X1235" s="61"/>
      <c r="Y1235" s="61"/>
      <c r="Z1235" s="52"/>
      <c r="AA1235" s="52"/>
      <c r="AB1235" s="52"/>
      <c r="AC1235" s="52"/>
      <c r="AD1235" s="53"/>
      <c r="AE1235" s="53"/>
      <c r="AF1235" s="53"/>
    </row>
    <row r="1236">
      <c r="G1236" s="55"/>
      <c r="H1236" s="54"/>
      <c r="I1236" s="54"/>
      <c r="J1236" s="54"/>
      <c r="K1236" s="54"/>
      <c r="L1236" s="54"/>
      <c r="M1236" s="54"/>
      <c r="N1236" s="59"/>
      <c r="O1236" s="61"/>
      <c r="P1236" s="61"/>
      <c r="Q1236" s="61"/>
      <c r="R1236" s="50"/>
      <c r="S1236" s="50"/>
      <c r="T1236" s="61"/>
      <c r="U1236" s="61"/>
      <c r="V1236" s="61"/>
      <c r="W1236" s="61"/>
      <c r="X1236" s="61"/>
      <c r="Y1236" s="61"/>
      <c r="Z1236" s="52"/>
      <c r="AA1236" s="52"/>
      <c r="AB1236" s="52"/>
      <c r="AC1236" s="52"/>
      <c r="AD1236" s="53"/>
      <c r="AE1236" s="53"/>
      <c r="AF1236" s="53"/>
    </row>
    <row r="1237">
      <c r="G1237" s="55"/>
      <c r="H1237" s="54"/>
      <c r="I1237" s="54"/>
      <c r="J1237" s="54"/>
      <c r="K1237" s="54"/>
      <c r="L1237" s="54"/>
      <c r="M1237" s="54"/>
      <c r="N1237" s="59"/>
      <c r="O1237" s="61"/>
      <c r="P1237" s="61"/>
      <c r="Q1237" s="61"/>
      <c r="R1237" s="50"/>
      <c r="S1237" s="50"/>
      <c r="T1237" s="61"/>
      <c r="U1237" s="61"/>
      <c r="V1237" s="61"/>
      <c r="W1237" s="61"/>
      <c r="X1237" s="61"/>
      <c r="Y1237" s="61"/>
      <c r="Z1237" s="52"/>
      <c r="AA1237" s="52"/>
      <c r="AB1237" s="52"/>
      <c r="AC1237" s="52"/>
      <c r="AD1237" s="53"/>
      <c r="AE1237" s="53"/>
      <c r="AF1237" s="53"/>
    </row>
    <row r="1238">
      <c r="G1238" s="55"/>
      <c r="H1238" s="54"/>
      <c r="I1238" s="54"/>
      <c r="J1238" s="54"/>
      <c r="K1238" s="54"/>
      <c r="L1238" s="54"/>
      <c r="M1238" s="54"/>
      <c r="N1238" s="59"/>
      <c r="O1238" s="61"/>
      <c r="P1238" s="61"/>
      <c r="Q1238" s="61"/>
      <c r="R1238" s="50"/>
      <c r="S1238" s="50"/>
      <c r="T1238" s="61"/>
      <c r="U1238" s="61"/>
      <c r="V1238" s="61"/>
      <c r="W1238" s="61"/>
      <c r="X1238" s="61"/>
      <c r="Y1238" s="61"/>
      <c r="Z1238" s="52"/>
      <c r="AA1238" s="52"/>
      <c r="AB1238" s="52"/>
      <c r="AC1238" s="52"/>
      <c r="AD1238" s="53"/>
      <c r="AE1238" s="53"/>
      <c r="AF1238" s="53"/>
    </row>
    <row r="1239">
      <c r="G1239" s="55"/>
      <c r="H1239" s="54"/>
      <c r="I1239" s="54"/>
      <c r="J1239" s="54"/>
      <c r="K1239" s="54"/>
      <c r="L1239" s="54"/>
      <c r="M1239" s="54"/>
      <c r="N1239" s="59"/>
      <c r="O1239" s="61"/>
      <c r="P1239" s="61"/>
      <c r="Q1239" s="61"/>
      <c r="R1239" s="50"/>
      <c r="S1239" s="50"/>
      <c r="T1239" s="61"/>
      <c r="U1239" s="61"/>
      <c r="V1239" s="61"/>
      <c r="W1239" s="61"/>
      <c r="X1239" s="61"/>
      <c r="Y1239" s="61"/>
      <c r="Z1239" s="52"/>
      <c r="AA1239" s="52"/>
      <c r="AB1239" s="52"/>
      <c r="AC1239" s="52"/>
      <c r="AD1239" s="53"/>
      <c r="AE1239" s="53"/>
      <c r="AF1239" s="53"/>
    </row>
    <row r="1240">
      <c r="G1240" s="55"/>
      <c r="H1240" s="54"/>
      <c r="I1240" s="54"/>
      <c r="J1240" s="54"/>
      <c r="K1240" s="54"/>
      <c r="L1240" s="54"/>
      <c r="M1240" s="54"/>
      <c r="N1240" s="59"/>
      <c r="O1240" s="61"/>
      <c r="P1240" s="61"/>
      <c r="Q1240" s="61"/>
      <c r="R1240" s="50"/>
      <c r="S1240" s="50"/>
      <c r="T1240" s="61"/>
      <c r="U1240" s="61"/>
      <c r="V1240" s="61"/>
      <c r="W1240" s="61"/>
      <c r="X1240" s="61"/>
      <c r="Y1240" s="61"/>
      <c r="Z1240" s="52"/>
      <c r="AA1240" s="52"/>
      <c r="AB1240" s="52"/>
      <c r="AC1240" s="52"/>
      <c r="AD1240" s="53"/>
      <c r="AE1240" s="53"/>
      <c r="AF1240" s="53"/>
    </row>
    <row r="1241">
      <c r="G1241" s="55"/>
      <c r="H1241" s="54"/>
      <c r="I1241" s="54"/>
      <c r="J1241" s="54"/>
      <c r="K1241" s="54"/>
      <c r="L1241" s="54"/>
      <c r="M1241" s="54"/>
      <c r="N1241" s="59"/>
      <c r="O1241" s="61"/>
      <c r="P1241" s="61"/>
      <c r="Q1241" s="61"/>
      <c r="R1241" s="50"/>
      <c r="S1241" s="50"/>
      <c r="T1241" s="61"/>
      <c r="U1241" s="61"/>
      <c r="V1241" s="61"/>
      <c r="W1241" s="61"/>
      <c r="X1241" s="61"/>
      <c r="Y1241" s="61"/>
      <c r="Z1241" s="52"/>
      <c r="AA1241" s="52"/>
      <c r="AB1241" s="52"/>
      <c r="AC1241" s="52"/>
      <c r="AD1241" s="53"/>
      <c r="AE1241" s="53"/>
      <c r="AF1241" s="53"/>
    </row>
    <row r="1242">
      <c r="G1242" s="55"/>
      <c r="H1242" s="54"/>
      <c r="I1242" s="54"/>
      <c r="J1242" s="54"/>
      <c r="K1242" s="54"/>
      <c r="L1242" s="54"/>
      <c r="M1242" s="54"/>
      <c r="N1242" s="59"/>
      <c r="O1242" s="61"/>
      <c r="P1242" s="61"/>
      <c r="Q1242" s="61"/>
      <c r="R1242" s="50"/>
      <c r="S1242" s="50"/>
      <c r="T1242" s="61"/>
      <c r="U1242" s="61"/>
      <c r="V1242" s="61"/>
      <c r="W1242" s="61"/>
      <c r="X1242" s="61"/>
      <c r="Y1242" s="61"/>
      <c r="Z1242" s="52"/>
      <c r="AA1242" s="52"/>
      <c r="AB1242" s="52"/>
      <c r="AC1242" s="52"/>
      <c r="AD1242" s="53"/>
      <c r="AE1242" s="53"/>
      <c r="AF1242" s="53"/>
    </row>
    <row r="1243">
      <c r="G1243" s="55"/>
      <c r="H1243" s="54"/>
      <c r="I1243" s="54"/>
      <c r="J1243" s="54"/>
      <c r="K1243" s="54"/>
      <c r="L1243" s="54"/>
      <c r="M1243" s="54"/>
      <c r="N1243" s="59"/>
      <c r="O1243" s="61"/>
      <c r="P1243" s="61"/>
      <c r="Q1243" s="61"/>
      <c r="R1243" s="50"/>
      <c r="S1243" s="50"/>
      <c r="T1243" s="61"/>
      <c r="U1243" s="61"/>
      <c r="V1243" s="61"/>
      <c r="W1243" s="61"/>
      <c r="X1243" s="61"/>
      <c r="Y1243" s="61"/>
      <c r="Z1243" s="52"/>
      <c r="AA1243" s="52"/>
      <c r="AB1243" s="52"/>
      <c r="AC1243" s="52"/>
      <c r="AD1243" s="53"/>
      <c r="AE1243" s="53"/>
      <c r="AF1243" s="53"/>
    </row>
    <row r="1244">
      <c r="G1244" s="55"/>
      <c r="H1244" s="54"/>
      <c r="I1244" s="54"/>
      <c r="J1244" s="54"/>
      <c r="K1244" s="54"/>
      <c r="L1244" s="54"/>
      <c r="M1244" s="54"/>
      <c r="N1244" s="59"/>
      <c r="O1244" s="61"/>
      <c r="P1244" s="61"/>
      <c r="Q1244" s="61"/>
      <c r="R1244" s="50"/>
      <c r="S1244" s="50"/>
      <c r="T1244" s="61"/>
      <c r="U1244" s="61"/>
      <c r="V1244" s="61"/>
      <c r="W1244" s="61"/>
      <c r="X1244" s="61"/>
      <c r="Y1244" s="61"/>
      <c r="Z1244" s="52"/>
      <c r="AA1244" s="52"/>
      <c r="AB1244" s="52"/>
      <c r="AC1244" s="52"/>
      <c r="AD1244" s="53"/>
      <c r="AE1244" s="53"/>
      <c r="AF1244" s="53"/>
    </row>
    <row r="1245">
      <c r="G1245" s="55"/>
      <c r="H1245" s="54"/>
      <c r="I1245" s="54"/>
      <c r="J1245" s="54"/>
      <c r="K1245" s="54"/>
      <c r="L1245" s="54"/>
      <c r="M1245" s="54"/>
      <c r="N1245" s="59"/>
      <c r="O1245" s="61"/>
      <c r="P1245" s="61"/>
      <c r="Q1245" s="61"/>
      <c r="R1245" s="50"/>
      <c r="S1245" s="50"/>
      <c r="T1245" s="61"/>
      <c r="U1245" s="61"/>
      <c r="V1245" s="61"/>
      <c r="W1245" s="61"/>
      <c r="X1245" s="61"/>
      <c r="Y1245" s="61"/>
      <c r="Z1245" s="52"/>
      <c r="AA1245" s="52"/>
      <c r="AB1245" s="52"/>
      <c r="AC1245" s="52"/>
      <c r="AD1245" s="53"/>
      <c r="AE1245" s="53"/>
      <c r="AF1245" s="53"/>
    </row>
    <row r="1246">
      <c r="G1246" s="55"/>
      <c r="H1246" s="54"/>
      <c r="I1246" s="54"/>
      <c r="J1246" s="54"/>
      <c r="K1246" s="54"/>
      <c r="L1246" s="54"/>
      <c r="M1246" s="54"/>
      <c r="N1246" s="59"/>
      <c r="O1246" s="61"/>
      <c r="P1246" s="61"/>
      <c r="Q1246" s="61"/>
      <c r="R1246" s="50"/>
      <c r="S1246" s="50"/>
      <c r="T1246" s="61"/>
      <c r="U1246" s="61"/>
      <c r="V1246" s="61"/>
      <c r="W1246" s="61"/>
      <c r="X1246" s="61"/>
      <c r="Y1246" s="61"/>
      <c r="Z1246" s="52"/>
      <c r="AA1246" s="52"/>
      <c r="AB1246" s="52"/>
      <c r="AC1246" s="52"/>
      <c r="AD1246" s="53"/>
      <c r="AE1246" s="53"/>
      <c r="AF1246" s="53"/>
    </row>
    <row r="1247">
      <c r="G1247" s="55"/>
      <c r="H1247" s="54"/>
      <c r="I1247" s="54"/>
      <c r="J1247" s="54"/>
      <c r="K1247" s="54"/>
      <c r="L1247" s="54"/>
      <c r="M1247" s="54"/>
      <c r="N1247" s="59"/>
      <c r="O1247" s="61"/>
      <c r="P1247" s="61"/>
      <c r="Q1247" s="61"/>
      <c r="R1247" s="50"/>
      <c r="S1247" s="50"/>
      <c r="T1247" s="61"/>
      <c r="U1247" s="61"/>
      <c r="V1247" s="61"/>
      <c r="W1247" s="61"/>
      <c r="X1247" s="61"/>
      <c r="Y1247" s="61"/>
      <c r="Z1247" s="52"/>
      <c r="AA1247" s="52"/>
      <c r="AB1247" s="52"/>
      <c r="AC1247" s="52"/>
      <c r="AD1247" s="53"/>
      <c r="AE1247" s="53"/>
      <c r="AF1247" s="53"/>
    </row>
    <row r="1248">
      <c r="G1248" s="55"/>
      <c r="H1248" s="54"/>
      <c r="I1248" s="54"/>
      <c r="J1248" s="54"/>
      <c r="K1248" s="54"/>
      <c r="L1248" s="54"/>
      <c r="M1248" s="54"/>
      <c r="N1248" s="59"/>
      <c r="O1248" s="61"/>
      <c r="P1248" s="61"/>
      <c r="Q1248" s="61"/>
      <c r="R1248" s="50"/>
      <c r="S1248" s="50"/>
      <c r="T1248" s="61"/>
      <c r="U1248" s="61"/>
      <c r="V1248" s="61"/>
      <c r="W1248" s="61"/>
      <c r="X1248" s="61"/>
      <c r="Y1248" s="61"/>
      <c r="Z1248" s="52"/>
      <c r="AA1248" s="52"/>
      <c r="AB1248" s="52"/>
      <c r="AC1248" s="52"/>
      <c r="AD1248" s="53"/>
      <c r="AE1248" s="53"/>
      <c r="AF1248" s="53"/>
    </row>
    <row r="1249">
      <c r="G1249" s="55"/>
      <c r="H1249" s="54"/>
      <c r="I1249" s="54"/>
      <c r="J1249" s="54"/>
      <c r="K1249" s="54"/>
      <c r="L1249" s="54"/>
      <c r="M1249" s="54"/>
      <c r="N1249" s="59"/>
      <c r="O1249" s="61"/>
      <c r="P1249" s="61"/>
      <c r="Q1249" s="61"/>
      <c r="R1249" s="50"/>
      <c r="S1249" s="50"/>
      <c r="T1249" s="61"/>
      <c r="U1249" s="61"/>
      <c r="V1249" s="61"/>
      <c r="W1249" s="61"/>
      <c r="X1249" s="61"/>
      <c r="Y1249" s="61"/>
      <c r="Z1249" s="52"/>
      <c r="AA1249" s="52"/>
      <c r="AB1249" s="52"/>
      <c r="AC1249" s="52"/>
      <c r="AD1249" s="53"/>
      <c r="AE1249" s="53"/>
      <c r="AF1249" s="53"/>
    </row>
    <row r="1250">
      <c r="G1250" s="55"/>
      <c r="H1250" s="54"/>
      <c r="I1250" s="54"/>
      <c r="J1250" s="54"/>
      <c r="K1250" s="54"/>
      <c r="L1250" s="54"/>
      <c r="M1250" s="54"/>
      <c r="N1250" s="59"/>
      <c r="O1250" s="61"/>
      <c r="P1250" s="61"/>
      <c r="Q1250" s="61"/>
      <c r="R1250" s="50"/>
      <c r="S1250" s="50"/>
      <c r="T1250" s="61"/>
      <c r="U1250" s="61"/>
      <c r="V1250" s="61"/>
      <c r="W1250" s="61"/>
      <c r="X1250" s="61"/>
      <c r="Y1250" s="61"/>
      <c r="Z1250" s="52"/>
      <c r="AA1250" s="52"/>
      <c r="AB1250" s="52"/>
      <c r="AC1250" s="52"/>
      <c r="AD1250" s="53"/>
      <c r="AE1250" s="53"/>
      <c r="AF1250" s="53"/>
    </row>
    <row r="1251">
      <c r="G1251" s="55"/>
      <c r="H1251" s="54"/>
      <c r="I1251" s="54"/>
      <c r="J1251" s="54"/>
      <c r="K1251" s="54"/>
      <c r="L1251" s="54"/>
      <c r="M1251" s="54"/>
      <c r="N1251" s="59"/>
      <c r="O1251" s="61"/>
      <c r="P1251" s="61"/>
      <c r="Q1251" s="61"/>
      <c r="R1251" s="50"/>
      <c r="S1251" s="50"/>
      <c r="T1251" s="61"/>
      <c r="U1251" s="61"/>
      <c r="V1251" s="61"/>
      <c r="W1251" s="61"/>
      <c r="X1251" s="61"/>
      <c r="Y1251" s="61"/>
      <c r="Z1251" s="52"/>
      <c r="AA1251" s="52"/>
      <c r="AB1251" s="52"/>
      <c r="AC1251" s="52"/>
      <c r="AD1251" s="53"/>
      <c r="AE1251" s="53"/>
      <c r="AF1251" s="53"/>
    </row>
    <row r="1252">
      <c r="G1252" s="55"/>
      <c r="H1252" s="54"/>
      <c r="I1252" s="54"/>
      <c r="J1252" s="54"/>
      <c r="K1252" s="54"/>
      <c r="L1252" s="54"/>
      <c r="M1252" s="54"/>
      <c r="N1252" s="59"/>
      <c r="O1252" s="61"/>
      <c r="P1252" s="61"/>
      <c r="Q1252" s="61"/>
      <c r="R1252" s="50"/>
      <c r="S1252" s="50"/>
      <c r="T1252" s="61"/>
      <c r="U1252" s="61"/>
      <c r="V1252" s="61"/>
      <c r="W1252" s="61"/>
      <c r="X1252" s="61"/>
      <c r="Y1252" s="61"/>
      <c r="Z1252" s="52"/>
      <c r="AA1252" s="52"/>
      <c r="AB1252" s="52"/>
      <c r="AC1252" s="52"/>
      <c r="AD1252" s="53"/>
      <c r="AE1252" s="53"/>
      <c r="AF1252" s="53"/>
    </row>
    <row r="1253">
      <c r="G1253" s="55"/>
      <c r="H1253" s="54"/>
      <c r="I1253" s="54"/>
      <c r="J1253" s="54"/>
      <c r="K1253" s="54"/>
      <c r="L1253" s="54"/>
      <c r="M1253" s="54"/>
      <c r="N1253" s="59"/>
      <c r="O1253" s="61"/>
      <c r="P1253" s="61"/>
      <c r="Q1253" s="61"/>
      <c r="R1253" s="50"/>
      <c r="S1253" s="50"/>
      <c r="T1253" s="61"/>
      <c r="U1253" s="61"/>
      <c r="V1253" s="61"/>
      <c r="W1253" s="61"/>
      <c r="X1253" s="61"/>
      <c r="Y1253" s="61"/>
      <c r="Z1253" s="52"/>
      <c r="AA1253" s="52"/>
      <c r="AB1253" s="52"/>
      <c r="AC1253" s="52"/>
      <c r="AD1253" s="53"/>
      <c r="AE1253" s="53"/>
      <c r="AF1253" s="53"/>
    </row>
    <row r="1254">
      <c r="G1254" s="55"/>
      <c r="H1254" s="54"/>
      <c r="I1254" s="54"/>
      <c r="J1254" s="54"/>
      <c r="K1254" s="54"/>
      <c r="L1254" s="54"/>
      <c r="M1254" s="54"/>
      <c r="N1254" s="59"/>
      <c r="O1254" s="61"/>
      <c r="P1254" s="61"/>
      <c r="Q1254" s="61"/>
      <c r="R1254" s="50"/>
      <c r="S1254" s="50"/>
      <c r="T1254" s="61"/>
      <c r="U1254" s="61"/>
      <c r="V1254" s="61"/>
      <c r="W1254" s="61"/>
      <c r="X1254" s="61"/>
      <c r="Y1254" s="61"/>
      <c r="Z1254" s="52"/>
      <c r="AA1254" s="52"/>
      <c r="AB1254" s="52"/>
      <c r="AC1254" s="52"/>
      <c r="AD1254" s="53"/>
      <c r="AE1254" s="53"/>
      <c r="AF1254" s="53"/>
    </row>
    <row r="1255">
      <c r="G1255" s="55"/>
      <c r="H1255" s="54"/>
      <c r="I1255" s="54"/>
      <c r="J1255" s="54"/>
      <c r="K1255" s="54"/>
      <c r="L1255" s="54"/>
      <c r="M1255" s="54"/>
      <c r="N1255" s="59"/>
      <c r="O1255" s="61"/>
      <c r="P1255" s="61"/>
      <c r="Q1255" s="61"/>
      <c r="R1255" s="50"/>
      <c r="S1255" s="50"/>
      <c r="T1255" s="61"/>
      <c r="U1255" s="61"/>
      <c r="V1255" s="61"/>
      <c r="W1255" s="61"/>
      <c r="X1255" s="61"/>
      <c r="Y1255" s="61"/>
      <c r="Z1255" s="52"/>
      <c r="AA1255" s="52"/>
      <c r="AB1255" s="52"/>
      <c r="AC1255" s="52"/>
      <c r="AD1255" s="53"/>
      <c r="AE1255" s="53"/>
      <c r="AF1255" s="53"/>
    </row>
    <row r="1256">
      <c r="G1256" s="55"/>
      <c r="H1256" s="54"/>
      <c r="I1256" s="54"/>
      <c r="J1256" s="54"/>
      <c r="K1256" s="54"/>
      <c r="L1256" s="54"/>
      <c r="M1256" s="54"/>
      <c r="N1256" s="59"/>
      <c r="O1256" s="61"/>
      <c r="P1256" s="61"/>
      <c r="Q1256" s="61"/>
      <c r="R1256" s="50"/>
      <c r="S1256" s="50"/>
      <c r="T1256" s="61"/>
      <c r="U1256" s="61"/>
      <c r="V1256" s="61"/>
      <c r="W1256" s="61"/>
      <c r="X1256" s="61"/>
      <c r="Y1256" s="61"/>
      <c r="Z1256" s="52"/>
      <c r="AA1256" s="52"/>
      <c r="AB1256" s="52"/>
      <c r="AC1256" s="52"/>
      <c r="AD1256" s="53"/>
      <c r="AE1256" s="53"/>
      <c r="AF1256" s="53"/>
    </row>
    <row r="1257">
      <c r="G1257" s="55"/>
      <c r="H1257" s="54"/>
      <c r="I1257" s="54"/>
      <c r="J1257" s="54"/>
      <c r="K1257" s="54"/>
      <c r="L1257" s="54"/>
      <c r="M1257" s="54"/>
      <c r="N1257" s="59"/>
      <c r="O1257" s="61"/>
      <c r="P1257" s="61"/>
      <c r="Q1257" s="61"/>
      <c r="R1257" s="50"/>
      <c r="S1257" s="50"/>
      <c r="T1257" s="61"/>
      <c r="U1257" s="61"/>
      <c r="V1257" s="61"/>
      <c r="W1257" s="61"/>
      <c r="X1257" s="61"/>
      <c r="Y1257" s="61"/>
      <c r="Z1257" s="52"/>
      <c r="AA1257" s="52"/>
      <c r="AB1257" s="52"/>
      <c r="AC1257" s="52"/>
      <c r="AD1257" s="53"/>
      <c r="AE1257" s="53"/>
      <c r="AF1257" s="53"/>
    </row>
    <row r="1258">
      <c r="G1258" s="55"/>
      <c r="H1258" s="54"/>
      <c r="I1258" s="54"/>
      <c r="J1258" s="54"/>
      <c r="K1258" s="54"/>
      <c r="L1258" s="54"/>
      <c r="M1258" s="54"/>
      <c r="N1258" s="59"/>
      <c r="O1258" s="61"/>
      <c r="P1258" s="61"/>
      <c r="Q1258" s="61"/>
      <c r="R1258" s="50"/>
      <c r="S1258" s="50"/>
      <c r="T1258" s="61"/>
      <c r="U1258" s="61"/>
      <c r="V1258" s="61"/>
      <c r="W1258" s="61"/>
      <c r="X1258" s="61"/>
      <c r="Y1258" s="61"/>
      <c r="Z1258" s="52"/>
      <c r="AA1258" s="52"/>
      <c r="AB1258" s="52"/>
      <c r="AC1258" s="52"/>
      <c r="AD1258" s="53"/>
      <c r="AE1258" s="53"/>
      <c r="AF1258" s="53"/>
    </row>
    <row r="1259">
      <c r="G1259" s="55"/>
      <c r="H1259" s="54"/>
      <c r="I1259" s="54"/>
      <c r="J1259" s="54"/>
      <c r="K1259" s="54"/>
      <c r="L1259" s="54"/>
      <c r="M1259" s="54"/>
      <c r="N1259" s="59"/>
      <c r="O1259" s="61"/>
      <c r="P1259" s="61"/>
      <c r="Q1259" s="61"/>
      <c r="R1259" s="50"/>
      <c r="S1259" s="50"/>
      <c r="T1259" s="61"/>
      <c r="U1259" s="61"/>
      <c r="V1259" s="61"/>
      <c r="W1259" s="61"/>
      <c r="X1259" s="61"/>
      <c r="Y1259" s="61"/>
      <c r="Z1259" s="52"/>
      <c r="AA1259" s="52"/>
      <c r="AB1259" s="52"/>
      <c r="AC1259" s="52"/>
      <c r="AD1259" s="53"/>
      <c r="AE1259" s="53"/>
      <c r="AF1259" s="53"/>
    </row>
    <row r="1260">
      <c r="G1260" s="55"/>
      <c r="H1260" s="54"/>
      <c r="I1260" s="54"/>
      <c r="J1260" s="54"/>
      <c r="K1260" s="54"/>
      <c r="L1260" s="54"/>
      <c r="M1260" s="54"/>
      <c r="N1260" s="59"/>
      <c r="O1260" s="61"/>
      <c r="P1260" s="61"/>
      <c r="Q1260" s="61"/>
      <c r="R1260" s="50"/>
      <c r="S1260" s="50"/>
      <c r="T1260" s="61"/>
      <c r="U1260" s="61"/>
      <c r="V1260" s="61"/>
      <c r="W1260" s="61"/>
      <c r="X1260" s="61"/>
      <c r="Y1260" s="61"/>
      <c r="Z1260" s="52"/>
      <c r="AA1260" s="52"/>
      <c r="AB1260" s="52"/>
      <c r="AC1260" s="52"/>
      <c r="AD1260" s="53"/>
      <c r="AE1260" s="53"/>
      <c r="AF1260" s="53"/>
    </row>
    <row r="1261">
      <c r="G1261" s="55"/>
      <c r="H1261" s="54"/>
      <c r="I1261" s="54"/>
      <c r="J1261" s="54"/>
      <c r="K1261" s="54"/>
      <c r="L1261" s="54"/>
      <c r="M1261" s="54"/>
      <c r="N1261" s="59"/>
      <c r="O1261" s="61"/>
      <c r="P1261" s="61"/>
      <c r="Q1261" s="61"/>
      <c r="R1261" s="50"/>
      <c r="S1261" s="50"/>
      <c r="T1261" s="61"/>
      <c r="U1261" s="61"/>
      <c r="V1261" s="61"/>
      <c r="W1261" s="61"/>
      <c r="X1261" s="61"/>
      <c r="Y1261" s="61"/>
      <c r="Z1261" s="52"/>
      <c r="AA1261" s="52"/>
      <c r="AB1261" s="52"/>
      <c r="AC1261" s="52"/>
      <c r="AD1261" s="53"/>
      <c r="AE1261" s="53"/>
      <c r="AF1261" s="53"/>
    </row>
    <row r="1262">
      <c r="G1262" s="55"/>
      <c r="H1262" s="54"/>
      <c r="I1262" s="54"/>
      <c r="J1262" s="54"/>
      <c r="K1262" s="54"/>
      <c r="L1262" s="54"/>
      <c r="M1262" s="54"/>
      <c r="N1262" s="59"/>
      <c r="O1262" s="61"/>
      <c r="P1262" s="61"/>
      <c r="Q1262" s="61"/>
      <c r="R1262" s="50"/>
      <c r="S1262" s="50"/>
      <c r="T1262" s="61"/>
      <c r="U1262" s="61"/>
      <c r="V1262" s="61"/>
      <c r="W1262" s="61"/>
      <c r="X1262" s="61"/>
      <c r="Y1262" s="61"/>
      <c r="Z1262" s="52"/>
      <c r="AA1262" s="52"/>
      <c r="AB1262" s="52"/>
      <c r="AC1262" s="52"/>
      <c r="AD1262" s="53"/>
      <c r="AE1262" s="53"/>
      <c r="AF1262" s="53"/>
    </row>
    <row r="1263">
      <c r="G1263" s="55"/>
      <c r="H1263" s="54"/>
      <c r="I1263" s="54"/>
      <c r="J1263" s="54"/>
      <c r="K1263" s="54"/>
      <c r="L1263" s="54"/>
      <c r="M1263" s="54"/>
      <c r="N1263" s="59"/>
      <c r="O1263" s="61"/>
      <c r="P1263" s="61"/>
      <c r="Q1263" s="61"/>
      <c r="R1263" s="50"/>
      <c r="S1263" s="50"/>
      <c r="T1263" s="61"/>
      <c r="U1263" s="61"/>
      <c r="V1263" s="61"/>
      <c r="W1263" s="61"/>
      <c r="X1263" s="61"/>
      <c r="Y1263" s="61"/>
      <c r="Z1263" s="52"/>
      <c r="AA1263" s="52"/>
      <c r="AB1263" s="52"/>
      <c r="AC1263" s="52"/>
      <c r="AD1263" s="53"/>
      <c r="AE1263" s="53"/>
      <c r="AF1263" s="53"/>
    </row>
    <row r="1264">
      <c r="G1264" s="55"/>
      <c r="H1264" s="54"/>
      <c r="I1264" s="54"/>
      <c r="J1264" s="54"/>
      <c r="K1264" s="54"/>
      <c r="L1264" s="54"/>
      <c r="M1264" s="54"/>
      <c r="N1264" s="59"/>
      <c r="O1264" s="61"/>
      <c r="P1264" s="61"/>
      <c r="Q1264" s="61"/>
      <c r="R1264" s="50"/>
      <c r="S1264" s="50"/>
      <c r="T1264" s="61"/>
      <c r="U1264" s="61"/>
      <c r="V1264" s="61"/>
      <c r="W1264" s="61"/>
      <c r="X1264" s="61"/>
      <c r="Y1264" s="61"/>
      <c r="Z1264" s="52"/>
      <c r="AA1264" s="52"/>
      <c r="AB1264" s="52"/>
      <c r="AC1264" s="52"/>
      <c r="AD1264" s="53"/>
      <c r="AE1264" s="53"/>
      <c r="AF1264" s="53"/>
    </row>
    <row r="1265">
      <c r="G1265" s="55"/>
      <c r="H1265" s="54"/>
      <c r="I1265" s="54"/>
      <c r="J1265" s="54"/>
      <c r="K1265" s="54"/>
      <c r="L1265" s="54"/>
      <c r="M1265" s="54"/>
      <c r="N1265" s="59"/>
      <c r="O1265" s="61"/>
      <c r="P1265" s="61"/>
      <c r="Q1265" s="61"/>
      <c r="R1265" s="50"/>
      <c r="S1265" s="50"/>
      <c r="T1265" s="61"/>
      <c r="U1265" s="61"/>
      <c r="V1265" s="61"/>
      <c r="W1265" s="61"/>
      <c r="X1265" s="61"/>
      <c r="Y1265" s="61"/>
      <c r="Z1265" s="52"/>
      <c r="AA1265" s="52"/>
      <c r="AB1265" s="52"/>
      <c r="AC1265" s="52"/>
      <c r="AD1265" s="53"/>
      <c r="AE1265" s="53"/>
      <c r="AF1265" s="53"/>
    </row>
    <row r="1266">
      <c r="G1266" s="55"/>
      <c r="H1266" s="54"/>
      <c r="I1266" s="54"/>
      <c r="J1266" s="54"/>
      <c r="K1266" s="54"/>
      <c r="L1266" s="54"/>
      <c r="M1266" s="54"/>
      <c r="N1266" s="59"/>
      <c r="O1266" s="61"/>
      <c r="P1266" s="61"/>
      <c r="Q1266" s="61"/>
      <c r="R1266" s="50"/>
      <c r="S1266" s="50"/>
      <c r="T1266" s="61"/>
      <c r="U1266" s="61"/>
      <c r="V1266" s="61"/>
      <c r="W1266" s="61"/>
      <c r="X1266" s="61"/>
      <c r="Y1266" s="61"/>
      <c r="Z1266" s="52"/>
      <c r="AA1266" s="52"/>
      <c r="AB1266" s="52"/>
      <c r="AC1266" s="52"/>
      <c r="AD1266" s="53"/>
      <c r="AE1266" s="53"/>
      <c r="AF1266" s="53"/>
    </row>
    <row r="1267">
      <c r="G1267" s="55"/>
      <c r="H1267" s="54"/>
      <c r="I1267" s="54"/>
      <c r="J1267" s="54"/>
      <c r="K1267" s="54"/>
      <c r="L1267" s="54"/>
      <c r="M1267" s="54"/>
      <c r="N1267" s="59"/>
      <c r="O1267" s="61"/>
      <c r="P1267" s="61"/>
      <c r="Q1267" s="61"/>
      <c r="R1267" s="50"/>
      <c r="S1267" s="50"/>
      <c r="T1267" s="61"/>
      <c r="U1267" s="61"/>
      <c r="V1267" s="61"/>
      <c r="W1267" s="61"/>
      <c r="X1267" s="61"/>
      <c r="Y1267" s="61"/>
      <c r="Z1267" s="52"/>
      <c r="AA1267" s="52"/>
      <c r="AB1267" s="52"/>
      <c r="AC1267" s="52"/>
      <c r="AD1267" s="53"/>
      <c r="AE1267" s="53"/>
      <c r="AF1267" s="53"/>
    </row>
    <row r="1268">
      <c r="G1268" s="55"/>
      <c r="H1268" s="54"/>
      <c r="I1268" s="54"/>
      <c r="J1268" s="54"/>
      <c r="K1268" s="54"/>
      <c r="L1268" s="54"/>
      <c r="M1268" s="54"/>
      <c r="N1268" s="59"/>
      <c r="O1268" s="61"/>
      <c r="P1268" s="61"/>
      <c r="Q1268" s="61"/>
      <c r="R1268" s="50"/>
      <c r="S1268" s="50"/>
      <c r="T1268" s="61"/>
      <c r="U1268" s="61"/>
      <c r="V1268" s="61"/>
      <c r="W1268" s="61"/>
      <c r="X1268" s="61"/>
      <c r="Y1268" s="61"/>
      <c r="Z1268" s="52"/>
      <c r="AA1268" s="52"/>
      <c r="AB1268" s="52"/>
      <c r="AC1268" s="52"/>
      <c r="AD1268" s="53"/>
      <c r="AE1268" s="53"/>
      <c r="AF1268" s="53"/>
    </row>
    <row r="1269">
      <c r="G1269" s="55"/>
      <c r="H1269" s="54"/>
      <c r="I1269" s="54"/>
      <c r="J1269" s="54"/>
      <c r="K1269" s="54"/>
      <c r="L1269" s="54"/>
      <c r="M1269" s="54"/>
      <c r="N1269" s="59"/>
      <c r="O1269" s="61"/>
      <c r="P1269" s="61"/>
      <c r="Q1269" s="61"/>
      <c r="R1269" s="50"/>
      <c r="S1269" s="50"/>
      <c r="T1269" s="61"/>
      <c r="U1269" s="61"/>
      <c r="V1269" s="61"/>
      <c r="W1269" s="61"/>
      <c r="X1269" s="61"/>
      <c r="Y1269" s="61"/>
      <c r="Z1269" s="52"/>
      <c r="AA1269" s="52"/>
      <c r="AB1269" s="52"/>
      <c r="AC1269" s="52"/>
      <c r="AD1269" s="53"/>
      <c r="AE1269" s="53"/>
      <c r="AF1269" s="53"/>
    </row>
    <row r="1270">
      <c r="G1270" s="55"/>
      <c r="H1270" s="54"/>
      <c r="I1270" s="54"/>
      <c r="J1270" s="54"/>
      <c r="K1270" s="54"/>
      <c r="L1270" s="54"/>
      <c r="M1270" s="54"/>
      <c r="N1270" s="59"/>
      <c r="O1270" s="61"/>
      <c r="P1270" s="61"/>
      <c r="Q1270" s="61"/>
      <c r="R1270" s="50"/>
      <c r="S1270" s="50"/>
      <c r="T1270" s="61"/>
      <c r="U1270" s="61"/>
      <c r="V1270" s="61"/>
      <c r="W1270" s="61"/>
      <c r="X1270" s="61"/>
      <c r="Y1270" s="61"/>
      <c r="Z1270" s="52"/>
      <c r="AA1270" s="52"/>
      <c r="AB1270" s="52"/>
      <c r="AC1270" s="52"/>
      <c r="AD1270" s="53"/>
      <c r="AE1270" s="53"/>
      <c r="AF1270" s="53"/>
    </row>
    <row r="1271">
      <c r="G1271" s="55"/>
      <c r="H1271" s="54"/>
      <c r="I1271" s="54"/>
      <c r="J1271" s="54"/>
      <c r="K1271" s="54"/>
      <c r="L1271" s="54"/>
      <c r="M1271" s="54"/>
      <c r="N1271" s="59"/>
      <c r="O1271" s="61"/>
      <c r="P1271" s="61"/>
      <c r="Q1271" s="61"/>
      <c r="R1271" s="50"/>
      <c r="S1271" s="50"/>
      <c r="T1271" s="61"/>
      <c r="U1271" s="61"/>
      <c r="V1271" s="61"/>
      <c r="W1271" s="61"/>
      <c r="X1271" s="61"/>
      <c r="Y1271" s="61"/>
      <c r="Z1271" s="52"/>
      <c r="AA1271" s="52"/>
      <c r="AB1271" s="52"/>
      <c r="AC1271" s="52"/>
      <c r="AD1271" s="53"/>
      <c r="AE1271" s="53"/>
      <c r="AF1271" s="53"/>
    </row>
    <row r="1272">
      <c r="G1272" s="55"/>
      <c r="H1272" s="54"/>
      <c r="I1272" s="54"/>
      <c r="J1272" s="54"/>
      <c r="K1272" s="54"/>
      <c r="L1272" s="54"/>
      <c r="M1272" s="54"/>
      <c r="N1272" s="59"/>
      <c r="O1272" s="61"/>
      <c r="P1272" s="61"/>
      <c r="Q1272" s="61"/>
      <c r="R1272" s="50"/>
      <c r="S1272" s="50"/>
      <c r="T1272" s="61"/>
      <c r="U1272" s="61"/>
      <c r="V1272" s="61"/>
      <c r="W1272" s="61"/>
      <c r="X1272" s="61"/>
      <c r="Y1272" s="61"/>
      <c r="Z1272" s="52"/>
      <c r="AA1272" s="52"/>
      <c r="AB1272" s="52"/>
      <c r="AC1272" s="52"/>
      <c r="AD1272" s="53"/>
      <c r="AE1272" s="53"/>
      <c r="AF1272" s="53"/>
    </row>
    <row r="1273">
      <c r="G1273" s="55"/>
      <c r="H1273" s="54"/>
      <c r="I1273" s="54"/>
      <c r="J1273" s="54"/>
      <c r="K1273" s="54"/>
      <c r="L1273" s="54"/>
      <c r="M1273" s="54"/>
      <c r="N1273" s="59"/>
      <c r="O1273" s="61"/>
      <c r="P1273" s="61"/>
      <c r="Q1273" s="61"/>
      <c r="R1273" s="50"/>
      <c r="S1273" s="50"/>
      <c r="T1273" s="61"/>
      <c r="U1273" s="61"/>
      <c r="V1273" s="61"/>
      <c r="W1273" s="61"/>
      <c r="X1273" s="61"/>
      <c r="Y1273" s="61"/>
      <c r="Z1273" s="52"/>
      <c r="AA1273" s="52"/>
      <c r="AB1273" s="52"/>
      <c r="AC1273" s="52"/>
      <c r="AD1273" s="53"/>
      <c r="AE1273" s="53"/>
      <c r="AF1273" s="53"/>
    </row>
    <row r="1274">
      <c r="G1274" s="55"/>
      <c r="H1274" s="54"/>
      <c r="I1274" s="54"/>
      <c r="J1274" s="54"/>
      <c r="K1274" s="54"/>
      <c r="L1274" s="54"/>
      <c r="M1274" s="54"/>
      <c r="N1274" s="59"/>
      <c r="O1274" s="61"/>
      <c r="P1274" s="61"/>
      <c r="Q1274" s="61"/>
      <c r="R1274" s="50"/>
      <c r="S1274" s="50"/>
      <c r="T1274" s="61"/>
      <c r="U1274" s="61"/>
      <c r="V1274" s="61"/>
      <c r="W1274" s="61"/>
      <c r="X1274" s="61"/>
      <c r="Y1274" s="61"/>
      <c r="Z1274" s="52"/>
      <c r="AA1274" s="52"/>
      <c r="AB1274" s="52"/>
      <c r="AC1274" s="52"/>
      <c r="AD1274" s="53"/>
      <c r="AE1274" s="53"/>
      <c r="AF1274" s="53"/>
    </row>
    <row r="1275">
      <c r="G1275" s="55"/>
      <c r="H1275" s="54"/>
      <c r="I1275" s="54"/>
      <c r="J1275" s="54"/>
      <c r="K1275" s="54"/>
      <c r="L1275" s="54"/>
      <c r="M1275" s="54"/>
      <c r="N1275" s="59"/>
      <c r="O1275" s="61"/>
      <c r="P1275" s="61"/>
      <c r="Q1275" s="61"/>
      <c r="R1275" s="50"/>
      <c r="S1275" s="50"/>
      <c r="T1275" s="61"/>
      <c r="U1275" s="61"/>
      <c r="V1275" s="61"/>
      <c r="W1275" s="61"/>
      <c r="X1275" s="61"/>
      <c r="Y1275" s="61"/>
      <c r="Z1275" s="52"/>
      <c r="AA1275" s="52"/>
      <c r="AB1275" s="52"/>
      <c r="AC1275" s="52"/>
      <c r="AD1275" s="53"/>
      <c r="AE1275" s="53"/>
      <c r="AF1275" s="53"/>
    </row>
    <row r="1276">
      <c r="G1276" s="55"/>
      <c r="H1276" s="54"/>
      <c r="I1276" s="54"/>
      <c r="J1276" s="54"/>
      <c r="K1276" s="54"/>
      <c r="L1276" s="54"/>
      <c r="M1276" s="54"/>
      <c r="N1276" s="59"/>
      <c r="O1276" s="61"/>
      <c r="P1276" s="61"/>
      <c r="Q1276" s="61"/>
      <c r="R1276" s="50"/>
      <c r="S1276" s="50"/>
      <c r="T1276" s="61"/>
      <c r="U1276" s="61"/>
      <c r="V1276" s="61"/>
      <c r="W1276" s="61"/>
      <c r="X1276" s="61"/>
      <c r="Y1276" s="61"/>
      <c r="Z1276" s="52"/>
      <c r="AA1276" s="52"/>
      <c r="AB1276" s="52"/>
      <c r="AC1276" s="52"/>
      <c r="AD1276" s="53"/>
      <c r="AE1276" s="53"/>
      <c r="AF1276" s="53"/>
    </row>
    <row r="1277">
      <c r="G1277" s="55"/>
      <c r="H1277" s="54"/>
      <c r="I1277" s="54"/>
      <c r="J1277" s="54"/>
      <c r="K1277" s="54"/>
      <c r="L1277" s="54"/>
      <c r="M1277" s="54"/>
      <c r="N1277" s="59"/>
      <c r="O1277" s="61"/>
      <c r="P1277" s="61"/>
      <c r="Q1277" s="61"/>
      <c r="R1277" s="50"/>
      <c r="S1277" s="50"/>
      <c r="T1277" s="61"/>
      <c r="U1277" s="61"/>
      <c r="V1277" s="61"/>
      <c r="W1277" s="61"/>
      <c r="X1277" s="61"/>
      <c r="Y1277" s="61"/>
      <c r="Z1277" s="52"/>
      <c r="AA1277" s="52"/>
      <c r="AB1277" s="52"/>
      <c r="AC1277" s="52"/>
      <c r="AD1277" s="53"/>
      <c r="AE1277" s="53"/>
      <c r="AF1277" s="53"/>
    </row>
    <row r="1278">
      <c r="G1278" s="55"/>
      <c r="H1278" s="54"/>
      <c r="I1278" s="54"/>
      <c r="J1278" s="54"/>
      <c r="K1278" s="54"/>
      <c r="L1278" s="54"/>
      <c r="M1278" s="54"/>
      <c r="N1278" s="59"/>
      <c r="O1278" s="61"/>
      <c r="P1278" s="61"/>
      <c r="Q1278" s="61"/>
      <c r="R1278" s="50"/>
      <c r="S1278" s="50"/>
      <c r="T1278" s="61"/>
      <c r="U1278" s="61"/>
      <c r="V1278" s="61"/>
      <c r="W1278" s="61"/>
      <c r="X1278" s="61"/>
      <c r="Y1278" s="61"/>
      <c r="Z1278" s="52"/>
      <c r="AA1278" s="52"/>
      <c r="AB1278" s="52"/>
      <c r="AC1278" s="52"/>
      <c r="AD1278" s="53"/>
      <c r="AE1278" s="53"/>
      <c r="AF1278" s="53"/>
    </row>
    <row r="1279">
      <c r="G1279" s="55"/>
      <c r="H1279" s="54"/>
      <c r="I1279" s="54"/>
      <c r="J1279" s="54"/>
      <c r="K1279" s="54"/>
      <c r="L1279" s="54"/>
      <c r="M1279" s="54"/>
      <c r="N1279" s="59"/>
      <c r="O1279" s="61"/>
      <c r="P1279" s="61"/>
      <c r="Q1279" s="61"/>
      <c r="R1279" s="50"/>
      <c r="S1279" s="50"/>
      <c r="T1279" s="61"/>
      <c r="U1279" s="61"/>
      <c r="V1279" s="61"/>
      <c r="W1279" s="61"/>
      <c r="X1279" s="61"/>
      <c r="Y1279" s="61"/>
      <c r="Z1279" s="52"/>
      <c r="AA1279" s="52"/>
      <c r="AB1279" s="52"/>
      <c r="AC1279" s="52"/>
      <c r="AD1279" s="53"/>
      <c r="AE1279" s="53"/>
      <c r="AF1279" s="53"/>
    </row>
    <row r="1280">
      <c r="G1280" s="55"/>
      <c r="H1280" s="54"/>
      <c r="I1280" s="54"/>
      <c r="J1280" s="54"/>
      <c r="K1280" s="54"/>
      <c r="L1280" s="54"/>
      <c r="M1280" s="54"/>
      <c r="N1280" s="59"/>
      <c r="O1280" s="61"/>
      <c r="P1280" s="61"/>
      <c r="Q1280" s="61"/>
      <c r="R1280" s="50"/>
      <c r="S1280" s="50"/>
      <c r="T1280" s="61"/>
      <c r="U1280" s="61"/>
      <c r="V1280" s="61"/>
      <c r="W1280" s="61"/>
      <c r="X1280" s="61"/>
      <c r="Y1280" s="61"/>
      <c r="Z1280" s="52"/>
      <c r="AA1280" s="52"/>
      <c r="AB1280" s="52"/>
      <c r="AC1280" s="52"/>
      <c r="AD1280" s="53"/>
      <c r="AE1280" s="53"/>
      <c r="AF1280" s="53"/>
    </row>
    <row r="1281">
      <c r="G1281" s="55"/>
      <c r="H1281" s="54"/>
      <c r="I1281" s="54"/>
      <c r="J1281" s="54"/>
      <c r="K1281" s="54"/>
      <c r="L1281" s="54"/>
      <c r="M1281" s="54"/>
      <c r="N1281" s="59"/>
      <c r="O1281" s="61"/>
      <c r="P1281" s="61"/>
      <c r="Q1281" s="61"/>
      <c r="R1281" s="50"/>
      <c r="S1281" s="50"/>
      <c r="T1281" s="61"/>
      <c r="U1281" s="61"/>
      <c r="V1281" s="61"/>
      <c r="W1281" s="61"/>
      <c r="X1281" s="61"/>
      <c r="Y1281" s="61"/>
      <c r="Z1281" s="52"/>
      <c r="AA1281" s="52"/>
      <c r="AB1281" s="52"/>
      <c r="AC1281" s="52"/>
      <c r="AD1281" s="53"/>
      <c r="AE1281" s="53"/>
      <c r="AF1281" s="53"/>
    </row>
    <row r="1282">
      <c r="G1282" s="55"/>
      <c r="H1282" s="54"/>
      <c r="I1282" s="54"/>
      <c r="J1282" s="54"/>
      <c r="K1282" s="54"/>
      <c r="L1282" s="54"/>
      <c r="M1282" s="54"/>
      <c r="N1282" s="59"/>
      <c r="O1282" s="61"/>
      <c r="P1282" s="61"/>
      <c r="Q1282" s="61"/>
      <c r="R1282" s="50"/>
      <c r="S1282" s="50"/>
      <c r="T1282" s="61"/>
      <c r="U1282" s="61"/>
      <c r="V1282" s="61"/>
      <c r="W1282" s="61"/>
      <c r="X1282" s="61"/>
      <c r="Y1282" s="61"/>
      <c r="Z1282" s="52"/>
      <c r="AA1282" s="52"/>
      <c r="AB1282" s="52"/>
      <c r="AC1282" s="52"/>
      <c r="AD1282" s="53"/>
      <c r="AE1282" s="53"/>
      <c r="AF1282" s="53"/>
    </row>
    <row r="1283">
      <c r="G1283" s="55"/>
      <c r="H1283" s="54"/>
      <c r="I1283" s="54"/>
      <c r="J1283" s="54"/>
      <c r="K1283" s="54"/>
      <c r="L1283" s="54"/>
      <c r="M1283" s="54"/>
      <c r="N1283" s="59"/>
      <c r="O1283" s="61"/>
      <c r="P1283" s="61"/>
      <c r="Q1283" s="61"/>
      <c r="R1283" s="50"/>
      <c r="S1283" s="50"/>
      <c r="T1283" s="61"/>
      <c r="U1283" s="61"/>
      <c r="V1283" s="61"/>
      <c r="W1283" s="61"/>
      <c r="X1283" s="61"/>
      <c r="Y1283" s="61"/>
      <c r="Z1283" s="52"/>
      <c r="AA1283" s="52"/>
      <c r="AB1283" s="52"/>
      <c r="AC1283" s="52"/>
      <c r="AD1283" s="53"/>
      <c r="AE1283" s="53"/>
      <c r="AF1283" s="53"/>
    </row>
    <row r="1284">
      <c r="G1284" s="55"/>
      <c r="H1284" s="54"/>
      <c r="I1284" s="54"/>
      <c r="J1284" s="54"/>
      <c r="K1284" s="54"/>
      <c r="L1284" s="54"/>
      <c r="M1284" s="54"/>
      <c r="N1284" s="59"/>
      <c r="O1284" s="61"/>
      <c r="P1284" s="61"/>
      <c r="Q1284" s="61"/>
      <c r="R1284" s="50"/>
      <c r="S1284" s="50"/>
      <c r="T1284" s="61"/>
      <c r="U1284" s="61"/>
      <c r="V1284" s="61"/>
      <c r="W1284" s="61"/>
      <c r="X1284" s="61"/>
      <c r="Y1284" s="61"/>
      <c r="Z1284" s="52"/>
      <c r="AA1284" s="52"/>
      <c r="AB1284" s="52"/>
      <c r="AC1284" s="52"/>
      <c r="AD1284" s="53"/>
      <c r="AE1284" s="53"/>
      <c r="AF1284" s="53"/>
    </row>
    <row r="1285">
      <c r="G1285" s="55"/>
      <c r="H1285" s="54"/>
      <c r="I1285" s="54"/>
      <c r="J1285" s="54"/>
      <c r="K1285" s="54"/>
      <c r="L1285" s="54"/>
      <c r="M1285" s="54"/>
      <c r="N1285" s="59"/>
      <c r="O1285" s="61"/>
      <c r="P1285" s="61"/>
      <c r="Q1285" s="61"/>
      <c r="R1285" s="50"/>
      <c r="S1285" s="50"/>
      <c r="T1285" s="61"/>
      <c r="U1285" s="61"/>
      <c r="V1285" s="61"/>
      <c r="W1285" s="61"/>
      <c r="X1285" s="61"/>
      <c r="Y1285" s="61"/>
      <c r="Z1285" s="52"/>
      <c r="AA1285" s="52"/>
      <c r="AB1285" s="52"/>
      <c r="AC1285" s="52"/>
      <c r="AD1285" s="53"/>
      <c r="AE1285" s="53"/>
      <c r="AF1285" s="53"/>
    </row>
    <row r="1286">
      <c r="G1286" s="55"/>
      <c r="H1286" s="54"/>
      <c r="I1286" s="54"/>
      <c r="J1286" s="54"/>
      <c r="K1286" s="54"/>
      <c r="L1286" s="54"/>
      <c r="M1286" s="54"/>
      <c r="N1286" s="59"/>
      <c r="O1286" s="61"/>
      <c r="P1286" s="61"/>
      <c r="Q1286" s="61"/>
      <c r="R1286" s="50"/>
      <c r="S1286" s="50"/>
      <c r="T1286" s="61"/>
      <c r="U1286" s="61"/>
      <c r="V1286" s="61"/>
      <c r="W1286" s="61"/>
      <c r="X1286" s="61"/>
      <c r="Y1286" s="61"/>
      <c r="Z1286" s="52"/>
      <c r="AA1286" s="52"/>
      <c r="AB1286" s="52"/>
      <c r="AC1286" s="52"/>
      <c r="AD1286" s="53"/>
      <c r="AE1286" s="53"/>
      <c r="AF1286" s="53"/>
    </row>
    <row r="1287">
      <c r="G1287" s="55"/>
      <c r="H1287" s="54"/>
      <c r="I1287" s="54"/>
      <c r="J1287" s="54"/>
      <c r="K1287" s="54"/>
      <c r="L1287" s="54"/>
      <c r="M1287" s="54"/>
      <c r="N1287" s="59"/>
      <c r="O1287" s="61"/>
      <c r="P1287" s="61"/>
      <c r="Q1287" s="61"/>
      <c r="R1287" s="50"/>
      <c r="S1287" s="50"/>
      <c r="T1287" s="61"/>
      <c r="U1287" s="61"/>
      <c r="V1287" s="61"/>
      <c r="W1287" s="61"/>
      <c r="X1287" s="61"/>
      <c r="Y1287" s="61"/>
      <c r="Z1287" s="52"/>
      <c r="AA1287" s="52"/>
      <c r="AB1287" s="52"/>
      <c r="AC1287" s="52"/>
      <c r="AD1287" s="53"/>
      <c r="AE1287" s="53"/>
      <c r="AF1287" s="53"/>
    </row>
    <row r="1288">
      <c r="G1288" s="55"/>
      <c r="H1288" s="54"/>
      <c r="I1288" s="54"/>
      <c r="J1288" s="54"/>
      <c r="K1288" s="54"/>
      <c r="L1288" s="54"/>
      <c r="M1288" s="54"/>
      <c r="N1288" s="59"/>
      <c r="O1288" s="61"/>
      <c r="P1288" s="61"/>
      <c r="Q1288" s="61"/>
      <c r="R1288" s="50"/>
      <c r="S1288" s="50"/>
      <c r="T1288" s="61"/>
      <c r="U1288" s="61"/>
      <c r="V1288" s="61"/>
      <c r="W1288" s="61"/>
      <c r="X1288" s="61"/>
      <c r="Y1288" s="61"/>
      <c r="Z1288" s="52"/>
      <c r="AA1288" s="52"/>
      <c r="AB1288" s="52"/>
      <c r="AC1288" s="52"/>
      <c r="AD1288" s="53"/>
      <c r="AE1288" s="53"/>
      <c r="AF1288" s="53"/>
    </row>
    <row r="1289">
      <c r="G1289" s="55"/>
      <c r="H1289" s="54"/>
      <c r="I1289" s="54"/>
      <c r="J1289" s="54"/>
      <c r="K1289" s="54"/>
      <c r="L1289" s="54"/>
      <c r="M1289" s="54"/>
      <c r="N1289" s="59"/>
      <c r="O1289" s="61"/>
      <c r="P1289" s="61"/>
      <c r="Q1289" s="61"/>
      <c r="R1289" s="50"/>
      <c r="S1289" s="50"/>
      <c r="T1289" s="61"/>
      <c r="U1289" s="61"/>
      <c r="V1289" s="61"/>
      <c r="W1289" s="61"/>
      <c r="X1289" s="61"/>
      <c r="Y1289" s="61"/>
      <c r="Z1289" s="52"/>
      <c r="AA1289" s="52"/>
      <c r="AB1289" s="52"/>
      <c r="AC1289" s="52"/>
      <c r="AD1289" s="53"/>
      <c r="AE1289" s="53"/>
      <c r="AF1289" s="53"/>
    </row>
    <row r="1290">
      <c r="G1290" s="55"/>
      <c r="H1290" s="54"/>
      <c r="I1290" s="54"/>
      <c r="J1290" s="54"/>
      <c r="K1290" s="54"/>
      <c r="L1290" s="54"/>
      <c r="M1290" s="54"/>
      <c r="N1290" s="59"/>
      <c r="O1290" s="61"/>
      <c r="P1290" s="61"/>
      <c r="Q1290" s="61"/>
      <c r="R1290" s="50"/>
      <c r="S1290" s="50"/>
      <c r="T1290" s="61"/>
      <c r="U1290" s="61"/>
      <c r="V1290" s="61"/>
      <c r="W1290" s="61"/>
      <c r="X1290" s="61"/>
      <c r="Y1290" s="61"/>
      <c r="Z1290" s="52"/>
      <c r="AA1290" s="52"/>
      <c r="AB1290" s="52"/>
      <c r="AC1290" s="52"/>
      <c r="AD1290" s="53"/>
      <c r="AE1290" s="53"/>
      <c r="AF1290" s="53"/>
    </row>
    <row r="1291">
      <c r="G1291" s="55"/>
      <c r="H1291" s="54"/>
      <c r="I1291" s="54"/>
      <c r="J1291" s="54"/>
      <c r="K1291" s="54"/>
      <c r="L1291" s="54"/>
      <c r="M1291" s="54"/>
      <c r="N1291" s="59"/>
      <c r="O1291" s="61"/>
      <c r="P1291" s="61"/>
      <c r="Q1291" s="61"/>
      <c r="R1291" s="50"/>
      <c r="S1291" s="50"/>
      <c r="T1291" s="61"/>
      <c r="U1291" s="61"/>
      <c r="V1291" s="61"/>
      <c r="W1291" s="61"/>
      <c r="X1291" s="61"/>
      <c r="Y1291" s="61"/>
      <c r="Z1291" s="52"/>
      <c r="AA1291" s="52"/>
      <c r="AB1291" s="52"/>
      <c r="AC1291" s="52"/>
      <c r="AD1291" s="53"/>
      <c r="AE1291" s="53"/>
      <c r="AF1291" s="53"/>
    </row>
    <row r="1292">
      <c r="G1292" s="55"/>
      <c r="H1292" s="54"/>
      <c r="I1292" s="54"/>
      <c r="J1292" s="54"/>
      <c r="K1292" s="54"/>
      <c r="L1292" s="54"/>
      <c r="M1292" s="54"/>
      <c r="N1292" s="59"/>
      <c r="O1292" s="61"/>
      <c r="P1292" s="61"/>
      <c r="Q1292" s="61"/>
      <c r="R1292" s="50"/>
      <c r="S1292" s="50"/>
      <c r="T1292" s="61"/>
      <c r="U1292" s="61"/>
      <c r="V1292" s="61"/>
      <c r="W1292" s="61"/>
      <c r="X1292" s="61"/>
      <c r="Y1292" s="61"/>
      <c r="Z1292" s="52"/>
      <c r="AA1292" s="52"/>
      <c r="AB1292" s="52"/>
      <c r="AC1292" s="52"/>
      <c r="AD1292" s="53"/>
      <c r="AE1292" s="53"/>
      <c r="AF1292" s="53"/>
    </row>
    <row r="1293">
      <c r="G1293" s="55"/>
      <c r="H1293" s="54"/>
      <c r="I1293" s="54"/>
      <c r="J1293" s="54"/>
      <c r="K1293" s="54"/>
      <c r="L1293" s="54"/>
      <c r="M1293" s="54"/>
      <c r="N1293" s="59"/>
      <c r="O1293" s="61"/>
      <c r="P1293" s="61"/>
      <c r="Q1293" s="61"/>
      <c r="R1293" s="50"/>
      <c r="S1293" s="50"/>
      <c r="T1293" s="61"/>
      <c r="U1293" s="61"/>
      <c r="V1293" s="61"/>
      <c r="W1293" s="61"/>
      <c r="X1293" s="61"/>
      <c r="Y1293" s="61"/>
      <c r="Z1293" s="52"/>
      <c r="AA1293" s="52"/>
      <c r="AB1293" s="52"/>
      <c r="AC1293" s="52"/>
      <c r="AD1293" s="53"/>
      <c r="AE1293" s="53"/>
      <c r="AF1293" s="53"/>
    </row>
    <row r="1294">
      <c r="G1294" s="55"/>
      <c r="H1294" s="54"/>
      <c r="I1294" s="54"/>
      <c r="J1294" s="54"/>
      <c r="K1294" s="54"/>
      <c r="L1294" s="54"/>
      <c r="M1294" s="54"/>
      <c r="N1294" s="59"/>
      <c r="O1294" s="61"/>
      <c r="P1294" s="61"/>
      <c r="Q1294" s="61"/>
      <c r="R1294" s="50"/>
      <c r="S1294" s="50"/>
      <c r="T1294" s="61"/>
      <c r="U1294" s="61"/>
      <c r="V1294" s="61"/>
      <c r="W1294" s="61"/>
      <c r="X1294" s="61"/>
      <c r="Y1294" s="61"/>
      <c r="Z1294" s="52"/>
      <c r="AA1294" s="52"/>
      <c r="AB1294" s="52"/>
      <c r="AC1294" s="52"/>
      <c r="AD1294" s="53"/>
      <c r="AE1294" s="53"/>
      <c r="AF1294" s="53"/>
    </row>
    <row r="1295">
      <c r="G1295" s="55"/>
      <c r="H1295" s="54"/>
      <c r="I1295" s="54"/>
      <c r="J1295" s="54"/>
      <c r="K1295" s="54"/>
      <c r="L1295" s="54"/>
      <c r="M1295" s="54"/>
      <c r="N1295" s="59"/>
      <c r="O1295" s="61"/>
      <c r="P1295" s="61"/>
      <c r="Q1295" s="61"/>
      <c r="R1295" s="50"/>
      <c r="S1295" s="50"/>
      <c r="T1295" s="61"/>
      <c r="U1295" s="61"/>
      <c r="V1295" s="61"/>
      <c r="W1295" s="61"/>
      <c r="X1295" s="61"/>
      <c r="Y1295" s="61"/>
      <c r="Z1295" s="52"/>
      <c r="AA1295" s="52"/>
      <c r="AB1295" s="52"/>
      <c r="AC1295" s="52"/>
      <c r="AD1295" s="53"/>
      <c r="AE1295" s="53"/>
      <c r="AF1295" s="53"/>
    </row>
    <row r="1296">
      <c r="G1296" s="55"/>
      <c r="H1296" s="54"/>
      <c r="I1296" s="54"/>
      <c r="J1296" s="54"/>
      <c r="K1296" s="54"/>
      <c r="L1296" s="54"/>
      <c r="M1296" s="54"/>
      <c r="N1296" s="59"/>
      <c r="O1296" s="61"/>
      <c r="P1296" s="61"/>
      <c r="Q1296" s="61"/>
      <c r="R1296" s="50"/>
      <c r="S1296" s="50"/>
      <c r="T1296" s="61"/>
      <c r="U1296" s="61"/>
      <c r="V1296" s="61"/>
      <c r="W1296" s="61"/>
      <c r="X1296" s="61"/>
      <c r="Y1296" s="61"/>
      <c r="Z1296" s="52"/>
      <c r="AA1296" s="52"/>
      <c r="AB1296" s="52"/>
      <c r="AC1296" s="52"/>
      <c r="AD1296" s="53"/>
      <c r="AE1296" s="53"/>
      <c r="AF1296" s="53"/>
    </row>
    <row r="1297">
      <c r="G1297" s="55"/>
      <c r="H1297" s="54"/>
      <c r="I1297" s="54"/>
      <c r="J1297" s="54"/>
      <c r="K1297" s="54"/>
      <c r="L1297" s="54"/>
      <c r="M1297" s="54"/>
      <c r="N1297" s="59"/>
      <c r="O1297" s="61"/>
      <c r="P1297" s="61"/>
      <c r="Q1297" s="61"/>
      <c r="R1297" s="50"/>
      <c r="S1297" s="50"/>
      <c r="T1297" s="61"/>
      <c r="U1297" s="61"/>
      <c r="V1297" s="61"/>
      <c r="W1297" s="61"/>
      <c r="X1297" s="61"/>
      <c r="Y1297" s="61"/>
      <c r="Z1297" s="52"/>
      <c r="AA1297" s="52"/>
      <c r="AB1297" s="52"/>
      <c r="AC1297" s="52"/>
      <c r="AD1297" s="53"/>
      <c r="AE1297" s="53"/>
      <c r="AF1297" s="53"/>
    </row>
    <row r="1298">
      <c r="G1298" s="55"/>
      <c r="H1298" s="54"/>
      <c r="I1298" s="54"/>
      <c r="J1298" s="54"/>
      <c r="K1298" s="54"/>
      <c r="L1298" s="54"/>
      <c r="M1298" s="54"/>
      <c r="N1298" s="59"/>
      <c r="O1298" s="61"/>
      <c r="P1298" s="61"/>
      <c r="Q1298" s="61"/>
      <c r="R1298" s="50"/>
      <c r="S1298" s="50"/>
      <c r="T1298" s="61"/>
      <c r="U1298" s="61"/>
      <c r="V1298" s="61"/>
      <c r="W1298" s="61"/>
      <c r="X1298" s="61"/>
      <c r="Y1298" s="61"/>
      <c r="Z1298" s="52"/>
      <c r="AA1298" s="52"/>
      <c r="AB1298" s="52"/>
      <c r="AC1298" s="52"/>
      <c r="AD1298" s="53"/>
      <c r="AE1298" s="53"/>
      <c r="AF1298" s="53"/>
    </row>
    <row r="1299">
      <c r="G1299" s="55"/>
      <c r="H1299" s="54"/>
      <c r="I1299" s="54"/>
      <c r="J1299" s="54"/>
      <c r="K1299" s="54"/>
      <c r="L1299" s="54"/>
      <c r="M1299" s="54"/>
      <c r="N1299" s="59"/>
      <c r="O1299" s="61"/>
      <c r="P1299" s="61"/>
      <c r="Q1299" s="61"/>
      <c r="R1299" s="50"/>
      <c r="S1299" s="50"/>
      <c r="T1299" s="61"/>
      <c r="U1299" s="61"/>
      <c r="V1299" s="61"/>
      <c r="W1299" s="61"/>
      <c r="X1299" s="61"/>
      <c r="Y1299" s="61"/>
      <c r="Z1299" s="52"/>
      <c r="AA1299" s="52"/>
      <c r="AB1299" s="52"/>
      <c r="AC1299" s="52"/>
      <c r="AD1299" s="53"/>
      <c r="AE1299" s="53"/>
      <c r="AF1299" s="53"/>
    </row>
    <row r="1300">
      <c r="G1300" s="55"/>
      <c r="H1300" s="54"/>
      <c r="I1300" s="54"/>
      <c r="J1300" s="54"/>
      <c r="K1300" s="54"/>
      <c r="L1300" s="54"/>
      <c r="M1300" s="54"/>
      <c r="N1300" s="59"/>
      <c r="O1300" s="61"/>
      <c r="P1300" s="61"/>
      <c r="Q1300" s="61"/>
      <c r="R1300" s="50"/>
      <c r="S1300" s="50"/>
      <c r="T1300" s="61"/>
      <c r="U1300" s="61"/>
      <c r="V1300" s="61"/>
      <c r="W1300" s="61"/>
      <c r="X1300" s="61"/>
      <c r="Y1300" s="61"/>
      <c r="Z1300" s="52"/>
      <c r="AA1300" s="52"/>
      <c r="AB1300" s="52"/>
      <c r="AC1300" s="52"/>
      <c r="AD1300" s="53"/>
      <c r="AE1300" s="53"/>
      <c r="AF1300" s="53"/>
    </row>
    <row r="1301">
      <c r="G1301" s="55"/>
      <c r="H1301" s="54"/>
      <c r="I1301" s="54"/>
      <c r="J1301" s="54"/>
      <c r="K1301" s="54"/>
      <c r="L1301" s="54"/>
      <c r="M1301" s="54"/>
      <c r="N1301" s="59"/>
      <c r="O1301" s="61"/>
      <c r="P1301" s="61"/>
      <c r="Q1301" s="61"/>
      <c r="R1301" s="50"/>
      <c r="S1301" s="50"/>
      <c r="T1301" s="61"/>
      <c r="U1301" s="61"/>
      <c r="V1301" s="61"/>
      <c r="W1301" s="61"/>
      <c r="X1301" s="61"/>
      <c r="Y1301" s="61"/>
      <c r="Z1301" s="52"/>
      <c r="AA1301" s="52"/>
      <c r="AB1301" s="52"/>
      <c r="AC1301" s="52"/>
      <c r="AD1301" s="53"/>
      <c r="AE1301" s="53"/>
      <c r="AF1301" s="53"/>
    </row>
    <row r="1302">
      <c r="G1302" s="55"/>
      <c r="H1302" s="54"/>
      <c r="I1302" s="54"/>
      <c r="J1302" s="54"/>
      <c r="K1302" s="54"/>
      <c r="L1302" s="54"/>
      <c r="M1302" s="54"/>
      <c r="N1302" s="59"/>
      <c r="O1302" s="61"/>
      <c r="P1302" s="61"/>
      <c r="Q1302" s="61"/>
      <c r="R1302" s="50"/>
      <c r="S1302" s="50"/>
      <c r="T1302" s="61"/>
      <c r="U1302" s="61"/>
      <c r="V1302" s="61"/>
      <c r="W1302" s="61"/>
      <c r="X1302" s="61"/>
      <c r="Y1302" s="61"/>
      <c r="Z1302" s="52"/>
      <c r="AA1302" s="52"/>
      <c r="AB1302" s="52"/>
      <c r="AC1302" s="52"/>
      <c r="AD1302" s="53"/>
      <c r="AE1302" s="53"/>
      <c r="AF1302" s="53"/>
    </row>
    <row r="1303">
      <c r="G1303" s="55"/>
      <c r="H1303" s="54"/>
      <c r="I1303" s="54"/>
      <c r="J1303" s="54"/>
      <c r="K1303" s="54"/>
      <c r="L1303" s="54"/>
      <c r="M1303" s="54"/>
      <c r="N1303" s="59"/>
      <c r="O1303" s="61"/>
      <c r="P1303" s="61"/>
      <c r="Q1303" s="61"/>
      <c r="R1303" s="50"/>
      <c r="S1303" s="50"/>
      <c r="T1303" s="61"/>
      <c r="U1303" s="61"/>
      <c r="V1303" s="61"/>
      <c r="W1303" s="61"/>
      <c r="X1303" s="61"/>
      <c r="Y1303" s="61"/>
      <c r="Z1303" s="52"/>
      <c r="AA1303" s="52"/>
      <c r="AB1303" s="52"/>
      <c r="AC1303" s="52"/>
      <c r="AD1303" s="53"/>
      <c r="AE1303" s="53"/>
      <c r="AF1303" s="53"/>
    </row>
    <row r="1304">
      <c r="G1304" s="55"/>
      <c r="H1304" s="54"/>
      <c r="I1304" s="54"/>
      <c r="J1304" s="54"/>
      <c r="K1304" s="54"/>
      <c r="L1304" s="54"/>
      <c r="M1304" s="54"/>
      <c r="N1304" s="59"/>
      <c r="O1304" s="61"/>
      <c r="P1304" s="61"/>
      <c r="Q1304" s="61"/>
      <c r="R1304" s="50"/>
      <c r="S1304" s="50"/>
      <c r="T1304" s="61"/>
      <c r="U1304" s="61"/>
      <c r="V1304" s="61"/>
      <c r="W1304" s="61"/>
      <c r="X1304" s="61"/>
      <c r="Y1304" s="61"/>
      <c r="Z1304" s="52"/>
      <c r="AA1304" s="52"/>
      <c r="AB1304" s="52"/>
      <c r="AC1304" s="52"/>
      <c r="AD1304" s="53"/>
      <c r="AE1304" s="53"/>
      <c r="AF1304" s="53"/>
    </row>
    <row r="1305">
      <c r="G1305" s="55"/>
      <c r="H1305" s="54"/>
      <c r="I1305" s="54"/>
      <c r="J1305" s="54"/>
      <c r="K1305" s="54"/>
      <c r="L1305" s="54"/>
      <c r="M1305" s="54"/>
      <c r="N1305" s="59"/>
      <c r="O1305" s="61"/>
      <c r="P1305" s="61"/>
      <c r="Q1305" s="61"/>
      <c r="R1305" s="50"/>
      <c r="S1305" s="50"/>
      <c r="T1305" s="61"/>
      <c r="U1305" s="61"/>
      <c r="V1305" s="61"/>
      <c r="W1305" s="61"/>
      <c r="X1305" s="61"/>
      <c r="Y1305" s="61"/>
      <c r="Z1305" s="52"/>
      <c r="AA1305" s="52"/>
      <c r="AB1305" s="52"/>
      <c r="AC1305" s="52"/>
      <c r="AD1305" s="53"/>
      <c r="AE1305" s="53"/>
      <c r="AF1305" s="53"/>
    </row>
    <row r="1306">
      <c r="G1306" s="55"/>
      <c r="H1306" s="54"/>
      <c r="I1306" s="54"/>
      <c r="J1306" s="54"/>
      <c r="K1306" s="54"/>
      <c r="L1306" s="54"/>
      <c r="M1306" s="54"/>
      <c r="N1306" s="59"/>
      <c r="O1306" s="61"/>
      <c r="P1306" s="61"/>
      <c r="Q1306" s="61"/>
      <c r="R1306" s="50"/>
      <c r="S1306" s="50"/>
      <c r="T1306" s="61"/>
      <c r="U1306" s="61"/>
      <c r="V1306" s="61"/>
      <c r="W1306" s="61"/>
      <c r="X1306" s="61"/>
      <c r="Y1306" s="61"/>
      <c r="Z1306" s="52"/>
      <c r="AA1306" s="52"/>
      <c r="AB1306" s="52"/>
      <c r="AC1306" s="52"/>
      <c r="AD1306" s="53"/>
      <c r="AE1306" s="53"/>
      <c r="AF1306" s="53"/>
    </row>
    <row r="1307">
      <c r="G1307" s="55"/>
      <c r="H1307" s="54"/>
      <c r="I1307" s="54"/>
      <c r="J1307" s="54"/>
      <c r="K1307" s="54"/>
      <c r="L1307" s="54"/>
      <c r="M1307" s="54"/>
      <c r="N1307" s="59"/>
      <c r="O1307" s="61"/>
      <c r="P1307" s="61"/>
      <c r="Q1307" s="61"/>
      <c r="R1307" s="50"/>
      <c r="S1307" s="50"/>
      <c r="T1307" s="61"/>
      <c r="U1307" s="61"/>
      <c r="V1307" s="61"/>
      <c r="W1307" s="61"/>
      <c r="X1307" s="61"/>
      <c r="Y1307" s="61"/>
      <c r="Z1307" s="52"/>
      <c r="AA1307" s="52"/>
      <c r="AB1307" s="52"/>
      <c r="AC1307" s="52"/>
      <c r="AD1307" s="53"/>
      <c r="AE1307" s="53"/>
      <c r="AF1307" s="53"/>
    </row>
    <row r="1308">
      <c r="G1308" s="55"/>
      <c r="H1308" s="54"/>
      <c r="I1308" s="54"/>
      <c r="J1308" s="54"/>
      <c r="K1308" s="54"/>
      <c r="L1308" s="54"/>
      <c r="M1308" s="54"/>
      <c r="N1308" s="59"/>
      <c r="O1308" s="61"/>
      <c r="P1308" s="61"/>
      <c r="Q1308" s="61"/>
      <c r="R1308" s="50"/>
      <c r="S1308" s="50"/>
      <c r="T1308" s="61"/>
      <c r="U1308" s="61"/>
      <c r="V1308" s="61"/>
      <c r="W1308" s="61"/>
      <c r="X1308" s="61"/>
      <c r="Y1308" s="61"/>
      <c r="Z1308" s="52"/>
      <c r="AA1308" s="52"/>
      <c r="AB1308" s="52"/>
      <c r="AC1308" s="52"/>
      <c r="AD1308" s="53"/>
      <c r="AE1308" s="53"/>
      <c r="AF1308" s="53"/>
    </row>
    <row r="1309">
      <c r="G1309" s="55"/>
      <c r="H1309" s="54"/>
      <c r="I1309" s="54"/>
      <c r="J1309" s="54"/>
      <c r="K1309" s="54"/>
      <c r="L1309" s="54"/>
      <c r="M1309" s="54"/>
      <c r="N1309" s="59"/>
      <c r="O1309" s="61"/>
      <c r="P1309" s="61"/>
      <c r="Q1309" s="61"/>
      <c r="R1309" s="50"/>
      <c r="S1309" s="50"/>
      <c r="T1309" s="61"/>
      <c r="U1309" s="61"/>
      <c r="V1309" s="61"/>
      <c r="W1309" s="61"/>
      <c r="X1309" s="61"/>
      <c r="Y1309" s="61"/>
      <c r="Z1309" s="52"/>
      <c r="AA1309" s="52"/>
      <c r="AB1309" s="52"/>
      <c r="AC1309" s="52"/>
      <c r="AD1309" s="53"/>
      <c r="AE1309" s="53"/>
      <c r="AF1309" s="53"/>
    </row>
    <row r="1310">
      <c r="G1310" s="55"/>
      <c r="H1310" s="54"/>
      <c r="I1310" s="54"/>
      <c r="J1310" s="54"/>
      <c r="K1310" s="54"/>
      <c r="L1310" s="54"/>
      <c r="M1310" s="54"/>
      <c r="N1310" s="59"/>
      <c r="O1310" s="61"/>
      <c r="P1310" s="61"/>
      <c r="Q1310" s="61"/>
      <c r="R1310" s="50"/>
      <c r="S1310" s="50"/>
      <c r="T1310" s="61"/>
      <c r="U1310" s="61"/>
      <c r="V1310" s="61"/>
      <c r="W1310" s="61"/>
      <c r="X1310" s="61"/>
      <c r="Y1310" s="61"/>
      <c r="Z1310" s="52"/>
      <c r="AA1310" s="52"/>
      <c r="AB1310" s="52"/>
      <c r="AC1310" s="52"/>
      <c r="AD1310" s="53"/>
      <c r="AE1310" s="53"/>
      <c r="AF1310" s="53"/>
    </row>
    <row r="1311">
      <c r="G1311" s="55"/>
      <c r="H1311" s="54"/>
      <c r="I1311" s="54"/>
      <c r="J1311" s="54"/>
      <c r="K1311" s="54"/>
      <c r="L1311" s="54"/>
      <c r="M1311" s="54"/>
      <c r="N1311" s="59"/>
      <c r="O1311" s="61"/>
      <c r="P1311" s="61"/>
      <c r="Q1311" s="61"/>
      <c r="R1311" s="50"/>
      <c r="S1311" s="50"/>
      <c r="T1311" s="61"/>
      <c r="U1311" s="61"/>
      <c r="V1311" s="61"/>
      <c r="W1311" s="61"/>
      <c r="X1311" s="61"/>
      <c r="Y1311" s="61"/>
      <c r="Z1311" s="52"/>
      <c r="AA1311" s="52"/>
      <c r="AB1311" s="52"/>
      <c r="AC1311" s="52"/>
      <c r="AD1311" s="53"/>
      <c r="AE1311" s="53"/>
      <c r="AF1311" s="53"/>
    </row>
    <row r="1312">
      <c r="G1312" s="55"/>
      <c r="H1312" s="54"/>
      <c r="I1312" s="54"/>
      <c r="J1312" s="54"/>
      <c r="K1312" s="54"/>
      <c r="L1312" s="54"/>
      <c r="M1312" s="54"/>
      <c r="N1312" s="59"/>
      <c r="O1312" s="61"/>
      <c r="P1312" s="61"/>
      <c r="Q1312" s="61"/>
      <c r="R1312" s="50"/>
      <c r="S1312" s="50"/>
      <c r="T1312" s="61"/>
      <c r="U1312" s="61"/>
      <c r="V1312" s="61"/>
      <c r="W1312" s="61"/>
      <c r="X1312" s="61"/>
      <c r="Y1312" s="61"/>
      <c r="Z1312" s="52"/>
      <c r="AA1312" s="52"/>
      <c r="AB1312" s="52"/>
      <c r="AC1312" s="52"/>
      <c r="AD1312" s="53"/>
      <c r="AE1312" s="53"/>
      <c r="AF1312" s="53"/>
    </row>
    <row r="1313">
      <c r="G1313" s="55"/>
      <c r="H1313" s="54"/>
      <c r="I1313" s="54"/>
      <c r="J1313" s="54"/>
      <c r="K1313" s="54"/>
      <c r="L1313" s="54"/>
      <c r="M1313" s="54"/>
      <c r="N1313" s="59"/>
      <c r="O1313" s="61"/>
      <c r="P1313" s="61"/>
      <c r="Q1313" s="61"/>
      <c r="R1313" s="50"/>
      <c r="S1313" s="50"/>
      <c r="T1313" s="61"/>
      <c r="U1313" s="61"/>
      <c r="V1313" s="61"/>
      <c r="W1313" s="61"/>
      <c r="X1313" s="61"/>
      <c r="Y1313" s="61"/>
      <c r="Z1313" s="52"/>
      <c r="AA1313" s="52"/>
      <c r="AB1313" s="52"/>
      <c r="AC1313" s="52"/>
      <c r="AD1313" s="53"/>
      <c r="AE1313" s="53"/>
      <c r="AF1313" s="53"/>
    </row>
    <row r="1314">
      <c r="G1314" s="55"/>
      <c r="H1314" s="54"/>
      <c r="I1314" s="54"/>
      <c r="J1314" s="54"/>
      <c r="K1314" s="54"/>
      <c r="L1314" s="54"/>
      <c r="M1314" s="54"/>
      <c r="N1314" s="59"/>
      <c r="O1314" s="61"/>
      <c r="P1314" s="61"/>
      <c r="Q1314" s="61"/>
      <c r="R1314" s="50"/>
      <c r="S1314" s="50"/>
      <c r="T1314" s="61"/>
      <c r="U1314" s="61"/>
      <c r="V1314" s="61"/>
      <c r="W1314" s="61"/>
      <c r="X1314" s="61"/>
      <c r="Y1314" s="61"/>
      <c r="Z1314" s="52"/>
      <c r="AA1314" s="52"/>
      <c r="AB1314" s="52"/>
      <c r="AC1314" s="52"/>
      <c r="AD1314" s="53"/>
      <c r="AE1314" s="53"/>
      <c r="AF1314" s="53"/>
    </row>
    <row r="1315">
      <c r="G1315" s="55"/>
      <c r="H1315" s="54"/>
      <c r="I1315" s="54"/>
      <c r="J1315" s="54"/>
      <c r="K1315" s="54"/>
      <c r="L1315" s="54"/>
      <c r="M1315" s="54"/>
      <c r="N1315" s="59"/>
      <c r="O1315" s="61"/>
      <c r="P1315" s="61"/>
      <c r="Q1315" s="61"/>
      <c r="R1315" s="50"/>
      <c r="S1315" s="50"/>
      <c r="T1315" s="61"/>
      <c r="U1315" s="61"/>
      <c r="V1315" s="61"/>
      <c r="W1315" s="61"/>
      <c r="X1315" s="61"/>
      <c r="Y1315" s="61"/>
      <c r="Z1315" s="52"/>
      <c r="AA1315" s="52"/>
      <c r="AB1315" s="52"/>
      <c r="AC1315" s="52"/>
      <c r="AD1315" s="53"/>
      <c r="AE1315" s="53"/>
      <c r="AF1315" s="53"/>
    </row>
    <row r="1316">
      <c r="G1316" s="55"/>
      <c r="H1316" s="54"/>
      <c r="I1316" s="54"/>
      <c r="J1316" s="54"/>
      <c r="K1316" s="54"/>
      <c r="L1316" s="54"/>
      <c r="M1316" s="54"/>
      <c r="N1316" s="59"/>
      <c r="O1316" s="61"/>
      <c r="P1316" s="61"/>
      <c r="Q1316" s="61"/>
      <c r="R1316" s="50"/>
      <c r="S1316" s="50"/>
      <c r="T1316" s="61"/>
      <c r="U1316" s="61"/>
      <c r="V1316" s="61"/>
      <c r="W1316" s="61"/>
      <c r="X1316" s="61"/>
      <c r="Y1316" s="61"/>
      <c r="Z1316" s="52"/>
      <c r="AA1316" s="52"/>
      <c r="AB1316" s="52"/>
      <c r="AC1316" s="52"/>
      <c r="AD1316" s="53"/>
      <c r="AE1316" s="53"/>
      <c r="AF1316" s="53"/>
    </row>
    <row r="1317">
      <c r="G1317" s="55"/>
      <c r="H1317" s="54"/>
      <c r="I1317" s="54"/>
      <c r="J1317" s="54"/>
      <c r="K1317" s="54"/>
      <c r="L1317" s="54"/>
      <c r="M1317" s="54"/>
      <c r="N1317" s="59"/>
      <c r="O1317" s="61"/>
      <c r="P1317" s="61"/>
      <c r="Q1317" s="61"/>
      <c r="R1317" s="50"/>
      <c r="S1317" s="50"/>
      <c r="T1317" s="61"/>
      <c r="U1317" s="61"/>
      <c r="V1317" s="61"/>
      <c r="W1317" s="61"/>
      <c r="X1317" s="61"/>
      <c r="Y1317" s="61"/>
      <c r="Z1317" s="52"/>
      <c r="AA1317" s="52"/>
      <c r="AB1317" s="52"/>
      <c r="AC1317" s="52"/>
      <c r="AD1317" s="53"/>
      <c r="AE1317" s="53"/>
      <c r="AF1317" s="53"/>
    </row>
    <row r="1318">
      <c r="G1318" s="55"/>
      <c r="H1318" s="54"/>
      <c r="I1318" s="54"/>
      <c r="J1318" s="54"/>
      <c r="K1318" s="54"/>
      <c r="L1318" s="54"/>
      <c r="M1318" s="54"/>
      <c r="N1318" s="59"/>
      <c r="O1318" s="61"/>
      <c r="P1318" s="61"/>
      <c r="Q1318" s="61"/>
      <c r="R1318" s="50"/>
      <c r="S1318" s="50"/>
      <c r="T1318" s="61"/>
      <c r="U1318" s="61"/>
      <c r="V1318" s="61"/>
      <c r="W1318" s="61"/>
      <c r="X1318" s="61"/>
      <c r="Y1318" s="61"/>
      <c r="Z1318" s="52"/>
      <c r="AA1318" s="52"/>
      <c r="AB1318" s="52"/>
      <c r="AC1318" s="52"/>
      <c r="AD1318" s="53"/>
      <c r="AE1318" s="53"/>
      <c r="AF1318" s="53"/>
    </row>
    <row r="1319">
      <c r="G1319" s="55"/>
      <c r="H1319" s="54"/>
      <c r="I1319" s="54"/>
      <c r="J1319" s="54"/>
      <c r="K1319" s="54"/>
      <c r="L1319" s="54"/>
      <c r="M1319" s="54"/>
      <c r="N1319" s="59"/>
      <c r="O1319" s="61"/>
      <c r="P1319" s="61"/>
      <c r="Q1319" s="61"/>
      <c r="R1319" s="50"/>
      <c r="S1319" s="50"/>
      <c r="T1319" s="61"/>
      <c r="U1319" s="61"/>
      <c r="V1319" s="61"/>
      <c r="W1319" s="61"/>
      <c r="X1319" s="61"/>
      <c r="Y1319" s="61"/>
      <c r="Z1319" s="52"/>
      <c r="AA1319" s="52"/>
      <c r="AB1319" s="52"/>
      <c r="AC1319" s="52"/>
      <c r="AD1319" s="53"/>
      <c r="AE1319" s="53"/>
      <c r="AF1319" s="53"/>
    </row>
    <row r="1320">
      <c r="G1320" s="55"/>
      <c r="H1320" s="54"/>
      <c r="I1320" s="54"/>
      <c r="J1320" s="54"/>
      <c r="K1320" s="54"/>
      <c r="L1320" s="54"/>
      <c r="M1320" s="54"/>
      <c r="N1320" s="59"/>
      <c r="O1320" s="61"/>
      <c r="P1320" s="61"/>
      <c r="Q1320" s="61"/>
      <c r="R1320" s="50"/>
      <c r="S1320" s="50"/>
      <c r="T1320" s="61"/>
      <c r="U1320" s="61"/>
      <c r="V1320" s="61"/>
      <c r="W1320" s="61"/>
      <c r="X1320" s="61"/>
      <c r="Y1320" s="61"/>
      <c r="Z1320" s="52"/>
      <c r="AA1320" s="52"/>
      <c r="AB1320" s="52"/>
      <c r="AC1320" s="52"/>
      <c r="AD1320" s="53"/>
      <c r="AE1320" s="53"/>
      <c r="AF1320" s="53"/>
    </row>
    <row r="1321">
      <c r="G1321" s="55"/>
      <c r="H1321" s="54"/>
      <c r="I1321" s="54"/>
      <c r="J1321" s="54"/>
      <c r="K1321" s="54"/>
      <c r="L1321" s="54"/>
      <c r="M1321" s="54"/>
      <c r="N1321" s="59"/>
      <c r="O1321" s="61"/>
      <c r="P1321" s="61"/>
      <c r="Q1321" s="61"/>
      <c r="R1321" s="50"/>
      <c r="S1321" s="50"/>
      <c r="T1321" s="61"/>
      <c r="U1321" s="61"/>
      <c r="V1321" s="61"/>
      <c r="W1321" s="61"/>
      <c r="X1321" s="61"/>
      <c r="Y1321" s="61"/>
      <c r="Z1321" s="52"/>
      <c r="AA1321" s="52"/>
      <c r="AB1321" s="52"/>
      <c r="AC1321" s="52"/>
      <c r="AD1321" s="53"/>
      <c r="AE1321" s="53"/>
      <c r="AF1321" s="53"/>
    </row>
    <row r="1322">
      <c r="G1322" s="55"/>
      <c r="H1322" s="54"/>
      <c r="I1322" s="54"/>
      <c r="J1322" s="54"/>
      <c r="K1322" s="54"/>
      <c r="L1322" s="54"/>
      <c r="M1322" s="54"/>
      <c r="N1322" s="59"/>
      <c r="O1322" s="61"/>
      <c r="P1322" s="61"/>
      <c r="Q1322" s="61"/>
      <c r="R1322" s="50"/>
      <c r="S1322" s="50"/>
      <c r="T1322" s="61"/>
      <c r="U1322" s="61"/>
      <c r="V1322" s="61"/>
      <c r="W1322" s="61"/>
      <c r="X1322" s="61"/>
      <c r="Y1322" s="61"/>
      <c r="Z1322" s="52"/>
      <c r="AA1322" s="52"/>
      <c r="AB1322" s="52"/>
      <c r="AC1322" s="52"/>
      <c r="AD1322" s="53"/>
      <c r="AE1322" s="53"/>
      <c r="AF1322" s="53"/>
    </row>
    <row r="1323">
      <c r="G1323" s="55"/>
      <c r="H1323" s="54"/>
      <c r="I1323" s="54"/>
      <c r="J1323" s="54"/>
      <c r="K1323" s="54"/>
      <c r="L1323" s="54"/>
      <c r="M1323" s="54"/>
      <c r="N1323" s="59"/>
      <c r="O1323" s="61"/>
      <c r="P1323" s="61"/>
      <c r="Q1323" s="61"/>
      <c r="R1323" s="50"/>
      <c r="S1323" s="50"/>
      <c r="T1323" s="61"/>
      <c r="U1323" s="61"/>
      <c r="V1323" s="61"/>
      <c r="W1323" s="61"/>
      <c r="X1323" s="61"/>
      <c r="Y1323" s="61"/>
      <c r="Z1323" s="52"/>
      <c r="AA1323" s="52"/>
      <c r="AB1323" s="52"/>
      <c r="AC1323" s="52"/>
      <c r="AD1323" s="53"/>
      <c r="AE1323" s="53"/>
      <c r="AF1323" s="53"/>
    </row>
    <row r="1324">
      <c r="G1324" s="55"/>
      <c r="H1324" s="54"/>
      <c r="I1324" s="54"/>
      <c r="J1324" s="54"/>
      <c r="K1324" s="54"/>
      <c r="L1324" s="54"/>
      <c r="M1324" s="54"/>
      <c r="N1324" s="59"/>
      <c r="O1324" s="61"/>
      <c r="P1324" s="61"/>
      <c r="Q1324" s="61"/>
      <c r="R1324" s="50"/>
      <c r="S1324" s="50"/>
      <c r="T1324" s="61"/>
      <c r="U1324" s="61"/>
      <c r="V1324" s="61"/>
      <c r="W1324" s="61"/>
      <c r="X1324" s="61"/>
      <c r="Y1324" s="61"/>
      <c r="Z1324" s="52"/>
      <c r="AA1324" s="52"/>
      <c r="AB1324" s="52"/>
      <c r="AC1324" s="52"/>
      <c r="AD1324" s="53"/>
      <c r="AE1324" s="53"/>
      <c r="AF1324" s="53"/>
    </row>
    <row r="1325">
      <c r="G1325" s="55"/>
      <c r="H1325" s="54"/>
      <c r="I1325" s="54"/>
      <c r="J1325" s="54"/>
      <c r="K1325" s="54"/>
      <c r="L1325" s="54"/>
      <c r="M1325" s="54"/>
      <c r="N1325" s="59"/>
      <c r="O1325" s="61"/>
      <c r="P1325" s="61"/>
      <c r="Q1325" s="61"/>
      <c r="R1325" s="50"/>
      <c r="S1325" s="50"/>
      <c r="T1325" s="61"/>
      <c r="U1325" s="61"/>
      <c r="V1325" s="61"/>
      <c r="W1325" s="61"/>
      <c r="X1325" s="61"/>
      <c r="Y1325" s="61"/>
      <c r="Z1325" s="52"/>
      <c r="AA1325" s="52"/>
      <c r="AB1325" s="52"/>
      <c r="AC1325" s="52"/>
      <c r="AD1325" s="53"/>
      <c r="AE1325" s="53"/>
      <c r="AF1325" s="53"/>
    </row>
    <row r="1326">
      <c r="G1326" s="55"/>
      <c r="H1326" s="54"/>
      <c r="I1326" s="54"/>
      <c r="J1326" s="54"/>
      <c r="K1326" s="54"/>
      <c r="L1326" s="54"/>
      <c r="M1326" s="54"/>
      <c r="N1326" s="59"/>
      <c r="O1326" s="61"/>
      <c r="P1326" s="61"/>
      <c r="Q1326" s="61"/>
      <c r="R1326" s="50"/>
      <c r="S1326" s="50"/>
      <c r="T1326" s="61"/>
      <c r="U1326" s="61"/>
      <c r="V1326" s="61"/>
      <c r="W1326" s="61"/>
      <c r="X1326" s="61"/>
      <c r="Y1326" s="61"/>
      <c r="Z1326" s="52"/>
      <c r="AA1326" s="52"/>
      <c r="AB1326" s="52"/>
      <c r="AC1326" s="52"/>
      <c r="AD1326" s="53"/>
      <c r="AE1326" s="53"/>
      <c r="AF1326" s="53"/>
    </row>
    <row r="1327">
      <c r="G1327" s="55"/>
      <c r="H1327" s="54"/>
      <c r="I1327" s="54"/>
      <c r="J1327" s="54"/>
      <c r="K1327" s="54"/>
      <c r="L1327" s="54"/>
      <c r="M1327" s="54"/>
      <c r="N1327" s="59"/>
      <c r="O1327" s="61"/>
      <c r="P1327" s="61"/>
      <c r="Q1327" s="61"/>
      <c r="R1327" s="50"/>
      <c r="S1327" s="50"/>
      <c r="T1327" s="61"/>
      <c r="U1327" s="61"/>
      <c r="V1327" s="61"/>
      <c r="W1327" s="61"/>
      <c r="X1327" s="61"/>
      <c r="Y1327" s="61"/>
      <c r="Z1327" s="52"/>
      <c r="AA1327" s="52"/>
      <c r="AB1327" s="52"/>
      <c r="AC1327" s="52"/>
      <c r="AD1327" s="53"/>
      <c r="AE1327" s="53"/>
      <c r="AF1327" s="53"/>
    </row>
    <row r="1328">
      <c r="G1328" s="55"/>
      <c r="H1328" s="54"/>
      <c r="I1328" s="54"/>
      <c r="J1328" s="54"/>
      <c r="K1328" s="54"/>
      <c r="L1328" s="54"/>
      <c r="M1328" s="54"/>
      <c r="N1328" s="59"/>
      <c r="O1328" s="61"/>
      <c r="P1328" s="61"/>
      <c r="Q1328" s="61"/>
      <c r="R1328" s="50"/>
      <c r="S1328" s="50"/>
      <c r="T1328" s="61"/>
      <c r="U1328" s="61"/>
      <c r="V1328" s="61"/>
      <c r="W1328" s="61"/>
      <c r="X1328" s="61"/>
      <c r="Y1328" s="61"/>
      <c r="Z1328" s="52"/>
      <c r="AA1328" s="52"/>
      <c r="AB1328" s="52"/>
      <c r="AC1328" s="52"/>
      <c r="AD1328" s="53"/>
      <c r="AE1328" s="53"/>
      <c r="AF1328" s="53"/>
    </row>
    <row r="1329">
      <c r="G1329" s="55"/>
      <c r="H1329" s="54"/>
      <c r="I1329" s="54"/>
      <c r="J1329" s="54"/>
      <c r="K1329" s="54"/>
      <c r="L1329" s="54"/>
      <c r="M1329" s="54"/>
      <c r="N1329" s="59"/>
      <c r="O1329" s="61"/>
      <c r="P1329" s="61"/>
      <c r="Q1329" s="61"/>
      <c r="R1329" s="50"/>
      <c r="S1329" s="50"/>
      <c r="T1329" s="61"/>
      <c r="U1329" s="61"/>
      <c r="V1329" s="61"/>
      <c r="W1329" s="61"/>
      <c r="X1329" s="61"/>
      <c r="Y1329" s="61"/>
      <c r="Z1329" s="52"/>
      <c r="AA1329" s="52"/>
      <c r="AB1329" s="52"/>
      <c r="AC1329" s="52"/>
      <c r="AD1329" s="53"/>
      <c r="AE1329" s="53"/>
      <c r="AF1329" s="53"/>
    </row>
    <row r="1330">
      <c r="G1330" s="55"/>
      <c r="H1330" s="54"/>
      <c r="I1330" s="54"/>
      <c r="J1330" s="54"/>
      <c r="K1330" s="54"/>
      <c r="L1330" s="54"/>
      <c r="M1330" s="54"/>
      <c r="N1330" s="59"/>
      <c r="O1330" s="61"/>
      <c r="P1330" s="61"/>
      <c r="Q1330" s="61"/>
      <c r="R1330" s="50"/>
      <c r="S1330" s="50"/>
      <c r="T1330" s="61"/>
      <c r="U1330" s="61"/>
      <c r="V1330" s="61"/>
      <c r="W1330" s="61"/>
      <c r="X1330" s="61"/>
      <c r="Y1330" s="61"/>
      <c r="Z1330" s="52"/>
      <c r="AA1330" s="52"/>
      <c r="AB1330" s="52"/>
      <c r="AC1330" s="52"/>
      <c r="AD1330" s="53"/>
      <c r="AE1330" s="53"/>
      <c r="AF1330" s="53"/>
    </row>
    <row r="1331">
      <c r="G1331" s="55"/>
      <c r="H1331" s="54"/>
      <c r="I1331" s="54"/>
      <c r="J1331" s="54"/>
      <c r="K1331" s="54"/>
      <c r="L1331" s="54"/>
      <c r="M1331" s="54"/>
      <c r="N1331" s="59"/>
      <c r="O1331" s="61"/>
      <c r="P1331" s="61"/>
      <c r="Q1331" s="61"/>
      <c r="R1331" s="50"/>
      <c r="S1331" s="50"/>
      <c r="T1331" s="61"/>
      <c r="U1331" s="61"/>
      <c r="V1331" s="61"/>
      <c r="W1331" s="61"/>
      <c r="X1331" s="61"/>
      <c r="Y1331" s="61"/>
      <c r="Z1331" s="52"/>
      <c r="AA1331" s="52"/>
      <c r="AB1331" s="52"/>
      <c r="AC1331" s="52"/>
      <c r="AD1331" s="53"/>
      <c r="AE1331" s="53"/>
      <c r="AF1331" s="53"/>
    </row>
    <row r="1332">
      <c r="G1332" s="55"/>
      <c r="H1332" s="54"/>
      <c r="I1332" s="54"/>
      <c r="J1332" s="54"/>
      <c r="K1332" s="54"/>
      <c r="L1332" s="54"/>
      <c r="M1332" s="54"/>
      <c r="N1332" s="59"/>
      <c r="O1332" s="61"/>
      <c r="P1332" s="61"/>
      <c r="Q1332" s="61"/>
      <c r="R1332" s="50"/>
      <c r="S1332" s="50"/>
      <c r="T1332" s="61"/>
      <c r="U1332" s="61"/>
      <c r="V1332" s="61"/>
      <c r="W1332" s="61"/>
      <c r="X1332" s="61"/>
      <c r="Y1332" s="61"/>
      <c r="Z1332" s="52"/>
      <c r="AA1332" s="52"/>
      <c r="AB1332" s="52"/>
      <c r="AC1332" s="52"/>
      <c r="AD1332" s="53"/>
      <c r="AE1332" s="53"/>
      <c r="AF1332" s="53"/>
    </row>
    <row r="1333">
      <c r="G1333" s="55"/>
      <c r="H1333" s="54"/>
      <c r="I1333" s="54"/>
      <c r="J1333" s="54"/>
      <c r="K1333" s="54"/>
      <c r="L1333" s="54"/>
      <c r="M1333" s="54"/>
      <c r="N1333" s="59"/>
      <c r="O1333" s="61"/>
      <c r="P1333" s="61"/>
      <c r="Q1333" s="61"/>
      <c r="R1333" s="50"/>
      <c r="S1333" s="50"/>
      <c r="T1333" s="61"/>
      <c r="U1333" s="61"/>
      <c r="V1333" s="61"/>
      <c r="W1333" s="61"/>
      <c r="X1333" s="61"/>
      <c r="Y1333" s="61"/>
      <c r="Z1333" s="52"/>
      <c r="AA1333" s="52"/>
      <c r="AB1333" s="52"/>
      <c r="AC1333" s="52"/>
      <c r="AD1333" s="53"/>
      <c r="AE1333" s="53"/>
      <c r="AF1333" s="53"/>
    </row>
    <row r="1334">
      <c r="G1334" s="55"/>
      <c r="H1334" s="54"/>
      <c r="I1334" s="54"/>
      <c r="J1334" s="54"/>
      <c r="K1334" s="54"/>
      <c r="L1334" s="54"/>
      <c r="M1334" s="54"/>
      <c r="N1334" s="59"/>
      <c r="O1334" s="61"/>
      <c r="P1334" s="61"/>
      <c r="Q1334" s="61"/>
      <c r="R1334" s="50"/>
      <c r="S1334" s="50"/>
      <c r="T1334" s="61"/>
      <c r="U1334" s="61"/>
      <c r="V1334" s="61"/>
      <c r="W1334" s="61"/>
      <c r="X1334" s="61"/>
      <c r="Y1334" s="61"/>
      <c r="Z1334" s="52"/>
      <c r="AA1334" s="52"/>
      <c r="AB1334" s="52"/>
      <c r="AC1334" s="52"/>
      <c r="AD1334" s="53"/>
      <c r="AE1334" s="53"/>
      <c r="AF1334" s="53"/>
    </row>
    <row r="1335">
      <c r="G1335" s="55"/>
      <c r="H1335" s="54"/>
      <c r="I1335" s="54"/>
      <c r="J1335" s="54"/>
      <c r="K1335" s="54"/>
      <c r="L1335" s="54"/>
      <c r="M1335" s="54"/>
      <c r="N1335" s="59"/>
      <c r="O1335" s="61"/>
      <c r="P1335" s="61"/>
      <c r="Q1335" s="61"/>
      <c r="R1335" s="50"/>
      <c r="S1335" s="50"/>
      <c r="T1335" s="61"/>
      <c r="U1335" s="61"/>
      <c r="V1335" s="61"/>
      <c r="W1335" s="61"/>
      <c r="X1335" s="61"/>
      <c r="Y1335" s="61"/>
      <c r="Z1335" s="52"/>
      <c r="AA1335" s="52"/>
      <c r="AB1335" s="52"/>
      <c r="AC1335" s="52"/>
      <c r="AD1335" s="53"/>
      <c r="AE1335" s="53"/>
      <c r="AF1335" s="53"/>
    </row>
    <row r="1336">
      <c r="G1336" s="55"/>
      <c r="H1336" s="54"/>
      <c r="I1336" s="54"/>
      <c r="J1336" s="54"/>
      <c r="K1336" s="54"/>
      <c r="L1336" s="54"/>
      <c r="M1336" s="54"/>
      <c r="N1336" s="59"/>
      <c r="O1336" s="61"/>
      <c r="P1336" s="61"/>
      <c r="Q1336" s="61"/>
      <c r="R1336" s="50"/>
      <c r="S1336" s="50"/>
      <c r="T1336" s="61"/>
      <c r="U1336" s="61"/>
      <c r="V1336" s="61"/>
      <c r="W1336" s="61"/>
      <c r="X1336" s="61"/>
      <c r="Y1336" s="61"/>
      <c r="Z1336" s="52"/>
      <c r="AA1336" s="52"/>
      <c r="AB1336" s="52"/>
      <c r="AC1336" s="52"/>
      <c r="AD1336" s="53"/>
      <c r="AE1336" s="53"/>
      <c r="AF1336" s="53"/>
    </row>
    <row r="1337">
      <c r="G1337" s="55"/>
      <c r="H1337" s="54"/>
      <c r="I1337" s="54"/>
      <c r="J1337" s="54"/>
      <c r="K1337" s="54"/>
      <c r="L1337" s="54"/>
      <c r="M1337" s="54"/>
      <c r="N1337" s="59"/>
      <c r="O1337" s="61"/>
      <c r="P1337" s="61"/>
      <c r="Q1337" s="61"/>
      <c r="R1337" s="50"/>
      <c r="S1337" s="50"/>
      <c r="T1337" s="61"/>
      <c r="U1337" s="61"/>
      <c r="V1337" s="61"/>
      <c r="W1337" s="61"/>
      <c r="X1337" s="61"/>
      <c r="Y1337" s="61"/>
      <c r="Z1337" s="52"/>
      <c r="AA1337" s="52"/>
      <c r="AB1337" s="52"/>
      <c r="AC1337" s="52"/>
      <c r="AD1337" s="53"/>
      <c r="AE1337" s="53"/>
      <c r="AF1337" s="53"/>
    </row>
    <row r="1338">
      <c r="G1338" s="55"/>
      <c r="H1338" s="54"/>
      <c r="I1338" s="54"/>
      <c r="J1338" s="54"/>
      <c r="K1338" s="54"/>
      <c r="L1338" s="54"/>
      <c r="M1338" s="54"/>
      <c r="N1338" s="59"/>
      <c r="O1338" s="61"/>
      <c r="P1338" s="61"/>
      <c r="Q1338" s="61"/>
      <c r="R1338" s="50"/>
      <c r="S1338" s="50"/>
      <c r="T1338" s="61"/>
      <c r="U1338" s="61"/>
      <c r="V1338" s="61"/>
      <c r="W1338" s="61"/>
      <c r="X1338" s="61"/>
      <c r="Y1338" s="61"/>
      <c r="Z1338" s="52"/>
      <c r="AA1338" s="52"/>
      <c r="AB1338" s="52"/>
      <c r="AC1338" s="52"/>
      <c r="AD1338" s="53"/>
      <c r="AE1338" s="53"/>
      <c r="AF1338" s="53"/>
    </row>
    <row r="1339">
      <c r="G1339" s="55"/>
      <c r="H1339" s="54"/>
      <c r="I1339" s="54"/>
      <c r="J1339" s="54"/>
      <c r="K1339" s="54"/>
      <c r="L1339" s="54"/>
      <c r="M1339" s="54"/>
      <c r="N1339" s="59"/>
      <c r="O1339" s="61"/>
      <c r="P1339" s="61"/>
      <c r="Q1339" s="61"/>
      <c r="R1339" s="50"/>
      <c r="S1339" s="50"/>
      <c r="T1339" s="61"/>
      <c r="U1339" s="61"/>
      <c r="V1339" s="61"/>
      <c r="W1339" s="61"/>
      <c r="X1339" s="61"/>
      <c r="Y1339" s="61"/>
      <c r="Z1339" s="52"/>
      <c r="AA1339" s="52"/>
      <c r="AB1339" s="52"/>
      <c r="AC1339" s="52"/>
      <c r="AD1339" s="53"/>
      <c r="AE1339" s="53"/>
      <c r="AF1339" s="53"/>
    </row>
    <row r="1340">
      <c r="G1340" s="55"/>
      <c r="H1340" s="54"/>
      <c r="I1340" s="54"/>
      <c r="J1340" s="54"/>
      <c r="K1340" s="54"/>
      <c r="L1340" s="54"/>
      <c r="M1340" s="54"/>
      <c r="N1340" s="59"/>
      <c r="O1340" s="61"/>
      <c r="P1340" s="61"/>
      <c r="Q1340" s="61"/>
      <c r="R1340" s="50"/>
      <c r="S1340" s="50"/>
      <c r="T1340" s="61"/>
      <c r="U1340" s="61"/>
      <c r="V1340" s="61"/>
      <c r="W1340" s="61"/>
      <c r="X1340" s="61"/>
      <c r="Y1340" s="61"/>
      <c r="Z1340" s="52"/>
      <c r="AA1340" s="52"/>
      <c r="AB1340" s="52"/>
      <c r="AC1340" s="52"/>
      <c r="AD1340" s="53"/>
      <c r="AE1340" s="53"/>
      <c r="AF1340" s="53"/>
    </row>
    <row r="1341">
      <c r="G1341" s="55"/>
      <c r="H1341" s="54"/>
      <c r="I1341" s="54"/>
      <c r="J1341" s="54"/>
      <c r="K1341" s="54"/>
      <c r="L1341" s="54"/>
      <c r="M1341" s="54"/>
      <c r="N1341" s="59"/>
      <c r="O1341" s="61"/>
      <c r="P1341" s="61"/>
      <c r="Q1341" s="61"/>
      <c r="R1341" s="50"/>
      <c r="S1341" s="50"/>
      <c r="T1341" s="61"/>
      <c r="U1341" s="61"/>
      <c r="V1341" s="61"/>
      <c r="W1341" s="61"/>
      <c r="X1341" s="61"/>
      <c r="Y1341" s="61"/>
      <c r="Z1341" s="52"/>
      <c r="AA1341" s="52"/>
      <c r="AB1341" s="52"/>
      <c r="AC1341" s="52"/>
      <c r="AD1341" s="53"/>
      <c r="AE1341" s="53"/>
      <c r="AF1341" s="53"/>
    </row>
    <row r="1342">
      <c r="G1342" s="55"/>
      <c r="H1342" s="54"/>
      <c r="I1342" s="54"/>
      <c r="J1342" s="54"/>
      <c r="K1342" s="54"/>
      <c r="L1342" s="54"/>
      <c r="M1342" s="54"/>
      <c r="N1342" s="59"/>
      <c r="O1342" s="61"/>
      <c r="P1342" s="61"/>
      <c r="Q1342" s="61"/>
      <c r="R1342" s="50"/>
      <c r="S1342" s="50"/>
      <c r="T1342" s="61"/>
      <c r="U1342" s="61"/>
      <c r="V1342" s="61"/>
      <c r="W1342" s="61"/>
      <c r="X1342" s="61"/>
      <c r="Y1342" s="61"/>
      <c r="Z1342" s="52"/>
      <c r="AA1342" s="52"/>
      <c r="AB1342" s="52"/>
      <c r="AC1342" s="52"/>
      <c r="AD1342" s="53"/>
      <c r="AE1342" s="53"/>
      <c r="AF1342" s="53"/>
    </row>
    <row r="1343">
      <c r="G1343" s="55"/>
      <c r="H1343" s="54"/>
      <c r="I1343" s="54"/>
      <c r="J1343" s="54"/>
      <c r="K1343" s="54"/>
      <c r="L1343" s="54"/>
      <c r="M1343" s="54"/>
      <c r="N1343" s="59"/>
      <c r="O1343" s="61"/>
      <c r="P1343" s="61"/>
      <c r="Q1343" s="61"/>
      <c r="R1343" s="50"/>
      <c r="S1343" s="50"/>
      <c r="T1343" s="61"/>
      <c r="U1343" s="61"/>
      <c r="V1343" s="61"/>
      <c r="W1343" s="61"/>
      <c r="X1343" s="61"/>
      <c r="Y1343" s="61"/>
      <c r="Z1343" s="52"/>
      <c r="AA1343" s="52"/>
      <c r="AB1343" s="52"/>
      <c r="AC1343" s="52"/>
      <c r="AD1343" s="53"/>
      <c r="AE1343" s="53"/>
      <c r="AF1343" s="53"/>
    </row>
    <row r="1344">
      <c r="G1344" s="55"/>
      <c r="H1344" s="54"/>
      <c r="I1344" s="54"/>
      <c r="J1344" s="54"/>
      <c r="K1344" s="54"/>
      <c r="L1344" s="54"/>
      <c r="M1344" s="54"/>
      <c r="N1344" s="59"/>
      <c r="O1344" s="61"/>
      <c r="P1344" s="61"/>
      <c r="Q1344" s="61"/>
      <c r="R1344" s="50"/>
      <c r="S1344" s="50"/>
      <c r="T1344" s="61"/>
      <c r="U1344" s="61"/>
      <c r="V1344" s="61"/>
      <c r="W1344" s="61"/>
      <c r="X1344" s="61"/>
      <c r="Y1344" s="61"/>
      <c r="Z1344" s="52"/>
      <c r="AA1344" s="52"/>
      <c r="AB1344" s="52"/>
      <c r="AC1344" s="52"/>
      <c r="AD1344" s="53"/>
      <c r="AE1344" s="53"/>
      <c r="AF1344" s="53"/>
    </row>
    <row r="1345">
      <c r="G1345" s="55"/>
      <c r="H1345" s="54"/>
      <c r="I1345" s="54"/>
      <c r="J1345" s="54"/>
      <c r="K1345" s="54"/>
      <c r="L1345" s="54"/>
      <c r="M1345" s="54"/>
      <c r="N1345" s="59"/>
      <c r="O1345" s="61"/>
      <c r="P1345" s="61"/>
      <c r="Q1345" s="61"/>
      <c r="R1345" s="50"/>
      <c r="S1345" s="50"/>
      <c r="T1345" s="61"/>
      <c r="U1345" s="61"/>
      <c r="V1345" s="61"/>
      <c r="W1345" s="61"/>
      <c r="X1345" s="61"/>
      <c r="Y1345" s="61"/>
      <c r="Z1345" s="52"/>
      <c r="AA1345" s="52"/>
      <c r="AB1345" s="52"/>
      <c r="AC1345" s="52"/>
      <c r="AD1345" s="53"/>
      <c r="AE1345" s="53"/>
      <c r="AF1345" s="53"/>
    </row>
    <row r="1346">
      <c r="G1346" s="55"/>
      <c r="H1346" s="54"/>
      <c r="I1346" s="54"/>
      <c r="J1346" s="54"/>
      <c r="K1346" s="54"/>
      <c r="L1346" s="54"/>
      <c r="M1346" s="54"/>
      <c r="N1346" s="59"/>
      <c r="O1346" s="61"/>
      <c r="P1346" s="61"/>
      <c r="Q1346" s="61"/>
      <c r="R1346" s="50"/>
      <c r="S1346" s="50"/>
      <c r="T1346" s="61"/>
      <c r="U1346" s="61"/>
      <c r="V1346" s="61"/>
      <c r="W1346" s="61"/>
      <c r="X1346" s="61"/>
      <c r="Y1346" s="61"/>
      <c r="Z1346" s="52"/>
      <c r="AA1346" s="52"/>
      <c r="AB1346" s="52"/>
      <c r="AC1346" s="52"/>
      <c r="AD1346" s="53"/>
      <c r="AE1346" s="53"/>
      <c r="AF1346" s="53"/>
    </row>
    <row r="1347">
      <c r="G1347" s="55"/>
      <c r="H1347" s="54"/>
      <c r="I1347" s="54"/>
      <c r="J1347" s="54"/>
      <c r="K1347" s="54"/>
      <c r="L1347" s="54"/>
      <c r="M1347" s="54"/>
      <c r="N1347" s="59"/>
      <c r="O1347" s="61"/>
      <c r="P1347" s="61"/>
      <c r="Q1347" s="61"/>
      <c r="R1347" s="50"/>
      <c r="S1347" s="50"/>
      <c r="T1347" s="61"/>
      <c r="U1347" s="61"/>
      <c r="V1347" s="61"/>
      <c r="W1347" s="61"/>
      <c r="X1347" s="61"/>
      <c r="Y1347" s="61"/>
      <c r="Z1347" s="52"/>
      <c r="AA1347" s="52"/>
      <c r="AB1347" s="52"/>
      <c r="AC1347" s="52"/>
      <c r="AD1347" s="53"/>
      <c r="AE1347" s="53"/>
      <c r="AF1347" s="53"/>
    </row>
    <row r="1348">
      <c r="G1348" s="55"/>
      <c r="H1348" s="54"/>
      <c r="I1348" s="54"/>
      <c r="J1348" s="54"/>
      <c r="K1348" s="54"/>
      <c r="L1348" s="54"/>
      <c r="M1348" s="54"/>
      <c r="N1348" s="59"/>
      <c r="O1348" s="61"/>
      <c r="P1348" s="61"/>
      <c r="Q1348" s="61"/>
      <c r="R1348" s="50"/>
      <c r="S1348" s="50"/>
      <c r="T1348" s="61"/>
      <c r="U1348" s="61"/>
      <c r="V1348" s="61"/>
      <c r="W1348" s="61"/>
      <c r="X1348" s="61"/>
      <c r="Y1348" s="61"/>
      <c r="Z1348" s="52"/>
      <c r="AA1348" s="52"/>
      <c r="AB1348" s="52"/>
      <c r="AC1348" s="52"/>
      <c r="AD1348" s="53"/>
      <c r="AE1348" s="53"/>
      <c r="AF1348" s="53"/>
    </row>
    <row r="1349">
      <c r="G1349" s="55"/>
      <c r="H1349" s="54"/>
      <c r="I1349" s="54"/>
      <c r="J1349" s="54"/>
      <c r="K1349" s="54"/>
      <c r="L1349" s="54"/>
      <c r="M1349" s="54"/>
      <c r="N1349" s="59"/>
      <c r="O1349" s="61"/>
      <c r="P1349" s="61"/>
      <c r="Q1349" s="61"/>
      <c r="R1349" s="50"/>
      <c r="S1349" s="50"/>
      <c r="T1349" s="61"/>
      <c r="U1349" s="61"/>
      <c r="V1349" s="61"/>
      <c r="W1349" s="61"/>
      <c r="X1349" s="61"/>
      <c r="Y1349" s="61"/>
      <c r="Z1349" s="52"/>
      <c r="AA1349" s="52"/>
      <c r="AB1349" s="52"/>
      <c r="AC1349" s="52"/>
      <c r="AD1349" s="53"/>
      <c r="AE1349" s="53"/>
      <c r="AF1349" s="53"/>
    </row>
    <row r="1350">
      <c r="G1350" s="55"/>
      <c r="H1350" s="54"/>
      <c r="I1350" s="54"/>
      <c r="J1350" s="54"/>
      <c r="K1350" s="54"/>
      <c r="L1350" s="54"/>
      <c r="M1350" s="54"/>
      <c r="N1350" s="59"/>
      <c r="O1350" s="61"/>
      <c r="P1350" s="61"/>
      <c r="Q1350" s="61"/>
      <c r="R1350" s="50"/>
      <c r="S1350" s="50"/>
      <c r="T1350" s="61"/>
      <c r="U1350" s="61"/>
      <c r="V1350" s="61"/>
      <c r="W1350" s="61"/>
      <c r="X1350" s="61"/>
      <c r="Y1350" s="61"/>
      <c r="Z1350" s="52"/>
      <c r="AA1350" s="52"/>
      <c r="AB1350" s="52"/>
      <c r="AC1350" s="52"/>
      <c r="AD1350" s="53"/>
      <c r="AE1350" s="53"/>
      <c r="AF1350" s="53"/>
    </row>
    <row r="1351">
      <c r="G1351" s="55"/>
      <c r="H1351" s="54"/>
      <c r="I1351" s="54"/>
      <c r="J1351" s="54"/>
      <c r="K1351" s="54"/>
      <c r="L1351" s="54"/>
      <c r="M1351" s="54"/>
      <c r="N1351" s="59"/>
      <c r="O1351" s="61"/>
      <c r="P1351" s="61"/>
      <c r="Q1351" s="61"/>
      <c r="R1351" s="50"/>
      <c r="S1351" s="50"/>
      <c r="T1351" s="61"/>
      <c r="U1351" s="61"/>
      <c r="V1351" s="61"/>
      <c r="W1351" s="61"/>
      <c r="X1351" s="61"/>
      <c r="Y1351" s="61"/>
      <c r="Z1351" s="52"/>
      <c r="AA1351" s="52"/>
      <c r="AB1351" s="52"/>
      <c r="AC1351" s="52"/>
      <c r="AD1351" s="53"/>
      <c r="AE1351" s="53"/>
      <c r="AF1351" s="53"/>
    </row>
    <row r="1352">
      <c r="G1352" s="55"/>
      <c r="H1352" s="54"/>
      <c r="I1352" s="54"/>
      <c r="J1352" s="54"/>
      <c r="K1352" s="54"/>
      <c r="L1352" s="54"/>
      <c r="M1352" s="54"/>
      <c r="N1352" s="59"/>
      <c r="O1352" s="61"/>
      <c r="P1352" s="61"/>
      <c r="Q1352" s="61"/>
      <c r="R1352" s="50"/>
      <c r="S1352" s="50"/>
      <c r="T1352" s="61"/>
      <c r="U1352" s="61"/>
      <c r="V1352" s="61"/>
      <c r="W1352" s="61"/>
      <c r="X1352" s="61"/>
      <c r="Y1352" s="61"/>
      <c r="Z1352" s="52"/>
      <c r="AA1352" s="52"/>
      <c r="AB1352" s="52"/>
      <c r="AC1352" s="52"/>
      <c r="AD1352" s="53"/>
      <c r="AE1352" s="53"/>
      <c r="AF1352" s="53"/>
    </row>
    <row r="1353">
      <c r="G1353" s="55"/>
      <c r="H1353" s="54"/>
      <c r="I1353" s="54"/>
      <c r="J1353" s="54"/>
      <c r="K1353" s="54"/>
      <c r="L1353" s="54"/>
      <c r="M1353" s="54"/>
      <c r="N1353" s="59"/>
      <c r="O1353" s="61"/>
      <c r="P1353" s="61"/>
      <c r="Q1353" s="61"/>
      <c r="R1353" s="50"/>
      <c r="S1353" s="50"/>
      <c r="T1353" s="61"/>
      <c r="U1353" s="61"/>
      <c r="V1353" s="61"/>
      <c r="W1353" s="61"/>
      <c r="X1353" s="61"/>
      <c r="Y1353" s="61"/>
      <c r="Z1353" s="52"/>
      <c r="AA1353" s="52"/>
      <c r="AB1353" s="52"/>
      <c r="AC1353" s="52"/>
      <c r="AD1353" s="53"/>
      <c r="AE1353" s="53"/>
      <c r="AF1353" s="53"/>
    </row>
    <row r="1354">
      <c r="G1354" s="55"/>
      <c r="H1354" s="54"/>
      <c r="I1354" s="54"/>
      <c r="J1354" s="54"/>
      <c r="K1354" s="54"/>
      <c r="L1354" s="54"/>
      <c r="M1354" s="54"/>
      <c r="N1354" s="59"/>
      <c r="O1354" s="61"/>
      <c r="P1354" s="61"/>
      <c r="Q1354" s="61"/>
      <c r="R1354" s="50"/>
      <c r="S1354" s="50"/>
      <c r="T1354" s="61"/>
      <c r="U1354" s="61"/>
      <c r="V1354" s="61"/>
      <c r="W1354" s="61"/>
      <c r="X1354" s="61"/>
      <c r="Y1354" s="61"/>
      <c r="Z1354" s="52"/>
      <c r="AA1354" s="52"/>
      <c r="AB1354" s="52"/>
      <c r="AC1354" s="52"/>
      <c r="AD1354" s="53"/>
      <c r="AE1354" s="53"/>
      <c r="AF1354" s="53"/>
    </row>
    <row r="1355">
      <c r="G1355" s="55"/>
      <c r="H1355" s="54"/>
      <c r="I1355" s="54"/>
      <c r="J1355" s="54"/>
      <c r="K1355" s="54"/>
      <c r="L1355" s="54"/>
      <c r="M1355" s="54"/>
      <c r="N1355" s="59"/>
      <c r="O1355" s="61"/>
      <c r="P1355" s="61"/>
      <c r="Q1355" s="61"/>
      <c r="R1355" s="50"/>
      <c r="S1355" s="50"/>
      <c r="T1355" s="61"/>
      <c r="U1355" s="61"/>
      <c r="V1355" s="61"/>
      <c r="W1355" s="61"/>
      <c r="X1355" s="61"/>
      <c r="Y1355" s="61"/>
      <c r="Z1355" s="52"/>
      <c r="AA1355" s="52"/>
      <c r="AB1355" s="52"/>
      <c r="AC1355" s="52"/>
      <c r="AD1355" s="53"/>
      <c r="AE1355" s="53"/>
      <c r="AF1355" s="53"/>
    </row>
    <row r="1356">
      <c r="G1356" s="55"/>
      <c r="H1356" s="54"/>
      <c r="I1356" s="54"/>
      <c r="J1356" s="54"/>
      <c r="K1356" s="54"/>
      <c r="L1356" s="54"/>
      <c r="M1356" s="54"/>
      <c r="N1356" s="59"/>
      <c r="O1356" s="61"/>
      <c r="P1356" s="61"/>
      <c r="Q1356" s="61"/>
      <c r="R1356" s="50"/>
      <c r="S1356" s="50"/>
      <c r="T1356" s="61"/>
      <c r="U1356" s="61"/>
      <c r="V1356" s="61"/>
      <c r="W1356" s="61"/>
      <c r="X1356" s="61"/>
      <c r="Y1356" s="61"/>
      <c r="Z1356" s="52"/>
      <c r="AA1356" s="52"/>
      <c r="AB1356" s="52"/>
      <c r="AC1356" s="52"/>
      <c r="AD1356" s="53"/>
      <c r="AE1356" s="53"/>
      <c r="AF1356" s="53"/>
    </row>
    <row r="1357">
      <c r="G1357" s="55"/>
      <c r="H1357" s="54"/>
      <c r="I1357" s="54"/>
      <c r="J1357" s="54"/>
      <c r="K1357" s="54"/>
      <c r="L1357" s="54"/>
      <c r="M1357" s="54"/>
      <c r="N1357" s="59"/>
      <c r="O1357" s="61"/>
      <c r="P1357" s="61"/>
      <c r="Q1357" s="61"/>
      <c r="R1357" s="50"/>
      <c r="S1357" s="50"/>
      <c r="T1357" s="61"/>
      <c r="U1357" s="61"/>
      <c r="V1357" s="61"/>
      <c r="W1357" s="61"/>
      <c r="X1357" s="61"/>
      <c r="Y1357" s="61"/>
      <c r="Z1357" s="52"/>
      <c r="AA1357" s="52"/>
      <c r="AB1357" s="52"/>
      <c r="AC1357" s="52"/>
      <c r="AD1357" s="53"/>
      <c r="AE1357" s="53"/>
      <c r="AF1357" s="53"/>
    </row>
    <row r="1358">
      <c r="G1358" s="55"/>
      <c r="H1358" s="54"/>
      <c r="I1358" s="54"/>
      <c r="J1358" s="54"/>
      <c r="K1358" s="54"/>
      <c r="L1358" s="54"/>
      <c r="M1358" s="54"/>
      <c r="N1358" s="59"/>
      <c r="O1358" s="61"/>
      <c r="P1358" s="61"/>
      <c r="Q1358" s="61"/>
      <c r="R1358" s="50"/>
      <c r="S1358" s="50"/>
      <c r="T1358" s="61"/>
      <c r="U1358" s="61"/>
      <c r="V1358" s="61"/>
      <c r="W1358" s="61"/>
      <c r="X1358" s="61"/>
      <c r="Y1358" s="61"/>
      <c r="Z1358" s="52"/>
      <c r="AA1358" s="52"/>
      <c r="AB1358" s="52"/>
      <c r="AC1358" s="52"/>
      <c r="AD1358" s="53"/>
      <c r="AE1358" s="53"/>
      <c r="AF1358" s="53"/>
    </row>
    <row r="1359">
      <c r="G1359" s="55"/>
      <c r="H1359" s="54"/>
      <c r="I1359" s="54"/>
      <c r="J1359" s="54"/>
      <c r="K1359" s="54"/>
      <c r="L1359" s="54"/>
      <c r="M1359" s="54"/>
      <c r="N1359" s="59"/>
      <c r="O1359" s="61"/>
      <c r="P1359" s="61"/>
      <c r="Q1359" s="61"/>
      <c r="R1359" s="50"/>
      <c r="S1359" s="50"/>
      <c r="T1359" s="61"/>
      <c r="U1359" s="61"/>
      <c r="V1359" s="61"/>
      <c r="W1359" s="61"/>
      <c r="X1359" s="61"/>
      <c r="Y1359" s="61"/>
      <c r="Z1359" s="52"/>
      <c r="AA1359" s="52"/>
      <c r="AB1359" s="52"/>
      <c r="AC1359" s="52"/>
      <c r="AD1359" s="53"/>
      <c r="AE1359" s="53"/>
      <c r="AF1359" s="53"/>
    </row>
    <row r="1360">
      <c r="G1360" s="55"/>
      <c r="H1360" s="54"/>
      <c r="I1360" s="54"/>
      <c r="J1360" s="54"/>
      <c r="K1360" s="54"/>
      <c r="L1360" s="54"/>
      <c r="M1360" s="54"/>
      <c r="N1360" s="59"/>
      <c r="O1360" s="61"/>
      <c r="P1360" s="61"/>
      <c r="Q1360" s="61"/>
      <c r="R1360" s="50"/>
      <c r="S1360" s="50"/>
      <c r="T1360" s="61"/>
      <c r="U1360" s="61"/>
      <c r="V1360" s="61"/>
      <c r="W1360" s="61"/>
      <c r="X1360" s="61"/>
      <c r="Y1360" s="61"/>
      <c r="Z1360" s="52"/>
      <c r="AA1360" s="52"/>
      <c r="AB1360" s="52"/>
      <c r="AC1360" s="52"/>
      <c r="AD1360" s="53"/>
      <c r="AE1360" s="53"/>
      <c r="AF1360" s="53"/>
    </row>
    <row r="1361">
      <c r="G1361" s="55"/>
      <c r="H1361" s="54"/>
      <c r="I1361" s="54"/>
      <c r="J1361" s="54"/>
      <c r="K1361" s="54"/>
      <c r="L1361" s="54"/>
      <c r="M1361" s="54"/>
      <c r="N1361" s="59"/>
      <c r="O1361" s="61"/>
      <c r="P1361" s="61"/>
      <c r="Q1361" s="61"/>
      <c r="R1361" s="50"/>
      <c r="S1361" s="50"/>
      <c r="T1361" s="61"/>
      <c r="U1361" s="61"/>
      <c r="V1361" s="61"/>
      <c r="W1361" s="61"/>
      <c r="X1361" s="61"/>
      <c r="Y1361" s="61"/>
      <c r="Z1361" s="52"/>
      <c r="AA1361" s="52"/>
      <c r="AB1361" s="52"/>
      <c r="AC1361" s="52"/>
      <c r="AD1361" s="53"/>
      <c r="AE1361" s="53"/>
      <c r="AF1361" s="53"/>
    </row>
    <row r="1362">
      <c r="G1362" s="55"/>
      <c r="H1362" s="54"/>
      <c r="I1362" s="54"/>
      <c r="J1362" s="54"/>
      <c r="K1362" s="54"/>
      <c r="L1362" s="54"/>
      <c r="M1362" s="54"/>
      <c r="N1362" s="59"/>
      <c r="O1362" s="61"/>
      <c r="P1362" s="61"/>
      <c r="Q1362" s="61"/>
      <c r="R1362" s="50"/>
      <c r="S1362" s="50"/>
      <c r="T1362" s="61"/>
      <c r="U1362" s="61"/>
      <c r="V1362" s="61"/>
      <c r="W1362" s="61"/>
      <c r="X1362" s="61"/>
      <c r="Y1362" s="61"/>
      <c r="Z1362" s="52"/>
      <c r="AA1362" s="52"/>
      <c r="AB1362" s="52"/>
      <c r="AC1362" s="52"/>
      <c r="AD1362" s="53"/>
      <c r="AE1362" s="53"/>
      <c r="AF1362" s="53"/>
    </row>
    <row r="1363">
      <c r="G1363" s="55"/>
      <c r="H1363" s="54"/>
      <c r="I1363" s="54"/>
      <c r="J1363" s="54"/>
      <c r="K1363" s="54"/>
      <c r="L1363" s="54"/>
      <c r="M1363" s="54"/>
      <c r="N1363" s="59"/>
      <c r="O1363" s="61"/>
      <c r="P1363" s="61"/>
      <c r="Q1363" s="61"/>
      <c r="R1363" s="50"/>
      <c r="S1363" s="50"/>
      <c r="T1363" s="61"/>
      <c r="U1363" s="61"/>
      <c r="V1363" s="61"/>
      <c r="W1363" s="61"/>
      <c r="X1363" s="61"/>
      <c r="Y1363" s="61"/>
      <c r="Z1363" s="52"/>
      <c r="AA1363" s="52"/>
      <c r="AB1363" s="52"/>
      <c r="AC1363" s="52"/>
      <c r="AD1363" s="53"/>
      <c r="AE1363" s="53"/>
      <c r="AF1363" s="53"/>
    </row>
    <row r="1364">
      <c r="G1364" s="55"/>
      <c r="H1364" s="54"/>
      <c r="I1364" s="54"/>
      <c r="J1364" s="54"/>
      <c r="K1364" s="54"/>
      <c r="L1364" s="54"/>
      <c r="M1364" s="54"/>
      <c r="N1364" s="59"/>
      <c r="O1364" s="61"/>
      <c r="P1364" s="61"/>
      <c r="Q1364" s="61"/>
      <c r="R1364" s="50"/>
      <c r="S1364" s="50"/>
      <c r="T1364" s="61"/>
      <c r="U1364" s="61"/>
      <c r="V1364" s="61"/>
      <c r="W1364" s="61"/>
      <c r="X1364" s="61"/>
      <c r="Y1364" s="61"/>
      <c r="Z1364" s="52"/>
      <c r="AA1364" s="52"/>
      <c r="AB1364" s="52"/>
      <c r="AC1364" s="52"/>
      <c r="AD1364" s="53"/>
      <c r="AE1364" s="53"/>
      <c r="AF1364" s="53"/>
    </row>
    <row r="1365">
      <c r="G1365" s="55"/>
      <c r="H1365" s="54"/>
      <c r="I1365" s="54"/>
      <c r="J1365" s="54"/>
      <c r="K1365" s="54"/>
      <c r="L1365" s="54"/>
      <c r="M1365" s="54"/>
      <c r="N1365" s="59"/>
      <c r="O1365" s="61"/>
      <c r="P1365" s="61"/>
      <c r="Q1365" s="61"/>
      <c r="R1365" s="50"/>
      <c r="S1365" s="50"/>
      <c r="T1365" s="61"/>
      <c r="U1365" s="61"/>
      <c r="V1365" s="61"/>
      <c r="W1365" s="61"/>
      <c r="X1365" s="61"/>
      <c r="Y1365" s="61"/>
      <c r="Z1365" s="52"/>
      <c r="AA1365" s="52"/>
      <c r="AB1365" s="52"/>
      <c r="AC1365" s="52"/>
      <c r="AD1365" s="53"/>
      <c r="AE1365" s="53"/>
      <c r="AF1365" s="53"/>
    </row>
    <row r="1366">
      <c r="G1366" s="55"/>
      <c r="H1366" s="54"/>
      <c r="I1366" s="54"/>
      <c r="J1366" s="54"/>
      <c r="K1366" s="54"/>
      <c r="L1366" s="54"/>
      <c r="M1366" s="54"/>
      <c r="N1366" s="59"/>
      <c r="O1366" s="61"/>
      <c r="P1366" s="61"/>
      <c r="Q1366" s="61"/>
      <c r="R1366" s="50"/>
      <c r="S1366" s="50"/>
      <c r="T1366" s="61"/>
      <c r="U1366" s="61"/>
      <c r="V1366" s="61"/>
      <c r="W1366" s="61"/>
      <c r="X1366" s="61"/>
      <c r="Y1366" s="61"/>
      <c r="Z1366" s="52"/>
      <c r="AA1366" s="52"/>
      <c r="AB1366" s="52"/>
      <c r="AC1366" s="52"/>
      <c r="AD1366" s="53"/>
      <c r="AE1366" s="53"/>
      <c r="AF1366" s="53"/>
    </row>
    <row r="1367">
      <c r="G1367" s="55"/>
      <c r="H1367" s="54"/>
      <c r="I1367" s="54"/>
      <c r="J1367" s="54"/>
      <c r="K1367" s="54"/>
      <c r="L1367" s="54"/>
      <c r="M1367" s="54"/>
      <c r="N1367" s="59"/>
      <c r="O1367" s="61"/>
      <c r="P1367" s="61"/>
      <c r="Q1367" s="61"/>
      <c r="R1367" s="50"/>
      <c r="S1367" s="50"/>
      <c r="T1367" s="61"/>
      <c r="U1367" s="61"/>
      <c r="V1367" s="61"/>
      <c r="W1367" s="61"/>
      <c r="X1367" s="61"/>
      <c r="Y1367" s="61"/>
      <c r="Z1367" s="52"/>
      <c r="AA1367" s="52"/>
      <c r="AB1367" s="52"/>
      <c r="AC1367" s="52"/>
      <c r="AD1367" s="53"/>
      <c r="AE1367" s="53"/>
      <c r="AF1367" s="53"/>
    </row>
    <row r="1368">
      <c r="G1368" s="55"/>
      <c r="H1368" s="54"/>
      <c r="I1368" s="54"/>
      <c r="J1368" s="54"/>
      <c r="K1368" s="54"/>
      <c r="L1368" s="54"/>
      <c r="M1368" s="54"/>
      <c r="N1368" s="59"/>
      <c r="O1368" s="61"/>
      <c r="P1368" s="61"/>
      <c r="Q1368" s="61"/>
      <c r="R1368" s="50"/>
      <c r="S1368" s="50"/>
      <c r="T1368" s="61"/>
      <c r="U1368" s="61"/>
      <c r="V1368" s="61"/>
      <c r="W1368" s="61"/>
      <c r="X1368" s="61"/>
      <c r="Y1368" s="61"/>
      <c r="Z1368" s="52"/>
      <c r="AA1368" s="52"/>
      <c r="AB1368" s="52"/>
      <c r="AC1368" s="52"/>
      <c r="AD1368" s="53"/>
      <c r="AE1368" s="53"/>
      <c r="AF1368" s="53"/>
    </row>
    <row r="1369">
      <c r="G1369" s="55"/>
      <c r="H1369" s="54"/>
      <c r="I1369" s="54"/>
      <c r="J1369" s="54"/>
      <c r="K1369" s="54"/>
      <c r="L1369" s="54"/>
      <c r="M1369" s="54"/>
      <c r="N1369" s="59"/>
      <c r="O1369" s="61"/>
      <c r="P1369" s="61"/>
      <c r="Q1369" s="61"/>
      <c r="R1369" s="50"/>
      <c r="S1369" s="50"/>
      <c r="T1369" s="61"/>
      <c r="U1369" s="61"/>
      <c r="V1369" s="61"/>
      <c r="W1369" s="61"/>
      <c r="X1369" s="61"/>
      <c r="Y1369" s="61"/>
      <c r="Z1369" s="52"/>
      <c r="AA1369" s="52"/>
      <c r="AB1369" s="52"/>
      <c r="AC1369" s="52"/>
      <c r="AD1369" s="53"/>
      <c r="AE1369" s="53"/>
      <c r="AF1369" s="53"/>
    </row>
    <row r="1370">
      <c r="G1370" s="55"/>
      <c r="H1370" s="54"/>
      <c r="I1370" s="54"/>
      <c r="J1370" s="54"/>
      <c r="K1370" s="54"/>
      <c r="L1370" s="54"/>
      <c r="M1370" s="54"/>
      <c r="N1370" s="59"/>
      <c r="O1370" s="61"/>
      <c r="P1370" s="61"/>
      <c r="Q1370" s="61"/>
      <c r="R1370" s="50"/>
      <c r="S1370" s="50"/>
      <c r="T1370" s="61"/>
      <c r="U1370" s="61"/>
      <c r="V1370" s="61"/>
      <c r="W1370" s="61"/>
      <c r="X1370" s="61"/>
      <c r="Y1370" s="61"/>
      <c r="Z1370" s="52"/>
      <c r="AA1370" s="52"/>
      <c r="AB1370" s="52"/>
      <c r="AC1370" s="52"/>
      <c r="AD1370" s="53"/>
      <c r="AE1370" s="53"/>
      <c r="AF1370" s="53"/>
    </row>
    <row r="1371">
      <c r="G1371" s="55"/>
      <c r="H1371" s="54"/>
      <c r="I1371" s="54"/>
      <c r="J1371" s="54"/>
      <c r="K1371" s="54"/>
      <c r="L1371" s="54"/>
      <c r="M1371" s="54"/>
      <c r="N1371" s="59"/>
      <c r="O1371" s="61"/>
      <c r="P1371" s="61"/>
      <c r="Q1371" s="61"/>
      <c r="R1371" s="50"/>
      <c r="S1371" s="50"/>
      <c r="T1371" s="61"/>
      <c r="U1371" s="61"/>
      <c r="V1371" s="61"/>
      <c r="W1371" s="61"/>
      <c r="X1371" s="61"/>
      <c r="Y1371" s="61"/>
      <c r="Z1371" s="52"/>
      <c r="AA1371" s="52"/>
      <c r="AB1371" s="52"/>
      <c r="AC1371" s="52"/>
      <c r="AD1371" s="53"/>
      <c r="AE1371" s="53"/>
      <c r="AF1371" s="53"/>
    </row>
    <row r="1372">
      <c r="G1372" s="55"/>
      <c r="H1372" s="54"/>
      <c r="I1372" s="54"/>
      <c r="J1372" s="54"/>
      <c r="K1372" s="54"/>
      <c r="L1372" s="54"/>
      <c r="M1372" s="54"/>
      <c r="N1372" s="59"/>
      <c r="O1372" s="61"/>
      <c r="P1372" s="61"/>
      <c r="Q1372" s="61"/>
      <c r="R1372" s="50"/>
      <c r="S1372" s="50"/>
      <c r="T1372" s="61"/>
      <c r="U1372" s="61"/>
      <c r="V1372" s="61"/>
      <c r="W1372" s="61"/>
      <c r="X1372" s="61"/>
      <c r="Y1372" s="61"/>
      <c r="Z1372" s="52"/>
      <c r="AA1372" s="52"/>
      <c r="AB1372" s="52"/>
      <c r="AC1372" s="52"/>
      <c r="AD1372" s="53"/>
      <c r="AE1372" s="53"/>
      <c r="AF1372" s="53"/>
    </row>
    <row r="1373">
      <c r="G1373" s="55"/>
      <c r="H1373" s="54"/>
      <c r="I1373" s="54"/>
      <c r="J1373" s="54"/>
      <c r="K1373" s="54"/>
      <c r="L1373" s="54"/>
      <c r="M1373" s="54"/>
      <c r="N1373" s="59"/>
      <c r="O1373" s="61"/>
      <c r="P1373" s="61"/>
      <c r="Q1373" s="61"/>
      <c r="R1373" s="50"/>
      <c r="S1373" s="50"/>
      <c r="T1373" s="61"/>
      <c r="U1373" s="61"/>
      <c r="V1373" s="61"/>
      <c r="W1373" s="61"/>
      <c r="X1373" s="61"/>
      <c r="Y1373" s="61"/>
      <c r="Z1373" s="52"/>
      <c r="AA1373" s="52"/>
      <c r="AB1373" s="52"/>
      <c r="AC1373" s="52"/>
      <c r="AD1373" s="53"/>
      <c r="AE1373" s="53"/>
      <c r="AF1373" s="53"/>
    </row>
    <row r="1374">
      <c r="G1374" s="55"/>
      <c r="H1374" s="54"/>
      <c r="I1374" s="54"/>
      <c r="J1374" s="54"/>
      <c r="K1374" s="54"/>
      <c r="L1374" s="54"/>
      <c r="M1374" s="54"/>
      <c r="N1374" s="59"/>
      <c r="O1374" s="61"/>
      <c r="P1374" s="61"/>
      <c r="Q1374" s="61"/>
      <c r="R1374" s="50"/>
      <c r="S1374" s="50"/>
      <c r="T1374" s="61"/>
      <c r="U1374" s="61"/>
      <c r="V1374" s="61"/>
      <c r="W1374" s="61"/>
      <c r="X1374" s="61"/>
      <c r="Y1374" s="61"/>
      <c r="Z1374" s="52"/>
      <c r="AA1374" s="52"/>
      <c r="AB1374" s="52"/>
      <c r="AC1374" s="52"/>
      <c r="AD1374" s="53"/>
      <c r="AE1374" s="53"/>
      <c r="AF1374" s="53"/>
    </row>
    <row r="1375">
      <c r="G1375" s="55"/>
      <c r="H1375" s="54"/>
      <c r="I1375" s="54"/>
      <c r="J1375" s="54"/>
      <c r="K1375" s="54"/>
      <c r="L1375" s="54"/>
      <c r="M1375" s="54"/>
      <c r="N1375" s="59"/>
      <c r="O1375" s="61"/>
      <c r="P1375" s="61"/>
      <c r="Q1375" s="61"/>
      <c r="R1375" s="50"/>
      <c r="S1375" s="50"/>
      <c r="T1375" s="61"/>
      <c r="U1375" s="61"/>
      <c r="V1375" s="61"/>
      <c r="W1375" s="61"/>
      <c r="X1375" s="61"/>
      <c r="Y1375" s="61"/>
      <c r="Z1375" s="52"/>
      <c r="AA1375" s="52"/>
      <c r="AB1375" s="52"/>
      <c r="AC1375" s="52"/>
      <c r="AD1375" s="53"/>
      <c r="AE1375" s="53"/>
      <c r="AF1375" s="53"/>
    </row>
    <row r="1376">
      <c r="G1376" s="55"/>
      <c r="H1376" s="54"/>
      <c r="I1376" s="54"/>
      <c r="J1376" s="54"/>
      <c r="K1376" s="54"/>
      <c r="L1376" s="54"/>
      <c r="M1376" s="54"/>
      <c r="N1376" s="59"/>
      <c r="O1376" s="61"/>
      <c r="P1376" s="61"/>
      <c r="Q1376" s="61"/>
      <c r="R1376" s="50"/>
      <c r="S1376" s="50"/>
      <c r="T1376" s="61"/>
      <c r="U1376" s="61"/>
      <c r="V1376" s="61"/>
      <c r="W1376" s="61"/>
      <c r="X1376" s="61"/>
      <c r="Y1376" s="61"/>
      <c r="Z1376" s="52"/>
      <c r="AA1376" s="52"/>
      <c r="AB1376" s="52"/>
      <c r="AC1376" s="52"/>
      <c r="AD1376" s="53"/>
      <c r="AE1376" s="53"/>
      <c r="AF1376" s="53"/>
    </row>
    <row r="1377">
      <c r="G1377" s="55"/>
      <c r="H1377" s="54"/>
      <c r="I1377" s="54"/>
      <c r="J1377" s="54"/>
      <c r="K1377" s="54"/>
      <c r="L1377" s="54"/>
      <c r="M1377" s="54"/>
      <c r="N1377" s="59"/>
      <c r="O1377" s="61"/>
      <c r="P1377" s="61"/>
      <c r="Q1377" s="61"/>
      <c r="R1377" s="50"/>
      <c r="S1377" s="50"/>
      <c r="T1377" s="61"/>
      <c r="U1377" s="61"/>
      <c r="V1377" s="61"/>
      <c r="W1377" s="61"/>
      <c r="X1377" s="61"/>
      <c r="Y1377" s="61"/>
      <c r="Z1377" s="52"/>
      <c r="AA1377" s="52"/>
      <c r="AB1377" s="52"/>
      <c r="AC1377" s="52"/>
      <c r="AD1377" s="53"/>
      <c r="AE1377" s="53"/>
      <c r="AF1377" s="53"/>
    </row>
    <row r="1378">
      <c r="G1378" s="55"/>
      <c r="H1378" s="54"/>
      <c r="I1378" s="54"/>
      <c r="J1378" s="54"/>
      <c r="K1378" s="54"/>
      <c r="L1378" s="54"/>
      <c r="M1378" s="54"/>
      <c r="N1378" s="59"/>
      <c r="O1378" s="61"/>
      <c r="P1378" s="61"/>
      <c r="Q1378" s="61"/>
      <c r="R1378" s="50"/>
      <c r="S1378" s="50"/>
      <c r="T1378" s="61"/>
      <c r="U1378" s="61"/>
      <c r="V1378" s="61"/>
      <c r="W1378" s="61"/>
      <c r="X1378" s="61"/>
      <c r="Y1378" s="61"/>
      <c r="Z1378" s="52"/>
      <c r="AA1378" s="52"/>
      <c r="AB1378" s="52"/>
      <c r="AC1378" s="52"/>
      <c r="AD1378" s="53"/>
      <c r="AE1378" s="53"/>
      <c r="AF1378" s="53"/>
    </row>
    <row r="1379">
      <c r="G1379" s="55"/>
      <c r="H1379" s="54"/>
      <c r="I1379" s="54"/>
      <c r="J1379" s="54"/>
      <c r="K1379" s="54"/>
      <c r="L1379" s="54"/>
      <c r="M1379" s="54"/>
      <c r="N1379" s="59"/>
      <c r="O1379" s="61"/>
      <c r="P1379" s="61"/>
      <c r="Q1379" s="61"/>
      <c r="R1379" s="50"/>
      <c r="S1379" s="50"/>
      <c r="T1379" s="61"/>
      <c r="U1379" s="61"/>
      <c r="V1379" s="61"/>
      <c r="W1379" s="61"/>
      <c r="X1379" s="61"/>
      <c r="Y1379" s="61"/>
      <c r="Z1379" s="52"/>
      <c r="AA1379" s="52"/>
      <c r="AB1379" s="52"/>
      <c r="AC1379" s="52"/>
      <c r="AD1379" s="53"/>
      <c r="AE1379" s="53"/>
      <c r="AF1379" s="53"/>
    </row>
    <row r="1380">
      <c r="G1380" s="55"/>
      <c r="H1380" s="54"/>
      <c r="I1380" s="54"/>
      <c r="J1380" s="54"/>
      <c r="K1380" s="54"/>
      <c r="L1380" s="54"/>
      <c r="M1380" s="54"/>
      <c r="N1380" s="59"/>
      <c r="O1380" s="61"/>
      <c r="P1380" s="61"/>
      <c r="Q1380" s="61"/>
      <c r="R1380" s="50"/>
      <c r="S1380" s="50"/>
      <c r="T1380" s="61"/>
      <c r="U1380" s="61"/>
      <c r="V1380" s="61"/>
      <c r="W1380" s="61"/>
      <c r="X1380" s="61"/>
      <c r="Y1380" s="61"/>
      <c r="Z1380" s="52"/>
      <c r="AA1380" s="52"/>
      <c r="AB1380" s="52"/>
      <c r="AC1380" s="52"/>
      <c r="AD1380" s="53"/>
      <c r="AE1380" s="53"/>
      <c r="AF1380" s="53"/>
    </row>
    <row r="1381">
      <c r="G1381" s="55"/>
      <c r="H1381" s="54"/>
      <c r="I1381" s="54"/>
      <c r="J1381" s="54"/>
      <c r="K1381" s="54"/>
      <c r="L1381" s="54"/>
      <c r="M1381" s="54"/>
      <c r="N1381" s="59"/>
      <c r="O1381" s="61"/>
      <c r="P1381" s="61"/>
      <c r="Q1381" s="61"/>
      <c r="R1381" s="50"/>
      <c r="S1381" s="50"/>
      <c r="T1381" s="61"/>
      <c r="U1381" s="61"/>
      <c r="V1381" s="61"/>
      <c r="W1381" s="61"/>
      <c r="X1381" s="61"/>
      <c r="Y1381" s="61"/>
      <c r="Z1381" s="52"/>
      <c r="AA1381" s="52"/>
      <c r="AB1381" s="52"/>
      <c r="AC1381" s="52"/>
      <c r="AD1381" s="53"/>
      <c r="AE1381" s="53"/>
      <c r="AF1381" s="53"/>
    </row>
    <row r="1382">
      <c r="G1382" s="55"/>
      <c r="H1382" s="54"/>
      <c r="I1382" s="54"/>
      <c r="J1382" s="54"/>
      <c r="K1382" s="54"/>
      <c r="L1382" s="54"/>
      <c r="M1382" s="54"/>
      <c r="N1382" s="59"/>
      <c r="O1382" s="61"/>
      <c r="P1382" s="61"/>
      <c r="Q1382" s="61"/>
      <c r="R1382" s="50"/>
      <c r="S1382" s="50"/>
      <c r="T1382" s="61"/>
      <c r="U1382" s="61"/>
      <c r="V1382" s="61"/>
      <c r="W1382" s="61"/>
      <c r="X1382" s="61"/>
      <c r="Y1382" s="61"/>
      <c r="Z1382" s="52"/>
      <c r="AA1382" s="52"/>
      <c r="AB1382" s="52"/>
      <c r="AC1382" s="52"/>
      <c r="AD1382" s="53"/>
      <c r="AE1382" s="53"/>
      <c r="AF1382" s="53"/>
    </row>
    <row r="1383">
      <c r="G1383" s="55"/>
      <c r="H1383" s="54"/>
      <c r="I1383" s="54"/>
      <c r="J1383" s="54"/>
      <c r="K1383" s="54"/>
      <c r="L1383" s="54"/>
      <c r="M1383" s="54"/>
      <c r="N1383" s="59"/>
      <c r="O1383" s="61"/>
      <c r="P1383" s="61"/>
      <c r="Q1383" s="61"/>
      <c r="R1383" s="50"/>
      <c r="S1383" s="50"/>
      <c r="T1383" s="61"/>
      <c r="U1383" s="61"/>
      <c r="V1383" s="61"/>
      <c r="W1383" s="61"/>
      <c r="X1383" s="61"/>
      <c r="Y1383" s="61"/>
      <c r="Z1383" s="52"/>
      <c r="AA1383" s="52"/>
      <c r="AB1383" s="52"/>
      <c r="AC1383" s="52"/>
      <c r="AD1383" s="53"/>
      <c r="AE1383" s="53"/>
      <c r="AF1383" s="53"/>
    </row>
    <row r="1384">
      <c r="G1384" s="55"/>
      <c r="H1384" s="54"/>
      <c r="I1384" s="54"/>
      <c r="J1384" s="54"/>
      <c r="K1384" s="54"/>
      <c r="L1384" s="54"/>
      <c r="M1384" s="54"/>
      <c r="N1384" s="59"/>
      <c r="O1384" s="61"/>
      <c r="P1384" s="61"/>
      <c r="Q1384" s="61"/>
      <c r="R1384" s="50"/>
      <c r="S1384" s="50"/>
      <c r="T1384" s="61"/>
      <c r="U1384" s="61"/>
      <c r="V1384" s="61"/>
      <c r="W1384" s="61"/>
      <c r="X1384" s="61"/>
      <c r="Y1384" s="61"/>
      <c r="Z1384" s="52"/>
      <c r="AA1384" s="52"/>
      <c r="AB1384" s="52"/>
      <c r="AC1384" s="52"/>
      <c r="AD1384" s="53"/>
      <c r="AE1384" s="53"/>
      <c r="AF1384" s="53"/>
    </row>
    <row r="1385">
      <c r="G1385" s="55"/>
      <c r="H1385" s="54"/>
      <c r="I1385" s="54"/>
      <c r="J1385" s="54"/>
      <c r="K1385" s="54"/>
      <c r="L1385" s="54"/>
      <c r="M1385" s="54"/>
      <c r="N1385" s="59"/>
      <c r="O1385" s="61"/>
      <c r="P1385" s="61"/>
      <c r="Q1385" s="61"/>
      <c r="R1385" s="50"/>
      <c r="S1385" s="50"/>
      <c r="T1385" s="61"/>
      <c r="U1385" s="61"/>
      <c r="V1385" s="61"/>
      <c r="W1385" s="61"/>
      <c r="X1385" s="61"/>
      <c r="Y1385" s="61"/>
      <c r="Z1385" s="52"/>
      <c r="AA1385" s="52"/>
      <c r="AB1385" s="52"/>
      <c r="AC1385" s="52"/>
      <c r="AD1385" s="53"/>
      <c r="AE1385" s="53"/>
      <c r="AF1385" s="53"/>
    </row>
    <row r="1386">
      <c r="G1386" s="55"/>
      <c r="H1386" s="54"/>
      <c r="I1386" s="54"/>
      <c r="J1386" s="54"/>
      <c r="K1386" s="54"/>
      <c r="L1386" s="54"/>
      <c r="M1386" s="54"/>
      <c r="N1386" s="59"/>
      <c r="O1386" s="61"/>
      <c r="P1386" s="61"/>
      <c r="Q1386" s="61"/>
      <c r="R1386" s="50"/>
      <c r="S1386" s="50"/>
      <c r="T1386" s="61"/>
      <c r="U1386" s="61"/>
      <c r="V1386" s="61"/>
      <c r="W1386" s="61"/>
      <c r="X1386" s="61"/>
      <c r="Y1386" s="61"/>
      <c r="Z1386" s="52"/>
      <c r="AA1386" s="52"/>
      <c r="AB1386" s="52"/>
      <c r="AC1386" s="52"/>
      <c r="AD1386" s="53"/>
      <c r="AE1386" s="53"/>
      <c r="AF1386" s="53"/>
    </row>
    <row r="1387">
      <c r="G1387" s="55"/>
      <c r="H1387" s="54"/>
      <c r="I1387" s="54"/>
      <c r="J1387" s="54"/>
      <c r="K1387" s="54"/>
      <c r="L1387" s="54"/>
      <c r="M1387" s="54"/>
      <c r="N1387" s="59"/>
      <c r="O1387" s="61"/>
      <c r="P1387" s="61"/>
      <c r="Q1387" s="61"/>
      <c r="R1387" s="50"/>
      <c r="S1387" s="50"/>
      <c r="T1387" s="61"/>
      <c r="U1387" s="61"/>
      <c r="V1387" s="61"/>
      <c r="W1387" s="61"/>
      <c r="X1387" s="61"/>
      <c r="Y1387" s="61"/>
      <c r="Z1387" s="52"/>
      <c r="AA1387" s="52"/>
      <c r="AB1387" s="52"/>
      <c r="AC1387" s="52"/>
      <c r="AD1387" s="53"/>
      <c r="AE1387" s="53"/>
      <c r="AF1387" s="53"/>
    </row>
    <row r="1388">
      <c r="G1388" s="55"/>
      <c r="H1388" s="54"/>
      <c r="I1388" s="54"/>
      <c r="J1388" s="54"/>
      <c r="K1388" s="54"/>
      <c r="L1388" s="54"/>
      <c r="M1388" s="54"/>
      <c r="N1388" s="59"/>
      <c r="O1388" s="61"/>
      <c r="P1388" s="61"/>
      <c r="Q1388" s="61"/>
      <c r="R1388" s="50"/>
      <c r="S1388" s="50"/>
      <c r="T1388" s="61"/>
      <c r="U1388" s="61"/>
      <c r="V1388" s="61"/>
      <c r="W1388" s="61"/>
      <c r="X1388" s="61"/>
      <c r="Y1388" s="61"/>
      <c r="Z1388" s="52"/>
      <c r="AA1388" s="52"/>
      <c r="AB1388" s="52"/>
      <c r="AC1388" s="52"/>
      <c r="AD1388" s="53"/>
      <c r="AE1388" s="53"/>
      <c r="AF1388" s="53"/>
    </row>
    <row r="1389">
      <c r="G1389" s="55"/>
      <c r="H1389" s="54"/>
      <c r="I1389" s="54"/>
      <c r="J1389" s="54"/>
      <c r="K1389" s="54"/>
      <c r="L1389" s="54"/>
      <c r="M1389" s="54"/>
      <c r="N1389" s="59"/>
      <c r="O1389" s="61"/>
      <c r="P1389" s="61"/>
      <c r="Q1389" s="61"/>
      <c r="R1389" s="50"/>
      <c r="S1389" s="50"/>
      <c r="T1389" s="61"/>
      <c r="U1389" s="61"/>
      <c r="V1389" s="61"/>
      <c r="W1389" s="61"/>
      <c r="X1389" s="61"/>
      <c r="Y1389" s="61"/>
      <c r="Z1389" s="52"/>
      <c r="AA1389" s="52"/>
      <c r="AB1389" s="52"/>
      <c r="AC1389" s="52"/>
      <c r="AD1389" s="53"/>
      <c r="AE1389" s="53"/>
      <c r="AF1389" s="53"/>
    </row>
    <row r="1390">
      <c r="G1390" s="55"/>
      <c r="H1390" s="54"/>
      <c r="I1390" s="54"/>
      <c r="J1390" s="54"/>
      <c r="K1390" s="54"/>
      <c r="L1390" s="54"/>
      <c r="M1390" s="54"/>
      <c r="N1390" s="59"/>
      <c r="O1390" s="61"/>
      <c r="P1390" s="61"/>
      <c r="Q1390" s="61"/>
      <c r="R1390" s="50"/>
      <c r="S1390" s="50"/>
      <c r="T1390" s="61"/>
      <c r="U1390" s="61"/>
      <c r="V1390" s="61"/>
      <c r="W1390" s="61"/>
      <c r="X1390" s="61"/>
      <c r="Y1390" s="61"/>
      <c r="Z1390" s="52"/>
      <c r="AA1390" s="52"/>
      <c r="AB1390" s="52"/>
      <c r="AC1390" s="52"/>
      <c r="AD1390" s="53"/>
      <c r="AE1390" s="53"/>
      <c r="AF1390" s="53"/>
    </row>
    <row r="1391">
      <c r="G1391" s="55"/>
      <c r="H1391" s="54"/>
      <c r="I1391" s="54"/>
      <c r="J1391" s="54"/>
      <c r="K1391" s="54"/>
      <c r="L1391" s="54"/>
      <c r="M1391" s="54"/>
      <c r="N1391" s="59"/>
      <c r="O1391" s="61"/>
      <c r="P1391" s="61"/>
      <c r="Q1391" s="61"/>
      <c r="R1391" s="50"/>
      <c r="S1391" s="50"/>
      <c r="T1391" s="61"/>
      <c r="U1391" s="61"/>
      <c r="V1391" s="61"/>
      <c r="W1391" s="61"/>
      <c r="X1391" s="61"/>
      <c r="Y1391" s="61"/>
      <c r="Z1391" s="52"/>
      <c r="AA1391" s="52"/>
      <c r="AB1391" s="52"/>
      <c r="AC1391" s="52"/>
      <c r="AD1391" s="53"/>
      <c r="AE1391" s="53"/>
      <c r="AF1391" s="53"/>
    </row>
    <row r="1392">
      <c r="G1392" s="55"/>
      <c r="H1392" s="54"/>
      <c r="I1392" s="54"/>
      <c r="J1392" s="54"/>
      <c r="K1392" s="54"/>
      <c r="L1392" s="54"/>
      <c r="M1392" s="54"/>
      <c r="N1392" s="59"/>
      <c r="O1392" s="61"/>
      <c r="P1392" s="61"/>
      <c r="Q1392" s="61"/>
      <c r="R1392" s="50"/>
      <c r="S1392" s="50"/>
      <c r="T1392" s="61"/>
      <c r="U1392" s="61"/>
      <c r="V1392" s="61"/>
      <c r="W1392" s="61"/>
      <c r="X1392" s="61"/>
      <c r="Y1392" s="61"/>
      <c r="Z1392" s="52"/>
      <c r="AA1392" s="52"/>
      <c r="AB1392" s="52"/>
      <c r="AC1392" s="52"/>
      <c r="AD1392" s="53"/>
      <c r="AE1392" s="53"/>
      <c r="AF1392" s="53"/>
    </row>
    <row r="1393">
      <c r="G1393" s="55"/>
      <c r="H1393" s="54"/>
      <c r="I1393" s="54"/>
      <c r="J1393" s="54"/>
      <c r="K1393" s="54"/>
      <c r="L1393" s="54"/>
      <c r="M1393" s="54"/>
      <c r="N1393" s="59"/>
      <c r="O1393" s="61"/>
      <c r="P1393" s="61"/>
      <c r="Q1393" s="61"/>
      <c r="R1393" s="50"/>
      <c r="S1393" s="50"/>
      <c r="T1393" s="61"/>
      <c r="U1393" s="61"/>
      <c r="V1393" s="61"/>
      <c r="W1393" s="61"/>
      <c r="X1393" s="61"/>
      <c r="Y1393" s="61"/>
      <c r="Z1393" s="52"/>
      <c r="AA1393" s="52"/>
      <c r="AB1393" s="52"/>
      <c r="AC1393" s="52"/>
      <c r="AD1393" s="53"/>
      <c r="AE1393" s="53"/>
      <c r="AF1393" s="53"/>
    </row>
    <row r="1394">
      <c r="G1394" s="55"/>
      <c r="H1394" s="54"/>
      <c r="I1394" s="54"/>
      <c r="J1394" s="54"/>
      <c r="K1394" s="54"/>
      <c r="L1394" s="54"/>
      <c r="M1394" s="54"/>
      <c r="N1394" s="59"/>
      <c r="O1394" s="61"/>
      <c r="P1394" s="61"/>
      <c r="Q1394" s="61"/>
      <c r="R1394" s="50"/>
      <c r="S1394" s="50"/>
      <c r="T1394" s="61"/>
      <c r="U1394" s="61"/>
      <c r="V1394" s="61"/>
      <c r="W1394" s="61"/>
      <c r="X1394" s="61"/>
      <c r="Y1394" s="61"/>
      <c r="Z1394" s="52"/>
      <c r="AA1394" s="52"/>
      <c r="AB1394" s="52"/>
      <c r="AC1394" s="52"/>
      <c r="AD1394" s="53"/>
      <c r="AE1394" s="53"/>
      <c r="AF1394" s="53"/>
    </row>
    <row r="1395">
      <c r="G1395" s="55"/>
      <c r="H1395" s="54"/>
      <c r="I1395" s="54"/>
      <c r="J1395" s="54"/>
      <c r="K1395" s="54"/>
      <c r="L1395" s="54"/>
      <c r="M1395" s="54"/>
      <c r="N1395" s="59"/>
      <c r="O1395" s="61"/>
      <c r="P1395" s="61"/>
      <c r="Q1395" s="61"/>
      <c r="R1395" s="50"/>
      <c r="S1395" s="50"/>
      <c r="T1395" s="61"/>
      <c r="U1395" s="61"/>
      <c r="V1395" s="61"/>
      <c r="W1395" s="61"/>
      <c r="X1395" s="61"/>
      <c r="Y1395" s="61"/>
      <c r="Z1395" s="52"/>
      <c r="AA1395" s="52"/>
      <c r="AB1395" s="52"/>
      <c r="AC1395" s="52"/>
      <c r="AD1395" s="53"/>
      <c r="AE1395" s="53"/>
      <c r="AF1395" s="53"/>
    </row>
    <row r="1396">
      <c r="G1396" s="55"/>
      <c r="H1396" s="54"/>
      <c r="I1396" s="54"/>
      <c r="J1396" s="54"/>
      <c r="K1396" s="54"/>
      <c r="L1396" s="54"/>
      <c r="M1396" s="54"/>
      <c r="N1396" s="59"/>
      <c r="O1396" s="61"/>
      <c r="P1396" s="61"/>
      <c r="Q1396" s="61"/>
      <c r="R1396" s="50"/>
      <c r="S1396" s="50"/>
      <c r="T1396" s="61"/>
      <c r="U1396" s="61"/>
      <c r="V1396" s="61"/>
      <c r="W1396" s="61"/>
      <c r="X1396" s="61"/>
      <c r="Y1396" s="61"/>
      <c r="Z1396" s="52"/>
      <c r="AA1396" s="52"/>
      <c r="AB1396" s="52"/>
      <c r="AC1396" s="52"/>
      <c r="AD1396" s="53"/>
      <c r="AE1396" s="53"/>
      <c r="AF1396" s="53"/>
    </row>
    <row r="1397">
      <c r="G1397" s="55"/>
      <c r="H1397" s="54"/>
      <c r="I1397" s="54"/>
      <c r="J1397" s="54"/>
      <c r="K1397" s="54"/>
      <c r="L1397" s="54"/>
      <c r="M1397" s="54"/>
      <c r="N1397" s="59"/>
      <c r="O1397" s="61"/>
      <c r="P1397" s="61"/>
      <c r="Q1397" s="61"/>
      <c r="R1397" s="50"/>
      <c r="S1397" s="50"/>
      <c r="T1397" s="61"/>
      <c r="U1397" s="61"/>
      <c r="V1397" s="61"/>
      <c r="W1397" s="61"/>
      <c r="X1397" s="61"/>
      <c r="Y1397" s="61"/>
      <c r="Z1397" s="52"/>
      <c r="AA1397" s="52"/>
      <c r="AB1397" s="52"/>
      <c r="AC1397" s="52"/>
      <c r="AD1397" s="53"/>
      <c r="AE1397" s="53"/>
      <c r="AF1397" s="53"/>
    </row>
    <row r="1398">
      <c r="G1398" s="55"/>
      <c r="H1398" s="54"/>
      <c r="I1398" s="54"/>
      <c r="J1398" s="54"/>
      <c r="K1398" s="54"/>
      <c r="L1398" s="54"/>
      <c r="M1398" s="54"/>
      <c r="N1398" s="59"/>
      <c r="O1398" s="61"/>
      <c r="P1398" s="61"/>
      <c r="Q1398" s="61"/>
      <c r="R1398" s="50"/>
      <c r="S1398" s="50"/>
      <c r="T1398" s="61"/>
      <c r="U1398" s="61"/>
      <c r="V1398" s="61"/>
      <c r="W1398" s="61"/>
      <c r="X1398" s="61"/>
      <c r="Y1398" s="61"/>
      <c r="Z1398" s="52"/>
      <c r="AA1398" s="52"/>
      <c r="AB1398" s="52"/>
      <c r="AC1398" s="52"/>
      <c r="AD1398" s="53"/>
      <c r="AE1398" s="53"/>
      <c r="AF1398" s="53"/>
    </row>
    <row r="1399">
      <c r="G1399" s="55"/>
      <c r="H1399" s="54"/>
      <c r="I1399" s="54"/>
      <c r="J1399" s="54"/>
      <c r="K1399" s="54"/>
      <c r="L1399" s="54"/>
      <c r="M1399" s="54"/>
      <c r="N1399" s="59"/>
      <c r="O1399" s="61"/>
      <c r="P1399" s="61"/>
      <c r="Q1399" s="61"/>
      <c r="R1399" s="50"/>
      <c r="S1399" s="50"/>
      <c r="T1399" s="61"/>
      <c r="U1399" s="61"/>
      <c r="V1399" s="61"/>
      <c r="W1399" s="61"/>
      <c r="X1399" s="61"/>
      <c r="Y1399" s="61"/>
      <c r="Z1399" s="52"/>
      <c r="AA1399" s="52"/>
      <c r="AB1399" s="52"/>
      <c r="AC1399" s="52"/>
      <c r="AD1399" s="53"/>
      <c r="AE1399" s="53"/>
      <c r="AF1399" s="53"/>
    </row>
    <row r="1400">
      <c r="G1400" s="55"/>
      <c r="H1400" s="54"/>
      <c r="I1400" s="54"/>
      <c r="J1400" s="54"/>
      <c r="K1400" s="54"/>
      <c r="L1400" s="54"/>
      <c r="M1400" s="54"/>
      <c r="N1400" s="59"/>
      <c r="O1400" s="61"/>
      <c r="P1400" s="61"/>
      <c r="Q1400" s="61"/>
      <c r="R1400" s="50"/>
      <c r="S1400" s="50"/>
      <c r="T1400" s="61"/>
      <c r="U1400" s="61"/>
      <c r="V1400" s="61"/>
      <c r="W1400" s="61"/>
      <c r="X1400" s="61"/>
      <c r="Y1400" s="61"/>
      <c r="Z1400" s="52"/>
      <c r="AA1400" s="52"/>
      <c r="AB1400" s="52"/>
      <c r="AC1400" s="52"/>
      <c r="AD1400" s="53"/>
      <c r="AE1400" s="53"/>
      <c r="AF1400" s="53"/>
    </row>
    <row r="1401">
      <c r="G1401" s="55"/>
      <c r="H1401" s="54"/>
      <c r="I1401" s="54"/>
      <c r="J1401" s="54"/>
      <c r="K1401" s="54"/>
      <c r="L1401" s="54"/>
      <c r="M1401" s="54"/>
      <c r="N1401" s="59"/>
      <c r="O1401" s="61"/>
      <c r="P1401" s="61"/>
      <c r="Q1401" s="61"/>
      <c r="R1401" s="50"/>
      <c r="S1401" s="50"/>
      <c r="T1401" s="61"/>
      <c r="U1401" s="61"/>
      <c r="V1401" s="61"/>
      <c r="W1401" s="61"/>
      <c r="X1401" s="61"/>
      <c r="Y1401" s="61"/>
      <c r="Z1401" s="52"/>
      <c r="AA1401" s="52"/>
      <c r="AB1401" s="52"/>
      <c r="AC1401" s="52"/>
      <c r="AD1401" s="53"/>
      <c r="AE1401" s="53"/>
      <c r="AF1401" s="53"/>
    </row>
    <row r="1402">
      <c r="G1402" s="55"/>
      <c r="H1402" s="54"/>
      <c r="I1402" s="54"/>
      <c r="J1402" s="54"/>
      <c r="K1402" s="54"/>
      <c r="L1402" s="54"/>
      <c r="M1402" s="54"/>
      <c r="N1402" s="59"/>
      <c r="O1402" s="61"/>
      <c r="P1402" s="61"/>
      <c r="Q1402" s="61"/>
      <c r="R1402" s="50"/>
      <c r="S1402" s="50"/>
      <c r="T1402" s="61"/>
      <c r="U1402" s="61"/>
      <c r="V1402" s="61"/>
      <c r="W1402" s="61"/>
      <c r="X1402" s="61"/>
      <c r="Y1402" s="61"/>
      <c r="Z1402" s="52"/>
      <c r="AA1402" s="52"/>
      <c r="AB1402" s="52"/>
      <c r="AC1402" s="52"/>
      <c r="AD1402" s="53"/>
      <c r="AE1402" s="53"/>
      <c r="AF1402" s="53"/>
    </row>
    <row r="1403">
      <c r="G1403" s="55"/>
      <c r="H1403" s="54"/>
      <c r="I1403" s="54"/>
      <c r="J1403" s="54"/>
      <c r="K1403" s="54"/>
      <c r="L1403" s="54"/>
      <c r="M1403" s="54"/>
      <c r="N1403" s="59"/>
      <c r="O1403" s="61"/>
      <c r="P1403" s="61"/>
      <c r="Q1403" s="61"/>
      <c r="R1403" s="50"/>
      <c r="S1403" s="50"/>
      <c r="T1403" s="61"/>
      <c r="U1403" s="61"/>
      <c r="V1403" s="61"/>
      <c r="W1403" s="61"/>
      <c r="X1403" s="61"/>
      <c r="Y1403" s="61"/>
      <c r="Z1403" s="52"/>
      <c r="AA1403" s="52"/>
      <c r="AB1403" s="52"/>
      <c r="AC1403" s="52"/>
      <c r="AD1403" s="53"/>
      <c r="AE1403" s="53"/>
      <c r="AF1403" s="53"/>
    </row>
    <row r="1404">
      <c r="G1404" s="55"/>
      <c r="H1404" s="54"/>
      <c r="I1404" s="54"/>
      <c r="J1404" s="54"/>
      <c r="K1404" s="54"/>
      <c r="L1404" s="54"/>
      <c r="M1404" s="54"/>
      <c r="N1404" s="59"/>
      <c r="O1404" s="61"/>
      <c r="P1404" s="61"/>
      <c r="Q1404" s="61"/>
      <c r="R1404" s="50"/>
      <c r="S1404" s="50"/>
      <c r="T1404" s="61"/>
      <c r="U1404" s="61"/>
      <c r="V1404" s="61"/>
      <c r="W1404" s="61"/>
      <c r="X1404" s="61"/>
      <c r="Y1404" s="61"/>
      <c r="Z1404" s="52"/>
      <c r="AA1404" s="52"/>
      <c r="AB1404" s="52"/>
      <c r="AC1404" s="52"/>
      <c r="AD1404" s="53"/>
      <c r="AE1404" s="53"/>
      <c r="AF1404" s="53"/>
    </row>
    <row r="1405">
      <c r="G1405" s="55"/>
      <c r="H1405" s="54"/>
      <c r="I1405" s="54"/>
      <c r="J1405" s="54"/>
      <c r="K1405" s="54"/>
      <c r="L1405" s="54"/>
      <c r="M1405" s="54"/>
      <c r="N1405" s="59"/>
      <c r="O1405" s="61"/>
      <c r="P1405" s="61"/>
      <c r="Q1405" s="61"/>
      <c r="R1405" s="50"/>
      <c r="S1405" s="50"/>
      <c r="T1405" s="61"/>
      <c r="U1405" s="61"/>
      <c r="V1405" s="61"/>
      <c r="W1405" s="61"/>
      <c r="X1405" s="61"/>
      <c r="Y1405" s="61"/>
      <c r="Z1405" s="52"/>
      <c r="AA1405" s="52"/>
      <c r="AB1405" s="52"/>
      <c r="AC1405" s="52"/>
      <c r="AD1405" s="53"/>
      <c r="AE1405" s="53"/>
      <c r="AF1405" s="53"/>
    </row>
    <row r="1406">
      <c r="G1406" s="55"/>
      <c r="H1406" s="54"/>
      <c r="I1406" s="54"/>
      <c r="J1406" s="54"/>
      <c r="K1406" s="54"/>
      <c r="L1406" s="54"/>
      <c r="M1406" s="54"/>
      <c r="N1406" s="59"/>
      <c r="O1406" s="61"/>
      <c r="P1406" s="61"/>
      <c r="Q1406" s="61"/>
      <c r="R1406" s="50"/>
      <c r="S1406" s="50"/>
      <c r="T1406" s="61"/>
      <c r="U1406" s="61"/>
      <c r="V1406" s="61"/>
      <c r="W1406" s="61"/>
      <c r="X1406" s="61"/>
      <c r="Y1406" s="61"/>
      <c r="Z1406" s="52"/>
      <c r="AA1406" s="52"/>
      <c r="AB1406" s="52"/>
      <c r="AC1406" s="52"/>
      <c r="AD1406" s="53"/>
      <c r="AE1406" s="53"/>
      <c r="AF1406" s="53"/>
    </row>
    <row r="1407">
      <c r="G1407" s="55"/>
      <c r="H1407" s="54"/>
      <c r="I1407" s="54"/>
      <c r="J1407" s="54"/>
      <c r="K1407" s="54"/>
      <c r="L1407" s="54"/>
      <c r="M1407" s="54"/>
      <c r="N1407" s="59"/>
      <c r="O1407" s="61"/>
      <c r="P1407" s="61"/>
      <c r="Q1407" s="61"/>
      <c r="R1407" s="50"/>
      <c r="S1407" s="50"/>
      <c r="T1407" s="61"/>
      <c r="U1407" s="61"/>
      <c r="V1407" s="61"/>
      <c r="W1407" s="61"/>
      <c r="X1407" s="61"/>
      <c r="Y1407" s="61"/>
      <c r="Z1407" s="52"/>
      <c r="AA1407" s="52"/>
      <c r="AB1407" s="52"/>
      <c r="AC1407" s="52"/>
      <c r="AD1407" s="53"/>
      <c r="AE1407" s="53"/>
      <c r="AF1407" s="53"/>
    </row>
    <row r="1408">
      <c r="G1408" s="55"/>
      <c r="H1408" s="54"/>
      <c r="I1408" s="54"/>
      <c r="J1408" s="54"/>
      <c r="K1408" s="54"/>
      <c r="L1408" s="54"/>
      <c r="M1408" s="54"/>
      <c r="N1408" s="59"/>
      <c r="O1408" s="61"/>
      <c r="P1408" s="61"/>
      <c r="Q1408" s="61"/>
      <c r="R1408" s="50"/>
      <c r="S1408" s="50"/>
      <c r="T1408" s="61"/>
      <c r="U1408" s="61"/>
      <c r="V1408" s="61"/>
      <c r="W1408" s="61"/>
      <c r="X1408" s="61"/>
      <c r="Y1408" s="61"/>
      <c r="Z1408" s="52"/>
      <c r="AA1408" s="52"/>
      <c r="AB1408" s="52"/>
      <c r="AC1408" s="52"/>
      <c r="AD1408" s="53"/>
      <c r="AE1408" s="53"/>
      <c r="AF1408" s="53"/>
    </row>
    <row r="1409">
      <c r="G1409" s="55"/>
      <c r="H1409" s="54"/>
      <c r="I1409" s="54"/>
      <c r="J1409" s="54"/>
      <c r="K1409" s="54"/>
      <c r="L1409" s="54"/>
      <c r="M1409" s="54"/>
      <c r="N1409" s="59"/>
      <c r="O1409" s="61"/>
      <c r="P1409" s="61"/>
      <c r="Q1409" s="61"/>
      <c r="R1409" s="50"/>
      <c r="S1409" s="50"/>
      <c r="T1409" s="61"/>
      <c r="U1409" s="61"/>
      <c r="V1409" s="61"/>
      <c r="W1409" s="61"/>
      <c r="X1409" s="61"/>
      <c r="Y1409" s="61"/>
      <c r="Z1409" s="52"/>
      <c r="AA1409" s="52"/>
      <c r="AB1409" s="52"/>
      <c r="AC1409" s="52"/>
      <c r="AD1409" s="53"/>
      <c r="AE1409" s="53"/>
      <c r="AF1409" s="53"/>
    </row>
    <row r="1410">
      <c r="G1410" s="55"/>
      <c r="H1410" s="54"/>
      <c r="I1410" s="54"/>
      <c r="J1410" s="54"/>
      <c r="K1410" s="54"/>
      <c r="L1410" s="54"/>
      <c r="M1410" s="54"/>
      <c r="N1410" s="59"/>
      <c r="O1410" s="61"/>
      <c r="P1410" s="61"/>
      <c r="Q1410" s="61"/>
      <c r="R1410" s="50"/>
      <c r="S1410" s="50"/>
      <c r="T1410" s="61"/>
      <c r="U1410" s="61"/>
      <c r="V1410" s="61"/>
      <c r="W1410" s="61"/>
      <c r="X1410" s="61"/>
      <c r="Y1410" s="61"/>
      <c r="Z1410" s="52"/>
      <c r="AA1410" s="52"/>
      <c r="AB1410" s="52"/>
      <c r="AC1410" s="52"/>
      <c r="AD1410" s="53"/>
      <c r="AE1410" s="53"/>
      <c r="AF1410" s="53"/>
    </row>
    <row r="1411">
      <c r="G1411" s="55"/>
      <c r="H1411" s="54"/>
      <c r="I1411" s="54"/>
      <c r="J1411" s="54"/>
      <c r="K1411" s="54"/>
      <c r="L1411" s="54"/>
      <c r="M1411" s="54"/>
      <c r="N1411" s="59"/>
      <c r="O1411" s="61"/>
      <c r="P1411" s="61"/>
      <c r="Q1411" s="61"/>
      <c r="R1411" s="50"/>
      <c r="S1411" s="50"/>
      <c r="T1411" s="61"/>
      <c r="U1411" s="61"/>
      <c r="V1411" s="61"/>
      <c r="W1411" s="61"/>
      <c r="X1411" s="61"/>
      <c r="Y1411" s="61"/>
      <c r="Z1411" s="52"/>
      <c r="AA1411" s="52"/>
      <c r="AB1411" s="52"/>
      <c r="AC1411" s="52"/>
      <c r="AD1411" s="53"/>
      <c r="AE1411" s="53"/>
      <c r="AF1411" s="53"/>
    </row>
    <row r="1412">
      <c r="G1412" s="55"/>
      <c r="H1412" s="54"/>
      <c r="I1412" s="54"/>
      <c r="J1412" s="54"/>
      <c r="K1412" s="54"/>
      <c r="L1412" s="54"/>
      <c r="M1412" s="54"/>
      <c r="N1412" s="59"/>
      <c r="O1412" s="61"/>
      <c r="P1412" s="61"/>
      <c r="Q1412" s="61"/>
      <c r="R1412" s="50"/>
      <c r="S1412" s="50"/>
      <c r="T1412" s="61"/>
      <c r="U1412" s="61"/>
      <c r="V1412" s="61"/>
      <c r="W1412" s="61"/>
      <c r="X1412" s="61"/>
      <c r="Y1412" s="61"/>
      <c r="Z1412" s="52"/>
      <c r="AA1412" s="52"/>
      <c r="AB1412" s="52"/>
      <c r="AC1412" s="52"/>
      <c r="AD1412" s="53"/>
      <c r="AE1412" s="53"/>
      <c r="AF1412" s="53"/>
    </row>
    <row r="1413">
      <c r="G1413" s="55"/>
      <c r="H1413" s="54"/>
      <c r="I1413" s="54"/>
      <c r="J1413" s="54"/>
      <c r="K1413" s="54"/>
      <c r="L1413" s="54"/>
      <c r="M1413" s="54"/>
      <c r="N1413" s="59"/>
      <c r="O1413" s="61"/>
      <c r="P1413" s="61"/>
      <c r="Q1413" s="61"/>
      <c r="R1413" s="50"/>
      <c r="S1413" s="50"/>
      <c r="T1413" s="61"/>
      <c r="U1413" s="61"/>
      <c r="V1413" s="61"/>
      <c r="W1413" s="61"/>
      <c r="X1413" s="61"/>
      <c r="Y1413" s="61"/>
      <c r="Z1413" s="52"/>
      <c r="AA1413" s="52"/>
      <c r="AB1413" s="52"/>
      <c r="AC1413" s="52"/>
      <c r="AD1413" s="53"/>
      <c r="AE1413" s="53"/>
      <c r="AF1413" s="53"/>
    </row>
    <row r="1414">
      <c r="G1414" s="55"/>
      <c r="H1414" s="54"/>
      <c r="I1414" s="54"/>
      <c r="J1414" s="54"/>
      <c r="K1414" s="54"/>
      <c r="L1414" s="54"/>
      <c r="M1414" s="54"/>
      <c r="N1414" s="59"/>
      <c r="O1414" s="61"/>
      <c r="P1414" s="61"/>
      <c r="Q1414" s="61"/>
      <c r="R1414" s="50"/>
      <c r="S1414" s="50"/>
      <c r="T1414" s="61"/>
      <c r="U1414" s="61"/>
      <c r="V1414" s="61"/>
      <c r="W1414" s="61"/>
      <c r="X1414" s="61"/>
      <c r="Y1414" s="61"/>
      <c r="Z1414" s="52"/>
      <c r="AA1414" s="52"/>
      <c r="AB1414" s="52"/>
      <c r="AC1414" s="52"/>
      <c r="AD1414" s="53"/>
      <c r="AE1414" s="53"/>
      <c r="AF1414" s="53"/>
    </row>
    <row r="1415">
      <c r="G1415" s="55"/>
      <c r="H1415" s="54"/>
      <c r="I1415" s="54"/>
      <c r="J1415" s="54"/>
      <c r="K1415" s="54"/>
      <c r="L1415" s="54"/>
      <c r="M1415" s="54"/>
      <c r="N1415" s="59"/>
      <c r="O1415" s="61"/>
      <c r="P1415" s="61"/>
      <c r="Q1415" s="61"/>
      <c r="R1415" s="50"/>
      <c r="S1415" s="50"/>
      <c r="T1415" s="61"/>
      <c r="U1415" s="61"/>
      <c r="V1415" s="61"/>
      <c r="W1415" s="61"/>
      <c r="X1415" s="61"/>
      <c r="Y1415" s="61"/>
      <c r="Z1415" s="52"/>
      <c r="AA1415" s="52"/>
      <c r="AB1415" s="52"/>
      <c r="AC1415" s="52"/>
      <c r="AD1415" s="53"/>
      <c r="AE1415" s="53"/>
      <c r="AF1415" s="53"/>
    </row>
    <row r="1416">
      <c r="G1416" s="55"/>
      <c r="H1416" s="54"/>
      <c r="I1416" s="54"/>
      <c r="J1416" s="54"/>
      <c r="K1416" s="54"/>
      <c r="L1416" s="54"/>
      <c r="M1416" s="54"/>
      <c r="N1416" s="59"/>
      <c r="O1416" s="61"/>
      <c r="P1416" s="61"/>
      <c r="Q1416" s="61"/>
      <c r="R1416" s="50"/>
      <c r="S1416" s="50"/>
      <c r="T1416" s="61"/>
      <c r="U1416" s="61"/>
      <c r="V1416" s="61"/>
      <c r="W1416" s="61"/>
      <c r="X1416" s="61"/>
      <c r="Y1416" s="61"/>
      <c r="Z1416" s="52"/>
      <c r="AA1416" s="52"/>
      <c r="AB1416" s="52"/>
      <c r="AC1416" s="52"/>
      <c r="AD1416" s="53"/>
      <c r="AE1416" s="53"/>
      <c r="AF1416" s="53"/>
    </row>
    <row r="1417">
      <c r="G1417" s="55"/>
      <c r="H1417" s="54"/>
      <c r="I1417" s="54"/>
      <c r="J1417" s="54"/>
      <c r="K1417" s="54"/>
      <c r="L1417" s="54"/>
      <c r="M1417" s="54"/>
      <c r="N1417" s="59"/>
      <c r="O1417" s="61"/>
      <c r="P1417" s="61"/>
      <c r="Q1417" s="61"/>
      <c r="R1417" s="50"/>
      <c r="S1417" s="50"/>
      <c r="T1417" s="61"/>
      <c r="U1417" s="61"/>
      <c r="V1417" s="61"/>
      <c r="W1417" s="61"/>
      <c r="X1417" s="61"/>
      <c r="Y1417" s="61"/>
      <c r="Z1417" s="52"/>
      <c r="AA1417" s="52"/>
      <c r="AB1417" s="52"/>
      <c r="AC1417" s="52"/>
      <c r="AD1417" s="53"/>
      <c r="AE1417" s="53"/>
      <c r="AF1417" s="53"/>
    </row>
    <row r="1418">
      <c r="G1418" s="55"/>
      <c r="H1418" s="54"/>
      <c r="I1418" s="54"/>
      <c r="J1418" s="54"/>
      <c r="K1418" s="54"/>
      <c r="L1418" s="54"/>
      <c r="M1418" s="54"/>
      <c r="N1418" s="59"/>
      <c r="O1418" s="61"/>
      <c r="P1418" s="61"/>
      <c r="Q1418" s="61"/>
      <c r="R1418" s="50"/>
      <c r="S1418" s="50"/>
      <c r="T1418" s="61"/>
      <c r="U1418" s="61"/>
      <c r="V1418" s="61"/>
      <c r="W1418" s="61"/>
      <c r="X1418" s="61"/>
      <c r="Y1418" s="61"/>
      <c r="Z1418" s="52"/>
      <c r="AA1418" s="52"/>
      <c r="AB1418" s="52"/>
      <c r="AC1418" s="52"/>
      <c r="AD1418" s="53"/>
      <c r="AE1418" s="53"/>
      <c r="AF1418" s="53"/>
    </row>
    <row r="1419">
      <c r="G1419" s="55"/>
      <c r="H1419" s="54"/>
      <c r="I1419" s="54"/>
      <c r="J1419" s="54"/>
      <c r="K1419" s="54"/>
      <c r="L1419" s="54"/>
      <c r="M1419" s="54"/>
      <c r="N1419" s="59"/>
      <c r="O1419" s="61"/>
      <c r="P1419" s="61"/>
      <c r="Q1419" s="61"/>
      <c r="R1419" s="50"/>
      <c r="S1419" s="50"/>
      <c r="T1419" s="61"/>
      <c r="U1419" s="61"/>
      <c r="V1419" s="61"/>
      <c r="W1419" s="61"/>
      <c r="X1419" s="61"/>
      <c r="Y1419" s="61"/>
      <c r="Z1419" s="52"/>
      <c r="AA1419" s="52"/>
      <c r="AB1419" s="52"/>
      <c r="AC1419" s="52"/>
      <c r="AD1419" s="53"/>
      <c r="AE1419" s="53"/>
      <c r="AF1419" s="53"/>
    </row>
    <row r="1420">
      <c r="G1420" s="55"/>
      <c r="H1420" s="54"/>
      <c r="I1420" s="54"/>
      <c r="J1420" s="54"/>
      <c r="K1420" s="54"/>
      <c r="L1420" s="54"/>
      <c r="M1420" s="54"/>
      <c r="N1420" s="59"/>
      <c r="O1420" s="61"/>
      <c r="P1420" s="61"/>
      <c r="Q1420" s="61"/>
      <c r="R1420" s="50"/>
      <c r="S1420" s="50"/>
      <c r="T1420" s="61"/>
      <c r="U1420" s="61"/>
      <c r="V1420" s="61"/>
      <c r="W1420" s="61"/>
      <c r="X1420" s="61"/>
      <c r="Y1420" s="61"/>
      <c r="Z1420" s="52"/>
      <c r="AA1420" s="52"/>
      <c r="AB1420" s="52"/>
      <c r="AC1420" s="52"/>
      <c r="AD1420" s="53"/>
      <c r="AE1420" s="53"/>
      <c r="AF1420" s="53"/>
    </row>
    <row r="1421">
      <c r="G1421" s="55"/>
      <c r="H1421" s="54"/>
      <c r="I1421" s="54"/>
      <c r="J1421" s="54"/>
      <c r="K1421" s="54"/>
      <c r="L1421" s="54"/>
      <c r="M1421" s="54"/>
      <c r="N1421" s="59"/>
      <c r="O1421" s="61"/>
      <c r="P1421" s="61"/>
      <c r="Q1421" s="61"/>
      <c r="R1421" s="50"/>
      <c r="S1421" s="50"/>
      <c r="T1421" s="61"/>
      <c r="U1421" s="61"/>
      <c r="V1421" s="61"/>
      <c r="W1421" s="61"/>
      <c r="X1421" s="61"/>
      <c r="Y1421" s="61"/>
      <c r="Z1421" s="52"/>
      <c r="AA1421" s="52"/>
      <c r="AB1421" s="52"/>
      <c r="AC1421" s="52"/>
      <c r="AD1421" s="53"/>
      <c r="AE1421" s="53"/>
      <c r="AF1421" s="53"/>
    </row>
    <row r="1422">
      <c r="G1422" s="55"/>
      <c r="H1422" s="54"/>
      <c r="I1422" s="54"/>
      <c r="J1422" s="54"/>
      <c r="K1422" s="54"/>
      <c r="L1422" s="54"/>
      <c r="M1422" s="54"/>
      <c r="N1422" s="59"/>
      <c r="O1422" s="61"/>
      <c r="P1422" s="61"/>
      <c r="Q1422" s="61"/>
      <c r="R1422" s="50"/>
      <c r="S1422" s="50"/>
      <c r="T1422" s="61"/>
      <c r="U1422" s="61"/>
      <c r="V1422" s="61"/>
      <c r="W1422" s="61"/>
      <c r="X1422" s="61"/>
      <c r="Y1422" s="61"/>
      <c r="Z1422" s="52"/>
      <c r="AA1422" s="52"/>
      <c r="AB1422" s="52"/>
      <c r="AC1422" s="52"/>
      <c r="AD1422" s="53"/>
      <c r="AE1422" s="53"/>
      <c r="AF1422" s="53"/>
    </row>
    <row r="1423">
      <c r="G1423" s="55"/>
      <c r="H1423" s="54"/>
      <c r="I1423" s="54"/>
      <c r="J1423" s="54"/>
      <c r="K1423" s="54"/>
      <c r="L1423" s="54"/>
      <c r="M1423" s="54"/>
      <c r="N1423" s="59"/>
      <c r="O1423" s="61"/>
      <c r="P1423" s="61"/>
      <c r="Q1423" s="61"/>
      <c r="R1423" s="50"/>
      <c r="S1423" s="50"/>
      <c r="T1423" s="61"/>
      <c r="U1423" s="61"/>
      <c r="V1423" s="61"/>
      <c r="W1423" s="61"/>
      <c r="X1423" s="61"/>
      <c r="Y1423" s="61"/>
      <c r="Z1423" s="52"/>
      <c r="AA1423" s="52"/>
      <c r="AB1423" s="52"/>
      <c r="AC1423" s="52"/>
      <c r="AD1423" s="53"/>
      <c r="AE1423" s="53"/>
      <c r="AF1423" s="53"/>
    </row>
    <row r="1424">
      <c r="G1424" s="55"/>
      <c r="H1424" s="54"/>
      <c r="I1424" s="54"/>
      <c r="J1424" s="54"/>
      <c r="K1424" s="54"/>
      <c r="L1424" s="54"/>
      <c r="M1424" s="54"/>
      <c r="N1424" s="59"/>
      <c r="O1424" s="61"/>
      <c r="P1424" s="61"/>
      <c r="Q1424" s="61"/>
      <c r="R1424" s="50"/>
      <c r="S1424" s="50"/>
      <c r="T1424" s="61"/>
      <c r="U1424" s="61"/>
      <c r="V1424" s="61"/>
      <c r="W1424" s="61"/>
      <c r="X1424" s="61"/>
      <c r="Y1424" s="61"/>
      <c r="Z1424" s="52"/>
      <c r="AA1424" s="52"/>
      <c r="AB1424" s="52"/>
      <c r="AC1424" s="52"/>
      <c r="AD1424" s="53"/>
      <c r="AE1424" s="53"/>
      <c r="AF1424" s="53"/>
    </row>
    <row r="1425">
      <c r="G1425" s="55"/>
      <c r="H1425" s="54"/>
      <c r="I1425" s="54"/>
      <c r="J1425" s="54"/>
      <c r="K1425" s="54"/>
      <c r="L1425" s="54"/>
      <c r="M1425" s="54"/>
      <c r="N1425" s="59"/>
      <c r="O1425" s="61"/>
      <c r="P1425" s="61"/>
      <c r="Q1425" s="61"/>
      <c r="R1425" s="50"/>
      <c r="S1425" s="50"/>
      <c r="T1425" s="61"/>
      <c r="U1425" s="61"/>
      <c r="V1425" s="61"/>
      <c r="W1425" s="61"/>
      <c r="X1425" s="61"/>
      <c r="Y1425" s="61"/>
      <c r="Z1425" s="52"/>
      <c r="AA1425" s="52"/>
      <c r="AB1425" s="52"/>
      <c r="AC1425" s="52"/>
      <c r="AD1425" s="53"/>
      <c r="AE1425" s="53"/>
      <c r="AF1425" s="53"/>
    </row>
    <row r="1426">
      <c r="G1426" s="55"/>
      <c r="H1426" s="54"/>
      <c r="I1426" s="54"/>
      <c r="J1426" s="54"/>
      <c r="K1426" s="54"/>
      <c r="L1426" s="54"/>
      <c r="M1426" s="54"/>
      <c r="N1426" s="59"/>
      <c r="O1426" s="61"/>
      <c r="P1426" s="61"/>
      <c r="Q1426" s="61"/>
      <c r="R1426" s="50"/>
      <c r="S1426" s="50"/>
      <c r="T1426" s="61"/>
      <c r="U1426" s="61"/>
      <c r="V1426" s="61"/>
      <c r="W1426" s="61"/>
      <c r="X1426" s="61"/>
      <c r="Y1426" s="61"/>
      <c r="Z1426" s="52"/>
      <c r="AA1426" s="52"/>
      <c r="AB1426" s="52"/>
      <c r="AC1426" s="52"/>
      <c r="AD1426" s="53"/>
      <c r="AE1426" s="53"/>
      <c r="AF1426" s="53"/>
    </row>
    <row r="1427">
      <c r="G1427" s="55"/>
      <c r="H1427" s="54"/>
      <c r="I1427" s="54"/>
      <c r="J1427" s="54"/>
      <c r="K1427" s="54"/>
      <c r="L1427" s="54"/>
      <c r="M1427" s="54"/>
      <c r="N1427" s="59"/>
      <c r="O1427" s="61"/>
      <c r="P1427" s="61"/>
      <c r="Q1427" s="61"/>
      <c r="R1427" s="50"/>
      <c r="S1427" s="50"/>
      <c r="T1427" s="61"/>
      <c r="U1427" s="61"/>
      <c r="V1427" s="61"/>
      <c r="W1427" s="61"/>
      <c r="X1427" s="61"/>
      <c r="Y1427" s="61"/>
      <c r="Z1427" s="52"/>
      <c r="AA1427" s="52"/>
      <c r="AB1427" s="52"/>
      <c r="AC1427" s="52"/>
      <c r="AD1427" s="53"/>
      <c r="AE1427" s="53"/>
      <c r="AF1427" s="53"/>
    </row>
    <row r="1428">
      <c r="G1428" s="55"/>
      <c r="H1428" s="54"/>
      <c r="I1428" s="54"/>
      <c r="J1428" s="54"/>
      <c r="K1428" s="54"/>
      <c r="L1428" s="54"/>
      <c r="M1428" s="54"/>
      <c r="N1428" s="59"/>
      <c r="O1428" s="61"/>
      <c r="P1428" s="61"/>
      <c r="Q1428" s="61"/>
      <c r="R1428" s="50"/>
      <c r="S1428" s="50"/>
      <c r="T1428" s="61"/>
      <c r="U1428" s="61"/>
      <c r="V1428" s="61"/>
      <c r="W1428" s="61"/>
      <c r="X1428" s="61"/>
      <c r="Y1428" s="61"/>
      <c r="Z1428" s="52"/>
      <c r="AA1428" s="52"/>
      <c r="AB1428" s="52"/>
      <c r="AC1428" s="52"/>
      <c r="AD1428" s="53"/>
      <c r="AE1428" s="53"/>
      <c r="AF1428" s="53"/>
    </row>
    <row r="1429">
      <c r="G1429" s="55"/>
      <c r="H1429" s="54"/>
      <c r="I1429" s="54"/>
      <c r="J1429" s="54"/>
      <c r="K1429" s="54"/>
      <c r="L1429" s="54"/>
      <c r="M1429" s="54"/>
      <c r="N1429" s="59"/>
      <c r="O1429" s="61"/>
      <c r="P1429" s="61"/>
      <c r="Q1429" s="61"/>
      <c r="R1429" s="50"/>
      <c r="S1429" s="50"/>
      <c r="T1429" s="61"/>
      <c r="U1429" s="61"/>
      <c r="V1429" s="61"/>
      <c r="W1429" s="61"/>
      <c r="X1429" s="61"/>
      <c r="Y1429" s="61"/>
      <c r="Z1429" s="52"/>
      <c r="AA1429" s="52"/>
      <c r="AB1429" s="52"/>
      <c r="AC1429" s="52"/>
      <c r="AD1429" s="53"/>
      <c r="AE1429" s="53"/>
      <c r="AF1429" s="53"/>
    </row>
    <row r="1430">
      <c r="G1430" s="55"/>
      <c r="H1430" s="54"/>
      <c r="I1430" s="54"/>
      <c r="J1430" s="54"/>
      <c r="K1430" s="54"/>
      <c r="L1430" s="54"/>
      <c r="M1430" s="54"/>
      <c r="N1430" s="59"/>
      <c r="O1430" s="61"/>
      <c r="P1430" s="61"/>
      <c r="Q1430" s="61"/>
      <c r="R1430" s="50"/>
      <c r="S1430" s="50"/>
      <c r="T1430" s="61"/>
      <c r="U1430" s="61"/>
      <c r="V1430" s="61"/>
      <c r="W1430" s="61"/>
      <c r="X1430" s="61"/>
      <c r="Y1430" s="61"/>
      <c r="Z1430" s="52"/>
      <c r="AA1430" s="52"/>
      <c r="AB1430" s="52"/>
      <c r="AC1430" s="52"/>
      <c r="AD1430" s="53"/>
      <c r="AE1430" s="53"/>
      <c r="AF1430" s="53"/>
    </row>
    <row r="1431">
      <c r="G1431" s="55"/>
      <c r="H1431" s="54"/>
      <c r="I1431" s="54"/>
      <c r="J1431" s="54"/>
      <c r="K1431" s="54"/>
      <c r="L1431" s="54"/>
      <c r="M1431" s="54"/>
      <c r="N1431" s="59"/>
      <c r="O1431" s="61"/>
      <c r="P1431" s="61"/>
      <c r="Q1431" s="61"/>
      <c r="R1431" s="50"/>
      <c r="S1431" s="50"/>
      <c r="T1431" s="61"/>
      <c r="U1431" s="61"/>
      <c r="V1431" s="61"/>
      <c r="W1431" s="61"/>
      <c r="X1431" s="61"/>
      <c r="Y1431" s="61"/>
      <c r="Z1431" s="52"/>
      <c r="AA1431" s="52"/>
      <c r="AB1431" s="52"/>
      <c r="AC1431" s="52"/>
      <c r="AD1431" s="53"/>
      <c r="AE1431" s="53"/>
      <c r="AF1431" s="53"/>
    </row>
    <row r="1432">
      <c r="G1432" s="55"/>
      <c r="H1432" s="54"/>
      <c r="I1432" s="54"/>
      <c r="J1432" s="54"/>
      <c r="K1432" s="54"/>
      <c r="L1432" s="54"/>
      <c r="M1432" s="54"/>
      <c r="N1432" s="59"/>
      <c r="O1432" s="61"/>
      <c r="P1432" s="61"/>
      <c r="Q1432" s="61"/>
      <c r="R1432" s="50"/>
      <c r="S1432" s="50"/>
      <c r="T1432" s="61"/>
      <c r="U1432" s="61"/>
      <c r="V1432" s="61"/>
      <c r="W1432" s="61"/>
      <c r="X1432" s="61"/>
      <c r="Y1432" s="61"/>
      <c r="Z1432" s="52"/>
      <c r="AA1432" s="52"/>
      <c r="AB1432" s="52"/>
      <c r="AC1432" s="52"/>
      <c r="AD1432" s="53"/>
      <c r="AE1432" s="53"/>
      <c r="AF1432" s="53"/>
    </row>
    <row r="1433">
      <c r="G1433" s="55"/>
      <c r="H1433" s="54"/>
      <c r="I1433" s="54"/>
      <c r="J1433" s="54"/>
      <c r="K1433" s="54"/>
      <c r="L1433" s="54"/>
      <c r="M1433" s="54"/>
      <c r="N1433" s="59"/>
      <c r="O1433" s="61"/>
      <c r="P1433" s="61"/>
      <c r="Q1433" s="61"/>
      <c r="R1433" s="50"/>
      <c r="S1433" s="50"/>
      <c r="T1433" s="61"/>
      <c r="U1433" s="61"/>
      <c r="V1433" s="61"/>
      <c r="W1433" s="61"/>
      <c r="X1433" s="61"/>
      <c r="Y1433" s="61"/>
      <c r="Z1433" s="52"/>
      <c r="AA1433" s="52"/>
      <c r="AB1433" s="52"/>
      <c r="AC1433" s="52"/>
      <c r="AD1433" s="53"/>
      <c r="AE1433" s="53"/>
      <c r="AF1433" s="53"/>
    </row>
    <row r="1434">
      <c r="G1434" s="55"/>
      <c r="H1434" s="54"/>
      <c r="I1434" s="54"/>
      <c r="J1434" s="54"/>
      <c r="K1434" s="54"/>
      <c r="L1434" s="54"/>
      <c r="M1434" s="54"/>
      <c r="N1434" s="59"/>
      <c r="O1434" s="61"/>
      <c r="P1434" s="61"/>
      <c r="Q1434" s="61"/>
      <c r="R1434" s="50"/>
      <c r="S1434" s="50"/>
      <c r="T1434" s="61"/>
      <c r="U1434" s="61"/>
      <c r="V1434" s="61"/>
      <c r="W1434" s="61"/>
      <c r="X1434" s="61"/>
      <c r="Y1434" s="61"/>
      <c r="Z1434" s="52"/>
      <c r="AA1434" s="52"/>
      <c r="AB1434" s="52"/>
      <c r="AC1434" s="52"/>
      <c r="AD1434" s="53"/>
      <c r="AE1434" s="53"/>
      <c r="AF1434" s="53"/>
    </row>
    <row r="1435">
      <c r="G1435" s="55"/>
      <c r="H1435" s="54"/>
      <c r="I1435" s="54"/>
      <c r="J1435" s="54"/>
      <c r="K1435" s="54"/>
      <c r="L1435" s="54"/>
      <c r="M1435" s="54"/>
      <c r="N1435" s="59"/>
      <c r="O1435" s="61"/>
      <c r="P1435" s="61"/>
      <c r="Q1435" s="61"/>
      <c r="R1435" s="50"/>
      <c r="S1435" s="50"/>
      <c r="T1435" s="61"/>
      <c r="U1435" s="61"/>
      <c r="V1435" s="61"/>
      <c r="W1435" s="61"/>
      <c r="X1435" s="61"/>
      <c r="Y1435" s="61"/>
      <c r="Z1435" s="52"/>
      <c r="AA1435" s="52"/>
      <c r="AB1435" s="52"/>
      <c r="AC1435" s="52"/>
      <c r="AD1435" s="53"/>
      <c r="AE1435" s="53"/>
      <c r="AF1435" s="53"/>
    </row>
    <row r="1436">
      <c r="G1436" s="55"/>
      <c r="H1436" s="54"/>
      <c r="I1436" s="54"/>
      <c r="J1436" s="54"/>
      <c r="K1436" s="54"/>
      <c r="L1436" s="54"/>
      <c r="M1436" s="54"/>
      <c r="N1436" s="59"/>
      <c r="O1436" s="61"/>
      <c r="P1436" s="61"/>
      <c r="Q1436" s="61"/>
      <c r="R1436" s="50"/>
      <c r="S1436" s="50"/>
      <c r="T1436" s="61"/>
      <c r="U1436" s="61"/>
      <c r="V1436" s="61"/>
      <c r="W1436" s="61"/>
      <c r="X1436" s="61"/>
      <c r="Y1436" s="61"/>
      <c r="Z1436" s="52"/>
      <c r="AA1436" s="52"/>
      <c r="AB1436" s="52"/>
      <c r="AC1436" s="52"/>
      <c r="AD1436" s="53"/>
      <c r="AE1436" s="53"/>
      <c r="AF1436" s="53"/>
    </row>
    <row r="1437">
      <c r="G1437" s="55"/>
      <c r="H1437" s="54"/>
      <c r="I1437" s="54"/>
      <c r="J1437" s="54"/>
      <c r="K1437" s="54"/>
      <c r="L1437" s="54"/>
      <c r="M1437" s="54"/>
      <c r="N1437" s="59"/>
      <c r="O1437" s="61"/>
      <c r="P1437" s="61"/>
      <c r="Q1437" s="61"/>
      <c r="R1437" s="50"/>
      <c r="S1437" s="50"/>
      <c r="T1437" s="61"/>
      <c r="U1437" s="61"/>
      <c r="V1437" s="61"/>
      <c r="W1437" s="61"/>
      <c r="X1437" s="61"/>
      <c r="Y1437" s="61"/>
      <c r="Z1437" s="52"/>
      <c r="AA1437" s="52"/>
      <c r="AB1437" s="52"/>
      <c r="AC1437" s="52"/>
      <c r="AD1437" s="53"/>
      <c r="AE1437" s="53"/>
      <c r="AF1437" s="53"/>
    </row>
    <row r="1438">
      <c r="G1438" s="55"/>
      <c r="H1438" s="54"/>
      <c r="I1438" s="54"/>
      <c r="J1438" s="54"/>
      <c r="K1438" s="54"/>
      <c r="L1438" s="54"/>
      <c r="M1438" s="54"/>
      <c r="N1438" s="59"/>
      <c r="O1438" s="61"/>
      <c r="P1438" s="61"/>
      <c r="Q1438" s="61"/>
      <c r="R1438" s="50"/>
      <c r="S1438" s="50"/>
      <c r="T1438" s="61"/>
      <c r="U1438" s="61"/>
      <c r="V1438" s="61"/>
      <c r="W1438" s="61"/>
      <c r="X1438" s="61"/>
      <c r="Y1438" s="61"/>
      <c r="Z1438" s="52"/>
      <c r="AA1438" s="52"/>
      <c r="AB1438" s="52"/>
      <c r="AC1438" s="52"/>
      <c r="AD1438" s="53"/>
      <c r="AE1438" s="53"/>
      <c r="AF1438" s="53"/>
    </row>
    <row r="1439">
      <c r="G1439" s="55"/>
      <c r="H1439" s="54"/>
      <c r="I1439" s="54"/>
      <c r="J1439" s="54"/>
      <c r="K1439" s="54"/>
      <c r="L1439" s="54"/>
      <c r="M1439" s="54"/>
      <c r="N1439" s="59"/>
      <c r="O1439" s="61"/>
      <c r="P1439" s="61"/>
      <c r="Q1439" s="61"/>
      <c r="R1439" s="50"/>
      <c r="S1439" s="50"/>
      <c r="T1439" s="61"/>
      <c r="U1439" s="61"/>
      <c r="V1439" s="61"/>
      <c r="W1439" s="61"/>
      <c r="X1439" s="61"/>
      <c r="Y1439" s="61"/>
      <c r="Z1439" s="52"/>
      <c r="AA1439" s="52"/>
      <c r="AB1439" s="52"/>
      <c r="AC1439" s="52"/>
      <c r="AD1439" s="53"/>
      <c r="AE1439" s="53"/>
      <c r="AF1439" s="53"/>
    </row>
    <row r="1440">
      <c r="G1440" s="55"/>
      <c r="H1440" s="54"/>
      <c r="I1440" s="54"/>
      <c r="J1440" s="54"/>
      <c r="K1440" s="54"/>
      <c r="L1440" s="54"/>
      <c r="M1440" s="54"/>
      <c r="N1440" s="59"/>
      <c r="O1440" s="61"/>
      <c r="P1440" s="61"/>
      <c r="Q1440" s="61"/>
      <c r="R1440" s="50"/>
      <c r="S1440" s="50"/>
      <c r="T1440" s="61"/>
      <c r="U1440" s="61"/>
      <c r="V1440" s="61"/>
      <c r="W1440" s="61"/>
      <c r="X1440" s="61"/>
      <c r="Y1440" s="61"/>
      <c r="Z1440" s="52"/>
      <c r="AA1440" s="52"/>
      <c r="AB1440" s="52"/>
      <c r="AC1440" s="52"/>
      <c r="AD1440" s="53"/>
      <c r="AE1440" s="53"/>
      <c r="AF1440" s="53"/>
    </row>
    <row r="1441">
      <c r="G1441" s="55"/>
      <c r="H1441" s="54"/>
      <c r="I1441" s="54"/>
      <c r="J1441" s="54"/>
      <c r="K1441" s="54"/>
      <c r="L1441" s="54"/>
      <c r="M1441" s="54"/>
      <c r="N1441" s="59"/>
      <c r="O1441" s="61"/>
      <c r="P1441" s="61"/>
      <c r="Q1441" s="61"/>
      <c r="R1441" s="50"/>
      <c r="S1441" s="50"/>
      <c r="T1441" s="61"/>
      <c r="U1441" s="61"/>
      <c r="V1441" s="61"/>
      <c r="W1441" s="61"/>
      <c r="X1441" s="61"/>
      <c r="Y1441" s="61"/>
      <c r="Z1441" s="52"/>
      <c r="AA1441" s="52"/>
      <c r="AB1441" s="52"/>
      <c r="AC1441" s="52"/>
      <c r="AD1441" s="53"/>
      <c r="AE1441" s="53"/>
      <c r="AF1441" s="53"/>
    </row>
    <row r="1442">
      <c r="G1442" s="55"/>
      <c r="H1442" s="54"/>
      <c r="I1442" s="54"/>
      <c r="J1442" s="54"/>
      <c r="K1442" s="54"/>
      <c r="L1442" s="54"/>
      <c r="M1442" s="54"/>
      <c r="N1442" s="59"/>
      <c r="O1442" s="61"/>
      <c r="P1442" s="61"/>
      <c r="Q1442" s="61"/>
      <c r="R1442" s="50"/>
      <c r="S1442" s="50"/>
      <c r="T1442" s="61"/>
      <c r="U1442" s="61"/>
      <c r="V1442" s="61"/>
      <c r="W1442" s="61"/>
      <c r="X1442" s="61"/>
      <c r="Y1442" s="61"/>
      <c r="Z1442" s="52"/>
      <c r="AA1442" s="52"/>
      <c r="AB1442" s="52"/>
      <c r="AC1442" s="52"/>
      <c r="AD1442" s="53"/>
      <c r="AE1442" s="53"/>
      <c r="AF1442" s="53"/>
    </row>
    <row r="1443">
      <c r="G1443" s="55"/>
      <c r="H1443" s="54"/>
      <c r="I1443" s="54"/>
      <c r="J1443" s="54"/>
      <c r="K1443" s="54"/>
      <c r="L1443" s="54"/>
      <c r="M1443" s="54"/>
      <c r="N1443" s="59"/>
      <c r="O1443" s="61"/>
      <c r="P1443" s="61"/>
      <c r="Q1443" s="61"/>
      <c r="R1443" s="50"/>
      <c r="S1443" s="50"/>
      <c r="T1443" s="61"/>
      <c r="U1443" s="61"/>
      <c r="V1443" s="61"/>
      <c r="W1443" s="61"/>
      <c r="X1443" s="61"/>
      <c r="Y1443" s="61"/>
      <c r="Z1443" s="52"/>
      <c r="AA1443" s="52"/>
      <c r="AB1443" s="52"/>
      <c r="AC1443" s="52"/>
      <c r="AD1443" s="53"/>
      <c r="AE1443" s="53"/>
      <c r="AF1443" s="53"/>
    </row>
    <row r="1444">
      <c r="G1444" s="55"/>
      <c r="H1444" s="54"/>
      <c r="I1444" s="54"/>
      <c r="J1444" s="54"/>
      <c r="K1444" s="54"/>
      <c r="L1444" s="54"/>
      <c r="M1444" s="54"/>
      <c r="N1444" s="59"/>
      <c r="O1444" s="61"/>
      <c r="P1444" s="61"/>
      <c r="Q1444" s="61"/>
      <c r="R1444" s="50"/>
      <c r="S1444" s="50"/>
      <c r="T1444" s="61"/>
      <c r="U1444" s="61"/>
      <c r="V1444" s="61"/>
      <c r="W1444" s="61"/>
      <c r="X1444" s="61"/>
      <c r="Y1444" s="61"/>
      <c r="Z1444" s="52"/>
      <c r="AA1444" s="52"/>
      <c r="AB1444" s="52"/>
      <c r="AC1444" s="52"/>
      <c r="AD1444" s="53"/>
      <c r="AE1444" s="53"/>
      <c r="AF1444" s="53"/>
    </row>
    <row r="1445">
      <c r="G1445" s="55"/>
      <c r="H1445" s="54"/>
      <c r="I1445" s="54"/>
      <c r="J1445" s="54"/>
      <c r="K1445" s="54"/>
      <c r="L1445" s="54"/>
      <c r="M1445" s="54"/>
      <c r="N1445" s="59"/>
      <c r="O1445" s="61"/>
      <c r="P1445" s="61"/>
      <c r="Q1445" s="61"/>
      <c r="R1445" s="50"/>
      <c r="S1445" s="50"/>
      <c r="T1445" s="61"/>
      <c r="U1445" s="61"/>
      <c r="V1445" s="61"/>
      <c r="W1445" s="61"/>
      <c r="X1445" s="61"/>
      <c r="Y1445" s="61"/>
      <c r="Z1445" s="52"/>
      <c r="AA1445" s="52"/>
      <c r="AB1445" s="52"/>
      <c r="AC1445" s="52"/>
      <c r="AD1445" s="53"/>
      <c r="AE1445" s="53"/>
      <c r="AF1445" s="53"/>
    </row>
    <row r="1446">
      <c r="G1446" s="55"/>
      <c r="H1446" s="54"/>
      <c r="I1446" s="54"/>
      <c r="J1446" s="54"/>
      <c r="K1446" s="54"/>
      <c r="L1446" s="54"/>
      <c r="M1446" s="54"/>
      <c r="N1446" s="59"/>
      <c r="O1446" s="61"/>
      <c r="P1446" s="61"/>
      <c r="Q1446" s="61"/>
      <c r="R1446" s="50"/>
      <c r="S1446" s="50"/>
      <c r="T1446" s="61"/>
      <c r="U1446" s="61"/>
      <c r="V1446" s="61"/>
      <c r="W1446" s="61"/>
      <c r="X1446" s="61"/>
      <c r="Y1446" s="61"/>
      <c r="Z1446" s="52"/>
      <c r="AA1446" s="52"/>
      <c r="AB1446" s="52"/>
      <c r="AC1446" s="52"/>
      <c r="AD1446" s="53"/>
      <c r="AE1446" s="53"/>
      <c r="AF1446" s="53"/>
    </row>
    <row r="1447">
      <c r="G1447" s="55"/>
      <c r="H1447" s="54"/>
      <c r="I1447" s="54"/>
      <c r="J1447" s="54"/>
      <c r="K1447" s="54"/>
      <c r="L1447" s="54"/>
      <c r="M1447" s="54"/>
      <c r="N1447" s="59"/>
      <c r="O1447" s="61"/>
      <c r="P1447" s="61"/>
      <c r="Q1447" s="61"/>
      <c r="R1447" s="50"/>
      <c r="S1447" s="50"/>
      <c r="T1447" s="61"/>
      <c r="U1447" s="61"/>
      <c r="V1447" s="61"/>
      <c r="W1447" s="61"/>
      <c r="X1447" s="61"/>
      <c r="Y1447" s="61"/>
      <c r="Z1447" s="52"/>
      <c r="AA1447" s="52"/>
      <c r="AB1447" s="52"/>
      <c r="AC1447" s="52"/>
      <c r="AD1447" s="53"/>
      <c r="AE1447" s="53"/>
      <c r="AF1447" s="53"/>
    </row>
    <row r="1448">
      <c r="G1448" s="55"/>
      <c r="H1448" s="54"/>
      <c r="I1448" s="54"/>
      <c r="J1448" s="54"/>
      <c r="K1448" s="54"/>
      <c r="L1448" s="54"/>
      <c r="M1448" s="54"/>
      <c r="N1448" s="59"/>
      <c r="O1448" s="61"/>
      <c r="P1448" s="61"/>
      <c r="Q1448" s="61"/>
      <c r="R1448" s="50"/>
      <c r="S1448" s="50"/>
      <c r="T1448" s="61"/>
      <c r="U1448" s="61"/>
      <c r="V1448" s="61"/>
      <c r="W1448" s="61"/>
      <c r="X1448" s="61"/>
      <c r="Y1448" s="61"/>
      <c r="Z1448" s="52"/>
      <c r="AA1448" s="52"/>
      <c r="AB1448" s="52"/>
      <c r="AC1448" s="52"/>
      <c r="AD1448" s="53"/>
      <c r="AE1448" s="53"/>
      <c r="AF1448" s="53"/>
    </row>
    <row r="1449">
      <c r="G1449" s="55"/>
      <c r="H1449" s="54"/>
      <c r="I1449" s="54"/>
      <c r="J1449" s="54"/>
      <c r="K1449" s="54"/>
      <c r="L1449" s="54"/>
      <c r="M1449" s="54"/>
      <c r="N1449" s="59"/>
      <c r="O1449" s="61"/>
      <c r="P1449" s="61"/>
      <c r="Q1449" s="61"/>
      <c r="R1449" s="50"/>
      <c r="S1449" s="50"/>
      <c r="T1449" s="61"/>
      <c r="U1449" s="61"/>
      <c r="V1449" s="61"/>
      <c r="W1449" s="61"/>
      <c r="X1449" s="61"/>
      <c r="Y1449" s="61"/>
      <c r="Z1449" s="52"/>
      <c r="AA1449" s="52"/>
      <c r="AB1449" s="52"/>
      <c r="AC1449" s="52"/>
      <c r="AD1449" s="53"/>
      <c r="AE1449" s="53"/>
      <c r="AF1449" s="53"/>
    </row>
    <row r="1450">
      <c r="G1450" s="55"/>
      <c r="H1450" s="54"/>
      <c r="I1450" s="54"/>
      <c r="J1450" s="54"/>
      <c r="K1450" s="54"/>
      <c r="L1450" s="54"/>
      <c r="M1450" s="54"/>
      <c r="N1450" s="59"/>
      <c r="O1450" s="61"/>
      <c r="P1450" s="61"/>
      <c r="Q1450" s="61"/>
      <c r="R1450" s="50"/>
      <c r="S1450" s="50"/>
      <c r="T1450" s="61"/>
      <c r="U1450" s="61"/>
      <c r="V1450" s="61"/>
      <c r="W1450" s="61"/>
      <c r="X1450" s="61"/>
      <c r="Y1450" s="61"/>
      <c r="Z1450" s="52"/>
      <c r="AA1450" s="52"/>
      <c r="AB1450" s="52"/>
      <c r="AC1450" s="52"/>
      <c r="AD1450" s="53"/>
      <c r="AE1450" s="53"/>
      <c r="AF1450" s="53"/>
    </row>
    <row r="1451">
      <c r="G1451" s="55"/>
      <c r="H1451" s="54"/>
      <c r="I1451" s="54"/>
      <c r="J1451" s="54"/>
      <c r="K1451" s="54"/>
      <c r="L1451" s="54"/>
      <c r="M1451" s="54"/>
      <c r="N1451" s="59"/>
      <c r="O1451" s="61"/>
      <c r="P1451" s="61"/>
      <c r="Q1451" s="61"/>
      <c r="R1451" s="50"/>
      <c r="S1451" s="50"/>
      <c r="T1451" s="61"/>
      <c r="U1451" s="61"/>
      <c r="V1451" s="61"/>
      <c r="W1451" s="61"/>
      <c r="X1451" s="61"/>
      <c r="Y1451" s="61"/>
      <c r="Z1451" s="52"/>
      <c r="AA1451" s="52"/>
      <c r="AB1451" s="52"/>
      <c r="AC1451" s="52"/>
      <c r="AD1451" s="53"/>
      <c r="AE1451" s="53"/>
      <c r="AF1451" s="53"/>
    </row>
    <row r="1452">
      <c r="G1452" s="55"/>
      <c r="H1452" s="54"/>
      <c r="I1452" s="54"/>
      <c r="J1452" s="54"/>
      <c r="K1452" s="54"/>
      <c r="L1452" s="54"/>
      <c r="M1452" s="54"/>
      <c r="N1452" s="59"/>
      <c r="O1452" s="61"/>
      <c r="P1452" s="61"/>
      <c r="Q1452" s="61"/>
      <c r="R1452" s="50"/>
      <c r="S1452" s="50"/>
      <c r="T1452" s="61"/>
      <c r="U1452" s="61"/>
      <c r="V1452" s="61"/>
      <c r="W1452" s="61"/>
      <c r="X1452" s="61"/>
      <c r="Y1452" s="61"/>
      <c r="Z1452" s="52"/>
      <c r="AA1452" s="52"/>
      <c r="AB1452" s="52"/>
      <c r="AC1452" s="52"/>
      <c r="AD1452" s="53"/>
      <c r="AE1452" s="53"/>
      <c r="AF1452" s="53"/>
    </row>
    <row r="1453">
      <c r="G1453" s="55"/>
      <c r="H1453" s="54"/>
      <c r="I1453" s="54"/>
      <c r="J1453" s="54"/>
      <c r="K1453" s="54"/>
      <c r="L1453" s="54"/>
      <c r="M1453" s="54"/>
      <c r="N1453" s="59"/>
      <c r="O1453" s="61"/>
      <c r="P1453" s="61"/>
      <c r="Q1453" s="61"/>
      <c r="R1453" s="50"/>
      <c r="S1453" s="50"/>
      <c r="T1453" s="61"/>
      <c r="U1453" s="61"/>
      <c r="V1453" s="61"/>
      <c r="W1453" s="61"/>
      <c r="X1453" s="61"/>
      <c r="Y1453" s="61"/>
      <c r="Z1453" s="52"/>
      <c r="AA1453" s="52"/>
      <c r="AB1453" s="52"/>
      <c r="AC1453" s="52"/>
      <c r="AD1453" s="53"/>
      <c r="AE1453" s="53"/>
      <c r="AF1453" s="53"/>
    </row>
    <row r="1454">
      <c r="G1454" s="55"/>
      <c r="H1454" s="54"/>
      <c r="I1454" s="54"/>
      <c r="J1454" s="54"/>
      <c r="K1454" s="54"/>
      <c r="L1454" s="54"/>
      <c r="M1454" s="54"/>
      <c r="N1454" s="59"/>
      <c r="O1454" s="61"/>
      <c r="P1454" s="61"/>
      <c r="Q1454" s="61"/>
      <c r="R1454" s="50"/>
      <c r="S1454" s="50"/>
      <c r="T1454" s="61"/>
      <c r="U1454" s="61"/>
      <c r="V1454" s="61"/>
      <c r="W1454" s="61"/>
      <c r="X1454" s="61"/>
      <c r="Y1454" s="61"/>
      <c r="Z1454" s="52"/>
      <c r="AA1454" s="52"/>
      <c r="AB1454" s="52"/>
      <c r="AC1454" s="52"/>
      <c r="AD1454" s="53"/>
      <c r="AE1454" s="53"/>
      <c r="AF1454" s="53"/>
    </row>
    <row r="1455">
      <c r="G1455" s="55"/>
      <c r="H1455" s="54"/>
      <c r="I1455" s="54"/>
      <c r="J1455" s="54"/>
      <c r="K1455" s="54"/>
      <c r="L1455" s="54"/>
      <c r="M1455" s="54"/>
      <c r="N1455" s="59"/>
      <c r="O1455" s="61"/>
      <c r="P1455" s="61"/>
      <c r="Q1455" s="61"/>
      <c r="R1455" s="50"/>
      <c r="S1455" s="50"/>
      <c r="T1455" s="61"/>
      <c r="U1455" s="61"/>
      <c r="V1455" s="61"/>
      <c r="W1455" s="61"/>
      <c r="X1455" s="61"/>
      <c r="Y1455" s="61"/>
      <c r="Z1455" s="52"/>
      <c r="AA1455" s="52"/>
      <c r="AB1455" s="52"/>
      <c r="AC1455" s="52"/>
      <c r="AD1455" s="53"/>
      <c r="AE1455" s="53"/>
      <c r="AF1455" s="53"/>
    </row>
    <row r="1456">
      <c r="G1456" s="55"/>
      <c r="H1456" s="54"/>
      <c r="I1456" s="54"/>
      <c r="J1456" s="54"/>
      <c r="K1456" s="54"/>
      <c r="L1456" s="54"/>
      <c r="M1456" s="54"/>
      <c r="N1456" s="59"/>
      <c r="O1456" s="61"/>
      <c r="P1456" s="61"/>
      <c r="Q1456" s="61"/>
      <c r="R1456" s="50"/>
      <c r="S1456" s="50"/>
      <c r="T1456" s="61"/>
      <c r="U1456" s="61"/>
      <c r="V1456" s="61"/>
      <c r="W1456" s="61"/>
      <c r="X1456" s="61"/>
      <c r="Y1456" s="61"/>
      <c r="Z1456" s="52"/>
      <c r="AA1456" s="52"/>
      <c r="AB1456" s="52"/>
      <c r="AC1456" s="52"/>
      <c r="AD1456" s="53"/>
      <c r="AE1456" s="53"/>
      <c r="AF1456" s="53"/>
    </row>
    <row r="1457">
      <c r="G1457" s="55"/>
      <c r="H1457" s="54"/>
      <c r="I1457" s="54"/>
      <c r="J1457" s="54"/>
      <c r="K1457" s="54"/>
      <c r="L1457" s="54"/>
      <c r="M1457" s="54"/>
      <c r="N1457" s="59"/>
      <c r="O1457" s="61"/>
      <c r="P1457" s="61"/>
      <c r="Q1457" s="61"/>
      <c r="R1457" s="50"/>
      <c r="S1457" s="50"/>
      <c r="T1457" s="61"/>
      <c r="U1457" s="61"/>
      <c r="V1457" s="61"/>
      <c r="W1457" s="61"/>
      <c r="X1457" s="61"/>
      <c r="Y1457" s="61"/>
      <c r="Z1457" s="52"/>
      <c r="AA1457" s="52"/>
      <c r="AB1457" s="52"/>
      <c r="AC1457" s="52"/>
      <c r="AD1457" s="53"/>
      <c r="AE1457" s="53"/>
      <c r="AF1457" s="53"/>
    </row>
    <row r="1458">
      <c r="G1458" s="55"/>
      <c r="H1458" s="54"/>
      <c r="I1458" s="54"/>
      <c r="J1458" s="54"/>
      <c r="K1458" s="54"/>
      <c r="L1458" s="54"/>
      <c r="M1458" s="54"/>
      <c r="N1458" s="59"/>
      <c r="O1458" s="61"/>
      <c r="P1458" s="61"/>
      <c r="Q1458" s="61"/>
      <c r="R1458" s="50"/>
      <c r="S1458" s="50"/>
      <c r="T1458" s="61"/>
      <c r="U1458" s="61"/>
      <c r="V1458" s="61"/>
      <c r="W1458" s="61"/>
      <c r="X1458" s="61"/>
      <c r="Y1458" s="61"/>
      <c r="Z1458" s="52"/>
      <c r="AA1458" s="52"/>
      <c r="AB1458" s="52"/>
      <c r="AC1458" s="52"/>
      <c r="AD1458" s="53"/>
      <c r="AE1458" s="53"/>
      <c r="AF1458" s="53"/>
    </row>
    <row r="1459">
      <c r="G1459" s="55"/>
      <c r="H1459" s="54"/>
      <c r="I1459" s="54"/>
      <c r="J1459" s="54"/>
      <c r="K1459" s="54"/>
      <c r="L1459" s="54"/>
      <c r="M1459" s="54"/>
      <c r="N1459" s="59"/>
      <c r="O1459" s="61"/>
      <c r="P1459" s="61"/>
      <c r="Q1459" s="61"/>
      <c r="R1459" s="50"/>
      <c r="S1459" s="50"/>
      <c r="T1459" s="61"/>
      <c r="U1459" s="61"/>
      <c r="V1459" s="61"/>
      <c r="W1459" s="61"/>
      <c r="X1459" s="61"/>
      <c r="Y1459" s="61"/>
      <c r="Z1459" s="52"/>
      <c r="AA1459" s="52"/>
      <c r="AB1459" s="52"/>
      <c r="AC1459" s="52"/>
      <c r="AD1459" s="53"/>
      <c r="AE1459" s="53"/>
      <c r="AF1459" s="53"/>
    </row>
    <row r="1460">
      <c r="G1460" s="55"/>
      <c r="H1460" s="54"/>
      <c r="I1460" s="54"/>
      <c r="J1460" s="54"/>
      <c r="K1460" s="54"/>
      <c r="L1460" s="54"/>
      <c r="M1460" s="54"/>
      <c r="N1460" s="59"/>
      <c r="O1460" s="61"/>
      <c r="P1460" s="61"/>
      <c r="Q1460" s="61"/>
      <c r="R1460" s="50"/>
      <c r="S1460" s="50"/>
      <c r="T1460" s="61"/>
      <c r="U1460" s="61"/>
      <c r="V1460" s="61"/>
      <c r="W1460" s="61"/>
      <c r="X1460" s="61"/>
      <c r="Y1460" s="61"/>
      <c r="Z1460" s="52"/>
      <c r="AA1460" s="52"/>
      <c r="AB1460" s="52"/>
      <c r="AC1460" s="52"/>
      <c r="AD1460" s="53"/>
      <c r="AE1460" s="53"/>
      <c r="AF1460" s="53"/>
    </row>
    <row r="1461">
      <c r="G1461" s="55"/>
      <c r="H1461" s="54"/>
      <c r="I1461" s="54"/>
      <c r="J1461" s="54"/>
      <c r="K1461" s="54"/>
      <c r="L1461" s="54"/>
      <c r="M1461" s="54"/>
      <c r="N1461" s="59"/>
      <c r="O1461" s="61"/>
      <c r="P1461" s="61"/>
      <c r="Q1461" s="61"/>
      <c r="R1461" s="50"/>
      <c r="S1461" s="50"/>
      <c r="T1461" s="61"/>
      <c r="U1461" s="61"/>
      <c r="V1461" s="61"/>
      <c r="W1461" s="61"/>
      <c r="X1461" s="61"/>
      <c r="Y1461" s="61"/>
      <c r="Z1461" s="52"/>
      <c r="AA1461" s="52"/>
      <c r="AB1461" s="52"/>
      <c r="AC1461" s="52"/>
      <c r="AD1461" s="53"/>
      <c r="AE1461" s="53"/>
      <c r="AF1461" s="53"/>
    </row>
    <row r="1462">
      <c r="G1462" s="55"/>
      <c r="H1462" s="54"/>
      <c r="I1462" s="54"/>
      <c r="J1462" s="54"/>
      <c r="K1462" s="54"/>
      <c r="L1462" s="54"/>
      <c r="M1462" s="54"/>
      <c r="N1462" s="59"/>
      <c r="O1462" s="61"/>
      <c r="P1462" s="61"/>
      <c r="Q1462" s="61"/>
      <c r="R1462" s="50"/>
      <c r="S1462" s="50"/>
      <c r="T1462" s="61"/>
      <c r="U1462" s="61"/>
      <c r="V1462" s="61"/>
      <c r="W1462" s="61"/>
      <c r="X1462" s="61"/>
      <c r="Y1462" s="61"/>
      <c r="Z1462" s="52"/>
      <c r="AA1462" s="52"/>
      <c r="AB1462" s="52"/>
      <c r="AC1462" s="52"/>
      <c r="AD1462" s="53"/>
      <c r="AE1462" s="53"/>
      <c r="AF1462" s="53"/>
    </row>
    <row r="1463">
      <c r="G1463" s="55"/>
      <c r="H1463" s="54"/>
      <c r="I1463" s="54"/>
      <c r="J1463" s="54"/>
      <c r="K1463" s="54"/>
      <c r="L1463" s="54"/>
      <c r="M1463" s="54"/>
      <c r="N1463" s="59"/>
      <c r="O1463" s="61"/>
      <c r="P1463" s="61"/>
      <c r="Q1463" s="61"/>
      <c r="R1463" s="50"/>
      <c r="S1463" s="50"/>
      <c r="T1463" s="61"/>
      <c r="U1463" s="61"/>
      <c r="V1463" s="61"/>
      <c r="W1463" s="61"/>
      <c r="X1463" s="61"/>
      <c r="Y1463" s="61"/>
      <c r="Z1463" s="52"/>
      <c r="AA1463" s="52"/>
      <c r="AB1463" s="52"/>
      <c r="AC1463" s="52"/>
      <c r="AD1463" s="53"/>
      <c r="AE1463" s="53"/>
      <c r="AF1463" s="53"/>
    </row>
    <row r="1464">
      <c r="G1464" s="55"/>
      <c r="H1464" s="54"/>
      <c r="I1464" s="54"/>
      <c r="J1464" s="54"/>
      <c r="K1464" s="54"/>
      <c r="L1464" s="54"/>
      <c r="M1464" s="54"/>
      <c r="N1464" s="59"/>
      <c r="O1464" s="61"/>
      <c r="P1464" s="61"/>
      <c r="Q1464" s="61"/>
      <c r="R1464" s="50"/>
      <c r="S1464" s="50"/>
      <c r="T1464" s="61"/>
      <c r="U1464" s="61"/>
      <c r="V1464" s="61"/>
      <c r="W1464" s="61"/>
      <c r="X1464" s="61"/>
      <c r="Y1464" s="61"/>
      <c r="Z1464" s="52"/>
      <c r="AA1464" s="52"/>
      <c r="AB1464" s="52"/>
      <c r="AC1464" s="52"/>
      <c r="AD1464" s="53"/>
      <c r="AE1464" s="53"/>
      <c r="AF1464" s="53"/>
    </row>
    <row r="1465">
      <c r="G1465" s="55"/>
      <c r="H1465" s="54"/>
      <c r="I1465" s="54"/>
      <c r="J1465" s="54"/>
      <c r="K1465" s="54"/>
      <c r="L1465" s="54"/>
      <c r="M1465" s="54"/>
      <c r="N1465" s="59"/>
      <c r="O1465" s="61"/>
      <c r="P1465" s="61"/>
      <c r="Q1465" s="61"/>
      <c r="R1465" s="50"/>
      <c r="S1465" s="50"/>
      <c r="T1465" s="61"/>
      <c r="U1465" s="61"/>
      <c r="V1465" s="61"/>
      <c r="W1465" s="61"/>
      <c r="X1465" s="61"/>
      <c r="Y1465" s="61"/>
      <c r="Z1465" s="52"/>
      <c r="AA1465" s="52"/>
      <c r="AB1465" s="52"/>
      <c r="AC1465" s="52"/>
      <c r="AD1465" s="53"/>
      <c r="AE1465" s="53"/>
      <c r="AF1465" s="53"/>
    </row>
    <row r="1466">
      <c r="G1466" s="55"/>
      <c r="H1466" s="54"/>
      <c r="I1466" s="54"/>
      <c r="J1466" s="54"/>
      <c r="K1466" s="54"/>
      <c r="L1466" s="54"/>
      <c r="M1466" s="54"/>
      <c r="N1466" s="59"/>
      <c r="O1466" s="61"/>
      <c r="P1466" s="61"/>
      <c r="Q1466" s="61"/>
      <c r="R1466" s="50"/>
      <c r="S1466" s="50"/>
      <c r="T1466" s="61"/>
      <c r="U1466" s="61"/>
      <c r="V1466" s="61"/>
      <c r="W1466" s="61"/>
      <c r="X1466" s="61"/>
      <c r="Y1466" s="61"/>
      <c r="Z1466" s="52"/>
      <c r="AA1466" s="52"/>
      <c r="AB1466" s="52"/>
      <c r="AC1466" s="52"/>
      <c r="AD1466" s="53"/>
      <c r="AE1466" s="53"/>
      <c r="AF1466" s="53"/>
    </row>
    <row r="1467">
      <c r="G1467" s="55"/>
      <c r="H1467" s="54"/>
      <c r="I1467" s="54"/>
      <c r="J1467" s="54"/>
      <c r="K1467" s="54"/>
      <c r="L1467" s="54"/>
      <c r="M1467" s="54"/>
      <c r="N1467" s="59"/>
      <c r="O1467" s="61"/>
      <c r="P1467" s="61"/>
      <c r="Q1467" s="61"/>
      <c r="R1467" s="50"/>
      <c r="S1467" s="50"/>
      <c r="T1467" s="61"/>
      <c r="U1467" s="61"/>
      <c r="V1467" s="61"/>
      <c r="W1467" s="61"/>
      <c r="X1467" s="61"/>
      <c r="Y1467" s="61"/>
      <c r="Z1467" s="52"/>
      <c r="AA1467" s="52"/>
      <c r="AB1467" s="52"/>
      <c r="AC1467" s="52"/>
      <c r="AD1467" s="53"/>
      <c r="AE1467" s="53"/>
      <c r="AF1467" s="53"/>
    </row>
    <row r="1468">
      <c r="G1468" s="55"/>
      <c r="H1468" s="54"/>
      <c r="I1468" s="54"/>
      <c r="J1468" s="54"/>
      <c r="K1468" s="54"/>
      <c r="L1468" s="54"/>
      <c r="M1468" s="54"/>
      <c r="N1468" s="59"/>
      <c r="O1468" s="61"/>
      <c r="P1468" s="61"/>
      <c r="Q1468" s="61"/>
      <c r="R1468" s="50"/>
      <c r="S1468" s="50"/>
      <c r="T1468" s="61"/>
      <c r="U1468" s="61"/>
      <c r="V1468" s="61"/>
      <c r="W1468" s="61"/>
      <c r="X1468" s="61"/>
      <c r="Y1468" s="61"/>
      <c r="Z1468" s="52"/>
      <c r="AA1468" s="52"/>
      <c r="AB1468" s="52"/>
      <c r="AC1468" s="52"/>
      <c r="AD1468" s="53"/>
      <c r="AE1468" s="53"/>
      <c r="AF1468" s="53"/>
    </row>
    <row r="1469">
      <c r="G1469" s="55"/>
      <c r="H1469" s="54"/>
      <c r="I1469" s="54"/>
      <c r="J1469" s="54"/>
      <c r="K1469" s="54"/>
      <c r="L1469" s="54"/>
      <c r="M1469" s="54"/>
      <c r="N1469" s="59"/>
      <c r="O1469" s="61"/>
      <c r="P1469" s="61"/>
      <c r="Q1469" s="61"/>
      <c r="R1469" s="50"/>
      <c r="S1469" s="50"/>
      <c r="T1469" s="61"/>
      <c r="U1469" s="61"/>
      <c r="V1469" s="61"/>
      <c r="W1469" s="61"/>
      <c r="X1469" s="61"/>
      <c r="Y1469" s="61"/>
      <c r="Z1469" s="52"/>
      <c r="AA1469" s="52"/>
      <c r="AB1469" s="52"/>
      <c r="AC1469" s="52"/>
      <c r="AD1469" s="53"/>
      <c r="AE1469" s="53"/>
      <c r="AF1469" s="53"/>
    </row>
    <row r="1470">
      <c r="G1470" s="55"/>
      <c r="H1470" s="54"/>
      <c r="I1470" s="54"/>
      <c r="J1470" s="54"/>
      <c r="K1470" s="54"/>
      <c r="L1470" s="54"/>
      <c r="M1470" s="54"/>
      <c r="N1470" s="59"/>
      <c r="O1470" s="61"/>
      <c r="P1470" s="61"/>
      <c r="Q1470" s="61"/>
      <c r="R1470" s="50"/>
      <c r="S1470" s="50"/>
      <c r="T1470" s="61"/>
      <c r="U1470" s="61"/>
      <c r="V1470" s="61"/>
      <c r="W1470" s="61"/>
      <c r="X1470" s="61"/>
      <c r="Y1470" s="61"/>
      <c r="Z1470" s="52"/>
      <c r="AA1470" s="52"/>
      <c r="AB1470" s="52"/>
      <c r="AC1470" s="52"/>
      <c r="AD1470" s="53"/>
      <c r="AE1470" s="53"/>
      <c r="AF1470" s="53"/>
    </row>
    <row r="1471">
      <c r="G1471" s="55"/>
      <c r="H1471" s="54"/>
      <c r="I1471" s="54"/>
      <c r="J1471" s="54"/>
      <c r="K1471" s="54"/>
      <c r="L1471" s="54"/>
      <c r="M1471" s="54"/>
      <c r="N1471" s="59"/>
      <c r="O1471" s="61"/>
      <c r="P1471" s="61"/>
      <c r="Q1471" s="61"/>
      <c r="R1471" s="50"/>
      <c r="S1471" s="50"/>
      <c r="T1471" s="61"/>
      <c r="U1471" s="61"/>
      <c r="V1471" s="61"/>
      <c r="W1471" s="61"/>
      <c r="X1471" s="61"/>
      <c r="Y1471" s="61"/>
      <c r="Z1471" s="52"/>
      <c r="AA1471" s="52"/>
      <c r="AB1471" s="52"/>
      <c r="AC1471" s="52"/>
      <c r="AD1471" s="53"/>
      <c r="AE1471" s="53"/>
      <c r="AF1471" s="53"/>
    </row>
    <row r="1472">
      <c r="G1472" s="55"/>
      <c r="H1472" s="54"/>
      <c r="I1472" s="54"/>
      <c r="J1472" s="54"/>
      <c r="K1472" s="54"/>
      <c r="L1472" s="54"/>
      <c r="M1472" s="54"/>
      <c r="N1472" s="59"/>
      <c r="O1472" s="61"/>
      <c r="P1472" s="61"/>
      <c r="Q1472" s="61"/>
      <c r="R1472" s="50"/>
      <c r="S1472" s="50"/>
      <c r="T1472" s="61"/>
      <c r="U1472" s="61"/>
      <c r="V1472" s="61"/>
      <c r="W1472" s="61"/>
      <c r="X1472" s="61"/>
      <c r="Y1472" s="61"/>
      <c r="Z1472" s="52"/>
      <c r="AA1472" s="52"/>
      <c r="AB1472" s="52"/>
      <c r="AC1472" s="52"/>
      <c r="AD1472" s="53"/>
      <c r="AE1472" s="53"/>
      <c r="AF1472" s="53"/>
    </row>
    <row r="1473">
      <c r="G1473" s="55"/>
      <c r="H1473" s="54"/>
      <c r="I1473" s="54"/>
      <c r="J1473" s="54"/>
      <c r="K1473" s="54"/>
      <c r="L1473" s="54"/>
      <c r="M1473" s="54"/>
      <c r="N1473" s="59"/>
      <c r="O1473" s="61"/>
      <c r="P1473" s="61"/>
      <c r="Q1473" s="61"/>
      <c r="R1473" s="50"/>
      <c r="S1473" s="50"/>
      <c r="T1473" s="61"/>
      <c r="U1473" s="61"/>
      <c r="V1473" s="61"/>
      <c r="W1473" s="61"/>
      <c r="X1473" s="61"/>
      <c r="Y1473" s="61"/>
      <c r="Z1473" s="52"/>
      <c r="AA1473" s="52"/>
      <c r="AB1473" s="52"/>
      <c r="AC1473" s="52"/>
      <c r="AD1473" s="53"/>
      <c r="AE1473" s="53"/>
      <c r="AF1473" s="53"/>
    </row>
    <row r="1474">
      <c r="G1474" s="55"/>
      <c r="H1474" s="54"/>
      <c r="I1474" s="54"/>
      <c r="J1474" s="54"/>
      <c r="K1474" s="54"/>
      <c r="L1474" s="54"/>
      <c r="M1474" s="54"/>
      <c r="N1474" s="59"/>
      <c r="O1474" s="61"/>
      <c r="P1474" s="61"/>
      <c r="Q1474" s="61"/>
      <c r="R1474" s="50"/>
      <c r="S1474" s="50"/>
      <c r="T1474" s="61"/>
      <c r="U1474" s="61"/>
      <c r="V1474" s="61"/>
      <c r="W1474" s="61"/>
      <c r="X1474" s="61"/>
      <c r="Y1474" s="61"/>
      <c r="Z1474" s="52"/>
      <c r="AA1474" s="52"/>
      <c r="AB1474" s="52"/>
      <c r="AC1474" s="52"/>
      <c r="AD1474" s="53"/>
      <c r="AE1474" s="53"/>
      <c r="AF1474" s="53"/>
    </row>
    <row r="1475">
      <c r="G1475" s="55"/>
      <c r="H1475" s="54"/>
      <c r="I1475" s="54"/>
      <c r="J1475" s="54"/>
      <c r="K1475" s="54"/>
      <c r="L1475" s="54"/>
      <c r="M1475" s="54"/>
      <c r="N1475" s="59"/>
      <c r="O1475" s="61"/>
      <c r="P1475" s="61"/>
      <c r="Q1475" s="61"/>
      <c r="R1475" s="50"/>
      <c r="S1475" s="50"/>
      <c r="T1475" s="61"/>
      <c r="U1475" s="61"/>
      <c r="V1475" s="61"/>
      <c r="W1475" s="61"/>
      <c r="X1475" s="61"/>
      <c r="Y1475" s="61"/>
      <c r="Z1475" s="52"/>
      <c r="AA1475" s="52"/>
      <c r="AB1475" s="52"/>
      <c r="AC1475" s="52"/>
      <c r="AD1475" s="53"/>
      <c r="AE1475" s="53"/>
      <c r="AF1475" s="53"/>
    </row>
    <row r="1476">
      <c r="G1476" s="55"/>
      <c r="H1476" s="54"/>
      <c r="I1476" s="54"/>
      <c r="J1476" s="54"/>
      <c r="K1476" s="54"/>
      <c r="L1476" s="54"/>
      <c r="M1476" s="54"/>
      <c r="N1476" s="59"/>
      <c r="O1476" s="61"/>
      <c r="P1476" s="61"/>
      <c r="Q1476" s="61"/>
      <c r="R1476" s="50"/>
      <c r="S1476" s="50"/>
      <c r="T1476" s="61"/>
      <c r="U1476" s="61"/>
      <c r="V1476" s="61"/>
      <c r="W1476" s="61"/>
      <c r="X1476" s="61"/>
      <c r="Y1476" s="61"/>
      <c r="Z1476" s="52"/>
      <c r="AA1476" s="52"/>
      <c r="AB1476" s="52"/>
      <c r="AC1476" s="52"/>
      <c r="AD1476" s="53"/>
      <c r="AE1476" s="53"/>
      <c r="AF1476" s="53"/>
    </row>
    <row r="1477">
      <c r="G1477" s="55"/>
      <c r="H1477" s="54"/>
      <c r="I1477" s="54"/>
      <c r="J1477" s="54"/>
      <c r="K1477" s="54"/>
      <c r="L1477" s="54"/>
      <c r="M1477" s="54"/>
      <c r="N1477" s="59"/>
      <c r="O1477" s="61"/>
      <c r="P1477" s="61"/>
      <c r="Q1477" s="61"/>
      <c r="R1477" s="50"/>
      <c r="S1477" s="50"/>
      <c r="T1477" s="61"/>
      <c r="U1477" s="61"/>
      <c r="V1477" s="61"/>
      <c r="W1477" s="61"/>
      <c r="X1477" s="61"/>
      <c r="Y1477" s="61"/>
      <c r="Z1477" s="52"/>
      <c r="AA1477" s="52"/>
      <c r="AB1477" s="52"/>
      <c r="AC1477" s="52"/>
      <c r="AD1477" s="53"/>
      <c r="AE1477" s="53"/>
      <c r="AF1477" s="53"/>
    </row>
    <row r="1478">
      <c r="G1478" s="55"/>
      <c r="H1478" s="54"/>
      <c r="I1478" s="54"/>
      <c r="J1478" s="54"/>
      <c r="K1478" s="54"/>
      <c r="L1478" s="54"/>
      <c r="M1478" s="54"/>
      <c r="N1478" s="59"/>
      <c r="O1478" s="61"/>
      <c r="P1478" s="61"/>
      <c r="Q1478" s="61"/>
      <c r="R1478" s="50"/>
      <c r="S1478" s="50"/>
      <c r="T1478" s="61"/>
      <c r="U1478" s="61"/>
      <c r="V1478" s="61"/>
      <c r="W1478" s="61"/>
      <c r="X1478" s="61"/>
      <c r="Y1478" s="61"/>
      <c r="Z1478" s="52"/>
      <c r="AA1478" s="52"/>
      <c r="AB1478" s="52"/>
      <c r="AC1478" s="52"/>
      <c r="AD1478" s="53"/>
      <c r="AE1478" s="53"/>
      <c r="AF1478" s="53"/>
    </row>
    <row r="1479">
      <c r="G1479" s="55"/>
      <c r="H1479" s="54"/>
      <c r="I1479" s="54"/>
      <c r="J1479" s="54"/>
      <c r="K1479" s="54"/>
      <c r="L1479" s="54"/>
      <c r="M1479" s="54"/>
      <c r="N1479" s="59"/>
      <c r="O1479" s="61"/>
      <c r="P1479" s="61"/>
      <c r="Q1479" s="61"/>
      <c r="R1479" s="50"/>
      <c r="S1479" s="50"/>
      <c r="T1479" s="61"/>
      <c r="U1479" s="61"/>
      <c r="V1479" s="61"/>
      <c r="W1479" s="61"/>
      <c r="X1479" s="61"/>
      <c r="Y1479" s="61"/>
      <c r="Z1479" s="52"/>
      <c r="AA1479" s="52"/>
      <c r="AB1479" s="52"/>
      <c r="AC1479" s="52"/>
      <c r="AD1479" s="53"/>
      <c r="AE1479" s="53"/>
      <c r="AF1479" s="53"/>
    </row>
    <row r="1480">
      <c r="G1480" s="55"/>
      <c r="H1480" s="54"/>
      <c r="I1480" s="54"/>
      <c r="J1480" s="54"/>
      <c r="K1480" s="54"/>
      <c r="L1480" s="54"/>
      <c r="M1480" s="54"/>
      <c r="N1480" s="59"/>
      <c r="O1480" s="61"/>
      <c r="P1480" s="61"/>
      <c r="Q1480" s="61"/>
      <c r="R1480" s="50"/>
      <c r="S1480" s="50"/>
      <c r="T1480" s="61"/>
      <c r="U1480" s="61"/>
      <c r="V1480" s="61"/>
      <c r="W1480" s="61"/>
      <c r="X1480" s="61"/>
      <c r="Y1480" s="61"/>
      <c r="Z1480" s="52"/>
      <c r="AA1480" s="52"/>
      <c r="AB1480" s="52"/>
      <c r="AC1480" s="52"/>
      <c r="AD1480" s="53"/>
      <c r="AE1480" s="53"/>
      <c r="AF1480" s="53"/>
    </row>
    <row r="1481">
      <c r="G1481" s="55"/>
      <c r="H1481" s="54"/>
      <c r="I1481" s="54"/>
      <c r="J1481" s="54"/>
      <c r="K1481" s="54"/>
      <c r="L1481" s="54"/>
      <c r="M1481" s="54"/>
      <c r="N1481" s="59"/>
      <c r="O1481" s="61"/>
      <c r="P1481" s="61"/>
      <c r="Q1481" s="61"/>
      <c r="R1481" s="50"/>
      <c r="S1481" s="50"/>
      <c r="T1481" s="61"/>
      <c r="U1481" s="61"/>
      <c r="V1481" s="61"/>
      <c r="W1481" s="61"/>
      <c r="X1481" s="61"/>
      <c r="Y1481" s="61"/>
      <c r="Z1481" s="52"/>
      <c r="AA1481" s="52"/>
      <c r="AB1481" s="52"/>
      <c r="AC1481" s="52"/>
      <c r="AD1481" s="53"/>
      <c r="AE1481" s="53"/>
      <c r="AF1481" s="53"/>
    </row>
    <row r="1482">
      <c r="G1482" s="55"/>
      <c r="H1482" s="54"/>
      <c r="I1482" s="54"/>
      <c r="J1482" s="54"/>
      <c r="K1482" s="54"/>
      <c r="L1482" s="54"/>
      <c r="M1482" s="54"/>
      <c r="N1482" s="59"/>
      <c r="O1482" s="61"/>
      <c r="P1482" s="61"/>
      <c r="Q1482" s="61"/>
      <c r="R1482" s="50"/>
      <c r="S1482" s="50"/>
      <c r="T1482" s="61"/>
      <c r="U1482" s="61"/>
      <c r="V1482" s="61"/>
      <c r="W1482" s="61"/>
      <c r="X1482" s="61"/>
      <c r="Y1482" s="61"/>
      <c r="Z1482" s="52"/>
      <c r="AA1482" s="52"/>
      <c r="AB1482" s="52"/>
      <c r="AC1482" s="52"/>
      <c r="AD1482" s="53"/>
      <c r="AE1482" s="53"/>
      <c r="AF1482" s="53"/>
    </row>
    <row r="1483">
      <c r="G1483" s="55"/>
      <c r="H1483" s="54"/>
      <c r="I1483" s="54"/>
      <c r="J1483" s="54"/>
      <c r="K1483" s="54"/>
      <c r="L1483" s="54"/>
      <c r="M1483" s="54"/>
      <c r="N1483" s="59"/>
      <c r="O1483" s="61"/>
      <c r="P1483" s="61"/>
      <c r="Q1483" s="61"/>
      <c r="R1483" s="50"/>
      <c r="S1483" s="50"/>
      <c r="T1483" s="61"/>
      <c r="U1483" s="61"/>
      <c r="V1483" s="61"/>
      <c r="W1483" s="61"/>
      <c r="X1483" s="61"/>
      <c r="Y1483" s="61"/>
      <c r="Z1483" s="52"/>
      <c r="AA1483" s="52"/>
      <c r="AB1483" s="52"/>
      <c r="AC1483" s="52"/>
      <c r="AD1483" s="53"/>
      <c r="AE1483" s="53"/>
      <c r="AF1483" s="53"/>
    </row>
    <row r="1484">
      <c r="G1484" s="55"/>
      <c r="H1484" s="54"/>
      <c r="I1484" s="54"/>
      <c r="J1484" s="54"/>
      <c r="K1484" s="54"/>
      <c r="L1484" s="54"/>
      <c r="M1484" s="54"/>
      <c r="N1484" s="59"/>
      <c r="O1484" s="61"/>
      <c r="P1484" s="61"/>
      <c r="Q1484" s="61"/>
      <c r="R1484" s="50"/>
      <c r="S1484" s="50"/>
      <c r="T1484" s="61"/>
      <c r="U1484" s="61"/>
      <c r="V1484" s="61"/>
      <c r="W1484" s="61"/>
      <c r="X1484" s="61"/>
      <c r="Y1484" s="61"/>
      <c r="Z1484" s="52"/>
      <c r="AA1484" s="52"/>
      <c r="AB1484" s="52"/>
      <c r="AC1484" s="52"/>
      <c r="AD1484" s="53"/>
      <c r="AE1484" s="53"/>
      <c r="AF1484" s="53"/>
    </row>
    <row r="1485">
      <c r="G1485" s="55"/>
      <c r="H1485" s="54"/>
      <c r="I1485" s="54"/>
      <c r="J1485" s="54"/>
      <c r="K1485" s="54"/>
      <c r="L1485" s="54"/>
      <c r="M1485" s="54"/>
      <c r="N1485" s="59"/>
      <c r="O1485" s="61"/>
      <c r="P1485" s="61"/>
      <c r="Q1485" s="61"/>
      <c r="R1485" s="50"/>
      <c r="S1485" s="50"/>
      <c r="T1485" s="61"/>
      <c r="U1485" s="61"/>
      <c r="V1485" s="61"/>
      <c r="W1485" s="61"/>
      <c r="X1485" s="61"/>
      <c r="Y1485" s="61"/>
      <c r="Z1485" s="52"/>
      <c r="AA1485" s="52"/>
      <c r="AB1485" s="52"/>
      <c r="AC1485" s="52"/>
      <c r="AD1485" s="53"/>
      <c r="AE1485" s="53"/>
      <c r="AF1485" s="53"/>
    </row>
    <row r="1486">
      <c r="G1486" s="55"/>
      <c r="H1486" s="54"/>
      <c r="I1486" s="54"/>
      <c r="J1486" s="54"/>
      <c r="K1486" s="54"/>
      <c r="L1486" s="54"/>
      <c r="M1486" s="54"/>
      <c r="N1486" s="59"/>
      <c r="O1486" s="61"/>
      <c r="P1486" s="61"/>
      <c r="Q1486" s="61"/>
      <c r="R1486" s="50"/>
      <c r="S1486" s="50"/>
      <c r="T1486" s="61"/>
      <c r="U1486" s="61"/>
      <c r="V1486" s="61"/>
      <c r="W1486" s="61"/>
      <c r="X1486" s="61"/>
      <c r="Y1486" s="61"/>
      <c r="Z1486" s="52"/>
      <c r="AA1486" s="52"/>
      <c r="AB1486" s="52"/>
      <c r="AC1486" s="52"/>
      <c r="AD1486" s="53"/>
      <c r="AE1486" s="53"/>
      <c r="AF1486" s="53"/>
    </row>
    <row r="1487">
      <c r="G1487" s="55"/>
      <c r="H1487" s="54"/>
      <c r="I1487" s="54"/>
      <c r="J1487" s="54"/>
      <c r="K1487" s="54"/>
      <c r="L1487" s="54"/>
      <c r="M1487" s="54"/>
      <c r="N1487" s="59"/>
      <c r="O1487" s="61"/>
      <c r="P1487" s="61"/>
      <c r="Q1487" s="61"/>
      <c r="R1487" s="50"/>
      <c r="S1487" s="50"/>
      <c r="T1487" s="61"/>
      <c r="U1487" s="61"/>
      <c r="V1487" s="61"/>
      <c r="W1487" s="61"/>
      <c r="X1487" s="61"/>
      <c r="Y1487" s="61"/>
      <c r="Z1487" s="52"/>
      <c r="AA1487" s="52"/>
      <c r="AB1487" s="52"/>
      <c r="AC1487" s="52"/>
      <c r="AD1487" s="53"/>
      <c r="AE1487" s="53"/>
      <c r="AF1487" s="53"/>
    </row>
    <row r="1488">
      <c r="G1488" s="55"/>
      <c r="H1488" s="54"/>
      <c r="I1488" s="54"/>
      <c r="J1488" s="54"/>
      <c r="K1488" s="54"/>
      <c r="L1488" s="54"/>
      <c r="M1488" s="54"/>
      <c r="N1488" s="59"/>
      <c r="O1488" s="61"/>
      <c r="P1488" s="61"/>
      <c r="Q1488" s="61"/>
      <c r="R1488" s="50"/>
      <c r="S1488" s="50"/>
      <c r="T1488" s="61"/>
      <c r="U1488" s="61"/>
      <c r="V1488" s="61"/>
      <c r="W1488" s="61"/>
      <c r="X1488" s="61"/>
      <c r="Y1488" s="61"/>
      <c r="Z1488" s="52"/>
      <c r="AA1488" s="52"/>
      <c r="AB1488" s="52"/>
      <c r="AC1488" s="52"/>
      <c r="AD1488" s="53"/>
      <c r="AE1488" s="53"/>
      <c r="AF1488" s="53"/>
    </row>
    <row r="1489">
      <c r="G1489" s="55"/>
      <c r="H1489" s="54"/>
      <c r="I1489" s="54"/>
      <c r="J1489" s="54"/>
      <c r="K1489" s="54"/>
      <c r="L1489" s="54"/>
      <c r="M1489" s="54"/>
      <c r="N1489" s="59"/>
      <c r="O1489" s="61"/>
      <c r="P1489" s="61"/>
      <c r="Q1489" s="61"/>
      <c r="R1489" s="50"/>
      <c r="S1489" s="50"/>
      <c r="T1489" s="61"/>
      <c r="U1489" s="61"/>
      <c r="V1489" s="61"/>
      <c r="W1489" s="61"/>
      <c r="X1489" s="61"/>
      <c r="Y1489" s="61"/>
      <c r="Z1489" s="52"/>
      <c r="AA1489" s="52"/>
      <c r="AB1489" s="52"/>
      <c r="AC1489" s="52"/>
      <c r="AD1489" s="53"/>
      <c r="AE1489" s="53"/>
      <c r="AF1489" s="53"/>
    </row>
    <row r="1490">
      <c r="G1490" s="55"/>
      <c r="H1490" s="54"/>
      <c r="I1490" s="54"/>
      <c r="J1490" s="54"/>
      <c r="K1490" s="54"/>
      <c r="L1490" s="54"/>
      <c r="M1490" s="54"/>
      <c r="N1490" s="59"/>
      <c r="O1490" s="61"/>
      <c r="P1490" s="61"/>
      <c r="Q1490" s="61"/>
      <c r="R1490" s="50"/>
      <c r="S1490" s="50"/>
      <c r="T1490" s="61"/>
      <c r="U1490" s="61"/>
      <c r="V1490" s="61"/>
      <c r="W1490" s="61"/>
      <c r="X1490" s="61"/>
      <c r="Y1490" s="61"/>
      <c r="Z1490" s="52"/>
      <c r="AA1490" s="52"/>
      <c r="AB1490" s="52"/>
      <c r="AC1490" s="52"/>
      <c r="AD1490" s="53"/>
      <c r="AE1490" s="53"/>
      <c r="AF1490" s="53"/>
    </row>
    <row r="1491">
      <c r="G1491" s="55"/>
      <c r="H1491" s="54"/>
      <c r="I1491" s="54"/>
      <c r="J1491" s="54"/>
      <c r="K1491" s="54"/>
      <c r="L1491" s="54"/>
      <c r="M1491" s="54"/>
      <c r="N1491" s="59"/>
      <c r="O1491" s="61"/>
      <c r="P1491" s="61"/>
      <c r="Q1491" s="61"/>
      <c r="R1491" s="50"/>
      <c r="S1491" s="50"/>
      <c r="T1491" s="61"/>
      <c r="U1491" s="61"/>
      <c r="V1491" s="61"/>
      <c r="W1491" s="61"/>
      <c r="X1491" s="61"/>
      <c r="Y1491" s="61"/>
      <c r="Z1491" s="52"/>
      <c r="AA1491" s="52"/>
      <c r="AB1491" s="52"/>
      <c r="AC1491" s="52"/>
      <c r="AD1491" s="53"/>
      <c r="AE1491" s="53"/>
      <c r="AF1491" s="53"/>
    </row>
    <row r="1492">
      <c r="G1492" s="55"/>
      <c r="H1492" s="54"/>
      <c r="I1492" s="54"/>
      <c r="J1492" s="54"/>
      <c r="K1492" s="54"/>
      <c r="L1492" s="54"/>
      <c r="M1492" s="54"/>
      <c r="N1492" s="59"/>
      <c r="O1492" s="61"/>
      <c r="P1492" s="61"/>
      <c r="Q1492" s="61"/>
      <c r="R1492" s="50"/>
      <c r="S1492" s="50"/>
      <c r="T1492" s="61"/>
      <c r="U1492" s="61"/>
      <c r="V1492" s="61"/>
      <c r="W1492" s="61"/>
      <c r="X1492" s="61"/>
      <c r="Y1492" s="61"/>
      <c r="Z1492" s="52"/>
      <c r="AA1492" s="52"/>
      <c r="AB1492" s="52"/>
      <c r="AC1492" s="52"/>
      <c r="AD1492" s="53"/>
      <c r="AE1492" s="53"/>
      <c r="AF1492" s="53"/>
    </row>
    <row r="1493">
      <c r="G1493" s="55"/>
      <c r="H1493" s="54"/>
      <c r="I1493" s="54"/>
      <c r="J1493" s="54"/>
      <c r="K1493" s="54"/>
      <c r="L1493" s="54"/>
      <c r="M1493" s="54"/>
      <c r="N1493" s="59"/>
      <c r="O1493" s="61"/>
      <c r="P1493" s="61"/>
      <c r="Q1493" s="61"/>
      <c r="R1493" s="50"/>
      <c r="S1493" s="50"/>
      <c r="T1493" s="61"/>
      <c r="U1493" s="61"/>
      <c r="V1493" s="61"/>
      <c r="W1493" s="61"/>
      <c r="X1493" s="61"/>
      <c r="Y1493" s="61"/>
      <c r="Z1493" s="52"/>
      <c r="AA1493" s="52"/>
      <c r="AB1493" s="52"/>
      <c r="AC1493" s="52"/>
      <c r="AD1493" s="53"/>
      <c r="AE1493" s="53"/>
      <c r="AF1493" s="53"/>
    </row>
    <row r="1494">
      <c r="G1494" s="55"/>
      <c r="H1494" s="54"/>
      <c r="I1494" s="54"/>
      <c r="J1494" s="54"/>
      <c r="K1494" s="54"/>
      <c r="L1494" s="54"/>
      <c r="M1494" s="54"/>
      <c r="N1494" s="59"/>
      <c r="O1494" s="61"/>
      <c r="P1494" s="61"/>
      <c r="Q1494" s="61"/>
      <c r="R1494" s="50"/>
      <c r="S1494" s="50"/>
      <c r="T1494" s="61"/>
      <c r="U1494" s="61"/>
      <c r="V1494" s="61"/>
      <c r="W1494" s="61"/>
      <c r="X1494" s="61"/>
      <c r="Y1494" s="61"/>
      <c r="Z1494" s="52"/>
      <c r="AA1494" s="52"/>
      <c r="AB1494" s="52"/>
      <c r="AC1494" s="52"/>
      <c r="AD1494" s="53"/>
      <c r="AE1494" s="53"/>
      <c r="AF1494" s="53"/>
    </row>
    <row r="1495">
      <c r="G1495" s="55"/>
      <c r="H1495" s="54"/>
      <c r="I1495" s="54"/>
      <c r="J1495" s="54"/>
      <c r="K1495" s="54"/>
      <c r="L1495" s="54"/>
      <c r="M1495" s="54"/>
      <c r="N1495" s="59"/>
      <c r="O1495" s="61"/>
      <c r="P1495" s="61"/>
      <c r="Q1495" s="61"/>
      <c r="R1495" s="50"/>
      <c r="S1495" s="50"/>
      <c r="T1495" s="61"/>
      <c r="U1495" s="61"/>
      <c r="V1495" s="61"/>
      <c r="W1495" s="61"/>
      <c r="X1495" s="61"/>
      <c r="Y1495" s="61"/>
      <c r="Z1495" s="52"/>
      <c r="AA1495" s="52"/>
      <c r="AB1495" s="52"/>
      <c r="AC1495" s="52"/>
      <c r="AD1495" s="53"/>
      <c r="AE1495" s="53"/>
      <c r="AF1495" s="53"/>
    </row>
    <row r="1496">
      <c r="G1496" s="55"/>
      <c r="H1496" s="54"/>
      <c r="I1496" s="54"/>
      <c r="J1496" s="54"/>
      <c r="K1496" s="54"/>
      <c r="L1496" s="54"/>
      <c r="M1496" s="54"/>
      <c r="N1496" s="59"/>
      <c r="O1496" s="61"/>
      <c r="P1496" s="61"/>
      <c r="Q1496" s="61"/>
      <c r="R1496" s="50"/>
      <c r="S1496" s="50"/>
      <c r="T1496" s="61"/>
      <c r="U1496" s="61"/>
      <c r="V1496" s="61"/>
      <c r="W1496" s="61"/>
      <c r="X1496" s="61"/>
      <c r="Y1496" s="61"/>
      <c r="Z1496" s="52"/>
      <c r="AA1496" s="52"/>
      <c r="AB1496" s="52"/>
      <c r="AC1496" s="52"/>
      <c r="AD1496" s="53"/>
      <c r="AE1496" s="53"/>
      <c r="AF1496" s="53"/>
    </row>
    <row r="1497">
      <c r="G1497" s="55"/>
      <c r="H1497" s="54"/>
      <c r="I1497" s="54"/>
      <c r="J1497" s="54"/>
      <c r="K1497" s="54"/>
      <c r="L1497" s="54"/>
      <c r="M1497" s="54"/>
      <c r="N1497" s="59"/>
      <c r="O1497" s="61"/>
      <c r="P1497" s="61"/>
      <c r="Q1497" s="61"/>
      <c r="R1497" s="50"/>
      <c r="S1497" s="50"/>
      <c r="T1497" s="61"/>
      <c r="U1497" s="61"/>
      <c r="V1497" s="61"/>
      <c r="W1497" s="61"/>
      <c r="X1497" s="61"/>
      <c r="Y1497" s="61"/>
      <c r="Z1497" s="52"/>
      <c r="AA1497" s="52"/>
      <c r="AB1497" s="52"/>
      <c r="AC1497" s="52"/>
      <c r="AD1497" s="53"/>
      <c r="AE1497" s="53"/>
      <c r="AF1497" s="53"/>
    </row>
    <row r="1498">
      <c r="G1498" s="55"/>
      <c r="H1498" s="54"/>
      <c r="I1498" s="54"/>
      <c r="J1498" s="54"/>
      <c r="K1498" s="54"/>
      <c r="L1498" s="54"/>
      <c r="M1498" s="54"/>
      <c r="N1498" s="59"/>
      <c r="O1498" s="61"/>
      <c r="P1498" s="61"/>
      <c r="Q1498" s="61"/>
      <c r="R1498" s="50"/>
      <c r="S1498" s="50"/>
      <c r="T1498" s="61"/>
      <c r="U1498" s="61"/>
      <c r="V1498" s="61"/>
      <c r="W1498" s="61"/>
      <c r="X1498" s="61"/>
      <c r="Y1498" s="61"/>
      <c r="Z1498" s="52"/>
      <c r="AA1498" s="52"/>
      <c r="AB1498" s="52"/>
      <c r="AC1498" s="52"/>
      <c r="AD1498" s="53"/>
      <c r="AE1498" s="53"/>
      <c r="AF1498" s="53"/>
    </row>
    <row r="1499">
      <c r="G1499" s="55"/>
      <c r="H1499" s="54"/>
      <c r="I1499" s="54"/>
      <c r="J1499" s="54"/>
      <c r="K1499" s="54"/>
      <c r="L1499" s="54"/>
      <c r="M1499" s="54"/>
      <c r="N1499" s="59"/>
      <c r="O1499" s="61"/>
      <c r="P1499" s="61"/>
      <c r="Q1499" s="61"/>
      <c r="R1499" s="50"/>
      <c r="S1499" s="50"/>
      <c r="T1499" s="61"/>
      <c r="U1499" s="61"/>
      <c r="V1499" s="61"/>
      <c r="W1499" s="61"/>
      <c r="X1499" s="61"/>
      <c r="Y1499" s="61"/>
      <c r="Z1499" s="52"/>
      <c r="AA1499" s="52"/>
      <c r="AB1499" s="52"/>
      <c r="AC1499" s="52"/>
      <c r="AD1499" s="53"/>
      <c r="AE1499" s="53"/>
      <c r="AF1499" s="53"/>
    </row>
    <row r="1500">
      <c r="G1500" s="55"/>
      <c r="H1500" s="54"/>
      <c r="I1500" s="54"/>
      <c r="J1500" s="54"/>
      <c r="K1500" s="54"/>
      <c r="L1500" s="54"/>
      <c r="M1500" s="54"/>
      <c r="N1500" s="59"/>
      <c r="O1500" s="61"/>
      <c r="P1500" s="61"/>
      <c r="Q1500" s="61"/>
      <c r="R1500" s="50"/>
      <c r="S1500" s="50"/>
      <c r="T1500" s="61"/>
      <c r="U1500" s="61"/>
      <c r="V1500" s="61"/>
      <c r="W1500" s="61"/>
      <c r="X1500" s="61"/>
      <c r="Y1500" s="61"/>
      <c r="Z1500" s="52"/>
      <c r="AA1500" s="52"/>
      <c r="AB1500" s="52"/>
      <c r="AC1500" s="52"/>
      <c r="AD1500" s="53"/>
      <c r="AE1500" s="53"/>
      <c r="AF1500" s="53"/>
    </row>
    <row r="1501">
      <c r="G1501" s="55"/>
      <c r="H1501" s="54"/>
      <c r="I1501" s="54"/>
      <c r="J1501" s="54"/>
      <c r="K1501" s="54"/>
      <c r="L1501" s="54"/>
      <c r="M1501" s="54"/>
      <c r="N1501" s="59"/>
      <c r="O1501" s="61"/>
      <c r="P1501" s="61"/>
      <c r="Q1501" s="61"/>
      <c r="R1501" s="50"/>
      <c r="S1501" s="50"/>
      <c r="T1501" s="61"/>
      <c r="U1501" s="61"/>
      <c r="V1501" s="61"/>
      <c r="W1501" s="61"/>
      <c r="X1501" s="61"/>
      <c r="Y1501" s="61"/>
      <c r="Z1501" s="52"/>
      <c r="AA1501" s="52"/>
      <c r="AB1501" s="52"/>
      <c r="AC1501" s="52"/>
      <c r="AD1501" s="53"/>
      <c r="AE1501" s="53"/>
      <c r="AF1501" s="53"/>
    </row>
    <row r="1502">
      <c r="G1502" s="55"/>
      <c r="H1502" s="54"/>
      <c r="I1502" s="54"/>
      <c r="J1502" s="54"/>
      <c r="K1502" s="54"/>
      <c r="L1502" s="54"/>
      <c r="M1502" s="54"/>
      <c r="N1502" s="59"/>
      <c r="O1502" s="61"/>
      <c r="P1502" s="61"/>
      <c r="Q1502" s="61"/>
      <c r="R1502" s="50"/>
      <c r="S1502" s="50"/>
      <c r="T1502" s="61"/>
      <c r="U1502" s="61"/>
      <c r="V1502" s="61"/>
      <c r="W1502" s="61"/>
      <c r="X1502" s="61"/>
      <c r="Y1502" s="61"/>
      <c r="Z1502" s="52"/>
      <c r="AA1502" s="52"/>
      <c r="AB1502" s="52"/>
      <c r="AC1502" s="52"/>
      <c r="AD1502" s="53"/>
      <c r="AE1502" s="53"/>
      <c r="AF1502" s="53"/>
    </row>
    <row r="1503">
      <c r="G1503" s="55"/>
      <c r="H1503" s="54"/>
      <c r="I1503" s="54"/>
      <c r="J1503" s="54"/>
      <c r="K1503" s="54"/>
      <c r="L1503" s="54"/>
      <c r="M1503" s="54"/>
      <c r="N1503" s="59"/>
      <c r="O1503" s="61"/>
      <c r="P1503" s="61"/>
      <c r="Q1503" s="61"/>
      <c r="R1503" s="50"/>
      <c r="S1503" s="50"/>
      <c r="T1503" s="61"/>
      <c r="U1503" s="61"/>
      <c r="V1503" s="61"/>
      <c r="W1503" s="61"/>
      <c r="X1503" s="61"/>
      <c r="Y1503" s="61"/>
      <c r="Z1503" s="52"/>
      <c r="AA1503" s="52"/>
      <c r="AB1503" s="52"/>
      <c r="AC1503" s="52"/>
      <c r="AD1503" s="53"/>
      <c r="AE1503" s="53"/>
      <c r="AF1503" s="53"/>
    </row>
    <row r="1504">
      <c r="G1504" s="55"/>
      <c r="H1504" s="54"/>
      <c r="I1504" s="54"/>
      <c r="J1504" s="54"/>
      <c r="K1504" s="54"/>
      <c r="L1504" s="54"/>
      <c r="M1504" s="54"/>
      <c r="N1504" s="59"/>
      <c r="O1504" s="61"/>
      <c r="P1504" s="61"/>
      <c r="Q1504" s="61"/>
      <c r="R1504" s="50"/>
      <c r="S1504" s="50"/>
      <c r="T1504" s="61"/>
      <c r="U1504" s="61"/>
      <c r="V1504" s="61"/>
      <c r="W1504" s="61"/>
      <c r="X1504" s="61"/>
      <c r="Y1504" s="61"/>
      <c r="Z1504" s="52"/>
      <c r="AA1504" s="52"/>
      <c r="AB1504" s="52"/>
      <c r="AC1504" s="52"/>
      <c r="AD1504" s="53"/>
      <c r="AE1504" s="53"/>
      <c r="AF1504" s="53"/>
    </row>
    <row r="1505">
      <c r="G1505" s="55"/>
      <c r="H1505" s="54"/>
      <c r="I1505" s="54"/>
      <c r="J1505" s="54"/>
      <c r="K1505" s="54"/>
      <c r="L1505" s="54"/>
      <c r="M1505" s="54"/>
      <c r="N1505" s="59"/>
      <c r="O1505" s="61"/>
      <c r="P1505" s="61"/>
      <c r="Q1505" s="61"/>
      <c r="R1505" s="50"/>
      <c r="S1505" s="50"/>
      <c r="T1505" s="61"/>
      <c r="U1505" s="61"/>
      <c r="V1505" s="61"/>
      <c r="W1505" s="61"/>
      <c r="X1505" s="61"/>
      <c r="Y1505" s="61"/>
      <c r="Z1505" s="52"/>
      <c r="AA1505" s="52"/>
      <c r="AB1505" s="52"/>
      <c r="AC1505" s="52"/>
      <c r="AD1505" s="53"/>
      <c r="AE1505" s="53"/>
      <c r="AF1505" s="53"/>
    </row>
    <row r="1506">
      <c r="G1506" s="55"/>
      <c r="H1506" s="54"/>
      <c r="I1506" s="54"/>
      <c r="J1506" s="54"/>
      <c r="K1506" s="54"/>
      <c r="L1506" s="54"/>
      <c r="M1506" s="54"/>
      <c r="N1506" s="59"/>
      <c r="O1506" s="61"/>
      <c r="P1506" s="61"/>
      <c r="Q1506" s="61"/>
      <c r="R1506" s="50"/>
      <c r="S1506" s="50"/>
      <c r="T1506" s="61"/>
      <c r="U1506" s="61"/>
      <c r="V1506" s="61"/>
      <c r="W1506" s="61"/>
      <c r="X1506" s="61"/>
      <c r="Y1506" s="61"/>
      <c r="Z1506" s="52"/>
      <c r="AA1506" s="52"/>
      <c r="AB1506" s="52"/>
      <c r="AC1506" s="52"/>
      <c r="AD1506" s="53"/>
      <c r="AE1506" s="53"/>
      <c r="AF1506" s="53"/>
    </row>
    <row r="1507">
      <c r="G1507" s="55"/>
      <c r="H1507" s="54"/>
      <c r="I1507" s="54"/>
      <c r="J1507" s="54"/>
      <c r="K1507" s="54"/>
      <c r="L1507" s="54"/>
      <c r="M1507" s="54"/>
      <c r="N1507" s="59"/>
      <c r="O1507" s="61"/>
      <c r="P1507" s="61"/>
      <c r="Q1507" s="61"/>
      <c r="R1507" s="50"/>
      <c r="S1507" s="50"/>
      <c r="T1507" s="61"/>
      <c r="U1507" s="61"/>
      <c r="V1507" s="61"/>
      <c r="W1507" s="61"/>
      <c r="X1507" s="61"/>
      <c r="Y1507" s="61"/>
      <c r="Z1507" s="52"/>
      <c r="AA1507" s="52"/>
      <c r="AB1507" s="52"/>
      <c r="AC1507" s="52"/>
      <c r="AD1507" s="53"/>
      <c r="AE1507" s="53"/>
      <c r="AF1507" s="53"/>
    </row>
    <row r="1508">
      <c r="G1508" s="55"/>
      <c r="H1508" s="54"/>
      <c r="I1508" s="54"/>
      <c r="J1508" s="54"/>
      <c r="K1508" s="54"/>
      <c r="L1508" s="54"/>
      <c r="M1508" s="54"/>
      <c r="N1508" s="59"/>
      <c r="O1508" s="61"/>
      <c r="P1508" s="61"/>
      <c r="Q1508" s="61"/>
      <c r="R1508" s="50"/>
      <c r="S1508" s="50"/>
      <c r="T1508" s="61"/>
      <c r="U1508" s="61"/>
      <c r="V1508" s="61"/>
      <c r="W1508" s="61"/>
      <c r="X1508" s="61"/>
      <c r="Y1508" s="61"/>
      <c r="Z1508" s="52"/>
      <c r="AA1508" s="52"/>
      <c r="AB1508" s="52"/>
      <c r="AC1508" s="52"/>
      <c r="AD1508" s="53"/>
      <c r="AE1508" s="53"/>
      <c r="AF1508" s="53"/>
    </row>
    <row r="1509">
      <c r="G1509" s="55"/>
      <c r="H1509" s="54"/>
      <c r="I1509" s="54"/>
      <c r="J1509" s="54"/>
      <c r="K1509" s="54"/>
      <c r="L1509" s="54"/>
      <c r="M1509" s="54"/>
      <c r="N1509" s="59"/>
      <c r="O1509" s="61"/>
      <c r="P1509" s="61"/>
      <c r="Q1509" s="61"/>
      <c r="R1509" s="50"/>
      <c r="S1509" s="50"/>
      <c r="T1509" s="61"/>
      <c r="U1509" s="61"/>
      <c r="V1509" s="61"/>
      <c r="W1509" s="61"/>
      <c r="X1509" s="61"/>
      <c r="Y1509" s="61"/>
      <c r="Z1509" s="52"/>
      <c r="AA1509" s="52"/>
      <c r="AB1509" s="52"/>
      <c r="AC1509" s="52"/>
      <c r="AD1509" s="53"/>
      <c r="AE1509" s="53"/>
      <c r="AF1509" s="53"/>
    </row>
    <row r="1510">
      <c r="G1510" s="55"/>
      <c r="H1510" s="54"/>
      <c r="I1510" s="54"/>
      <c r="J1510" s="54"/>
      <c r="K1510" s="54"/>
      <c r="L1510" s="54"/>
      <c r="M1510" s="54"/>
      <c r="N1510" s="59"/>
      <c r="O1510" s="61"/>
      <c r="P1510" s="61"/>
      <c r="Q1510" s="61"/>
      <c r="R1510" s="50"/>
      <c r="S1510" s="50"/>
      <c r="T1510" s="61"/>
      <c r="U1510" s="61"/>
      <c r="V1510" s="61"/>
      <c r="W1510" s="61"/>
      <c r="X1510" s="61"/>
      <c r="Y1510" s="61"/>
      <c r="Z1510" s="52"/>
      <c r="AA1510" s="52"/>
      <c r="AB1510" s="52"/>
      <c r="AC1510" s="52"/>
      <c r="AD1510" s="53"/>
      <c r="AE1510" s="53"/>
      <c r="AF1510" s="53"/>
    </row>
    <row r="1511">
      <c r="G1511" s="55"/>
      <c r="H1511" s="54"/>
      <c r="I1511" s="54"/>
      <c r="J1511" s="54"/>
      <c r="K1511" s="54"/>
      <c r="L1511" s="54"/>
      <c r="M1511" s="54"/>
      <c r="N1511" s="59"/>
      <c r="O1511" s="61"/>
      <c r="P1511" s="61"/>
      <c r="Q1511" s="61"/>
      <c r="R1511" s="50"/>
      <c r="S1511" s="50"/>
      <c r="T1511" s="61"/>
      <c r="U1511" s="61"/>
      <c r="V1511" s="61"/>
      <c r="W1511" s="61"/>
      <c r="X1511" s="61"/>
      <c r="Y1511" s="61"/>
      <c r="Z1511" s="52"/>
      <c r="AA1511" s="52"/>
      <c r="AB1511" s="52"/>
      <c r="AC1511" s="52"/>
      <c r="AD1511" s="53"/>
      <c r="AE1511" s="53"/>
      <c r="AF1511" s="53"/>
    </row>
    <row r="1512">
      <c r="G1512" s="55"/>
      <c r="H1512" s="54"/>
      <c r="I1512" s="54"/>
      <c r="J1512" s="54"/>
      <c r="K1512" s="54"/>
      <c r="L1512" s="54"/>
      <c r="M1512" s="54"/>
      <c r="N1512" s="59"/>
      <c r="O1512" s="61"/>
      <c r="P1512" s="61"/>
      <c r="Q1512" s="61"/>
      <c r="R1512" s="50"/>
      <c r="S1512" s="50"/>
      <c r="T1512" s="61"/>
      <c r="U1512" s="61"/>
      <c r="V1512" s="61"/>
      <c r="W1512" s="61"/>
      <c r="X1512" s="61"/>
      <c r="Y1512" s="61"/>
      <c r="Z1512" s="52"/>
      <c r="AA1512" s="52"/>
      <c r="AB1512" s="52"/>
      <c r="AC1512" s="52"/>
      <c r="AD1512" s="53"/>
      <c r="AE1512" s="53"/>
      <c r="AF1512" s="53"/>
    </row>
    <row r="1513">
      <c r="G1513" s="55"/>
      <c r="H1513" s="54"/>
      <c r="I1513" s="54"/>
      <c r="J1513" s="54"/>
      <c r="K1513" s="54"/>
      <c r="L1513" s="54"/>
      <c r="M1513" s="54"/>
      <c r="N1513" s="59"/>
      <c r="O1513" s="61"/>
      <c r="P1513" s="61"/>
      <c r="Q1513" s="61"/>
      <c r="R1513" s="50"/>
      <c r="S1513" s="50"/>
      <c r="T1513" s="61"/>
      <c r="U1513" s="61"/>
      <c r="V1513" s="61"/>
      <c r="W1513" s="61"/>
      <c r="X1513" s="61"/>
      <c r="Y1513" s="61"/>
      <c r="Z1513" s="52"/>
      <c r="AA1513" s="52"/>
      <c r="AB1513" s="52"/>
      <c r="AC1513" s="52"/>
      <c r="AD1513" s="53"/>
      <c r="AE1513" s="53"/>
      <c r="AF1513" s="53"/>
    </row>
    <row r="1514">
      <c r="G1514" s="55"/>
      <c r="H1514" s="54"/>
      <c r="I1514" s="54"/>
      <c r="J1514" s="54"/>
      <c r="K1514" s="54"/>
      <c r="L1514" s="54"/>
      <c r="M1514" s="54"/>
      <c r="N1514" s="59"/>
      <c r="O1514" s="61"/>
      <c r="P1514" s="61"/>
      <c r="Q1514" s="61"/>
      <c r="R1514" s="50"/>
      <c r="S1514" s="50"/>
      <c r="T1514" s="61"/>
      <c r="U1514" s="61"/>
      <c r="V1514" s="61"/>
      <c r="W1514" s="61"/>
      <c r="X1514" s="61"/>
      <c r="Y1514" s="61"/>
      <c r="Z1514" s="52"/>
      <c r="AA1514" s="52"/>
      <c r="AB1514" s="52"/>
      <c r="AC1514" s="52"/>
      <c r="AD1514" s="53"/>
      <c r="AE1514" s="53"/>
      <c r="AF1514" s="53"/>
    </row>
    <row r="1515">
      <c r="G1515" s="55"/>
      <c r="H1515" s="54"/>
      <c r="I1515" s="54"/>
      <c r="J1515" s="54"/>
      <c r="K1515" s="54"/>
      <c r="L1515" s="54"/>
      <c r="M1515" s="54"/>
      <c r="N1515" s="59"/>
      <c r="O1515" s="61"/>
      <c r="P1515" s="61"/>
      <c r="Q1515" s="61"/>
      <c r="R1515" s="50"/>
      <c r="S1515" s="50"/>
      <c r="T1515" s="61"/>
      <c r="U1515" s="61"/>
      <c r="V1515" s="61"/>
      <c r="W1515" s="61"/>
      <c r="X1515" s="61"/>
      <c r="Y1515" s="61"/>
      <c r="Z1515" s="52"/>
      <c r="AA1515" s="52"/>
      <c r="AB1515" s="52"/>
      <c r="AC1515" s="52"/>
      <c r="AD1515" s="53"/>
      <c r="AE1515" s="53"/>
      <c r="AF1515" s="53"/>
    </row>
    <row r="1516">
      <c r="G1516" s="55"/>
      <c r="H1516" s="54"/>
      <c r="I1516" s="54"/>
      <c r="J1516" s="54"/>
      <c r="K1516" s="54"/>
      <c r="L1516" s="54"/>
      <c r="M1516" s="54"/>
      <c r="N1516" s="59"/>
      <c r="O1516" s="61"/>
      <c r="P1516" s="61"/>
      <c r="Q1516" s="61"/>
      <c r="R1516" s="50"/>
      <c r="S1516" s="50"/>
      <c r="T1516" s="61"/>
      <c r="U1516" s="61"/>
      <c r="V1516" s="61"/>
      <c r="W1516" s="61"/>
      <c r="X1516" s="61"/>
      <c r="Y1516" s="61"/>
      <c r="Z1516" s="52"/>
      <c r="AA1516" s="52"/>
      <c r="AB1516" s="52"/>
      <c r="AC1516" s="52"/>
      <c r="AD1516" s="53"/>
      <c r="AE1516" s="53"/>
      <c r="AF1516" s="53"/>
    </row>
    <row r="1517">
      <c r="G1517" s="55"/>
      <c r="H1517" s="54"/>
      <c r="I1517" s="54"/>
      <c r="J1517" s="54"/>
      <c r="K1517" s="54"/>
      <c r="L1517" s="54"/>
      <c r="M1517" s="54"/>
      <c r="N1517" s="59"/>
      <c r="O1517" s="61"/>
      <c r="P1517" s="61"/>
      <c r="Q1517" s="61"/>
      <c r="R1517" s="50"/>
      <c r="S1517" s="50"/>
      <c r="T1517" s="61"/>
      <c r="U1517" s="61"/>
      <c r="V1517" s="61"/>
      <c r="W1517" s="61"/>
      <c r="X1517" s="61"/>
      <c r="Y1517" s="61"/>
      <c r="Z1517" s="52"/>
      <c r="AA1517" s="52"/>
      <c r="AB1517" s="52"/>
      <c r="AC1517" s="52"/>
      <c r="AD1517" s="53"/>
      <c r="AE1517" s="53"/>
      <c r="AF1517" s="53"/>
    </row>
    <row r="1518">
      <c r="G1518" s="55"/>
      <c r="H1518" s="54"/>
      <c r="I1518" s="54"/>
      <c r="J1518" s="54"/>
      <c r="K1518" s="54"/>
      <c r="L1518" s="54"/>
      <c r="M1518" s="54"/>
      <c r="N1518" s="59"/>
      <c r="O1518" s="61"/>
      <c r="P1518" s="61"/>
      <c r="Q1518" s="61"/>
      <c r="R1518" s="50"/>
      <c r="S1518" s="50"/>
      <c r="T1518" s="61"/>
      <c r="U1518" s="61"/>
      <c r="V1518" s="61"/>
      <c r="W1518" s="61"/>
      <c r="X1518" s="61"/>
      <c r="Y1518" s="61"/>
      <c r="Z1518" s="52"/>
      <c r="AA1518" s="52"/>
      <c r="AB1518" s="52"/>
      <c r="AC1518" s="52"/>
      <c r="AD1518" s="53"/>
      <c r="AE1518" s="53"/>
      <c r="AF1518" s="53"/>
    </row>
    <row r="1519">
      <c r="G1519" s="55"/>
      <c r="H1519" s="54"/>
      <c r="I1519" s="54"/>
      <c r="J1519" s="54"/>
      <c r="K1519" s="54"/>
      <c r="L1519" s="54"/>
      <c r="M1519" s="54"/>
      <c r="N1519" s="59"/>
      <c r="O1519" s="61"/>
      <c r="P1519" s="61"/>
      <c r="Q1519" s="61"/>
      <c r="R1519" s="50"/>
      <c r="S1519" s="50"/>
      <c r="T1519" s="61"/>
      <c r="U1519" s="61"/>
      <c r="V1519" s="61"/>
      <c r="W1519" s="61"/>
      <c r="X1519" s="61"/>
      <c r="Y1519" s="61"/>
      <c r="Z1519" s="52"/>
      <c r="AA1519" s="52"/>
      <c r="AB1519" s="52"/>
      <c r="AC1519" s="52"/>
      <c r="AD1519" s="53"/>
      <c r="AE1519" s="53"/>
      <c r="AF1519" s="53"/>
    </row>
  </sheetData>
  <autoFilter ref="$A$1:$AL$198">
    <sortState ref="A1:AL198">
      <sortCondition descending="1" ref="I1:I198"/>
      <sortCondition descending="1" ref="O1:O198"/>
      <sortCondition ref="AI1:AI198"/>
      <sortCondition ref="A1:A198"/>
      <sortCondition ref="G1:G198"/>
      <sortCondition descending="1" ref="K1:K198"/>
      <sortCondition descending="1" ref="H1:H198"/>
      <sortCondition descending="1" ref="L1:L198"/>
      <sortCondition descending="1" ref="N1:N198"/>
      <sortCondition ref="M1:M198"/>
    </sortState>
  </autoFilter>
  <conditionalFormatting sqref="L1:M1519 R1:S1519">
    <cfRule type="colorScale" priority="1">
      <colorScale>
        <cfvo type="formula" val="0"/>
        <cfvo type="formula" val="1"/>
        <cfvo type="formula" val="2"/>
        <color rgb="FFE67C73"/>
        <color rgb="FFFFFFFF"/>
        <color rgb="FF57BB8A"/>
      </colorScale>
    </cfRule>
  </conditionalFormatting>
  <conditionalFormatting sqref="AI1:AI1519">
    <cfRule type="colorScale" priority="2">
      <colorScale>
        <cfvo type="min"/>
        <cfvo type="formula" val="3000"/>
        <cfvo type="formula" val="6000"/>
        <color rgb="FFE67C73"/>
        <color rgb="FFFFFFFF"/>
        <color rgb="FF57BB8A"/>
      </colorScale>
    </cfRule>
  </conditionalFormatting>
  <conditionalFormatting sqref="I1:I243 K1:K243">
    <cfRule type="colorScale" priority="3">
      <colorScale>
        <cfvo type="min"/>
        <cfvo type="formula" val="10"/>
        <cfvo type="max"/>
        <color rgb="FFE67C73"/>
        <color rgb="FFFFFFFF"/>
        <color rgb="FF57BB8A"/>
      </colorScale>
    </cfRule>
  </conditionalFormatting>
  <conditionalFormatting sqref="E1:E1519">
    <cfRule type="colorScale" priority="4">
      <colorScale>
        <cfvo type="min"/>
        <cfvo type="formula" val="30"/>
        <cfvo type="max"/>
        <color rgb="FFE06666"/>
        <color rgb="FF34A853"/>
        <color rgb="FFE06666"/>
      </colorScale>
    </cfRule>
  </conditionalFormatting>
  <conditionalFormatting sqref="F1:F1519">
    <cfRule type="colorScale" priority="5">
      <colorScale>
        <cfvo type="min"/>
        <cfvo type="formula" val="100"/>
        <cfvo type="max"/>
        <color rgb="FFE67C73"/>
        <color rgb="FF34A853"/>
        <color rgb="FFE06666"/>
      </colorScale>
    </cfRule>
  </conditionalFormatting>
  <conditionalFormatting sqref="G1:G1519">
    <cfRule type="colorScale" priority="6">
      <colorScale>
        <cfvo type="formula" val="45500"/>
        <cfvo type="formula" val="45986"/>
        <cfvo type="max"/>
        <color rgb="FFE67C73"/>
        <color rgb="FFFFFFFF"/>
        <color rgb="FF57BB8A"/>
      </colorScale>
    </cfRule>
  </conditionalFormatting>
  <conditionalFormatting sqref="X1:Y1519 AD1:AE1">
    <cfRule type="colorScale" priority="7">
      <colorScale>
        <cfvo type="formula" val="-0.1"/>
        <cfvo type="formula" val="0"/>
        <cfvo type="formula" val="0.1"/>
        <color rgb="FFE67C73"/>
        <color rgb="FFFFFFFF"/>
        <color rgb="FF57BB8A"/>
      </colorScale>
    </cfRule>
  </conditionalFormatting>
  <conditionalFormatting sqref="O1:O1519 Q1:Q1519">
    <cfRule type="colorScale" priority="8">
      <colorScale>
        <cfvo type="min"/>
        <cfvo type="percentile" val="80"/>
        <cfvo type="max"/>
        <color rgb="FFE67C73"/>
        <color rgb="FFFFFFFF"/>
        <color rgb="FF57BB8A"/>
      </colorScale>
    </cfRule>
  </conditionalFormatting>
  <conditionalFormatting sqref="AD1:AE1519">
    <cfRule type="colorScale" priority="9">
      <colorScale>
        <cfvo type="min"/>
        <cfvo type="percentile" val="50"/>
        <cfvo type="max"/>
        <color rgb="FF57BB8A"/>
        <color rgb="FFFFFFFF"/>
        <color rgb="FFE67C73"/>
      </colorScale>
    </cfRule>
  </conditionalFormatting>
  <conditionalFormatting sqref="A2">
    <cfRule type="colorScale" priority="10">
      <colorScale>
        <cfvo type="min"/>
        <cfvo type="max"/>
        <color rgb="FFFFFFFF"/>
        <color rgb="FF57BB8A"/>
      </colorScale>
    </cfRule>
  </conditionalFormatting>
  <conditionalFormatting sqref="A2">
    <cfRule type="colorScale" priority="11">
      <colorScale>
        <cfvo type="min"/>
        <cfvo type="max"/>
        <color rgb="FFFFFFFF"/>
        <color rgb="FF57BB8A"/>
      </colorScale>
    </cfRule>
  </conditionalFormatting>
  <conditionalFormatting sqref="A2:A993">
    <cfRule type="expression" dxfId="0" priority="12">
      <formula>L2&lt;M2</formula>
    </cfRule>
  </conditionalFormatting>
  <conditionalFormatting sqref="A2:A993">
    <cfRule type="expression" dxfId="0" priority="13">
      <formula>L2&lt;M2</formula>
    </cfRule>
  </conditionalFormatting>
  <conditionalFormatting sqref="A2:A993">
    <cfRule type="expression" dxfId="0" priority="14">
      <formula>L2&lt;M2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3"/>
    <hyperlink r:id="rId111" ref="A114"/>
    <hyperlink r:id="rId112" ref="A116"/>
    <hyperlink r:id="rId113" ref="A117"/>
    <hyperlink r:id="rId114" ref="A118"/>
    <hyperlink r:id="rId115" ref="A119"/>
    <hyperlink r:id="rId116" ref="A120"/>
    <hyperlink r:id="rId117" ref="A121"/>
    <hyperlink r:id="rId118" ref="A122"/>
    <hyperlink r:id="rId119" ref="A124"/>
    <hyperlink r:id="rId120" ref="A125"/>
    <hyperlink r:id="rId121" ref="A126"/>
    <hyperlink r:id="rId122" ref="A127"/>
    <hyperlink r:id="rId123" ref="A129"/>
    <hyperlink r:id="rId124" ref="A131"/>
    <hyperlink r:id="rId125" ref="A132"/>
    <hyperlink r:id="rId126" ref="A133"/>
    <hyperlink r:id="rId127" ref="A134"/>
    <hyperlink r:id="rId128" ref="A136"/>
    <hyperlink r:id="rId129" ref="A139"/>
    <hyperlink r:id="rId130" ref="A141"/>
    <hyperlink r:id="rId131" ref="A142"/>
    <hyperlink r:id="rId132" ref="A143"/>
    <hyperlink r:id="rId133" ref="A144"/>
    <hyperlink r:id="rId134" ref="A145"/>
    <hyperlink r:id="rId135" ref="A146"/>
    <hyperlink r:id="rId136" ref="A147"/>
    <hyperlink r:id="rId137" ref="A148"/>
    <hyperlink r:id="rId138" ref="A149"/>
    <hyperlink r:id="rId139" ref="A150"/>
    <hyperlink r:id="rId140" ref="A151"/>
    <hyperlink r:id="rId141" ref="A152"/>
    <hyperlink r:id="rId142" ref="A153"/>
    <hyperlink r:id="rId143" ref="A154"/>
    <hyperlink r:id="rId144" ref="A156"/>
    <hyperlink r:id="rId145" ref="A157"/>
    <hyperlink r:id="rId146" ref="A158"/>
    <hyperlink r:id="rId147" ref="A159"/>
    <hyperlink r:id="rId148" ref="A160"/>
    <hyperlink r:id="rId149" ref="A161"/>
    <hyperlink r:id="rId150" ref="A162"/>
    <hyperlink r:id="rId151" ref="A163"/>
    <hyperlink r:id="rId152" ref="A164"/>
    <hyperlink r:id="rId153" ref="A165"/>
    <hyperlink r:id="rId154" ref="A166"/>
    <hyperlink r:id="rId155" ref="A167"/>
    <hyperlink r:id="rId156" ref="A168"/>
    <hyperlink r:id="rId157" ref="A169"/>
    <hyperlink r:id="rId158" ref="A170"/>
    <hyperlink r:id="rId159" ref="A171"/>
    <hyperlink r:id="rId160" ref="A172"/>
    <hyperlink r:id="rId161" ref="A173"/>
    <hyperlink r:id="rId162" ref="A174"/>
    <hyperlink r:id="rId163" ref="A175"/>
    <hyperlink r:id="rId164" ref="A176"/>
    <hyperlink r:id="rId165" ref="A177"/>
    <hyperlink r:id="rId166" ref="A178"/>
    <hyperlink r:id="rId167" ref="A189"/>
    <hyperlink r:id="rId168" ref="A190"/>
    <hyperlink r:id="rId169" ref="A191"/>
    <hyperlink r:id="rId170" ref="A192"/>
    <hyperlink r:id="rId171" ref="A193"/>
    <hyperlink r:id="rId172" ref="A194"/>
    <hyperlink r:id="rId173" ref="A195"/>
    <hyperlink r:id="rId174" ref="A196"/>
    <hyperlink r:id="rId175" ref="A197"/>
    <hyperlink r:id="rId176" ref="A198"/>
  </hyperlinks>
  <drawing r:id="rId17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2.38"/>
    <col customWidth="1" min="2" max="2" width="5.0"/>
    <col customWidth="1" min="3" max="3" width="23.38"/>
    <col customWidth="1" min="4" max="4" width="11.5"/>
    <col customWidth="1" min="5" max="5" width="14.38"/>
    <col customWidth="1" min="6" max="7" width="3.75"/>
    <col customWidth="1" min="8" max="8" width="3.88"/>
    <col customWidth="1" min="9" max="9" width="5.75"/>
    <col customWidth="1" min="10" max="10" width="5.5"/>
    <col customWidth="1" min="11" max="12" width="4.88"/>
    <col customWidth="1" min="13" max="14" width="4.75"/>
    <col customWidth="1" min="15" max="15" width="5.38"/>
    <col customWidth="1" min="16" max="17" width="4.0"/>
    <col customWidth="1" min="18" max="18" width="4.75"/>
    <col customWidth="1" min="19" max="19" width="5.0"/>
    <col customWidth="1" min="20" max="29" width="4.75"/>
    <col customWidth="1" min="30" max="30" width="7.88"/>
    <col customWidth="1" min="31" max="38" width="4.88"/>
  </cols>
  <sheetData>
    <row r="1">
      <c r="A1" s="1" t="s">
        <v>61</v>
      </c>
      <c r="B1" s="1" t="s">
        <v>29</v>
      </c>
      <c r="C1" s="1" t="s">
        <v>63</v>
      </c>
      <c r="D1" s="1" t="s">
        <v>243</v>
      </c>
      <c r="E1" s="32" t="s">
        <v>246</v>
      </c>
      <c r="F1" s="62" t="s">
        <v>65</v>
      </c>
      <c r="G1" s="62" t="s">
        <v>247</v>
      </c>
      <c r="H1" s="62" t="s">
        <v>248</v>
      </c>
      <c r="I1" s="62" t="s">
        <v>249</v>
      </c>
      <c r="J1" s="63" t="s">
        <v>250</v>
      </c>
      <c r="K1" s="63" t="s">
        <v>251</v>
      </c>
      <c r="L1" s="64" t="s">
        <v>64</v>
      </c>
      <c r="M1" s="62" t="s">
        <v>252</v>
      </c>
      <c r="N1" s="62" t="s">
        <v>253</v>
      </c>
      <c r="O1" s="62" t="s">
        <v>254</v>
      </c>
      <c r="P1" s="63" t="s">
        <v>255</v>
      </c>
      <c r="Q1" s="63" t="s">
        <v>256</v>
      </c>
      <c r="R1" s="64" t="s">
        <v>257</v>
      </c>
      <c r="S1" s="62" t="s">
        <v>258</v>
      </c>
      <c r="T1" s="62" t="s">
        <v>259</v>
      </c>
      <c r="U1" s="62" t="s">
        <v>260</v>
      </c>
      <c r="V1" s="63" t="s">
        <v>261</v>
      </c>
      <c r="W1" s="63" t="s">
        <v>262</v>
      </c>
      <c r="X1" s="64" t="s">
        <v>263</v>
      </c>
      <c r="Y1" s="62" t="s">
        <v>264</v>
      </c>
      <c r="Z1" s="62" t="s">
        <v>265</v>
      </c>
      <c r="AA1" s="62" t="s">
        <v>266</v>
      </c>
      <c r="AB1" s="63" t="s">
        <v>267</v>
      </c>
      <c r="AC1" s="63" t="s">
        <v>268</v>
      </c>
      <c r="AD1" s="46" t="s">
        <v>269</v>
      </c>
      <c r="AE1" s="47" t="s">
        <v>270</v>
      </c>
      <c r="AF1" s="47" t="s">
        <v>271</v>
      </c>
      <c r="AG1" s="47" t="s">
        <v>272</v>
      </c>
      <c r="AH1" s="47" t="s">
        <v>273</v>
      </c>
      <c r="AI1" s="47" t="s">
        <v>274</v>
      </c>
      <c r="AJ1" s="1" t="s">
        <v>275</v>
      </c>
      <c r="AK1" s="1" t="s">
        <v>244</v>
      </c>
      <c r="AL1" s="1" t="s">
        <v>245</v>
      </c>
    </row>
    <row r="2">
      <c r="A2" s="3" t="s">
        <v>516</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"),"国語の記述問題はこう自己採点する｜採点基準の考え方と部分点の付け方【中学受験〜模試】 - 受験国語専門 読解ラボ東京 | 中学受験・大学受験対応の個別指導国語専門塾（オンライン・教室対応）")</f>
        <v>国語の記述問題はこう自己採点する｜採点基準の考え方と部分点の付け方【中学受験〜模試】 - 受験国語専門 読解ラボ東京 | 中学受験・大学受験対応の個別指導国語専門塾（オンライン・教室対応）</v>
      </c>
      <c r="D2" s="1" t="str">
        <f>IFERROR(__xludf.DUMMYFUNCTION("IFERROR(
  VLOOKUP(
    A2,
    IMPORTRANGE(
      ""1ZygntHC1J6IxzKbTidmOyf5nUyW4GCLurHCjexrLm_o        "",
      ""HTMLキャッシュ!A:F""
    ),
    6,
    FALSE
  ),
  0
)
"),"国語の自己採点が甘くなったり厳しすぎたりしてしまう保護者・受験生向けに、記述問題の採点基準の考え方と採点方法を解説。本文のどこが書けていれば何点なのか、二文指定や句読点のチェック、模試・過去問を家で採点するときの具体的な手順まで整理します。")</f>
        <v>国語の自己採点が甘くなったり厳しすぎたりしてしまう保護者・受験生向けに、記述問題の採点基準の考え方と採点方法を解説。本文のどこが書けていれば何点なのか、二文指定や句読点のチェック、模試・過去問を家で採点するときの具体的な手順まで整理します。</v>
      </c>
      <c r="E2" s="32">
        <f>IFERROR(__xludf.DUMMYFUNCTION("IFERROR(
  VLOOKUP(
    A2,
    IMPORTRANGE(
      ""1ZygntHC1J6IxzKbTidmOyf5nUyW4GCLurHCjexrLm_o        "",
      ""HTMLキャッシュ!A:F""
    ),
    3,
    FALSE
  ),
  0
)
"),46069.80909722222)</f>
        <v>46069.8091</v>
      </c>
      <c r="F2" s="49">
        <f>IFERROR(__xludf.DUMMYFUNCTION("IFERROR(
  VLOOKUP(
    A2,
    IMPORTRANGE(
      ""1ZHMy3vVUd_0MrSduXTe1etBb1HNpAlGwQr006ljwMiM"",
      ""GSC最新!A:F""
    ),
    2,
    FALSE
  ),
  0
)
"),241.0)</f>
        <v>241</v>
      </c>
      <c r="G2" s="49">
        <f>IFERROR(__xludf.DUMMYFUNCTION("IFERROR(
  VLOOKUP(
    A2,
    IMPORTRANGE(
      ""1ZHMy3vVUd_0MrSduXTe1etBb1HNpAlGwQr006ljwMiM"",
      ""GSC最新!A:F""
    ),
    3,
    FALSE
  ),
  0
)
"),690.0)</f>
        <v>690</v>
      </c>
      <c r="H2" s="49">
        <f>IFERROR(__xludf.DUMMYFUNCTION("IFERROR(
  VLOOKUP(
    A2,
    IMPORTRANGE(
      ""1ZHMy3vVUd_0MrSduXTe1etBb1HNpAlGwQr006ljwMiM"",
      ""GSC最新!A:F""
    ),
    4,
    FALSE
  ),
  0
)
"),143.0)</f>
        <v>143</v>
      </c>
      <c r="I2" s="49">
        <f>IFERROR(__xludf.DUMMYFUNCTION("IFERROR(
  VLOOKUP(
    A2,
    IMPORTRANGE(
      ""1ZHMy3vVUd_0MrSduXTe1etBb1HNpAlGwQr006ljwMiM"",
      ""GSC最新!A:F""
    ),
    5,
    FALSE
  ),
  0
)
"),317.0)</f>
        <v>317</v>
      </c>
      <c r="J2" s="50">
        <f t="shared" ref="J2:K2" si="1">IFERROR(F2/H2,"-")</f>
        <v>1.685314685</v>
      </c>
      <c r="K2" s="50">
        <f t="shared" si="1"/>
        <v>2.176656151</v>
      </c>
      <c r="L2" s="6">
        <f>IFERROR(__xludf.DUMMYFUNCTION("IFERROR(
  VLOOKUP(
    A2,
    IMPORTRANGE(
      ""1ZHMy3vVUd_0MrSduXTe1etBb1HNpAlGwQr006ljwMiM"",
      ""GSC最新!A:R""
    ),
    7,
    FALSE
  ),
  0
)
"),5647.0)</f>
        <v>5647</v>
      </c>
      <c r="M2" s="6">
        <f>IFERROR(__xludf.DUMMYFUNCTION("IFERROR(
  VLOOKUP(
    A2,
    IMPORTRANGE(
      ""1ZHMy3vVUd_0MrSduXTe1etBb1HNpAlGwQr006ljwMiM"",
      ""GSC最新!A:R""
    ),
    10,
    FALSE
  ),
  0
)
"),13445.0)</f>
        <v>13445</v>
      </c>
      <c r="N2" s="6">
        <f>IFERROR(__xludf.DUMMYFUNCTION("IFERROR(
  VLOOKUP(
    A2,
    IMPORTRANGE(
      ""1ZHMy3vVUd_0MrSduXTe1etBb1HNpAlGwQr006ljwMiM"",
      ""GSC最新!A:R""
    ),
    13,
    FALSE
  ),
  0
)
"),2541.0)</f>
        <v>2541</v>
      </c>
      <c r="O2" s="6">
        <f>IFERROR(__xludf.DUMMYFUNCTION("IFERROR(
  VLOOKUP(
    A2,
    IMPORTRANGE(
      ""1ZHMy3vVUd_0MrSduXTe1etBb1HNpAlGwQr006ljwMiM"",
      ""GSC最新!A:R""
    ),
    16,
    FALSE
  ),
  0
)
"),5708.0)</f>
        <v>5708</v>
      </c>
      <c r="P2" s="51">
        <f t="shared" ref="P2:Q2" si="2">IFERROR(L2/N2,"-")</f>
        <v>2.222353404</v>
      </c>
      <c r="Q2" s="51">
        <f t="shared" si="2"/>
        <v>2.355466013</v>
      </c>
      <c r="R2" s="9">
        <f>IFERROR(__xludf.DUMMYFUNCTION("IFERROR(
  VLOOKUP(
    A2,
    IMPORTRANGE(
      ""1ZHMy3vVUd_0MrSduXTe1etBb1HNpAlGwQr006ljwMiM"",
      ""GSC最新!A:R""
    ),
    8,
    FALSE
  ),
  0
)
"),0.04267752789091553)</f>
        <v>0.04267752789</v>
      </c>
      <c r="S2" s="9">
        <f>IFERROR(__xludf.DUMMYFUNCTION("IFERROR(
  VLOOKUP(
    A2,
    IMPORTRANGE(
      ""1ZHMy3vVUd_0MrSduXTe1etBb1HNpAlGwQr006ljwMiM"",
      ""GSC最新!A:R""
    ),
    11,
    FALSE
  ),
  0
)
"),0.051320193380438826)</f>
        <v>0.05132019338</v>
      </c>
      <c r="T2" s="9">
        <f>IFERROR(__xludf.DUMMYFUNCTION("IFERROR(
  VLOOKUP(
    A2,
    IMPORTRANGE(
      ""1ZHMy3vVUd_0MrSduXTe1etBb1HNpAlGwQr006ljwMiM"",
      ""GSC最新!A:R""
    ),
    14,
    FALSE
  ),
  0
)
"),0.05627705627705628)</f>
        <v>0.05627705628</v>
      </c>
      <c r="U2" s="9">
        <f>IFERROR(__xludf.DUMMYFUNCTION("IFERROR(
  VLOOKUP(
    A2,
    IMPORTRANGE(
      ""1ZHMy3vVUd_0MrSduXTe1etBb1HNpAlGwQr006ljwMiM"",
      ""GSC最新!A:R""
    ),
    17,
    FALSE
  ),
  0
)
"),0.055536089698668537)</f>
        <v>0.0555360897</v>
      </c>
      <c r="V2" s="9">
        <f t="shared" ref="V2:W2" si="3">IFERROR(R2-T2,"-")</f>
        <v>-0.01359952839</v>
      </c>
      <c r="W2" s="9">
        <f t="shared" si="3"/>
        <v>-0.004215896318</v>
      </c>
      <c r="X2" s="65">
        <f>IFERROR(__xludf.DUMMYFUNCTION("IFERROR(
  VLOOKUP(
    A2,
    IMPORTRANGE(
      ""1ZHMy3vVUd_0MrSduXTe1etBb1HNpAlGwQr006ljwMiM"",
      ""GSC最新!A:R""
    ),
    9,
    FALSE
  ),
  0
)
"),4.704976093500974)</f>
        <v>4.704976094</v>
      </c>
      <c r="Y2" s="65">
        <f>IFERROR(__xludf.DUMMYFUNCTION("IFERROR(
  VLOOKUP(
    A2,
    IMPORTRANGE(
      ""1ZHMy3vVUd_0MrSduXTe1etBb1HNpAlGwQr006ljwMiM"",
      ""GSC最新!A:R""
    ),
    12,
    FALSE
  ),
  0
)
"),5.169431015247304)</f>
        <v>5.169431015</v>
      </c>
      <c r="Z2" s="65">
        <f>IFERROR(__xludf.DUMMYFUNCTION("IFERROR(
  VLOOKUP(
    A2,
    IMPORTRANGE(
      ""1ZHMy3vVUd_0MrSduXTe1etBb1HNpAlGwQr006ljwMiM"",
      ""GSC最新!A:R""
    ),
    15,
    FALSE
  ),
  0
)
"),7.624950806768989)</f>
        <v>7.624950807</v>
      </c>
      <c r="AA2" s="65">
        <f>IFERROR(__xludf.DUMMYFUNCTION("IFERROR(
  VLOOKUP(
    A2,
    IMPORTRANGE(
      ""1ZHMy3vVUd_0MrSduXTe1etBb1HNpAlGwQr006ljwMiM"",
      ""GSC最新!A:R""
    ),
    18,
    FALSE
  ),
  0
)
"),9.30781359495445)</f>
        <v>9.307813595</v>
      </c>
      <c r="AB2" s="65">
        <f t="shared" ref="AB2:AC2" si="4">X2-Z2</f>
        <v>-2.919974713</v>
      </c>
      <c r="AC2" s="65">
        <f t="shared" si="4"/>
        <v>-4.13838258</v>
      </c>
      <c r="AD2" s="53">
        <f>IFERROR(__xludf.DUMMYFUNCTION("IFERROR(
  VLOOKUP(
    A2,
    IMPORTRANGE(
      ""1ZHMy3vVUd_0MrSduXTe1etBb1HNpAlGwQr006ljwMiM"",
      ""GSC最新!A:F""
    ),
    6,
    FALSE
  ),
  0
)
"),46081.0)</f>
        <v>46081</v>
      </c>
      <c r="AE2" s="54">
        <f>IFERROR(__xludf.DUMMYFUNCTION("IFERROR(
  VLOOKUP(
    A2,
    IMPORTRANGE(
      ""1SCYQd7_cobOYqT0r_F0IqD4tE4rYn5y8Eup4PJTH8es"",
      ""Snapshot!A:M""
    ),
    5,
    FALSE
  ),
  ""-""
)
"),6.0)</f>
        <v>6</v>
      </c>
      <c r="AF2" s="54">
        <f>IFERROR(__xludf.DUMMYFUNCTION("IFERROR(
  VLOOKUP(
    A2,
    IMPORTRANGE(
      ""1SCYQd7_cobOYqT0r_F0IqD4tE4rYn5y8Eup4PJTH8es"",
      ""Snapshot!A:M""
    ),
    6,
    FALSE
  ),
  0
)
"),9.0)</f>
        <v>9</v>
      </c>
      <c r="AG2" s="54">
        <f>IFERROR(__xludf.DUMMYFUNCTION("IFERROR(
  VLOOKUP(
    A2,
    IMPORTRANGE(
      ""1SCYQd7_cobOYqT0r_F0IqD4tE4rYn5y8Eup4PJTH8es"",
      ""Snapshot!A:M""
    ),
    7,
    FALSE
  ),
  0
)
"),5374.0)</f>
        <v>5374</v>
      </c>
      <c r="AH2" s="54">
        <f>IFERROR(__xludf.DUMMYFUNCTION("IFERROR(
  VLOOKUP(
    A2,
    IMPORTRANGE(
      ""1SCYQd7_cobOYqT0r_F0IqD4tE4rYn5y8Eup4PJTH8es"",
      ""Snapshot!A:M""
    ),
    8,
    FALSE
  ),
  0
)
"),8.0)</f>
        <v>8</v>
      </c>
      <c r="AI2" s="54">
        <f>IFERROR(__xludf.DUMMYFUNCTION("IFERROR(
  VLOOKUP(
    A2,
    IMPORTRANGE(
      ""1SCYQd7_cobOYqT0r_F0IqD4tE4rYn5y8Eup4PJTH8es"",
      ""Snapshot!A:M""
    ),
    9,
    FALSE
  ),
  0
)
"),5.0)</f>
        <v>5</v>
      </c>
      <c r="AJ2" s="54">
        <f>IFERROR(__xludf.DUMMYFUNCTION("IFERROR(
  VLOOKUP(
    A2,
    IMPORTRANGE(
      ""1SCYQd7_cobOYqT0r_F0IqD4tE4rYn5y8Eup4PJTH8es"",
      ""Snapshot!A:M""
    ),
    13,
    FALSE
  ),
  0
)
"),3.0)</f>
        <v>3</v>
      </c>
      <c r="AK2" s="49">
        <f t="shared" ref="AK2:AL2" si="5">LEN(C2)</f>
        <v>94</v>
      </c>
      <c r="AL2" s="49">
        <f t="shared" si="5"/>
        <v>120</v>
      </c>
    </row>
    <row r="3">
      <c r="A3" s="3" t="s">
        <v>277</v>
      </c>
      <c r="B3" s="1" t="str">
        <f>IFERROR(__xludf.DUMMYFUNCTION("IFERROR(
  VLOOKUP(
    A3,
    IMPORTRANGE(
      ""1ZygntHC1J6IxzKbTidmOyf5nUyW4GCLurHCjexrLm_o"",
      ""HTMLキャッシュ!A:F""
    ),
    2,
    FALSE
  ),
  0
)
"),"TP")</f>
        <v>TP</v>
      </c>
      <c r="C3" s="1" t="str">
        <f>IFERROR(__xludf.DUMMYFUNCTION("IFERROR(
  VLOOKUP(
    A3,
    IMPORTRANGE(
      ""1ZygntHC1J6IxzKbTidmOyf5nUyW4GCLurHCjexrLm_o"",
      ""HTMLキャッシュ!A:F""
    ),
    5,
    FALSE
  ),
  0
)
"),"国語専門塾のオンライン個別指導｜読解力・記述を1対1で強化｜中学受験・大学受験")</f>
        <v>国語専門塾のオンライン個別指導｜読解力・記述を1対1で強化｜中学受験・大学受験</v>
      </c>
      <c r="D3" s="1" t="str">
        <f>IFERROR(__xludf.DUMMYFUNCTION("IFERROR(
  VLOOKUP(
    A3,
    IMPORTRANGE(
      ""1ZygntHC1J6IxzKbTidmOyf5nUyW4GCLurHCjexrLm_o        "",
      ""HTMLキャッシュ!A:F""
    ),
    6,
    FALSE
  ),
  0
)
"),"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f>
        <v>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v>
      </c>
      <c r="E3" s="32">
        <f>IFERROR(__xludf.DUMMYFUNCTION("IFERROR(
  VLOOKUP(
    A3,
    IMPORTRANGE(
      ""1ZygntHC1J6IxzKbTidmOyf5nUyW4GCLurHCjexrLm_o        "",
      ""HTMLキャッシュ!A:F""
    ),
    3,
    FALSE
  ),
  0
)
"),46052.78512731481)</f>
        <v>46052.78513</v>
      </c>
      <c r="F3" s="49">
        <f>IFERROR(__xludf.DUMMYFUNCTION("IFERROR(
  VLOOKUP(
    A3,
    IMPORTRANGE(
      ""1ZHMy3vVUd_0MrSduXTe1etBb1HNpAlGwQr006ljwMiM"",
      ""GSC最新!A:F""
    ),
    2,
    FALSE
  ),
  0
)
"),241.0)</f>
        <v>241</v>
      </c>
      <c r="G3" s="49">
        <f>IFERROR(__xludf.DUMMYFUNCTION("IFERROR(
  VLOOKUP(
    A3,
    IMPORTRANGE(
      ""1ZHMy3vVUd_0MrSduXTe1etBb1HNpAlGwQr006ljwMiM"",
      ""GSC最新!A:F""
    ),
    3,
    FALSE
  ),
  0
)
"),535.0)</f>
        <v>535</v>
      </c>
      <c r="H3" s="49">
        <f>IFERROR(__xludf.DUMMYFUNCTION("IFERROR(
  VLOOKUP(
    A3,
    IMPORTRANGE(
      ""1ZHMy3vVUd_0MrSduXTe1etBb1HNpAlGwQr006ljwMiM"",
      ""GSC最新!A:F""
    ),
    4,
    FALSE
  ),
  0
)
"),137.0)</f>
        <v>137</v>
      </c>
      <c r="I3" s="49">
        <f>IFERROR(__xludf.DUMMYFUNCTION("IFERROR(
  VLOOKUP(
    A3,
    IMPORTRANGE(
      ""1ZHMy3vVUd_0MrSduXTe1etBb1HNpAlGwQr006ljwMiM"",
      ""GSC最新!A:F""
    ),
    5,
    FALSE
  ),
  0
)
"),397.0)</f>
        <v>397</v>
      </c>
      <c r="J3" s="50">
        <f t="shared" ref="J3:K3" si="6">IFERROR(F3/H3,"-")</f>
        <v>1.759124088</v>
      </c>
      <c r="K3" s="50">
        <f t="shared" si="6"/>
        <v>1.347607053</v>
      </c>
      <c r="L3" s="6">
        <f>IFERROR(__xludf.DUMMYFUNCTION("IFERROR(
  VLOOKUP(
    A3,
    IMPORTRANGE(
      ""1ZHMy3vVUd_0MrSduXTe1etBb1HNpAlGwQr006ljwMiM"",
      ""GSC最新!A:R""
    ),
    7,
    FALSE
  ),
  0
)
"),3687.0)</f>
        <v>3687</v>
      </c>
      <c r="M3" s="6">
        <f>IFERROR(__xludf.DUMMYFUNCTION("IFERROR(
  VLOOKUP(
    A3,
    IMPORTRANGE(
      ""1ZHMy3vVUd_0MrSduXTe1etBb1HNpAlGwQr006ljwMiM"",
      ""GSC最新!A:R""
    ),
    10,
    FALSE
  ),
  0
)
"),8710.0)</f>
        <v>8710</v>
      </c>
      <c r="N3" s="6">
        <f>IFERROR(__xludf.DUMMYFUNCTION("IFERROR(
  VLOOKUP(
    A3,
    IMPORTRANGE(
      ""1ZHMy3vVUd_0MrSduXTe1etBb1HNpAlGwQr006ljwMiM"",
      ""GSC最新!A:R""
    ),
    13,
    FALSE
  ),
  0
)
"),3176.0)</f>
        <v>3176</v>
      </c>
      <c r="O3" s="6">
        <f>IFERROR(__xludf.DUMMYFUNCTION("IFERROR(
  VLOOKUP(
    A3,
    IMPORTRANGE(
      ""1ZHMy3vVUd_0MrSduXTe1etBb1HNpAlGwQr006ljwMiM"",
      ""GSC最新!A:R""
    ),
    16,
    FALSE
  ),
  0
)
"),10532.0)</f>
        <v>10532</v>
      </c>
      <c r="P3" s="51">
        <f t="shared" ref="P3:Q3" si="7">IFERROR(L3/N3,"-")</f>
        <v>1.160894207</v>
      </c>
      <c r="Q3" s="51">
        <f t="shared" si="7"/>
        <v>0.8270034182</v>
      </c>
      <c r="R3" s="9">
        <f>IFERROR(__xludf.DUMMYFUNCTION("IFERROR(
  VLOOKUP(
    A3,
    IMPORTRANGE(
      ""1ZHMy3vVUd_0MrSduXTe1etBb1HNpAlGwQr006ljwMiM"",
      ""GSC最新!A:R""
    ),
    8,
    FALSE
  ),
  0
)
"),0.06536479522647139)</f>
        <v>0.06536479523</v>
      </c>
      <c r="S3" s="9">
        <f>IFERROR(__xludf.DUMMYFUNCTION("IFERROR(
  VLOOKUP(
    A3,
    IMPORTRANGE(
      ""1ZHMy3vVUd_0MrSduXTe1etBb1HNpAlGwQr006ljwMiM"",
      ""GSC最新!A:R""
    ),
    11,
    FALSE
  ),
  0
)
"),0.06142365097588978)</f>
        <v>0.06142365098</v>
      </c>
      <c r="T3" s="9">
        <f>IFERROR(__xludf.DUMMYFUNCTION("IFERROR(
  VLOOKUP(
    A3,
    IMPORTRANGE(
      ""1ZHMy3vVUd_0MrSduXTe1etBb1HNpAlGwQr006ljwMiM"",
      ""GSC最新!A:R""
    ),
    14,
    FALSE
  ),
  0
)
"),0.0431360201511335)</f>
        <v>0.04313602015</v>
      </c>
      <c r="U3" s="9">
        <f>IFERROR(__xludf.DUMMYFUNCTION("IFERROR(
  VLOOKUP(
    A3,
    IMPORTRANGE(
      ""1ZHMy3vVUd_0MrSduXTe1etBb1HNpAlGwQr006ljwMiM"",
      ""GSC最新!A:R""
    ),
    17,
    FALSE
  ),
  0
)
"),0.03769464489175845)</f>
        <v>0.03769464489</v>
      </c>
      <c r="V3" s="9">
        <f t="shared" ref="V3:W3" si="8">IFERROR(R3-T3,"-")</f>
        <v>0.02222877508</v>
      </c>
      <c r="W3" s="9">
        <f t="shared" si="8"/>
        <v>0.02372900608</v>
      </c>
      <c r="X3" s="65">
        <f>IFERROR(__xludf.DUMMYFUNCTION("IFERROR(
  VLOOKUP(
    A3,
    IMPORTRANGE(
      ""1ZHMy3vVUd_0MrSduXTe1etBb1HNpAlGwQr006ljwMiM"",
      ""GSC最新!A:R""
    ),
    9,
    FALSE
  ),
  0
)
"),10.278275020341741)</f>
        <v>10.27827502</v>
      </c>
      <c r="Y3" s="65">
        <f>IFERROR(__xludf.DUMMYFUNCTION("IFERROR(
  VLOOKUP(
    A3,
    IMPORTRANGE(
      ""1ZHMy3vVUd_0MrSduXTe1etBb1HNpAlGwQr006ljwMiM"",
      ""GSC最新!A:R""
    ),
    12,
    FALSE
  ),
  0
)
"),10.65752009184845)</f>
        <v>10.65752009</v>
      </c>
      <c r="Z3" s="65">
        <f>IFERROR(__xludf.DUMMYFUNCTION("IFERROR(
  VLOOKUP(
    A3,
    IMPORTRANGE(
      ""1ZHMy3vVUd_0MrSduXTe1etBb1HNpAlGwQr006ljwMiM"",
      ""GSC最新!A:R""
    ),
    15,
    FALSE
  ),
  0
)
"),20.78494962216625)</f>
        <v>20.78494962</v>
      </c>
      <c r="AA3" s="65">
        <f>IFERROR(__xludf.DUMMYFUNCTION("IFERROR(
  VLOOKUP(
    A3,
    IMPORTRANGE(
      ""1ZHMy3vVUd_0MrSduXTe1etBb1HNpAlGwQr006ljwMiM"",
      ""GSC最新!A:R""
    ),
    18,
    FALSE
  ),
  0
)
"),22.295860235472844)</f>
        <v>22.29586024</v>
      </c>
      <c r="AB3" s="65">
        <f t="shared" ref="AB3:AC3" si="9">X3-Z3</f>
        <v>-10.5066746</v>
      </c>
      <c r="AC3" s="65">
        <f t="shared" si="9"/>
        <v>-11.63834014</v>
      </c>
      <c r="AD3" s="53">
        <f>IFERROR(__xludf.DUMMYFUNCTION("IFERROR(
  VLOOKUP(
    A3,
    IMPORTRANGE(
      ""1ZHMy3vVUd_0MrSduXTe1etBb1HNpAlGwQr006ljwMiM"",
      ""GSC最新!A:F""
    ),
    6,
    FALSE
  ),
  0
)
"),46081.0)</f>
        <v>46081</v>
      </c>
      <c r="AE3" s="54">
        <f>IFERROR(__xludf.DUMMYFUNCTION("IFERROR(
  VLOOKUP(
    A3,
    IMPORTRANGE(
      ""1SCYQd7_cobOYqT0r_F0IqD4tE4rYn5y8Eup4PJTH8es"",
      ""Snapshot!A:M""
    ),
    5,
    FALSE
  ),
  ""-""
)
"),9.0)</f>
        <v>9</v>
      </c>
      <c r="AF3" s="54">
        <f>IFERROR(__xludf.DUMMYFUNCTION("IFERROR(
  VLOOKUP(
    A3,
    IMPORTRANGE(
      ""1SCYQd7_cobOYqT0r_F0IqD4tE4rYn5y8Eup4PJTH8es"",
      ""Snapshot!A:M""
    ),
    6,
    FALSE
  ),
  0
)
"),16.0)</f>
        <v>16</v>
      </c>
      <c r="AG3" s="54">
        <f>IFERROR(__xludf.DUMMYFUNCTION("IFERROR(
  VLOOKUP(
    A3,
    IMPORTRANGE(
      ""1SCYQd7_cobOYqT0r_F0IqD4tE4rYn5y8Eup4PJTH8es"",
      ""Snapshot!A:M""
    ),
    7,
    FALSE
  ),
  0
)
"),4302.0)</f>
        <v>4302</v>
      </c>
      <c r="AH3" s="54">
        <f>IFERROR(__xludf.DUMMYFUNCTION("IFERROR(
  VLOOKUP(
    A3,
    IMPORTRANGE(
      ""1SCYQd7_cobOYqT0r_F0IqD4tE4rYn5y8Eup4PJTH8es"",
      ""Snapshot!A:M""
    ),
    8,
    FALSE
  ),
  0
)
"),87.0)</f>
        <v>87</v>
      </c>
      <c r="AI3" s="54">
        <f>IFERROR(__xludf.DUMMYFUNCTION("IFERROR(
  VLOOKUP(
    A3,
    IMPORTRANGE(
      ""1SCYQd7_cobOYqT0r_F0IqD4tE4rYn5y8Eup4PJTH8es"",
      ""Snapshot!A:M""
    ),
    9,
    FALSE
  ),
  0
)
"),3.0)</f>
        <v>3</v>
      </c>
      <c r="AJ3" s="54">
        <f>IFERROR(__xludf.DUMMYFUNCTION("IFERROR(
  VLOOKUP(
    A3,
    IMPORTRANGE(
      ""1SCYQd7_cobOYqT0r_F0IqD4tE4rYn5y8Eup4PJTH8es"",
      ""Snapshot!A:M""
    ),
    13,
    FALSE
  ),
  0
)
"),3.0)</f>
        <v>3</v>
      </c>
      <c r="AK3" s="49">
        <f t="shared" ref="AK3:AL3" si="10">LEN(C3)</f>
        <v>39</v>
      </c>
      <c r="AL3" s="49">
        <f t="shared" si="10"/>
        <v>117</v>
      </c>
    </row>
    <row r="4">
      <c r="A4" s="3" t="s">
        <v>517</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"),"予習シリーズ国語 復習サイクルで読解力を磨く方法")</f>
        <v>予習シリーズ国語 復習サイクルで読解力を磨く方法</v>
      </c>
      <c r="D4" s="1" t="str">
        <f>IFERROR(__xludf.DUMMYFUNCTION("IFERROR(
  VLOOKUP(
    A4,
    IMPORTRANGE(
      ""1ZygntHC1J6IxzKbTidmOyf5nUyW4GCLurHCjexrLm_o        "",
      ""HTMLキャッシュ!A:F""
    ),
    6,
    FALSE
  ),
  0
)
"),"予習シリーズ国語の宿題が終わらない家庭向け。授業前・中・後の役割分担と、やる所・やらない所の決め方を整理。")</f>
        <v>予習シリーズ国語の宿題が終わらない家庭向け。授業前・中・後の役割分担と、やる所・やらない所の決め方を整理。</v>
      </c>
      <c r="E4" s="32">
        <f>IFERROR(__xludf.DUMMYFUNCTION("IFERROR(
  VLOOKUP(
    A4,
    IMPORTRANGE(
      ""1ZygntHC1J6IxzKbTidmOyf5nUyW4GCLurHCjexrLm_o        "",
      ""HTMLキャッシュ!A:F""
    ),
    3,
    FALSE
  ),
  0
)
"),46073.63054398148)</f>
        <v>46073.63054</v>
      </c>
      <c r="F4" s="49">
        <f>IFERROR(__xludf.DUMMYFUNCTION("IFERROR(
  VLOOKUP(
    A4,
    IMPORTRANGE(
      ""1ZHMy3vVUd_0MrSduXTe1etBb1HNpAlGwQr006ljwMiM"",
      ""GSC最新!A:F""
    ),
    2,
    FALSE
  ),
  0
)
"),177.0)</f>
        <v>177</v>
      </c>
      <c r="G4" s="49">
        <f>IFERROR(__xludf.DUMMYFUNCTION("IFERROR(
  VLOOKUP(
    A4,
    IMPORTRANGE(
      ""1ZHMy3vVUd_0MrSduXTe1etBb1HNpAlGwQr006ljwMiM"",
      ""GSC最新!A:F""
    ),
    3,
    FALSE
  ),
  0
)
"),298.0)</f>
        <v>298</v>
      </c>
      <c r="H4" s="49">
        <f>IFERROR(__xludf.DUMMYFUNCTION("IFERROR(
  VLOOKUP(
    A4,
    IMPORTRANGE(
      ""1ZHMy3vVUd_0MrSduXTe1etBb1HNpAlGwQr006ljwMiM"",
      ""GSC最新!A:F""
    ),
    4,
    FALSE
  ),
  0
)
"),0.0)</f>
        <v>0</v>
      </c>
      <c r="I4" s="49">
        <f>IFERROR(__xludf.DUMMYFUNCTION("IFERROR(
  VLOOKUP(
    A4,
    IMPORTRANGE(
      ""1ZHMy3vVUd_0MrSduXTe1etBb1HNpAlGwQr006ljwMiM"",
      ""GSC最新!A:F""
    ),
    5,
    FALSE
  ),
  0
)
"),0.0)</f>
        <v>0</v>
      </c>
      <c r="J4" s="50" t="str">
        <f t="shared" ref="J4:K4" si="11">IFERROR(F4/H4,"-")</f>
        <v>-</v>
      </c>
      <c r="K4" s="50" t="str">
        <f t="shared" si="11"/>
        <v>-</v>
      </c>
      <c r="L4" s="6">
        <f>IFERROR(__xludf.DUMMYFUNCTION("IFERROR(
  VLOOKUP(
    A4,
    IMPORTRANGE(
      ""1ZHMy3vVUd_0MrSduXTe1etBb1HNpAlGwQr006ljwMiM"",
      ""GSC最新!A:R""
    ),
    7,
    FALSE
  ),
  0
)
"),1405.0)</f>
        <v>1405</v>
      </c>
      <c r="M4" s="6">
        <f>IFERROR(__xludf.DUMMYFUNCTION("IFERROR(
  VLOOKUP(
    A4,
    IMPORTRANGE(
      ""1ZHMy3vVUd_0MrSduXTe1etBb1HNpAlGwQr006ljwMiM"",
      ""GSC最新!A:R""
    ),
    10,
    FALSE
  ),
  0
)
"),2459.0)</f>
        <v>2459</v>
      </c>
      <c r="N4" s="6">
        <f>IFERROR(__xludf.DUMMYFUNCTION("IFERROR(
  VLOOKUP(
    A4,
    IMPORTRANGE(
      ""1ZHMy3vVUd_0MrSduXTe1etBb1HNpAlGwQr006ljwMiM"",
      ""GSC最新!A:R""
    ),
    13,
    FALSE
  ),
  0
)
"),0.0)</f>
        <v>0</v>
      </c>
      <c r="O4" s="6">
        <f>IFERROR(__xludf.DUMMYFUNCTION("IFERROR(
  VLOOKUP(
    A4,
    IMPORTRANGE(
      ""1ZHMy3vVUd_0MrSduXTe1etBb1HNpAlGwQr006ljwMiM"",
      ""GSC最新!A:R""
    ),
    16,
    FALSE
  ),
  0
)
"),0.0)</f>
        <v>0</v>
      </c>
      <c r="P4" s="51" t="str">
        <f t="shared" ref="P4:Q4" si="12">IFERROR(L4/N4,"-")</f>
        <v>-</v>
      </c>
      <c r="Q4" s="51" t="str">
        <f t="shared" si="12"/>
        <v>-</v>
      </c>
      <c r="R4" s="9">
        <f>IFERROR(__xludf.DUMMYFUNCTION("IFERROR(
  VLOOKUP(
    A4,
    IMPORTRANGE(
      ""1ZHMy3vVUd_0MrSduXTe1etBb1HNpAlGwQr006ljwMiM"",
      ""GSC最新!A:R""
    ),
    8,
    FALSE
  ),
  0
)
"),0.12597864768683273)</f>
        <v>0.1259786477</v>
      </c>
      <c r="S4" s="9">
        <f>IFERROR(__xludf.DUMMYFUNCTION("IFERROR(
  VLOOKUP(
    A4,
    IMPORTRANGE(
      ""1ZHMy3vVUd_0MrSduXTe1etBb1HNpAlGwQr006ljwMiM"",
      ""GSC最新!A:R""
    ),
    11,
    FALSE
  ),
  0
)
"),0.12118747458316388)</f>
        <v>0.1211874746</v>
      </c>
      <c r="T4" s="9">
        <f>IFERROR(__xludf.DUMMYFUNCTION("IFERROR(
  VLOOKUP(
    A4,
    IMPORTRANGE(
      ""1ZHMy3vVUd_0MrSduXTe1etBb1HNpAlGwQr006ljwMiM"",
      ""GSC最新!A:R""
    ),
    14,
    FALSE
  ),
  0
)
"),0.0)</f>
        <v>0</v>
      </c>
      <c r="U4" s="9">
        <f>IFERROR(__xludf.DUMMYFUNCTION("IFERROR(
  VLOOKUP(
    A4,
    IMPORTRANGE(
      ""1ZHMy3vVUd_0MrSduXTe1etBb1HNpAlGwQr006ljwMiM"",
      ""GSC最新!A:R""
    ),
    17,
    FALSE
  ),
  0
)
"),0.0)</f>
        <v>0</v>
      </c>
      <c r="V4" s="9">
        <f t="shared" ref="V4:W4" si="13">IFERROR(R4-T4,"-")</f>
        <v>0.1259786477</v>
      </c>
      <c r="W4" s="9">
        <f t="shared" si="13"/>
        <v>0.1211874746</v>
      </c>
      <c r="X4" s="65">
        <f>IFERROR(__xludf.DUMMYFUNCTION("IFERROR(
  VLOOKUP(
    A4,
    IMPORTRANGE(
      ""1ZHMy3vVUd_0MrSduXTe1etBb1HNpAlGwQr006ljwMiM"",
      ""GSC最新!A:R""
    ),
    9,
    FALSE
  ),
  0
)
"),6.506761565836299)</f>
        <v>6.506761566</v>
      </c>
      <c r="Y4" s="65">
        <f>IFERROR(__xludf.DUMMYFUNCTION("IFERROR(
  VLOOKUP(
    A4,
    IMPORTRANGE(
      ""1ZHMy3vVUd_0MrSduXTe1etBb1HNpAlGwQr006ljwMiM"",
      ""GSC最新!A:R""
    ),
    12,
    FALSE
  ),
  0
)
"),6.871085807238715)</f>
        <v>6.871085807</v>
      </c>
      <c r="Z4" s="65" t="str">
        <f>IFERROR(__xludf.DUMMYFUNCTION("IFERROR(
  VLOOKUP(
    A4,
    IMPORTRANGE(
      ""1ZHMy3vVUd_0MrSduXTe1etBb1HNpAlGwQr006ljwMiM"",
      ""GSC最新!A:R""
    ),
    15,
    FALSE
  ),
  0
)
"),"")</f>
        <v/>
      </c>
      <c r="AA4" s="65" t="str">
        <f>IFERROR(__xludf.DUMMYFUNCTION("IFERROR(
  VLOOKUP(
    A4,
    IMPORTRANGE(
      ""1ZHMy3vVUd_0MrSduXTe1etBb1HNpAlGwQr006ljwMiM"",
      ""GSC最新!A:R""
    ),
    18,
    FALSE
  ),
  0
)
"),"")</f>
        <v/>
      </c>
      <c r="AB4" s="65">
        <f t="shared" ref="AB4:AC4" si="14">X4-Z4</f>
        <v>6.506761566</v>
      </c>
      <c r="AC4" s="65">
        <f t="shared" si="14"/>
        <v>6.871085807</v>
      </c>
      <c r="AD4" s="53">
        <f>IFERROR(__xludf.DUMMYFUNCTION("IFERROR(
  VLOOKUP(
    A4,
    IMPORTRANGE(
      ""1ZHMy3vVUd_0MrSduXTe1etBb1HNpAlGwQr006ljwMiM"",
      ""GSC最新!A:F""
    ),
    6,
    FALSE
  ),
  0
)
"),46081.0)</f>
        <v>46081</v>
      </c>
      <c r="AE4" s="54">
        <f>IFERROR(__xludf.DUMMYFUNCTION("IFERROR(
  VLOOKUP(
    A4,
    IMPORTRANGE(
      ""1SCYQd7_cobOYqT0r_F0IqD4tE4rYn5y8Eup4PJTH8es"",
      ""Snapshot!A:M""
    ),
    5,
    FALSE
  ),
  ""-""
)
"),6.0)</f>
        <v>6</v>
      </c>
      <c r="AF4" s="54">
        <f>IFERROR(__xludf.DUMMYFUNCTION("IFERROR(
  VLOOKUP(
    A4,
    IMPORTRANGE(
      ""1SCYQd7_cobOYqT0r_F0IqD4tE4rYn5y8Eup4PJTH8es"",
      ""Snapshot!A:M""
    ),
    6,
    FALSE
  ),
  0
)
"),9.0)</f>
        <v>9</v>
      </c>
      <c r="AG4" s="54">
        <f>IFERROR(__xludf.DUMMYFUNCTION("IFERROR(
  VLOOKUP(
    A4,
    IMPORTRANGE(
      ""1SCYQd7_cobOYqT0r_F0IqD4tE4rYn5y8Eup4PJTH8es"",
      ""Snapshot!A:M""
    ),
    7,
    FALSE
  ),
  0
)
"),4278.0)</f>
        <v>4278</v>
      </c>
      <c r="AH4" s="54">
        <f>IFERROR(__xludf.DUMMYFUNCTION("IFERROR(
  VLOOKUP(
    A4,
    IMPORTRANGE(
      ""1SCYQd7_cobOYqT0r_F0IqD4tE4rYn5y8Eup4PJTH8es"",
      ""Snapshot!A:M""
    ),
    8,
    FALSE
  ),
  0
)
"),8.0)</f>
        <v>8</v>
      </c>
      <c r="AI4" s="54">
        <f>IFERROR(__xludf.DUMMYFUNCTION("IFERROR(
  VLOOKUP(
    A4,
    IMPORTRANGE(
      ""1SCYQd7_cobOYqT0r_F0IqD4tE4rYn5y8Eup4PJTH8es"",
      ""Snapshot!A:M""
    ),
    9,
    FALSE
  ),
  0
)
"),3.0)</f>
        <v>3</v>
      </c>
      <c r="AJ4" s="54">
        <f>IFERROR(__xludf.DUMMYFUNCTION("IFERROR(
  VLOOKUP(
    A4,
    IMPORTRANGE(
      ""1SCYQd7_cobOYqT0r_F0IqD4tE4rYn5y8Eup4PJTH8es"",
      ""Snapshot!A:M""
    ),
    13,
    FALSE
  ),
  0
)
"),3.0)</f>
        <v>3</v>
      </c>
      <c r="AK4" s="49">
        <f t="shared" ref="AK4:AL4" si="15">LEN(C4)</f>
        <v>24</v>
      </c>
      <c r="AL4" s="49">
        <f t="shared" si="15"/>
        <v>53</v>
      </c>
    </row>
    <row r="5">
      <c r="A5" s="3" t="s">
        <v>518</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"),"大手中学受験塾国語テキスト徹底比較ガイド")</f>
        <v>大手中学受験塾国語テキスト徹底比較ガイド</v>
      </c>
      <c r="D5" s="1" t="str">
        <f>IFERROR(__xludf.DUMMYFUNCTION("IFERROR(
  VLOOKUP(
    A5,
    IMPORTRANGE(
      ""1ZygntHC1J6IxzKbTidmOyf5nUyW4GCLurHCjexrLm_o        "",
      ""HTMLキャッシュ!A:F""
    ),
    6,
    FALSE
  ),
  0
)
"),"中学受験新演習（国語）のレベル感を整理。予習シリーズ・SAPIXと難易度/分量/採点の違いを早見表で比較し、併用のコツまでまとめます")</f>
        <v>中学受験新演習（国語）のレベル感を整理。予習シリーズ・SAPIXと難易度/分量/採点の違いを早見表で比較し、併用のコツまでまとめます</v>
      </c>
      <c r="E5" s="32">
        <f>IFERROR(__xludf.DUMMYFUNCTION("IFERROR(
  VLOOKUP(
    A5,
    IMPORTRANGE(
      ""1ZygntHC1J6IxzKbTidmOyf5nUyW4GCLurHCjexrLm_o        "",
      ""HTMLキャッシュ!A:F""
    ),
    3,
    FALSE
  ),
  0
)
"),46073.66391203704)</f>
        <v>46073.66391</v>
      </c>
      <c r="F5" s="49">
        <f>IFERROR(__xludf.DUMMYFUNCTION("IFERROR(
  VLOOKUP(
    A5,
    IMPORTRANGE(
      ""1ZHMy3vVUd_0MrSduXTe1etBb1HNpAlGwQr006ljwMiM"",
      ""GSC最新!A:F""
    ),
    2,
    FALSE
  ),
  0
)
"),87.0)</f>
        <v>87</v>
      </c>
      <c r="G5" s="49">
        <f>IFERROR(__xludf.DUMMYFUNCTION("IFERROR(
  VLOOKUP(
    A5,
    IMPORTRANGE(
      ""1ZHMy3vVUd_0MrSduXTe1etBb1HNpAlGwQr006ljwMiM"",
      ""GSC最新!A:F""
    ),
    3,
    FALSE
  ),
  0
)
"),187.0)</f>
        <v>187</v>
      </c>
      <c r="H5" s="49">
        <f>IFERROR(__xludf.DUMMYFUNCTION("IFERROR(
  VLOOKUP(
    A5,
    IMPORTRANGE(
      ""1ZHMy3vVUd_0MrSduXTe1etBb1HNpAlGwQr006ljwMiM"",
      ""GSC最新!A:F""
    ),
    4,
    FALSE
  ),
  0
)
"),31.0)</f>
        <v>31</v>
      </c>
      <c r="I5" s="49">
        <f>IFERROR(__xludf.DUMMYFUNCTION("IFERROR(
  VLOOKUP(
    A5,
    IMPORTRANGE(
      ""1ZHMy3vVUd_0MrSduXTe1etBb1HNpAlGwQr006ljwMiM"",
      ""GSC最新!A:F""
    ),
    5,
    FALSE
  ),
  0
)
"),64.0)</f>
        <v>64</v>
      </c>
      <c r="J5" s="50">
        <f t="shared" ref="J5:K5" si="16">IFERROR(F5/H5,"-")</f>
        <v>2.806451613</v>
      </c>
      <c r="K5" s="50">
        <f t="shared" si="16"/>
        <v>2.921875</v>
      </c>
      <c r="L5" s="6">
        <f>IFERROR(__xludf.DUMMYFUNCTION("IFERROR(
  VLOOKUP(
    A5,
    IMPORTRANGE(
      ""1ZHMy3vVUd_0MrSduXTe1etBb1HNpAlGwQr006ljwMiM"",
      ""GSC最新!A:R""
    ),
    7,
    FALSE
  ),
  0
)
"),1351.0)</f>
        <v>1351</v>
      </c>
      <c r="M5" s="6">
        <f>IFERROR(__xludf.DUMMYFUNCTION("IFERROR(
  VLOOKUP(
    A5,
    IMPORTRANGE(
      ""1ZHMy3vVUd_0MrSduXTe1etBb1HNpAlGwQr006ljwMiM"",
      ""GSC最新!A:R""
    ),
    10,
    FALSE
  ),
  0
)
"),2506.0)</f>
        <v>2506</v>
      </c>
      <c r="N5" s="6">
        <f>IFERROR(__xludf.DUMMYFUNCTION("IFERROR(
  VLOOKUP(
    A5,
    IMPORTRANGE(
      ""1ZHMy3vVUd_0MrSduXTe1etBb1HNpAlGwQr006ljwMiM"",
      ""GSC最新!A:R""
    ),
    13,
    FALSE
  ),
  0
)
"),227.0)</f>
        <v>227</v>
      </c>
      <c r="O5" s="6">
        <f>IFERROR(__xludf.DUMMYFUNCTION("IFERROR(
  VLOOKUP(
    A5,
    IMPORTRANGE(
      ""1ZHMy3vVUd_0MrSduXTe1etBb1HNpAlGwQr006ljwMiM"",
      ""GSC最新!A:R""
    ),
    16,
    FALSE
  ),
  0
)
"),820.0)</f>
        <v>820</v>
      </c>
      <c r="P5" s="51">
        <f t="shared" ref="P5:Q5" si="17">IFERROR(L5/N5,"-")</f>
        <v>5.95154185</v>
      </c>
      <c r="Q5" s="51">
        <f t="shared" si="17"/>
        <v>3.056097561</v>
      </c>
      <c r="R5" s="9">
        <f>IFERROR(__xludf.DUMMYFUNCTION("IFERROR(
  VLOOKUP(
    A5,
    IMPORTRANGE(
      ""1ZHMy3vVUd_0MrSduXTe1etBb1HNpAlGwQr006ljwMiM"",
      ""GSC最新!A:R""
    ),
    8,
    FALSE
  ),
  0
)
"),0.06439674315321983)</f>
        <v>0.06439674315</v>
      </c>
      <c r="S5" s="9">
        <f>IFERROR(__xludf.DUMMYFUNCTION("IFERROR(
  VLOOKUP(
    A5,
    IMPORTRANGE(
      ""1ZHMy3vVUd_0MrSduXTe1etBb1HNpAlGwQr006ljwMiM"",
      ""GSC最新!A:R""
    ),
    11,
    FALSE
  ),
  0
)
"),0.07462090981644054)</f>
        <v>0.07462090982</v>
      </c>
      <c r="T5" s="9">
        <f>IFERROR(__xludf.DUMMYFUNCTION("IFERROR(
  VLOOKUP(
    A5,
    IMPORTRANGE(
      ""1ZHMy3vVUd_0MrSduXTe1etBb1HNpAlGwQr006ljwMiM"",
      ""GSC最新!A:R""
    ),
    14,
    FALSE
  ),
  0
)
"),0.13656387665198239)</f>
        <v>0.1365638767</v>
      </c>
      <c r="U5" s="9">
        <f>IFERROR(__xludf.DUMMYFUNCTION("IFERROR(
  VLOOKUP(
    A5,
    IMPORTRANGE(
      ""1ZHMy3vVUd_0MrSduXTe1etBb1HNpAlGwQr006ljwMiM"",
      ""GSC最新!A:R""
    ),
    17,
    FALSE
  ),
  0
)
"),0.07804878048780488)</f>
        <v>0.07804878049</v>
      </c>
      <c r="V5" s="9">
        <f t="shared" ref="V5:W5" si="18">IFERROR(R5-T5,"-")</f>
        <v>-0.0721671335</v>
      </c>
      <c r="W5" s="9">
        <f t="shared" si="18"/>
        <v>-0.003427870671</v>
      </c>
      <c r="X5" s="65">
        <f>IFERROR(__xludf.DUMMYFUNCTION("IFERROR(
  VLOOKUP(
    A5,
    IMPORTRANGE(
      ""1ZHMy3vVUd_0MrSduXTe1etBb1HNpAlGwQr006ljwMiM"",
      ""GSC最新!A:R""
    ),
    9,
    FALSE
  ),
  0
)
"),6.037749814951887)</f>
        <v>6.037749815</v>
      </c>
      <c r="Y5" s="65">
        <f>IFERROR(__xludf.DUMMYFUNCTION("IFERROR(
  VLOOKUP(
    A5,
    IMPORTRANGE(
      ""1ZHMy3vVUd_0MrSduXTe1etBb1HNpAlGwQr006ljwMiM"",
      ""GSC最新!A:R""
    ),
    12,
    FALSE
  ),
  0
)
"),5.913008778930567)</f>
        <v>5.913008779</v>
      </c>
      <c r="Z5" s="65">
        <f>IFERROR(__xludf.DUMMYFUNCTION("IFERROR(
  VLOOKUP(
    A5,
    IMPORTRANGE(
      ""1ZHMy3vVUd_0MrSduXTe1etBb1HNpAlGwQr006ljwMiM"",
      ""GSC最新!A:R""
    ),
    15,
    FALSE
  ),
  0
)
"),17.58149779735683)</f>
        <v>17.5814978</v>
      </c>
      <c r="AA5" s="65">
        <f>IFERROR(__xludf.DUMMYFUNCTION("IFERROR(
  VLOOKUP(
    A5,
    IMPORTRANGE(
      ""1ZHMy3vVUd_0MrSduXTe1etBb1HNpAlGwQr006ljwMiM"",
      ""GSC最新!A:R""
    ),
    18,
    FALSE
  ),
  0
)
"),26.165853658536584)</f>
        <v>26.16585366</v>
      </c>
      <c r="AB5" s="65">
        <f t="shared" ref="AB5:AC5" si="19">X5-Z5</f>
        <v>-11.54374798</v>
      </c>
      <c r="AC5" s="65">
        <f t="shared" si="19"/>
        <v>-20.25284488</v>
      </c>
      <c r="AD5" s="53">
        <f>IFERROR(__xludf.DUMMYFUNCTION("IFERROR(
  VLOOKUP(
    A5,
    IMPORTRANGE(
      ""1ZHMy3vVUd_0MrSduXTe1etBb1HNpAlGwQr006ljwMiM"",
      ""GSC最新!A:F""
    ),
    6,
    FALSE
  ),
  0
)
"),46081.0)</f>
        <v>46081</v>
      </c>
      <c r="AE5" s="54">
        <f>IFERROR(__xludf.DUMMYFUNCTION("IFERROR(
  VLOOKUP(
    A5,
    IMPORTRANGE(
      ""1SCYQd7_cobOYqT0r_F0IqD4tE4rYn5y8Eup4PJTH8es"",
      ""Snapshot!A:M""
    ),
    5,
    FALSE
  ),
  ""-""
)
"),10.0)</f>
        <v>10</v>
      </c>
      <c r="AF5" s="54">
        <f>IFERROR(__xludf.DUMMYFUNCTION("IFERROR(
  VLOOKUP(
    A5,
    IMPORTRANGE(
      ""1SCYQd7_cobOYqT0r_F0IqD4tE4rYn5y8Eup4PJTH8es"",
      ""Snapshot!A:M""
    ),
    6,
    FALSE
  ),
  0
)
"),20.0)</f>
        <v>20</v>
      </c>
      <c r="AG5" s="54">
        <f>IFERROR(__xludf.DUMMYFUNCTION("IFERROR(
  VLOOKUP(
    A5,
    IMPORTRANGE(
      ""1SCYQd7_cobOYqT0r_F0IqD4tE4rYn5y8Eup4PJTH8es"",
      ""Snapshot!A:M""
    ),
    7,
    FALSE
  ),
  0
)
"),6271.0)</f>
        <v>6271</v>
      </c>
      <c r="AH5" s="54">
        <f>IFERROR(__xludf.DUMMYFUNCTION("IFERROR(
  VLOOKUP(
    A5,
    IMPORTRANGE(
      ""1SCYQd7_cobOYqT0r_F0IqD4tE4rYn5y8Eup4PJTH8es"",
      ""Snapshot!A:M""
    ),
    8,
    FALSE
  ),
  0
)
"),9.0)</f>
        <v>9</v>
      </c>
      <c r="AI5" s="54">
        <f>IFERROR(__xludf.DUMMYFUNCTION("IFERROR(
  VLOOKUP(
    A5,
    IMPORTRANGE(
      ""1SCYQd7_cobOYqT0r_F0IqD4tE4rYn5y8Eup4PJTH8es"",
      ""Snapshot!A:M""
    ),
    9,
    FALSE
  ),
  0
)
"),4.0)</f>
        <v>4</v>
      </c>
      <c r="AJ5" s="54">
        <f>IFERROR(__xludf.DUMMYFUNCTION("IFERROR(
  VLOOKUP(
    A5,
    IMPORTRANGE(
      ""1SCYQd7_cobOYqT0r_F0IqD4tE4rYn5y8Eup4PJTH8es"",
      ""Snapshot!A:M""
    ),
    13,
    FALSE
  ),
  0
)
"),3.0)</f>
        <v>3</v>
      </c>
      <c r="AK5" s="49">
        <f t="shared" ref="AK5:AL5" si="20">LEN(C5)</f>
        <v>20</v>
      </c>
      <c r="AL5" s="49">
        <f t="shared" si="20"/>
        <v>66</v>
      </c>
    </row>
    <row r="6">
      <c r="A6" s="3" t="s">
        <v>519</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"),"中学受験国語の過去問は何回解く｜繰り返す効果と使い方の目安")</f>
        <v>中学受験国語の過去問は何回解く｜繰り返す効果と使い方の目安</v>
      </c>
      <c r="D6" s="1" t="str">
        <f>IFERROR(__xludf.DUMMYFUNCTION("IFERROR(
  VLOOKUP(
    A6,
    IMPORTRANGE(
      ""1ZygntHC1J6IxzKbTidmOyf5nUyW4GCLurHCjexrLm_o        "",
      ""HTMLキャッシュ!A:F""
    ),
    6,
    FALSE
  ),
  0
)
"),"中学受験国語の過去問は何回解くかより使い方。初回は弱点確認、直しは誤答の設問中心、直前は時間配分の再現。同じ過去問を繰り返す効果が出やすい場面と注意点を整理。")</f>
        <v>中学受験国語の過去問は何回解くかより使い方。初回は弱点確認、直しは誤答の設問中心、直前は時間配分の再現。同じ過去問を繰り返す効果が出やすい場面と注意点を整理。</v>
      </c>
      <c r="E6" s="32">
        <f>IFERROR(__xludf.DUMMYFUNCTION("IFERROR(
  VLOOKUP(
    A6,
    IMPORTRANGE(
      ""1ZygntHC1J6IxzKbTidmOyf5nUyW4GCLurHCjexrLm_o        "",
      ""HTMLキャッシュ!A:F""
    ),
    3,
    FALSE
  ),
  0
)
"),46078.63894675926)</f>
        <v>46078.63895</v>
      </c>
      <c r="F6" s="49">
        <f>IFERROR(__xludf.DUMMYFUNCTION("IFERROR(
  VLOOKUP(
    A6,
    IMPORTRANGE(
      ""1ZHMy3vVUd_0MrSduXTe1etBb1HNpAlGwQr006ljwMiM"",
      ""GSC最新!A:F""
    ),
    2,
    FALSE
  ),
  0
)
"),20.0)</f>
        <v>20</v>
      </c>
      <c r="G6" s="49">
        <f>IFERROR(__xludf.DUMMYFUNCTION("IFERROR(
  VLOOKUP(
    A6,
    IMPORTRANGE(
      ""1ZHMy3vVUd_0MrSduXTe1etBb1HNpAlGwQr006ljwMiM"",
      ""GSC最新!A:F""
    ),
    3,
    FALSE
  ),
  0
)
"),171.0)</f>
        <v>171</v>
      </c>
      <c r="H6" s="49">
        <f>IFERROR(__xludf.DUMMYFUNCTION("IFERROR(
  VLOOKUP(
    A6,
    IMPORTRANGE(
      ""1ZHMy3vVUd_0MrSduXTe1etBb1HNpAlGwQr006ljwMiM"",
      ""GSC最新!A:F""
    ),
    4,
    FALSE
  ),
  0
)
"),47.0)</f>
        <v>47</v>
      </c>
      <c r="I6" s="49">
        <f>IFERROR(__xludf.DUMMYFUNCTION("IFERROR(
  VLOOKUP(
    A6,
    IMPORTRANGE(
      ""1ZHMy3vVUd_0MrSduXTe1etBb1HNpAlGwQr006ljwMiM"",
      ""GSC最新!A:F""
    ),
    5,
    FALSE
  ),
  0
)
"),232.0)</f>
        <v>232</v>
      </c>
      <c r="J6" s="50">
        <f t="shared" ref="J6:K6" si="21">IFERROR(F6/H6,"-")</f>
        <v>0.4255319149</v>
      </c>
      <c r="K6" s="50">
        <f t="shared" si="21"/>
        <v>0.7370689655</v>
      </c>
      <c r="L6" s="6">
        <f>IFERROR(__xludf.DUMMYFUNCTION("IFERROR(
  VLOOKUP(
    A6,
    IMPORTRANGE(
      ""1ZHMy3vVUd_0MrSduXTe1etBb1HNpAlGwQr006ljwMiM"",
      ""GSC最新!A:R""
    ),
    7,
    FALSE
  ),
  0
)
"),2073.0)</f>
        <v>2073</v>
      </c>
      <c r="M6" s="6">
        <f>IFERROR(__xludf.DUMMYFUNCTION("IFERROR(
  VLOOKUP(
    A6,
    IMPORTRANGE(
      ""1ZHMy3vVUd_0MrSduXTe1etBb1HNpAlGwQr006ljwMiM"",
      ""GSC最新!A:R""
    ),
    10,
    FALSE
  ),
  0
)
"),6263.0)</f>
        <v>6263</v>
      </c>
      <c r="N6" s="6">
        <f>IFERROR(__xludf.DUMMYFUNCTION("IFERROR(
  VLOOKUP(
    A6,
    IMPORTRANGE(
      ""1ZHMy3vVUd_0MrSduXTe1etBb1HNpAlGwQr006ljwMiM"",
      ""GSC最新!A:R""
    ),
    13,
    FALSE
  ),
  0
)
"),985.0)</f>
        <v>985</v>
      </c>
      <c r="O6" s="6">
        <f>IFERROR(__xludf.DUMMYFUNCTION("IFERROR(
  VLOOKUP(
    A6,
    IMPORTRANGE(
      ""1ZHMy3vVUd_0MrSduXTe1etBb1HNpAlGwQr006ljwMiM"",
      ""GSC最新!A:R""
    ),
    16,
    FALSE
  ),
  0
)
"),3881.0)</f>
        <v>3881</v>
      </c>
      <c r="P6" s="51">
        <f t="shared" ref="P6:Q6" si="22">IFERROR(L6/N6,"-")</f>
        <v>2.104568528</v>
      </c>
      <c r="Q6" s="51">
        <f t="shared" si="22"/>
        <v>1.61375934</v>
      </c>
      <c r="R6" s="9">
        <f>IFERROR(__xludf.DUMMYFUNCTION("IFERROR(
  VLOOKUP(
    A6,
    IMPORTRANGE(
      ""1ZHMy3vVUd_0MrSduXTe1etBb1HNpAlGwQr006ljwMiM"",
      ""GSC最新!A:R""
    ),
    8,
    FALSE
  ),
  0
)
"),0.00964785335262904)</f>
        <v>0.009647853353</v>
      </c>
      <c r="S6" s="9">
        <f>IFERROR(__xludf.DUMMYFUNCTION("IFERROR(
  VLOOKUP(
    A6,
    IMPORTRANGE(
      ""1ZHMy3vVUd_0MrSduXTe1etBb1HNpAlGwQr006ljwMiM"",
      ""GSC最新!A:R""
    ),
    11,
    FALSE
  ),
  0
)
"),0.02730320932460482)</f>
        <v>0.02730320932</v>
      </c>
      <c r="T6" s="9">
        <f>IFERROR(__xludf.DUMMYFUNCTION("IFERROR(
  VLOOKUP(
    A6,
    IMPORTRANGE(
      ""1ZHMy3vVUd_0MrSduXTe1etBb1HNpAlGwQr006ljwMiM"",
      ""GSC最新!A:R""
    ),
    14,
    FALSE
  ),
  0
)
"),0.047715736040609136)</f>
        <v>0.04771573604</v>
      </c>
      <c r="U6" s="9">
        <f>IFERROR(__xludf.DUMMYFUNCTION("IFERROR(
  VLOOKUP(
    A6,
    IMPORTRANGE(
      ""1ZHMy3vVUd_0MrSduXTe1etBb1HNpAlGwQr006ljwMiM"",
      ""GSC最新!A:R""
    ),
    17,
    FALSE
  ),
  0
)
"),0.05977840762690028)</f>
        <v>0.05977840763</v>
      </c>
      <c r="V6" s="9">
        <f t="shared" ref="V6:W6" si="23">IFERROR(R6-T6,"-")</f>
        <v>-0.03806788269</v>
      </c>
      <c r="W6" s="9">
        <f t="shared" si="23"/>
        <v>-0.0324751983</v>
      </c>
      <c r="X6" s="65">
        <f>IFERROR(__xludf.DUMMYFUNCTION("IFERROR(
  VLOOKUP(
    A6,
    IMPORTRANGE(
      ""1ZHMy3vVUd_0MrSduXTe1etBb1HNpAlGwQr006ljwMiM"",
      ""GSC最新!A:R""
    ),
    9,
    FALSE
  ),
  0
)
"),6.632416787264834)</f>
        <v>6.632416787</v>
      </c>
      <c r="Y6" s="65">
        <f>IFERROR(__xludf.DUMMYFUNCTION("IFERROR(
  VLOOKUP(
    A6,
    IMPORTRANGE(
      ""1ZHMy3vVUd_0MrSduXTe1etBb1HNpAlGwQr006ljwMiM"",
      ""GSC最新!A:R""
    ),
    12,
    FALSE
  ),
  0
)
"),5.934695832668051)</f>
        <v>5.934695833</v>
      </c>
      <c r="Z6" s="65">
        <f>IFERROR(__xludf.DUMMYFUNCTION("IFERROR(
  VLOOKUP(
    A6,
    IMPORTRANGE(
      ""1ZHMy3vVUd_0MrSduXTe1etBb1HNpAlGwQr006ljwMiM"",
      ""GSC最新!A:R""
    ),
    15,
    FALSE
  ),
  0
)
"),8.598984771573605)</f>
        <v>8.598984772</v>
      </c>
      <c r="AA6" s="65">
        <f>IFERROR(__xludf.DUMMYFUNCTION("IFERROR(
  VLOOKUP(
    A6,
    IMPORTRANGE(
      ""1ZHMy3vVUd_0MrSduXTe1etBb1HNpAlGwQr006ljwMiM"",
      ""GSC最新!A:R""
    ),
    18,
    FALSE
  ),
  0
)
"),9.329296573048184)</f>
        <v>9.329296573</v>
      </c>
      <c r="AB6" s="65">
        <f t="shared" ref="AB6:AC6" si="24">X6-Z6</f>
        <v>-1.966567984</v>
      </c>
      <c r="AC6" s="65">
        <f t="shared" si="24"/>
        <v>-3.39460074</v>
      </c>
      <c r="AD6" s="53">
        <f>IFERROR(__xludf.DUMMYFUNCTION("IFERROR(
  VLOOKUP(
    A6,
    IMPORTRANGE(
      ""1ZHMy3vVUd_0MrSduXTe1etBb1HNpAlGwQr006ljwMiM"",
      ""GSC最新!A:F""
    ),
    6,
    FALSE
  ),
  0
)
"),46081.0)</f>
        <v>46081</v>
      </c>
      <c r="AE6" s="54">
        <f>IFERROR(__xludf.DUMMYFUNCTION("IFERROR(
  VLOOKUP(
    A6,
    IMPORTRANGE(
      ""1SCYQd7_cobOYqT0r_F0IqD4tE4rYn5y8Eup4PJTH8es"",
      ""Snapshot!A:M""
    ),
    5,
    FALSE
  ),
  ""-""
)
"),11.0)</f>
        <v>11</v>
      </c>
      <c r="AF6" s="54">
        <f>IFERROR(__xludf.DUMMYFUNCTION("IFERROR(
  VLOOKUP(
    A6,
    IMPORTRANGE(
      ""1SCYQd7_cobOYqT0r_F0IqD4tE4rYn5y8Eup4PJTH8es"",
      ""Snapshot!A:M""
    ),
    6,
    FALSE
  ),
  0
)
"),10.0)</f>
        <v>10</v>
      </c>
      <c r="AG6" s="54">
        <f>IFERROR(__xludf.DUMMYFUNCTION("IFERROR(
  VLOOKUP(
    A6,
    IMPORTRANGE(
      ""1SCYQd7_cobOYqT0r_F0IqD4tE4rYn5y8Eup4PJTH8es"",
      ""Snapshot!A:M""
    ),
    7,
    FALSE
  ),
  0
)
"),6862.0)</f>
        <v>6862</v>
      </c>
      <c r="AH6" s="54">
        <f>IFERROR(__xludf.DUMMYFUNCTION("IFERROR(
  VLOOKUP(
    A6,
    IMPORTRANGE(
      ""1SCYQd7_cobOYqT0r_F0IqD4tE4rYn5y8Eup4PJTH8es"",
      ""Snapshot!A:M""
    ),
    8,
    FALSE
  ),
  0
)
"),37.0)</f>
        <v>37</v>
      </c>
      <c r="AI6" s="54">
        <f>IFERROR(__xludf.DUMMYFUNCTION("IFERROR(
  VLOOKUP(
    A6,
    IMPORTRANGE(
      ""1SCYQd7_cobOYqT0r_F0IqD4tE4rYn5y8Eup4PJTH8es"",
      ""Snapshot!A:M""
    ),
    9,
    FALSE
  ),
  0
)
"),5.0)</f>
        <v>5</v>
      </c>
      <c r="AJ6" s="54">
        <f>IFERROR(__xludf.DUMMYFUNCTION("IFERROR(
  VLOOKUP(
    A6,
    IMPORTRANGE(
      ""1SCYQd7_cobOYqT0r_F0IqD4tE4rYn5y8Eup4PJTH8es"",
      ""Snapshot!A:M""
    ),
    13,
    FALSE
  ),
  0
)
"),3.0)</f>
        <v>3</v>
      </c>
      <c r="AK6" s="49">
        <f t="shared" ref="AK6:AL6" si="25">LEN(C6)</f>
        <v>29</v>
      </c>
      <c r="AL6" s="49">
        <f t="shared" si="25"/>
        <v>79</v>
      </c>
    </row>
    <row r="7">
      <c r="A7" s="3" t="s">
        <v>520</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"),"中学受験国語の説明文・論説文が苦手な小学生へ｜点が取れる読み方と線引きのコツ - 受験国語専門 読解ラボ東京 | 中学受験・大学受験対応の個別指導国語専門塾（オンライン・教室対応）")</f>
        <v>中学受験国語の説明文・論説文が苦手な小学生へ｜点が取れる読み方と線引きのコツ - 受験国語専門 読解ラボ東京 | 中学受験・大学受験対応の個別指導国語専門塾（オンライン・教室対応）</v>
      </c>
      <c r="D7" s="1" t="str">
        <f>IFERROR(__xludf.DUMMYFUNCTION("IFERROR(
  VLOOKUP(
    A7,
    IMPORTRANGE(
      ""1ZygntHC1J6IxzKbTidmOyf5nUyW4GCLurHCjexrLm_o        "",
      ""HTMLキャッシュ!A:F""
    ),
    6,
    FALSE
  ),
  0
)
"),"中学受験国語の説明文・論説文で正答率が安定しない原因を整理し、「本文の構造をつかむ読み方」「キーワード中心の線引き」「語句・まとめ・傍線部問題の解き方」を一つの流れに。家庭学習でも実践しやすい説明文の勉強法を、最新の入試レベルに合わせてまとめています。")</f>
        <v>中学受験国語の説明文・論説文で正答率が安定しない原因を整理し、「本文の構造をつかむ読み方」「キーワード中心の線引き」「語句・まとめ・傍線部問題の解き方」を一つの流れに。家庭学習でも実践しやすい説明文の勉強法を、最新の入試レベルに合わせてまとめています。</v>
      </c>
      <c r="E7" s="32">
        <f>IFERROR(__xludf.DUMMYFUNCTION("IFERROR(
  VLOOKUP(
    A7,
    IMPORTRANGE(
      ""1ZygntHC1J6IxzKbTidmOyf5nUyW4GCLurHCjexrLm_o        "",
      ""HTMLキャッシュ!A:F""
    ),
    3,
    FALSE
  ),
  0
)
"),46069.66179398148)</f>
        <v>46069.66179</v>
      </c>
      <c r="F7" s="49">
        <f>IFERROR(__xludf.DUMMYFUNCTION("IFERROR(
  VLOOKUP(
    A7,
    IMPORTRANGE(
      ""1ZHMy3vVUd_0MrSduXTe1etBb1HNpAlGwQr006ljwMiM"",
      ""GSC最新!A:F""
    ),
    2,
    FALSE
  ),
  0
)
"),44.0)</f>
        <v>44</v>
      </c>
      <c r="G7" s="49">
        <f>IFERROR(__xludf.DUMMYFUNCTION("IFERROR(
  VLOOKUP(
    A7,
    IMPORTRANGE(
      ""1ZHMy3vVUd_0MrSduXTe1etBb1HNpAlGwQr006ljwMiM"",
      ""GSC最新!A:F""
    ),
    3,
    FALSE
  ),
  0
)
"),154.0)</f>
        <v>154</v>
      </c>
      <c r="H7" s="49">
        <f>IFERROR(__xludf.DUMMYFUNCTION("IFERROR(
  VLOOKUP(
    A7,
    IMPORTRANGE(
      ""1ZHMy3vVUd_0MrSduXTe1etBb1HNpAlGwQr006ljwMiM"",
      ""GSC最新!A:F""
    ),
    4,
    FALSE
  ),
  0
)
"),13.0)</f>
        <v>13</v>
      </c>
      <c r="I7" s="49">
        <f>IFERROR(__xludf.DUMMYFUNCTION("IFERROR(
  VLOOKUP(
    A7,
    IMPORTRANGE(
      ""1ZHMy3vVUd_0MrSduXTe1etBb1HNpAlGwQr006ljwMiM"",
      ""GSC最新!A:F""
    ),
    5,
    FALSE
  ),
  0
)
"),27.0)</f>
        <v>27</v>
      </c>
      <c r="J7" s="50">
        <f t="shared" ref="J7:K7" si="26">IFERROR(F7/H7,"-")</f>
        <v>3.384615385</v>
      </c>
      <c r="K7" s="50">
        <f t="shared" si="26"/>
        <v>5.703703704</v>
      </c>
      <c r="L7" s="6">
        <f>IFERROR(__xludf.DUMMYFUNCTION("IFERROR(
  VLOOKUP(
    A7,
    IMPORTRANGE(
      ""1ZHMy3vVUd_0MrSduXTe1etBb1HNpAlGwQr006ljwMiM"",
      ""GSC最新!A:R""
    ),
    7,
    FALSE
  ),
  0
)
"),1976.0)</f>
        <v>1976</v>
      </c>
      <c r="M7" s="6">
        <f>IFERROR(__xludf.DUMMYFUNCTION("IFERROR(
  VLOOKUP(
    A7,
    IMPORTRANGE(
      ""1ZHMy3vVUd_0MrSduXTe1etBb1HNpAlGwQr006ljwMiM"",
      ""GSC最新!A:R""
    ),
    10,
    FALSE
  ),
  0
)
"),5061.0)</f>
        <v>5061</v>
      </c>
      <c r="N7" s="6">
        <f>IFERROR(__xludf.DUMMYFUNCTION("IFERROR(
  VLOOKUP(
    A7,
    IMPORTRANGE(
      ""1ZHMy3vVUd_0MrSduXTe1etBb1HNpAlGwQr006ljwMiM"",
      ""GSC最新!A:R""
    ),
    13,
    FALSE
  ),
  0
)
"),320.0)</f>
        <v>320</v>
      </c>
      <c r="O7" s="6">
        <f>IFERROR(__xludf.DUMMYFUNCTION("IFERROR(
  VLOOKUP(
    A7,
    IMPORTRANGE(
      ""1ZHMy3vVUd_0MrSduXTe1etBb1HNpAlGwQr006ljwMiM"",
      ""GSC最新!A:R""
    ),
    16,
    FALSE
  ),
  0
)
"),881.0)</f>
        <v>881</v>
      </c>
      <c r="P7" s="51">
        <f t="shared" ref="P7:Q7" si="27">IFERROR(L7/N7,"-")</f>
        <v>6.175</v>
      </c>
      <c r="Q7" s="51">
        <f t="shared" si="27"/>
        <v>5.7446084</v>
      </c>
      <c r="R7" s="9">
        <f>IFERROR(__xludf.DUMMYFUNCTION("IFERROR(
  VLOOKUP(
    A7,
    IMPORTRANGE(
      ""1ZHMy3vVUd_0MrSduXTe1etBb1HNpAlGwQr006ljwMiM"",
      ""GSC最新!A:R""
    ),
    8,
    FALSE
  ),
  0
)
"),0.022267206477732792)</f>
        <v>0.02226720648</v>
      </c>
      <c r="S7" s="9">
        <f>IFERROR(__xludf.DUMMYFUNCTION("IFERROR(
  VLOOKUP(
    A7,
    IMPORTRANGE(
      ""1ZHMy3vVUd_0MrSduXTe1etBb1HNpAlGwQr006ljwMiM"",
      ""GSC最新!A:R""
    ),
    11,
    FALSE
  ),
  0
)
"),0.030428769017980636)</f>
        <v>0.03042876902</v>
      </c>
      <c r="T7" s="9">
        <f>IFERROR(__xludf.DUMMYFUNCTION("IFERROR(
  VLOOKUP(
    A7,
    IMPORTRANGE(
      ""1ZHMy3vVUd_0MrSduXTe1etBb1HNpAlGwQr006ljwMiM"",
      ""GSC最新!A:R""
    ),
    14,
    FALSE
  ),
  0
)
"),0.040625)</f>
        <v>0.040625</v>
      </c>
      <c r="U7" s="9">
        <f>IFERROR(__xludf.DUMMYFUNCTION("IFERROR(
  VLOOKUP(
    A7,
    IMPORTRANGE(
      ""1ZHMy3vVUd_0MrSduXTe1etBb1HNpAlGwQr006ljwMiM"",
      ""GSC最新!A:R""
    ),
    17,
    FALSE
  ),
  0
)
"),0.03064699205448354)</f>
        <v>0.03064699205</v>
      </c>
      <c r="V7" s="9">
        <f t="shared" ref="V7:W7" si="28">IFERROR(R7-T7,"-")</f>
        <v>-0.01835779352</v>
      </c>
      <c r="W7" s="9">
        <f t="shared" si="28"/>
        <v>-0.0002182230365</v>
      </c>
      <c r="X7" s="65">
        <f>IFERROR(__xludf.DUMMYFUNCTION("IFERROR(
  VLOOKUP(
    A7,
    IMPORTRANGE(
      ""1ZHMy3vVUd_0MrSduXTe1etBb1HNpAlGwQr006ljwMiM"",
      ""GSC最新!A:R""
    ),
    9,
    FALSE
  ),
  0
)
"),6.196356275303644)</f>
        <v>6.196356275</v>
      </c>
      <c r="Y7" s="65">
        <f>IFERROR(__xludf.DUMMYFUNCTION("IFERROR(
  VLOOKUP(
    A7,
    IMPORTRANGE(
      ""1ZHMy3vVUd_0MrSduXTe1etBb1HNpAlGwQr006ljwMiM"",
      ""GSC最新!A:R""
    ),
    12,
    FALSE
  ),
  0
)
"),5.55542382928275)</f>
        <v>5.555423829</v>
      </c>
      <c r="Z7" s="65">
        <f>IFERROR(__xludf.DUMMYFUNCTION("IFERROR(
  VLOOKUP(
    A7,
    IMPORTRANGE(
      ""1ZHMy3vVUd_0MrSduXTe1etBb1HNpAlGwQr006ljwMiM"",
      ""GSC最新!A:R""
    ),
    15,
    FALSE
  ),
  0
)
"),9.028125)</f>
        <v>9.028125</v>
      </c>
      <c r="AA7" s="65">
        <f>IFERROR(__xludf.DUMMYFUNCTION("IFERROR(
  VLOOKUP(
    A7,
    IMPORTRANGE(
      ""1ZHMy3vVUd_0MrSduXTe1etBb1HNpAlGwQr006ljwMiM"",
      ""GSC最新!A:R""
    ),
    18,
    FALSE
  ),
  0
)
"),9.446083995459706)</f>
        <v>9.446083995</v>
      </c>
      <c r="AB7" s="65">
        <f t="shared" ref="AB7:AC7" si="29">X7-Z7</f>
        <v>-2.831768725</v>
      </c>
      <c r="AC7" s="65">
        <f t="shared" si="29"/>
        <v>-3.890660166</v>
      </c>
      <c r="AD7" s="53">
        <f>IFERROR(__xludf.DUMMYFUNCTION("IFERROR(
  VLOOKUP(
    A7,
    IMPORTRANGE(
      ""1ZHMy3vVUd_0MrSduXTe1etBb1HNpAlGwQr006ljwMiM"",
      ""GSC最新!A:F""
    ),
    6,
    FALSE
  ),
  0
)
"),46081.0)</f>
        <v>46081</v>
      </c>
      <c r="AE7" s="54">
        <f>IFERROR(__xludf.DUMMYFUNCTION("IFERROR(
  VLOOKUP(
    A7,
    IMPORTRANGE(
      ""1SCYQd7_cobOYqT0r_F0IqD4tE4rYn5y8Eup4PJTH8es"",
      ""Snapshot!A:M""
    ),
    5,
    FALSE
  ),
  ""-""
)
"),7.0)</f>
        <v>7</v>
      </c>
      <c r="AF7" s="54">
        <f>IFERROR(__xludf.DUMMYFUNCTION("IFERROR(
  VLOOKUP(
    A7,
    IMPORTRANGE(
      ""1SCYQd7_cobOYqT0r_F0IqD4tE4rYn5y8Eup4PJTH8es"",
      ""Snapshot!A:M""
    ),
    6,
    FALSE
  ),
  0
)
"),6.0)</f>
        <v>6</v>
      </c>
      <c r="AG7" s="54">
        <f>IFERROR(__xludf.DUMMYFUNCTION("IFERROR(
  VLOOKUP(
    A7,
    IMPORTRANGE(
      ""1SCYQd7_cobOYqT0r_F0IqD4tE4rYn5y8Eup4PJTH8es"",
      ""Snapshot!A:M""
    ),
    7,
    FALSE
  ),
  0
)
"),4162.0)</f>
        <v>4162</v>
      </c>
      <c r="AH7" s="54">
        <f>IFERROR(__xludf.DUMMYFUNCTION("IFERROR(
  VLOOKUP(
    A7,
    IMPORTRANGE(
      ""1SCYQd7_cobOYqT0r_F0IqD4tE4rYn5y8Eup4PJTH8es"",
      ""Snapshot!A:M""
    ),
    8,
    FALSE
  ),
  0
)
"),6.0)</f>
        <v>6</v>
      </c>
      <c r="AI7" s="54">
        <f>IFERROR(__xludf.DUMMYFUNCTION("IFERROR(
  VLOOKUP(
    A7,
    IMPORTRANGE(
      ""1SCYQd7_cobOYqT0r_F0IqD4tE4rYn5y8Eup4PJTH8es"",
      ""Snapshot!A:M""
    ),
    9,
    FALSE
  ),
  0
)
"),2.0)</f>
        <v>2</v>
      </c>
      <c r="AJ7" s="54">
        <f>IFERROR(__xludf.DUMMYFUNCTION("IFERROR(
  VLOOKUP(
    A7,
    IMPORTRANGE(
      ""1SCYQd7_cobOYqT0r_F0IqD4tE4rYn5y8Eup4PJTH8es"",
      ""Snapshot!A:M""
    ),
    13,
    FALSE
  ),
  0
)
"),2.0)</f>
        <v>2</v>
      </c>
      <c r="AK7" s="49">
        <f t="shared" ref="AK7:AL7" si="30">LEN(C7)</f>
        <v>90</v>
      </c>
      <c r="AL7" s="49">
        <f t="shared" si="30"/>
        <v>126</v>
      </c>
    </row>
    <row r="8">
      <c r="A8" s="3" t="s">
        <v>521</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"),"国語記述のルール｜本文の言葉で書く３要点｜中学受験小４〜小６")</f>
        <v>国語記述のルール｜本文の言葉で書く３要点｜中学受験小４〜小６</v>
      </c>
      <c r="D8" s="1" t="str">
        <f>IFERROR(__xludf.DUMMYFUNCTION("IFERROR(
  VLOOKUP(
    A8,
    IMPORTRANGE(
      ""1ZygntHC1J6IxzKbTidmOyf5nUyW4GCLurHCjexrLm_o        "",
      ""HTMLキャッシュ!A:F""
    ),
    6,
    FALSE
  ),
  0
)
"),"本文中の言葉を用いて・二文でに対応。説明は内容＋理由、心情は背景→出来事→気持ち。言い換えは比喩と抽象化の２場面だけ。")</f>
        <v>本文中の言葉を用いて・二文でに対応。説明は内容＋理由、心情は背景→出来事→気持ち。言い換えは比喩と抽象化の２場面だけ。</v>
      </c>
      <c r="E8" s="32">
        <f>IFERROR(__xludf.DUMMYFUNCTION("IFERROR(
  VLOOKUP(
    A8,
    IMPORTRANGE(
      ""1ZygntHC1J6IxzKbTidmOyf5nUyW4GCLurHCjexrLm_o        "",
      ""HTMLキャッシュ!A:F""
    ),
    3,
    FALSE
  ),
  0
)
"),46056.69380787037)</f>
        <v>46056.69381</v>
      </c>
      <c r="F8" s="49">
        <f>IFERROR(__xludf.DUMMYFUNCTION("IFERROR(
  VLOOKUP(
    A8,
    IMPORTRANGE(
      ""1ZHMy3vVUd_0MrSduXTe1etBb1HNpAlGwQr006ljwMiM"",
      ""GSC最新!A:F""
    ),
    2,
    FALSE
  ),
  0
)
"),55.0)</f>
        <v>55</v>
      </c>
      <c r="G8" s="49">
        <f>IFERROR(__xludf.DUMMYFUNCTION("IFERROR(
  VLOOKUP(
    A8,
    IMPORTRANGE(
      ""1ZHMy3vVUd_0MrSduXTe1etBb1HNpAlGwQr006ljwMiM"",
      ""GSC最新!A:F""
    ),
    3,
    FALSE
  ),
  0
)
"),145.0)</f>
        <v>145</v>
      </c>
      <c r="H8" s="49">
        <f>IFERROR(__xludf.DUMMYFUNCTION("IFERROR(
  VLOOKUP(
    A8,
    IMPORTRANGE(
      ""1ZHMy3vVUd_0MrSduXTe1etBb1HNpAlGwQr006ljwMiM"",
      ""GSC最新!A:F""
    ),
    4,
    FALSE
  ),
  0
)
"),51.0)</f>
        <v>51</v>
      </c>
      <c r="I8" s="49">
        <f>IFERROR(__xludf.DUMMYFUNCTION("IFERROR(
  VLOOKUP(
    A8,
    IMPORTRANGE(
      ""1ZHMy3vVUd_0MrSduXTe1etBb1HNpAlGwQr006ljwMiM"",
      ""GSC最新!A:F""
    ),
    5,
    FALSE
  ),
  0
)
"),139.0)</f>
        <v>139</v>
      </c>
      <c r="J8" s="50">
        <f t="shared" ref="J8:K8" si="31">IFERROR(F8/H8,"-")</f>
        <v>1.078431373</v>
      </c>
      <c r="K8" s="50">
        <f t="shared" si="31"/>
        <v>1.043165468</v>
      </c>
      <c r="L8" s="6">
        <f>IFERROR(__xludf.DUMMYFUNCTION("IFERROR(
  VLOOKUP(
    A8,
    IMPORTRANGE(
      ""1ZHMy3vVUd_0MrSduXTe1etBb1HNpAlGwQr006ljwMiM"",
      ""GSC最新!A:R""
    ),
    7,
    FALSE
  ),
  0
)
"),3520.0)</f>
        <v>3520</v>
      </c>
      <c r="M8" s="6">
        <f>IFERROR(__xludf.DUMMYFUNCTION("IFERROR(
  VLOOKUP(
    A8,
    IMPORTRANGE(
      ""1ZHMy3vVUd_0MrSduXTe1etBb1HNpAlGwQr006ljwMiM"",
      ""GSC最新!A:R""
    ),
    10,
    FALSE
  ),
  0
)
"),10090.0)</f>
        <v>10090</v>
      </c>
      <c r="N8" s="6">
        <f>IFERROR(__xludf.DUMMYFUNCTION("IFERROR(
  VLOOKUP(
    A8,
    IMPORTRANGE(
      ""1ZHMy3vVUd_0MrSduXTe1etBb1HNpAlGwQr006ljwMiM"",
      ""GSC最新!A:R""
    ),
    13,
    FALSE
  ),
  0
)
"),1683.0)</f>
        <v>1683</v>
      </c>
      <c r="O8" s="6">
        <f>IFERROR(__xludf.DUMMYFUNCTION("IFERROR(
  VLOOKUP(
    A8,
    IMPORTRANGE(
      ""1ZHMy3vVUd_0MrSduXTe1etBb1HNpAlGwQr006ljwMiM"",
      ""GSC最新!A:R""
    ),
    16,
    FALSE
  ),
  0
)
"),3952.0)</f>
        <v>3952</v>
      </c>
      <c r="P8" s="51">
        <f t="shared" ref="P8:Q8" si="32">IFERROR(L8/N8,"-")</f>
        <v>2.091503268</v>
      </c>
      <c r="Q8" s="51">
        <f t="shared" si="32"/>
        <v>2.553137652</v>
      </c>
      <c r="R8" s="9">
        <f>IFERROR(__xludf.DUMMYFUNCTION("IFERROR(
  VLOOKUP(
    A8,
    IMPORTRANGE(
      ""1ZHMy3vVUd_0MrSduXTe1etBb1HNpAlGwQr006ljwMiM"",
      ""GSC最新!A:R""
    ),
    8,
    FALSE
  ),
  0
)
"),0.015625)</f>
        <v>0.015625</v>
      </c>
      <c r="S8" s="9">
        <f>IFERROR(__xludf.DUMMYFUNCTION("IFERROR(
  VLOOKUP(
    A8,
    IMPORTRANGE(
      ""1ZHMy3vVUd_0MrSduXTe1etBb1HNpAlGwQr006ljwMiM"",
      ""GSC最新!A:R""
    ),
    11,
    FALSE
  ),
  0
)
"),0.014370664023785926)</f>
        <v>0.01437066402</v>
      </c>
      <c r="T8" s="9">
        <f>IFERROR(__xludf.DUMMYFUNCTION("IFERROR(
  VLOOKUP(
    A8,
    IMPORTRANGE(
      ""1ZHMy3vVUd_0MrSduXTe1etBb1HNpAlGwQr006ljwMiM"",
      ""GSC最新!A:R""
    ),
    14,
    FALSE
  ),
  0
)
"),0.030303030303030304)</f>
        <v>0.0303030303</v>
      </c>
      <c r="U8" s="9">
        <f>IFERROR(__xludf.DUMMYFUNCTION("IFERROR(
  VLOOKUP(
    A8,
    IMPORTRANGE(
      ""1ZHMy3vVUd_0MrSduXTe1etBb1HNpAlGwQr006ljwMiM"",
      ""GSC最新!A:R""
    ),
    17,
    FALSE
  ),
  0
)
"),0.035172064777327934)</f>
        <v>0.03517206478</v>
      </c>
      <c r="V8" s="9">
        <f t="shared" ref="V8:W8" si="33">IFERROR(R8-T8,"-")</f>
        <v>-0.0146780303</v>
      </c>
      <c r="W8" s="9">
        <f t="shared" si="33"/>
        <v>-0.02080140075</v>
      </c>
      <c r="X8" s="65">
        <f>IFERROR(__xludf.DUMMYFUNCTION("IFERROR(
  VLOOKUP(
    A8,
    IMPORTRANGE(
      ""1ZHMy3vVUd_0MrSduXTe1etBb1HNpAlGwQr006ljwMiM"",
      ""GSC最新!A:R""
    ),
    9,
    FALSE
  ),
  0
)
"),5.853693181818182)</f>
        <v>5.853693182</v>
      </c>
      <c r="Y8" s="65">
        <f>IFERROR(__xludf.DUMMYFUNCTION("IFERROR(
  VLOOKUP(
    A8,
    IMPORTRANGE(
      ""1ZHMy3vVUd_0MrSduXTe1etBb1HNpAlGwQr006ljwMiM"",
      ""GSC最新!A:R""
    ),
    12,
    FALSE
  ),
  0
)
"),5.452428146679881)</f>
        <v>5.452428147</v>
      </c>
      <c r="Z8" s="65">
        <f>IFERROR(__xludf.DUMMYFUNCTION("IFERROR(
  VLOOKUP(
    A8,
    IMPORTRANGE(
      ""1ZHMy3vVUd_0MrSduXTe1etBb1HNpAlGwQr006ljwMiM"",
      ""GSC最新!A:R""
    ),
    15,
    FALSE
  ),
  0
)
"),9.32620320855615)</f>
        <v>9.326203209</v>
      </c>
      <c r="AA8" s="65">
        <f>IFERROR(__xludf.DUMMYFUNCTION("IFERROR(
  VLOOKUP(
    A8,
    IMPORTRANGE(
      ""1ZHMy3vVUd_0MrSduXTe1etBb1HNpAlGwQr006ljwMiM"",
      ""GSC最新!A:R""
    ),
    18,
    FALSE
  ),
  0
)
"),11.227226720647772)</f>
        <v>11.22722672</v>
      </c>
      <c r="AB8" s="65">
        <f t="shared" ref="AB8:AC8" si="34">X8-Z8</f>
        <v>-3.472510027</v>
      </c>
      <c r="AC8" s="65">
        <f t="shared" si="34"/>
        <v>-5.774798574</v>
      </c>
      <c r="AD8" s="53">
        <f>IFERROR(__xludf.DUMMYFUNCTION("IFERROR(
  VLOOKUP(
    A8,
    IMPORTRANGE(
      ""1ZHMy3vVUd_0MrSduXTe1etBb1HNpAlGwQr006ljwMiM"",
      ""GSC最新!A:F""
    ),
    6,
    FALSE
  ),
  0
)
"),46081.0)</f>
        <v>46081</v>
      </c>
      <c r="AE8" s="54">
        <f>IFERROR(__xludf.DUMMYFUNCTION("IFERROR(
  VLOOKUP(
    A8,
    IMPORTRANGE(
      ""1SCYQd7_cobOYqT0r_F0IqD4tE4rYn5y8Eup4PJTH8es"",
      ""Snapshot!A:M""
    ),
    5,
    FALSE
  ),
  ""-""
)
"),5.0)</f>
        <v>5</v>
      </c>
      <c r="AF8" s="54">
        <f>IFERROR(__xludf.DUMMYFUNCTION("IFERROR(
  VLOOKUP(
    A8,
    IMPORTRANGE(
      ""1SCYQd7_cobOYqT0r_F0IqD4tE4rYn5y8Eup4PJTH8es"",
      ""Snapshot!A:M""
    ),
    6,
    FALSE
  ),
  0
)
"),12.0)</f>
        <v>12</v>
      </c>
      <c r="AG8" s="54">
        <f>IFERROR(__xludf.DUMMYFUNCTION("IFERROR(
  VLOOKUP(
    A8,
    IMPORTRANGE(
      ""1SCYQd7_cobOYqT0r_F0IqD4tE4rYn5y8Eup4PJTH8es"",
      ""Snapshot!A:M""
    ),
    7,
    FALSE
  ),
  0
)
"),4009.0)</f>
        <v>4009</v>
      </c>
      <c r="AH8" s="54">
        <f>IFERROR(__xludf.DUMMYFUNCTION("IFERROR(
  VLOOKUP(
    A8,
    IMPORTRANGE(
      ""1SCYQd7_cobOYqT0r_F0IqD4tE4rYn5y8Eup4PJTH8es"",
      ""Snapshot!A:M""
    ),
    8,
    FALSE
  ),
  0
)
"),7.0)</f>
        <v>7</v>
      </c>
      <c r="AI8" s="54">
        <f>IFERROR(__xludf.DUMMYFUNCTION("IFERROR(
  VLOOKUP(
    A8,
    IMPORTRANGE(
      ""1SCYQd7_cobOYqT0r_F0IqD4tE4rYn5y8Eup4PJTH8es"",
      ""Snapshot!A:M""
    ),
    9,
    FALSE
  ),
  0
)
"),3.0)</f>
        <v>3</v>
      </c>
      <c r="AJ8" s="54">
        <f>IFERROR(__xludf.DUMMYFUNCTION("IFERROR(
  VLOOKUP(
    A8,
    IMPORTRANGE(
      ""1SCYQd7_cobOYqT0r_F0IqD4tE4rYn5y8Eup4PJTH8es"",
      ""Snapshot!A:M""
    ),
    13,
    FALSE
  ),
  0
)
"),3.0)</f>
        <v>3</v>
      </c>
      <c r="AK8" s="49">
        <f t="shared" ref="AK8:AL8" si="35">LEN(C8)</f>
        <v>30</v>
      </c>
      <c r="AL8" s="49">
        <f t="shared" si="35"/>
        <v>59</v>
      </c>
    </row>
    <row r="9">
      <c r="A9" s="3" t="s">
        <v>522</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"),"国語文法はなぜ必要か｜入試読解と記述力を支える基礎力の正体")</f>
        <v>国語文法はなぜ必要か｜入試読解と記述力を支える基礎力の正体</v>
      </c>
      <c r="D9" s="1" t="str">
        <f>IFERROR(__xludf.DUMMYFUNCTION("IFERROR(
  VLOOKUP(
    A9,
    IMPORTRANGE(
      ""1ZygntHC1J6IxzKbTidmOyf5nUyW4GCLurHCjexrLm_o        "",
      ""HTMLキャッシュ!A:F""
    ),
    6,
    FALSE
  ),
  0
)
"),"国語文法を主語述語・修飾・品詞・活用で整理。短文例で確認し、読解と記述の読み違いを示しやすくする。勉強の優先順も紹介。")</f>
        <v>国語文法を主語述語・修飾・品詞・活用で整理。短文例で確認し、読解と記述の読み違いを示しやすくする。勉強の優先順も紹介。</v>
      </c>
      <c r="E9" s="32">
        <f>IFERROR(__xludf.DUMMYFUNCTION("IFERROR(
  VLOOKUP(
    A9,
    IMPORTRANGE(
      ""1ZygntHC1J6IxzKbTidmOyf5nUyW4GCLurHCjexrLm_o        "",
      ""HTMLキャッシュ!A:F""
    ),
    3,
    FALSE
  ),
  0
)
"),46073.82677083334)</f>
        <v>46073.82677</v>
      </c>
      <c r="F9" s="49">
        <f>IFERROR(__xludf.DUMMYFUNCTION("IFERROR(
  VLOOKUP(
    A9,
    IMPORTRANGE(
      ""1ZHMy3vVUd_0MrSduXTe1etBb1HNpAlGwQr006ljwMiM"",
      ""GSC最新!A:F""
    ),
    2,
    FALSE
  ),
  0
)
"),79.0)</f>
        <v>79</v>
      </c>
      <c r="G9" s="49">
        <f>IFERROR(__xludf.DUMMYFUNCTION("IFERROR(
  VLOOKUP(
    A9,
    IMPORTRANGE(
      ""1ZHMy3vVUd_0MrSduXTe1etBb1HNpAlGwQr006ljwMiM"",
      ""GSC最新!A:F""
    ),
    3,
    FALSE
  ),
  0
)
"),150.0)</f>
        <v>150</v>
      </c>
      <c r="H9" s="49">
        <f>IFERROR(__xludf.DUMMYFUNCTION("IFERROR(
  VLOOKUP(
    A9,
    IMPORTRANGE(
      ""1ZHMy3vVUd_0MrSduXTe1etBb1HNpAlGwQr006ljwMiM"",
      ""GSC最新!A:F""
    ),
    4,
    FALSE
  ),
  0
)
"),49.0)</f>
        <v>49</v>
      </c>
      <c r="I9" s="49">
        <f>IFERROR(__xludf.DUMMYFUNCTION("IFERROR(
  VLOOKUP(
    A9,
    IMPORTRANGE(
      ""1ZHMy3vVUd_0MrSduXTe1etBb1HNpAlGwQr006ljwMiM"",
      ""GSC最新!A:F""
    ),
    5,
    FALSE
  ),
  0
)
"),119.0)</f>
        <v>119</v>
      </c>
      <c r="J9" s="50">
        <f t="shared" ref="J9:K9" si="36">IFERROR(F9/H9,"-")</f>
        <v>1.612244898</v>
      </c>
      <c r="K9" s="50">
        <f t="shared" si="36"/>
        <v>1.260504202</v>
      </c>
      <c r="L9" s="6">
        <f>IFERROR(__xludf.DUMMYFUNCTION("IFERROR(
  VLOOKUP(
    A9,
    IMPORTRANGE(
      ""1ZHMy3vVUd_0MrSduXTe1etBb1HNpAlGwQr006ljwMiM"",
      ""GSC最新!A:R""
    ),
    7,
    FALSE
  ),
  0
)
"),15207.0)</f>
        <v>15207</v>
      </c>
      <c r="M9" s="6">
        <f>IFERROR(__xludf.DUMMYFUNCTION("IFERROR(
  VLOOKUP(
    A9,
    IMPORTRANGE(
      ""1ZHMy3vVUd_0MrSduXTe1etBb1HNpAlGwQr006ljwMiM"",
      ""GSC最新!A:R""
    ),
    10,
    FALSE
  ),
  0
)
"),27700.0)</f>
        <v>27700</v>
      </c>
      <c r="N9" s="6">
        <f>IFERROR(__xludf.DUMMYFUNCTION("IFERROR(
  VLOOKUP(
    A9,
    IMPORTRANGE(
      ""1ZHMy3vVUd_0MrSduXTe1etBb1HNpAlGwQr006ljwMiM"",
      ""GSC最新!A:R""
    ),
    13,
    FALSE
  ),
  0
)
"),1783.0)</f>
        <v>1783</v>
      </c>
      <c r="O9" s="6">
        <f>IFERROR(__xludf.DUMMYFUNCTION("IFERROR(
  VLOOKUP(
    A9,
    IMPORTRANGE(
      ""1ZHMy3vVUd_0MrSduXTe1etBb1HNpAlGwQr006ljwMiM"",
      ""GSC最新!A:R""
    ),
    16,
    FALSE
  ),
  0
)
"),4172.0)</f>
        <v>4172</v>
      </c>
      <c r="P9" s="51">
        <f t="shared" ref="P9:Q9" si="37">IFERROR(L9/N9,"-")</f>
        <v>8.528883904</v>
      </c>
      <c r="Q9" s="51">
        <f t="shared" si="37"/>
        <v>6.639501438</v>
      </c>
      <c r="R9" s="9">
        <f>IFERROR(__xludf.DUMMYFUNCTION("IFERROR(
  VLOOKUP(
    A9,
    IMPORTRANGE(
      ""1ZHMy3vVUd_0MrSduXTe1etBb1HNpAlGwQr006ljwMiM"",
      ""GSC最新!A:R""
    ),
    8,
    FALSE
  ),
  0
)
"),0.005194975997895706)</f>
        <v>0.005194975998</v>
      </c>
      <c r="S9" s="9">
        <f>IFERROR(__xludf.DUMMYFUNCTION("IFERROR(
  VLOOKUP(
    A9,
    IMPORTRANGE(
      ""1ZHMy3vVUd_0MrSduXTe1etBb1HNpAlGwQr006ljwMiM"",
      ""GSC最新!A:R""
    ),
    11,
    FALSE
  ),
  0
)
"),0.005415162454873646)</f>
        <v>0.005415162455</v>
      </c>
      <c r="T9" s="9">
        <f>IFERROR(__xludf.DUMMYFUNCTION("IFERROR(
  VLOOKUP(
    A9,
    IMPORTRANGE(
      ""1ZHMy3vVUd_0MrSduXTe1etBb1HNpAlGwQr006ljwMiM"",
      ""GSC最新!A:R""
    ),
    14,
    FALSE
  ),
  0
)
"),0.027481772293886708)</f>
        <v>0.02748177229</v>
      </c>
      <c r="U9" s="9">
        <f>IFERROR(__xludf.DUMMYFUNCTION("IFERROR(
  VLOOKUP(
    A9,
    IMPORTRANGE(
      ""1ZHMy3vVUd_0MrSduXTe1etBb1HNpAlGwQr006ljwMiM"",
      ""GSC最新!A:R""
    ),
    17,
    FALSE
  ),
  0
)
"),0.028523489932885907)</f>
        <v>0.02852348993</v>
      </c>
      <c r="V9" s="9">
        <f t="shared" ref="V9:W9" si="38">IFERROR(R9-T9,"-")</f>
        <v>-0.0222867963</v>
      </c>
      <c r="W9" s="9">
        <f t="shared" si="38"/>
        <v>-0.02310832748</v>
      </c>
      <c r="X9" s="65">
        <f>IFERROR(__xludf.DUMMYFUNCTION("IFERROR(
  VLOOKUP(
    A9,
    IMPORTRANGE(
      ""1ZHMy3vVUd_0MrSduXTe1etBb1HNpAlGwQr006ljwMiM"",
      ""GSC最新!A:R""
    ),
    9,
    FALSE
  ),
  0
)
"),3.5197606365489578)</f>
        <v>3.519760637</v>
      </c>
      <c r="Y9" s="65">
        <f>IFERROR(__xludf.DUMMYFUNCTION("IFERROR(
  VLOOKUP(
    A9,
    IMPORTRANGE(
      ""1ZHMy3vVUd_0MrSduXTe1etBb1HNpAlGwQr006ljwMiM"",
      ""GSC最新!A:R""
    ),
    12,
    FALSE
  ),
  0
)
"),3.6702888086642598)</f>
        <v>3.670288809</v>
      </c>
      <c r="Z9" s="65">
        <f>IFERROR(__xludf.DUMMYFUNCTION("IFERROR(
  VLOOKUP(
    A9,
    IMPORTRANGE(
      ""1ZHMy3vVUd_0MrSduXTe1etBb1HNpAlGwQr006ljwMiM"",
      ""GSC最新!A:R""
    ),
    15,
    FALSE
  ),
  0
)
"),8.328659562535053)</f>
        <v>8.328659563</v>
      </c>
      <c r="AA9" s="65">
        <f>IFERROR(__xludf.DUMMYFUNCTION("IFERROR(
  VLOOKUP(
    A9,
    IMPORTRANGE(
      ""1ZHMy3vVUd_0MrSduXTe1etBb1HNpAlGwQr006ljwMiM"",
      ""GSC最新!A:R""
    ),
    18,
    FALSE
  ),
  0
)
"),10.552253116011505)</f>
        <v>10.55225312</v>
      </c>
      <c r="AB9" s="65">
        <f t="shared" ref="AB9:AC9" si="39">X9-Z9</f>
        <v>-4.808898926</v>
      </c>
      <c r="AC9" s="65">
        <f t="shared" si="39"/>
        <v>-6.881964307</v>
      </c>
      <c r="AD9" s="53">
        <f>IFERROR(__xludf.DUMMYFUNCTION("IFERROR(
  VLOOKUP(
    A9,
    IMPORTRANGE(
      ""1ZHMy3vVUd_0MrSduXTe1etBb1HNpAlGwQr006ljwMiM"",
      ""GSC最新!A:F""
    ),
    6,
    FALSE
  ),
  0
)
"),46081.0)</f>
        <v>46081</v>
      </c>
      <c r="AE9" s="54">
        <f>IFERROR(__xludf.DUMMYFUNCTION("IFERROR(
  VLOOKUP(
    A9,
    IMPORTRANGE(
      ""1SCYQd7_cobOYqT0r_F0IqD4tE4rYn5y8Eup4PJTH8es"",
      ""Snapshot!A:M""
    ),
    5,
    FALSE
  ),
  ""-""
)
"),6.0)</f>
        <v>6</v>
      </c>
      <c r="AF9" s="54">
        <f>IFERROR(__xludf.DUMMYFUNCTION("IFERROR(
  VLOOKUP(
    A9,
    IMPORTRANGE(
      ""1SCYQd7_cobOYqT0r_F0IqD4tE4rYn5y8Eup4PJTH8es"",
      ""Snapshot!A:M""
    ),
    6,
    FALSE
  ),
  0
)
"),8.0)</f>
        <v>8</v>
      </c>
      <c r="AG9" s="54">
        <f>IFERROR(__xludf.DUMMYFUNCTION("IFERROR(
  VLOOKUP(
    A9,
    IMPORTRANGE(
      ""1SCYQd7_cobOYqT0r_F0IqD4tE4rYn5y8Eup4PJTH8es"",
      ""Snapshot!A:M""
    ),
    7,
    FALSE
  ),
  0
)
"),5028.0)</f>
        <v>5028</v>
      </c>
      <c r="AH9" s="54">
        <f>IFERROR(__xludf.DUMMYFUNCTION("IFERROR(
  VLOOKUP(
    A9,
    IMPORTRANGE(
      ""1SCYQd7_cobOYqT0r_F0IqD4tE4rYn5y8Eup4PJTH8es"",
      ""Snapshot!A:M""
    ),
    8,
    FALSE
  ),
  0
)
"),9.0)</f>
        <v>9</v>
      </c>
      <c r="AI9" s="54">
        <f>IFERROR(__xludf.DUMMYFUNCTION("IFERROR(
  VLOOKUP(
    A9,
    IMPORTRANGE(
      ""1SCYQd7_cobOYqT0r_F0IqD4tE4rYn5y8Eup4PJTH8es"",
      ""Snapshot!A:M""
    ),
    9,
    FALSE
  ),
  0
)
"),6.0)</f>
        <v>6</v>
      </c>
      <c r="AJ9" s="54">
        <f>IFERROR(__xludf.DUMMYFUNCTION("IFERROR(
  VLOOKUP(
    A9,
    IMPORTRANGE(
      ""1SCYQd7_cobOYqT0r_F0IqD4tE4rYn5y8Eup4PJTH8es"",
      ""Snapshot!A:M""
    ),
    13,
    FALSE
  ),
  0
)
"),3.0)</f>
        <v>3</v>
      </c>
      <c r="AK9" s="49">
        <f t="shared" ref="AK9:AL9" si="40">LEN(C9)</f>
        <v>29</v>
      </c>
      <c r="AL9" s="49">
        <f t="shared" si="40"/>
        <v>59</v>
      </c>
    </row>
    <row r="10">
      <c r="A10" s="3" t="s">
        <v>523</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"),"文章を理解するのに時間がかかる｜中学受験国語｜二度読み対策")</f>
        <v>文章を理解するのに時間がかかる｜中学受験国語｜二度読み対策</v>
      </c>
      <c r="D10" s="1" t="str">
        <f>IFERROR(__xludf.DUMMYFUNCTION("IFERROR(
  VLOOKUP(
    A10,
    IMPORTRANGE(
      ""1ZygntHC1J6IxzKbTidmOyf5nUyW4GCLurHCjexrLm_o        "",
      ""HTMLキャッシュ!A:F""
    ),
    6,
    FALSE
  ),
  0
)
"),"文章理解に時間がかかる中学受験生向け。二度読みを減らす読み方、設問で止まりすぎない考え方、大問ごとの時間配分の目安を解説。")</f>
        <v>文章理解に時間がかかる中学受験生向け。二度読みを減らす読み方、設問で止まりすぎない考え方、大問ごとの時間配分の目安を解説。</v>
      </c>
      <c r="E10" s="32">
        <f>IFERROR(__xludf.DUMMYFUNCTION("IFERROR(
  VLOOKUP(
    A10,
    IMPORTRANGE(
      ""1ZygntHC1J6IxzKbTidmOyf5nUyW4GCLurHCjexrLm_o        "",
      ""HTMLキャッシュ!A:F""
    ),
    3,
    FALSE
  ),
  0
)
"),46078.63903935185)</f>
        <v>46078.63904</v>
      </c>
      <c r="F10" s="49">
        <f>IFERROR(__xludf.DUMMYFUNCTION("IFERROR(
  VLOOKUP(
    A10,
    IMPORTRANGE(
      ""1ZHMy3vVUd_0MrSduXTe1etBb1HNpAlGwQr006ljwMiM"",
      ""GSC最新!A:F""
    ),
    2,
    FALSE
  ),
  0
)
"),30.0)</f>
        <v>30</v>
      </c>
      <c r="G10" s="49">
        <f>IFERROR(__xludf.DUMMYFUNCTION("IFERROR(
  VLOOKUP(
    A10,
    IMPORTRANGE(
      ""1ZHMy3vVUd_0MrSduXTe1etBb1HNpAlGwQr006ljwMiM"",
      ""GSC最新!A:F""
    ),
    3,
    FALSE
  ),
  0
)
"),127.0)</f>
        <v>127</v>
      </c>
      <c r="H10" s="49">
        <f>IFERROR(__xludf.DUMMYFUNCTION("IFERROR(
  VLOOKUP(
    A10,
    IMPORTRANGE(
      ""1ZHMy3vVUd_0MrSduXTe1etBb1HNpAlGwQr006ljwMiM"",
      ""GSC最新!A:F""
    ),
    4,
    FALSE
  ),
  0
)
"),62.0)</f>
        <v>62</v>
      </c>
      <c r="I10" s="49">
        <f>IFERROR(__xludf.DUMMYFUNCTION("IFERROR(
  VLOOKUP(
    A10,
    IMPORTRANGE(
      ""1ZHMy3vVUd_0MrSduXTe1etBb1HNpAlGwQr006ljwMiM"",
      ""GSC最新!A:F""
    ),
    5,
    FALSE
  ),
  0
)
"),223.0)</f>
        <v>223</v>
      </c>
      <c r="J10" s="50">
        <f t="shared" ref="J10:K10" si="41">IFERROR(F10/H10,"-")</f>
        <v>0.4838709677</v>
      </c>
      <c r="K10" s="50">
        <f t="shared" si="41"/>
        <v>0.5695067265</v>
      </c>
      <c r="L10" s="6">
        <f>IFERROR(__xludf.DUMMYFUNCTION("IFERROR(
  VLOOKUP(
    A10,
    IMPORTRANGE(
      ""1ZHMy3vVUd_0MrSduXTe1etBb1HNpAlGwQr006ljwMiM"",
      ""GSC最新!A:R""
    ),
    7,
    FALSE
  ),
  0
)
"),1737.0)</f>
        <v>1737</v>
      </c>
      <c r="M10" s="6">
        <f>IFERROR(__xludf.DUMMYFUNCTION("IFERROR(
  VLOOKUP(
    A10,
    IMPORTRANGE(
      ""1ZHMy3vVUd_0MrSduXTe1etBb1HNpAlGwQr006ljwMiM"",
      ""GSC最新!A:R""
    ),
    10,
    FALSE
  ),
  0
)
"),6452.0)</f>
        <v>6452</v>
      </c>
      <c r="N10" s="6">
        <f>IFERROR(__xludf.DUMMYFUNCTION("IFERROR(
  VLOOKUP(
    A10,
    IMPORTRANGE(
      ""1ZHMy3vVUd_0MrSduXTe1etBb1HNpAlGwQr006ljwMiM"",
      ""GSC最新!A:R""
    ),
    13,
    FALSE
  ),
  0
)
"),1990.0)</f>
        <v>1990</v>
      </c>
      <c r="O10" s="6">
        <f>IFERROR(__xludf.DUMMYFUNCTION("IFERROR(
  VLOOKUP(
    A10,
    IMPORTRANGE(
      ""1ZHMy3vVUd_0MrSduXTe1etBb1HNpAlGwQr006ljwMiM"",
      ""GSC最新!A:R""
    ),
    16,
    FALSE
  ),
  0
)
"),5741.0)</f>
        <v>5741</v>
      </c>
      <c r="P10" s="51">
        <f t="shared" ref="P10:Q10" si="42">IFERROR(L10/N10,"-")</f>
        <v>0.8728643216</v>
      </c>
      <c r="Q10" s="51">
        <f t="shared" si="42"/>
        <v>1.12384602</v>
      </c>
      <c r="R10" s="9">
        <f>IFERROR(__xludf.DUMMYFUNCTION("IFERROR(
  VLOOKUP(
    A10,
    IMPORTRANGE(
      ""1ZHMy3vVUd_0MrSduXTe1etBb1HNpAlGwQr006ljwMiM"",
      ""GSC最新!A:R""
    ),
    8,
    FALSE
  ),
  0
)
"),0.017271157167530225)</f>
        <v>0.01727115717</v>
      </c>
      <c r="S10" s="9">
        <f>IFERROR(__xludf.DUMMYFUNCTION("IFERROR(
  VLOOKUP(
    A10,
    IMPORTRANGE(
      ""1ZHMy3vVUd_0MrSduXTe1etBb1HNpAlGwQr006ljwMiM"",
      ""GSC最新!A:R""
    ),
    11,
    FALSE
  ),
  0
)
"),0.019683818970861747)</f>
        <v>0.01968381897</v>
      </c>
      <c r="T10" s="9">
        <f>IFERROR(__xludf.DUMMYFUNCTION("IFERROR(
  VLOOKUP(
    A10,
    IMPORTRANGE(
      ""1ZHMy3vVUd_0MrSduXTe1etBb1HNpAlGwQr006ljwMiM"",
      ""GSC最新!A:R""
    ),
    14,
    FALSE
  ),
  0
)
"),0.031155778894472363)</f>
        <v>0.03115577889</v>
      </c>
      <c r="U10" s="9">
        <f>IFERROR(__xludf.DUMMYFUNCTION("IFERROR(
  VLOOKUP(
    A10,
    IMPORTRANGE(
      ""1ZHMy3vVUd_0MrSduXTe1etBb1HNpAlGwQr006ljwMiM"",
      ""GSC最新!A:R""
    ),
    17,
    FALSE
  ),
  0
)
"),0.03884340707193869)</f>
        <v>0.03884340707</v>
      </c>
      <c r="V10" s="9">
        <f t="shared" ref="V10:W10" si="43">IFERROR(R10-T10,"-")</f>
        <v>-0.01388462173</v>
      </c>
      <c r="W10" s="9">
        <f t="shared" si="43"/>
        <v>-0.0191595881</v>
      </c>
      <c r="X10" s="65">
        <f>IFERROR(__xludf.DUMMYFUNCTION("IFERROR(
  VLOOKUP(
    A10,
    IMPORTRANGE(
      ""1ZHMy3vVUd_0MrSduXTe1etBb1HNpAlGwQr006ljwMiM"",
      ""GSC最新!A:R""
    ),
    9,
    FALSE
  ),
  0
)
"),4.75993091537133)</f>
        <v>4.759930915</v>
      </c>
      <c r="Y10" s="65">
        <f>IFERROR(__xludf.DUMMYFUNCTION("IFERROR(
  VLOOKUP(
    A10,
    IMPORTRANGE(
      ""1ZHMy3vVUd_0MrSduXTe1etBb1HNpAlGwQr006ljwMiM"",
      ""GSC最新!A:R""
    ),
    12,
    FALSE
  ),
  0
)
"),4.973806571605704)</f>
        <v>4.973806572</v>
      </c>
      <c r="Z10" s="65">
        <f>IFERROR(__xludf.DUMMYFUNCTION("IFERROR(
  VLOOKUP(
    A10,
    IMPORTRANGE(
      ""1ZHMy3vVUd_0MrSduXTe1etBb1HNpAlGwQr006ljwMiM"",
      ""GSC最新!A:R""
    ),
    15,
    FALSE
  ),
  0
)
"),9.679899497487437)</f>
        <v>9.679899497</v>
      </c>
      <c r="AA10" s="65">
        <f>IFERROR(__xludf.DUMMYFUNCTION("IFERROR(
  VLOOKUP(
    A10,
    IMPORTRANGE(
      ""1ZHMy3vVUd_0MrSduXTe1etBb1HNpAlGwQr006ljwMiM"",
      ""GSC最新!A:R""
    ),
    18,
    FALSE
  ),
  0
)
"),13.502351506706148)</f>
        <v>13.50235151</v>
      </c>
      <c r="AB10" s="65">
        <f t="shared" ref="AB10:AC10" si="44">X10-Z10</f>
        <v>-4.919968582</v>
      </c>
      <c r="AC10" s="65">
        <f t="shared" si="44"/>
        <v>-8.528544935</v>
      </c>
      <c r="AD10" s="53">
        <f>IFERROR(__xludf.DUMMYFUNCTION("IFERROR(
  VLOOKUP(
    A10,
    IMPORTRANGE(
      ""1ZHMy3vVUd_0MrSduXTe1etBb1HNpAlGwQr006ljwMiM"",
      ""GSC最新!A:F""
    ),
    6,
    FALSE
  ),
  0
)
"),46081.0)</f>
        <v>46081</v>
      </c>
      <c r="AE10" s="54">
        <f>IFERROR(__xludf.DUMMYFUNCTION("IFERROR(
  VLOOKUP(
    A10,
    IMPORTRANGE(
      ""1SCYQd7_cobOYqT0r_F0IqD4tE4rYn5y8Eup4PJTH8es"",
      ""Snapshot!A:M""
    ),
    5,
    FALSE
  ),
  ""-""
)
"),9.0)</f>
        <v>9</v>
      </c>
      <c r="AF10" s="54">
        <f>IFERROR(__xludf.DUMMYFUNCTION("IFERROR(
  VLOOKUP(
    A10,
    IMPORTRANGE(
      ""1SCYQd7_cobOYqT0r_F0IqD4tE4rYn5y8Eup4PJTH8es"",
      ""Snapshot!A:M""
    ),
    6,
    FALSE
  ),
  0
)
"),17.0)</f>
        <v>17</v>
      </c>
      <c r="AG10" s="54">
        <f>IFERROR(__xludf.DUMMYFUNCTION("IFERROR(
  VLOOKUP(
    A10,
    IMPORTRANGE(
      ""1SCYQd7_cobOYqT0r_F0IqD4tE4rYn5y8Eup4PJTH8es"",
      ""Snapshot!A:M""
    ),
    7,
    FALSE
  ),
  0
)
"),6729.0)</f>
        <v>6729</v>
      </c>
      <c r="AH10" s="54">
        <f>IFERROR(__xludf.DUMMYFUNCTION("IFERROR(
  VLOOKUP(
    A10,
    IMPORTRANGE(
      ""1SCYQd7_cobOYqT0r_F0IqD4tE4rYn5y8Eup4PJTH8es"",
      ""Snapshot!A:M""
    ),
    8,
    FALSE
  ),
  0
)
"),11.0)</f>
        <v>11</v>
      </c>
      <c r="AI10" s="54">
        <f>IFERROR(__xludf.DUMMYFUNCTION("IFERROR(
  VLOOKUP(
    A10,
    IMPORTRANGE(
      ""1SCYQd7_cobOYqT0r_F0IqD4tE4rYn5y8Eup4PJTH8es"",
      ""Snapshot!A:M""
    ),
    9,
    FALSE
  ),
  0
)
"),5.0)</f>
        <v>5</v>
      </c>
      <c r="AJ10" s="54">
        <f>IFERROR(__xludf.DUMMYFUNCTION("IFERROR(
  VLOOKUP(
    A10,
    IMPORTRANGE(
      ""1SCYQd7_cobOYqT0r_F0IqD4tE4rYn5y8Eup4PJTH8es"",
      ""Snapshot!A:M""
    ),
    13,
    FALSE
  ),
  0
)
"),3.0)</f>
        <v>3</v>
      </c>
      <c r="AK10" s="49">
        <f t="shared" ref="AK10:AL10" si="45">LEN(C10)</f>
        <v>29</v>
      </c>
      <c r="AL10" s="49">
        <f t="shared" si="45"/>
        <v>61</v>
      </c>
    </row>
    <row r="11">
      <c r="A11" s="3" t="s">
        <v>524</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"),"中学受験 国語の記述問題の書き方｜説明文は指示語→イコール→理由・物語文は背景＋出来事＋心情｜小4〜小6")</f>
        <v>中学受験 国語の記述問題の書き方｜説明文は指示語→イコール→理由・物語文は背景＋出来事＋心情｜小4〜小6</v>
      </c>
      <c r="D11" s="1" t="str">
        <f>IFERROR(__xludf.DUMMYFUNCTION("IFERROR(
  VLOOKUP(
    A11,
    IMPORTRANGE(
      ""1ZygntHC1J6IxzKbTidmOyf5nUyW4GCLurHCjexrLm_o        "",
      ""HTMLキャッシュ!A:F""
    ),
    6,
    FALSE
  ),
  0
)
"),"国語の記述問題は「本文根拠→要素→まとめ」で安定します。説明文は指示語→イコール→理由、物語文の心情は背景＋出来事＋心情で整理。字数が足りない／余る調整手順と、根拠不足・飛躍・言い過ぎの失点回避までまとめます（小4〜小6）。")</f>
        <v>国語の記述問題は「本文根拠→要素→まとめ」で安定します。説明文は指示語→イコール→理由、物語文の心情は背景＋出来事＋心情で整理。字数が足りない／余る調整手順と、根拠不足・飛躍・言い過ぎの失点回避までまとめます（小4〜小6）。</v>
      </c>
      <c r="E11" s="32">
        <f>IFERROR(__xludf.DUMMYFUNCTION("IFERROR(
  VLOOKUP(
    A11,
    IMPORTRANGE(
      ""1ZygntHC1J6IxzKbTidmOyf5nUyW4GCLurHCjexrLm_o        "",
      ""HTMLキャッシュ!A:F""
    ),
    3,
    FALSE
  ),
  0
)
"),46076.63606481482)</f>
        <v>46076.63606</v>
      </c>
      <c r="F11" s="49">
        <f>IFERROR(__xludf.DUMMYFUNCTION("IFERROR(
  VLOOKUP(
    A11,
    IMPORTRANGE(
      ""1ZHMy3vVUd_0MrSduXTe1etBb1HNpAlGwQr006ljwMiM"",
      ""GSC最新!A:F""
    ),
    2,
    FALSE
  ),
  0
)
"),29.0)</f>
        <v>29</v>
      </c>
      <c r="G11" s="49">
        <f>IFERROR(__xludf.DUMMYFUNCTION("IFERROR(
  VLOOKUP(
    A11,
    IMPORTRANGE(
      ""1ZHMy3vVUd_0MrSduXTe1etBb1HNpAlGwQr006ljwMiM"",
      ""GSC最新!A:F""
    ),
    3,
    FALSE
  ),
  0
)
"),76.0)</f>
        <v>76</v>
      </c>
      <c r="H11" s="49">
        <f>IFERROR(__xludf.DUMMYFUNCTION("IFERROR(
  VLOOKUP(
    A11,
    IMPORTRANGE(
      ""1ZHMy3vVUd_0MrSduXTe1etBb1HNpAlGwQr006ljwMiM"",
      ""GSC最新!A:F""
    ),
    4,
    FALSE
  ),
  0
)
"),2.0)</f>
        <v>2</v>
      </c>
      <c r="I11" s="49">
        <f>IFERROR(__xludf.DUMMYFUNCTION("IFERROR(
  VLOOKUP(
    A11,
    IMPORTRANGE(
      ""1ZHMy3vVUd_0MrSduXTe1etBb1HNpAlGwQr006ljwMiM"",
      ""GSC最新!A:F""
    ),
    5,
    FALSE
  ),
  0
)
"),16.0)</f>
        <v>16</v>
      </c>
      <c r="J11" s="50">
        <f t="shared" ref="J11:K11" si="46">IFERROR(F11/H11,"-")</f>
        <v>14.5</v>
      </c>
      <c r="K11" s="50">
        <f t="shared" si="46"/>
        <v>4.75</v>
      </c>
      <c r="L11" s="6">
        <f>IFERROR(__xludf.DUMMYFUNCTION("IFERROR(
  VLOOKUP(
    A11,
    IMPORTRANGE(
      ""1ZHMy3vVUd_0MrSduXTe1etBb1HNpAlGwQr006ljwMiM"",
      ""GSC最新!A:R""
    ),
    7,
    FALSE
  ),
  0
)
"),2474.0)</f>
        <v>2474</v>
      </c>
      <c r="M11" s="6">
        <f>IFERROR(__xludf.DUMMYFUNCTION("IFERROR(
  VLOOKUP(
    A11,
    IMPORTRANGE(
      ""1ZHMy3vVUd_0MrSduXTe1etBb1HNpAlGwQr006ljwMiM"",
      ""GSC最新!A:R""
    ),
    10,
    FALSE
  ),
  0
)
"),4205.0)</f>
        <v>4205</v>
      </c>
      <c r="N11" s="6">
        <f>IFERROR(__xludf.DUMMYFUNCTION("IFERROR(
  VLOOKUP(
    A11,
    IMPORTRANGE(
      ""1ZHMy3vVUd_0MrSduXTe1etBb1HNpAlGwQr006ljwMiM"",
      ""GSC最新!A:R""
    ),
    13,
    FALSE
  ),
  0
)
"),186.0)</f>
        <v>186</v>
      </c>
      <c r="O11" s="6">
        <f>IFERROR(__xludf.DUMMYFUNCTION("IFERROR(
  VLOOKUP(
    A11,
    IMPORTRANGE(
      ""1ZHMy3vVUd_0MrSduXTe1etBb1HNpAlGwQr006ljwMiM"",
      ""GSC最新!A:R""
    ),
    16,
    FALSE
  ),
  0
)
"),825.0)</f>
        <v>825</v>
      </c>
      <c r="P11" s="51">
        <f t="shared" ref="P11:Q11" si="47">IFERROR(L11/N11,"-")</f>
        <v>13.30107527</v>
      </c>
      <c r="Q11" s="51">
        <f t="shared" si="47"/>
        <v>5.096969697</v>
      </c>
      <c r="R11" s="9">
        <f>IFERROR(__xludf.DUMMYFUNCTION("IFERROR(
  VLOOKUP(
    A11,
    IMPORTRANGE(
      ""1ZHMy3vVUd_0MrSduXTe1etBb1HNpAlGwQr006ljwMiM"",
      ""GSC最新!A:R""
    ),
    8,
    FALSE
  ),
  0
)
"),0.011721907841552142)</f>
        <v>0.01172190784</v>
      </c>
      <c r="S11" s="9">
        <f>IFERROR(__xludf.DUMMYFUNCTION("IFERROR(
  VLOOKUP(
    A11,
    IMPORTRANGE(
      ""1ZHMy3vVUd_0MrSduXTe1etBb1HNpAlGwQr006ljwMiM"",
      ""GSC最新!A:R""
    ),
    11,
    FALSE
  ),
  0
)
"),0.01807372175980975)</f>
        <v>0.01807372176</v>
      </c>
      <c r="T11" s="9">
        <f>IFERROR(__xludf.DUMMYFUNCTION("IFERROR(
  VLOOKUP(
    A11,
    IMPORTRANGE(
      ""1ZHMy3vVUd_0MrSduXTe1etBb1HNpAlGwQr006ljwMiM"",
      ""GSC最新!A:R""
    ),
    14,
    FALSE
  ),
  0
)
"),0.010752688172043012)</f>
        <v>0.01075268817</v>
      </c>
      <c r="U11" s="9">
        <f>IFERROR(__xludf.DUMMYFUNCTION("IFERROR(
  VLOOKUP(
    A11,
    IMPORTRANGE(
      ""1ZHMy3vVUd_0MrSduXTe1etBb1HNpAlGwQr006ljwMiM"",
      ""GSC最新!A:R""
    ),
    17,
    FALSE
  ),
  0
)
"),0.019393939393939394)</f>
        <v>0.01939393939</v>
      </c>
      <c r="V11" s="9">
        <f t="shared" ref="V11:W11" si="48">IFERROR(R11-T11,"-")</f>
        <v>0.0009692196695</v>
      </c>
      <c r="W11" s="9">
        <f t="shared" si="48"/>
        <v>-0.001320217634</v>
      </c>
      <c r="X11" s="65">
        <f>IFERROR(__xludf.DUMMYFUNCTION("IFERROR(
  VLOOKUP(
    A11,
    IMPORTRANGE(
      ""1ZHMy3vVUd_0MrSduXTe1etBb1HNpAlGwQr006ljwMiM"",
      ""GSC最新!A:R""
    ),
    9,
    FALSE
  ),
  0
)
"),3.6289409862570734)</f>
        <v>3.628940986</v>
      </c>
      <c r="Y11" s="65">
        <f>IFERROR(__xludf.DUMMYFUNCTION("IFERROR(
  VLOOKUP(
    A11,
    IMPORTRANGE(
      ""1ZHMy3vVUd_0MrSduXTe1etBb1HNpAlGwQr006ljwMiM"",
      ""GSC最新!A:R""
    ),
    12,
    FALSE
  ),
  0
)
"),4.160047562425683)</f>
        <v>4.160047562</v>
      </c>
      <c r="Z11" s="65">
        <f>IFERROR(__xludf.DUMMYFUNCTION("IFERROR(
  VLOOKUP(
    A11,
    IMPORTRANGE(
      ""1ZHMy3vVUd_0MrSduXTe1etBb1HNpAlGwQr006ljwMiM"",
      ""GSC最新!A:R""
    ),
    15,
    FALSE
  ),
  0
)
"),14.39247311827957)</f>
        <v>14.39247312</v>
      </c>
      <c r="AA11" s="65">
        <f>IFERROR(__xludf.DUMMYFUNCTION("IFERROR(
  VLOOKUP(
    A11,
    IMPORTRANGE(
      ""1ZHMy3vVUd_0MrSduXTe1etBb1HNpAlGwQr006ljwMiM"",
      ""GSC最新!A:R""
    ),
    18,
    FALSE
  ),
  0
)
"),26.43030303030303)</f>
        <v>26.43030303</v>
      </c>
      <c r="AB11" s="65">
        <f t="shared" ref="AB11:AC11" si="49">X11-Z11</f>
        <v>-10.76353213</v>
      </c>
      <c r="AC11" s="65">
        <f t="shared" si="49"/>
        <v>-22.27025547</v>
      </c>
      <c r="AD11" s="53">
        <f>IFERROR(__xludf.DUMMYFUNCTION("IFERROR(
  VLOOKUP(
    A11,
    IMPORTRANGE(
      ""1ZHMy3vVUd_0MrSduXTe1etBb1HNpAlGwQr006ljwMiM"",
      ""GSC最新!A:F""
    ),
    6,
    FALSE
  ),
  0
)
"),46081.0)</f>
        <v>46081</v>
      </c>
      <c r="AE11" s="54">
        <f>IFERROR(__xludf.DUMMYFUNCTION("IFERROR(
  VLOOKUP(
    A11,
    IMPORTRANGE(
      ""1SCYQd7_cobOYqT0r_F0IqD4tE4rYn5y8Eup4PJTH8es"",
      ""Snapshot!A:M""
    ),
    5,
    FALSE
  ),
  ""-""
)
"),13.0)</f>
        <v>13</v>
      </c>
      <c r="AF11" s="54">
        <f>IFERROR(__xludf.DUMMYFUNCTION("IFERROR(
  VLOOKUP(
    A11,
    IMPORTRANGE(
      ""1SCYQd7_cobOYqT0r_F0IqD4tE4rYn5y8Eup4PJTH8es"",
      ""Snapshot!A:M""
    ),
    6,
    FALSE
  ),
  0
)
"),11.0)</f>
        <v>11</v>
      </c>
      <c r="AG11" s="54">
        <f>IFERROR(__xludf.DUMMYFUNCTION("IFERROR(
  VLOOKUP(
    A11,
    IMPORTRANGE(
      ""1SCYQd7_cobOYqT0r_F0IqD4tE4rYn5y8Eup4PJTH8es"",
      ""Snapshot!A:M""
    ),
    7,
    FALSE
  ),
  0
)
"),5075.0)</f>
        <v>5075</v>
      </c>
      <c r="AH11" s="54">
        <f>IFERROR(__xludf.DUMMYFUNCTION("IFERROR(
  VLOOKUP(
    A11,
    IMPORTRANGE(
      ""1SCYQd7_cobOYqT0r_F0IqD4tE4rYn5y8Eup4PJTH8es"",
      ""Snapshot!A:M""
    ),
    8,
    FALSE
  ),
  0
)
"),9.0)</f>
        <v>9</v>
      </c>
      <c r="AI11" s="54">
        <f>IFERROR(__xludf.DUMMYFUNCTION("IFERROR(
  VLOOKUP(
    A11,
    IMPORTRANGE(
      ""1SCYQd7_cobOYqT0r_F0IqD4tE4rYn5y8Eup4PJTH8es"",
      ""Snapshot!A:M""
    ),
    9,
    FALSE
  ),
  0
)
"),4.0)</f>
        <v>4</v>
      </c>
      <c r="AJ11" s="54">
        <f>IFERROR(__xludf.DUMMYFUNCTION("IFERROR(
  VLOOKUP(
    A11,
    IMPORTRANGE(
      ""1SCYQd7_cobOYqT0r_F0IqD4tE4rYn5y8Eup4PJTH8es"",
      ""Snapshot!A:M""
    ),
    13,
    FALSE
  ),
  0
)
"),2.0)</f>
        <v>2</v>
      </c>
      <c r="AK11" s="49">
        <f t="shared" ref="AK11:AL11" si="50">LEN(C11)</f>
        <v>52</v>
      </c>
      <c r="AL11" s="49">
        <f t="shared" si="50"/>
        <v>112</v>
      </c>
    </row>
    <row r="12">
      <c r="A12" s="3" t="s">
        <v>286</v>
      </c>
      <c r="B12" s="1" t="str">
        <f>IFERROR(__xludf.DUMMYFUNCTION("IFERROR(
  VLOOKUP(
    A12,
    IMPORTRANGE(
      ""1ZygntHC1J6IxzKbTidmOyf5nUyW4GCLurHCjexrLm_o"",
      ""HTMLキャッシュ!A:F""
    ),
    2,
    FALSE
  ),
  0
)
"),"SP")</f>
        <v>SP</v>
      </c>
      <c r="C12" s="1" t="str">
        <f>IFERROR(__xludf.DUMMYFUNCTION("IFERROR(
  VLOOKUP(
    A12,
    IMPORTRANGE(
      ""1ZygntHC1J6IxzKbTidmOyf5nUyW4GCLurHCjexrLm_o"",
      ""HTMLキャッシュ!A:F""
    ),
    5,
    FALSE
  ),
  0
)
"),"大学受験の現代文「記述添削」オンライン講座｜3日以内返却 check and collect - 読解ラボ東京")</f>
        <v>大学受験の現代文「記述添削」オンライン講座｜3日以内返却 check and collect - 読解ラボ東京</v>
      </c>
      <c r="D12" s="1" t="str">
        <f>IFERROR(__xludf.DUMMYFUNCTION("IFERROR(
  VLOOKUP(
    A12,
    IMPORTRANGE(
      ""1ZygntHC1J6IxzKbTidmOyf5nUyW4GCLurHCjexrLm_o        "",
      ""HTMLキャッシュ!A:F""
    ),
    6,
    FALSE
  ),
  0
)
"),"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f>
        <v>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v>
      </c>
      <c r="E12" s="32">
        <f>IFERROR(__xludf.DUMMYFUNCTION("IFERROR(
  VLOOKUP(
    A12,
    IMPORTRANGE(
      ""1ZygntHC1J6IxzKbTidmOyf5nUyW4GCLurHCjexrLm_o        "",
      ""HTMLキャッシュ!A:F""
    ),
    3,
    FALSE
  ),
  0
)
"),46052.75865740741)</f>
        <v>46052.75866</v>
      </c>
      <c r="F12" s="49">
        <f>IFERROR(__xludf.DUMMYFUNCTION("IFERROR(
  VLOOKUP(
    A12,
    IMPORTRANGE(
      ""1ZHMy3vVUd_0MrSduXTe1etBb1HNpAlGwQr006ljwMiM"",
      ""GSC最新!A:F""
    ),
    2,
    FALSE
  ),
  0
)
"),22.0)</f>
        <v>22</v>
      </c>
      <c r="G12" s="49">
        <f>IFERROR(__xludf.DUMMYFUNCTION("IFERROR(
  VLOOKUP(
    A12,
    IMPORTRANGE(
      ""1ZHMy3vVUd_0MrSduXTe1etBb1HNpAlGwQr006ljwMiM"",
      ""GSC最新!A:F""
    ),
    3,
    FALSE
  ),
  0
)
"),60.0)</f>
        <v>60</v>
      </c>
      <c r="H12" s="49">
        <f>IFERROR(__xludf.DUMMYFUNCTION("IFERROR(
  VLOOKUP(
    A12,
    IMPORTRANGE(
      ""1ZHMy3vVUd_0MrSduXTe1etBb1HNpAlGwQr006ljwMiM"",
      ""GSC最新!A:F""
    ),
    4,
    FALSE
  ),
  0
)
"),11.0)</f>
        <v>11</v>
      </c>
      <c r="I12" s="49">
        <f>IFERROR(__xludf.DUMMYFUNCTION("IFERROR(
  VLOOKUP(
    A12,
    IMPORTRANGE(
      ""1ZHMy3vVUd_0MrSduXTe1etBb1HNpAlGwQr006ljwMiM"",
      ""GSC最新!A:F""
    ),
    5,
    FALSE
  ),
  0
)
"),33.0)</f>
        <v>33</v>
      </c>
      <c r="J12" s="50">
        <f t="shared" ref="J12:K12" si="51">IFERROR(F12/H12,"-")</f>
        <v>2</v>
      </c>
      <c r="K12" s="50">
        <f t="shared" si="51"/>
        <v>1.818181818</v>
      </c>
      <c r="L12" s="6">
        <f>IFERROR(__xludf.DUMMYFUNCTION("IFERROR(
  VLOOKUP(
    A12,
    IMPORTRANGE(
      ""1ZHMy3vVUd_0MrSduXTe1etBb1HNpAlGwQr006ljwMiM"",
      ""GSC最新!A:R""
    ),
    7,
    FALSE
  ),
  0
)
"),346.0)</f>
        <v>346</v>
      </c>
      <c r="M12" s="6">
        <f>IFERROR(__xludf.DUMMYFUNCTION("IFERROR(
  VLOOKUP(
    A12,
    IMPORTRANGE(
      ""1ZHMy3vVUd_0MrSduXTe1etBb1HNpAlGwQr006ljwMiM"",
      ""GSC最新!A:R""
    ),
    10,
    FALSE
  ),
  0
)
"),1094.0)</f>
        <v>1094</v>
      </c>
      <c r="N12" s="6">
        <f>IFERROR(__xludf.DUMMYFUNCTION("IFERROR(
  VLOOKUP(
    A12,
    IMPORTRANGE(
      ""1ZHMy3vVUd_0MrSduXTe1etBb1HNpAlGwQr006ljwMiM"",
      ""GSC最新!A:R""
    ),
    13,
    FALSE
  ),
  0
)
"),307.0)</f>
        <v>307</v>
      </c>
      <c r="O12" s="6">
        <f>IFERROR(__xludf.DUMMYFUNCTION("IFERROR(
  VLOOKUP(
    A12,
    IMPORTRANGE(
      ""1ZHMy3vVUd_0MrSduXTe1etBb1HNpAlGwQr006ljwMiM"",
      ""GSC最新!A:R""
    ),
    16,
    FALSE
  ),
  0
)
"),1058.0)</f>
        <v>1058</v>
      </c>
      <c r="P12" s="51">
        <f t="shared" ref="P12:Q12" si="52">IFERROR(L12/N12,"-")</f>
        <v>1.127035831</v>
      </c>
      <c r="Q12" s="51">
        <f t="shared" si="52"/>
        <v>1.034026465</v>
      </c>
      <c r="R12" s="9">
        <f>IFERROR(__xludf.DUMMYFUNCTION("IFERROR(
  VLOOKUP(
    A12,
    IMPORTRANGE(
      ""1ZHMy3vVUd_0MrSduXTe1etBb1HNpAlGwQr006ljwMiM"",
      ""GSC最新!A:R""
    ),
    8,
    FALSE
  ),
  0
)
"),0.06358381502890173)</f>
        <v>0.06358381503</v>
      </c>
      <c r="S12" s="9">
        <f>IFERROR(__xludf.DUMMYFUNCTION("IFERROR(
  VLOOKUP(
    A12,
    IMPORTRANGE(
      ""1ZHMy3vVUd_0MrSduXTe1etBb1HNpAlGwQr006ljwMiM"",
      ""GSC最新!A:R""
    ),
    11,
    FALSE
  ),
  0
)
"),0.054844606946983544)</f>
        <v>0.05484460695</v>
      </c>
      <c r="T12" s="9">
        <f>IFERROR(__xludf.DUMMYFUNCTION("IFERROR(
  VLOOKUP(
    A12,
    IMPORTRANGE(
      ""1ZHMy3vVUd_0MrSduXTe1etBb1HNpAlGwQr006ljwMiM"",
      ""GSC最新!A:R""
    ),
    14,
    FALSE
  ),
  0
)
"),0.035830618892508145)</f>
        <v>0.03583061889</v>
      </c>
      <c r="U12" s="9">
        <f>IFERROR(__xludf.DUMMYFUNCTION("IFERROR(
  VLOOKUP(
    A12,
    IMPORTRANGE(
      ""1ZHMy3vVUd_0MrSduXTe1etBb1HNpAlGwQr006ljwMiM"",
      ""GSC最新!A:R""
    ),
    17,
    FALSE
  ),
  0
)
"),0.031190926275992438)</f>
        <v>0.03119092628</v>
      </c>
      <c r="V12" s="9">
        <f t="shared" ref="V12:W12" si="53">IFERROR(R12-T12,"-")</f>
        <v>0.02775319614</v>
      </c>
      <c r="W12" s="9">
        <f t="shared" si="53"/>
        <v>0.02365368067</v>
      </c>
      <c r="X12" s="65">
        <f>IFERROR(__xludf.DUMMYFUNCTION("IFERROR(
  VLOOKUP(
    A12,
    IMPORTRANGE(
      ""1ZHMy3vVUd_0MrSduXTe1etBb1HNpAlGwQr006ljwMiM"",
      ""GSC最新!A:R""
    ),
    9,
    FALSE
  ),
  0
)
"),5.526011560693641)</f>
        <v>5.526011561</v>
      </c>
      <c r="Y12" s="65">
        <f>IFERROR(__xludf.DUMMYFUNCTION("IFERROR(
  VLOOKUP(
    A12,
    IMPORTRANGE(
      ""1ZHMy3vVUd_0MrSduXTe1etBb1HNpAlGwQr006ljwMiM"",
      ""GSC最新!A:R""
    ),
    12,
    FALSE
  ),
  0
)
"),6.46617915904936)</f>
        <v>6.466179159</v>
      </c>
      <c r="Z12" s="65">
        <f>IFERROR(__xludf.DUMMYFUNCTION("IFERROR(
  VLOOKUP(
    A12,
    IMPORTRANGE(
      ""1ZHMy3vVUd_0MrSduXTe1etBb1HNpAlGwQr006ljwMiM"",
      ""GSC最新!A:R""
    ),
    15,
    FALSE
  ),
  0
)
"),8.697068403908794)</f>
        <v>8.697068404</v>
      </c>
      <c r="AA12" s="65">
        <f>IFERROR(__xludf.DUMMYFUNCTION("IFERROR(
  VLOOKUP(
    A12,
    IMPORTRANGE(
      ""1ZHMy3vVUd_0MrSduXTe1etBb1HNpAlGwQr006ljwMiM"",
      ""GSC最新!A:R""
    ),
    18,
    FALSE
  ),
  0
)
"),24.716446124763706)</f>
        <v>24.71644612</v>
      </c>
      <c r="AB12" s="65">
        <f t="shared" ref="AB12:AC12" si="54">X12-Z12</f>
        <v>-3.171056843</v>
      </c>
      <c r="AC12" s="65">
        <f t="shared" si="54"/>
        <v>-18.25026697</v>
      </c>
      <c r="AD12" s="53">
        <f>IFERROR(__xludf.DUMMYFUNCTION("IFERROR(
  VLOOKUP(
    A12,
    IMPORTRANGE(
      ""1ZHMy3vVUd_0MrSduXTe1etBb1HNpAlGwQr006ljwMiM"",
      ""GSC最新!A:F""
    ),
    6,
    FALSE
  ),
  0
)
"),46081.0)</f>
        <v>46081</v>
      </c>
      <c r="AE12" s="54">
        <f>IFERROR(__xludf.DUMMYFUNCTION("IFERROR(
  VLOOKUP(
    A12,
    IMPORTRANGE(
      ""1SCYQd7_cobOYqT0r_F0IqD4tE4rYn5y8Eup4PJTH8es"",
      ""Snapshot!A:M""
    ),
    5,
    FALSE
  ),
  ""-""
)
"),10.0)</f>
        <v>10</v>
      </c>
      <c r="AF12" s="54">
        <f>IFERROR(__xludf.DUMMYFUNCTION("IFERROR(
  VLOOKUP(
    A12,
    IMPORTRANGE(
      ""1SCYQd7_cobOYqT0r_F0IqD4tE4rYn5y8Eup4PJTH8es"",
      ""Snapshot!A:M""
    ),
    6,
    FALSE
  ),
  0
)
"),0.0)</f>
        <v>0</v>
      </c>
      <c r="AG12" s="54">
        <f>IFERROR(__xludf.DUMMYFUNCTION("IFERROR(
  VLOOKUP(
    A12,
    IMPORTRANGE(
      ""1SCYQd7_cobOYqT0r_F0IqD4tE4rYn5y8Eup4PJTH8es"",
      ""Snapshot!A:M""
    ),
    7,
    FALSE
  ),
  0
)
"),3481.0)</f>
        <v>3481</v>
      </c>
      <c r="AH12" s="54">
        <f>IFERROR(__xludf.DUMMYFUNCTION("IFERROR(
  VLOOKUP(
    A12,
    IMPORTRANGE(
      ""1SCYQd7_cobOYqT0r_F0IqD4tE4rYn5y8Eup4PJTH8es"",
      ""Snapshot!A:M""
    ),
    8,
    FALSE
  ),
  0
)
"),2.0)</f>
        <v>2</v>
      </c>
      <c r="AI12" s="54">
        <f>IFERROR(__xludf.DUMMYFUNCTION("IFERROR(
  VLOOKUP(
    A12,
    IMPORTRANGE(
      ""1SCYQd7_cobOYqT0r_F0IqD4tE4rYn5y8Eup4PJTH8es"",
      ""Snapshot!A:M""
    ),
    9,
    FALSE
  ),
  0
)
"),2.0)</f>
        <v>2</v>
      </c>
      <c r="AJ12" s="54">
        <f>IFERROR(__xludf.DUMMYFUNCTION("IFERROR(
  VLOOKUP(
    A12,
    IMPORTRANGE(
      ""1SCYQd7_cobOYqT0r_F0IqD4tE4rYn5y8Eup4PJTH8es"",
      ""Snapshot!A:M""
    ),
    13,
    FALSE
  ),
  0
)
"),2.0)</f>
        <v>2</v>
      </c>
      <c r="AK12" s="49">
        <f t="shared" ref="AK12:AL12" si="55">LEN(C12)</f>
        <v>55</v>
      </c>
      <c r="AL12" s="49">
        <f t="shared" si="55"/>
        <v>114</v>
      </c>
    </row>
    <row r="13">
      <c r="A13" s="3" t="s">
        <v>525</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"),"物語文 解き方｜心情問題を背景×出来事で解く4ステップと傍線部の理由の拾い方｜中学受験国語")</f>
        <v>物語文 解き方｜心情問題を背景×出来事で解く4ステップと傍線部の理由の拾い方｜中学受験国語</v>
      </c>
      <c r="D13" s="1" t="str">
        <f>IFERROR(__xludf.DUMMYFUNCTION("IFERROR(
  VLOOKUP(
    A13,
    IMPORTRANGE(
      ""1ZygntHC1J6IxzKbTidmOyf5nUyW4GCLurHCjexrLm_o        "",
      ""HTMLキャッシュ!A:F""
    ),
    6,
    FALSE
  ),
  0
)
"),"中学受験国語の物語文の解き方を、心情問題の手順（傍線部の理由→出来事→背景→心情）で整理。感覚読みを避け、同じ「泣いた」でも背景で心情が変わる判断を安定させる。説明文的設問の土台と家庭学習の回し方、動画つき。")</f>
        <v>中学受験国語の物語文の解き方を、心情問題の手順（傍線部の理由→出来事→背景→心情）で整理。感覚読みを避け、同じ「泣いた」でも背景で心情が変わる判断を安定させる。説明文的設問の土台と家庭学習の回し方、動画つき。</v>
      </c>
      <c r="E13" s="32">
        <f>IFERROR(__xludf.DUMMYFUNCTION("IFERROR(
  VLOOKUP(
    A13,
    IMPORTRANGE(
      ""1ZygntHC1J6IxzKbTidmOyf5nUyW4GCLurHCjexrLm_o        "",
      ""HTMLキャッシュ!A:F""
    ),
    3,
    FALSE
  ),
  0
)
"),46059.74922453704)</f>
        <v>46059.74922</v>
      </c>
      <c r="F13" s="49">
        <f>IFERROR(__xludf.DUMMYFUNCTION("IFERROR(
  VLOOKUP(
    A13,
    IMPORTRANGE(
      ""1ZHMy3vVUd_0MrSduXTe1etBb1HNpAlGwQr006ljwMiM"",
      ""GSC最新!A:F""
    ),
    2,
    FALSE
  ),
  0
)
"),29.0)</f>
        <v>29</v>
      </c>
      <c r="G13" s="49">
        <f>IFERROR(__xludf.DUMMYFUNCTION("IFERROR(
  VLOOKUP(
    A13,
    IMPORTRANGE(
      ""1ZHMy3vVUd_0MrSduXTe1etBb1HNpAlGwQr006ljwMiM"",
      ""GSC最新!A:F""
    ),
    3,
    FALSE
  ),
  0
)
"),55.0)</f>
        <v>55</v>
      </c>
      <c r="H13" s="49">
        <f>IFERROR(__xludf.DUMMYFUNCTION("IFERROR(
  VLOOKUP(
    A13,
    IMPORTRANGE(
      ""1ZHMy3vVUd_0MrSduXTe1etBb1HNpAlGwQr006ljwMiM"",
      ""GSC最新!A:F""
    ),
    4,
    FALSE
  ),
  0
)
"),1.0)</f>
        <v>1</v>
      </c>
      <c r="I13" s="49">
        <f>IFERROR(__xludf.DUMMYFUNCTION("IFERROR(
  VLOOKUP(
    A13,
    IMPORTRANGE(
      ""1ZHMy3vVUd_0MrSduXTe1etBb1HNpAlGwQr006ljwMiM"",
      ""GSC最新!A:F""
    ),
    5,
    FALSE
  ),
  0
)
"),7.0)</f>
        <v>7</v>
      </c>
      <c r="J13" s="50">
        <f t="shared" ref="J13:K13" si="56">IFERROR(F13/H13,"-")</f>
        <v>29</v>
      </c>
      <c r="K13" s="50">
        <f t="shared" si="56"/>
        <v>7.857142857</v>
      </c>
      <c r="L13" s="6">
        <f>IFERROR(__xludf.DUMMYFUNCTION("IFERROR(
  VLOOKUP(
    A13,
    IMPORTRANGE(
      ""1ZHMy3vVUd_0MrSduXTe1etBb1HNpAlGwQr006ljwMiM"",
      ""GSC最新!A:R""
    ),
    7,
    FALSE
  ),
  0
)
"),2362.0)</f>
        <v>2362</v>
      </c>
      <c r="M13" s="6">
        <f>IFERROR(__xludf.DUMMYFUNCTION("IFERROR(
  VLOOKUP(
    A13,
    IMPORTRANGE(
      ""1ZHMy3vVUd_0MrSduXTe1etBb1HNpAlGwQr006ljwMiM"",
      ""GSC最新!A:R""
    ),
    10,
    FALSE
  ),
  0
)
"),4230.0)</f>
        <v>4230</v>
      </c>
      <c r="N13" s="6">
        <f>IFERROR(__xludf.DUMMYFUNCTION("IFERROR(
  VLOOKUP(
    A13,
    IMPORTRANGE(
      ""1ZHMy3vVUd_0MrSduXTe1etBb1HNpAlGwQr006ljwMiM"",
      ""GSC最新!A:R""
    ),
    13,
    FALSE
  ),
  0
)
"),251.0)</f>
        <v>251</v>
      </c>
      <c r="O13" s="6">
        <f>IFERROR(__xludf.DUMMYFUNCTION("IFERROR(
  VLOOKUP(
    A13,
    IMPORTRANGE(
      ""1ZHMy3vVUd_0MrSduXTe1etBb1HNpAlGwQr006ljwMiM"",
      ""GSC最新!A:R""
    ),
    16,
    FALSE
  ),
  0
)
"),864.0)</f>
        <v>864</v>
      </c>
      <c r="P13" s="51">
        <f t="shared" ref="P13:Q13" si="57">IFERROR(L13/N13,"-")</f>
        <v>9.410358566</v>
      </c>
      <c r="Q13" s="51">
        <f t="shared" si="57"/>
        <v>4.895833333</v>
      </c>
      <c r="R13" s="9">
        <f>IFERROR(__xludf.DUMMYFUNCTION("IFERROR(
  VLOOKUP(
    A13,
    IMPORTRANGE(
      ""1ZHMy3vVUd_0MrSduXTe1etBb1HNpAlGwQr006ljwMiM"",
      ""GSC最新!A:R""
    ),
    8,
    FALSE
  ),
  0
)
"),0.012277730736663843)</f>
        <v>0.01227773074</v>
      </c>
      <c r="S13" s="9">
        <f>IFERROR(__xludf.DUMMYFUNCTION("IFERROR(
  VLOOKUP(
    A13,
    IMPORTRANGE(
      ""1ZHMy3vVUd_0MrSduXTe1etBb1HNpAlGwQr006ljwMiM"",
      ""GSC最新!A:R""
    ),
    11,
    FALSE
  ),
  0
)
"),0.013002364066193853)</f>
        <v>0.01300236407</v>
      </c>
      <c r="T13" s="9">
        <f>IFERROR(__xludf.DUMMYFUNCTION("IFERROR(
  VLOOKUP(
    A13,
    IMPORTRANGE(
      ""1ZHMy3vVUd_0MrSduXTe1etBb1HNpAlGwQr006ljwMiM"",
      ""GSC最新!A:R""
    ),
    14,
    FALSE
  ),
  0
)
"),0.00398406374501992)</f>
        <v>0.003984063745</v>
      </c>
      <c r="U13" s="9">
        <f>IFERROR(__xludf.DUMMYFUNCTION("IFERROR(
  VLOOKUP(
    A13,
    IMPORTRANGE(
      ""1ZHMy3vVUd_0MrSduXTe1etBb1HNpAlGwQr006ljwMiM"",
      ""GSC最新!A:R""
    ),
    17,
    FALSE
  ),
  0
)
"),0.008101851851851851)</f>
        <v>0.008101851852</v>
      </c>
      <c r="V13" s="9">
        <f t="shared" ref="V13:W13" si="58">IFERROR(R13-T13,"-")</f>
        <v>0.008293666992</v>
      </c>
      <c r="W13" s="9">
        <f t="shared" si="58"/>
        <v>0.004900512214</v>
      </c>
      <c r="X13" s="65">
        <f>IFERROR(__xludf.DUMMYFUNCTION("IFERROR(
  VLOOKUP(
    A13,
    IMPORTRANGE(
      ""1ZHMy3vVUd_0MrSduXTe1etBb1HNpAlGwQr006ljwMiM"",
      ""GSC最新!A:R""
    ),
    9,
    FALSE
  ),
  0
)
"),5.87298899237934)</f>
        <v>5.872988992</v>
      </c>
      <c r="Y13" s="65">
        <f>IFERROR(__xludf.DUMMYFUNCTION("IFERROR(
  VLOOKUP(
    A13,
    IMPORTRANGE(
      ""1ZHMy3vVUd_0MrSduXTe1etBb1HNpAlGwQr006ljwMiM"",
      ""GSC最新!A:R""
    ),
    12,
    FALSE
  ),
  0
)
"),5.705910165484633)</f>
        <v>5.705910165</v>
      </c>
      <c r="Z13" s="65">
        <f>IFERROR(__xludf.DUMMYFUNCTION("IFERROR(
  VLOOKUP(
    A13,
    IMPORTRANGE(
      ""1ZHMy3vVUd_0MrSduXTe1etBb1HNpAlGwQr006ljwMiM"",
      ""GSC最新!A:R""
    ),
    15,
    FALSE
  ),
  0
)
"),16.290836653386457)</f>
        <v>16.29083665</v>
      </c>
      <c r="AA13" s="65">
        <f>IFERROR(__xludf.DUMMYFUNCTION("IFERROR(
  VLOOKUP(
    A13,
    IMPORTRANGE(
      ""1ZHMy3vVUd_0MrSduXTe1etBb1HNpAlGwQr006ljwMiM"",
      ""GSC最新!A:R""
    ),
    18,
    FALSE
  ),
  0
)
"),19.38773148148148)</f>
        <v>19.38773148</v>
      </c>
      <c r="AB13" s="65">
        <f t="shared" ref="AB13:AC13" si="59">X13-Z13</f>
        <v>-10.41784766</v>
      </c>
      <c r="AC13" s="65">
        <f t="shared" si="59"/>
        <v>-13.68182132</v>
      </c>
      <c r="AD13" s="53">
        <f>IFERROR(__xludf.DUMMYFUNCTION("IFERROR(
  VLOOKUP(
    A13,
    IMPORTRANGE(
      ""1ZHMy3vVUd_0MrSduXTe1etBb1HNpAlGwQr006ljwMiM"",
      ""GSC最新!A:F""
    ),
    6,
    FALSE
  ),
  0
)
"),46081.0)</f>
        <v>46081</v>
      </c>
      <c r="AE13" s="54">
        <f>IFERROR(__xludf.DUMMYFUNCTION("IFERROR(
  VLOOKUP(
    A13,
    IMPORTRANGE(
      ""1SCYQd7_cobOYqT0r_F0IqD4tE4rYn5y8Eup4PJTH8es"",
      ""Snapshot!A:M""
    ),
    5,
    FALSE
  ),
  ""-""
)
"),5.0)</f>
        <v>5</v>
      </c>
      <c r="AF13" s="54">
        <f>IFERROR(__xludf.DUMMYFUNCTION("IFERROR(
  VLOOKUP(
    A13,
    IMPORTRANGE(
      ""1SCYQd7_cobOYqT0r_F0IqD4tE4rYn5y8Eup4PJTH8es"",
      ""Snapshot!A:M""
    ),
    6,
    FALSE
  ),
  0
)
"),13.0)</f>
        <v>13</v>
      </c>
      <c r="AG13" s="54">
        <f>IFERROR(__xludf.DUMMYFUNCTION("IFERROR(
  VLOOKUP(
    A13,
    IMPORTRANGE(
      ""1SCYQd7_cobOYqT0r_F0IqD4tE4rYn5y8Eup4PJTH8es"",
      ""Snapshot!A:M""
    ),
    7,
    FALSE
  ),
  0
)
"),4357.0)</f>
        <v>4357</v>
      </c>
      <c r="AH13" s="54">
        <f>IFERROR(__xludf.DUMMYFUNCTION("IFERROR(
  VLOOKUP(
    A13,
    IMPORTRANGE(
      ""1SCYQd7_cobOYqT0r_F0IqD4tE4rYn5y8Eup4PJTH8es"",
      ""Snapshot!A:M""
    ),
    8,
    FALSE
  ),
  0
)
"),9.0)</f>
        <v>9</v>
      </c>
      <c r="AI13" s="54">
        <f>IFERROR(__xludf.DUMMYFUNCTION("IFERROR(
  VLOOKUP(
    A13,
    IMPORTRANGE(
      ""1SCYQd7_cobOYqT0r_F0IqD4tE4rYn5y8Eup4PJTH8es"",
      ""Snapshot!A:M""
    ),
    9,
    FALSE
  ),
  0
)
"),4.0)</f>
        <v>4</v>
      </c>
      <c r="AJ13" s="54">
        <f>IFERROR(__xludf.DUMMYFUNCTION("IFERROR(
  VLOOKUP(
    A13,
    IMPORTRANGE(
      ""1SCYQd7_cobOYqT0r_F0IqD4tE4rYn5y8Eup4PJTH8es"",
      ""Snapshot!A:M""
    ),
    13,
    FALSE
  ),
  0
)
"),2.0)</f>
        <v>2</v>
      </c>
      <c r="AK13" s="49">
        <f t="shared" ref="AK13:AL13" si="60">LEN(C13)</f>
        <v>45</v>
      </c>
      <c r="AL13" s="49">
        <f t="shared" si="60"/>
        <v>104</v>
      </c>
    </row>
    <row r="14">
      <c r="A14" s="3" t="s">
        <v>526</v>
      </c>
      <c r="B14" s="1" t="str">
        <f>IFERROR(__xludf.DUMMYFUNCTION("IFERROR(
  VLOOKUP(
    A14,
    IMPORTRANGE(
      ""1ZygntHC1J6IxzKbTidmOyf5nUyW4GCLurHCjexrLm_o"",
      ""HTMLキャッシュ!A:F""
    ),
    2,
    FALSE
  ),
  0
)
"),"ST")</f>
        <v>ST</v>
      </c>
      <c r="C14" s="1" t="str">
        <f>IFERROR(__xludf.DUMMYFUNCTION("IFERROR(
  VLOOKUP(
    A14,
    IMPORTRANGE(
      ""1ZygntHC1J6IxzKbTidmOyf5nUyW4GCLurHCjexrLm_o"",
      ""HTMLキャッシュ!A:F""
    ),
    5,
    FALSE
  ),
  0
)
"),"読解ラボ東京 代表プロフィール｜SAPIX・SS特訓歴任 長島康二の指導実績と方針｜中学受験・大学受験 国語の完全1対1")</f>
        <v>読解ラボ東京 代表プロフィール｜SAPIX・SS特訓歴任 長島康二の指導実績と方針｜中学受験・大学受験 国語の完全1対1</v>
      </c>
      <c r="D14" s="1" t="str">
        <f>IFERROR(__xludf.DUMMYFUNCTION("IFERROR(
  VLOOKUP(
    A14,
    IMPORTRANGE(
      ""1ZygntHC1J6IxzKbTidmOyf5nUyW4GCLurHCjexrLm_o        "",
      ""HTMLキャッシュ!A:F""
    ),
    6,
    FALSE
  ),
  0
)
"),"読解ラボ東京 代表・長島康二のプロフィール。大学1年からSAPIX小学部で国語講師、19歳で志望校別SS特訓を担当し開成・麻布・女子学院など難関校対策を歴任。現在は麻布中対策クラス等も担当。読み方・解き方を体系化し、中学受験〜東大現代文記述・早稲田難問まで個別指導（教室／オンライン）で対応。毎年、定員締切となる講座も。")</f>
        <v>読解ラボ東京 代表・長島康二のプロフィール。大学1年からSAPIX小学部で国語講師、19歳で志望校別SS特訓を担当し開成・麻布・女子学院など難関校対策を歴任。現在は麻布中対策クラス等も担当。読み方・解き方を体系化し、中学受験〜東大現代文記述・早稲田難問まで個別指導（教室／オンライン）で対応。毎年、定員締切となる講座も。</v>
      </c>
      <c r="E14" s="32">
        <f>IFERROR(__xludf.DUMMYFUNCTION("IFERROR(
  VLOOKUP(
    A14,
    IMPORTRANGE(
      ""1ZygntHC1J6IxzKbTidmOyf5nUyW4GCLurHCjexrLm_o        "",
      ""HTMLキャッシュ!A:F""
    ),
    3,
    FALSE
  ),
  0
)
"),46026.576527777775)</f>
        <v>46026.57653</v>
      </c>
      <c r="F14" s="49">
        <f>IFERROR(__xludf.DUMMYFUNCTION("IFERROR(
  VLOOKUP(
    A14,
    IMPORTRANGE(
      ""1ZHMy3vVUd_0MrSduXTe1etBb1HNpAlGwQr006ljwMiM"",
      ""GSC最新!A:F""
    ),
    2,
    FALSE
  ),
  0
)
"),15.0)</f>
        <v>15</v>
      </c>
      <c r="G14" s="49">
        <f>IFERROR(__xludf.DUMMYFUNCTION("IFERROR(
  VLOOKUP(
    A14,
    IMPORTRANGE(
      ""1ZHMy3vVUd_0MrSduXTe1etBb1HNpAlGwQr006ljwMiM"",
      ""GSC最新!A:F""
    ),
    3,
    FALSE
  ),
  0
)
"),45.0)</f>
        <v>45</v>
      </c>
      <c r="H14" s="49">
        <f>IFERROR(__xludf.DUMMYFUNCTION("IFERROR(
  VLOOKUP(
    A14,
    IMPORTRANGE(
      ""1ZHMy3vVUd_0MrSduXTe1etBb1HNpAlGwQr006ljwMiM"",
      ""GSC最新!A:F""
    ),
    4,
    FALSE
  ),
  0
)
"),8.0)</f>
        <v>8</v>
      </c>
      <c r="I14" s="49">
        <f>IFERROR(__xludf.DUMMYFUNCTION("IFERROR(
  VLOOKUP(
    A14,
    IMPORTRANGE(
      ""1ZHMy3vVUd_0MrSduXTe1etBb1HNpAlGwQr006ljwMiM"",
      ""GSC最新!A:F""
    ),
    5,
    FALSE
  ),
  0
)
"),35.0)</f>
        <v>35</v>
      </c>
      <c r="J14" s="50">
        <f t="shared" ref="J14:K14" si="61">IFERROR(F14/H14,"-")</f>
        <v>1.875</v>
      </c>
      <c r="K14" s="50">
        <f t="shared" si="61"/>
        <v>1.285714286</v>
      </c>
      <c r="L14" s="6">
        <f>IFERROR(__xludf.DUMMYFUNCTION("IFERROR(
  VLOOKUP(
    A14,
    IMPORTRANGE(
      ""1ZHMy3vVUd_0MrSduXTe1etBb1HNpAlGwQr006ljwMiM"",
      ""GSC最新!A:R""
    ),
    7,
    FALSE
  ),
  0
)
"),174.0)</f>
        <v>174</v>
      </c>
      <c r="M14" s="6">
        <f>IFERROR(__xludf.DUMMYFUNCTION("IFERROR(
  VLOOKUP(
    A14,
    IMPORTRANGE(
      ""1ZHMy3vVUd_0MrSduXTe1etBb1HNpAlGwQr006ljwMiM"",
      ""GSC最新!A:R""
    ),
    10,
    FALSE
  ),
  0
)
"),483.0)</f>
        <v>483</v>
      </c>
      <c r="N14" s="6">
        <f>IFERROR(__xludf.DUMMYFUNCTION("IFERROR(
  VLOOKUP(
    A14,
    IMPORTRANGE(
      ""1ZHMy3vVUd_0MrSduXTe1etBb1HNpAlGwQr006ljwMiM"",
      ""GSC最新!A:R""
    ),
    13,
    FALSE
  ),
  0
)
"),93.0)</f>
        <v>93</v>
      </c>
      <c r="O14" s="6">
        <f>IFERROR(__xludf.DUMMYFUNCTION("IFERROR(
  VLOOKUP(
    A14,
    IMPORTRANGE(
      ""1ZHMy3vVUd_0MrSduXTe1etBb1HNpAlGwQr006ljwMiM"",
      ""GSC最新!A:R""
    ),
    16,
    FALSE
  ),
  0
)
"),355.0)</f>
        <v>355</v>
      </c>
      <c r="P14" s="51">
        <f t="shared" ref="P14:Q14" si="62">IFERROR(L14/N14,"-")</f>
        <v>1.870967742</v>
      </c>
      <c r="Q14" s="51">
        <f t="shared" si="62"/>
        <v>1.36056338</v>
      </c>
      <c r="R14" s="9">
        <f>IFERROR(__xludf.DUMMYFUNCTION("IFERROR(
  VLOOKUP(
    A14,
    IMPORTRANGE(
      ""1ZHMy3vVUd_0MrSduXTe1etBb1HNpAlGwQr006ljwMiM"",
      ""GSC最新!A:R""
    ),
    8,
    FALSE
  ),
  0
)
"),0.08620689655172414)</f>
        <v>0.08620689655</v>
      </c>
      <c r="S14" s="9">
        <f>IFERROR(__xludf.DUMMYFUNCTION("IFERROR(
  VLOOKUP(
    A14,
    IMPORTRANGE(
      ""1ZHMy3vVUd_0MrSduXTe1etBb1HNpAlGwQr006ljwMiM"",
      ""GSC最新!A:R""
    ),
    11,
    FALSE
  ),
  0
)
"),0.09316770186335403)</f>
        <v>0.09316770186</v>
      </c>
      <c r="T14" s="9">
        <f>IFERROR(__xludf.DUMMYFUNCTION("IFERROR(
  VLOOKUP(
    A14,
    IMPORTRANGE(
      ""1ZHMy3vVUd_0MrSduXTe1etBb1HNpAlGwQr006ljwMiM"",
      ""GSC最新!A:R""
    ),
    14,
    FALSE
  ),
  0
)
"),0.08602150537634409)</f>
        <v>0.08602150538</v>
      </c>
      <c r="U14" s="9">
        <f>IFERROR(__xludf.DUMMYFUNCTION("IFERROR(
  VLOOKUP(
    A14,
    IMPORTRANGE(
      ""1ZHMy3vVUd_0MrSduXTe1etBb1HNpAlGwQr006ljwMiM"",
      ""GSC最新!A:R""
    ),
    17,
    FALSE
  ),
  0
)
"),0.09859154929577464)</f>
        <v>0.0985915493</v>
      </c>
      <c r="V14" s="9">
        <f t="shared" ref="V14:W14" si="63">IFERROR(R14-T14,"-")</f>
        <v>0.0001853911754</v>
      </c>
      <c r="W14" s="9">
        <f t="shared" si="63"/>
        <v>-0.005423847432</v>
      </c>
      <c r="X14" s="65">
        <f>IFERROR(__xludf.DUMMYFUNCTION("IFERROR(
  VLOOKUP(
    A14,
    IMPORTRANGE(
      ""1ZHMy3vVUd_0MrSduXTe1etBb1HNpAlGwQr006ljwMiM"",
      ""GSC最新!A:R""
    ),
    9,
    FALSE
  ),
  0
)
"),2.5229885057471266)</f>
        <v>2.522988506</v>
      </c>
      <c r="Y14" s="65">
        <f>IFERROR(__xludf.DUMMYFUNCTION("IFERROR(
  VLOOKUP(
    A14,
    IMPORTRANGE(
      ""1ZHMy3vVUd_0MrSduXTe1etBb1HNpAlGwQr006ljwMiM"",
      ""GSC最新!A:R""
    ),
    12,
    FALSE
  ),
  0
)
"),2.0434782608695654)</f>
        <v>2.043478261</v>
      </c>
      <c r="Z14" s="65">
        <f>IFERROR(__xludf.DUMMYFUNCTION("IFERROR(
  VLOOKUP(
    A14,
    IMPORTRANGE(
      ""1ZHMy3vVUd_0MrSduXTe1etBb1HNpAlGwQr006ljwMiM"",
      ""GSC最新!A:R""
    ),
    15,
    FALSE
  ),
  0
)
"),1.7526881720430108)</f>
        <v>1.752688172</v>
      </c>
      <c r="AA14" s="65">
        <f>IFERROR(__xludf.DUMMYFUNCTION("IFERROR(
  VLOOKUP(
    A14,
    IMPORTRANGE(
      ""1ZHMy3vVUd_0MrSduXTe1etBb1HNpAlGwQr006ljwMiM"",
      ""GSC最新!A:R""
    ),
    18,
    FALSE
  ),
  0
)
"),3.3014084507042254)</f>
        <v>3.301408451</v>
      </c>
      <c r="AB14" s="65">
        <f t="shared" ref="AB14:AC14" si="64">X14-Z14</f>
        <v>0.7703003337</v>
      </c>
      <c r="AC14" s="65">
        <f t="shared" si="64"/>
        <v>-1.25793019</v>
      </c>
      <c r="AD14" s="53">
        <f>IFERROR(__xludf.DUMMYFUNCTION("IFERROR(
  VLOOKUP(
    A14,
    IMPORTRANGE(
      ""1ZHMy3vVUd_0MrSduXTe1etBb1HNpAlGwQr006ljwMiM"",
      ""GSC最新!A:F""
    ),
    6,
    FALSE
  ),
  0
)
"),46081.0)</f>
        <v>46081</v>
      </c>
      <c r="AE14" s="54">
        <f>IFERROR(__xludf.DUMMYFUNCTION("IFERROR(
  VLOOKUP(
    A14,
    IMPORTRANGE(
      ""1SCYQd7_cobOYqT0r_F0IqD4tE4rYn5y8Eup4PJTH8es"",
      ""Snapshot!A:M""
    ),
    5,
    FALSE
  ),
  ""-""
)
"),1.0)</f>
        <v>1</v>
      </c>
      <c r="AF14" s="54">
        <f>IFERROR(__xludf.DUMMYFUNCTION("IFERROR(
  VLOOKUP(
    A14,
    IMPORTRANGE(
      ""1SCYQd7_cobOYqT0r_F0IqD4tE4rYn5y8Eup4PJTH8es"",
      ""Snapshot!A:M""
    ),
    6,
    FALSE
  ),
  0
)
"),1.0)</f>
        <v>1</v>
      </c>
      <c r="AG14" s="54">
        <f>IFERROR(__xludf.DUMMYFUNCTION("IFERROR(
  VLOOKUP(
    A14,
    IMPORTRANGE(
      ""1SCYQd7_cobOYqT0r_F0IqD4tE4rYn5y8Eup4PJTH8es"",
      ""Snapshot!A:M""
    ),
    7,
    FALSE
  ),
  0
)
"),336.0)</f>
        <v>336</v>
      </c>
      <c r="AH14" s="54">
        <f>IFERROR(__xludf.DUMMYFUNCTION("IFERROR(
  VLOOKUP(
    A14,
    IMPORTRANGE(
      ""1SCYQd7_cobOYqT0r_F0IqD4tE4rYn5y8Eup4PJTH8es"",
      ""Snapshot!A:M""
    ),
    8,
    FALSE
  ),
  0
)
"),0.0)</f>
        <v>0</v>
      </c>
      <c r="AI14" s="54">
        <f>IFERROR(__xludf.DUMMYFUNCTION("IFERROR(
  VLOOKUP(
    A14,
    IMPORTRANGE(
      ""1SCYQd7_cobOYqT0r_F0IqD4tE4rYn5y8Eup4PJTH8es"",
      ""Snapshot!A:M""
    ),
    9,
    FALSE
  ),
  0
)
"),1.0)</f>
        <v>1</v>
      </c>
      <c r="AJ14" s="54">
        <f>IFERROR(__xludf.DUMMYFUNCTION("IFERROR(
  VLOOKUP(
    A14,
    IMPORTRANGE(
      ""1SCYQd7_cobOYqT0r_F0IqD4tE4rYn5y8Eup4PJTH8es"",
      ""Snapshot!A:M""
    ),
    13,
    FALSE
  ),
  0
)
"),2.0)</f>
        <v>2</v>
      </c>
      <c r="AK14" s="49">
        <f t="shared" ref="AK14:AL14" si="65">LEN(C14)</f>
        <v>60</v>
      </c>
      <c r="AL14" s="49">
        <f t="shared" si="65"/>
        <v>160</v>
      </c>
    </row>
    <row r="15">
      <c r="A15" s="3" t="s">
        <v>527</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"),"国語 集中できない対策｜時間不足を止める10秒ルール｜中学受験")</f>
        <v>国語 集中できない対策｜時間不足を止める10秒ルール｜中学受験</v>
      </c>
      <c r="D15" s="1" t="str">
        <f>IFERROR(__xludf.DUMMYFUNCTION("IFERROR(
  VLOOKUP(
    A15,
    IMPORTRANGE(
      ""1ZygntHC1J6IxzKbTidmOyf5nUyW4GCLurHCjexrLm_o        "",
      ""HTMLキャッシュ!A:F""
    ),
    6,
    FALSE
  ),
  0
)
"),"国語で集中できない・時間が足りないを立て直す本番手順。解き順、抜き出し10秒見切り、迷う問題は印で後回し、記述は核だけ書いて部分点。開始直後の全体把握も整理（中学受験）。")</f>
        <v>国語で集中できない・時間が足りないを立て直す本番手順。解き順、抜き出し10秒見切り、迷う問題は印で後回し、記述は核だけ書いて部分点。開始直後の全体把握も整理（中学受験）。</v>
      </c>
      <c r="E15" s="32">
        <f>IFERROR(__xludf.DUMMYFUNCTION("IFERROR(
  VLOOKUP(
    A15,
    IMPORTRANGE(
      ""1ZygntHC1J6IxzKbTidmOyf5nUyW4GCLurHCjexrLm_o        "",
      ""HTMLキャッシュ!A:F""
    ),
    3,
    FALSE
  ),
  0
)
"),46059.7941087963)</f>
        <v>46059.79411</v>
      </c>
      <c r="F15" s="49">
        <f>IFERROR(__xludf.DUMMYFUNCTION("IFERROR(
  VLOOKUP(
    A15,
    IMPORTRANGE(
      ""1ZHMy3vVUd_0MrSduXTe1etBb1HNpAlGwQr006ljwMiM"",
      ""GSC最新!A:F""
    ),
    2,
    FALSE
  ),
  0
)
"),22.0)</f>
        <v>22</v>
      </c>
      <c r="G15" s="49">
        <f>IFERROR(__xludf.DUMMYFUNCTION("IFERROR(
  VLOOKUP(
    A15,
    IMPORTRANGE(
      ""1ZHMy3vVUd_0MrSduXTe1etBb1HNpAlGwQr006ljwMiM"",
      ""GSC最新!A:F""
    ),
    3,
    FALSE
  ),
  0
)
"),43.0)</f>
        <v>43</v>
      </c>
      <c r="H15" s="49">
        <f>IFERROR(__xludf.DUMMYFUNCTION("IFERROR(
  VLOOKUP(
    A15,
    IMPORTRANGE(
      ""1ZHMy3vVUd_0MrSduXTe1etBb1HNpAlGwQr006ljwMiM"",
      ""GSC最新!A:F""
    ),
    4,
    FALSE
  ),
  0
)
"),10.0)</f>
        <v>10</v>
      </c>
      <c r="I15" s="49">
        <f>IFERROR(__xludf.DUMMYFUNCTION("IFERROR(
  VLOOKUP(
    A15,
    IMPORTRANGE(
      ""1ZHMy3vVUd_0MrSduXTe1etBb1HNpAlGwQr006ljwMiM"",
      ""GSC最新!A:F""
    ),
    5,
    FALSE
  ),
  0
)
"),23.0)</f>
        <v>23</v>
      </c>
      <c r="J15" s="50">
        <f t="shared" ref="J15:K15" si="66">IFERROR(F15/H15,"-")</f>
        <v>2.2</v>
      </c>
      <c r="K15" s="50">
        <f t="shared" si="66"/>
        <v>1.869565217</v>
      </c>
      <c r="L15" s="6">
        <f>IFERROR(__xludf.DUMMYFUNCTION("IFERROR(
  VLOOKUP(
    A15,
    IMPORTRANGE(
      ""1ZHMy3vVUd_0MrSduXTe1etBb1HNpAlGwQr006ljwMiM"",
      ""GSC最新!A:R""
    ),
    7,
    FALSE
  ),
  0
)
"),1408.0)</f>
        <v>1408</v>
      </c>
      <c r="M15" s="6">
        <f>IFERROR(__xludf.DUMMYFUNCTION("IFERROR(
  VLOOKUP(
    A15,
    IMPORTRANGE(
      ""1ZHMy3vVUd_0MrSduXTe1etBb1HNpAlGwQr006ljwMiM"",
      ""GSC最新!A:R""
    ),
    10,
    FALSE
  ),
  0
)
"),3240.0)</f>
        <v>3240</v>
      </c>
      <c r="N15" s="6">
        <f>IFERROR(__xludf.DUMMYFUNCTION("IFERROR(
  VLOOKUP(
    A15,
    IMPORTRANGE(
      ""1ZHMy3vVUd_0MrSduXTe1etBb1HNpAlGwQr006ljwMiM"",
      ""GSC最新!A:R""
    ),
    13,
    FALSE
  ),
  0
)
"),512.0)</f>
        <v>512</v>
      </c>
      <c r="O15" s="6">
        <f>IFERROR(__xludf.DUMMYFUNCTION("IFERROR(
  VLOOKUP(
    A15,
    IMPORTRANGE(
      ""1ZHMy3vVUd_0MrSduXTe1etBb1HNpAlGwQr006ljwMiM"",
      ""GSC最新!A:R""
    ),
    16,
    FALSE
  ),
  0
)
"),1020.0)</f>
        <v>1020</v>
      </c>
      <c r="P15" s="51">
        <f t="shared" ref="P15:Q15" si="67">IFERROR(L15/N15,"-")</f>
        <v>2.75</v>
      </c>
      <c r="Q15" s="51">
        <f t="shared" si="67"/>
        <v>3.176470588</v>
      </c>
      <c r="R15" s="9">
        <f>IFERROR(__xludf.DUMMYFUNCTION("IFERROR(
  VLOOKUP(
    A15,
    IMPORTRANGE(
      ""1ZHMy3vVUd_0MrSduXTe1etBb1HNpAlGwQr006ljwMiM"",
      ""GSC最新!A:R""
    ),
    8,
    FALSE
  ),
  0
)
"),0.015625)</f>
        <v>0.015625</v>
      </c>
      <c r="S15" s="9">
        <f>IFERROR(__xludf.DUMMYFUNCTION("IFERROR(
  VLOOKUP(
    A15,
    IMPORTRANGE(
      ""1ZHMy3vVUd_0MrSduXTe1etBb1HNpAlGwQr006ljwMiM"",
      ""GSC最新!A:R""
    ),
    11,
    FALSE
  ),
  0
)
"),0.013271604938271606)</f>
        <v>0.01327160494</v>
      </c>
      <c r="T15" s="9">
        <f>IFERROR(__xludf.DUMMYFUNCTION("IFERROR(
  VLOOKUP(
    A15,
    IMPORTRANGE(
      ""1ZHMy3vVUd_0MrSduXTe1etBb1HNpAlGwQr006ljwMiM"",
      ""GSC最新!A:R""
    ),
    14,
    FALSE
  ),
  0
)
"),0.01953125)</f>
        <v>0.01953125</v>
      </c>
      <c r="U15" s="9">
        <f>IFERROR(__xludf.DUMMYFUNCTION("IFERROR(
  VLOOKUP(
    A15,
    IMPORTRANGE(
      ""1ZHMy3vVUd_0MrSduXTe1etBb1HNpAlGwQr006ljwMiM"",
      ""GSC最新!A:R""
    ),
    17,
    FALSE
  ),
  0
)
"),0.022549019607843137)</f>
        <v>0.02254901961</v>
      </c>
      <c r="V15" s="9">
        <f t="shared" ref="V15:W15" si="68">IFERROR(R15-T15,"-")</f>
        <v>-0.00390625</v>
      </c>
      <c r="W15" s="9">
        <f t="shared" si="68"/>
        <v>-0.00927741467</v>
      </c>
      <c r="X15" s="65">
        <f>IFERROR(__xludf.DUMMYFUNCTION("IFERROR(
  VLOOKUP(
    A15,
    IMPORTRANGE(
      ""1ZHMy3vVUd_0MrSduXTe1etBb1HNpAlGwQr006ljwMiM"",
      ""GSC最新!A:R""
    ),
    9,
    FALSE
  ),
  0
)
"),6.462357954545454)</f>
        <v>6.462357955</v>
      </c>
      <c r="Y15" s="65">
        <f>IFERROR(__xludf.DUMMYFUNCTION("IFERROR(
  VLOOKUP(
    A15,
    IMPORTRANGE(
      ""1ZHMy3vVUd_0MrSduXTe1etBb1HNpAlGwQr006ljwMiM"",
      ""GSC最新!A:R""
    ),
    12,
    FALSE
  ),
  0
)
"),6.144135802469136)</f>
        <v>6.144135802</v>
      </c>
      <c r="Z15" s="65">
        <f>IFERROR(__xludf.DUMMYFUNCTION("IFERROR(
  VLOOKUP(
    A15,
    IMPORTRANGE(
      ""1ZHMy3vVUd_0MrSduXTe1etBb1HNpAlGwQr006ljwMiM"",
      ""GSC最新!A:R""
    ),
    15,
    FALSE
  ),
  0
)
"),10.1640625)</f>
        <v>10.1640625</v>
      </c>
      <c r="AA15" s="65">
        <f>IFERROR(__xludf.DUMMYFUNCTION("IFERROR(
  VLOOKUP(
    A15,
    IMPORTRANGE(
      ""1ZHMy3vVUd_0MrSduXTe1etBb1HNpAlGwQr006ljwMiM"",
      ""GSC最新!A:R""
    ),
    18,
    FALSE
  ),
  0
)
"),10.496078431372549)</f>
        <v>10.49607843</v>
      </c>
      <c r="AB15" s="65">
        <f t="shared" ref="AB15:AC15" si="69">X15-Z15</f>
        <v>-3.701704545</v>
      </c>
      <c r="AC15" s="65">
        <f t="shared" si="69"/>
        <v>-4.351942629</v>
      </c>
      <c r="AD15" s="53">
        <f>IFERROR(__xludf.DUMMYFUNCTION("IFERROR(
  VLOOKUP(
    A15,
    IMPORTRANGE(
      ""1ZHMy3vVUd_0MrSduXTe1etBb1HNpAlGwQr006ljwMiM"",
      ""GSC最新!A:F""
    ),
    6,
    FALSE
  ),
  0
)
"),46081.0)</f>
        <v>46081</v>
      </c>
      <c r="AE15" s="54">
        <f>IFERROR(__xludf.DUMMYFUNCTION("IFERROR(
  VLOOKUP(
    A15,
    IMPORTRANGE(
      ""1SCYQd7_cobOYqT0r_F0IqD4tE4rYn5y8Eup4PJTH8es"",
      ""Snapshot!A:M""
    ),
    5,
    FALSE
  ),
  ""-""
)
"),6.0)</f>
        <v>6</v>
      </c>
      <c r="AF15" s="54">
        <f>IFERROR(__xludf.DUMMYFUNCTION("IFERROR(
  VLOOKUP(
    A15,
    IMPORTRANGE(
      ""1SCYQd7_cobOYqT0r_F0IqD4tE4rYn5y8Eup4PJTH8es"",
      ""Snapshot!A:M""
    ),
    6,
    FALSE
  ),
  0
)
"),11.0)</f>
        <v>11</v>
      </c>
      <c r="AG15" s="54">
        <f>IFERROR(__xludf.DUMMYFUNCTION("IFERROR(
  VLOOKUP(
    A15,
    IMPORTRANGE(
      ""1SCYQd7_cobOYqT0r_F0IqD4tE4rYn5y8Eup4PJTH8es"",
      ""Snapshot!A:M""
    ),
    7,
    FALSE
  ),
  0
)
"),4441.0)</f>
        <v>4441</v>
      </c>
      <c r="AH15" s="54">
        <f>IFERROR(__xludf.DUMMYFUNCTION("IFERROR(
  VLOOKUP(
    A15,
    IMPORTRANGE(
      ""1SCYQd7_cobOYqT0r_F0IqD4tE4rYn5y8Eup4PJTH8es"",
      ""Snapshot!A:M""
    ),
    8,
    FALSE
  ),
  0
)
"),14.0)</f>
        <v>14</v>
      </c>
      <c r="AI15" s="54">
        <f>IFERROR(__xludf.DUMMYFUNCTION("IFERROR(
  VLOOKUP(
    A15,
    IMPORTRANGE(
      ""1SCYQd7_cobOYqT0r_F0IqD4tE4rYn5y8Eup4PJTH8es"",
      ""Snapshot!A:M""
    ),
    9,
    FALSE
  ),
  0
)
"),2.0)</f>
        <v>2</v>
      </c>
      <c r="AJ15" s="54">
        <f>IFERROR(__xludf.DUMMYFUNCTION("IFERROR(
  VLOOKUP(
    A15,
    IMPORTRANGE(
      ""1SCYQd7_cobOYqT0r_F0IqD4tE4rYn5y8Eup4PJTH8es"",
      ""Snapshot!A:M""
    ),
    13,
    FALSE
  ),
  0
)
"),3.0)</f>
        <v>3</v>
      </c>
      <c r="AK15" s="49">
        <f t="shared" ref="AK15:AL15" si="70">LEN(C15)</f>
        <v>31</v>
      </c>
      <c r="AL15" s="49">
        <f t="shared" si="70"/>
        <v>85</v>
      </c>
    </row>
    <row r="16">
      <c r="A16" s="3" t="s">
        <v>528</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"),"国語記述で失点する定番ミス３選と具体的改善トレーニング法")</f>
        <v>国語記述で失点する定番ミス３選と具体的改善トレーニング法</v>
      </c>
      <c r="D16" s="1" t="str">
        <f>IFERROR(__xludf.DUMMYFUNCTION("IFERROR(
  VLOOKUP(
    A16,
    IMPORTRANGE(
      ""1ZygntHC1J6IxzKbTidmOyf5nUyW4GCLurHCjexrLm_o        "",
      ""HTMLキャッシュ!A:F""
    ),
    6,
    FALSE
  ),
  0
)
"),"理由を答える問題で減点されやすい原因を整理。気持ち・言い換え・変化のまとめ方を例つきで解説し、記述答案を改善しやすくします。")</f>
        <v>理由を答える問題で減点されやすい原因を整理。気持ち・言い換え・変化のまとめ方を例つきで解説し、記述答案を改善しやすくします。</v>
      </c>
      <c r="E16" s="32">
        <f>IFERROR(__xludf.DUMMYFUNCTION("IFERROR(
  VLOOKUP(
    A16,
    IMPORTRANGE(
      ""1ZygntHC1J6IxzKbTidmOyf5nUyW4GCLurHCjexrLm_o        "",
      ""HTMLキャッシュ!A:F""
    ),
    3,
    FALSE
  ),
  0
)
"),46074.57288194444)</f>
        <v>46074.57288</v>
      </c>
      <c r="F16" s="49">
        <f>IFERROR(__xludf.DUMMYFUNCTION("IFERROR(
  VLOOKUP(
    A16,
    IMPORTRANGE(
      ""1ZHMy3vVUd_0MrSduXTe1etBb1HNpAlGwQr006ljwMiM"",
      ""GSC最新!A:F""
    ),
    2,
    FALSE
  ),
  0
)
"),20.0)</f>
        <v>20</v>
      </c>
      <c r="G16" s="49">
        <f>IFERROR(__xludf.DUMMYFUNCTION("IFERROR(
  VLOOKUP(
    A16,
    IMPORTRANGE(
      ""1ZHMy3vVUd_0MrSduXTe1etBb1HNpAlGwQr006ljwMiM"",
      ""GSC最新!A:F""
    ),
    3,
    FALSE
  ),
  0
)
"),43.0)</f>
        <v>43</v>
      </c>
      <c r="H16" s="49">
        <f>IFERROR(__xludf.DUMMYFUNCTION("IFERROR(
  VLOOKUP(
    A16,
    IMPORTRANGE(
      ""1ZHMy3vVUd_0MrSduXTe1etBb1HNpAlGwQr006ljwMiM"",
      ""GSC最新!A:F""
    ),
    4,
    FALSE
  ),
  0
)
"),11.0)</f>
        <v>11</v>
      </c>
      <c r="I16" s="49">
        <f>IFERROR(__xludf.DUMMYFUNCTION("IFERROR(
  VLOOKUP(
    A16,
    IMPORTRANGE(
      ""1ZHMy3vVUd_0MrSduXTe1etBb1HNpAlGwQr006ljwMiM"",
      ""GSC最新!A:F""
    ),
    5,
    FALSE
  ),
  0
)
"),29.0)</f>
        <v>29</v>
      </c>
      <c r="J16" s="50">
        <f t="shared" ref="J16:K16" si="71">IFERROR(F16/H16,"-")</f>
        <v>1.818181818</v>
      </c>
      <c r="K16" s="50">
        <f t="shared" si="71"/>
        <v>1.482758621</v>
      </c>
      <c r="L16" s="6">
        <f>IFERROR(__xludf.DUMMYFUNCTION("IFERROR(
  VLOOKUP(
    A16,
    IMPORTRANGE(
      ""1ZHMy3vVUd_0MrSduXTe1etBb1HNpAlGwQr006ljwMiM"",
      ""GSC最新!A:R""
    ),
    7,
    FALSE
  ),
  0
)
"),668.0)</f>
        <v>668</v>
      </c>
      <c r="M16" s="6">
        <f>IFERROR(__xludf.DUMMYFUNCTION("IFERROR(
  VLOOKUP(
    A16,
    IMPORTRANGE(
      ""1ZHMy3vVUd_0MrSduXTe1etBb1HNpAlGwQr006ljwMiM"",
      ""GSC最新!A:R""
    ),
    10,
    FALSE
  ),
  0
)
"),1408.0)</f>
        <v>1408</v>
      </c>
      <c r="N16" s="6">
        <f>IFERROR(__xludf.DUMMYFUNCTION("IFERROR(
  VLOOKUP(
    A16,
    IMPORTRANGE(
      ""1ZHMy3vVUd_0MrSduXTe1etBb1HNpAlGwQr006ljwMiM"",
      ""GSC最新!A:R""
    ),
    13,
    FALSE
  ),
  0
)
"),227.0)</f>
        <v>227</v>
      </c>
      <c r="O16" s="6">
        <f>IFERROR(__xludf.DUMMYFUNCTION("IFERROR(
  VLOOKUP(
    A16,
    IMPORTRANGE(
      ""1ZHMy3vVUd_0MrSduXTe1etBb1HNpAlGwQr006ljwMiM"",
      ""GSC最新!A:R""
    ),
    16,
    FALSE
  ),
  0
)
"),639.0)</f>
        <v>639</v>
      </c>
      <c r="P16" s="51">
        <f t="shared" ref="P16:Q16" si="72">IFERROR(L16/N16,"-")</f>
        <v>2.942731278</v>
      </c>
      <c r="Q16" s="51">
        <f t="shared" si="72"/>
        <v>2.203442879</v>
      </c>
      <c r="R16" s="9">
        <f>IFERROR(__xludf.DUMMYFUNCTION("IFERROR(
  VLOOKUP(
    A16,
    IMPORTRANGE(
      ""1ZHMy3vVUd_0MrSduXTe1etBb1HNpAlGwQr006ljwMiM"",
      ""GSC最新!A:R""
    ),
    8,
    FALSE
  ),
  0
)
"),0.029940119760479042)</f>
        <v>0.02994011976</v>
      </c>
      <c r="S16" s="9">
        <f>IFERROR(__xludf.DUMMYFUNCTION("IFERROR(
  VLOOKUP(
    A16,
    IMPORTRANGE(
      ""1ZHMy3vVUd_0MrSduXTe1etBb1HNpAlGwQr006ljwMiM"",
      ""GSC最新!A:R""
    ),
    11,
    FALSE
  ),
  0
)
"),0.030539772727272728)</f>
        <v>0.03053977273</v>
      </c>
      <c r="T16" s="9">
        <f>IFERROR(__xludf.DUMMYFUNCTION("IFERROR(
  VLOOKUP(
    A16,
    IMPORTRANGE(
      ""1ZHMy3vVUd_0MrSduXTe1etBb1HNpAlGwQr006ljwMiM"",
      ""GSC最新!A:R""
    ),
    14,
    FALSE
  ),
  0
)
"),0.048458149779735685)</f>
        <v>0.04845814978</v>
      </c>
      <c r="U16" s="9">
        <f>IFERROR(__xludf.DUMMYFUNCTION("IFERROR(
  VLOOKUP(
    A16,
    IMPORTRANGE(
      ""1ZHMy3vVUd_0MrSduXTe1etBb1HNpAlGwQr006ljwMiM"",
      ""GSC最新!A:R""
    ),
    17,
    FALSE
  ),
  0
)
"),0.04538341158059468)</f>
        <v>0.04538341158</v>
      </c>
      <c r="V16" s="9">
        <f t="shared" ref="V16:W16" si="73">IFERROR(R16-T16,"-")</f>
        <v>-0.01851803002</v>
      </c>
      <c r="W16" s="9">
        <f t="shared" si="73"/>
        <v>-0.01484363885</v>
      </c>
      <c r="X16" s="65">
        <f>IFERROR(__xludf.DUMMYFUNCTION("IFERROR(
  VLOOKUP(
    A16,
    IMPORTRANGE(
      ""1ZHMy3vVUd_0MrSduXTe1etBb1HNpAlGwQr006ljwMiM"",
      ""GSC最新!A:R""
    ),
    9,
    FALSE
  ),
  0
)
"),4.754491017964072)</f>
        <v>4.754491018</v>
      </c>
      <c r="Y16" s="65">
        <f>IFERROR(__xludf.DUMMYFUNCTION("IFERROR(
  VLOOKUP(
    A16,
    IMPORTRANGE(
      ""1ZHMy3vVUd_0MrSduXTe1etBb1HNpAlGwQr006ljwMiM"",
      ""GSC最新!A:R""
    ),
    12,
    FALSE
  ),
  0
)
"),4.828835227272727)</f>
        <v>4.828835227</v>
      </c>
      <c r="Z16" s="65">
        <f>IFERROR(__xludf.DUMMYFUNCTION("IFERROR(
  VLOOKUP(
    A16,
    IMPORTRANGE(
      ""1ZHMy3vVUd_0MrSduXTe1etBb1HNpAlGwQr006ljwMiM"",
      ""GSC最新!A:R""
    ),
    15,
    FALSE
  ),
  0
)
"),11.79295154185022)</f>
        <v>11.79295154</v>
      </c>
      <c r="AA16" s="65">
        <f>IFERROR(__xludf.DUMMYFUNCTION("IFERROR(
  VLOOKUP(
    A16,
    IMPORTRANGE(
      ""1ZHMy3vVUd_0MrSduXTe1etBb1HNpAlGwQr006ljwMiM"",
      ""GSC最新!A:R""
    ),
    18,
    FALSE
  ),
  0
)
"),15.118935837245697)</f>
        <v>15.11893584</v>
      </c>
      <c r="AB16" s="65">
        <f t="shared" ref="AB16:AC16" si="74">X16-Z16</f>
        <v>-7.038460524</v>
      </c>
      <c r="AC16" s="65">
        <f t="shared" si="74"/>
        <v>-10.29010061</v>
      </c>
      <c r="AD16" s="53">
        <f>IFERROR(__xludf.DUMMYFUNCTION("IFERROR(
  VLOOKUP(
    A16,
    IMPORTRANGE(
      ""1ZHMy3vVUd_0MrSduXTe1etBb1HNpAlGwQr006ljwMiM"",
      ""GSC最新!A:F""
    ),
    6,
    FALSE
  ),
  0
)
"),46081.0)</f>
        <v>46081</v>
      </c>
      <c r="AE16" s="54">
        <f>IFERROR(__xludf.DUMMYFUNCTION("IFERROR(
  VLOOKUP(
    A16,
    IMPORTRANGE(
      ""1SCYQd7_cobOYqT0r_F0IqD4tE4rYn5y8Eup4PJTH8es"",
      ""Snapshot!A:M""
    ),
    5,
    FALSE
  ),
  ""-""
)
"),6.0)</f>
        <v>6</v>
      </c>
      <c r="AF16" s="54">
        <f>IFERROR(__xludf.DUMMYFUNCTION("IFERROR(
  VLOOKUP(
    A16,
    IMPORTRANGE(
      ""1SCYQd7_cobOYqT0r_F0IqD4tE4rYn5y8Eup4PJTH8es"",
      ""Snapshot!A:M""
    ),
    6,
    FALSE
  ),
  0
)
"),6.0)</f>
        <v>6</v>
      </c>
      <c r="AG16" s="54">
        <f>IFERROR(__xludf.DUMMYFUNCTION("IFERROR(
  VLOOKUP(
    A16,
    IMPORTRANGE(
      ""1SCYQd7_cobOYqT0r_F0IqD4tE4rYn5y8Eup4PJTH8es"",
      ""Snapshot!A:M""
    ),
    7,
    FALSE
  ),
  0
)
"),3046.0)</f>
        <v>3046</v>
      </c>
      <c r="AH16" s="54">
        <f>IFERROR(__xludf.DUMMYFUNCTION("IFERROR(
  VLOOKUP(
    A16,
    IMPORTRANGE(
      ""1SCYQd7_cobOYqT0r_F0IqD4tE4rYn5y8Eup4PJTH8es"",
      ""Snapshot!A:M""
    ),
    8,
    FALSE
  ),
  0
)
"),4.0)</f>
        <v>4</v>
      </c>
      <c r="AI16" s="54">
        <f>IFERROR(__xludf.DUMMYFUNCTION("IFERROR(
  VLOOKUP(
    A16,
    IMPORTRANGE(
      ""1SCYQd7_cobOYqT0r_F0IqD4tE4rYn5y8Eup4PJTH8es"",
      ""Snapshot!A:M""
    ),
    9,
    FALSE
  ),
  0
)
"),3.0)</f>
        <v>3</v>
      </c>
      <c r="AJ16" s="54">
        <f>IFERROR(__xludf.DUMMYFUNCTION("IFERROR(
  VLOOKUP(
    A16,
    IMPORTRANGE(
      ""1SCYQd7_cobOYqT0r_F0IqD4tE4rYn5y8Eup4PJTH8es"",
      ""Snapshot!A:M""
    ),
    13,
    FALSE
  ),
  0
)
"),3.0)</f>
        <v>3</v>
      </c>
      <c r="AK16" s="49">
        <f t="shared" ref="AK16:AL16" si="75">LEN(C16)</f>
        <v>28</v>
      </c>
      <c r="AL16" s="49">
        <f t="shared" si="75"/>
        <v>62</v>
      </c>
    </row>
    <row r="17">
      <c r="A17" s="3" t="s">
        <v>529</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"),"中学受験で国語が苦手な子へ──「読めない・解けない」の原因と克服ステップ - 受験国語専門 読解ラボ東京 | 中学受験・大学受験対応の個別指導国語専門塾（オンライン・教室対応）")</f>
        <v>中学受験で国語が苦手な子へ──「読めない・解けない」の原因と克服ステップ - 受験国語専門 読解ラボ東京 | 中学受験・大学受験対応の個別指導国語専門塾（オンライン・教室対応）</v>
      </c>
      <c r="D17" s="1" t="str">
        <f>IFERROR(__xludf.DUMMYFUNCTION("IFERROR(
  VLOOKUP(
    A17,
    IMPORTRANGE(
      ""1ZygntHC1J6IxzKbTidmOyf5nUyW4GCLurHCjexrLm_o        "",
      ""HTMLキャッシュ!A:F""
    ),
    6,
    FALSE
  ),
  0
)
"),"「国語だけできない」「読んでも分からずイライラする」小4〜小6向けに、苦手になる典型パターンと、家でできる読み方・復習の手順を具体的に解説。国語嫌いを少しずつほどいていきます。")</f>
        <v>「国語だけできない」「読んでも分からずイライラする」小4〜小6向けに、苦手になる典型パターンと、家でできる読み方・復習の手順を具体的に解説。国語嫌いを少しずつほどいていきます。</v>
      </c>
      <c r="E17" s="32">
        <f>IFERROR(__xludf.DUMMYFUNCTION("IFERROR(
  VLOOKUP(
    A17,
    IMPORTRANGE(
      ""1ZygntHC1J6IxzKbTidmOyf5nUyW4GCLurHCjexrLm_o        "",
      ""HTMLキャッシュ!A:F""
    ),
    3,
    FALSE
  ),
  0
)
"),46078.846724537034)</f>
        <v>46078.84672</v>
      </c>
      <c r="F17" s="49">
        <f>IFERROR(__xludf.DUMMYFUNCTION("IFERROR(
  VLOOKUP(
    A17,
    IMPORTRANGE(
      ""1ZHMy3vVUd_0MrSduXTe1etBb1HNpAlGwQr006ljwMiM"",
      ""GSC最新!A:F""
    ),
    2,
    FALSE
  ),
  0
)
"),26.0)</f>
        <v>26</v>
      </c>
      <c r="G17" s="49">
        <f>IFERROR(__xludf.DUMMYFUNCTION("IFERROR(
  VLOOKUP(
    A17,
    IMPORTRANGE(
      ""1ZHMy3vVUd_0MrSduXTe1etBb1HNpAlGwQr006ljwMiM"",
      ""GSC最新!A:F""
    ),
    3,
    FALSE
  ),
  0
)
"),38.0)</f>
        <v>38</v>
      </c>
      <c r="H17" s="49">
        <f>IFERROR(__xludf.DUMMYFUNCTION("IFERROR(
  VLOOKUP(
    A17,
    IMPORTRANGE(
      ""1ZHMy3vVUd_0MrSduXTe1etBb1HNpAlGwQr006ljwMiM"",
      ""GSC最新!A:F""
    ),
    4,
    FALSE
  ),
  0
)
"),2.0)</f>
        <v>2</v>
      </c>
      <c r="I17" s="49">
        <f>IFERROR(__xludf.DUMMYFUNCTION("IFERROR(
  VLOOKUP(
    A17,
    IMPORTRANGE(
      ""1ZHMy3vVUd_0MrSduXTe1etBb1HNpAlGwQr006ljwMiM"",
      ""GSC最新!A:F""
    ),
    5,
    FALSE
  ),
  0
)
"),4.0)</f>
        <v>4</v>
      </c>
      <c r="J17" s="50">
        <f t="shared" ref="J17:K17" si="76">IFERROR(F17/H17,"-")</f>
        <v>13</v>
      </c>
      <c r="K17" s="50">
        <f t="shared" si="76"/>
        <v>9.5</v>
      </c>
      <c r="L17" s="6">
        <f>IFERROR(__xludf.DUMMYFUNCTION("IFERROR(
  VLOOKUP(
    A17,
    IMPORTRANGE(
      ""1ZHMy3vVUd_0MrSduXTe1etBb1HNpAlGwQr006ljwMiM"",
      ""GSC最新!A:R""
    ),
    7,
    FALSE
  ),
  0
)
"),1256.0)</f>
        <v>1256</v>
      </c>
      <c r="M17" s="6">
        <f>IFERROR(__xludf.DUMMYFUNCTION("IFERROR(
  VLOOKUP(
    A17,
    IMPORTRANGE(
      ""1ZHMy3vVUd_0MrSduXTe1etBb1HNpAlGwQr006ljwMiM"",
      ""GSC最新!A:R""
    ),
    10,
    FALSE
  ),
  0
)
"),2302.0)</f>
        <v>2302</v>
      </c>
      <c r="N17" s="6">
        <f>IFERROR(__xludf.DUMMYFUNCTION("IFERROR(
  VLOOKUP(
    A17,
    IMPORTRANGE(
      ""1ZHMy3vVUd_0MrSduXTe1etBb1HNpAlGwQr006ljwMiM"",
      ""GSC最新!A:R""
    ),
    13,
    FALSE
  ),
  0
)
"),117.0)</f>
        <v>117</v>
      </c>
      <c r="O17" s="6">
        <f>IFERROR(__xludf.DUMMYFUNCTION("IFERROR(
  VLOOKUP(
    A17,
    IMPORTRANGE(
      ""1ZHMy3vVUd_0MrSduXTe1etBb1HNpAlGwQr006ljwMiM"",
      ""GSC最新!A:R""
    ),
    16,
    FALSE
  ),
  0
)
"),641.0)</f>
        <v>641</v>
      </c>
      <c r="P17" s="51">
        <f t="shared" ref="P17:Q17" si="77">IFERROR(L17/N17,"-")</f>
        <v>10.73504274</v>
      </c>
      <c r="Q17" s="51">
        <f t="shared" si="77"/>
        <v>3.591263651</v>
      </c>
      <c r="R17" s="9">
        <f>IFERROR(__xludf.DUMMYFUNCTION("IFERROR(
  VLOOKUP(
    A17,
    IMPORTRANGE(
      ""1ZHMy3vVUd_0MrSduXTe1etBb1HNpAlGwQr006ljwMiM"",
      ""GSC最新!A:R""
    ),
    8,
    FALSE
  ),
  0
)
"),0.020700636942675158)</f>
        <v>0.02070063694</v>
      </c>
      <c r="S17" s="9">
        <f>IFERROR(__xludf.DUMMYFUNCTION("IFERROR(
  VLOOKUP(
    A17,
    IMPORTRANGE(
      ""1ZHMy3vVUd_0MrSduXTe1etBb1HNpAlGwQr006ljwMiM"",
      ""GSC最新!A:R""
    ),
    11,
    FALSE
  ),
  0
)
"),0.016507384882710686)</f>
        <v>0.01650738488</v>
      </c>
      <c r="T17" s="9">
        <f>IFERROR(__xludf.DUMMYFUNCTION("IFERROR(
  VLOOKUP(
    A17,
    IMPORTRANGE(
      ""1ZHMy3vVUd_0MrSduXTe1etBb1HNpAlGwQr006ljwMiM"",
      ""GSC最新!A:R""
    ),
    14,
    FALSE
  ),
  0
)
"),0.017094017094017096)</f>
        <v>0.01709401709</v>
      </c>
      <c r="U17" s="9">
        <f>IFERROR(__xludf.DUMMYFUNCTION("IFERROR(
  VLOOKUP(
    A17,
    IMPORTRANGE(
      ""1ZHMy3vVUd_0MrSduXTe1etBb1HNpAlGwQr006ljwMiM"",
      ""GSC最新!A:R""
    ),
    17,
    FALSE
  ),
  0
)
"),0.0062402496099844)</f>
        <v>0.00624024961</v>
      </c>
      <c r="V17" s="9">
        <f t="shared" ref="V17:W17" si="78">IFERROR(R17-T17,"-")</f>
        <v>0.003606619849</v>
      </c>
      <c r="W17" s="9">
        <f t="shared" si="78"/>
        <v>0.01026713527</v>
      </c>
      <c r="X17" s="65">
        <f>IFERROR(__xludf.DUMMYFUNCTION("IFERROR(
  VLOOKUP(
    A17,
    IMPORTRANGE(
      ""1ZHMy3vVUd_0MrSduXTe1etBb1HNpAlGwQr006ljwMiM"",
      ""GSC最新!A:R""
    ),
    9,
    FALSE
  ),
  0
)
"),7.296178343949045)</f>
        <v>7.296178344</v>
      </c>
      <c r="Y17" s="65">
        <f>IFERROR(__xludf.DUMMYFUNCTION("IFERROR(
  VLOOKUP(
    A17,
    IMPORTRANGE(
      ""1ZHMy3vVUd_0MrSduXTe1etBb1HNpAlGwQr006ljwMiM"",
      ""GSC最新!A:R""
    ),
    12,
    FALSE
  ),
  0
)
"),6.962641181581234)</f>
        <v>6.962641182</v>
      </c>
      <c r="Z17" s="65">
        <f>IFERROR(__xludf.DUMMYFUNCTION("IFERROR(
  VLOOKUP(
    A17,
    IMPORTRANGE(
      ""1ZHMy3vVUd_0MrSduXTe1etBb1HNpAlGwQr006ljwMiM"",
      ""GSC最新!A:R""
    ),
    15,
    FALSE
  ),
  0
)
"),48.914529914529915)</f>
        <v>48.91452991</v>
      </c>
      <c r="AA17" s="65">
        <f>IFERROR(__xludf.DUMMYFUNCTION("IFERROR(
  VLOOKUP(
    A17,
    IMPORTRANGE(
      ""1ZHMy3vVUd_0MrSduXTe1etBb1HNpAlGwQr006ljwMiM"",
      ""GSC最新!A:R""
    ),
    18,
    FALSE
  ),
  0
)
"),54.170046801872076)</f>
        <v>54.1700468</v>
      </c>
      <c r="AB17" s="65">
        <f t="shared" ref="AB17:AC17" si="79">X17-Z17</f>
        <v>-41.61835157</v>
      </c>
      <c r="AC17" s="65">
        <f t="shared" si="79"/>
        <v>-47.20740562</v>
      </c>
      <c r="AD17" s="53">
        <f>IFERROR(__xludf.DUMMYFUNCTION("IFERROR(
  VLOOKUP(
    A17,
    IMPORTRANGE(
      ""1ZHMy3vVUd_0MrSduXTe1etBb1HNpAlGwQr006ljwMiM"",
      ""GSC最新!A:F""
    ),
    6,
    FALSE
  ),
  0
)
"),46081.0)</f>
        <v>46081</v>
      </c>
      <c r="AE17" s="54">
        <f>IFERROR(__xludf.DUMMYFUNCTION("IFERROR(
  VLOOKUP(
    A17,
    IMPORTRANGE(
      ""1SCYQd7_cobOYqT0r_F0IqD4tE4rYn5y8Eup4PJTH8es"",
      ""Snapshot!A:M""
    ),
    5,
    FALSE
  ),
  ""-""
)
"),7.0)</f>
        <v>7</v>
      </c>
      <c r="AF17" s="54">
        <f>IFERROR(__xludf.DUMMYFUNCTION("IFERROR(
  VLOOKUP(
    A17,
    IMPORTRANGE(
      ""1SCYQd7_cobOYqT0r_F0IqD4tE4rYn5y8Eup4PJTH8es"",
      ""Snapshot!A:M""
    ),
    6,
    FALSE
  ),
  0
)
"),12.0)</f>
        <v>12</v>
      </c>
      <c r="AG17" s="54">
        <f>IFERROR(__xludf.DUMMYFUNCTION("IFERROR(
  VLOOKUP(
    A17,
    IMPORTRANGE(
      ""1SCYQd7_cobOYqT0r_F0IqD4tE4rYn5y8Eup4PJTH8es"",
      ""Snapshot!A:M""
    ),
    7,
    FALSE
  ),
  0
)
"),5379.0)</f>
        <v>5379</v>
      </c>
      <c r="AH17" s="54">
        <f>IFERROR(__xludf.DUMMYFUNCTION("IFERROR(
  VLOOKUP(
    A17,
    IMPORTRANGE(
      ""1SCYQd7_cobOYqT0r_F0IqD4tE4rYn5y8Eup4PJTH8es"",
      ""Snapshot!A:M""
    ),
    8,
    FALSE
  ),
  0
)
"),12.0)</f>
        <v>12</v>
      </c>
      <c r="AI17" s="54">
        <f>IFERROR(__xludf.DUMMYFUNCTION("IFERROR(
  VLOOKUP(
    A17,
    IMPORTRANGE(
      ""1SCYQd7_cobOYqT0r_F0IqD4tE4rYn5y8Eup4PJTH8es"",
      ""Snapshot!A:M""
    ),
    9,
    FALSE
  ),
  0
)
"),2.0)</f>
        <v>2</v>
      </c>
      <c r="AJ17" s="54">
        <f>IFERROR(__xludf.DUMMYFUNCTION("IFERROR(
  VLOOKUP(
    A17,
    IMPORTRANGE(
      ""1SCYQd7_cobOYqT0r_F0IqD4tE4rYn5y8Eup4PJTH8es"",
      ""Snapshot!A:M""
    ),
    13,
    FALSE
  ),
  0
)
"),3.0)</f>
        <v>3</v>
      </c>
      <c r="AK17" s="49">
        <f t="shared" ref="AK17:AL17" si="80">LEN(C17)</f>
        <v>88</v>
      </c>
      <c r="AL17" s="49">
        <f t="shared" si="80"/>
        <v>88</v>
      </c>
    </row>
    <row r="18">
      <c r="A18" s="3" t="s">
        <v>530</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"),"渋谷教育学園渋谷 国語｜心情記述と理由選択｜令和3過去問")</f>
        <v>渋谷教育学園渋谷 国語｜心情記述と理由選択｜令和3過去問</v>
      </c>
      <c r="D18" s="1" t="str">
        <f>IFERROR(__xludf.DUMMYFUNCTION("IFERROR(
  VLOOKUP(
    A18,
    IMPORTRANGE(
      ""1ZygntHC1J6IxzKbTidmOyf5nUyW4GCLurHCjexrLm_o        "",
      ""HTMLキャッシュ!A:F""
    ),
    6,
    FALSE
  ),
  0
)
"),"渋谷教育学園渋谷令和3年度の国語から厳選問題を動画で解説。物語文の心情記述と、説明文の理由選択を「根拠→要素→答案」まで具体化。")</f>
        <v>渋谷教育学園渋谷令和3年度の国語から厳選問題を動画で解説。物語文の心情記述と、説明文の理由選択を「根拠→要素→答案」まで具体化。</v>
      </c>
      <c r="E18" s="32">
        <f>IFERROR(__xludf.DUMMYFUNCTION("IFERROR(
  VLOOKUP(
    A18,
    IMPORTRANGE(
      ""1ZygntHC1J6IxzKbTidmOyf5nUyW4GCLurHCjexrLm_o        "",
      ""HTMLキャッシュ!A:F""
    ),
    3,
    FALSE
  ),
  0
)
"),46071.82645833334)</f>
        <v>46071.82646</v>
      </c>
      <c r="F18" s="49">
        <f>IFERROR(__xludf.DUMMYFUNCTION("IFERROR(
  VLOOKUP(
    A18,
    IMPORTRANGE(
      ""1ZHMy3vVUd_0MrSduXTe1etBb1HNpAlGwQr006ljwMiM"",
      ""GSC最新!A:F""
    ),
    2,
    FALSE
  ),
  0
)
"),7.0)</f>
        <v>7</v>
      </c>
      <c r="G18" s="49">
        <f>IFERROR(__xludf.DUMMYFUNCTION("IFERROR(
  VLOOKUP(
    A18,
    IMPORTRANGE(
      ""1ZHMy3vVUd_0MrSduXTe1etBb1HNpAlGwQr006ljwMiM"",
      ""GSC最新!A:F""
    ),
    3,
    FALSE
  ),
  0
)
"),35.0)</f>
        <v>35</v>
      </c>
      <c r="H18" s="49">
        <f>IFERROR(__xludf.DUMMYFUNCTION("IFERROR(
  VLOOKUP(
    A18,
    IMPORTRANGE(
      ""1ZHMy3vVUd_0MrSduXTe1etBb1HNpAlGwQr006ljwMiM"",
      ""GSC最新!A:F""
    ),
    4,
    FALSE
  ),
  0
)
"),3.0)</f>
        <v>3</v>
      </c>
      <c r="I18" s="49">
        <f>IFERROR(__xludf.DUMMYFUNCTION("IFERROR(
  VLOOKUP(
    A18,
    IMPORTRANGE(
      ""1ZHMy3vVUd_0MrSduXTe1etBb1HNpAlGwQr006ljwMiM"",
      ""GSC最新!A:F""
    ),
    5,
    FALSE
  ),
  0
)
"),14.0)</f>
        <v>14</v>
      </c>
      <c r="J18" s="50">
        <f t="shared" ref="J18:K18" si="81">IFERROR(F18/H18,"-")</f>
        <v>2.333333333</v>
      </c>
      <c r="K18" s="50">
        <f t="shared" si="81"/>
        <v>2.5</v>
      </c>
      <c r="L18" s="6">
        <f>IFERROR(__xludf.DUMMYFUNCTION("IFERROR(
  VLOOKUP(
    A18,
    IMPORTRANGE(
      ""1ZHMy3vVUd_0MrSduXTe1etBb1HNpAlGwQr006ljwMiM"",
      ""GSC最新!A:R""
    ),
    7,
    FALSE
  ),
  0
)
"),127.0)</f>
        <v>127</v>
      </c>
      <c r="M18" s="6">
        <f>IFERROR(__xludf.DUMMYFUNCTION("IFERROR(
  VLOOKUP(
    A18,
    IMPORTRANGE(
      ""1ZHMy3vVUd_0MrSduXTe1etBb1HNpAlGwQr006ljwMiM"",
      ""GSC最新!A:R""
    ),
    10,
    FALSE
  ),
  0
)
"),297.0)</f>
        <v>297</v>
      </c>
      <c r="N18" s="6">
        <f>IFERROR(__xludf.DUMMYFUNCTION("IFERROR(
  VLOOKUP(
    A18,
    IMPORTRANGE(
      ""1ZHMy3vVUd_0MrSduXTe1etBb1HNpAlGwQr006ljwMiM"",
      ""GSC最新!A:R""
    ),
    13,
    FALSE
  ),
  0
)
"),26.0)</f>
        <v>26</v>
      </c>
      <c r="O18" s="6">
        <f>IFERROR(__xludf.DUMMYFUNCTION("IFERROR(
  VLOOKUP(
    A18,
    IMPORTRANGE(
      ""1ZHMy3vVUd_0MrSduXTe1etBb1HNpAlGwQr006ljwMiM"",
      ""GSC最新!A:R""
    ),
    16,
    FALSE
  ),
  0
)
"),168.0)</f>
        <v>168</v>
      </c>
      <c r="P18" s="51">
        <f t="shared" ref="P18:Q18" si="82">IFERROR(L18/N18,"-")</f>
        <v>4.884615385</v>
      </c>
      <c r="Q18" s="51">
        <f t="shared" si="82"/>
        <v>1.767857143</v>
      </c>
      <c r="R18" s="9">
        <f>IFERROR(__xludf.DUMMYFUNCTION("IFERROR(
  VLOOKUP(
    A18,
    IMPORTRANGE(
      ""1ZHMy3vVUd_0MrSduXTe1etBb1HNpAlGwQr006ljwMiM"",
      ""GSC最新!A:R""
    ),
    8,
    FALSE
  ),
  0
)
"),0.05511811023622047)</f>
        <v>0.05511811024</v>
      </c>
      <c r="S18" s="9">
        <f>IFERROR(__xludf.DUMMYFUNCTION("IFERROR(
  VLOOKUP(
    A18,
    IMPORTRANGE(
      ""1ZHMy3vVUd_0MrSduXTe1etBb1HNpAlGwQr006ljwMiM"",
      ""GSC最新!A:R""
    ),
    11,
    FALSE
  ),
  0
)
"),0.11784511784511785)</f>
        <v>0.1178451178</v>
      </c>
      <c r="T18" s="9">
        <f>IFERROR(__xludf.DUMMYFUNCTION("IFERROR(
  VLOOKUP(
    A18,
    IMPORTRANGE(
      ""1ZHMy3vVUd_0MrSduXTe1etBb1HNpAlGwQr006ljwMiM"",
      ""GSC最新!A:R""
    ),
    14,
    FALSE
  ),
  0
)
"),0.11538461538461539)</f>
        <v>0.1153846154</v>
      </c>
      <c r="U18" s="9">
        <f>IFERROR(__xludf.DUMMYFUNCTION("IFERROR(
  VLOOKUP(
    A18,
    IMPORTRANGE(
      ""1ZHMy3vVUd_0MrSduXTe1etBb1HNpAlGwQr006ljwMiM"",
      ""GSC最新!A:R""
    ),
    17,
    FALSE
  ),
  0
)
"),0.08333333333333333)</f>
        <v>0.08333333333</v>
      </c>
      <c r="V18" s="9">
        <f t="shared" ref="V18:W18" si="83">IFERROR(R18-T18,"-")</f>
        <v>-0.06026650515</v>
      </c>
      <c r="W18" s="9">
        <f t="shared" si="83"/>
        <v>0.03451178451</v>
      </c>
      <c r="X18" s="65">
        <f>IFERROR(__xludf.DUMMYFUNCTION("IFERROR(
  VLOOKUP(
    A18,
    IMPORTRANGE(
      ""1ZHMy3vVUd_0MrSduXTe1etBb1HNpAlGwQr006ljwMiM"",
      ""GSC最新!A:R""
    ),
    9,
    FALSE
  ),
  0
)
"),10.858267716535433)</f>
        <v>10.85826772</v>
      </c>
      <c r="Y18" s="65">
        <f>IFERROR(__xludf.DUMMYFUNCTION("IFERROR(
  VLOOKUP(
    A18,
    IMPORTRANGE(
      ""1ZHMy3vVUd_0MrSduXTe1etBb1HNpAlGwQr006ljwMiM"",
      ""GSC最新!A:R""
    ),
    12,
    FALSE
  ),
  0
)
"),8.83164983164983)</f>
        <v>8.831649832</v>
      </c>
      <c r="Z18" s="65">
        <f>IFERROR(__xludf.DUMMYFUNCTION("IFERROR(
  VLOOKUP(
    A18,
    IMPORTRANGE(
      ""1ZHMy3vVUd_0MrSduXTe1etBb1HNpAlGwQr006ljwMiM"",
      ""GSC最新!A:R""
    ),
    15,
    FALSE
  ),
  0
)
"),31.153846153846153)</f>
        <v>31.15384615</v>
      </c>
      <c r="AA18" s="65">
        <f>IFERROR(__xludf.DUMMYFUNCTION("IFERROR(
  VLOOKUP(
    A18,
    IMPORTRANGE(
      ""1ZHMy3vVUd_0MrSduXTe1etBb1HNpAlGwQr006ljwMiM"",
      ""GSC最新!A:R""
    ),
    18,
    FALSE
  ),
  0
)
"),18.898809523809526)</f>
        <v>18.89880952</v>
      </c>
      <c r="AB18" s="65">
        <f t="shared" ref="AB18:AC18" si="84">X18-Z18</f>
        <v>-20.29557844</v>
      </c>
      <c r="AC18" s="65">
        <f t="shared" si="84"/>
        <v>-10.06715969</v>
      </c>
      <c r="AD18" s="53">
        <f>IFERROR(__xludf.DUMMYFUNCTION("IFERROR(
  VLOOKUP(
    A18,
    IMPORTRANGE(
      ""1ZHMy3vVUd_0MrSduXTe1etBb1HNpAlGwQr006ljwMiM"",
      ""GSC最新!A:F""
    ),
    6,
    FALSE
  ),
  0
)
"),46081.0)</f>
        <v>46081</v>
      </c>
      <c r="AE18" s="54">
        <f>IFERROR(__xludf.DUMMYFUNCTION("IFERROR(
  VLOOKUP(
    A18,
    IMPORTRANGE(
      ""1SCYQd7_cobOYqT0r_F0IqD4tE4rYn5y8Eup4PJTH8es"",
      ""Snapshot!A:M""
    ),
    5,
    FALSE
  ),
  ""-""
)
"),3.0)</f>
        <v>3</v>
      </c>
      <c r="AF18" s="54">
        <f>IFERROR(__xludf.DUMMYFUNCTION("IFERROR(
  VLOOKUP(
    A18,
    IMPORTRANGE(
      ""1SCYQd7_cobOYqT0r_F0IqD4tE4rYn5y8Eup4PJTH8es"",
      ""Snapshot!A:M""
    ),
    6,
    FALSE
  ),
  0
)
"),2.0)</f>
        <v>2</v>
      </c>
      <c r="AG18" s="54">
        <f>IFERROR(__xludf.DUMMYFUNCTION("IFERROR(
  VLOOKUP(
    A18,
    IMPORTRANGE(
      ""1SCYQd7_cobOYqT0r_F0IqD4tE4rYn5y8Eup4PJTH8es"",
      ""Snapshot!A:M""
    ),
    7,
    FALSE
  ),
  0
)
"),2597.0)</f>
        <v>2597</v>
      </c>
      <c r="AH18" s="54">
        <f>IFERROR(__xludf.DUMMYFUNCTION("IFERROR(
  VLOOKUP(
    A18,
    IMPORTRANGE(
      ""1SCYQd7_cobOYqT0r_F0IqD4tE4rYn5y8Eup4PJTH8es"",
      ""Snapshot!A:M""
    ),
    8,
    FALSE
  ),
  0
)
"),7.0)</f>
        <v>7</v>
      </c>
      <c r="AI18" s="54">
        <f>IFERROR(__xludf.DUMMYFUNCTION("IFERROR(
  VLOOKUP(
    A18,
    IMPORTRANGE(
      ""1SCYQd7_cobOYqT0r_F0IqD4tE4rYn5y8Eup4PJTH8es"",
      ""Snapshot!A:M""
    ),
    9,
    FALSE
  ),
  0
)
"),2.0)</f>
        <v>2</v>
      </c>
      <c r="AJ18" s="54">
        <f>IFERROR(__xludf.DUMMYFUNCTION("IFERROR(
  VLOOKUP(
    A18,
    IMPORTRANGE(
      ""1SCYQd7_cobOYqT0r_F0IqD4tE4rYn5y8Eup4PJTH8es"",
      ""Snapshot!A:M""
    ),
    13,
    FALSE
  ),
  0
)
"),3.0)</f>
        <v>3</v>
      </c>
      <c r="AK18" s="49">
        <f t="shared" ref="AK18:AL18" si="85">LEN(C18)</f>
        <v>28</v>
      </c>
      <c r="AL18" s="49">
        <f t="shared" si="85"/>
        <v>64</v>
      </c>
    </row>
    <row r="19">
      <c r="A19" s="3" t="s">
        <v>531</v>
      </c>
      <c r="B19" s="1" t="str">
        <f>IFERROR(__xludf.DUMMYFUNCTION("IFERROR(
  VLOOKUP(
    A19,
    IMPORTRANGE(
      ""1ZygntHC1J6IxzKbTidmOyf5nUyW4GCLurHCjexrLm_o"",
      ""HTMLキャッシュ!A:F""
    ),
    2,
    FALSE
  ),
  0
)
"),"MC")</f>
        <v>MC</v>
      </c>
      <c r="C19" s="1" t="str">
        <f>IFERROR(__xludf.DUMMYFUNCTION("IFERROR(
  VLOOKUP(
    A19,
    IMPORTRANGE(
      ""1ZygntHC1J6IxzKbTidmOyf5nUyW4GCLurHCjexrLm_o"",
      ""HTMLキャッシュ!A:F""
    ),
    5,
    FALSE
  ),
  0
)
"),"中学受験国語｜物語文の「背景」と心情はどう読む？基本の考え方を整理")</f>
        <v>中学受験国語｜物語文の「背景」と心情はどう読む？基本の考え方を整理</v>
      </c>
      <c r="D19" s="1" t="str">
        <f>IFERROR(__xludf.DUMMYFUNCTION("IFERROR(
  VLOOKUP(
    A19,
    IMPORTRANGE(
      ""1ZygntHC1J6IxzKbTidmOyf5nUyW4GCLurHCjexrLm_o        "",
      ""HTMLキャッシュ!A:F""
    ),
    6,
    FALSE
  ),
  0
)
"),"中学受験国語の物語文でよく聞く「背景」とは何か、どこを読めばよいのかを整理。登場人物の心情と背景のつながり、本文中の根拠の拾い方、選択肢問題での考え方まで、物語文読解の基本を具体例で解説します。")</f>
        <v>中学受験国語の物語文でよく聞く「背景」とは何か、どこを読めばよいのかを整理。登場人物の心情と背景のつながり、本文中の根拠の拾い方、選択肢問題での考え方まで、物語文読解の基本を具体例で解説します。</v>
      </c>
      <c r="E19" s="32">
        <f>IFERROR(__xludf.DUMMYFUNCTION("IFERROR(
  VLOOKUP(
    A19,
    IMPORTRANGE(
      ""1ZygntHC1J6IxzKbTidmOyf5nUyW4GCLurHCjexrLm_o        "",
      ""HTMLキャッシュ!A:F""
    ),
    3,
    FALSE
  ),
  0
)
"),46060.68472222222)</f>
        <v>46060.68472</v>
      </c>
      <c r="F19" s="49">
        <f>IFERROR(__xludf.DUMMYFUNCTION("IFERROR(
  VLOOKUP(
    A19,
    IMPORTRANGE(
      ""1ZHMy3vVUd_0MrSduXTe1etBb1HNpAlGwQr006ljwMiM"",
      ""GSC最新!A:F""
    ),
    2,
    FALSE
  ),
  0
)
"),15.0)</f>
        <v>15</v>
      </c>
      <c r="G19" s="49">
        <f>IFERROR(__xludf.DUMMYFUNCTION("IFERROR(
  VLOOKUP(
    A19,
    IMPORTRANGE(
      ""1ZHMy3vVUd_0MrSduXTe1etBb1HNpAlGwQr006ljwMiM"",
      ""GSC最新!A:F""
    ),
    3,
    FALSE
  ),
  0
)
"),34.0)</f>
        <v>34</v>
      </c>
      <c r="H19" s="49">
        <f>IFERROR(__xludf.DUMMYFUNCTION("IFERROR(
  VLOOKUP(
    A19,
    IMPORTRANGE(
      ""1ZHMy3vVUd_0MrSduXTe1etBb1HNpAlGwQr006ljwMiM"",
      ""GSC最新!A:F""
    ),
    4,
    FALSE
  ),
  0
)
"),1.0)</f>
        <v>1</v>
      </c>
      <c r="I19" s="49">
        <f>IFERROR(__xludf.DUMMYFUNCTION("IFERROR(
  VLOOKUP(
    A19,
    IMPORTRANGE(
      ""1ZHMy3vVUd_0MrSduXTe1etBb1HNpAlGwQr006ljwMiM"",
      ""GSC最新!A:F""
    ),
    5,
    FALSE
  ),
  0
)
"),1.0)</f>
        <v>1</v>
      </c>
      <c r="J19" s="50">
        <f t="shared" ref="J19:K19" si="86">IFERROR(F19/H19,"-")</f>
        <v>15</v>
      </c>
      <c r="K19" s="50">
        <f t="shared" si="86"/>
        <v>34</v>
      </c>
      <c r="L19" s="6">
        <f>IFERROR(__xludf.DUMMYFUNCTION("IFERROR(
  VLOOKUP(
    A19,
    IMPORTRANGE(
      ""1ZHMy3vVUd_0MrSduXTe1etBb1HNpAlGwQr006ljwMiM"",
      ""GSC最新!A:R""
    ),
    7,
    FALSE
  ),
  0
)
"),1013.0)</f>
        <v>1013</v>
      </c>
      <c r="M19" s="6">
        <f>IFERROR(__xludf.DUMMYFUNCTION("IFERROR(
  VLOOKUP(
    A19,
    IMPORTRANGE(
      ""1ZHMy3vVUd_0MrSduXTe1etBb1HNpAlGwQr006ljwMiM"",
      ""GSC最新!A:R""
    ),
    10,
    FALSE
  ),
  0
)
"),1975.0)</f>
        <v>1975</v>
      </c>
      <c r="N19" s="6">
        <f>IFERROR(__xludf.DUMMYFUNCTION("IFERROR(
  VLOOKUP(
    A19,
    IMPORTRANGE(
      ""1ZHMy3vVUd_0MrSduXTe1etBb1HNpAlGwQr006ljwMiM"",
      ""GSC最新!A:R""
    ),
    13,
    FALSE
  ),
  0
)
"),68.0)</f>
        <v>68</v>
      </c>
      <c r="O19" s="6">
        <f>IFERROR(__xludf.DUMMYFUNCTION("IFERROR(
  VLOOKUP(
    A19,
    IMPORTRANGE(
      ""1ZHMy3vVUd_0MrSduXTe1etBb1HNpAlGwQr006ljwMiM"",
      ""GSC最新!A:R""
    ),
    16,
    FALSE
  ),
  0
)
"),177.0)</f>
        <v>177</v>
      </c>
      <c r="P19" s="51">
        <f t="shared" ref="P19:Q19" si="87">IFERROR(L19/N19,"-")</f>
        <v>14.89705882</v>
      </c>
      <c r="Q19" s="51">
        <f t="shared" si="87"/>
        <v>11.15819209</v>
      </c>
      <c r="R19" s="9">
        <f>IFERROR(__xludf.DUMMYFUNCTION("IFERROR(
  VLOOKUP(
    A19,
    IMPORTRANGE(
      ""1ZHMy3vVUd_0MrSduXTe1etBb1HNpAlGwQr006ljwMiM"",
      ""GSC最新!A:R""
    ),
    8,
    FALSE
  ),
  0
)
"),0.014807502467917079)</f>
        <v>0.01480750247</v>
      </c>
      <c r="S19" s="9">
        <f>IFERROR(__xludf.DUMMYFUNCTION("IFERROR(
  VLOOKUP(
    A19,
    IMPORTRANGE(
      ""1ZHMy3vVUd_0MrSduXTe1etBb1HNpAlGwQr006ljwMiM"",
      ""GSC最新!A:R""
    ),
    11,
    FALSE
  ),
  0
)
"),0.017215189873417722)</f>
        <v>0.01721518987</v>
      </c>
      <c r="T19" s="9">
        <f>IFERROR(__xludf.DUMMYFUNCTION("IFERROR(
  VLOOKUP(
    A19,
    IMPORTRANGE(
      ""1ZHMy3vVUd_0MrSduXTe1etBb1HNpAlGwQr006ljwMiM"",
      ""GSC最新!A:R""
    ),
    14,
    FALSE
  ),
  0
)
"),0.014705882352941176)</f>
        <v>0.01470588235</v>
      </c>
      <c r="U19" s="9">
        <f>IFERROR(__xludf.DUMMYFUNCTION("IFERROR(
  VLOOKUP(
    A19,
    IMPORTRANGE(
      ""1ZHMy3vVUd_0MrSduXTe1etBb1HNpAlGwQr006ljwMiM"",
      ""GSC最新!A:R""
    ),
    17,
    FALSE
  ),
  0
)
"),0.005649717514124294)</f>
        <v>0.005649717514</v>
      </c>
      <c r="V19" s="9">
        <f t="shared" ref="V19:W19" si="88">IFERROR(R19-T19,"-")</f>
        <v>0.000101620115</v>
      </c>
      <c r="W19" s="9">
        <f t="shared" si="88"/>
        <v>0.01156547236</v>
      </c>
      <c r="X19" s="65">
        <f>IFERROR(__xludf.DUMMYFUNCTION("IFERROR(
  VLOOKUP(
    A19,
    IMPORTRANGE(
      ""1ZHMy3vVUd_0MrSduXTe1etBb1HNpAlGwQr006ljwMiM"",
      ""GSC最新!A:R""
    ),
    9,
    FALSE
  ),
  0
)
"),7.404738400789734)</f>
        <v>7.404738401</v>
      </c>
      <c r="Y19" s="65">
        <f>IFERROR(__xludf.DUMMYFUNCTION("IFERROR(
  VLOOKUP(
    A19,
    IMPORTRANGE(
      ""1ZHMy3vVUd_0MrSduXTe1etBb1HNpAlGwQr006ljwMiM"",
      ""GSC最新!A:R""
    ),
    12,
    FALSE
  ),
  0
)
"),7.2724050632911394)</f>
        <v>7.272405063</v>
      </c>
      <c r="Z19" s="65">
        <f>IFERROR(__xludf.DUMMYFUNCTION("IFERROR(
  VLOOKUP(
    A19,
    IMPORTRANGE(
      ""1ZHMy3vVUd_0MrSduXTe1etBb1HNpAlGwQr006ljwMiM"",
      ""GSC最新!A:R""
    ),
    15,
    FALSE
  ),
  0
)
"),15.705882352941176)</f>
        <v>15.70588235</v>
      </c>
      <c r="AA19" s="65">
        <f>IFERROR(__xludf.DUMMYFUNCTION("IFERROR(
  VLOOKUP(
    A19,
    IMPORTRANGE(
      ""1ZHMy3vVUd_0MrSduXTe1etBb1HNpAlGwQr006ljwMiM"",
      ""GSC最新!A:R""
    ),
    18,
    FALSE
  ),
  0
)
"),17.084745762711865)</f>
        <v>17.08474576</v>
      </c>
      <c r="AB19" s="65">
        <f t="shared" ref="AB19:AC19" si="89">X19-Z19</f>
        <v>-8.301143952</v>
      </c>
      <c r="AC19" s="65">
        <f t="shared" si="89"/>
        <v>-9.812340699</v>
      </c>
      <c r="AD19" s="53">
        <f>IFERROR(__xludf.DUMMYFUNCTION("IFERROR(
  VLOOKUP(
    A19,
    IMPORTRANGE(
      ""1ZHMy3vVUd_0MrSduXTe1etBb1HNpAlGwQr006ljwMiM"",
      ""GSC最新!A:F""
    ),
    6,
    FALSE
  ),
  0
)
"),46081.0)</f>
        <v>46081</v>
      </c>
      <c r="AE19" s="54">
        <f>IFERROR(__xludf.DUMMYFUNCTION("IFERROR(
  VLOOKUP(
    A19,
    IMPORTRANGE(
      ""1SCYQd7_cobOYqT0r_F0IqD4tE4rYn5y8Eup4PJTH8es"",
      ""Snapshot!A:M""
    ),
    5,
    FALSE
  ),
  ""-""
)
"),1.0)</f>
        <v>1</v>
      </c>
      <c r="AF19" s="54">
        <f>IFERROR(__xludf.DUMMYFUNCTION("IFERROR(
  VLOOKUP(
    A19,
    IMPORTRANGE(
      ""1SCYQd7_cobOYqT0r_F0IqD4tE4rYn5y8Eup4PJTH8es"",
      ""Snapshot!A:M""
    ),
    6,
    FALSE
  ),
  0
)
"),0.0)</f>
        <v>0</v>
      </c>
      <c r="AG19" s="54">
        <f>IFERROR(__xludf.DUMMYFUNCTION("IFERROR(
  VLOOKUP(
    A19,
    IMPORTRANGE(
      ""1SCYQd7_cobOYqT0r_F0IqD4tE4rYn5y8Eup4PJTH8es"",
      ""Snapshot!A:M""
    ),
    7,
    FALSE
  ),
  0
)
"),1418.0)</f>
        <v>1418</v>
      </c>
      <c r="AH19" s="54">
        <f>IFERROR(__xludf.DUMMYFUNCTION("IFERROR(
  VLOOKUP(
    A19,
    IMPORTRANGE(
      ""1SCYQd7_cobOYqT0r_F0IqD4tE4rYn5y8Eup4PJTH8es"",
      ""Snapshot!A:M""
    ),
    8,
    FALSE
  ),
  0
)
"),9.0)</f>
        <v>9</v>
      </c>
      <c r="AI19" s="54">
        <f>IFERROR(__xludf.DUMMYFUNCTION("IFERROR(
  VLOOKUP(
    A19,
    IMPORTRANGE(
      ""1SCYQd7_cobOYqT0r_F0IqD4tE4rYn5y8Eup4PJTH8es"",
      ""Snapshot!A:M""
    ),
    9,
    FALSE
  ),
  0
)
"),2.0)</f>
        <v>2</v>
      </c>
      <c r="AJ19" s="54">
        <f>IFERROR(__xludf.DUMMYFUNCTION("IFERROR(
  VLOOKUP(
    A19,
    IMPORTRANGE(
      ""1SCYQd7_cobOYqT0r_F0IqD4tE4rYn5y8Eup4PJTH8es"",
      ""Snapshot!A:M""
    ),
    13,
    FALSE
  ),
  0
)
"),3.0)</f>
        <v>3</v>
      </c>
      <c r="AK19" s="49">
        <f t="shared" ref="AK19:AL19" si="90">LEN(C19)</f>
        <v>33</v>
      </c>
      <c r="AL19" s="49">
        <f t="shared" si="90"/>
        <v>97</v>
      </c>
    </row>
    <row r="20">
      <c r="A20" s="3" t="s">
        <v>532</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"),"中学国語の文法事項を一気に整理｜品詞・活用・文の成分が分かる基本一覧 - 受験国語専門 読解ラボ東京 | 中学受験・大学受験対応の個別指導国語専門塾（オンライン・教室対応）")</f>
        <v>中学国語の文法事項を一気に整理｜品詞・活用・文の成分が分かる基本一覧 - 受験国語専門 読解ラボ東京 | 中学受験・大学受験対応の個別指導国語専門塾（オンライン・教室対応）</v>
      </c>
      <c r="D20" s="1" t="str">
        <f>IFERROR(__xludf.DUMMYFUNCTION("IFERROR(
  VLOOKUP(
    A20,
    IMPORTRANGE(
      ""1ZygntHC1J6IxzKbTidmOyf5nUyW4GCLurHCjexrLm_o        "",
      ""HTMLキャッシュ!A:F""
    ),
    6,
    FALSE
  ),
  0
)
"),"中学国語の文法を「何から覚えればいいか分からない」人向けに、品詞・活用・文の成分など必修事項を一覧で整理。テストによく出るポイントと、つまずきやすい注意点をコンパクトにまとめました。")</f>
        <v>中学国語の文法を「何から覚えればいいか分からない」人向けに、品詞・活用・文の成分など必修事項を一覧で整理。テストによく出るポイントと、つまずきやすい注意点をコンパクトにまとめました。</v>
      </c>
      <c r="E20" s="32">
        <f>IFERROR(__xludf.DUMMYFUNCTION("IFERROR(
  VLOOKUP(
    A20,
    IMPORTRANGE(
      ""1ZygntHC1J6IxzKbTidmOyf5nUyW4GCLurHCjexrLm_o        "",
      ""HTMLキャッシュ!A:F""
    ),
    3,
    FALSE
  ),
  0
)
"),46078.84508101852)</f>
        <v>46078.84508</v>
      </c>
      <c r="F20" s="49">
        <f>IFERROR(__xludf.DUMMYFUNCTION("IFERROR(
  VLOOKUP(
    A20,
    IMPORTRANGE(
      ""1ZHMy3vVUd_0MrSduXTe1etBb1HNpAlGwQr006ljwMiM"",
      ""GSC最新!A:F""
    ),
    2,
    FALSE
  ),
  0
)
"),18.0)</f>
        <v>18</v>
      </c>
      <c r="G20" s="49">
        <f>IFERROR(__xludf.DUMMYFUNCTION("IFERROR(
  VLOOKUP(
    A20,
    IMPORTRANGE(
      ""1ZHMy3vVUd_0MrSduXTe1etBb1HNpAlGwQr006ljwMiM"",
      ""GSC最新!A:F""
    ),
    3,
    FALSE
  ),
  0
)
"),34.0)</f>
        <v>34</v>
      </c>
      <c r="H20" s="49">
        <f>IFERROR(__xludf.DUMMYFUNCTION("IFERROR(
  VLOOKUP(
    A20,
    IMPORTRANGE(
      ""1ZHMy3vVUd_0MrSduXTe1etBb1HNpAlGwQr006ljwMiM"",
      ""GSC最新!A:F""
    ),
    4,
    FALSE
  ),
  0
)
"),2.0)</f>
        <v>2</v>
      </c>
      <c r="I20" s="49">
        <f>IFERROR(__xludf.DUMMYFUNCTION("IFERROR(
  VLOOKUP(
    A20,
    IMPORTRANGE(
      ""1ZHMy3vVUd_0MrSduXTe1etBb1HNpAlGwQr006ljwMiM"",
      ""GSC最新!A:F""
    ),
    5,
    FALSE
  ),
  0
)
"),5.0)</f>
        <v>5</v>
      </c>
      <c r="J20" s="50">
        <f t="shared" ref="J20:K20" si="91">IFERROR(F20/H20,"-")</f>
        <v>9</v>
      </c>
      <c r="K20" s="50">
        <f t="shared" si="91"/>
        <v>6.8</v>
      </c>
      <c r="L20" s="6">
        <f>IFERROR(__xludf.DUMMYFUNCTION("IFERROR(
  VLOOKUP(
    A20,
    IMPORTRANGE(
      ""1ZHMy3vVUd_0MrSduXTe1etBb1HNpAlGwQr006ljwMiM"",
      ""GSC最新!A:R""
    ),
    7,
    FALSE
  ),
  0
)
"),1400.0)</f>
        <v>1400</v>
      </c>
      <c r="M20" s="6">
        <f>IFERROR(__xludf.DUMMYFUNCTION("IFERROR(
  VLOOKUP(
    A20,
    IMPORTRANGE(
      ""1ZHMy3vVUd_0MrSduXTe1etBb1HNpAlGwQr006ljwMiM"",
      ""GSC最新!A:R""
    ),
    10,
    FALSE
  ),
  0
)
"),3246.0)</f>
        <v>3246</v>
      </c>
      <c r="N20" s="6">
        <f>IFERROR(__xludf.DUMMYFUNCTION("IFERROR(
  VLOOKUP(
    A20,
    IMPORTRANGE(
      ""1ZHMy3vVUd_0MrSduXTe1etBb1HNpAlGwQr006ljwMiM"",
      ""GSC最新!A:R""
    ),
    13,
    FALSE
  ),
  0
)
"),102.0)</f>
        <v>102</v>
      </c>
      <c r="O20" s="6">
        <f>IFERROR(__xludf.DUMMYFUNCTION("IFERROR(
  VLOOKUP(
    A20,
    IMPORTRANGE(
      ""1ZHMy3vVUd_0MrSduXTe1etBb1HNpAlGwQr006ljwMiM"",
      ""GSC最新!A:R""
    ),
    16,
    FALSE
  ),
  0
)
"),208.0)</f>
        <v>208</v>
      </c>
      <c r="P20" s="51">
        <f t="shared" ref="P20:Q20" si="92">IFERROR(L20/N20,"-")</f>
        <v>13.7254902</v>
      </c>
      <c r="Q20" s="51">
        <f t="shared" si="92"/>
        <v>15.60576923</v>
      </c>
      <c r="R20" s="9">
        <f>IFERROR(__xludf.DUMMYFUNCTION("IFERROR(
  VLOOKUP(
    A20,
    IMPORTRANGE(
      ""1ZHMy3vVUd_0MrSduXTe1etBb1HNpAlGwQr006ljwMiM"",
      ""GSC最新!A:R""
    ),
    8,
    FALSE
  ),
  0
)
"),0.012857142857142857)</f>
        <v>0.01285714286</v>
      </c>
      <c r="S20" s="9">
        <f>IFERROR(__xludf.DUMMYFUNCTION("IFERROR(
  VLOOKUP(
    A20,
    IMPORTRANGE(
      ""1ZHMy3vVUd_0MrSduXTe1etBb1HNpAlGwQr006ljwMiM"",
      ""GSC最新!A:R""
    ),
    11,
    FALSE
  ),
  0
)
"),0.010474430067775724)</f>
        <v>0.01047443007</v>
      </c>
      <c r="T20" s="9">
        <f>IFERROR(__xludf.DUMMYFUNCTION("IFERROR(
  VLOOKUP(
    A20,
    IMPORTRANGE(
      ""1ZHMy3vVUd_0MrSduXTe1etBb1HNpAlGwQr006ljwMiM"",
      ""GSC最新!A:R""
    ),
    14,
    FALSE
  ),
  0
)
"),0.0196078431372549)</f>
        <v>0.01960784314</v>
      </c>
      <c r="U20" s="9">
        <f>IFERROR(__xludf.DUMMYFUNCTION("IFERROR(
  VLOOKUP(
    A20,
    IMPORTRANGE(
      ""1ZHMy3vVUd_0MrSduXTe1etBb1HNpAlGwQr006ljwMiM"",
      ""GSC最新!A:R""
    ),
    17,
    FALSE
  ),
  0
)
"),0.02403846153846154)</f>
        <v>0.02403846154</v>
      </c>
      <c r="V20" s="9">
        <f t="shared" ref="V20:W20" si="93">IFERROR(R20-T20,"-")</f>
        <v>-0.00675070028</v>
      </c>
      <c r="W20" s="9">
        <f t="shared" si="93"/>
        <v>-0.01356403147</v>
      </c>
      <c r="X20" s="65">
        <f>IFERROR(__xludf.DUMMYFUNCTION("IFERROR(
  VLOOKUP(
    A20,
    IMPORTRANGE(
      ""1ZHMy3vVUd_0MrSduXTe1etBb1HNpAlGwQr006ljwMiM"",
      ""GSC最新!A:R""
    ),
    9,
    FALSE
  ),
  0
)
"),8.708571428571428)</f>
        <v>8.708571429</v>
      </c>
      <c r="Y20" s="65">
        <f>IFERROR(__xludf.DUMMYFUNCTION("IFERROR(
  VLOOKUP(
    A20,
    IMPORTRANGE(
      ""1ZHMy3vVUd_0MrSduXTe1etBb1HNpAlGwQr006ljwMiM"",
      ""GSC最新!A:R""
    ),
    12,
    FALSE
  ),
  0
)
"),8.746149106592728)</f>
        <v>8.746149107</v>
      </c>
      <c r="Z20" s="65">
        <f>IFERROR(__xludf.DUMMYFUNCTION("IFERROR(
  VLOOKUP(
    A20,
    IMPORTRANGE(
      ""1ZHMy3vVUd_0MrSduXTe1etBb1HNpAlGwQr006ljwMiM"",
      ""GSC最新!A:R""
    ),
    15,
    FALSE
  ),
  0
)
"),26.96078431372549)</f>
        <v>26.96078431</v>
      </c>
      <c r="AA20" s="65">
        <f>IFERROR(__xludf.DUMMYFUNCTION("IFERROR(
  VLOOKUP(
    A20,
    IMPORTRANGE(
      ""1ZHMy3vVUd_0MrSduXTe1etBb1HNpAlGwQr006ljwMiM"",
      ""GSC最新!A:R""
    ),
    18,
    FALSE
  ),
  0
)
"),27.389423076923077)</f>
        <v>27.38942308</v>
      </c>
      <c r="AB20" s="65">
        <f t="shared" ref="AB20:AC20" si="94">X20-Z20</f>
        <v>-18.25221289</v>
      </c>
      <c r="AC20" s="65">
        <f t="shared" si="94"/>
        <v>-18.64327397</v>
      </c>
      <c r="AD20" s="53">
        <f>IFERROR(__xludf.DUMMYFUNCTION("IFERROR(
  VLOOKUP(
    A20,
    IMPORTRANGE(
      ""1ZHMy3vVUd_0MrSduXTe1etBb1HNpAlGwQr006ljwMiM"",
      ""GSC最新!A:F""
    ),
    6,
    FALSE
  ),
  0
)
"),46081.0)</f>
        <v>46081</v>
      </c>
      <c r="AE20" s="54">
        <f>IFERROR(__xludf.DUMMYFUNCTION("IFERROR(
  VLOOKUP(
    A20,
    IMPORTRANGE(
      ""1SCYQd7_cobOYqT0r_F0IqD4tE4rYn5y8Eup4PJTH8es"",
      ""Snapshot!A:M""
    ),
    5,
    FALSE
  ),
  ""-""
)
"),1.0)</f>
        <v>1</v>
      </c>
      <c r="AF20" s="54">
        <f>IFERROR(__xludf.DUMMYFUNCTION("IFERROR(
  VLOOKUP(
    A20,
    IMPORTRANGE(
      ""1SCYQd7_cobOYqT0r_F0IqD4tE4rYn5y8Eup4PJTH8es"",
      ""Snapshot!A:M""
    ),
    6,
    FALSE
  ),
  0
)
"),6.0)</f>
        <v>6</v>
      </c>
      <c r="AG20" s="54">
        <f>IFERROR(__xludf.DUMMYFUNCTION("IFERROR(
  VLOOKUP(
    A20,
    IMPORTRANGE(
      ""1SCYQd7_cobOYqT0r_F0IqD4tE4rYn5y8Eup4PJTH8es"",
      ""Snapshot!A:M""
    ),
    7,
    FALSE
  ),
  0
)
"),1884.0)</f>
        <v>1884</v>
      </c>
      <c r="AH20" s="54">
        <f>IFERROR(__xludf.DUMMYFUNCTION("IFERROR(
  VLOOKUP(
    A20,
    IMPORTRANGE(
      ""1SCYQd7_cobOYqT0r_F0IqD4tE4rYn5y8Eup4PJTH8es"",
      ""Snapshot!A:M""
    ),
    8,
    FALSE
  ),
  0
)
"),9.0)</f>
        <v>9</v>
      </c>
      <c r="AI20" s="54">
        <f>IFERROR(__xludf.DUMMYFUNCTION("IFERROR(
  VLOOKUP(
    A20,
    IMPORTRANGE(
      ""1SCYQd7_cobOYqT0r_F0IqD4tE4rYn5y8Eup4PJTH8es"",
      ""Snapshot!A:M""
    ),
    9,
    FALSE
  ),
  0
)
"),1.0)</f>
        <v>1</v>
      </c>
      <c r="AJ20" s="54">
        <f>IFERROR(__xludf.DUMMYFUNCTION("IFERROR(
  VLOOKUP(
    A20,
    IMPORTRANGE(
      ""1SCYQd7_cobOYqT0r_F0IqD4tE4rYn5y8Eup4PJTH8es"",
      ""Snapshot!A:M""
    ),
    13,
    FALSE
  ),
  0
)
"),3.0)</f>
        <v>3</v>
      </c>
      <c r="AK20" s="49">
        <f t="shared" ref="AK20:AL20" si="95">LEN(C20)</f>
        <v>86</v>
      </c>
      <c r="AL20" s="49">
        <f t="shared" si="95"/>
        <v>91</v>
      </c>
    </row>
    <row r="21">
      <c r="A21" s="3" t="s">
        <v>533</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"),"随筆文とは｜意味・解き方・物語文との違い｜中学受験国語")</f>
        <v>随筆文とは｜意味・解き方・物語文との違い｜中学受験国語</v>
      </c>
      <c r="D21" s="1" t="str">
        <f>IFERROR(__xludf.DUMMYFUNCTION("IFERROR(
  VLOOKUP(
    A21,
    IMPORTRANGE(
      ""1ZygntHC1J6IxzKbTidmOyf5nUyW4GCLurHCjexrLm_o        "",
      ""HTMLキャッシュ!A:F""
    ),
    6,
    FALSE
  ),
  0
)
"),"随筆文とは何かを中学受験国語向けに解説。意味、説明文寄り／物語文寄りの見分け方、設問ごとの解き分け、気持ち問題の読み方をまとめます。")</f>
        <v>随筆文とは何かを中学受験国語向けに解説。意味、説明文寄り／物語文寄りの見分け方、設問ごとの解き分け、気持ち問題の読み方をまとめます。</v>
      </c>
      <c r="E21" s="32">
        <f>IFERROR(__xludf.DUMMYFUNCTION("IFERROR(
  VLOOKUP(
    A21,
    IMPORTRANGE(
      ""1ZygntHC1J6IxzKbTidmOyf5nUyW4GCLurHCjexrLm_o        "",
      ""HTMLキャッシュ!A:F""
    ),
    3,
    FALSE
  ),
  0
)
"),46078.64375)</f>
        <v>46078.64375</v>
      </c>
      <c r="F21" s="49">
        <f>IFERROR(__xludf.DUMMYFUNCTION("IFERROR(
  VLOOKUP(
    A21,
    IMPORTRANGE(
      ""1ZHMy3vVUd_0MrSduXTe1etBb1HNpAlGwQr006ljwMiM"",
      ""GSC最新!A:F""
    ),
    2,
    FALSE
  ),
  0
)
"),18.0)</f>
        <v>18</v>
      </c>
      <c r="G21" s="49">
        <f>IFERROR(__xludf.DUMMYFUNCTION("IFERROR(
  VLOOKUP(
    A21,
    IMPORTRANGE(
      ""1ZHMy3vVUd_0MrSduXTe1etBb1HNpAlGwQr006ljwMiM"",
      ""GSC最新!A:F""
    ),
    3,
    FALSE
  ),
  0
)
"),34.0)</f>
        <v>34</v>
      </c>
      <c r="H21" s="49">
        <f>IFERROR(__xludf.DUMMYFUNCTION("IFERROR(
  VLOOKUP(
    A21,
    IMPORTRANGE(
      ""1ZHMy3vVUd_0MrSduXTe1etBb1HNpAlGwQr006ljwMiM"",
      ""GSC最新!A:F""
    ),
    4,
    FALSE
  ),
  0
)
"),13.0)</f>
        <v>13</v>
      </c>
      <c r="I21" s="49">
        <f>IFERROR(__xludf.DUMMYFUNCTION("IFERROR(
  VLOOKUP(
    A21,
    IMPORTRANGE(
      ""1ZHMy3vVUd_0MrSduXTe1etBb1HNpAlGwQr006ljwMiM"",
      ""GSC最新!A:F""
    ),
    5,
    FALSE
  ),
  0
)
"),44.0)</f>
        <v>44</v>
      </c>
      <c r="J21" s="50">
        <f t="shared" ref="J21:K21" si="96">IFERROR(F21/H21,"-")</f>
        <v>1.384615385</v>
      </c>
      <c r="K21" s="50">
        <f t="shared" si="96"/>
        <v>0.7727272727</v>
      </c>
      <c r="L21" s="6">
        <f>IFERROR(__xludf.DUMMYFUNCTION("IFERROR(
  VLOOKUP(
    A21,
    IMPORTRANGE(
      ""1ZHMy3vVUd_0MrSduXTe1etBb1HNpAlGwQr006ljwMiM"",
      ""GSC最新!A:R""
    ),
    7,
    FALSE
  ),
  0
)
"),5498.0)</f>
        <v>5498</v>
      </c>
      <c r="M21" s="6">
        <f>IFERROR(__xludf.DUMMYFUNCTION("IFERROR(
  VLOOKUP(
    A21,
    IMPORTRANGE(
      ""1ZHMy3vVUd_0MrSduXTe1etBb1HNpAlGwQr006ljwMiM"",
      ""GSC最新!A:R""
    ),
    10,
    FALSE
  ),
  0
)
"),11619.0)</f>
        <v>11619</v>
      </c>
      <c r="N21" s="6">
        <f>IFERROR(__xludf.DUMMYFUNCTION("IFERROR(
  VLOOKUP(
    A21,
    IMPORTRANGE(
      ""1ZHMy3vVUd_0MrSduXTe1etBb1HNpAlGwQr006ljwMiM"",
      ""GSC最新!A:R""
    ),
    13,
    FALSE
  ),
  0
)
"),1121.0)</f>
        <v>1121</v>
      </c>
      <c r="O21" s="6">
        <f>IFERROR(__xludf.DUMMYFUNCTION("IFERROR(
  VLOOKUP(
    A21,
    IMPORTRANGE(
      ""1ZHMy3vVUd_0MrSduXTe1etBb1HNpAlGwQr006ljwMiM"",
      ""GSC最新!A:R""
    ),
    16,
    FALSE
  ),
  0
)
"),3770.0)</f>
        <v>3770</v>
      </c>
      <c r="P21" s="51">
        <f t="shared" ref="P21:Q21" si="97">IFERROR(L21/N21,"-")</f>
        <v>4.904549509</v>
      </c>
      <c r="Q21" s="51">
        <f t="shared" si="97"/>
        <v>3.081962865</v>
      </c>
      <c r="R21" s="9">
        <f>IFERROR(__xludf.DUMMYFUNCTION("IFERROR(
  VLOOKUP(
    A21,
    IMPORTRANGE(
      ""1ZHMy3vVUd_0MrSduXTe1etBb1HNpAlGwQr006ljwMiM"",
      ""GSC最新!A:R""
    ),
    8,
    FALSE
  ),
  0
)
"),0.00327391778828665)</f>
        <v>0.003273917788</v>
      </c>
      <c r="S21" s="9">
        <f>IFERROR(__xludf.DUMMYFUNCTION("IFERROR(
  VLOOKUP(
    A21,
    IMPORTRANGE(
      ""1ZHMy3vVUd_0MrSduXTe1etBb1HNpAlGwQr006ljwMiM"",
      ""GSC最新!A:R""
    ),
    11,
    FALSE
  ),
  0
)
"),0.0029262415009897584)</f>
        <v>0.002926241501</v>
      </c>
      <c r="T21" s="9">
        <f>IFERROR(__xludf.DUMMYFUNCTION("IFERROR(
  VLOOKUP(
    A21,
    IMPORTRANGE(
      ""1ZHMy3vVUd_0MrSduXTe1etBb1HNpAlGwQr006ljwMiM"",
      ""GSC最新!A:R""
    ),
    14,
    FALSE
  ),
  0
)
"),0.01159678858162355)</f>
        <v>0.01159678858</v>
      </c>
      <c r="U21" s="9">
        <f>IFERROR(__xludf.DUMMYFUNCTION("IFERROR(
  VLOOKUP(
    A21,
    IMPORTRANGE(
      ""1ZHMy3vVUd_0MrSduXTe1etBb1HNpAlGwQr006ljwMiM"",
      ""GSC最新!A:R""
    ),
    17,
    FALSE
  ),
  0
)
"),0.011671087533156498)</f>
        <v>0.01167108753</v>
      </c>
      <c r="V21" s="9">
        <f t="shared" ref="V21:W21" si="98">IFERROR(R21-T21,"-")</f>
        <v>-0.008322870793</v>
      </c>
      <c r="W21" s="9">
        <f t="shared" si="98"/>
        <v>-0.008744846032</v>
      </c>
      <c r="X21" s="65">
        <f>IFERROR(__xludf.DUMMYFUNCTION("IFERROR(
  VLOOKUP(
    A21,
    IMPORTRANGE(
      ""1ZHMy3vVUd_0MrSduXTe1etBb1HNpAlGwQr006ljwMiM"",
      ""GSC最新!A:R""
    ),
    9,
    FALSE
  ),
  0
)
"),7.205347399054202)</f>
        <v>7.205347399</v>
      </c>
      <c r="Y21" s="65">
        <f>IFERROR(__xludf.DUMMYFUNCTION("IFERROR(
  VLOOKUP(
    A21,
    IMPORTRANGE(
      ""1ZHMy3vVUd_0MrSduXTe1etBb1HNpAlGwQr006ljwMiM"",
      ""GSC最新!A:R""
    ),
    12,
    FALSE
  ),
  0
)
"),6.829675531457096)</f>
        <v>6.829675531</v>
      </c>
      <c r="Z21" s="65">
        <f>IFERROR(__xludf.DUMMYFUNCTION("IFERROR(
  VLOOKUP(
    A21,
    IMPORTRANGE(
      ""1ZHMy3vVUd_0MrSduXTe1etBb1HNpAlGwQr006ljwMiM"",
      ""GSC最新!A:R""
    ),
    15,
    FALSE
  ),
  0
)
"),10.109723461195362)</f>
        <v>10.10972346</v>
      </c>
      <c r="AA21" s="65">
        <f>IFERROR(__xludf.DUMMYFUNCTION("IFERROR(
  VLOOKUP(
    A21,
    IMPORTRANGE(
      ""1ZHMy3vVUd_0MrSduXTe1etBb1HNpAlGwQr006ljwMiM"",
      ""GSC最新!A:R""
    ),
    18,
    FALSE
  ),
  0
)
"),9.79946949602122)</f>
        <v>9.799469496</v>
      </c>
      <c r="AB21" s="65">
        <f t="shared" ref="AB21:AC21" si="99">X21-Z21</f>
        <v>-2.904376062</v>
      </c>
      <c r="AC21" s="65">
        <f t="shared" si="99"/>
        <v>-2.969793965</v>
      </c>
      <c r="AD21" s="53">
        <f>IFERROR(__xludf.DUMMYFUNCTION("IFERROR(
  VLOOKUP(
    A21,
    IMPORTRANGE(
      ""1ZHMy3vVUd_0MrSduXTe1etBb1HNpAlGwQr006ljwMiM"",
      ""GSC最新!A:F""
    ),
    6,
    FALSE
  ),
  0
)
"),46081.0)</f>
        <v>46081</v>
      </c>
      <c r="AE21" s="54">
        <f>IFERROR(__xludf.DUMMYFUNCTION("IFERROR(
  VLOOKUP(
    A21,
    IMPORTRANGE(
      ""1SCYQd7_cobOYqT0r_F0IqD4tE4rYn5y8Eup4PJTH8es"",
      ""Snapshot!A:M""
    ),
    5,
    FALSE
  ),
  ""-""
)
"),6.0)</f>
        <v>6</v>
      </c>
      <c r="AF21" s="54">
        <f>IFERROR(__xludf.DUMMYFUNCTION("IFERROR(
  VLOOKUP(
    A21,
    IMPORTRANGE(
      ""1SCYQd7_cobOYqT0r_F0IqD4tE4rYn5y8Eup4PJTH8es"",
      ""Snapshot!A:M""
    ),
    6,
    FALSE
  ),
  0
)
"),8.0)</f>
        <v>8</v>
      </c>
      <c r="AG21" s="54">
        <f>IFERROR(__xludf.DUMMYFUNCTION("IFERROR(
  VLOOKUP(
    A21,
    IMPORTRANGE(
      ""1SCYQd7_cobOYqT0r_F0IqD4tE4rYn5y8Eup4PJTH8es"",
      ""Snapshot!A:M""
    ),
    7,
    FALSE
  ),
  0
)
"),3988.0)</f>
        <v>3988</v>
      </c>
      <c r="AH21" s="54">
        <f>IFERROR(__xludf.DUMMYFUNCTION("IFERROR(
  VLOOKUP(
    A21,
    IMPORTRANGE(
      ""1SCYQd7_cobOYqT0r_F0IqD4tE4rYn5y8Eup4PJTH8es"",
      ""Snapshot!A:M""
    ),
    8,
    FALSE
  ),
  0
)
"),8.0)</f>
        <v>8</v>
      </c>
      <c r="AI21" s="54">
        <f>IFERROR(__xludf.DUMMYFUNCTION("IFERROR(
  VLOOKUP(
    A21,
    IMPORTRANGE(
      ""1SCYQd7_cobOYqT0r_F0IqD4tE4rYn5y8Eup4PJTH8es"",
      ""Snapshot!A:M""
    ),
    9,
    FALSE
  ),
  0
)
"),5.0)</f>
        <v>5</v>
      </c>
      <c r="AJ21" s="54">
        <f>IFERROR(__xludf.DUMMYFUNCTION("IFERROR(
  VLOOKUP(
    A21,
    IMPORTRANGE(
      ""1SCYQd7_cobOYqT0r_F0IqD4tE4rYn5y8Eup4PJTH8es"",
      ""Snapshot!A:M""
    ),
    13,
    FALSE
  ),
  0
)
"),3.0)</f>
        <v>3</v>
      </c>
      <c r="AK21" s="49">
        <f t="shared" ref="AK21:AL21" si="100">LEN(C21)</f>
        <v>27</v>
      </c>
      <c r="AL21" s="49">
        <f t="shared" si="100"/>
        <v>66</v>
      </c>
    </row>
    <row r="22">
      <c r="A22" s="3" t="s">
        <v>534</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"),"国語テストの解き方｜説明文の時間配分｜中学受験・toeic別")</f>
        <v>国語テストの解き方｜説明文の時間配分｜中学受験・toeic別</v>
      </c>
      <c r="D22" s="1" t="str">
        <f>IFERROR(__xludf.DUMMYFUNCTION("IFERROR(
  VLOOKUP(
    A22,
    IMPORTRANGE(
      ""1ZygntHC1J6IxzKbTidmOyf5nUyW4GCLurHCjexrLm_o        "",
      ""HTMLキャッシュ!A:F""
    ),
    6,
    FALSE
  ),
  0
)
"),"中学受験国語のテスト向け。本文は速読より解く順番と時間配分。説明文で線を引く所、後回し、記述の部分点を整理。toeic対策ではなく国語の解き方です。")</f>
        <v>中学受験国語のテスト向け。本文は速読より解く順番と時間配分。説明文で線を引く所、後回し、記述の部分点を整理。toeic対策ではなく国語の解き方です。</v>
      </c>
      <c r="E22" s="32">
        <f>IFERROR(__xludf.DUMMYFUNCTION("IFERROR(
  VLOOKUP(
    A22,
    IMPORTRANGE(
      ""1ZygntHC1J6IxzKbTidmOyf5nUyW4GCLurHCjexrLm_o        "",
      ""HTMLキャッシュ!A:F""
    ),
    3,
    FALSE
  ),
  0
)
"),46078.643217592595)</f>
        <v>46078.64322</v>
      </c>
      <c r="F22" s="49">
        <f>IFERROR(__xludf.DUMMYFUNCTION("IFERROR(
  VLOOKUP(
    A22,
    IMPORTRANGE(
      ""1ZHMy3vVUd_0MrSduXTe1etBb1HNpAlGwQr006ljwMiM"",
      ""GSC最新!A:F""
    ),
    2,
    FALSE
  ),
  0
)
"),13.0)</f>
        <v>13</v>
      </c>
      <c r="G22" s="49">
        <f>IFERROR(__xludf.DUMMYFUNCTION("IFERROR(
  VLOOKUP(
    A22,
    IMPORTRANGE(
      ""1ZHMy3vVUd_0MrSduXTe1etBb1HNpAlGwQr006ljwMiM"",
      ""GSC最新!A:F""
    ),
    3,
    FALSE
  ),
  0
)
"),32.0)</f>
        <v>32</v>
      </c>
      <c r="H22" s="49">
        <f>IFERROR(__xludf.DUMMYFUNCTION("IFERROR(
  VLOOKUP(
    A22,
    IMPORTRANGE(
      ""1ZHMy3vVUd_0MrSduXTe1etBb1HNpAlGwQr006ljwMiM"",
      ""GSC最新!A:F""
    ),
    4,
    FALSE
  ),
  0
)
"),21.0)</f>
        <v>21</v>
      </c>
      <c r="I22" s="49">
        <f>IFERROR(__xludf.DUMMYFUNCTION("IFERROR(
  VLOOKUP(
    A22,
    IMPORTRANGE(
      ""1ZHMy3vVUd_0MrSduXTe1etBb1HNpAlGwQr006ljwMiM"",
      ""GSC最新!A:F""
    ),
    5,
    FALSE
  ),
  0
)
"),59.0)</f>
        <v>59</v>
      </c>
      <c r="J22" s="50">
        <f t="shared" ref="J22:K22" si="101">IFERROR(F22/H22,"-")</f>
        <v>0.619047619</v>
      </c>
      <c r="K22" s="50">
        <f t="shared" si="101"/>
        <v>0.5423728814</v>
      </c>
      <c r="L22" s="6">
        <f>IFERROR(__xludf.DUMMYFUNCTION("IFERROR(
  VLOOKUP(
    A22,
    IMPORTRANGE(
      ""1ZHMy3vVUd_0MrSduXTe1etBb1HNpAlGwQr006ljwMiM"",
      ""GSC最新!A:R""
    ),
    7,
    FALSE
  ),
  0
)
"),1251.0)</f>
        <v>1251</v>
      </c>
      <c r="M22" s="6">
        <f>IFERROR(__xludf.DUMMYFUNCTION("IFERROR(
  VLOOKUP(
    A22,
    IMPORTRANGE(
      ""1ZHMy3vVUd_0MrSduXTe1etBb1HNpAlGwQr006ljwMiM"",
      ""GSC最新!A:R""
    ),
    10,
    FALSE
  ),
  0
)
"),2447.0)</f>
        <v>2447</v>
      </c>
      <c r="N22" s="6">
        <f>IFERROR(__xludf.DUMMYFUNCTION("IFERROR(
  VLOOKUP(
    A22,
    IMPORTRANGE(
      ""1ZHMy3vVUd_0MrSduXTe1etBb1HNpAlGwQr006ljwMiM"",
      ""GSC最新!A:R""
    ),
    13,
    FALSE
  ),
  0
)
"),475.0)</f>
        <v>475</v>
      </c>
      <c r="O22" s="6">
        <f>IFERROR(__xludf.DUMMYFUNCTION("IFERROR(
  VLOOKUP(
    A22,
    IMPORTRANGE(
      ""1ZHMy3vVUd_0MrSduXTe1etBb1HNpAlGwQr006ljwMiM"",
      ""GSC最新!A:R""
    ),
    16,
    FALSE
  ),
  0
)
"),1368.0)</f>
        <v>1368</v>
      </c>
      <c r="P22" s="51">
        <f t="shared" ref="P22:Q22" si="102">IFERROR(L22/N22,"-")</f>
        <v>2.633684211</v>
      </c>
      <c r="Q22" s="51">
        <f t="shared" si="102"/>
        <v>1.78874269</v>
      </c>
      <c r="R22" s="9">
        <f>IFERROR(__xludf.DUMMYFUNCTION("IFERROR(
  VLOOKUP(
    A22,
    IMPORTRANGE(
      ""1ZHMy3vVUd_0MrSduXTe1etBb1HNpAlGwQr006ljwMiM"",
      ""GSC最新!A:R""
    ),
    8,
    FALSE
  ),
  0
)
"),0.010391686650679457)</f>
        <v>0.01039168665</v>
      </c>
      <c r="S22" s="9">
        <f>IFERROR(__xludf.DUMMYFUNCTION("IFERROR(
  VLOOKUP(
    A22,
    IMPORTRANGE(
      ""1ZHMy3vVUd_0MrSduXTe1etBb1HNpAlGwQr006ljwMiM"",
      ""GSC最新!A:R""
    ),
    11,
    FALSE
  ),
  0
)
"),0.013077237433592154)</f>
        <v>0.01307723743</v>
      </c>
      <c r="T22" s="9">
        <f>IFERROR(__xludf.DUMMYFUNCTION("IFERROR(
  VLOOKUP(
    A22,
    IMPORTRANGE(
      ""1ZHMy3vVUd_0MrSduXTe1etBb1HNpAlGwQr006ljwMiM"",
      ""GSC最新!A:R""
    ),
    14,
    FALSE
  ),
  0
)
"),0.04421052631578947)</f>
        <v>0.04421052632</v>
      </c>
      <c r="U22" s="9">
        <f>IFERROR(__xludf.DUMMYFUNCTION("IFERROR(
  VLOOKUP(
    A22,
    IMPORTRANGE(
      ""1ZHMy3vVUd_0MrSduXTe1etBb1HNpAlGwQr006ljwMiM"",
      ""GSC最新!A:R""
    ),
    17,
    FALSE
  ),
  0
)
"),0.04312865497076023)</f>
        <v>0.04312865497</v>
      </c>
      <c r="V22" s="9">
        <f t="shared" ref="V22:W22" si="103">IFERROR(R22-T22,"-")</f>
        <v>-0.03381883967</v>
      </c>
      <c r="W22" s="9">
        <f t="shared" si="103"/>
        <v>-0.03005141754</v>
      </c>
      <c r="X22" s="65">
        <f>IFERROR(__xludf.DUMMYFUNCTION("IFERROR(
  VLOOKUP(
    A22,
    IMPORTRANGE(
      ""1ZHMy3vVUd_0MrSduXTe1etBb1HNpAlGwQr006ljwMiM"",
      ""GSC最新!A:R""
    ),
    9,
    FALSE
  ),
  0
)
"),5.248601119104716)</f>
        <v>5.248601119</v>
      </c>
      <c r="Y22" s="65">
        <f>IFERROR(__xludf.DUMMYFUNCTION("IFERROR(
  VLOOKUP(
    A22,
    IMPORTRANGE(
      ""1ZHMy3vVUd_0MrSduXTe1etBb1HNpAlGwQr006ljwMiM"",
      ""GSC最新!A:R""
    ),
    12,
    FALSE
  ),
  0
)
"),5.562729873314263)</f>
        <v>5.562729873</v>
      </c>
      <c r="Z22" s="65">
        <f>IFERROR(__xludf.DUMMYFUNCTION("IFERROR(
  VLOOKUP(
    A22,
    IMPORTRANGE(
      ""1ZHMy3vVUd_0MrSduXTe1etBb1HNpAlGwQr006ljwMiM"",
      ""GSC最新!A:R""
    ),
    15,
    FALSE
  ),
  0
)
"),9.766315789473683)</f>
        <v>9.766315789</v>
      </c>
      <c r="AA22" s="65">
        <f>IFERROR(__xludf.DUMMYFUNCTION("IFERROR(
  VLOOKUP(
    A22,
    IMPORTRANGE(
      ""1ZHMy3vVUd_0MrSduXTe1etBb1HNpAlGwQr006ljwMiM"",
      ""GSC最新!A:R""
    ),
    18,
    FALSE
  ),
  0
)
"),11.98611111111111)</f>
        <v>11.98611111</v>
      </c>
      <c r="AB22" s="65">
        <f t="shared" ref="AB22:AC22" si="104">X22-Z22</f>
        <v>-4.51771467</v>
      </c>
      <c r="AC22" s="65">
        <f t="shared" si="104"/>
        <v>-6.423381238</v>
      </c>
      <c r="AD22" s="53">
        <f>IFERROR(__xludf.DUMMYFUNCTION("IFERROR(
  VLOOKUP(
    A22,
    IMPORTRANGE(
      ""1ZHMy3vVUd_0MrSduXTe1etBb1HNpAlGwQr006ljwMiM"",
      ""GSC最新!A:F""
    ),
    6,
    FALSE
  ),
  0
)
"),46081.0)</f>
        <v>46081</v>
      </c>
      <c r="AE22" s="54">
        <f>IFERROR(__xludf.DUMMYFUNCTION("IFERROR(
  VLOOKUP(
    A22,
    IMPORTRANGE(
      ""1SCYQd7_cobOYqT0r_F0IqD4tE4rYn5y8Eup4PJTH8es"",
      ""Snapshot!A:M""
    ),
    5,
    FALSE
  ),
  ""-""
)
"),8.0)</f>
        <v>8</v>
      </c>
      <c r="AF22" s="54">
        <f>IFERROR(__xludf.DUMMYFUNCTION("IFERROR(
  VLOOKUP(
    A22,
    IMPORTRANGE(
      ""1SCYQd7_cobOYqT0r_F0IqD4tE4rYn5y8Eup4PJTH8es"",
      ""Snapshot!A:M""
    ),
    6,
    FALSE
  ),
  0
)
"),17.0)</f>
        <v>17</v>
      </c>
      <c r="AG22" s="54">
        <f>IFERROR(__xludf.DUMMYFUNCTION("IFERROR(
  VLOOKUP(
    A22,
    IMPORTRANGE(
      ""1SCYQd7_cobOYqT0r_F0IqD4tE4rYn5y8Eup4PJTH8es"",
      ""Snapshot!A:M""
    ),
    7,
    FALSE
  ),
  0
)
"),6829.0)</f>
        <v>6829</v>
      </c>
      <c r="AH22" s="54">
        <f>IFERROR(__xludf.DUMMYFUNCTION("IFERROR(
  VLOOKUP(
    A22,
    IMPORTRANGE(
      ""1SCYQd7_cobOYqT0r_F0IqD4tE4rYn5y8Eup4PJTH8es"",
      ""Snapshot!A:M""
    ),
    8,
    FALSE
  ),
  0
)
"),3.0)</f>
        <v>3</v>
      </c>
      <c r="AI22" s="54">
        <f>IFERROR(__xludf.DUMMYFUNCTION("IFERROR(
  VLOOKUP(
    A22,
    IMPORTRANGE(
      ""1SCYQd7_cobOYqT0r_F0IqD4tE4rYn5y8Eup4PJTH8es"",
      ""Snapshot!A:M""
    ),
    9,
    FALSE
  ),
  0
)
"),2.0)</f>
        <v>2</v>
      </c>
      <c r="AJ22" s="54">
        <f>IFERROR(__xludf.DUMMYFUNCTION("IFERROR(
  VLOOKUP(
    A22,
    IMPORTRANGE(
      ""1SCYQd7_cobOYqT0r_F0IqD4tE4rYn5y8Eup4PJTH8es"",
      ""Snapshot!A:M""
    ),
    13,
    FALSE
  ),
  0
)
"),3.0)</f>
        <v>3</v>
      </c>
      <c r="AK22" s="49">
        <f t="shared" ref="AK22:AL22" si="105">LEN(C22)</f>
        <v>30</v>
      </c>
      <c r="AL22" s="49">
        <f t="shared" si="105"/>
        <v>74</v>
      </c>
    </row>
    <row r="23">
      <c r="A23" s="56" t="s">
        <v>535</v>
      </c>
      <c r="B23" s="1" t="str">
        <f>IFERROR(__xludf.DUMMYFUNCTION("IFERROR(
  VLOOKUP(
    A23,
    IMPORTRANGE(
      ""1ZygntHC1J6IxzKbTidmOyf5nUyW4GCLurHCjexrLm_o"",
      ""HTMLキャッシュ!A:F""
    ),
    2,
    FALSE
  ),
  0
)
"),"SC")</f>
        <v>SC</v>
      </c>
      <c r="C23" s="1" t="str">
        <f>IFERROR(__xludf.DUMMYFUNCTION("IFERROR(
  VLOOKUP(
    A23,
    IMPORTRANGE(
      ""1ZygntHC1J6IxzKbTidmOyf5nUyW4GCLurHCjexrLm_o"",
      ""HTMLキャッシュ!A:F""
    ),
    5,
    FALSE
  ),
  0
)
"),"四谷大塚（予習シリーズ）国語の扱い方“知識×読解”のバランス調整 - 受験国語専門 読解ラボ東京 | 中学受験・大学受験対応の個別指導国語専門塾（オンライン・教室対応）")</f>
        <v>四谷大塚（予習シリーズ）国語の扱い方“知識×読解”のバランス調整 - 受験国語専門 読解ラボ東京 | 中学受験・大学受験対応の個別指導国語専門塾（オンライン・教室対応）</v>
      </c>
      <c r="D23" s="1" t="str">
        <f>IFERROR(__xludf.DUMMYFUNCTION("IFERROR(
  VLOOKUP(
    A23,
    IMPORTRANGE(
      ""1ZygntHC1J6IxzKbTidmOyf5nUyW4GCLurHCjexrLm_o        "",
      ""HTMLキャッシュ!A:F""
    ),
    6,
    FALSE
  ),
  0
)
"),"四谷大塚の予習シリーズ国語は知識と読解のバランスが崩れると点が伸びません。知識偏重・読解偏重の原因と失点ポイントを整理し、オンライン国語個別での調整手順、記述改善、過去問の直し方まで解説。")</f>
        <v>四谷大塚の予習シリーズ国語は知識と読解のバランスが崩れると点が伸びません。知識偏重・読解偏重の原因と失点ポイントを整理し、オンライン国語個別での調整手順、記述改善、過去問の直し方まで解説。</v>
      </c>
      <c r="E23" s="32">
        <f>IFERROR(__xludf.DUMMYFUNCTION("IFERROR(
  VLOOKUP(
    A23,
    IMPORTRANGE(
      ""1ZygntHC1J6IxzKbTidmOyf5nUyW4GCLurHCjexrLm_o        "",
      ""HTMLキャッシュ!A:F""
    ),
    3,
    FALSE
  ),
  0
)
"),46078.85215277778)</f>
        <v>46078.85215</v>
      </c>
      <c r="F23" s="49">
        <f>IFERROR(__xludf.DUMMYFUNCTION("IFERROR(
  VLOOKUP(
    A23,
    IMPORTRANGE(
      ""1ZHMy3vVUd_0MrSduXTe1etBb1HNpAlGwQr006ljwMiM"",
      ""GSC最新!A:F""
    ),
    2,
    FALSE
  ),
  0
)
"),19.0)</f>
        <v>19</v>
      </c>
      <c r="G23" s="49">
        <f>IFERROR(__xludf.DUMMYFUNCTION("IFERROR(
  VLOOKUP(
    A23,
    IMPORTRANGE(
      ""1ZHMy3vVUd_0MrSduXTe1etBb1HNpAlGwQr006ljwMiM"",
      ""GSC最新!A:F""
    ),
    3,
    FALSE
  ),
  0
)
"),29.0)</f>
        <v>29</v>
      </c>
      <c r="H23" s="49">
        <f>IFERROR(__xludf.DUMMYFUNCTION("IFERROR(
  VLOOKUP(
    A23,
    IMPORTRANGE(
      ""1ZHMy3vVUd_0MrSduXTe1etBb1HNpAlGwQr006ljwMiM"",
      ""GSC最新!A:F""
    ),
    4,
    FALSE
  ),
  0
)
"),0.0)</f>
        <v>0</v>
      </c>
      <c r="I23" s="49">
        <f>IFERROR(__xludf.DUMMYFUNCTION("IFERROR(
  VLOOKUP(
    A23,
    IMPORTRANGE(
      ""1ZHMy3vVUd_0MrSduXTe1etBb1HNpAlGwQr006ljwMiM"",
      ""GSC最新!A:F""
    ),
    5,
    FALSE
  ),
  0
)
"),0.0)</f>
        <v>0</v>
      </c>
      <c r="J23" s="50" t="str">
        <f t="shared" ref="J23:K23" si="106">IFERROR(F23/H23,"-")</f>
        <v>-</v>
      </c>
      <c r="K23" s="50" t="str">
        <f t="shared" si="106"/>
        <v>-</v>
      </c>
      <c r="L23" s="6">
        <f>IFERROR(__xludf.DUMMYFUNCTION("IFERROR(
  VLOOKUP(
    A23,
    IMPORTRANGE(
      ""1ZHMy3vVUd_0MrSduXTe1etBb1HNpAlGwQr006ljwMiM"",
      ""GSC最新!A:R""
    ),
    7,
    FALSE
  ),
  0
)
"),177.0)</f>
        <v>177</v>
      </c>
      <c r="M23" s="6">
        <f>IFERROR(__xludf.DUMMYFUNCTION("IFERROR(
  VLOOKUP(
    A23,
    IMPORTRANGE(
      ""1ZHMy3vVUd_0MrSduXTe1etBb1HNpAlGwQr006ljwMiM"",
      ""GSC最新!A:R""
    ),
    10,
    FALSE
  ),
  0
)
"),264.0)</f>
        <v>264</v>
      </c>
      <c r="N23" s="6">
        <f>IFERROR(__xludf.DUMMYFUNCTION("IFERROR(
  VLOOKUP(
    A23,
    IMPORTRANGE(
      ""1ZHMy3vVUd_0MrSduXTe1etBb1HNpAlGwQr006ljwMiM"",
      ""GSC最新!A:R""
    ),
    13,
    FALSE
  ),
  0
)
"),0.0)</f>
        <v>0</v>
      </c>
      <c r="O23" s="6">
        <f>IFERROR(__xludf.DUMMYFUNCTION("IFERROR(
  VLOOKUP(
    A23,
    IMPORTRANGE(
      ""1ZHMy3vVUd_0MrSduXTe1etBb1HNpAlGwQr006ljwMiM"",
      ""GSC最新!A:R""
    ),
    16,
    FALSE
  ),
  0
)
"),0.0)</f>
        <v>0</v>
      </c>
      <c r="P23" s="51" t="str">
        <f t="shared" ref="P23:Q23" si="107">IFERROR(L23/N23,"-")</f>
        <v>-</v>
      </c>
      <c r="Q23" s="51" t="str">
        <f t="shared" si="107"/>
        <v>-</v>
      </c>
      <c r="R23" s="9">
        <f>IFERROR(__xludf.DUMMYFUNCTION("IFERROR(
  VLOOKUP(
    A23,
    IMPORTRANGE(
      ""1ZHMy3vVUd_0MrSduXTe1etBb1HNpAlGwQr006ljwMiM"",
      ""GSC最新!A:R""
    ),
    8,
    FALSE
  ),
  0
)
"),0.10734463276836158)</f>
        <v>0.1073446328</v>
      </c>
      <c r="S23" s="9">
        <f>IFERROR(__xludf.DUMMYFUNCTION("IFERROR(
  VLOOKUP(
    A23,
    IMPORTRANGE(
      ""1ZHMy3vVUd_0MrSduXTe1etBb1HNpAlGwQr006ljwMiM"",
      ""GSC最新!A:R""
    ),
    11,
    FALSE
  ),
  0
)
"),0.10984848484848485)</f>
        <v>0.1098484848</v>
      </c>
      <c r="T23" s="9">
        <f>IFERROR(__xludf.DUMMYFUNCTION("IFERROR(
  VLOOKUP(
    A23,
    IMPORTRANGE(
      ""1ZHMy3vVUd_0MrSduXTe1etBb1HNpAlGwQr006ljwMiM"",
      ""GSC最新!A:R""
    ),
    14,
    FALSE
  ),
  0
)
"),0.0)</f>
        <v>0</v>
      </c>
      <c r="U23" s="9">
        <f>IFERROR(__xludf.DUMMYFUNCTION("IFERROR(
  VLOOKUP(
    A23,
    IMPORTRANGE(
      ""1ZHMy3vVUd_0MrSduXTe1etBb1HNpAlGwQr006ljwMiM"",
      ""GSC最新!A:R""
    ),
    17,
    FALSE
  ),
  0
)
"),0.0)</f>
        <v>0</v>
      </c>
      <c r="V23" s="9">
        <f t="shared" ref="V23:W23" si="108">IFERROR(R23-T23,"-")</f>
        <v>0.1073446328</v>
      </c>
      <c r="W23" s="9">
        <f t="shared" si="108"/>
        <v>0.1098484848</v>
      </c>
      <c r="X23" s="65">
        <f>IFERROR(__xludf.DUMMYFUNCTION("IFERROR(
  VLOOKUP(
    A23,
    IMPORTRANGE(
      ""1ZHMy3vVUd_0MrSduXTe1etBb1HNpAlGwQr006ljwMiM"",
      ""GSC最新!A:R""
    ),
    9,
    FALSE
  ),
  0
)
"),7.045197740112994)</f>
        <v>7.04519774</v>
      </c>
      <c r="Y23" s="65">
        <f>IFERROR(__xludf.DUMMYFUNCTION("IFERROR(
  VLOOKUP(
    A23,
    IMPORTRANGE(
      ""1ZHMy3vVUd_0MrSduXTe1etBb1HNpAlGwQr006ljwMiM"",
      ""GSC最新!A:R""
    ),
    12,
    FALSE
  ),
  0
)
"),6.871212121212121)</f>
        <v>6.871212121</v>
      </c>
      <c r="Z23" s="65" t="str">
        <f>IFERROR(__xludf.DUMMYFUNCTION("IFERROR(
  VLOOKUP(
    A23,
    IMPORTRANGE(
      ""1ZHMy3vVUd_0MrSduXTe1etBb1HNpAlGwQr006ljwMiM"",
      ""GSC最新!A:R""
    ),
    15,
    FALSE
  ),
  0
)
"),"")</f>
        <v/>
      </c>
      <c r="AA23" s="65" t="str">
        <f>IFERROR(__xludf.DUMMYFUNCTION("IFERROR(
  VLOOKUP(
    A23,
    IMPORTRANGE(
      ""1ZHMy3vVUd_0MrSduXTe1etBb1HNpAlGwQr006ljwMiM"",
      ""GSC最新!A:R""
    ),
    18,
    FALSE
  ),
  0
)
"),"")</f>
        <v/>
      </c>
      <c r="AB23" s="65">
        <f t="shared" ref="AB23:AC23" si="109">X23-Z23</f>
        <v>7.04519774</v>
      </c>
      <c r="AC23" s="65">
        <f t="shared" si="109"/>
        <v>6.871212121</v>
      </c>
      <c r="AD23" s="53">
        <f>IFERROR(__xludf.DUMMYFUNCTION("IFERROR(
  VLOOKUP(
    A23,
    IMPORTRANGE(
      ""1ZHMy3vVUd_0MrSduXTe1etBb1HNpAlGwQr006ljwMiM"",
      ""GSC最新!A:F""
    ),
    6,
    FALSE
  ),
  0
)
"),46081.0)</f>
        <v>46081</v>
      </c>
      <c r="AE23" s="54">
        <f>IFERROR(__xludf.DUMMYFUNCTION("IFERROR(
  VLOOKUP(
    A23,
    IMPORTRANGE(
      ""1SCYQd7_cobOYqT0r_F0IqD4tE4rYn5y8Eup4PJTH8es"",
      ""Snapshot!A:M""
    ),
    5,
    FALSE
  ),
  ""-""
)
"),7.0)</f>
        <v>7</v>
      </c>
      <c r="AF23" s="54">
        <f>IFERROR(__xludf.DUMMYFUNCTION("IFERROR(
  VLOOKUP(
    A23,
    IMPORTRANGE(
      ""1SCYQd7_cobOYqT0r_F0IqD4tE4rYn5y8Eup4PJTH8es"",
      ""Snapshot!A:M""
    ),
    6,
    FALSE
  ),
  0
)
"),2.0)</f>
        <v>2</v>
      </c>
      <c r="AG23" s="54">
        <f>IFERROR(__xludf.DUMMYFUNCTION("IFERROR(
  VLOOKUP(
    A23,
    IMPORTRANGE(
      ""1SCYQd7_cobOYqT0r_F0IqD4tE4rYn5y8Eup4PJTH8es"",
      ""Snapshot!A:M""
    ),
    7,
    FALSE
  ),
  0
)
"),3426.0)</f>
        <v>3426</v>
      </c>
      <c r="AH23" s="54">
        <f>IFERROR(__xludf.DUMMYFUNCTION("IFERROR(
  VLOOKUP(
    A23,
    IMPORTRANGE(
      ""1SCYQd7_cobOYqT0r_F0IqD4tE4rYn5y8Eup4PJTH8es"",
      ""Snapshot!A:M""
    ),
    8,
    FALSE
  ),
  0
)
"),8.0)</f>
        <v>8</v>
      </c>
      <c r="AI23" s="54">
        <f>IFERROR(__xludf.DUMMYFUNCTION("IFERROR(
  VLOOKUP(
    A23,
    IMPORTRANGE(
      ""1SCYQd7_cobOYqT0r_F0IqD4tE4rYn5y8Eup4PJTH8es"",
      ""Snapshot!A:M""
    ),
    9,
    FALSE
  ),
  0
)
"),4.0)</f>
        <v>4</v>
      </c>
      <c r="AJ23" s="54">
        <f>IFERROR(__xludf.DUMMYFUNCTION("IFERROR(
  VLOOKUP(
    A23,
    IMPORTRANGE(
      ""1SCYQd7_cobOYqT0r_F0IqD4tE4rYn5y8Eup4PJTH8es"",
      ""Snapshot!A:M""
    ),
    13,
    FALSE
  ),
  0
)
"),3.0)</f>
        <v>3</v>
      </c>
      <c r="AK23" s="49">
        <f t="shared" ref="AK23:AL23" si="110">LEN(C23)</f>
        <v>84</v>
      </c>
      <c r="AL23" s="49">
        <f t="shared" si="110"/>
        <v>94</v>
      </c>
    </row>
    <row r="24">
      <c r="A24" s="3" t="s">
        <v>290</v>
      </c>
      <c r="B24" s="1" t="str">
        <f>IFERROR(__xludf.DUMMYFUNCTION("IFERROR(
  VLOOKUP(
    A24,
    IMPORTRANGE(
      ""1ZygntHC1J6IxzKbTidmOyf5nUyW4GCLurHCjexrLm_o"",
      ""HTMLキャッシュ!A:F""
    ),
    2,
    FALSE
  ),
  0
)
"),"SP")</f>
        <v>SP</v>
      </c>
      <c r="C24" s="1" t="str">
        <f>IFERROR(__xludf.DUMMYFUNCTION("IFERROR(
  VLOOKUP(
    A24,
    IMPORTRANGE(
      ""1ZygntHC1J6IxzKbTidmOyf5nUyW4GCLurHCjexrLm_o"",
      ""HTMLキャッシュ!A:F""
    ),
    5,
    FALSE
  ),
  0
)
"),"大学受験 国語専門オンライン 個別指導で読解力徹底強化")</f>
        <v>大学受験 国語専門オンライン 個別指導で読解力徹底強化</v>
      </c>
      <c r="D24" s="1" t="str">
        <f>IFERROR(__xludf.DUMMYFUNCTION("IFERROR(
  VLOOKUP(
    A24,
    IMPORTRANGE(
      ""1ZygntHC1J6IxzKbTidmOyf5nUyW4GCLurHCjexrLm_o        "",
      ""HTMLキャッシュ!A:F""
    ),
    6,
    FALSE
  ),
  0
)
"),"国語専門のオンライン個別。現代文・小論文を1対1添削し、根拠取りと答案をその場で修正。料金・流れ掲載。")</f>
        <v>国語専門のオンライン個別。現代文・小論文を1対1添削し、根拠取りと答案をその場で修正。料金・流れ掲載。</v>
      </c>
      <c r="E24" s="32">
        <f>IFERROR(__xludf.DUMMYFUNCTION("IFERROR(
  VLOOKUP(
    A24,
    IMPORTRANGE(
      ""1ZygntHC1J6IxzKbTidmOyf5nUyW4GCLurHCjexrLm_o        "",
      ""HTMLキャッシュ!A:F""
    ),
    3,
    FALSE
  ),
  0
)
"),46081.72615740741)</f>
        <v>46081.72616</v>
      </c>
      <c r="F24" s="49">
        <f>IFERROR(__xludf.DUMMYFUNCTION("IFERROR(
  VLOOKUP(
    A24,
    IMPORTRANGE(
      ""1ZHMy3vVUd_0MrSduXTe1etBb1HNpAlGwQr006ljwMiM"",
      ""GSC最新!A:F""
    ),
    2,
    FALSE
  ),
  0
)
"),14.0)</f>
        <v>14</v>
      </c>
      <c r="G24" s="49">
        <f>IFERROR(__xludf.DUMMYFUNCTION("IFERROR(
  VLOOKUP(
    A24,
    IMPORTRANGE(
      ""1ZHMy3vVUd_0MrSduXTe1etBb1HNpAlGwQr006ljwMiM"",
      ""GSC最新!A:F""
    ),
    3,
    FALSE
  ),
  0
)
"),30.0)</f>
        <v>30</v>
      </c>
      <c r="H24" s="49">
        <f>IFERROR(__xludf.DUMMYFUNCTION("IFERROR(
  VLOOKUP(
    A24,
    IMPORTRANGE(
      ""1ZHMy3vVUd_0MrSduXTe1etBb1HNpAlGwQr006ljwMiM"",
      ""GSC最新!A:F""
    ),
    4,
    FALSE
  ),
  0
)
"),9.0)</f>
        <v>9</v>
      </c>
      <c r="I24" s="49">
        <f>IFERROR(__xludf.DUMMYFUNCTION("IFERROR(
  VLOOKUP(
    A24,
    IMPORTRANGE(
      ""1ZHMy3vVUd_0MrSduXTe1etBb1HNpAlGwQr006ljwMiM"",
      ""GSC最新!A:F""
    ),
    5,
    FALSE
  ),
  0
)
"),27.0)</f>
        <v>27</v>
      </c>
      <c r="J24" s="50">
        <f t="shared" ref="J24:K24" si="111">IFERROR(F24/H24,"-")</f>
        <v>1.555555556</v>
      </c>
      <c r="K24" s="50">
        <f t="shared" si="111"/>
        <v>1.111111111</v>
      </c>
      <c r="L24" s="6">
        <f>IFERROR(__xludf.DUMMYFUNCTION("IFERROR(
  VLOOKUP(
    A24,
    IMPORTRANGE(
      ""1ZHMy3vVUd_0MrSduXTe1etBb1HNpAlGwQr006ljwMiM"",
      ""GSC最新!A:R""
    ),
    7,
    FALSE
  ),
  0
)
"),241.0)</f>
        <v>241</v>
      </c>
      <c r="M24" s="6">
        <f>IFERROR(__xludf.DUMMYFUNCTION("IFERROR(
  VLOOKUP(
    A24,
    IMPORTRANGE(
      ""1ZHMy3vVUd_0MrSduXTe1etBb1HNpAlGwQr006ljwMiM"",
      ""GSC最新!A:R""
    ),
    10,
    FALSE
  ),
  0
)
"),584.0)</f>
        <v>584</v>
      </c>
      <c r="N24" s="6">
        <f>IFERROR(__xludf.DUMMYFUNCTION("IFERROR(
  VLOOKUP(
    A24,
    IMPORTRANGE(
      ""1ZHMy3vVUd_0MrSduXTe1etBb1HNpAlGwQr006ljwMiM"",
      ""GSC最新!A:R""
    ),
    13,
    FALSE
  ),
  0
)
"),274.0)</f>
        <v>274</v>
      </c>
      <c r="O24" s="6">
        <f>IFERROR(__xludf.DUMMYFUNCTION("IFERROR(
  VLOOKUP(
    A24,
    IMPORTRANGE(
      ""1ZHMy3vVUd_0MrSduXTe1etBb1HNpAlGwQr006ljwMiM"",
      ""GSC最新!A:R""
    ),
    16,
    FALSE
  ),
  0
)
"),1562.0)</f>
        <v>1562</v>
      </c>
      <c r="P24" s="51">
        <f t="shared" ref="P24:Q24" si="112">IFERROR(L24/N24,"-")</f>
        <v>0.8795620438</v>
      </c>
      <c r="Q24" s="51">
        <f t="shared" si="112"/>
        <v>0.3738796415</v>
      </c>
      <c r="R24" s="9">
        <f>IFERROR(__xludf.DUMMYFUNCTION("IFERROR(
  VLOOKUP(
    A24,
    IMPORTRANGE(
      ""1ZHMy3vVUd_0MrSduXTe1etBb1HNpAlGwQr006ljwMiM"",
      ""GSC最新!A:R""
    ),
    8,
    FALSE
  ),
  0
)
"),0.058091286307053944)</f>
        <v>0.05809128631</v>
      </c>
      <c r="S24" s="9">
        <f>IFERROR(__xludf.DUMMYFUNCTION("IFERROR(
  VLOOKUP(
    A24,
    IMPORTRANGE(
      ""1ZHMy3vVUd_0MrSduXTe1etBb1HNpAlGwQr006ljwMiM"",
      ""GSC最新!A:R""
    ),
    11,
    FALSE
  ),
  0
)
"),0.05136986301369863)</f>
        <v>0.05136986301</v>
      </c>
      <c r="T24" s="9">
        <f>IFERROR(__xludf.DUMMYFUNCTION("IFERROR(
  VLOOKUP(
    A24,
    IMPORTRANGE(
      ""1ZHMy3vVUd_0MrSduXTe1etBb1HNpAlGwQr006ljwMiM"",
      ""GSC最新!A:R""
    ),
    14,
    FALSE
  ),
  0
)
"),0.032846715328467155)</f>
        <v>0.03284671533</v>
      </c>
      <c r="U24" s="9">
        <f>IFERROR(__xludf.DUMMYFUNCTION("IFERROR(
  VLOOKUP(
    A24,
    IMPORTRANGE(
      ""1ZHMy3vVUd_0MrSduXTe1etBb1HNpAlGwQr006ljwMiM"",
      ""GSC最新!A:R""
    ),
    17,
    FALSE
  ),
  0
)
"),0.017285531370038413)</f>
        <v>0.01728553137</v>
      </c>
      <c r="V24" s="9">
        <f t="shared" ref="V24:W24" si="113">IFERROR(R24-T24,"-")</f>
        <v>0.02524457098</v>
      </c>
      <c r="W24" s="9">
        <f t="shared" si="113"/>
        <v>0.03408433164</v>
      </c>
      <c r="X24" s="65">
        <f>IFERROR(__xludf.DUMMYFUNCTION("IFERROR(
  VLOOKUP(
    A24,
    IMPORTRANGE(
      ""1ZHMy3vVUd_0MrSduXTe1etBb1HNpAlGwQr006ljwMiM"",
      ""GSC最新!A:R""
    ),
    9,
    FALSE
  ),
  0
)
"),11.004149377593361)</f>
        <v>11.00414938</v>
      </c>
      <c r="Y24" s="65">
        <f>IFERROR(__xludf.DUMMYFUNCTION("IFERROR(
  VLOOKUP(
    A24,
    IMPORTRANGE(
      ""1ZHMy3vVUd_0MrSduXTe1etBb1HNpAlGwQr006ljwMiM"",
      ""GSC最新!A:R""
    ),
    12,
    FALSE
  ),
  0
)
"),9.64041095890411)</f>
        <v>9.640410959</v>
      </c>
      <c r="Z24" s="65">
        <f>IFERROR(__xludf.DUMMYFUNCTION("IFERROR(
  VLOOKUP(
    A24,
    IMPORTRANGE(
      ""1ZHMy3vVUd_0MrSduXTe1etBb1HNpAlGwQr006ljwMiM"",
      ""GSC最新!A:R""
    ),
    15,
    FALSE
  ),
  0
)
"),23.631386861313867)</f>
        <v>23.63138686</v>
      </c>
      <c r="AA24" s="65">
        <f>IFERROR(__xludf.DUMMYFUNCTION("IFERROR(
  VLOOKUP(
    A24,
    IMPORTRANGE(
      ""1ZHMy3vVUd_0MrSduXTe1etBb1HNpAlGwQr006ljwMiM"",
      ""GSC最新!A:R""
    ),
    18,
    FALSE
  ),
  0
)
"),37.414212548015364)</f>
        <v>37.41421255</v>
      </c>
      <c r="AB24" s="65">
        <f t="shared" ref="AB24:AC24" si="114">X24-Z24</f>
        <v>-12.62723748</v>
      </c>
      <c r="AC24" s="65">
        <f t="shared" si="114"/>
        <v>-27.77380159</v>
      </c>
      <c r="AD24" s="53">
        <f>IFERROR(__xludf.DUMMYFUNCTION("IFERROR(
  VLOOKUP(
    A24,
    IMPORTRANGE(
      ""1ZHMy3vVUd_0MrSduXTe1etBb1HNpAlGwQr006ljwMiM"",
      ""GSC最新!A:F""
    ),
    6,
    FALSE
  ),
  0
)
"),46081.0)</f>
        <v>46081</v>
      </c>
      <c r="AE24" s="54">
        <f>IFERROR(__xludf.DUMMYFUNCTION("IFERROR(
  VLOOKUP(
    A24,
    IMPORTRANGE(
      ""1SCYQd7_cobOYqT0r_F0IqD4tE4rYn5y8Eup4PJTH8es"",
      ""Snapshot!A:M""
    ),
    5,
    FALSE
  ),
  ""-""
)
"),10.0)</f>
        <v>10</v>
      </c>
      <c r="AF24" s="54">
        <f>IFERROR(__xludf.DUMMYFUNCTION("IFERROR(
  VLOOKUP(
    A24,
    IMPORTRANGE(
      ""1SCYQd7_cobOYqT0r_F0IqD4tE4rYn5y8Eup4PJTH8es"",
      ""Snapshot!A:M""
    ),
    6,
    FALSE
  ),
  0
)
"),4.0)</f>
        <v>4</v>
      </c>
      <c r="AG24" s="54">
        <f>IFERROR(__xludf.DUMMYFUNCTION("IFERROR(
  VLOOKUP(
    A24,
    IMPORTRANGE(
      ""1SCYQd7_cobOYqT0r_F0IqD4tE4rYn5y8Eup4PJTH8es"",
      ""Snapshot!A:M""
    ),
    7,
    FALSE
  ),
  0
)
"),4767.0)</f>
        <v>4767</v>
      </c>
      <c r="AH24" s="54">
        <f>IFERROR(__xludf.DUMMYFUNCTION("IFERROR(
  VLOOKUP(
    A24,
    IMPORTRANGE(
      ""1SCYQd7_cobOYqT0r_F0IqD4tE4rYn5y8Eup4PJTH8es"",
      ""Snapshot!A:M""
    ),
    8,
    FALSE
  ),
  0
)
"),6.0)</f>
        <v>6</v>
      </c>
      <c r="AI24" s="54">
        <f>IFERROR(__xludf.DUMMYFUNCTION("IFERROR(
  VLOOKUP(
    A24,
    IMPORTRANGE(
      ""1SCYQd7_cobOYqT0r_F0IqD4tE4rYn5y8Eup4PJTH8es"",
      ""Snapshot!A:M""
    ),
    9,
    FALSE
  ),
  0
)
"),3.0)</f>
        <v>3</v>
      </c>
      <c r="AJ24" s="54">
        <f>IFERROR(__xludf.DUMMYFUNCTION("IFERROR(
  VLOOKUP(
    A24,
    IMPORTRANGE(
      ""1SCYQd7_cobOYqT0r_F0IqD4tE4rYn5y8Eup4PJTH8es"",
      ""Snapshot!A:M""
    ),
    13,
    FALSE
  ),
  0
)
"),2.0)</f>
        <v>2</v>
      </c>
      <c r="AK24" s="49">
        <f t="shared" ref="AK24:AL24" si="115">LEN(C24)</f>
        <v>27</v>
      </c>
      <c r="AL24" s="49">
        <f t="shared" si="115"/>
        <v>51</v>
      </c>
    </row>
    <row r="25">
      <c r="A25" s="3" t="s">
        <v>536</v>
      </c>
      <c r="B25" s="1" t="str">
        <f>IFERROR(__xludf.DUMMYFUNCTION("IFERROR(
  VLOOKUP(
    A25,
    IMPORTRANGE(
      ""1ZygntHC1J6IxzKbTidmOyf5nUyW4GCLurHCjexrLm_o"",
      ""HTMLキャッシュ!A:F""
    ),
    2,
    FALSE
  ),
  0
)
"),"MC")</f>
        <v>MC</v>
      </c>
      <c r="C25" s="1" t="str">
        <f>IFERROR(__xludf.DUMMYFUNCTION("IFERROR(
  VLOOKUP(
    A25,
    IMPORTRANGE(
      ""1ZygntHC1J6IxzKbTidmOyf5nUyW4GCLurHCjexrLm_o"",
      ""HTMLキャッシュ!A:F""
    ),
    5,
    FALSE
  ),
  0
)
"),"主張文・小論文の書き方入門──複数の意見を読んで自分の考えをまとめるコツ - 受験国語専門 読解ラボ東京 | 中学受験・大学受験対応の個別指導国語専門塾（オンライン・教室対応）")</f>
        <v>主張文・小論文の書き方入門──複数の意見を読んで自分の考えをまとめるコツ - 受験国語専門 読解ラボ東京 | 中学受験・大学受験対応の個別指導国語専門塾（オンライン・教室対応）</v>
      </c>
      <c r="D25" s="1" t="str">
        <f>IFERROR(__xludf.DUMMYFUNCTION("IFERROR(
  VLOOKUP(
    A25,
    IMPORTRANGE(
      ""1ZygntHC1J6IxzKbTidmOyf5nUyW4GCLurHCjexrLm_o        "",
      ""HTMLキャッシュ!A:F""
    ),
    6,
    FALSE
  ),
  0
)
"),"「主張文とは？」「論述と小論文の違いは？」という中学生・高校生向けに、国語の主張文・批評文・小論文の基本と構成の立て方を整理。複数の意見を踏まえて、譲歩や反対意見も盛り込んだ説得力のある文章を書くコツを具体的に解説します。")</f>
        <v>「主張文とは？」「論述と小論文の違いは？」という中学生・高校生向けに、国語の主張文・批評文・小論文の基本と構成の立て方を整理。複数の意見を踏まえて、譲歩や反対意見も盛り込んだ説得力のある文章を書くコツを具体的に解説します。</v>
      </c>
      <c r="E25" s="32">
        <f>IFERROR(__xludf.DUMMYFUNCTION("IFERROR(
  VLOOKUP(
    A25,
    IMPORTRANGE(
      ""1ZygntHC1J6IxzKbTidmOyf5nUyW4GCLurHCjexrLm_o        "",
      ""HTMLキャッシュ!A:F""
    ),
    3,
    FALSE
  ),
  0
)
"),46078.840844907405)</f>
        <v>46078.84084</v>
      </c>
      <c r="F25" s="49">
        <f>IFERROR(__xludf.DUMMYFUNCTION("IFERROR(
  VLOOKUP(
    A25,
    IMPORTRANGE(
      ""1ZHMy3vVUd_0MrSduXTe1etBb1HNpAlGwQr006ljwMiM"",
      ""GSC最新!A:F""
    ),
    2,
    FALSE
  ),
  0
)
"),7.0)</f>
        <v>7</v>
      </c>
      <c r="G25" s="49">
        <f>IFERROR(__xludf.DUMMYFUNCTION("IFERROR(
  VLOOKUP(
    A25,
    IMPORTRANGE(
      ""1ZHMy3vVUd_0MrSduXTe1etBb1HNpAlGwQr006ljwMiM"",
      ""GSC最新!A:F""
    ),
    3,
    FALSE
  ),
  0
)
"),27.0)</f>
        <v>27</v>
      </c>
      <c r="H25" s="49">
        <f>IFERROR(__xludf.DUMMYFUNCTION("IFERROR(
  VLOOKUP(
    A25,
    IMPORTRANGE(
      ""1ZHMy3vVUd_0MrSduXTe1etBb1HNpAlGwQr006ljwMiM"",
      ""GSC最新!A:F""
    ),
    4,
    FALSE
  ),
  0
)
"),0.0)</f>
        <v>0</v>
      </c>
      <c r="I25" s="49">
        <f>IFERROR(__xludf.DUMMYFUNCTION("IFERROR(
  VLOOKUP(
    A25,
    IMPORTRANGE(
      ""1ZHMy3vVUd_0MrSduXTe1etBb1HNpAlGwQr006ljwMiM"",
      ""GSC最新!A:F""
    ),
    5,
    FALSE
  ),
  0
)
"),0.0)</f>
        <v>0</v>
      </c>
      <c r="J25" s="50" t="str">
        <f t="shared" ref="J25:K25" si="116">IFERROR(F25/H25,"-")</f>
        <v>-</v>
      </c>
      <c r="K25" s="50" t="str">
        <f t="shared" si="116"/>
        <v>-</v>
      </c>
      <c r="L25" s="6">
        <f>IFERROR(__xludf.DUMMYFUNCTION("IFERROR(
  VLOOKUP(
    A25,
    IMPORTRANGE(
      ""1ZHMy3vVUd_0MrSduXTe1etBb1HNpAlGwQr006ljwMiM"",
      ""GSC最新!A:R""
    ),
    7,
    FALSE
  ),
  0
)
"),1053.0)</f>
        <v>1053</v>
      </c>
      <c r="M25" s="6">
        <f>IFERROR(__xludf.DUMMYFUNCTION("IFERROR(
  VLOOKUP(
    A25,
    IMPORTRANGE(
      ""1ZHMy3vVUd_0MrSduXTe1etBb1HNpAlGwQr006ljwMiM"",
      ""GSC最新!A:R""
    ),
    10,
    FALSE
  ),
  0
)
"),3573.0)</f>
        <v>3573</v>
      </c>
      <c r="N25" s="6">
        <f>IFERROR(__xludf.DUMMYFUNCTION("IFERROR(
  VLOOKUP(
    A25,
    IMPORTRANGE(
      ""1ZHMy3vVUd_0MrSduXTe1etBb1HNpAlGwQr006ljwMiM"",
      ""GSC最新!A:R""
    ),
    13,
    FALSE
  ),
  0
)
"),113.0)</f>
        <v>113</v>
      </c>
      <c r="O25" s="6">
        <f>IFERROR(__xludf.DUMMYFUNCTION("IFERROR(
  VLOOKUP(
    A25,
    IMPORTRANGE(
      ""1ZHMy3vVUd_0MrSduXTe1etBb1HNpAlGwQr006ljwMiM"",
      ""GSC最新!A:R""
    ),
    16,
    FALSE
  ),
  0
)
"),321.0)</f>
        <v>321</v>
      </c>
      <c r="P25" s="51">
        <f t="shared" ref="P25:Q25" si="117">IFERROR(L25/N25,"-")</f>
        <v>9.318584071</v>
      </c>
      <c r="Q25" s="51">
        <f t="shared" si="117"/>
        <v>11.13084112</v>
      </c>
      <c r="R25" s="9">
        <f>IFERROR(__xludf.DUMMYFUNCTION("IFERROR(
  VLOOKUP(
    A25,
    IMPORTRANGE(
      ""1ZHMy3vVUd_0MrSduXTe1etBb1HNpAlGwQr006ljwMiM"",
      ""GSC最新!A:R""
    ),
    8,
    FALSE
  ),
  0
)
"),0.006647673314339981)</f>
        <v>0.006647673314</v>
      </c>
      <c r="S25" s="9">
        <f>IFERROR(__xludf.DUMMYFUNCTION("IFERROR(
  VLOOKUP(
    A25,
    IMPORTRANGE(
      ""1ZHMy3vVUd_0MrSduXTe1etBb1HNpAlGwQr006ljwMiM"",
      ""GSC最新!A:R""
    ),
    11,
    FALSE
  ),
  0
)
"),0.007556675062972292)</f>
        <v>0.007556675063</v>
      </c>
      <c r="T25" s="9">
        <f>IFERROR(__xludf.DUMMYFUNCTION("IFERROR(
  VLOOKUP(
    A25,
    IMPORTRANGE(
      ""1ZHMy3vVUd_0MrSduXTe1etBb1HNpAlGwQr006ljwMiM"",
      ""GSC最新!A:R""
    ),
    14,
    FALSE
  ),
  0
)
"),0.0)</f>
        <v>0</v>
      </c>
      <c r="U25" s="9">
        <f>IFERROR(__xludf.DUMMYFUNCTION("IFERROR(
  VLOOKUP(
    A25,
    IMPORTRANGE(
      ""1ZHMy3vVUd_0MrSduXTe1etBb1HNpAlGwQr006ljwMiM"",
      ""GSC最新!A:R""
    ),
    17,
    FALSE
  ),
  0
)
"),0.0)</f>
        <v>0</v>
      </c>
      <c r="V25" s="9">
        <f t="shared" ref="V25:W25" si="118">IFERROR(R25-T25,"-")</f>
        <v>0.006647673314</v>
      </c>
      <c r="W25" s="9">
        <f t="shared" si="118"/>
        <v>0.007556675063</v>
      </c>
      <c r="X25" s="65">
        <f>IFERROR(__xludf.DUMMYFUNCTION("IFERROR(
  VLOOKUP(
    A25,
    IMPORTRANGE(
      ""1ZHMy3vVUd_0MrSduXTe1etBb1HNpAlGwQr006ljwMiM"",
      ""GSC最新!A:R""
    ),
    9,
    FALSE
  ),
  0
)
"),4.714150047483381)</f>
        <v>4.714150047</v>
      </c>
      <c r="Y25" s="65">
        <f>IFERROR(__xludf.DUMMYFUNCTION("IFERROR(
  VLOOKUP(
    A25,
    IMPORTRANGE(
      ""1ZHMy3vVUd_0MrSduXTe1etBb1HNpAlGwQr006ljwMiM"",
      ""GSC最新!A:R""
    ),
    12,
    FALSE
  ),
  0
)
"),5.940666106912959)</f>
        <v>5.940666107</v>
      </c>
      <c r="Z25" s="65">
        <f>IFERROR(__xludf.DUMMYFUNCTION("IFERROR(
  VLOOKUP(
    A25,
    IMPORTRANGE(
      ""1ZHMy3vVUd_0MrSduXTe1etBb1HNpAlGwQr006ljwMiM"",
      ""GSC最新!A:R""
    ),
    15,
    FALSE
  ),
  0
)
"),64.45132743362832)</f>
        <v>64.45132743</v>
      </c>
      <c r="AA25" s="65">
        <f>IFERROR(__xludf.DUMMYFUNCTION("IFERROR(
  VLOOKUP(
    A25,
    IMPORTRANGE(
      ""1ZHMy3vVUd_0MrSduXTe1etBb1HNpAlGwQr006ljwMiM"",
      ""GSC最新!A:R""
    ),
    18,
    FALSE
  ),
  0
)
"),66.202492211838)</f>
        <v>66.20249221</v>
      </c>
      <c r="AB25" s="65">
        <f t="shared" ref="AB25:AC25" si="119">X25-Z25</f>
        <v>-59.73717739</v>
      </c>
      <c r="AC25" s="65">
        <f t="shared" si="119"/>
        <v>-60.2618261</v>
      </c>
      <c r="AD25" s="53">
        <f>IFERROR(__xludf.DUMMYFUNCTION("IFERROR(
  VLOOKUP(
    A25,
    IMPORTRANGE(
      ""1ZHMy3vVUd_0MrSduXTe1etBb1HNpAlGwQr006ljwMiM"",
      ""GSC最新!A:F""
    ),
    6,
    FALSE
  ),
  0
)
"),46081.0)</f>
        <v>46081</v>
      </c>
      <c r="AE25" s="54">
        <f>IFERROR(__xludf.DUMMYFUNCTION("IFERROR(
  VLOOKUP(
    A25,
    IMPORTRANGE(
      ""1SCYQd7_cobOYqT0r_F0IqD4tE4rYn5y8Eup4PJTH8es"",
      ""Snapshot!A:M""
    ),
    5,
    FALSE
  ),
  ""-""
)
"),6.0)</f>
        <v>6</v>
      </c>
      <c r="AF25" s="54">
        <f>IFERROR(__xludf.DUMMYFUNCTION("IFERROR(
  VLOOKUP(
    A25,
    IMPORTRANGE(
      ""1SCYQd7_cobOYqT0r_F0IqD4tE4rYn5y8Eup4PJTH8es"",
      ""Snapshot!A:M""
    ),
    6,
    FALSE
  ),
  0
)
"),14.0)</f>
        <v>14</v>
      </c>
      <c r="AG25" s="54">
        <f>IFERROR(__xludf.DUMMYFUNCTION("IFERROR(
  VLOOKUP(
    A25,
    IMPORTRANGE(
      ""1SCYQd7_cobOYqT0r_F0IqD4tE4rYn5y8Eup4PJTH8es"",
      ""Snapshot!A:M""
    ),
    7,
    FALSE
  ),
  0
)
"),4420.0)</f>
        <v>4420</v>
      </c>
      <c r="AH25" s="54">
        <f>IFERROR(__xludf.DUMMYFUNCTION("IFERROR(
  VLOOKUP(
    A25,
    IMPORTRANGE(
      ""1SCYQd7_cobOYqT0r_F0IqD4tE4rYn5y8Eup4PJTH8es"",
      ""Snapshot!A:M""
    ),
    8,
    FALSE
  ),
  0
)
"),8.0)</f>
        <v>8</v>
      </c>
      <c r="AI25" s="54">
        <f>IFERROR(__xludf.DUMMYFUNCTION("IFERROR(
  VLOOKUP(
    A25,
    IMPORTRANGE(
      ""1SCYQd7_cobOYqT0r_F0IqD4tE4rYn5y8Eup4PJTH8es"",
      ""Snapshot!A:M""
    ),
    9,
    FALSE
  ),
  0
)
"),2.0)</f>
        <v>2</v>
      </c>
      <c r="AJ25" s="54">
        <f>IFERROR(__xludf.DUMMYFUNCTION("IFERROR(
  VLOOKUP(
    A25,
    IMPORTRANGE(
      ""1SCYQd7_cobOYqT0r_F0IqD4tE4rYn5y8Eup4PJTH8es"",
      ""Snapshot!A:M""
    ),
    13,
    FALSE
  ),
  0
)
"),3.0)</f>
        <v>3</v>
      </c>
      <c r="AK25" s="49">
        <f t="shared" ref="AK25:AL25" si="120">LEN(C25)</f>
        <v>88</v>
      </c>
      <c r="AL25" s="49">
        <f t="shared" si="120"/>
        <v>111</v>
      </c>
    </row>
    <row r="26">
      <c r="A26" s="3" t="s">
        <v>537</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"),"中学受験国語 詩の読み方と比喩表現で得点を伸ばす法")</f>
        <v>中学受験国語 詩の読み方と比喩表現で得点を伸ばす法</v>
      </c>
      <c r="D26" s="1" t="str">
        <f>IFERROR(__xludf.DUMMYFUNCTION("IFERROR(
  VLOOKUP(
    A26,
    IMPORTRANGE(
      ""1ZygntHC1J6IxzKbTidmOyf5nUyW4GCLurHCjexrLm_o        "",
      ""HTMLキャッシュ!A:F""
    ),
    6,
    FALSE
  ),
  0
)
"),"中学受験の詩対策。詩が出る理由を踏まえ、情景→気持ち→表現で読む。比喩・象徴は根拠の行から言い換え、選択肢は言い過ぎと飛躍を外す。記述は一文でまとめる。")</f>
        <v>中学受験の詩対策。詩が出る理由を踏まえ、情景→気持ち→表現で読む。比喩・象徴は根拠の行から言い換え、選択肢は言い過ぎと飛躍を外す。記述は一文でまとめる。</v>
      </c>
      <c r="E26" s="32">
        <f>IFERROR(__xludf.DUMMYFUNCTION("IFERROR(
  VLOOKUP(
    A26,
    IMPORTRANGE(
      ""1ZygntHC1J6IxzKbTidmOyf5nUyW4GCLurHCjexrLm_o        "",
      ""HTMLキャッシュ!A:F""
    ),
    3,
    FALSE
  ),
  0
)
"),46078.84930555556)</f>
        <v>46078.84931</v>
      </c>
      <c r="F26" s="49">
        <f>IFERROR(__xludf.DUMMYFUNCTION("IFERROR(
  VLOOKUP(
    A26,
    IMPORTRANGE(
      ""1ZHMy3vVUd_0MrSduXTe1etBb1HNpAlGwQr006ljwMiM"",
      ""GSC最新!A:F""
    ),
    2,
    FALSE
  ),
  0
)
"),8.0)</f>
        <v>8</v>
      </c>
      <c r="G26" s="49">
        <f>IFERROR(__xludf.DUMMYFUNCTION("IFERROR(
  VLOOKUP(
    A26,
    IMPORTRANGE(
      ""1ZHMy3vVUd_0MrSduXTe1etBb1HNpAlGwQr006ljwMiM"",
      ""GSC最新!A:F""
    ),
    3,
    FALSE
  ),
  0
)
"),25.0)</f>
        <v>25</v>
      </c>
      <c r="H26" s="49">
        <f>IFERROR(__xludf.DUMMYFUNCTION("IFERROR(
  VLOOKUP(
    A26,
    IMPORTRANGE(
      ""1ZHMy3vVUd_0MrSduXTe1etBb1HNpAlGwQr006ljwMiM"",
      ""GSC最新!A:F""
    ),
    4,
    FALSE
  ),
  0
)
"),6.0)</f>
        <v>6</v>
      </c>
      <c r="I26" s="49">
        <f>IFERROR(__xludf.DUMMYFUNCTION("IFERROR(
  VLOOKUP(
    A26,
    IMPORTRANGE(
      ""1ZHMy3vVUd_0MrSduXTe1etBb1HNpAlGwQr006ljwMiM"",
      ""GSC最新!A:F""
    ),
    5,
    FALSE
  ),
  0
)
"),27.0)</f>
        <v>27</v>
      </c>
      <c r="J26" s="50">
        <f t="shared" ref="J26:K26" si="121">IFERROR(F26/H26,"-")</f>
        <v>1.333333333</v>
      </c>
      <c r="K26" s="50">
        <f t="shared" si="121"/>
        <v>0.9259259259</v>
      </c>
      <c r="L26" s="6">
        <f>IFERROR(__xludf.DUMMYFUNCTION("IFERROR(
  VLOOKUP(
    A26,
    IMPORTRANGE(
      ""1ZHMy3vVUd_0MrSduXTe1etBb1HNpAlGwQr006ljwMiM"",
      ""GSC最新!A:R""
    ),
    7,
    FALSE
  ),
  0
)
"),853.0)</f>
        <v>853</v>
      </c>
      <c r="M26" s="6">
        <f>IFERROR(__xludf.DUMMYFUNCTION("IFERROR(
  VLOOKUP(
    A26,
    IMPORTRANGE(
      ""1ZHMy3vVUd_0MrSduXTe1etBb1HNpAlGwQr006ljwMiM"",
      ""GSC最新!A:R""
    ),
    10,
    FALSE
  ),
  0
)
"),1539.0)</f>
        <v>1539</v>
      </c>
      <c r="N26" s="6">
        <f>IFERROR(__xludf.DUMMYFUNCTION("IFERROR(
  VLOOKUP(
    A26,
    IMPORTRANGE(
      ""1ZHMy3vVUd_0MrSduXTe1etBb1HNpAlGwQr006ljwMiM"",
      ""GSC最新!A:R""
    ),
    13,
    FALSE
  ),
  0
)
"),394.0)</f>
        <v>394</v>
      </c>
      <c r="O26" s="6">
        <f>IFERROR(__xludf.DUMMYFUNCTION("IFERROR(
  VLOOKUP(
    A26,
    IMPORTRANGE(
      ""1ZHMy3vVUd_0MrSduXTe1etBb1HNpAlGwQr006ljwMiM"",
      ""GSC最新!A:R""
    ),
    16,
    FALSE
  ),
  0
)
"),1217.0)</f>
        <v>1217</v>
      </c>
      <c r="P26" s="51">
        <f t="shared" ref="P26:Q26" si="122">IFERROR(L26/N26,"-")</f>
        <v>2.164974619</v>
      </c>
      <c r="Q26" s="51">
        <f t="shared" si="122"/>
        <v>1.264585045</v>
      </c>
      <c r="R26" s="9">
        <f>IFERROR(__xludf.DUMMYFUNCTION("IFERROR(
  VLOOKUP(
    A26,
    IMPORTRANGE(
      ""1ZHMy3vVUd_0MrSduXTe1etBb1HNpAlGwQr006ljwMiM"",
      ""GSC最新!A:R""
    ),
    8,
    FALSE
  ),
  0
)
"),0.009378663540445486)</f>
        <v>0.00937866354</v>
      </c>
      <c r="S26" s="9">
        <f>IFERROR(__xludf.DUMMYFUNCTION("IFERROR(
  VLOOKUP(
    A26,
    IMPORTRANGE(
      ""1ZHMy3vVUd_0MrSduXTe1etBb1HNpAlGwQr006ljwMiM"",
      ""GSC最新!A:R""
    ),
    11,
    FALSE
  ),
  0
)
"),0.016244314489928524)</f>
        <v>0.01624431449</v>
      </c>
      <c r="T26" s="9">
        <f>IFERROR(__xludf.DUMMYFUNCTION("IFERROR(
  VLOOKUP(
    A26,
    IMPORTRANGE(
      ""1ZHMy3vVUd_0MrSduXTe1etBb1HNpAlGwQr006ljwMiM"",
      ""GSC最新!A:R""
    ),
    14,
    FALSE
  ),
  0
)
"),0.015228426395939087)</f>
        <v>0.0152284264</v>
      </c>
      <c r="U26" s="9">
        <f>IFERROR(__xludf.DUMMYFUNCTION("IFERROR(
  VLOOKUP(
    A26,
    IMPORTRANGE(
      ""1ZHMy3vVUd_0MrSduXTe1etBb1HNpAlGwQr006ljwMiM"",
      ""GSC最新!A:R""
    ),
    17,
    FALSE
  ),
  0
)
"),0.02218570254724733)</f>
        <v>0.02218570255</v>
      </c>
      <c r="V26" s="9">
        <f t="shared" ref="V26:W26" si="123">IFERROR(R26-T26,"-")</f>
        <v>-0.005849762855</v>
      </c>
      <c r="W26" s="9">
        <f t="shared" si="123"/>
        <v>-0.005941388057</v>
      </c>
      <c r="X26" s="65">
        <f>IFERROR(__xludf.DUMMYFUNCTION("IFERROR(
  VLOOKUP(
    A26,
    IMPORTRANGE(
      ""1ZHMy3vVUd_0MrSduXTe1etBb1HNpAlGwQr006ljwMiM"",
      ""GSC最新!A:R""
    ),
    9,
    FALSE
  ),
  0
)
"),7.926143024618992)</f>
        <v>7.926143025</v>
      </c>
      <c r="Y26" s="65">
        <f>IFERROR(__xludf.DUMMYFUNCTION("IFERROR(
  VLOOKUP(
    A26,
    IMPORTRANGE(
      ""1ZHMy3vVUd_0MrSduXTe1etBb1HNpAlGwQr006ljwMiM"",
      ""GSC最新!A:R""
    ),
    12,
    FALSE
  ),
  0
)
"),7.757634827810266)</f>
        <v>7.757634828</v>
      </c>
      <c r="Z26" s="65">
        <f>IFERROR(__xludf.DUMMYFUNCTION("IFERROR(
  VLOOKUP(
    A26,
    IMPORTRANGE(
      ""1ZHMy3vVUd_0MrSduXTe1etBb1HNpAlGwQr006ljwMiM"",
      ""GSC最新!A:R""
    ),
    15,
    FALSE
  ),
  0
)
"),14.451776649746193)</f>
        <v>14.45177665</v>
      </c>
      <c r="AA26" s="65">
        <f>IFERROR(__xludf.DUMMYFUNCTION("IFERROR(
  VLOOKUP(
    A26,
    IMPORTRANGE(
      ""1ZHMy3vVUd_0MrSduXTe1etBb1HNpAlGwQr006ljwMiM"",
      ""GSC最新!A:R""
    ),
    18,
    FALSE
  ),
  0
)
"),12.417419884963024)</f>
        <v>12.41741988</v>
      </c>
      <c r="AB26" s="65">
        <f t="shared" ref="AB26:AC26" si="124">X26-Z26</f>
        <v>-6.525633625</v>
      </c>
      <c r="AC26" s="65">
        <f t="shared" si="124"/>
        <v>-4.659785057</v>
      </c>
      <c r="AD26" s="53">
        <f>IFERROR(__xludf.DUMMYFUNCTION("IFERROR(
  VLOOKUP(
    A26,
    IMPORTRANGE(
      ""1ZHMy3vVUd_0MrSduXTe1etBb1HNpAlGwQr006ljwMiM"",
      ""GSC最新!A:F""
    ),
    6,
    FALSE
  ),
  0
)
"),46081.0)</f>
        <v>46081</v>
      </c>
      <c r="AE26" s="54">
        <f>IFERROR(__xludf.DUMMYFUNCTION("IFERROR(
  VLOOKUP(
    A26,
    IMPORTRANGE(
      ""1SCYQd7_cobOYqT0r_F0IqD4tE4rYn5y8Eup4PJTH8es"",
      ""Snapshot!A:M""
    ),
    5,
    FALSE
  ),
  ""-""
)
"),10.0)</f>
        <v>10</v>
      </c>
      <c r="AF26" s="54">
        <f>IFERROR(__xludf.DUMMYFUNCTION("IFERROR(
  VLOOKUP(
    A26,
    IMPORTRANGE(
      ""1SCYQd7_cobOYqT0r_F0IqD4tE4rYn5y8Eup4PJTH8es"",
      ""Snapshot!A:M""
    ),
    6,
    FALSE
  ),
  0
)
"),25.0)</f>
        <v>25</v>
      </c>
      <c r="AG26" s="54">
        <f>IFERROR(__xludf.DUMMYFUNCTION("IFERROR(
  VLOOKUP(
    A26,
    IMPORTRANGE(
      ""1SCYQd7_cobOYqT0r_F0IqD4tE4rYn5y8Eup4PJTH8es"",
      ""Snapshot!A:M""
    ),
    7,
    FALSE
  ),
  0
)
"),4705.0)</f>
        <v>4705</v>
      </c>
      <c r="AH26" s="54">
        <f>IFERROR(__xludf.DUMMYFUNCTION("IFERROR(
  VLOOKUP(
    A26,
    IMPORTRANGE(
      ""1SCYQd7_cobOYqT0r_F0IqD4tE4rYn5y8Eup4PJTH8es"",
      ""Snapshot!A:M""
    ),
    8,
    FALSE
  ),
  0
)
"),8.0)</f>
        <v>8</v>
      </c>
      <c r="AI26" s="54">
        <f>IFERROR(__xludf.DUMMYFUNCTION("IFERROR(
  VLOOKUP(
    A26,
    IMPORTRANGE(
      ""1SCYQd7_cobOYqT0r_F0IqD4tE4rYn5y8Eup4PJTH8es"",
      ""Snapshot!A:M""
    ),
    9,
    FALSE
  ),
  0
)
"),3.0)</f>
        <v>3</v>
      </c>
      <c r="AJ26" s="54">
        <f>IFERROR(__xludf.DUMMYFUNCTION("IFERROR(
  VLOOKUP(
    A26,
    IMPORTRANGE(
      ""1SCYQd7_cobOYqT0r_F0IqD4tE4rYn5y8Eup4PJTH8es"",
      ""Snapshot!A:M""
    ),
    13,
    FALSE
  ),
  0
)
"),3.0)</f>
        <v>3</v>
      </c>
      <c r="AK26" s="49">
        <f t="shared" ref="AK26:AL26" si="125">LEN(C26)</f>
        <v>25</v>
      </c>
      <c r="AL26" s="49">
        <f t="shared" si="125"/>
        <v>76</v>
      </c>
    </row>
    <row r="27">
      <c r="A27" s="3" t="s">
        <v>538</v>
      </c>
      <c r="B27" s="1" t="str">
        <f>IFERROR(__xludf.DUMMYFUNCTION("IFERROR(
  VLOOKUP(
    A27,
    IMPORTRANGE(
      ""1ZygntHC1J6IxzKbTidmOyf5nUyW4GCLurHCjexrLm_o"",
      ""HTMLキャッシュ!A:F""
    ),
    2,
    FALSE
  ),
  0
)
"),"MC")</f>
        <v>MC</v>
      </c>
      <c r="C27" s="1" t="str">
        <f>IFERROR(__xludf.DUMMYFUNCTION("IFERROR(
  VLOOKUP(
    A27,
    IMPORTRANGE(
      ""1ZygntHC1J6IxzKbTidmOyf5nUyW4GCLurHCjexrLm_o"",
      ""HTMLキャッシュ!A:F""
    ),
    5,
    FALSE
  ),
  0
)
"),"開成中2021国語の過去問対策を厳選解説｜心情と比喩の読み方")</f>
        <v>開成中2021国語の過去問対策を厳選解説｜心情と比喩の読み方</v>
      </c>
      <c r="D27" s="1" t="str">
        <f>IFERROR(__xludf.DUMMYFUNCTION("IFERROR(
  VLOOKUP(
    A27,
    IMPORTRANGE(
      ""1ZygntHC1J6IxzKbTidmOyf5nUyW4GCLurHCjexrLm_o        "",
      ""HTMLキャッシュ!A:F""
    ),
    6,
    FALSE
  ),
  0
)
"),"開成中2021国語の厳選設問で、心情は背景と出来事から根拠位置まで押さえる。比喩は傍線部を分けて言い換え、一文でまとめる練習に。")</f>
        <v>開成中2021国語の厳選設問で、心情は背景と出来事から根拠位置まで押さえる。比喩は傍線部を分けて言い換え、一文でまとめる練習に。</v>
      </c>
      <c r="E27" s="32">
        <f>IFERROR(__xludf.DUMMYFUNCTION("IFERROR(
  VLOOKUP(
    A27,
    IMPORTRANGE(
      ""1ZygntHC1J6IxzKbTidmOyf5nUyW4GCLurHCjexrLm_o        "",
      ""HTMLキャッシュ!A:F""
    ),
    3,
    FALSE
  ),
  0
)
"),46078.610914351855)</f>
        <v>46078.61091</v>
      </c>
      <c r="F27" s="49">
        <f>IFERROR(__xludf.DUMMYFUNCTION("IFERROR(
  VLOOKUP(
    A27,
    IMPORTRANGE(
      ""1ZHMy3vVUd_0MrSduXTe1etBb1HNpAlGwQr006ljwMiM"",
      ""GSC最新!A:F""
    ),
    2,
    FALSE
  ),
  0
)
"),3.0)</f>
        <v>3</v>
      </c>
      <c r="G27" s="49">
        <f>IFERROR(__xludf.DUMMYFUNCTION("IFERROR(
  VLOOKUP(
    A27,
    IMPORTRANGE(
      ""1ZHMy3vVUd_0MrSduXTe1etBb1HNpAlGwQr006ljwMiM"",
      ""GSC最新!A:F""
    ),
    3,
    FALSE
  ),
  0
)
"),22.0)</f>
        <v>22</v>
      </c>
      <c r="H27" s="49">
        <f>IFERROR(__xludf.DUMMYFUNCTION("IFERROR(
  VLOOKUP(
    A27,
    IMPORTRANGE(
      ""1ZHMy3vVUd_0MrSduXTe1etBb1HNpAlGwQr006ljwMiM"",
      ""GSC最新!A:F""
    ),
    4,
    FALSE
  ),
  0
)
"),1.0)</f>
        <v>1</v>
      </c>
      <c r="I27" s="49">
        <f>IFERROR(__xludf.DUMMYFUNCTION("IFERROR(
  VLOOKUP(
    A27,
    IMPORTRANGE(
      ""1ZHMy3vVUd_0MrSduXTe1etBb1HNpAlGwQr006ljwMiM"",
      ""GSC最新!A:F""
    ),
    5,
    FALSE
  ),
  0
)
"),5.0)</f>
        <v>5</v>
      </c>
      <c r="J27" s="50">
        <f t="shared" ref="J27:K27" si="126">IFERROR(F27/H27,"-")</f>
        <v>3</v>
      </c>
      <c r="K27" s="50">
        <f t="shared" si="126"/>
        <v>4.4</v>
      </c>
      <c r="L27" s="6">
        <f>IFERROR(__xludf.DUMMYFUNCTION("IFERROR(
  VLOOKUP(
    A27,
    IMPORTRANGE(
      ""1ZHMy3vVUd_0MrSduXTe1etBb1HNpAlGwQr006ljwMiM"",
      ""GSC最新!A:R""
    ),
    7,
    FALSE
  ),
  0
)
"),61.0)</f>
        <v>61</v>
      </c>
      <c r="M27" s="6">
        <f>IFERROR(__xludf.DUMMYFUNCTION("IFERROR(
  VLOOKUP(
    A27,
    IMPORTRANGE(
      ""1ZHMy3vVUd_0MrSduXTe1etBb1HNpAlGwQr006ljwMiM"",
      ""GSC最新!A:R""
    ),
    10,
    FALSE
  ),
  0
)
"),257.0)</f>
        <v>257</v>
      </c>
      <c r="N27" s="6">
        <f>IFERROR(__xludf.DUMMYFUNCTION("IFERROR(
  VLOOKUP(
    A27,
    IMPORTRANGE(
      ""1ZHMy3vVUd_0MrSduXTe1etBb1HNpAlGwQr006ljwMiM"",
      ""GSC最新!A:R""
    ),
    13,
    FALSE
  ),
  0
)
"),64.0)</f>
        <v>64</v>
      </c>
      <c r="O27" s="6">
        <f>IFERROR(__xludf.DUMMYFUNCTION("IFERROR(
  VLOOKUP(
    A27,
    IMPORTRANGE(
      ""1ZHMy3vVUd_0MrSduXTe1etBb1HNpAlGwQr006ljwMiM"",
      ""GSC最新!A:R""
    ),
    16,
    FALSE
  ),
  0
)
"),289.0)</f>
        <v>289</v>
      </c>
      <c r="P27" s="51">
        <f t="shared" ref="P27:Q27" si="127">IFERROR(L27/N27,"-")</f>
        <v>0.953125</v>
      </c>
      <c r="Q27" s="51">
        <f t="shared" si="127"/>
        <v>0.8892733564</v>
      </c>
      <c r="R27" s="9">
        <f>IFERROR(__xludf.DUMMYFUNCTION("IFERROR(
  VLOOKUP(
    A27,
    IMPORTRANGE(
      ""1ZHMy3vVUd_0MrSduXTe1etBb1HNpAlGwQr006ljwMiM"",
      ""GSC最新!A:R""
    ),
    8,
    FALSE
  ),
  0
)
"),0.04918032786885246)</f>
        <v>0.04918032787</v>
      </c>
      <c r="S27" s="9">
        <f>IFERROR(__xludf.DUMMYFUNCTION("IFERROR(
  VLOOKUP(
    A27,
    IMPORTRANGE(
      ""1ZHMy3vVUd_0MrSduXTe1etBb1HNpAlGwQr006ljwMiM"",
      ""GSC最新!A:R""
    ),
    11,
    FALSE
  ),
  0
)
"),0.08560311284046693)</f>
        <v>0.08560311284</v>
      </c>
      <c r="T27" s="9">
        <f>IFERROR(__xludf.DUMMYFUNCTION("IFERROR(
  VLOOKUP(
    A27,
    IMPORTRANGE(
      ""1ZHMy3vVUd_0MrSduXTe1etBb1HNpAlGwQr006ljwMiM"",
      ""GSC最新!A:R""
    ),
    14,
    FALSE
  ),
  0
)
"),0.015625)</f>
        <v>0.015625</v>
      </c>
      <c r="U27" s="9">
        <f>IFERROR(__xludf.DUMMYFUNCTION("IFERROR(
  VLOOKUP(
    A27,
    IMPORTRANGE(
      ""1ZHMy3vVUd_0MrSduXTe1etBb1HNpAlGwQr006ljwMiM"",
      ""GSC最新!A:R""
    ),
    17,
    FALSE
  ),
  0
)
"),0.01730103806228374)</f>
        <v>0.01730103806</v>
      </c>
      <c r="V27" s="9">
        <f t="shared" ref="V27:W27" si="128">IFERROR(R27-T27,"-")</f>
        <v>0.03355532787</v>
      </c>
      <c r="W27" s="9">
        <f t="shared" si="128"/>
        <v>0.06830207478</v>
      </c>
      <c r="X27" s="65">
        <f>IFERROR(__xludf.DUMMYFUNCTION("IFERROR(
  VLOOKUP(
    A27,
    IMPORTRANGE(
      ""1ZHMy3vVUd_0MrSduXTe1etBb1HNpAlGwQr006ljwMiM"",
      ""GSC最新!A:R""
    ),
    9,
    FALSE
  ),
  0
)
"),17.557377049180328)</f>
        <v>17.55737705</v>
      </c>
      <c r="Y27" s="65">
        <f>IFERROR(__xludf.DUMMYFUNCTION("IFERROR(
  VLOOKUP(
    A27,
    IMPORTRANGE(
      ""1ZHMy3vVUd_0MrSduXTe1etBb1HNpAlGwQr006ljwMiM"",
      ""GSC最新!A:R""
    ),
    12,
    FALSE
  ),
  0
)
"),11.82490272373541)</f>
        <v>11.82490272</v>
      </c>
      <c r="Z27" s="65">
        <f>IFERROR(__xludf.DUMMYFUNCTION("IFERROR(
  VLOOKUP(
    A27,
    IMPORTRANGE(
      ""1ZHMy3vVUd_0MrSduXTe1etBb1HNpAlGwQr006ljwMiM"",
      ""GSC最新!A:R""
    ),
    15,
    FALSE
  ),
  0
)
"),66.28125)</f>
        <v>66.28125</v>
      </c>
      <c r="AA27" s="65">
        <f>IFERROR(__xludf.DUMMYFUNCTION("IFERROR(
  VLOOKUP(
    A27,
    IMPORTRANGE(
      ""1ZHMy3vVUd_0MrSduXTe1etBb1HNpAlGwQr006ljwMiM"",
      ""GSC最新!A:R""
    ),
    18,
    FALSE
  ),
  0
)
"),54.92387543252595)</f>
        <v>54.92387543</v>
      </c>
      <c r="AB27" s="65">
        <f t="shared" ref="AB27:AC27" si="129">X27-Z27</f>
        <v>-48.72387295</v>
      </c>
      <c r="AC27" s="65">
        <f t="shared" si="129"/>
        <v>-43.09897271</v>
      </c>
      <c r="AD27" s="53">
        <f>IFERROR(__xludf.DUMMYFUNCTION("IFERROR(
  VLOOKUP(
    A27,
    IMPORTRANGE(
      ""1ZHMy3vVUd_0MrSduXTe1etBb1HNpAlGwQr006ljwMiM"",
      ""GSC最新!A:F""
    ),
    6,
    FALSE
  ),
  0
)
"),46081.0)</f>
        <v>46081</v>
      </c>
      <c r="AE27" s="54">
        <f>IFERROR(__xludf.DUMMYFUNCTION("IFERROR(
  VLOOKUP(
    A27,
    IMPORTRANGE(
      ""1SCYQd7_cobOYqT0r_F0IqD4tE4rYn5y8Eup4PJTH8es"",
      ""Snapshot!A:M""
    ),
    5,
    FALSE
  ),
  ""-""
)
"),6.0)</f>
        <v>6</v>
      </c>
      <c r="AF27" s="54">
        <f>IFERROR(__xludf.DUMMYFUNCTION("IFERROR(
  VLOOKUP(
    A27,
    IMPORTRANGE(
      ""1SCYQd7_cobOYqT0r_F0IqD4tE4rYn5y8Eup4PJTH8es"",
      ""Snapshot!A:M""
    ),
    6,
    FALSE
  ),
  0
)
"),13.0)</f>
        <v>13</v>
      </c>
      <c r="AG27" s="54">
        <f>IFERROR(__xludf.DUMMYFUNCTION("IFERROR(
  VLOOKUP(
    A27,
    IMPORTRANGE(
      ""1SCYQd7_cobOYqT0r_F0IqD4tE4rYn5y8Eup4PJTH8es"",
      ""Snapshot!A:M""
    ),
    7,
    FALSE
  ),
  0
)
"),3745.0)</f>
        <v>3745</v>
      </c>
      <c r="AH27" s="54">
        <f>IFERROR(__xludf.DUMMYFUNCTION("IFERROR(
  VLOOKUP(
    A27,
    IMPORTRANGE(
      ""1SCYQd7_cobOYqT0r_F0IqD4tE4rYn5y8Eup4PJTH8es"",
      ""Snapshot!A:M""
    ),
    8,
    FALSE
  ),
  0
)
"),1.0)</f>
        <v>1</v>
      </c>
      <c r="AI27" s="54">
        <f>IFERROR(__xludf.DUMMYFUNCTION("IFERROR(
  VLOOKUP(
    A27,
    IMPORTRANGE(
      ""1SCYQd7_cobOYqT0r_F0IqD4tE4rYn5y8Eup4PJTH8es"",
      ""Snapshot!A:M""
    ),
    9,
    FALSE
  ),
  0
)
"),1.0)</f>
        <v>1</v>
      </c>
      <c r="AJ27" s="54">
        <f>IFERROR(__xludf.DUMMYFUNCTION("IFERROR(
  VLOOKUP(
    A27,
    IMPORTRANGE(
      ""1SCYQd7_cobOYqT0r_F0IqD4tE4rYn5y8Eup4PJTH8es"",
      ""Snapshot!A:M""
    ),
    13,
    FALSE
  ),
  0
)
"),3.0)</f>
        <v>3</v>
      </c>
      <c r="AK27" s="49">
        <f t="shared" ref="AK27:AL27" si="130">LEN(C27)</f>
        <v>30</v>
      </c>
      <c r="AL27" s="49">
        <f t="shared" si="130"/>
        <v>64</v>
      </c>
    </row>
    <row r="28">
      <c r="A28" s="3" t="s">
        <v>539</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"),"SAPIXを活かす学習法 受験力を上げる関わり方と戦略")</f>
        <v>SAPIXを活かす学習法 受験力を上げる関わり方と戦略</v>
      </c>
      <c r="D28" s="1" t="str">
        <f>IFERROR(__xludf.DUMMYFUNCTION("IFERROR(
  VLOOKUP(
    A28,
    IMPORTRANGE(
      ""1ZygntHC1J6IxzKbTidmOyf5nUyW4GCLurHCjexrLm_o        "",
      ""HTMLキャッシュ!A:F""
    ),
    6,
    FALSE
  ),
  0
)
"),"SAPIX国語が伸びない原因を整理。A/Bテキストの使い分け、語彙・記述、志望校別の補い方を解説。")</f>
        <v>SAPIX国語が伸びない原因を整理。A/Bテキストの使い分け、語彙・記述、志望校別の補い方を解説。</v>
      </c>
      <c r="E28" s="32">
        <f>IFERROR(__xludf.DUMMYFUNCTION("IFERROR(
  VLOOKUP(
    A28,
    IMPORTRANGE(
      ""1ZygntHC1J6IxzKbTidmOyf5nUyW4GCLurHCjexrLm_o        "",
      ""HTMLキャッシュ!A:F""
    ),
    3,
    FALSE
  ),
  0
)
"),46073.57833333333)</f>
        <v>46073.57833</v>
      </c>
      <c r="F28" s="49">
        <f>IFERROR(__xludf.DUMMYFUNCTION("IFERROR(
  VLOOKUP(
    A28,
    IMPORTRANGE(
      ""1ZHMy3vVUd_0MrSduXTe1etBb1HNpAlGwQr006ljwMiM"",
      ""GSC最新!A:F""
    ),
    2,
    FALSE
  ),
  0
)
"),7.0)</f>
        <v>7</v>
      </c>
      <c r="G28" s="49">
        <f>IFERROR(__xludf.DUMMYFUNCTION("IFERROR(
  VLOOKUP(
    A28,
    IMPORTRANGE(
      ""1ZHMy3vVUd_0MrSduXTe1etBb1HNpAlGwQr006ljwMiM"",
      ""GSC最新!A:F""
    ),
    3,
    FALSE
  ),
  0
)
"),24.0)</f>
        <v>24</v>
      </c>
      <c r="H28" s="49">
        <f>IFERROR(__xludf.DUMMYFUNCTION("IFERROR(
  VLOOKUP(
    A28,
    IMPORTRANGE(
      ""1ZHMy3vVUd_0MrSduXTe1etBb1HNpAlGwQr006ljwMiM"",
      ""GSC最新!A:F""
    ),
    4,
    FALSE
  ),
  0
)
"),6.0)</f>
        <v>6</v>
      </c>
      <c r="I28" s="49">
        <f>IFERROR(__xludf.DUMMYFUNCTION("IFERROR(
  VLOOKUP(
    A28,
    IMPORTRANGE(
      ""1ZHMy3vVUd_0MrSduXTe1etBb1HNpAlGwQr006ljwMiM"",
      ""GSC最新!A:F""
    ),
    5,
    FALSE
  ),
  0
)
"),16.0)</f>
        <v>16</v>
      </c>
      <c r="J28" s="50">
        <f t="shared" ref="J28:K28" si="131">IFERROR(F28/H28,"-")</f>
        <v>1.166666667</v>
      </c>
      <c r="K28" s="50">
        <f t="shared" si="131"/>
        <v>1.5</v>
      </c>
      <c r="L28" s="6">
        <f>IFERROR(__xludf.DUMMYFUNCTION("IFERROR(
  VLOOKUP(
    A28,
    IMPORTRANGE(
      ""1ZHMy3vVUd_0MrSduXTe1etBb1HNpAlGwQr006ljwMiM"",
      ""GSC最新!A:R""
    ),
    7,
    FALSE
  ),
  0
)
"),271.0)</f>
        <v>271</v>
      </c>
      <c r="M28" s="6">
        <f>IFERROR(__xludf.DUMMYFUNCTION("IFERROR(
  VLOOKUP(
    A28,
    IMPORTRANGE(
      ""1ZHMy3vVUd_0MrSduXTe1etBb1HNpAlGwQr006ljwMiM"",
      ""GSC最新!A:R""
    ),
    10,
    FALSE
  ),
  0
)
"),617.0)</f>
        <v>617</v>
      </c>
      <c r="N28" s="6">
        <f>IFERROR(__xludf.DUMMYFUNCTION("IFERROR(
  VLOOKUP(
    A28,
    IMPORTRANGE(
      ""1ZHMy3vVUd_0MrSduXTe1etBb1HNpAlGwQr006ljwMiM"",
      ""GSC最新!A:R""
    ),
    13,
    FALSE
  ),
  0
)
"),91.0)</f>
        <v>91</v>
      </c>
      <c r="O28" s="6">
        <f>IFERROR(__xludf.DUMMYFUNCTION("IFERROR(
  VLOOKUP(
    A28,
    IMPORTRANGE(
      ""1ZHMy3vVUd_0MrSduXTe1etBb1HNpAlGwQr006ljwMiM"",
      ""GSC最新!A:R""
    ),
    16,
    FALSE
  ),
  0
)
"),629.0)</f>
        <v>629</v>
      </c>
      <c r="P28" s="51">
        <f t="shared" ref="P28:Q28" si="132">IFERROR(L28/N28,"-")</f>
        <v>2.978021978</v>
      </c>
      <c r="Q28" s="51">
        <f t="shared" si="132"/>
        <v>0.9809220986</v>
      </c>
      <c r="R28" s="9">
        <f>IFERROR(__xludf.DUMMYFUNCTION("IFERROR(
  VLOOKUP(
    A28,
    IMPORTRANGE(
      ""1ZHMy3vVUd_0MrSduXTe1etBb1HNpAlGwQr006ljwMiM"",
      ""GSC最新!A:R""
    ),
    8,
    FALSE
  ),
  0
)
"),0.025830258302583026)</f>
        <v>0.0258302583</v>
      </c>
      <c r="S28" s="9">
        <f>IFERROR(__xludf.DUMMYFUNCTION("IFERROR(
  VLOOKUP(
    A28,
    IMPORTRANGE(
      ""1ZHMy3vVUd_0MrSduXTe1etBb1HNpAlGwQr006ljwMiM"",
      ""GSC最新!A:R""
    ),
    11,
    FALSE
  ),
  0
)
"),0.03889789303079417)</f>
        <v>0.03889789303</v>
      </c>
      <c r="T28" s="9">
        <f>IFERROR(__xludf.DUMMYFUNCTION("IFERROR(
  VLOOKUP(
    A28,
    IMPORTRANGE(
      ""1ZHMy3vVUd_0MrSduXTe1etBb1HNpAlGwQr006ljwMiM"",
      ""GSC最新!A:R""
    ),
    14,
    FALSE
  ),
  0
)
"),0.06593406593406594)</f>
        <v>0.06593406593</v>
      </c>
      <c r="U28" s="9">
        <f>IFERROR(__xludf.DUMMYFUNCTION("IFERROR(
  VLOOKUP(
    A28,
    IMPORTRANGE(
      ""1ZHMy3vVUd_0MrSduXTe1etBb1HNpAlGwQr006ljwMiM"",
      ""GSC最新!A:R""
    ),
    17,
    FALSE
  ),
  0
)
"),0.025437201907790145)</f>
        <v>0.02543720191</v>
      </c>
      <c r="V28" s="9">
        <f t="shared" ref="V28:W28" si="133">IFERROR(R28-T28,"-")</f>
        <v>-0.04010380763</v>
      </c>
      <c r="W28" s="9">
        <f t="shared" si="133"/>
        <v>0.01346069112</v>
      </c>
      <c r="X28" s="65">
        <f>IFERROR(__xludf.DUMMYFUNCTION("IFERROR(
  VLOOKUP(
    A28,
    IMPORTRANGE(
      ""1ZHMy3vVUd_0MrSduXTe1etBb1HNpAlGwQr006ljwMiM"",
      ""GSC最新!A:R""
    ),
    9,
    FALSE
  ),
  0
)
"),7.81549815498155)</f>
        <v>7.815498155</v>
      </c>
      <c r="Y28" s="65">
        <f>IFERROR(__xludf.DUMMYFUNCTION("IFERROR(
  VLOOKUP(
    A28,
    IMPORTRANGE(
      ""1ZHMy3vVUd_0MrSduXTe1etBb1HNpAlGwQr006ljwMiM"",
      ""GSC最新!A:R""
    ),
    12,
    FALSE
  ),
  0
)
"),9.460291734197732)</f>
        <v>9.460291734</v>
      </c>
      <c r="Z28" s="65">
        <f>IFERROR(__xludf.DUMMYFUNCTION("IFERROR(
  VLOOKUP(
    A28,
    IMPORTRANGE(
      ""1ZHMy3vVUd_0MrSduXTe1etBb1HNpAlGwQr006ljwMiM"",
      ""GSC最新!A:R""
    ),
    15,
    FALSE
  ),
  0
)
"),30.274725274725274)</f>
        <v>30.27472527</v>
      </c>
      <c r="AA28" s="65">
        <f>IFERROR(__xludf.DUMMYFUNCTION("IFERROR(
  VLOOKUP(
    A28,
    IMPORTRANGE(
      ""1ZHMy3vVUd_0MrSduXTe1etBb1HNpAlGwQr006ljwMiM"",
      ""GSC最新!A:R""
    ),
    18,
    FALSE
  ),
  0
)
"),35.06200317965024)</f>
        <v>35.06200318</v>
      </c>
      <c r="AB28" s="65">
        <f t="shared" ref="AB28:AC28" si="134">X28-Z28</f>
        <v>-22.45922712</v>
      </c>
      <c r="AC28" s="65">
        <f t="shared" si="134"/>
        <v>-25.60171145</v>
      </c>
      <c r="AD28" s="53">
        <f>IFERROR(__xludf.DUMMYFUNCTION("IFERROR(
  VLOOKUP(
    A28,
    IMPORTRANGE(
      ""1ZHMy3vVUd_0MrSduXTe1etBb1HNpAlGwQr006ljwMiM"",
      ""GSC最新!A:F""
    ),
    6,
    FALSE
  ),
  0
)
"),46081.0)</f>
        <v>46081</v>
      </c>
      <c r="AE28" s="54">
        <f>IFERROR(__xludf.DUMMYFUNCTION("IFERROR(
  VLOOKUP(
    A28,
    IMPORTRANGE(
      ""1SCYQd7_cobOYqT0r_F0IqD4tE4rYn5y8Eup4PJTH8es"",
      ""Snapshot!A:M""
    ),
    5,
    FALSE
  ),
  ""-""
)
"),4.0)</f>
        <v>4</v>
      </c>
      <c r="AF28" s="54">
        <f>IFERROR(__xludf.DUMMYFUNCTION("IFERROR(
  VLOOKUP(
    A28,
    IMPORTRANGE(
      ""1SCYQd7_cobOYqT0r_F0IqD4tE4rYn5y8Eup4PJTH8es"",
      ""Snapshot!A:M""
    ),
    6,
    FALSE
  ),
  0
)
"),8.0)</f>
        <v>8</v>
      </c>
      <c r="AG28" s="54">
        <f>IFERROR(__xludf.DUMMYFUNCTION("IFERROR(
  VLOOKUP(
    A28,
    IMPORTRANGE(
      ""1SCYQd7_cobOYqT0r_F0IqD4tE4rYn5y8Eup4PJTH8es"",
      ""Snapshot!A:M""
    ),
    7,
    FALSE
  ),
  0
)
"),4208.0)</f>
        <v>4208</v>
      </c>
      <c r="AH28" s="54">
        <f>IFERROR(__xludf.DUMMYFUNCTION("IFERROR(
  VLOOKUP(
    A28,
    IMPORTRANGE(
      ""1SCYQd7_cobOYqT0r_F0IqD4tE4rYn5y8Eup4PJTH8es"",
      ""Snapshot!A:M""
    ),
    8,
    FALSE
  ),
  0
)
"),14.0)</f>
        <v>14</v>
      </c>
      <c r="AI28" s="54">
        <f>IFERROR(__xludf.DUMMYFUNCTION("IFERROR(
  VLOOKUP(
    A28,
    IMPORTRANGE(
      ""1SCYQd7_cobOYqT0r_F0IqD4tE4rYn5y8Eup4PJTH8es"",
      ""Snapshot!A:M""
    ),
    9,
    FALSE
  ),
  0
)
"),4.0)</f>
        <v>4</v>
      </c>
      <c r="AJ28" s="54">
        <f>IFERROR(__xludf.DUMMYFUNCTION("IFERROR(
  VLOOKUP(
    A28,
    IMPORTRANGE(
      ""1SCYQd7_cobOYqT0r_F0IqD4tE4rYn5y8Eup4PJTH8es"",
      ""Snapshot!A:M""
    ),
    13,
    FALSE
  ),
  0
)
"),3.0)</f>
        <v>3</v>
      </c>
      <c r="AK28" s="49">
        <f t="shared" ref="AK28:AL28" si="135">LEN(C28)</f>
        <v>27</v>
      </c>
      <c r="AL28" s="49">
        <f t="shared" si="135"/>
        <v>49</v>
      </c>
    </row>
    <row r="29">
      <c r="A29" s="3" t="s">
        <v>540</v>
      </c>
      <c r="B29" s="1" t="str">
        <f>IFERROR(__xludf.DUMMYFUNCTION("IFERROR(
  VLOOKUP(
    A29,
    IMPORTRANGE(
      ""1ZygntHC1J6IxzKbTidmOyf5nUyW4GCLurHCjexrLm_o"",
      ""HTMLキャッシュ!A:F""
    ),
    2,
    FALSE
  ),
  0
)
"),"MC")</f>
        <v>MC</v>
      </c>
      <c r="C29" s="1" t="str">
        <f>IFERROR(__xludf.DUMMYFUNCTION("IFERROR(
  VLOOKUP(
    A29,
    IMPORTRANGE(
      ""1ZygntHC1J6IxzKbTidmOyf5nUyW4GCLurHCjexrLm_o"",
      ""HTMLキャッシュ!A:F""
    ),
    5,
    FALSE
  ),
  0
)
"),"海城中2020国語｜記述重視の読み方と答案作成の具体戦略")</f>
        <v>海城中2020国語｜記述重視の読み方と答案作成の具体戦略</v>
      </c>
      <c r="D29" s="1" t="str">
        <f>IFERROR(__xludf.DUMMYFUNCTION("IFERROR(
  VLOOKUP(
    A29,
    IMPORTRANGE(
      ""1ZygntHC1J6IxzKbTidmOyf5nUyW4GCLurHCjexrLm_o        "",
      ""HTMLキャッシュ!A:F""
    ),
    6,
    FALSE
  ),
  0
)
"),"国語の「どういうことか」が書けない原因と答え方を解説。海城2020過去問を使い、記述の整理法と読み方の基準をまとめました。")</f>
        <v>国語の「どういうことか」が書けない原因と答え方を解説。海城2020過去問を使い、記述の整理法と読み方の基準をまとめました。</v>
      </c>
      <c r="E29" s="32">
        <f>IFERROR(__xludf.DUMMYFUNCTION("IFERROR(
  VLOOKUP(
    A29,
    IMPORTRANGE(
      ""1ZygntHC1J6IxzKbTidmOyf5nUyW4GCLurHCjexrLm_o        "",
      ""HTMLキャッシュ!A:F""
    ),
    3,
    FALSE
  ),
  0
)
"),46073.845729166664)</f>
        <v>46073.84573</v>
      </c>
      <c r="F29" s="49">
        <f>IFERROR(__xludf.DUMMYFUNCTION("IFERROR(
  VLOOKUP(
    A29,
    IMPORTRANGE(
      ""1ZHMy3vVUd_0MrSduXTe1etBb1HNpAlGwQr006ljwMiM"",
      ""GSC最新!A:F""
    ),
    2,
    FALSE
  ),
  0
)
"),3.0)</f>
        <v>3</v>
      </c>
      <c r="G29" s="49">
        <f>IFERROR(__xludf.DUMMYFUNCTION("IFERROR(
  VLOOKUP(
    A29,
    IMPORTRANGE(
      ""1ZHMy3vVUd_0MrSduXTe1etBb1HNpAlGwQr006ljwMiM"",
      ""GSC最新!A:F""
    ),
    3,
    FALSE
  ),
  0
)
"),22.0)</f>
        <v>22</v>
      </c>
      <c r="H29" s="49">
        <f>IFERROR(__xludf.DUMMYFUNCTION("IFERROR(
  VLOOKUP(
    A29,
    IMPORTRANGE(
      ""1ZHMy3vVUd_0MrSduXTe1etBb1HNpAlGwQr006ljwMiM"",
      ""GSC最新!A:F""
    ),
    4,
    FALSE
  ),
  0
)
"),0.0)</f>
        <v>0</v>
      </c>
      <c r="I29" s="49">
        <f>IFERROR(__xludf.DUMMYFUNCTION("IFERROR(
  VLOOKUP(
    A29,
    IMPORTRANGE(
      ""1ZHMy3vVUd_0MrSduXTe1etBb1HNpAlGwQr006ljwMiM"",
      ""GSC最新!A:F""
    ),
    5,
    FALSE
  ),
  0
)
"),6.0)</f>
        <v>6</v>
      </c>
      <c r="J29" s="50" t="str">
        <f t="shared" ref="J29:K29" si="136">IFERROR(F29/H29,"-")</f>
        <v>-</v>
      </c>
      <c r="K29" s="50">
        <f t="shared" si="136"/>
        <v>3.666666667</v>
      </c>
      <c r="L29" s="6">
        <f>IFERROR(__xludf.DUMMYFUNCTION("IFERROR(
  VLOOKUP(
    A29,
    IMPORTRANGE(
      ""1ZHMy3vVUd_0MrSduXTe1etBb1HNpAlGwQr006ljwMiM"",
      ""GSC最新!A:R""
    ),
    7,
    FALSE
  ),
  0
)
"),112.0)</f>
        <v>112</v>
      </c>
      <c r="M29" s="6">
        <f>IFERROR(__xludf.DUMMYFUNCTION("IFERROR(
  VLOOKUP(
    A29,
    IMPORTRANGE(
      ""1ZHMy3vVUd_0MrSduXTe1etBb1HNpAlGwQr006ljwMiM"",
      ""GSC最新!A:R""
    ),
    10,
    FALSE
  ),
  0
)
"),401.0)</f>
        <v>401</v>
      </c>
      <c r="N29" s="6">
        <f>IFERROR(__xludf.DUMMYFUNCTION("IFERROR(
  VLOOKUP(
    A29,
    IMPORTRANGE(
      ""1ZHMy3vVUd_0MrSduXTe1etBb1HNpAlGwQr006ljwMiM"",
      ""GSC最新!A:R""
    ),
    13,
    FALSE
  ),
  0
)
"),18.0)</f>
        <v>18</v>
      </c>
      <c r="O29" s="6">
        <f>IFERROR(__xludf.DUMMYFUNCTION("IFERROR(
  VLOOKUP(
    A29,
    IMPORTRANGE(
      ""1ZHMy3vVUd_0MrSduXTe1etBb1HNpAlGwQr006ljwMiM"",
      ""GSC最新!A:R""
    ),
    16,
    FALSE
  ),
  0
)
"),526.0)</f>
        <v>526</v>
      </c>
      <c r="P29" s="51">
        <f t="shared" ref="P29:Q29" si="137">IFERROR(L29/N29,"-")</f>
        <v>6.222222222</v>
      </c>
      <c r="Q29" s="51">
        <f t="shared" si="137"/>
        <v>0.7623574144</v>
      </c>
      <c r="R29" s="9">
        <f>IFERROR(__xludf.DUMMYFUNCTION("IFERROR(
  VLOOKUP(
    A29,
    IMPORTRANGE(
      ""1ZHMy3vVUd_0MrSduXTe1etBb1HNpAlGwQr006ljwMiM"",
      ""GSC最新!A:R""
    ),
    8,
    FALSE
  ),
  0
)
"),0.026785714285714284)</f>
        <v>0.02678571429</v>
      </c>
      <c r="S29" s="9">
        <f>IFERROR(__xludf.DUMMYFUNCTION("IFERROR(
  VLOOKUP(
    A29,
    IMPORTRANGE(
      ""1ZHMy3vVUd_0MrSduXTe1etBb1HNpAlGwQr006ljwMiM"",
      ""GSC最新!A:R""
    ),
    11,
    FALSE
  ),
  0
)
"),0.05486284289276808)</f>
        <v>0.05486284289</v>
      </c>
      <c r="T29" s="9">
        <f>IFERROR(__xludf.DUMMYFUNCTION("IFERROR(
  VLOOKUP(
    A29,
    IMPORTRANGE(
      ""1ZHMy3vVUd_0MrSduXTe1etBb1HNpAlGwQr006ljwMiM"",
      ""GSC最新!A:R""
    ),
    14,
    FALSE
  ),
  0
)
"),0.0)</f>
        <v>0</v>
      </c>
      <c r="U29" s="9">
        <f>IFERROR(__xludf.DUMMYFUNCTION("IFERROR(
  VLOOKUP(
    A29,
    IMPORTRANGE(
      ""1ZHMy3vVUd_0MrSduXTe1etBb1HNpAlGwQr006ljwMiM"",
      ""GSC最新!A:R""
    ),
    17,
    FALSE
  ),
  0
)
"),0.011406844106463879)</f>
        <v>0.01140684411</v>
      </c>
      <c r="V29" s="9">
        <f t="shared" ref="V29:W29" si="138">IFERROR(R29-T29,"-")</f>
        <v>0.02678571429</v>
      </c>
      <c r="W29" s="9">
        <f t="shared" si="138"/>
        <v>0.04345599879</v>
      </c>
      <c r="X29" s="65">
        <f>IFERROR(__xludf.DUMMYFUNCTION("IFERROR(
  VLOOKUP(
    A29,
    IMPORTRANGE(
      ""1ZHMy3vVUd_0MrSduXTe1etBb1HNpAlGwQr006ljwMiM"",
      ""GSC最新!A:R""
    ),
    9,
    FALSE
  ),
  0
)
"),9.705357142857142)</f>
        <v>9.705357143</v>
      </c>
      <c r="Y29" s="65">
        <f>IFERROR(__xludf.DUMMYFUNCTION("IFERROR(
  VLOOKUP(
    A29,
    IMPORTRANGE(
      ""1ZHMy3vVUd_0MrSduXTe1etBb1HNpAlGwQr006ljwMiM"",
      ""GSC最新!A:R""
    ),
    12,
    FALSE
  ),
  0
)
"),8.301745635910224)</f>
        <v>8.301745636</v>
      </c>
      <c r="Z29" s="65">
        <f>IFERROR(__xludf.DUMMYFUNCTION("IFERROR(
  VLOOKUP(
    A29,
    IMPORTRANGE(
      ""1ZHMy3vVUd_0MrSduXTe1etBb1HNpAlGwQr006ljwMiM"",
      ""GSC最新!A:R""
    ),
    15,
    FALSE
  ),
  0
)
"),22.38888888888889)</f>
        <v>22.38888889</v>
      </c>
      <c r="AA29" s="65">
        <f>IFERROR(__xludf.DUMMYFUNCTION("IFERROR(
  VLOOKUP(
    A29,
    IMPORTRANGE(
      ""1ZHMy3vVUd_0MrSduXTe1etBb1HNpAlGwQr006ljwMiM"",
      ""GSC最新!A:R""
    ),
    18,
    FALSE
  ),
  0
)
"),42.243346007604565)</f>
        <v>42.24334601</v>
      </c>
      <c r="AB29" s="65">
        <f t="shared" ref="AB29:AC29" si="139">X29-Z29</f>
        <v>-12.68353175</v>
      </c>
      <c r="AC29" s="65">
        <f t="shared" si="139"/>
        <v>-33.94160037</v>
      </c>
      <c r="AD29" s="53">
        <f>IFERROR(__xludf.DUMMYFUNCTION("IFERROR(
  VLOOKUP(
    A29,
    IMPORTRANGE(
      ""1ZHMy3vVUd_0MrSduXTe1etBb1HNpAlGwQr006ljwMiM"",
      ""GSC最新!A:F""
    ),
    6,
    FALSE
  ),
  0
)
"),46081.0)</f>
        <v>46081</v>
      </c>
      <c r="AE29" s="54">
        <f>IFERROR(__xludf.DUMMYFUNCTION("IFERROR(
  VLOOKUP(
    A29,
    IMPORTRANGE(
      ""1SCYQd7_cobOYqT0r_F0IqD4tE4rYn5y8Eup4PJTH8es"",
      ""Snapshot!A:M""
    ),
    5,
    FALSE
  ),
  ""-""
)
"),5.0)</f>
        <v>5</v>
      </c>
      <c r="AF29" s="54">
        <f>IFERROR(__xludf.DUMMYFUNCTION("IFERROR(
  VLOOKUP(
    A29,
    IMPORTRANGE(
      ""1SCYQd7_cobOYqT0r_F0IqD4tE4rYn5y8Eup4PJTH8es"",
      ""Snapshot!A:M""
    ),
    6,
    FALSE
  ),
  0
)
"),5.0)</f>
        <v>5</v>
      </c>
      <c r="AG29" s="54">
        <f>IFERROR(__xludf.DUMMYFUNCTION("IFERROR(
  VLOOKUP(
    A29,
    IMPORTRANGE(
      ""1SCYQd7_cobOYqT0r_F0IqD4tE4rYn5y8Eup4PJTH8es"",
      ""Snapshot!A:M""
    ),
    7,
    FALSE
  ),
  0
)
"),2057.0)</f>
        <v>2057</v>
      </c>
      <c r="AH29" s="54">
        <f>IFERROR(__xludf.DUMMYFUNCTION("IFERROR(
  VLOOKUP(
    A29,
    IMPORTRANGE(
      ""1SCYQd7_cobOYqT0r_F0IqD4tE4rYn5y8Eup4PJTH8es"",
      ""Snapshot!A:M""
    ),
    8,
    FALSE
  ),
  0
)
"),7.0)</f>
        <v>7</v>
      </c>
      <c r="AI29" s="54">
        <f>IFERROR(__xludf.DUMMYFUNCTION("IFERROR(
  VLOOKUP(
    A29,
    IMPORTRANGE(
      ""1SCYQd7_cobOYqT0r_F0IqD4tE4rYn5y8Eup4PJTH8es"",
      ""Snapshot!A:M""
    ),
    9,
    FALSE
  ),
  0
)
"),1.0)</f>
        <v>1</v>
      </c>
      <c r="AJ29" s="54">
        <f>IFERROR(__xludf.DUMMYFUNCTION("IFERROR(
  VLOOKUP(
    A29,
    IMPORTRANGE(
      ""1SCYQd7_cobOYqT0r_F0IqD4tE4rYn5y8Eup4PJTH8es"",
      ""Snapshot!A:M""
    ),
    13,
    FALSE
  ),
  0
)
"),3.0)</f>
        <v>3</v>
      </c>
      <c r="AK29" s="49">
        <f t="shared" ref="AK29:AL29" si="140">LEN(C29)</f>
        <v>28</v>
      </c>
      <c r="AL29" s="49">
        <f t="shared" si="140"/>
        <v>61</v>
      </c>
    </row>
    <row r="30">
      <c r="A30" s="3" t="s">
        <v>541</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"),"灘中学入試問題2020国語2日目｜出題傾向と記述対策を解説")</f>
        <v>灘中学入試問題2020国語2日目｜出題傾向と記述対策を解説</v>
      </c>
      <c r="D30" s="1" t="str">
        <f>IFERROR(__xludf.DUMMYFUNCTION("IFERROR(
  VLOOKUP(
    A30,
    IMPORTRANGE(
      ""1ZygntHC1J6IxzKbTidmOyf5nUyW4GCLurHCjexrLm_o        "",
      ""HTMLキャッシュ!A:F""
    ),
    6,
    FALSE
  ),
  0
)
"),"灘中学入試問題2020年2日目の国語を解説。随筆・物語・詩の3題構成と、理由記述で点を取る読み方を整理。背景→出来事→気持ちで根拠をそろえる方法と動画解説を紹介")</f>
        <v>灘中学入試問題2020年2日目の国語を解説。随筆・物語・詩の3題構成と、理由記述で点を取る読み方を整理。背景→出来事→気持ちで根拠をそろえる方法と動画解説を紹介</v>
      </c>
      <c r="E30" s="32">
        <f>IFERROR(__xludf.DUMMYFUNCTION("IFERROR(
  VLOOKUP(
    A30,
    IMPORTRANGE(
      ""1ZygntHC1J6IxzKbTidmOyf5nUyW4GCLurHCjexrLm_o        "",
      ""HTMLキャッシュ!A:F""
    ),
    3,
    FALSE
  ),
  0
)
"),46078.84300925926)</f>
        <v>46078.84301</v>
      </c>
      <c r="F30" s="49">
        <f>IFERROR(__xludf.DUMMYFUNCTION("IFERROR(
  VLOOKUP(
    A30,
    IMPORTRANGE(
      ""1ZHMy3vVUd_0MrSduXTe1etBb1HNpAlGwQr006ljwMiM"",
      ""GSC最新!A:F""
    ),
    2,
    FALSE
  ),
  0
)
"),7.0)</f>
        <v>7</v>
      </c>
      <c r="G30" s="49">
        <f>IFERROR(__xludf.DUMMYFUNCTION("IFERROR(
  VLOOKUP(
    A30,
    IMPORTRANGE(
      ""1ZHMy3vVUd_0MrSduXTe1etBb1HNpAlGwQr006ljwMiM"",
      ""GSC最新!A:F""
    ),
    3,
    FALSE
  ),
  0
)
"),24.0)</f>
        <v>24</v>
      </c>
      <c r="H30" s="49">
        <f>IFERROR(__xludf.DUMMYFUNCTION("IFERROR(
  VLOOKUP(
    A30,
    IMPORTRANGE(
      ""1ZHMy3vVUd_0MrSduXTe1etBb1HNpAlGwQr006ljwMiM"",
      ""GSC最新!A:F""
    ),
    4,
    FALSE
  ),
  0
)
"),7.0)</f>
        <v>7</v>
      </c>
      <c r="I30" s="49">
        <f>IFERROR(__xludf.DUMMYFUNCTION("IFERROR(
  VLOOKUP(
    A30,
    IMPORTRANGE(
      ""1ZHMy3vVUd_0MrSduXTe1etBb1HNpAlGwQr006ljwMiM"",
      ""GSC最新!A:F""
    ),
    5,
    FALSE
  ),
  0
)
"),20.0)</f>
        <v>20</v>
      </c>
      <c r="J30" s="50">
        <f t="shared" ref="J30:K30" si="141">IFERROR(F30/H30,"-")</f>
        <v>1</v>
      </c>
      <c r="K30" s="50">
        <f t="shared" si="141"/>
        <v>1.2</v>
      </c>
      <c r="L30" s="6">
        <f>IFERROR(__xludf.DUMMYFUNCTION("IFERROR(
  VLOOKUP(
    A30,
    IMPORTRANGE(
      ""1ZHMy3vVUd_0MrSduXTe1etBb1HNpAlGwQr006ljwMiM"",
      ""GSC最新!A:R""
    ),
    7,
    FALSE
  ),
  0
)
"),113.0)</f>
        <v>113</v>
      </c>
      <c r="M30" s="6">
        <f>IFERROR(__xludf.DUMMYFUNCTION("IFERROR(
  VLOOKUP(
    A30,
    IMPORTRANGE(
      ""1ZHMy3vVUd_0MrSduXTe1etBb1HNpAlGwQr006ljwMiM"",
      ""GSC最新!A:R""
    ),
    10,
    FALSE
  ),
  0
)
"),712.0)</f>
        <v>712</v>
      </c>
      <c r="N30" s="6">
        <f>IFERROR(__xludf.DUMMYFUNCTION("IFERROR(
  VLOOKUP(
    A30,
    IMPORTRANGE(
      ""1ZHMy3vVUd_0MrSduXTe1etBb1HNpAlGwQr006ljwMiM"",
      ""GSC最新!A:R""
    ),
    13,
    FALSE
  ),
  0
)
"),222.0)</f>
        <v>222</v>
      </c>
      <c r="O30" s="6">
        <f>IFERROR(__xludf.DUMMYFUNCTION("IFERROR(
  VLOOKUP(
    A30,
    IMPORTRANGE(
      ""1ZHMy3vVUd_0MrSduXTe1etBb1HNpAlGwQr006ljwMiM"",
      ""GSC最新!A:R""
    ),
    16,
    FALSE
  ),
  0
)
"),875.0)</f>
        <v>875</v>
      </c>
      <c r="P30" s="51">
        <f t="shared" ref="P30:Q30" si="142">IFERROR(L30/N30,"-")</f>
        <v>0.509009009</v>
      </c>
      <c r="Q30" s="51">
        <f t="shared" si="142"/>
        <v>0.8137142857</v>
      </c>
      <c r="R30" s="9">
        <f>IFERROR(__xludf.DUMMYFUNCTION("IFERROR(
  VLOOKUP(
    A30,
    IMPORTRANGE(
      ""1ZHMy3vVUd_0MrSduXTe1etBb1HNpAlGwQr006ljwMiM"",
      ""GSC最新!A:R""
    ),
    8,
    FALSE
  ),
  0
)
"),0.061946902654867256)</f>
        <v>0.06194690265</v>
      </c>
      <c r="S30" s="9">
        <f>IFERROR(__xludf.DUMMYFUNCTION("IFERROR(
  VLOOKUP(
    A30,
    IMPORTRANGE(
      ""1ZHMy3vVUd_0MrSduXTe1etBb1HNpAlGwQr006ljwMiM"",
      ""GSC最新!A:R""
    ),
    11,
    FALSE
  ),
  0
)
"),0.033707865168539325)</f>
        <v>0.03370786517</v>
      </c>
      <c r="T30" s="9">
        <f>IFERROR(__xludf.DUMMYFUNCTION("IFERROR(
  VLOOKUP(
    A30,
    IMPORTRANGE(
      ""1ZHMy3vVUd_0MrSduXTe1etBb1HNpAlGwQr006ljwMiM"",
      ""GSC最新!A:R""
    ),
    14,
    FALSE
  ),
  0
)
"),0.03153153153153153)</f>
        <v>0.03153153153</v>
      </c>
      <c r="U30" s="9">
        <f>IFERROR(__xludf.DUMMYFUNCTION("IFERROR(
  VLOOKUP(
    A30,
    IMPORTRANGE(
      ""1ZHMy3vVUd_0MrSduXTe1etBb1HNpAlGwQr006ljwMiM"",
      ""GSC最新!A:R""
    ),
    17,
    FALSE
  ),
  0
)
"),0.022857142857142857)</f>
        <v>0.02285714286</v>
      </c>
      <c r="V30" s="9">
        <f t="shared" ref="V30:W30" si="143">IFERROR(R30-T30,"-")</f>
        <v>0.03041537112</v>
      </c>
      <c r="W30" s="9">
        <f t="shared" si="143"/>
        <v>0.01085072231</v>
      </c>
      <c r="X30" s="65">
        <f>IFERROR(__xludf.DUMMYFUNCTION("IFERROR(
  VLOOKUP(
    A30,
    IMPORTRANGE(
      ""1ZHMy3vVUd_0MrSduXTe1etBb1HNpAlGwQr006ljwMiM"",
      ""GSC最新!A:R""
    ),
    9,
    FALSE
  ),
  0
)
"),6.752212389380531)</f>
        <v>6.752212389</v>
      </c>
      <c r="Y30" s="65">
        <f>IFERROR(__xludf.DUMMYFUNCTION("IFERROR(
  VLOOKUP(
    A30,
    IMPORTRANGE(
      ""1ZHMy3vVUd_0MrSduXTe1etBb1HNpAlGwQr006ljwMiM"",
      ""GSC最新!A:R""
    ),
    12,
    FALSE
  ),
  0
)
"),10.269662921348315)</f>
        <v>10.26966292</v>
      </c>
      <c r="Z30" s="65">
        <f>IFERROR(__xludf.DUMMYFUNCTION("IFERROR(
  VLOOKUP(
    A30,
    IMPORTRANGE(
      ""1ZHMy3vVUd_0MrSduXTe1etBb1HNpAlGwQr006ljwMiM"",
      ""GSC最新!A:R""
    ),
    15,
    FALSE
  ),
  0
)
"),26.45045045045045)</f>
        <v>26.45045045</v>
      </c>
      <c r="AA30" s="65">
        <f>IFERROR(__xludf.DUMMYFUNCTION("IFERROR(
  VLOOKUP(
    A30,
    IMPORTRANGE(
      ""1ZHMy3vVUd_0MrSduXTe1etBb1HNpAlGwQr006ljwMiM"",
      ""GSC最新!A:R""
    ),
    18,
    FALSE
  ),
  0
)
"),23.949714285714286)</f>
        <v>23.94971429</v>
      </c>
      <c r="AB30" s="65">
        <f t="shared" ref="AB30:AC30" si="144">X30-Z30</f>
        <v>-19.69823806</v>
      </c>
      <c r="AC30" s="65">
        <f t="shared" si="144"/>
        <v>-13.68005136</v>
      </c>
      <c r="AD30" s="53">
        <f>IFERROR(__xludf.DUMMYFUNCTION("IFERROR(
  VLOOKUP(
    A30,
    IMPORTRANGE(
      ""1ZHMy3vVUd_0MrSduXTe1etBb1HNpAlGwQr006ljwMiM"",
      ""GSC最新!A:F""
    ),
    6,
    FALSE
  ),
  0
)
"),46081.0)</f>
        <v>46081</v>
      </c>
      <c r="AE30" s="54">
        <f>IFERROR(__xludf.DUMMYFUNCTION("IFERROR(
  VLOOKUP(
    A30,
    IMPORTRANGE(
      ""1SCYQd7_cobOYqT0r_F0IqD4tE4rYn5y8Eup4PJTH8es"",
      ""Snapshot!A:M""
    ),
    5,
    FALSE
  ),
  ""-""
)
"),3.0)</f>
        <v>3</v>
      </c>
      <c r="AF30" s="54">
        <f>IFERROR(__xludf.DUMMYFUNCTION("IFERROR(
  VLOOKUP(
    A30,
    IMPORTRANGE(
      ""1SCYQd7_cobOYqT0r_F0IqD4tE4rYn5y8Eup4PJTH8es"",
      ""Snapshot!A:M""
    ),
    6,
    FALSE
  ),
  0
)
"),3.0)</f>
        <v>3</v>
      </c>
      <c r="AG30" s="54">
        <f>IFERROR(__xludf.DUMMYFUNCTION("IFERROR(
  VLOOKUP(
    A30,
    IMPORTRANGE(
      ""1SCYQd7_cobOYqT0r_F0IqD4tE4rYn5y8Eup4PJTH8es"",
      ""Snapshot!A:M""
    ),
    7,
    FALSE
  ),
  0
)
"),1473.0)</f>
        <v>1473</v>
      </c>
      <c r="AH30" s="54">
        <f>IFERROR(__xludf.DUMMYFUNCTION("IFERROR(
  VLOOKUP(
    A30,
    IMPORTRANGE(
      ""1SCYQd7_cobOYqT0r_F0IqD4tE4rYn5y8Eup4PJTH8es"",
      ""Snapshot!A:M""
    ),
    8,
    FALSE
  ),
  0
)
"),7.0)</f>
        <v>7</v>
      </c>
      <c r="AI30" s="54">
        <f>IFERROR(__xludf.DUMMYFUNCTION("IFERROR(
  VLOOKUP(
    A30,
    IMPORTRANGE(
      ""1SCYQd7_cobOYqT0r_F0IqD4tE4rYn5y8Eup4PJTH8es"",
      ""Snapshot!A:M""
    ),
    9,
    FALSE
  ),
  0
)
"),1.0)</f>
        <v>1</v>
      </c>
      <c r="AJ30" s="54">
        <f>IFERROR(__xludf.DUMMYFUNCTION("IFERROR(
  VLOOKUP(
    A30,
    IMPORTRANGE(
      ""1SCYQd7_cobOYqT0r_F0IqD4tE4rYn5y8Eup4PJTH8es"",
      ""Snapshot!A:M""
    ),
    13,
    FALSE
  ),
  0
)
"),3.0)</f>
        <v>3</v>
      </c>
      <c r="AK30" s="49">
        <f t="shared" ref="AK30:AL30" si="145">LEN(C30)</f>
        <v>29</v>
      </c>
      <c r="AL30" s="49">
        <f t="shared" si="145"/>
        <v>80</v>
      </c>
    </row>
    <row r="31">
      <c r="A31" s="3" t="s">
        <v>542</v>
      </c>
      <c r="B31" s="1" t="str">
        <f>IFERROR(__xludf.DUMMYFUNCTION("IFERROR(
  VLOOKUP(
    A31,
    IMPORTRANGE(
      ""1ZygntHC1J6IxzKbTidmOyf5nUyW4GCLurHCjexrLm_o"",
      ""HTMLキャッシュ!A:F""
    ),
    2,
    FALSE
  ),
  0
)
"),"MC")</f>
        <v>MC</v>
      </c>
      <c r="C31" s="1" t="str">
        <f>IFERROR(__xludf.DUMMYFUNCTION("IFERROR(
  VLOOKUP(
    A31,
    IMPORTRANGE(
      ""1ZygntHC1J6IxzKbTidmOyf5nUyW4GCLurHCjexrLm_o"",
      ""HTMLキャッシュ!A:F""
    ),
    5,
    FALSE
  ),
  0
)
"),"灘中2021国語 入試過去問 解法の核心と記述攻略")</f>
        <v>灘中2021国語 入試過去問 解法の核心と記述攻略</v>
      </c>
      <c r="D31" s="1" t="str">
        <f>IFERROR(__xludf.DUMMYFUNCTION("IFERROR(
  VLOOKUP(
    A31,
    IMPORTRANGE(
      ""1ZygntHC1J6IxzKbTidmOyf5nUyW4GCLurHCjexrLm_o        "",
      ""HTMLキャッシュ!A:F""
    ),
    6,
    FALSE
  ),
  0
)
"),"灘中の入試国語（令和3）で、傍線部の説明問題の書き方を具体例で整理。本文根拠を拾い、複数要素を一文にまとめる。")</f>
        <v>灘中の入試国語（令和3）で、傍線部の説明問題の書き方を具体例で整理。本文根拠を拾い、複数要素を一文にまとめる。</v>
      </c>
      <c r="E31" s="32">
        <f>IFERROR(__xludf.DUMMYFUNCTION("IFERROR(
  VLOOKUP(
    A31,
    IMPORTRANGE(
      ""1ZygntHC1J6IxzKbTidmOyf5nUyW4GCLurHCjexrLm_o        "",
      ""HTMLキャッシュ!A:F""
    ),
    3,
    FALSE
  ),
  0
)
"),46073.55165509259)</f>
        <v>46073.55166</v>
      </c>
      <c r="F31" s="49">
        <f>IFERROR(__xludf.DUMMYFUNCTION("IFERROR(
  VLOOKUP(
    A31,
    IMPORTRANGE(
      ""1ZHMy3vVUd_0MrSduXTe1etBb1HNpAlGwQr006ljwMiM"",
      ""GSC最新!A:F""
    ),
    2,
    FALSE
  ),
  0
)
"),4.0)</f>
        <v>4</v>
      </c>
      <c r="G31" s="49">
        <f>IFERROR(__xludf.DUMMYFUNCTION("IFERROR(
  VLOOKUP(
    A31,
    IMPORTRANGE(
      ""1ZHMy3vVUd_0MrSduXTe1etBb1HNpAlGwQr006ljwMiM"",
      ""GSC最新!A:F""
    ),
    3,
    FALSE
  ),
  0
)
"),22.0)</f>
        <v>22</v>
      </c>
      <c r="H31" s="49">
        <f>IFERROR(__xludf.DUMMYFUNCTION("IFERROR(
  VLOOKUP(
    A31,
    IMPORTRANGE(
      ""1ZHMy3vVUd_0MrSduXTe1etBb1HNpAlGwQr006ljwMiM"",
      ""GSC最新!A:F""
    ),
    4,
    FALSE
  ),
  0
)
"),1.0)</f>
        <v>1</v>
      </c>
      <c r="I31" s="49">
        <f>IFERROR(__xludf.DUMMYFUNCTION("IFERROR(
  VLOOKUP(
    A31,
    IMPORTRANGE(
      ""1ZHMy3vVUd_0MrSduXTe1etBb1HNpAlGwQr006ljwMiM"",
      ""GSC最新!A:F""
    ),
    5,
    FALSE
  ),
  0
)
"),11.0)</f>
        <v>11</v>
      </c>
      <c r="J31" s="50">
        <f t="shared" ref="J31:K31" si="146">IFERROR(F31/H31,"-")</f>
        <v>4</v>
      </c>
      <c r="K31" s="50">
        <f t="shared" si="146"/>
        <v>2</v>
      </c>
      <c r="L31" s="6">
        <f>IFERROR(__xludf.DUMMYFUNCTION("IFERROR(
  VLOOKUP(
    A31,
    IMPORTRANGE(
      ""1ZHMy3vVUd_0MrSduXTe1etBb1HNpAlGwQr006ljwMiM"",
      ""GSC最新!A:R""
    ),
    7,
    FALSE
  ),
  0
)
"),140.0)</f>
        <v>140</v>
      </c>
      <c r="M31" s="6">
        <f>IFERROR(__xludf.DUMMYFUNCTION("IFERROR(
  VLOOKUP(
    A31,
    IMPORTRANGE(
      ""1ZHMy3vVUd_0MrSduXTe1etBb1HNpAlGwQr006ljwMiM"",
      ""GSC最新!A:R""
    ),
    10,
    FALSE
  ),
  0
)
"),414.0)</f>
        <v>414</v>
      </c>
      <c r="N31" s="6">
        <f>IFERROR(__xludf.DUMMYFUNCTION("IFERROR(
  VLOOKUP(
    A31,
    IMPORTRANGE(
      ""1ZHMy3vVUd_0MrSduXTe1etBb1HNpAlGwQr006ljwMiM"",
      ""GSC最新!A:R""
    ),
    13,
    FALSE
  ),
  0
)
"),96.0)</f>
        <v>96</v>
      </c>
      <c r="O31" s="6">
        <f>IFERROR(__xludf.DUMMYFUNCTION("IFERROR(
  VLOOKUP(
    A31,
    IMPORTRANGE(
      ""1ZHMy3vVUd_0MrSduXTe1etBb1HNpAlGwQr006ljwMiM"",
      ""GSC最新!A:R""
    ),
    16,
    FALSE
  ),
  0
)
"),326.0)</f>
        <v>326</v>
      </c>
      <c r="P31" s="51">
        <f t="shared" ref="P31:Q31" si="147">IFERROR(L31/N31,"-")</f>
        <v>1.458333333</v>
      </c>
      <c r="Q31" s="51">
        <f t="shared" si="147"/>
        <v>1.26993865</v>
      </c>
      <c r="R31" s="9">
        <f>IFERROR(__xludf.DUMMYFUNCTION("IFERROR(
  VLOOKUP(
    A31,
    IMPORTRANGE(
      ""1ZHMy3vVUd_0MrSduXTe1etBb1HNpAlGwQr006ljwMiM"",
      ""GSC最新!A:R""
    ),
    8,
    FALSE
  ),
  0
)
"),0.02857142857142857)</f>
        <v>0.02857142857</v>
      </c>
      <c r="S31" s="9">
        <f>IFERROR(__xludf.DUMMYFUNCTION("IFERROR(
  VLOOKUP(
    A31,
    IMPORTRANGE(
      ""1ZHMy3vVUd_0MrSduXTe1etBb1HNpAlGwQr006ljwMiM"",
      ""GSC最新!A:R""
    ),
    11,
    FALSE
  ),
  0
)
"),0.05314009661835749)</f>
        <v>0.05314009662</v>
      </c>
      <c r="T31" s="9">
        <f>IFERROR(__xludf.DUMMYFUNCTION("IFERROR(
  VLOOKUP(
    A31,
    IMPORTRANGE(
      ""1ZHMy3vVUd_0MrSduXTe1etBb1HNpAlGwQr006ljwMiM"",
      ""GSC最新!A:R""
    ),
    14,
    FALSE
  ),
  0
)
"),0.010416666666666666)</f>
        <v>0.01041666667</v>
      </c>
      <c r="U31" s="9">
        <f>IFERROR(__xludf.DUMMYFUNCTION("IFERROR(
  VLOOKUP(
    A31,
    IMPORTRANGE(
      ""1ZHMy3vVUd_0MrSduXTe1etBb1HNpAlGwQr006ljwMiM"",
      ""GSC最新!A:R""
    ),
    17,
    FALSE
  ),
  0
)
"),0.03374233128834356)</f>
        <v>0.03374233129</v>
      </c>
      <c r="V31" s="9">
        <f t="shared" ref="V31:W31" si="148">IFERROR(R31-T31,"-")</f>
        <v>0.0181547619</v>
      </c>
      <c r="W31" s="9">
        <f t="shared" si="148"/>
        <v>0.01939776533</v>
      </c>
      <c r="X31" s="65">
        <f>IFERROR(__xludf.DUMMYFUNCTION("IFERROR(
  VLOOKUP(
    A31,
    IMPORTRANGE(
      ""1ZHMy3vVUd_0MrSduXTe1etBb1HNpAlGwQr006ljwMiM"",
      ""GSC最新!A:R""
    ),
    9,
    FALSE
  ),
  0
)
"),10.907142857142857)</f>
        <v>10.90714286</v>
      </c>
      <c r="Y31" s="65">
        <f>IFERROR(__xludf.DUMMYFUNCTION("IFERROR(
  VLOOKUP(
    A31,
    IMPORTRANGE(
      ""1ZHMy3vVUd_0MrSduXTe1etBb1HNpAlGwQr006ljwMiM"",
      ""GSC最新!A:R""
    ),
    12,
    FALSE
  ),
  0
)
"),12.31400966183575)</f>
        <v>12.31400966</v>
      </c>
      <c r="Z31" s="65">
        <f>IFERROR(__xludf.DUMMYFUNCTION("IFERROR(
  VLOOKUP(
    A31,
    IMPORTRANGE(
      ""1ZHMy3vVUd_0MrSduXTe1etBb1HNpAlGwQr006ljwMiM"",
      ""GSC最新!A:R""
    ),
    15,
    FALSE
  ),
  0
)
"),61.395833333333336)</f>
        <v>61.39583333</v>
      </c>
      <c r="AA31" s="65">
        <f>IFERROR(__xludf.DUMMYFUNCTION("IFERROR(
  VLOOKUP(
    A31,
    IMPORTRANGE(
      ""1ZHMy3vVUd_0MrSduXTe1etBb1HNpAlGwQr006ljwMiM"",
      ""GSC最新!A:R""
    ),
    18,
    FALSE
  ),
  0
)
"),40.50306748466258)</f>
        <v>40.50306748</v>
      </c>
      <c r="AB31" s="65">
        <f t="shared" ref="AB31:AC31" si="149">X31-Z31</f>
        <v>-50.48869048</v>
      </c>
      <c r="AC31" s="65">
        <f t="shared" si="149"/>
        <v>-28.18905782</v>
      </c>
      <c r="AD31" s="53">
        <f>IFERROR(__xludf.DUMMYFUNCTION("IFERROR(
  VLOOKUP(
    A31,
    IMPORTRANGE(
      ""1ZHMy3vVUd_0MrSduXTe1etBb1HNpAlGwQr006ljwMiM"",
      ""GSC最新!A:F""
    ),
    6,
    FALSE
  ),
  0
)
"),46081.0)</f>
        <v>46081</v>
      </c>
      <c r="AE31" s="54">
        <f>IFERROR(__xludf.DUMMYFUNCTION("IFERROR(
  VLOOKUP(
    A31,
    IMPORTRANGE(
      ""1SCYQd7_cobOYqT0r_F0IqD4tE4rYn5y8Eup4PJTH8es"",
      ""Snapshot!A:M""
    ),
    5,
    FALSE
  ),
  ""-""
)
"),3.0)</f>
        <v>3</v>
      </c>
      <c r="AF31" s="54">
        <f>IFERROR(__xludf.DUMMYFUNCTION("IFERROR(
  VLOOKUP(
    A31,
    IMPORTRANGE(
      ""1SCYQd7_cobOYqT0r_F0IqD4tE4rYn5y8Eup4PJTH8es"",
      ""Snapshot!A:M""
    ),
    6,
    FALSE
  ),
  0
)
"),2.0)</f>
        <v>2</v>
      </c>
      <c r="AG31" s="54">
        <f>IFERROR(__xludf.DUMMYFUNCTION("IFERROR(
  VLOOKUP(
    A31,
    IMPORTRANGE(
      ""1SCYQd7_cobOYqT0r_F0IqD4tE4rYn5y8Eup4PJTH8es"",
      ""Snapshot!A:M""
    ),
    7,
    FALSE
  ),
  0
)
"),2314.0)</f>
        <v>2314</v>
      </c>
      <c r="AH31" s="54">
        <f>IFERROR(__xludf.DUMMYFUNCTION("IFERROR(
  VLOOKUP(
    A31,
    IMPORTRANGE(
      ""1SCYQd7_cobOYqT0r_F0IqD4tE4rYn5y8Eup4PJTH8es"",
      ""Snapshot!A:M""
    ),
    8,
    FALSE
  ),
  0
)
"),7.0)</f>
        <v>7</v>
      </c>
      <c r="AI31" s="54">
        <f>IFERROR(__xludf.DUMMYFUNCTION("IFERROR(
  VLOOKUP(
    A31,
    IMPORTRANGE(
      ""1SCYQd7_cobOYqT0r_F0IqD4tE4rYn5y8Eup4PJTH8es"",
      ""Snapshot!A:M""
    ),
    9,
    FALSE
  ),
  0
)
"),2.0)</f>
        <v>2</v>
      </c>
      <c r="AJ31" s="54">
        <f>IFERROR(__xludf.DUMMYFUNCTION("IFERROR(
  VLOOKUP(
    A31,
    IMPORTRANGE(
      ""1SCYQd7_cobOYqT0r_F0IqD4tE4rYn5y8Eup4PJTH8es"",
      ""Snapshot!A:M""
    ),
    13,
    FALSE
  ),
  0
)
"),3.0)</f>
        <v>3</v>
      </c>
      <c r="AK31" s="49">
        <f t="shared" ref="AK31:AL31" si="150">LEN(C31)</f>
        <v>25</v>
      </c>
      <c r="AL31" s="49">
        <f t="shared" si="150"/>
        <v>55</v>
      </c>
    </row>
    <row r="32">
      <c r="A32" s="3" t="s">
        <v>294</v>
      </c>
      <c r="B32" s="1" t="str">
        <f>IFERROR(__xludf.DUMMYFUNCTION("IFERROR(
  VLOOKUP(
    A32,
    IMPORTRANGE(
      ""1ZygntHC1J6IxzKbTidmOyf5nUyW4GCLurHCjexrLm_o"",
      ""HTMLキャッシュ!A:F""
    ),
    2,
    FALSE
  ),
  0
)
"),"SP")</f>
        <v>SP</v>
      </c>
      <c r="C32" s="1" t="str">
        <f>IFERROR(__xludf.DUMMYFUNCTION("IFERROR(
  VLOOKUP(
    A32,
    IMPORTRANGE(
      ""1ZygntHC1J6IxzKbTidmOyf5nUyW4GCLurHCjexrLm_o"",
      ""HTMLキャッシュ!A:F""
    ),
    5,
    FALSE
  ),
  0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D32" s="1" t="str">
        <f>IFERROR(__xludf.DUMMYFUNCTION("IFERROR(
  VLOOKUP(
    A32,
    IMPORTRANGE(
      ""1ZygntHC1J6IxzKbTidmOyf5nUyW4GCLurHCjexrLm_o        "",
      ""HTMLキャッシュ!A:F""
    ),
    6,
    FALSE
  ),
  0
)
"),"現在開講中の講座は以下の通りです。 読解ラボ東京の指導方針・対応学年・オンライン/教室など、サービス全体の概要")</f>
        <v>現在開講中の講座は以下の通りです。 読解ラボ東京の指導方針・対応学年・オンライン/教室など、サービス全体の概要</v>
      </c>
      <c r="E32" s="32">
        <f>IFERROR(__xludf.DUMMYFUNCTION("IFERROR(
  VLOOKUP(
    A32,
    IMPORTRANGE(
      ""1ZygntHC1J6IxzKbTidmOyf5nUyW4GCLurHCjexrLm_o        "",
      ""HTMLキャッシュ!A:F""
    ),
    3,
    FALSE
  ),
  0
)
"),46081.78864583333)</f>
        <v>46081.78865</v>
      </c>
      <c r="F32" s="49">
        <f>IFERROR(__xludf.DUMMYFUNCTION("IFERROR(
  VLOOKUP(
    A32,
    IMPORTRANGE(
      ""1ZHMy3vVUd_0MrSduXTe1etBb1HNpAlGwQr006ljwMiM"",
      ""GSC最新!A:F""
    ),
    2,
    FALSE
  ),
  0
)
"),11.0)</f>
        <v>11</v>
      </c>
      <c r="G32" s="49">
        <f>IFERROR(__xludf.DUMMYFUNCTION("IFERROR(
  VLOOKUP(
    A32,
    IMPORTRANGE(
      ""1ZHMy3vVUd_0MrSduXTe1etBb1HNpAlGwQr006ljwMiM"",
      ""GSC最新!A:F""
    ),
    3,
    FALSE
  ),
  0
)
"),21.0)</f>
        <v>21</v>
      </c>
      <c r="H32" s="49">
        <f>IFERROR(__xludf.DUMMYFUNCTION("IFERROR(
  VLOOKUP(
    A32,
    IMPORTRANGE(
      ""1ZHMy3vVUd_0MrSduXTe1etBb1HNpAlGwQr006ljwMiM"",
      ""GSC最新!A:F""
    ),
    4,
    FALSE
  ),
  0
)
"),3.0)</f>
        <v>3</v>
      </c>
      <c r="I32" s="49">
        <f>IFERROR(__xludf.DUMMYFUNCTION("IFERROR(
  VLOOKUP(
    A32,
    IMPORTRANGE(
      ""1ZHMy3vVUd_0MrSduXTe1etBb1HNpAlGwQr006ljwMiM"",
      ""GSC最新!A:F""
    ),
    5,
    FALSE
  ),
  0
)
"),3.0)</f>
        <v>3</v>
      </c>
      <c r="J32" s="50">
        <f t="shared" ref="J32:K32" si="151">IFERROR(F32/H32,"-")</f>
        <v>3.666666667</v>
      </c>
      <c r="K32" s="50">
        <f t="shared" si="151"/>
        <v>7</v>
      </c>
      <c r="L32" s="6">
        <f>IFERROR(__xludf.DUMMYFUNCTION("IFERROR(
  VLOOKUP(
    A32,
    IMPORTRANGE(
      ""1ZHMy3vVUd_0MrSduXTe1etBb1HNpAlGwQr006ljwMiM"",
      ""GSC最新!A:R""
    ),
    7,
    FALSE
  ),
  0
)
"),118.0)</f>
        <v>118</v>
      </c>
      <c r="M32" s="6">
        <f>IFERROR(__xludf.DUMMYFUNCTION("IFERROR(
  VLOOKUP(
    A32,
    IMPORTRANGE(
      ""1ZHMy3vVUd_0MrSduXTe1etBb1HNpAlGwQr006ljwMiM"",
      ""GSC最新!A:R""
    ),
    10,
    FALSE
  ),
  0
)
"),334.0)</f>
        <v>334</v>
      </c>
      <c r="N32" s="6">
        <f>IFERROR(__xludf.DUMMYFUNCTION("IFERROR(
  VLOOKUP(
    A32,
    IMPORTRANGE(
      ""1ZHMy3vVUd_0MrSduXTe1etBb1HNpAlGwQr006ljwMiM"",
      ""GSC最新!A:R""
    ),
    13,
    FALSE
  ),
  0
)
"),63.0)</f>
        <v>63</v>
      </c>
      <c r="O32" s="6">
        <f>IFERROR(__xludf.DUMMYFUNCTION("IFERROR(
  VLOOKUP(
    A32,
    IMPORTRANGE(
      ""1ZHMy3vVUd_0MrSduXTe1etBb1HNpAlGwQr006ljwMiM"",
      ""GSC最新!A:R""
    ),
    16,
    FALSE
  ),
  0
)
"),195.0)</f>
        <v>195</v>
      </c>
      <c r="P32" s="51">
        <f t="shared" ref="P32:Q32" si="152">IFERROR(L32/N32,"-")</f>
        <v>1.873015873</v>
      </c>
      <c r="Q32" s="51">
        <f t="shared" si="152"/>
        <v>1.712820513</v>
      </c>
      <c r="R32" s="9">
        <f>IFERROR(__xludf.DUMMYFUNCTION("IFERROR(
  VLOOKUP(
    A32,
    IMPORTRANGE(
      ""1ZHMy3vVUd_0MrSduXTe1etBb1HNpAlGwQr006ljwMiM"",
      ""GSC最新!A:R""
    ),
    8,
    FALSE
  ),
  0
)
"),0.09322033898305085)</f>
        <v>0.09322033898</v>
      </c>
      <c r="S32" s="9">
        <f>IFERROR(__xludf.DUMMYFUNCTION("IFERROR(
  VLOOKUP(
    A32,
    IMPORTRANGE(
      ""1ZHMy3vVUd_0MrSduXTe1etBb1HNpAlGwQr006ljwMiM"",
      ""GSC最新!A:R""
    ),
    11,
    FALSE
  ),
  0
)
"),0.06287425149700598)</f>
        <v>0.0628742515</v>
      </c>
      <c r="T32" s="9">
        <f>IFERROR(__xludf.DUMMYFUNCTION("IFERROR(
  VLOOKUP(
    A32,
    IMPORTRANGE(
      ""1ZHMy3vVUd_0MrSduXTe1etBb1HNpAlGwQr006ljwMiM"",
      ""GSC最新!A:R""
    ),
    14,
    FALSE
  ),
  0
)
"),0.047619047619047616)</f>
        <v>0.04761904762</v>
      </c>
      <c r="U32" s="9">
        <f>IFERROR(__xludf.DUMMYFUNCTION("IFERROR(
  VLOOKUP(
    A32,
    IMPORTRANGE(
      ""1ZHMy3vVUd_0MrSduXTe1etBb1HNpAlGwQr006ljwMiM"",
      ""GSC最新!A:R""
    ),
    17,
    FALSE
  ),
  0
)
"),0.015384615384615385)</f>
        <v>0.01538461538</v>
      </c>
      <c r="V32" s="9">
        <f t="shared" ref="V32:W32" si="153">IFERROR(R32-T32,"-")</f>
        <v>0.04560129136</v>
      </c>
      <c r="W32" s="9">
        <f t="shared" si="153"/>
        <v>0.04748963611</v>
      </c>
      <c r="X32" s="65">
        <f>IFERROR(__xludf.DUMMYFUNCTION("IFERROR(
  VLOOKUP(
    A32,
    IMPORTRANGE(
      ""1ZHMy3vVUd_0MrSduXTe1etBb1HNpAlGwQr006ljwMiM"",
      ""GSC最新!A:R""
    ),
    9,
    FALSE
  ),
  0
)
"),6.093220338983051)</f>
        <v>6.093220339</v>
      </c>
      <c r="Y32" s="65">
        <f>IFERROR(__xludf.DUMMYFUNCTION("IFERROR(
  VLOOKUP(
    A32,
    IMPORTRANGE(
      ""1ZHMy3vVUd_0MrSduXTe1etBb1HNpAlGwQr006ljwMiM"",
      ""GSC最新!A:R""
    ),
    12,
    FALSE
  ),
  0
)
"),3.356287425149701)</f>
        <v>3.356287425</v>
      </c>
      <c r="Z32" s="65">
        <f>IFERROR(__xludf.DUMMYFUNCTION("IFERROR(
  VLOOKUP(
    A32,
    IMPORTRANGE(
      ""1ZHMy3vVUd_0MrSduXTe1etBb1HNpAlGwQr006ljwMiM"",
      ""GSC最新!A:R""
    ),
    15,
    FALSE
  ),
  0
)
"),2.7301587301587302)</f>
        <v>2.73015873</v>
      </c>
      <c r="AA32" s="65">
        <f>IFERROR(__xludf.DUMMYFUNCTION("IFERROR(
  VLOOKUP(
    A32,
    IMPORTRANGE(
      ""1ZHMy3vVUd_0MrSduXTe1etBb1HNpAlGwQr006ljwMiM"",
      ""GSC最新!A:R""
    ),
    18,
    FALSE
  ),
  0
)
"),2.1794871794871797)</f>
        <v>2.179487179</v>
      </c>
      <c r="AB32" s="65">
        <f t="shared" ref="AB32:AC32" si="154">X32-Z32</f>
        <v>3.363061609</v>
      </c>
      <c r="AC32" s="65">
        <f t="shared" si="154"/>
        <v>1.176800246</v>
      </c>
      <c r="AD32" s="53">
        <f>IFERROR(__xludf.DUMMYFUNCTION("IFERROR(
  VLOOKUP(
    A32,
    IMPORTRANGE(
      ""1ZHMy3vVUd_0MrSduXTe1etBb1HNpAlGwQr006ljwMiM"",
      ""GSC最新!A:F""
    ),
    6,
    FALSE
  ),
  0
)
"),46081.0)</f>
        <v>46081</v>
      </c>
      <c r="AE32" s="54">
        <f>IFERROR(__xludf.DUMMYFUNCTION("IFERROR(
  VLOOKUP(
    A32,
    IMPORTRANGE(
      ""1SCYQd7_cobOYqT0r_F0IqD4tE4rYn5y8Eup4PJTH8es"",
      ""Snapshot!A:M""
    ),
    5,
    FALSE
  ),
  ""-""
)
"),8.0)</f>
        <v>8</v>
      </c>
      <c r="AF32" s="54">
        <f>IFERROR(__xludf.DUMMYFUNCTION("IFERROR(
  VLOOKUP(
    A32,
    IMPORTRANGE(
      ""1SCYQd7_cobOYqT0r_F0IqD4tE4rYn5y8Eup4PJTH8es"",
      ""Snapshot!A:M""
    ),
    6,
    FALSE
  ),
  0
)
"),15.0)</f>
        <v>15</v>
      </c>
      <c r="AG32" s="54">
        <f>IFERROR(__xludf.DUMMYFUNCTION("IFERROR(
  VLOOKUP(
    A32,
    IMPORTRANGE(
      ""1SCYQd7_cobOYqT0r_F0IqD4tE4rYn5y8Eup4PJTH8es"",
      ""Snapshot!A:M""
    ),
    7,
    FALSE
  ),
  0
)
"),3219.0)</f>
        <v>3219</v>
      </c>
      <c r="AH32" s="54">
        <f>IFERROR(__xludf.DUMMYFUNCTION("IFERROR(
  VLOOKUP(
    A32,
    IMPORTRANGE(
      ""1SCYQd7_cobOYqT0r_F0IqD4tE4rYn5y8Eup4PJTH8es"",
      ""Snapshot!A:M""
    ),
    8,
    FALSE
  ),
  0
)
"),19.0)</f>
        <v>19</v>
      </c>
      <c r="AI32" s="54">
        <f>IFERROR(__xludf.DUMMYFUNCTION("IFERROR(
  VLOOKUP(
    A32,
    IMPORTRANGE(
      ""1SCYQd7_cobOYqT0r_F0IqD4tE4rYn5y8Eup4PJTH8es"",
      ""Snapshot!A:M""
    ),
    9,
    FALSE
  ),
  0
)
"),1.0)</f>
        <v>1</v>
      </c>
      <c r="AJ32" s="54">
        <f>IFERROR(__xludf.DUMMYFUNCTION("IFERROR(
  VLOOKUP(
    A32,
    IMPORTRANGE(
      ""1SCYQd7_cobOYqT0r_F0IqD4tE4rYn5y8Eup4PJTH8es"",
      ""Snapshot!A:M""
    ),
    13,
    FALSE
  ),
  0
)
"),2.0)</f>
        <v>2</v>
      </c>
      <c r="AK32" s="49">
        <f t="shared" ref="AK32:AL32" si="155">LEN(C32)</f>
        <v>60</v>
      </c>
      <c r="AL32" s="49">
        <f t="shared" si="155"/>
        <v>55</v>
      </c>
    </row>
    <row r="33">
      <c r="A33" s="48" t="s">
        <v>288</v>
      </c>
      <c r="B33" s="1" t="str">
        <f>IFERROR(__xludf.DUMMYFUNCTION("IFERROR(
  VLOOKUP(
    A33,
    IMPORTRANGE(
      ""1ZygntHC1J6IxzKbTidmOyf5nUyW4GCLurHCjexrLm_o"",
      ""HTMLキャッシュ!A:F""
    ),
    2,
    FALSE
  ),
  0
)
"),"SP")</f>
        <v>SP</v>
      </c>
      <c r="C33" s="1" t="str">
        <f>IFERROR(__xludf.DUMMYFUNCTION("IFERROR(
  VLOOKUP(
    A33,
    IMPORTRANGE(
      ""1ZygntHC1J6IxzKbTidmOyf5nUyW4GCLurHCjexrLm_o"",
      ""HTMLキャッシュ!A:F""
    ),
    5,
    FALSE
  ),
  0
)
"),"国語専門塾のオンライン個別｜記述添削・過去問｜中学受験")</f>
        <v>国語専門塾のオンライン個別｜記述添削・過去問｜中学受験</v>
      </c>
      <c r="D33" s="1" t="str">
        <f>IFERROR(__xludf.DUMMYFUNCTION("IFERROR(
  VLOOKUP(
    A33,
    IMPORTRANGE(
      ""1ZygntHC1J6IxzKbTidmOyf5nUyW4GCLurHCjexrLm_o        "",
      ""HTMLキャッシュ!A:F""
    ),
    6,
    FALSE
  ),
  0
)
"),"中学受験の国語専門塾。完全1対1オンライン。電子黒板＋手元カメラで根拠と条件を見える化し、記述添削・選択・過去問に対応。料金も掲載。トライアルあり。")</f>
        <v>中学受験の国語専門塾。完全1対1オンライン。電子黒板＋手元カメラで根拠と条件を見える化し、記述添削・選択・過去問に対応。料金も掲載。トライアルあり。</v>
      </c>
      <c r="E33" s="32">
        <f>IFERROR(__xludf.DUMMYFUNCTION("IFERROR(
  VLOOKUP(
    A33,
    IMPORTRANGE(
      ""1ZygntHC1J6IxzKbTidmOyf5nUyW4GCLurHCjexrLm_o        "",
      ""HTMLキャッシュ!A:F""
    ),
    3,
    FALSE
  ),
  0
)
"),46081.724016203705)</f>
        <v>46081.72402</v>
      </c>
      <c r="F33" s="49">
        <f>IFERROR(__xludf.DUMMYFUNCTION("IFERROR(
  VLOOKUP(
    A33,
    IMPORTRANGE(
      ""1ZHMy3vVUd_0MrSduXTe1etBb1HNpAlGwQr006ljwMiM"",
      ""GSC最新!A:F""
    ),
    2,
    FALSE
  ),
  0
)
"),13.0)</f>
        <v>13</v>
      </c>
      <c r="G33" s="49">
        <f>IFERROR(__xludf.DUMMYFUNCTION("IFERROR(
  VLOOKUP(
    A33,
    IMPORTRANGE(
      ""1ZHMy3vVUd_0MrSduXTe1etBb1HNpAlGwQr006ljwMiM"",
      ""GSC最新!A:F""
    ),
    3,
    FALSE
  ),
  0
)
"),20.0)</f>
        <v>20</v>
      </c>
      <c r="H33" s="49">
        <f>IFERROR(__xludf.DUMMYFUNCTION("IFERROR(
  VLOOKUP(
    A33,
    IMPORTRANGE(
      ""1ZHMy3vVUd_0MrSduXTe1etBb1HNpAlGwQr006ljwMiM"",
      ""GSC最新!A:F""
    ),
    4,
    FALSE
  ),
  0
)
"),8.0)</f>
        <v>8</v>
      </c>
      <c r="I33" s="49">
        <f>IFERROR(__xludf.DUMMYFUNCTION("IFERROR(
  VLOOKUP(
    A33,
    IMPORTRANGE(
      ""1ZHMy3vVUd_0MrSduXTe1etBb1HNpAlGwQr006ljwMiM"",
      ""GSC最新!A:F""
    ),
    5,
    FALSE
  ),
  0
)
"),18.0)</f>
        <v>18</v>
      </c>
      <c r="J33" s="50">
        <f t="shared" ref="J33:K33" si="156">IFERROR(F33/H33,"-")</f>
        <v>1.625</v>
      </c>
      <c r="K33" s="50">
        <f t="shared" si="156"/>
        <v>1.111111111</v>
      </c>
      <c r="L33" s="6">
        <f>IFERROR(__xludf.DUMMYFUNCTION("IFERROR(
  VLOOKUP(
    A33,
    IMPORTRANGE(
      ""1ZHMy3vVUd_0MrSduXTe1etBb1HNpAlGwQr006ljwMiM"",
      ""GSC最新!A:R""
    ),
    7,
    FALSE
  ),
  0
)
"),304.0)</f>
        <v>304</v>
      </c>
      <c r="M33" s="6">
        <f>IFERROR(__xludf.DUMMYFUNCTION("IFERROR(
  VLOOKUP(
    A33,
    IMPORTRANGE(
      ""1ZHMy3vVUd_0MrSduXTe1etBb1HNpAlGwQr006ljwMiM"",
      ""GSC最新!A:R""
    ),
    10,
    FALSE
  ),
  0
)
"),641.0)</f>
        <v>641</v>
      </c>
      <c r="N33" s="6">
        <f>IFERROR(__xludf.DUMMYFUNCTION("IFERROR(
  VLOOKUP(
    A33,
    IMPORTRANGE(
      ""1ZHMy3vVUd_0MrSduXTe1etBb1HNpAlGwQr006ljwMiM"",
      ""GSC最新!A:R""
    ),
    13,
    FALSE
  ),
  0
)
"),260.0)</f>
        <v>260</v>
      </c>
      <c r="O33" s="6">
        <f>IFERROR(__xludf.DUMMYFUNCTION("IFERROR(
  VLOOKUP(
    A33,
    IMPORTRANGE(
      ""1ZHMy3vVUd_0MrSduXTe1etBb1HNpAlGwQr006ljwMiM"",
      ""GSC最新!A:R""
    ),
    16,
    FALSE
  ),
  0
)
"),685.0)</f>
        <v>685</v>
      </c>
      <c r="P33" s="51">
        <f t="shared" ref="P33:Q33" si="157">IFERROR(L33/N33,"-")</f>
        <v>1.169230769</v>
      </c>
      <c r="Q33" s="51">
        <f t="shared" si="157"/>
        <v>0.9357664234</v>
      </c>
      <c r="R33" s="9">
        <f>IFERROR(__xludf.DUMMYFUNCTION("IFERROR(
  VLOOKUP(
    A33,
    IMPORTRANGE(
      ""1ZHMy3vVUd_0MrSduXTe1etBb1HNpAlGwQr006ljwMiM"",
      ""GSC最新!A:R""
    ),
    8,
    FALSE
  ),
  0
)
"),0.04276315789473684)</f>
        <v>0.04276315789</v>
      </c>
      <c r="S33" s="9">
        <f>IFERROR(__xludf.DUMMYFUNCTION("IFERROR(
  VLOOKUP(
    A33,
    IMPORTRANGE(
      ""1ZHMy3vVUd_0MrSduXTe1etBb1HNpAlGwQr006ljwMiM"",
      ""GSC最新!A:R""
    ),
    11,
    FALSE
  ),
  0
)
"),0.031201248049921998)</f>
        <v>0.03120124805</v>
      </c>
      <c r="T33" s="9">
        <f>IFERROR(__xludf.DUMMYFUNCTION("IFERROR(
  VLOOKUP(
    A33,
    IMPORTRANGE(
      ""1ZHMy3vVUd_0MrSduXTe1etBb1HNpAlGwQr006ljwMiM"",
      ""GSC最新!A:R""
    ),
    14,
    FALSE
  ),
  0
)
"),0.03076923076923077)</f>
        <v>0.03076923077</v>
      </c>
      <c r="U33" s="9">
        <f>IFERROR(__xludf.DUMMYFUNCTION("IFERROR(
  VLOOKUP(
    A33,
    IMPORTRANGE(
      ""1ZHMy3vVUd_0MrSduXTe1etBb1HNpAlGwQr006ljwMiM"",
      ""GSC最新!A:R""
    ),
    17,
    FALSE
  ),
  0
)
"),0.026277372262773723)</f>
        <v>0.02627737226</v>
      </c>
      <c r="V33" s="9">
        <f t="shared" ref="V33:W33" si="158">IFERROR(R33-T33,"-")</f>
        <v>0.01199392713</v>
      </c>
      <c r="W33" s="9">
        <f t="shared" si="158"/>
        <v>0.004923875787</v>
      </c>
      <c r="X33" s="65">
        <f>IFERROR(__xludf.DUMMYFUNCTION("IFERROR(
  VLOOKUP(
    A33,
    IMPORTRANGE(
      ""1ZHMy3vVUd_0MrSduXTe1etBb1HNpAlGwQr006ljwMiM"",
      ""GSC最新!A:R""
    ),
    9,
    FALSE
  ),
  0
)
"),19.60855263157895)</f>
        <v>19.60855263</v>
      </c>
      <c r="Y33" s="65">
        <f>IFERROR(__xludf.DUMMYFUNCTION("IFERROR(
  VLOOKUP(
    A33,
    IMPORTRANGE(
      ""1ZHMy3vVUd_0MrSduXTe1etBb1HNpAlGwQr006ljwMiM"",
      ""GSC最新!A:R""
    ),
    12,
    FALSE
  ),
  0
)
"),17.45709828393136)</f>
        <v>17.45709828</v>
      </c>
      <c r="Z33" s="65">
        <f>IFERROR(__xludf.DUMMYFUNCTION("IFERROR(
  VLOOKUP(
    A33,
    IMPORTRANGE(
      ""1ZHMy3vVUd_0MrSduXTe1etBb1HNpAlGwQr006ljwMiM"",
      ""GSC最新!A:R""
    ),
    15,
    FALSE
  ),
  0
)
"),35.69230769230769)</f>
        <v>35.69230769</v>
      </c>
      <c r="AA33" s="65">
        <f>IFERROR(__xludf.DUMMYFUNCTION("IFERROR(
  VLOOKUP(
    A33,
    IMPORTRANGE(
      ""1ZHMy3vVUd_0MrSduXTe1etBb1HNpAlGwQr006ljwMiM"",
      ""GSC最新!A:R""
    ),
    18,
    FALSE
  ),
  0
)
"),34.12554744525548)</f>
        <v>34.12554745</v>
      </c>
      <c r="AB33" s="65">
        <f t="shared" ref="AB33:AC33" si="159">X33-Z33</f>
        <v>-16.08375506</v>
      </c>
      <c r="AC33" s="65">
        <f t="shared" si="159"/>
        <v>-16.66844916</v>
      </c>
      <c r="AD33" s="53">
        <f>IFERROR(__xludf.DUMMYFUNCTION("IFERROR(
  VLOOKUP(
    A33,
    IMPORTRANGE(
      ""1ZHMy3vVUd_0MrSduXTe1etBb1HNpAlGwQr006ljwMiM"",
      ""GSC最新!A:F""
    ),
    6,
    FALSE
  ),
  0
)
"),46081.0)</f>
        <v>46081</v>
      </c>
      <c r="AE33" s="54">
        <f>IFERROR(__xludf.DUMMYFUNCTION("IFERROR(
  VLOOKUP(
    A33,
    IMPORTRANGE(
      ""1SCYQd7_cobOYqT0r_F0IqD4tE4rYn5y8Eup4PJTH8es"",
      ""Snapshot!A:M""
    ),
    5,
    FALSE
  ),
  ""-""
)
"),8.0)</f>
        <v>8</v>
      </c>
      <c r="AF33" s="54">
        <f>IFERROR(__xludf.DUMMYFUNCTION("IFERROR(
  VLOOKUP(
    A33,
    IMPORTRANGE(
      ""1SCYQd7_cobOYqT0r_F0IqD4tE4rYn5y8Eup4PJTH8es"",
      ""Snapshot!A:M""
    ),
    6,
    FALSE
  ),
  0
)
"),9.0)</f>
        <v>9</v>
      </c>
      <c r="AG33" s="54">
        <f>IFERROR(__xludf.DUMMYFUNCTION("IFERROR(
  VLOOKUP(
    A33,
    IMPORTRANGE(
      ""1SCYQd7_cobOYqT0r_F0IqD4tE4rYn5y8Eup4PJTH8es"",
      ""Snapshot!A:M""
    ),
    7,
    FALSE
  ),
  0
)
"),5632.0)</f>
        <v>5632</v>
      </c>
      <c r="AH33" s="54">
        <f>IFERROR(__xludf.DUMMYFUNCTION("IFERROR(
  VLOOKUP(
    A33,
    IMPORTRANGE(
      ""1SCYQd7_cobOYqT0r_F0IqD4tE4rYn5y8Eup4PJTH8es"",
      ""Snapshot!A:M""
    ),
    8,
    FALSE
  ),
  0
)
"),12.0)</f>
        <v>12</v>
      </c>
      <c r="AI33" s="54">
        <f>IFERROR(__xludf.DUMMYFUNCTION("IFERROR(
  VLOOKUP(
    A33,
    IMPORTRANGE(
      ""1SCYQd7_cobOYqT0r_F0IqD4tE4rYn5y8Eup4PJTH8es"",
      ""Snapshot!A:M""
    ),
    9,
    FALSE
  ),
  0
)
"),1.0)</f>
        <v>1</v>
      </c>
      <c r="AJ33" s="54">
        <f>IFERROR(__xludf.DUMMYFUNCTION("IFERROR(
  VLOOKUP(
    A33,
    IMPORTRANGE(
      ""1SCYQd7_cobOYqT0r_F0IqD4tE4rYn5y8Eup4PJTH8es"",
      ""Snapshot!A:M""
    ),
    13,
    FALSE
  ),
  0
)
"),2.0)</f>
        <v>2</v>
      </c>
      <c r="AK33" s="49">
        <f t="shared" ref="AK33:AL33" si="160">LEN(C33)</f>
        <v>27</v>
      </c>
      <c r="AL33" s="49">
        <f t="shared" si="160"/>
        <v>74</v>
      </c>
    </row>
    <row r="34">
      <c r="A34" s="3" t="s">
        <v>543</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"),"早稲田実業 過去問 国語｜記述の骨組み｜小6自宅復習")</f>
        <v>早稲田実業 過去問 国語｜記述の骨組み｜小6自宅復習</v>
      </c>
      <c r="D34" s="1" t="str">
        <f>IFERROR(__xludf.DUMMYFUNCTION("IFERROR(
  VLOOKUP(
    A34,
    IMPORTRANGE(
      ""1ZygntHC1J6IxzKbTidmOyf5nUyW4GCLurHCjexrLm_o        "",
      ""HTMLキャッシュ!A:F""
    ),
    6,
    FALSE
  ),
  0
)
"),"早稲田実業中等部国語2021の厳選問題を動画で解説。物語文は背景と出来事から心情を押さえ、説明文は空欄前後の言い換え対応＋三段論法で理由記述を組み立てます。")</f>
        <v>早稲田実業中等部国語2021の厳選問題を動画で解説。物語文は背景と出来事から心情を押さえ、説明文は空欄前後の言い換え対応＋三段論法で理由記述を組み立てます。</v>
      </c>
      <c r="E34" s="32">
        <f>IFERROR(__xludf.DUMMYFUNCTION("IFERROR(
  VLOOKUP(
    A34,
    IMPORTRANGE(
      ""1ZygntHC1J6IxzKbTidmOyf5nUyW4GCLurHCjexrLm_o        "",
      ""HTMLキャッシュ!A:F""
    ),
    3,
    FALSE
  ),
  0
)
"),46078.85189814815)</f>
        <v>46078.8519</v>
      </c>
      <c r="F34" s="49">
        <f>IFERROR(__xludf.DUMMYFUNCTION("IFERROR(
  VLOOKUP(
    A34,
    IMPORTRANGE(
      ""1ZHMy3vVUd_0MrSduXTe1etBb1HNpAlGwQr006ljwMiM"",
      ""GSC最新!A:F""
    ),
    2,
    FALSE
  ),
  0
)
"),4.0)</f>
        <v>4</v>
      </c>
      <c r="G34" s="49">
        <f>IFERROR(__xludf.DUMMYFUNCTION("IFERROR(
  VLOOKUP(
    A34,
    IMPORTRANGE(
      ""1ZHMy3vVUd_0MrSduXTe1etBb1HNpAlGwQr006ljwMiM"",
      ""GSC最新!A:F""
    ),
    3,
    FALSE
  ),
  0
)
"),19.0)</f>
        <v>19</v>
      </c>
      <c r="H34" s="49">
        <f>IFERROR(__xludf.DUMMYFUNCTION("IFERROR(
  VLOOKUP(
    A34,
    IMPORTRANGE(
      ""1ZHMy3vVUd_0MrSduXTe1etBb1HNpAlGwQr006ljwMiM"",
      ""GSC最新!A:F""
    ),
    4,
    FALSE
  ),
  0
)
"),0.0)</f>
        <v>0</v>
      </c>
      <c r="I34" s="49">
        <f>IFERROR(__xludf.DUMMYFUNCTION("IFERROR(
  VLOOKUP(
    A34,
    IMPORTRANGE(
      ""1ZHMy3vVUd_0MrSduXTe1etBb1HNpAlGwQr006ljwMiM"",
      ""GSC最新!A:F""
    ),
    5,
    FALSE
  ),
  0
)
"),3.0)</f>
        <v>3</v>
      </c>
      <c r="J34" s="50" t="str">
        <f t="shared" ref="J34:K34" si="161">IFERROR(F34/H34,"-")</f>
        <v>-</v>
      </c>
      <c r="K34" s="50">
        <f t="shared" si="161"/>
        <v>6.333333333</v>
      </c>
      <c r="L34" s="6">
        <f>IFERROR(__xludf.DUMMYFUNCTION("IFERROR(
  VLOOKUP(
    A34,
    IMPORTRANGE(
      ""1ZHMy3vVUd_0MrSduXTe1etBb1HNpAlGwQr006ljwMiM"",
      ""GSC最新!A:R""
    ),
    7,
    FALSE
  ),
  0
)
"),99.0)</f>
        <v>99</v>
      </c>
      <c r="M34" s="6">
        <f>IFERROR(__xludf.DUMMYFUNCTION("IFERROR(
  VLOOKUP(
    A34,
    IMPORTRANGE(
      ""1ZHMy3vVUd_0MrSduXTe1etBb1HNpAlGwQr006ljwMiM"",
      ""GSC最新!A:R""
    ),
    10,
    FALSE
  ),
  0
)
"),310.0)</f>
        <v>310</v>
      </c>
      <c r="N34" s="6">
        <f>IFERROR(__xludf.DUMMYFUNCTION("IFERROR(
  VLOOKUP(
    A34,
    IMPORTRANGE(
      ""1ZHMy3vVUd_0MrSduXTe1etBb1HNpAlGwQr006ljwMiM"",
      ""GSC最新!A:R""
    ),
    13,
    FALSE
  ),
  0
)
"),12.0)</f>
        <v>12</v>
      </c>
      <c r="O34" s="6">
        <f>IFERROR(__xludf.DUMMYFUNCTION("IFERROR(
  VLOOKUP(
    A34,
    IMPORTRANGE(
      ""1ZHMy3vVUd_0MrSduXTe1etBb1HNpAlGwQr006ljwMiM"",
      ""GSC最新!A:R""
    ),
    16,
    FALSE
  ),
  0
)
"),56.0)</f>
        <v>56</v>
      </c>
      <c r="P34" s="51">
        <f t="shared" ref="P34:Q34" si="162">IFERROR(L34/N34,"-")</f>
        <v>8.25</v>
      </c>
      <c r="Q34" s="51">
        <f t="shared" si="162"/>
        <v>5.535714286</v>
      </c>
      <c r="R34" s="9">
        <f>IFERROR(__xludf.DUMMYFUNCTION("IFERROR(
  VLOOKUP(
    A34,
    IMPORTRANGE(
      ""1ZHMy3vVUd_0MrSduXTe1etBb1HNpAlGwQr006ljwMiM"",
      ""GSC最新!A:R""
    ),
    8,
    FALSE
  ),
  0
)
"),0.04040404040404041)</f>
        <v>0.0404040404</v>
      </c>
      <c r="S34" s="9">
        <f>IFERROR(__xludf.DUMMYFUNCTION("IFERROR(
  VLOOKUP(
    A34,
    IMPORTRANGE(
      ""1ZHMy3vVUd_0MrSduXTe1etBb1HNpAlGwQr006ljwMiM"",
      ""GSC最新!A:R""
    ),
    11,
    FALSE
  ),
  0
)
"),0.06129032258064516)</f>
        <v>0.06129032258</v>
      </c>
      <c r="T34" s="9">
        <f>IFERROR(__xludf.DUMMYFUNCTION("IFERROR(
  VLOOKUP(
    A34,
    IMPORTRANGE(
      ""1ZHMy3vVUd_0MrSduXTe1etBb1HNpAlGwQr006ljwMiM"",
      ""GSC最新!A:R""
    ),
    14,
    FALSE
  ),
  0
)
"),0.0)</f>
        <v>0</v>
      </c>
      <c r="U34" s="9">
        <f>IFERROR(__xludf.DUMMYFUNCTION("IFERROR(
  VLOOKUP(
    A34,
    IMPORTRANGE(
      ""1ZHMy3vVUd_0MrSduXTe1etBb1HNpAlGwQr006ljwMiM"",
      ""GSC最新!A:R""
    ),
    17,
    FALSE
  ),
  0
)
"),0.05357142857142857)</f>
        <v>0.05357142857</v>
      </c>
      <c r="V34" s="9">
        <f t="shared" ref="V34:W34" si="163">IFERROR(R34-T34,"-")</f>
        <v>0.0404040404</v>
      </c>
      <c r="W34" s="9">
        <f t="shared" si="163"/>
        <v>0.007718894009</v>
      </c>
      <c r="X34" s="65">
        <f>IFERROR(__xludf.DUMMYFUNCTION("IFERROR(
  VLOOKUP(
    A34,
    IMPORTRANGE(
      ""1ZHMy3vVUd_0MrSduXTe1etBb1HNpAlGwQr006ljwMiM"",
      ""GSC最新!A:R""
    ),
    9,
    FALSE
  ),
  0
)
"),8.8989898989899)</f>
        <v>8.898989899</v>
      </c>
      <c r="Y34" s="65">
        <f>IFERROR(__xludf.DUMMYFUNCTION("IFERROR(
  VLOOKUP(
    A34,
    IMPORTRANGE(
      ""1ZHMy3vVUd_0MrSduXTe1etBb1HNpAlGwQr006ljwMiM"",
      ""GSC最新!A:R""
    ),
    12,
    FALSE
  ),
  0
)
"),9.14516129032258)</f>
        <v>9.14516129</v>
      </c>
      <c r="Z34" s="65">
        <f>IFERROR(__xludf.DUMMYFUNCTION("IFERROR(
  VLOOKUP(
    A34,
    IMPORTRANGE(
      ""1ZHMy3vVUd_0MrSduXTe1etBb1HNpAlGwQr006ljwMiM"",
      ""GSC最新!A:R""
    ),
    15,
    FALSE
  ),
  0
)
"),28.583333333333332)</f>
        <v>28.58333333</v>
      </c>
      <c r="AA34" s="65">
        <f>IFERROR(__xludf.DUMMYFUNCTION("IFERROR(
  VLOOKUP(
    A34,
    IMPORTRANGE(
      ""1ZHMy3vVUd_0MrSduXTe1etBb1HNpAlGwQr006ljwMiM"",
      ""GSC最新!A:R""
    ),
    18,
    FALSE
  ),
  0
)
"),30.946428571428573)</f>
        <v>30.94642857</v>
      </c>
      <c r="AB34" s="65">
        <f t="shared" ref="AB34:AC34" si="164">X34-Z34</f>
        <v>-19.68434343</v>
      </c>
      <c r="AC34" s="65">
        <f t="shared" si="164"/>
        <v>-21.80126728</v>
      </c>
      <c r="AD34" s="53">
        <f>IFERROR(__xludf.DUMMYFUNCTION("IFERROR(
  VLOOKUP(
    A34,
    IMPORTRANGE(
      ""1ZHMy3vVUd_0MrSduXTe1etBb1HNpAlGwQr006ljwMiM"",
      ""GSC最新!A:F""
    ),
    6,
    FALSE
  ),
  0
)
"),46081.0)</f>
        <v>46081</v>
      </c>
      <c r="AE34" s="54">
        <f>IFERROR(__xludf.DUMMYFUNCTION("IFERROR(
  VLOOKUP(
    A34,
    IMPORTRANGE(
      ""1SCYQd7_cobOYqT0r_F0IqD4tE4rYn5y8Eup4PJTH8es"",
      ""Snapshot!A:M""
    ),
    5,
    FALSE
  ),
  ""-""
)
"),3.0)</f>
        <v>3</v>
      </c>
      <c r="AF34" s="54">
        <f>IFERROR(__xludf.DUMMYFUNCTION("IFERROR(
  VLOOKUP(
    A34,
    IMPORTRANGE(
      ""1SCYQd7_cobOYqT0r_F0IqD4tE4rYn5y8Eup4PJTH8es"",
      ""Snapshot!A:M""
    ),
    6,
    FALSE
  ),
  0
)
"),2.0)</f>
        <v>2</v>
      </c>
      <c r="AG34" s="54">
        <f>IFERROR(__xludf.DUMMYFUNCTION("IFERROR(
  VLOOKUP(
    A34,
    IMPORTRANGE(
      ""1SCYQd7_cobOYqT0r_F0IqD4tE4rYn5y8Eup4PJTH8es"",
      ""Snapshot!A:M""
    ),
    7,
    FALSE
  ),
  0
)
"),2477.0)</f>
        <v>2477</v>
      </c>
      <c r="AH34" s="54">
        <f>IFERROR(__xludf.DUMMYFUNCTION("IFERROR(
  VLOOKUP(
    A34,
    IMPORTRANGE(
      ""1SCYQd7_cobOYqT0r_F0IqD4tE4rYn5y8Eup4PJTH8es"",
      ""Snapshot!A:M""
    ),
    8,
    FALSE
  ),
  0
)
"),7.0)</f>
        <v>7</v>
      </c>
      <c r="AI34" s="54">
        <f>IFERROR(__xludf.DUMMYFUNCTION("IFERROR(
  VLOOKUP(
    A34,
    IMPORTRANGE(
      ""1SCYQd7_cobOYqT0r_F0IqD4tE4rYn5y8Eup4PJTH8es"",
      ""Snapshot!A:M""
    ),
    9,
    FALSE
  ),
  0
)
"),2.0)</f>
        <v>2</v>
      </c>
      <c r="AJ34" s="54">
        <f>IFERROR(__xludf.DUMMYFUNCTION("IFERROR(
  VLOOKUP(
    A34,
    IMPORTRANGE(
      ""1SCYQd7_cobOYqT0r_F0IqD4tE4rYn5y8Eup4PJTH8es"",
      ""Snapshot!A:M""
    ),
    13,
    FALSE
  ),
  0
)
"),3.0)</f>
        <v>3</v>
      </c>
      <c r="AK34" s="49">
        <f t="shared" ref="AK34:AL34" si="165">LEN(C34)</f>
        <v>26</v>
      </c>
      <c r="AL34" s="49">
        <f t="shared" si="165"/>
        <v>78</v>
      </c>
    </row>
    <row r="35">
      <c r="A35" s="56" t="s">
        <v>544</v>
      </c>
      <c r="B35" s="1" t="str">
        <f>IFERROR(__xludf.DUMMYFUNCTION("IFERROR(
  VLOOKUP(
    A35,
    IMPORTRANGE(
      ""1ZygntHC1J6IxzKbTidmOyf5nUyW4GCLurHCjexrLm_o"",
      ""HTMLキャッシュ!A:F""
    ),
    2,
    FALSE
  ),
  0
)
"),"SC")</f>
        <v>SC</v>
      </c>
      <c r="C35" s="1" t="str">
        <f>IFERROR(__xludf.DUMMYFUNCTION("IFERROR(
  VLOOKUP(
    A35,
    IMPORTRANGE(
      ""1ZygntHC1J6IxzKbTidmOyf5nUyW4GCLurHCjexrLm_o"",
      ""HTMLキャッシュ!A:F""
    ),
    5,
    FALSE
  ),
  0
)
"),"国語読解のスピードを上げる 読む・考える力の鍛え方")</f>
        <v>国語読解のスピードを上げる 読む・考える力の鍛え方</v>
      </c>
      <c r="D35" s="1" t="str">
        <f>IFERROR(__xludf.DUMMYFUNCTION("IFERROR(
  VLOOKUP(
    A35,
    IMPORTRANGE(
      ""1ZygntHC1J6IxzKbTidmOyf5nUyW4GCLurHCjexrLm_o        "",
      ""HTMLキャッシュ!A:F""
    ),
    6,
    FALSE
  ),
  0
)
"),"国語が遅い原因は速読より、読み直し・探し直しの多さ。設問確認→根拠を一文に絞る→選択/記述で時間不足を減らす。")</f>
        <v>国語が遅い原因は速読より、読み直し・探し直しの多さ。設問確認→根拠を一文に絞る→選択/記述で時間不足を減らす。</v>
      </c>
      <c r="E35" s="32">
        <f>IFERROR(__xludf.DUMMYFUNCTION("IFERROR(
  VLOOKUP(
    A35,
    IMPORTRANGE(
      ""1ZygntHC1J6IxzKbTidmOyf5nUyW4GCLurHCjexrLm_o        "",
      ""HTMLキャッシュ!A:F""
    ),
    3,
    FALSE
  ),
  0
)
"),46078.85238425926)</f>
        <v>46078.85238</v>
      </c>
      <c r="F35" s="49">
        <f>IFERROR(__xludf.DUMMYFUNCTION("IFERROR(
  VLOOKUP(
    A35,
    IMPORTRANGE(
      ""1ZHMy3vVUd_0MrSduXTe1etBb1HNpAlGwQr006ljwMiM"",
      ""GSC最新!A:F""
    ),
    2,
    FALSE
  ),
  0
)
"),9.0)</f>
        <v>9</v>
      </c>
      <c r="G35" s="49">
        <f>IFERROR(__xludf.DUMMYFUNCTION("IFERROR(
  VLOOKUP(
    A35,
    IMPORTRANGE(
      ""1ZHMy3vVUd_0MrSduXTe1etBb1HNpAlGwQr006ljwMiM"",
      ""GSC最新!A:F""
    ),
    3,
    FALSE
  ),
  0
)
"),18.0)</f>
        <v>18</v>
      </c>
      <c r="H35" s="49">
        <f>IFERROR(__xludf.DUMMYFUNCTION("IFERROR(
  VLOOKUP(
    A35,
    IMPORTRANGE(
      ""1ZHMy3vVUd_0MrSduXTe1etBb1HNpAlGwQr006ljwMiM"",
      ""GSC最新!A:F""
    ),
    4,
    FALSE
  ),
  0
)
"),0.0)</f>
        <v>0</v>
      </c>
      <c r="I35" s="49">
        <f>IFERROR(__xludf.DUMMYFUNCTION("IFERROR(
  VLOOKUP(
    A35,
    IMPORTRANGE(
      ""1ZHMy3vVUd_0MrSduXTe1etBb1HNpAlGwQr006ljwMiM"",
      ""GSC最新!A:F""
    ),
    5,
    FALSE
  ),
  0
)
"),0.0)</f>
        <v>0</v>
      </c>
      <c r="J35" s="50" t="str">
        <f t="shared" ref="J35:K35" si="166">IFERROR(F35/H35,"-")</f>
        <v>-</v>
      </c>
      <c r="K35" s="50" t="str">
        <f t="shared" si="166"/>
        <v>-</v>
      </c>
      <c r="L35" s="6">
        <f>IFERROR(__xludf.DUMMYFUNCTION("IFERROR(
  VLOOKUP(
    A35,
    IMPORTRANGE(
      ""1ZHMy3vVUd_0MrSduXTe1etBb1HNpAlGwQr006ljwMiM"",
      ""GSC最新!A:R""
    ),
    7,
    FALSE
  ),
  0
)
"),439.0)</f>
        <v>439</v>
      </c>
      <c r="M35" s="6">
        <f>IFERROR(__xludf.DUMMYFUNCTION("IFERROR(
  VLOOKUP(
    A35,
    IMPORTRANGE(
      ""1ZHMy3vVUd_0MrSduXTe1etBb1HNpAlGwQr006ljwMiM"",
      ""GSC最新!A:R""
    ),
    10,
    FALSE
  ),
  0
)
"),628.0)</f>
        <v>628</v>
      </c>
      <c r="N35" s="6">
        <f>IFERROR(__xludf.DUMMYFUNCTION("IFERROR(
  VLOOKUP(
    A35,
    IMPORTRANGE(
      ""1ZHMy3vVUd_0MrSduXTe1etBb1HNpAlGwQr006ljwMiM"",
      ""GSC最新!A:R""
    ),
    13,
    FALSE
  ),
  0
)
"),0.0)</f>
        <v>0</v>
      </c>
      <c r="O35" s="6">
        <f>IFERROR(__xludf.DUMMYFUNCTION("IFERROR(
  VLOOKUP(
    A35,
    IMPORTRANGE(
      ""1ZHMy3vVUd_0MrSduXTe1etBb1HNpAlGwQr006ljwMiM"",
      ""GSC最新!A:R""
    ),
    16,
    FALSE
  ),
  0
)
"),0.0)</f>
        <v>0</v>
      </c>
      <c r="P35" s="51" t="str">
        <f t="shared" ref="P35:Q35" si="167">IFERROR(L35/N35,"-")</f>
        <v>-</v>
      </c>
      <c r="Q35" s="51" t="str">
        <f t="shared" si="167"/>
        <v>-</v>
      </c>
      <c r="R35" s="9">
        <f>IFERROR(__xludf.DUMMYFUNCTION("IFERROR(
  VLOOKUP(
    A35,
    IMPORTRANGE(
      ""1ZHMy3vVUd_0MrSduXTe1etBb1HNpAlGwQr006ljwMiM"",
      ""GSC最新!A:R""
    ),
    8,
    FALSE
  ),
  0
)
"),0.02050113895216401)</f>
        <v>0.02050113895</v>
      </c>
      <c r="S35" s="9">
        <f>IFERROR(__xludf.DUMMYFUNCTION("IFERROR(
  VLOOKUP(
    A35,
    IMPORTRANGE(
      ""1ZHMy3vVUd_0MrSduXTe1etBb1HNpAlGwQr006ljwMiM"",
      ""GSC最新!A:R""
    ),
    11,
    FALSE
  ),
  0
)
"),0.028662420382165606)</f>
        <v>0.02866242038</v>
      </c>
      <c r="T35" s="9">
        <f>IFERROR(__xludf.DUMMYFUNCTION("IFERROR(
  VLOOKUP(
    A35,
    IMPORTRANGE(
      ""1ZHMy3vVUd_0MrSduXTe1etBb1HNpAlGwQr006ljwMiM"",
      ""GSC最新!A:R""
    ),
    14,
    FALSE
  ),
  0
)
"),0.0)</f>
        <v>0</v>
      </c>
      <c r="U35" s="9">
        <f>IFERROR(__xludf.DUMMYFUNCTION("IFERROR(
  VLOOKUP(
    A35,
    IMPORTRANGE(
      ""1ZHMy3vVUd_0MrSduXTe1etBb1HNpAlGwQr006ljwMiM"",
      ""GSC最新!A:R""
    ),
    17,
    FALSE
  ),
  0
)
"),0.0)</f>
        <v>0</v>
      </c>
      <c r="V35" s="9">
        <f t="shared" ref="V35:W35" si="168">IFERROR(R35-T35,"-")</f>
        <v>0.02050113895</v>
      </c>
      <c r="W35" s="9">
        <f t="shared" si="168"/>
        <v>0.02866242038</v>
      </c>
      <c r="X35" s="65">
        <f>IFERROR(__xludf.DUMMYFUNCTION("IFERROR(
  VLOOKUP(
    A35,
    IMPORTRANGE(
      ""1ZHMy3vVUd_0MrSduXTe1etBb1HNpAlGwQr006ljwMiM"",
      ""GSC最新!A:R""
    ),
    9,
    FALSE
  ),
  0
)
"),6.977220956719818)</f>
        <v>6.977220957</v>
      </c>
      <c r="Y35" s="65">
        <f>IFERROR(__xludf.DUMMYFUNCTION("IFERROR(
  VLOOKUP(
    A35,
    IMPORTRANGE(
      ""1ZHMy3vVUd_0MrSduXTe1etBb1HNpAlGwQr006ljwMiM"",
      ""GSC最新!A:R""
    ),
    12,
    FALSE
  ),
  0
)
"),6.785031847133758)</f>
        <v>6.785031847</v>
      </c>
      <c r="Z35" s="65" t="str">
        <f>IFERROR(__xludf.DUMMYFUNCTION("IFERROR(
  VLOOKUP(
    A35,
    IMPORTRANGE(
      ""1ZHMy3vVUd_0MrSduXTe1etBb1HNpAlGwQr006ljwMiM"",
      ""GSC最新!A:R""
    ),
    15,
    FALSE
  ),
  0
)
"),"")</f>
        <v/>
      </c>
      <c r="AA35" s="65" t="str">
        <f>IFERROR(__xludf.DUMMYFUNCTION("IFERROR(
  VLOOKUP(
    A35,
    IMPORTRANGE(
      ""1ZHMy3vVUd_0MrSduXTe1etBb1HNpAlGwQr006ljwMiM"",
      ""GSC最新!A:R""
    ),
    18,
    FALSE
  ),
  0
)
"),"")</f>
        <v/>
      </c>
      <c r="AB35" s="65">
        <f t="shared" ref="AB35:AC35" si="169">X35-Z35</f>
        <v>6.977220957</v>
      </c>
      <c r="AC35" s="65">
        <f t="shared" si="169"/>
        <v>6.785031847</v>
      </c>
      <c r="AD35" s="53">
        <f>IFERROR(__xludf.DUMMYFUNCTION("IFERROR(
  VLOOKUP(
    A35,
    IMPORTRANGE(
      ""1ZHMy3vVUd_0MrSduXTe1etBb1HNpAlGwQr006ljwMiM"",
      ""GSC最新!A:F""
    ),
    6,
    FALSE
  ),
  0
)
"),46081.0)</f>
        <v>46081</v>
      </c>
      <c r="AE35" s="54">
        <f>IFERROR(__xludf.DUMMYFUNCTION("IFERROR(
  VLOOKUP(
    A35,
    IMPORTRANGE(
      ""1SCYQd7_cobOYqT0r_F0IqD4tE4rYn5y8Eup4PJTH8es"",
      ""Snapshot!A:M""
    ),
    5,
    FALSE
  ),
  ""-""
)
"),8.0)</f>
        <v>8</v>
      </c>
      <c r="AF35" s="54">
        <f>IFERROR(__xludf.DUMMYFUNCTION("IFERROR(
  VLOOKUP(
    A35,
    IMPORTRANGE(
      ""1SCYQd7_cobOYqT0r_F0IqD4tE4rYn5y8Eup4PJTH8es"",
      ""Snapshot!A:M""
    ),
    6,
    FALSE
  ),
  0
)
"),3.0)</f>
        <v>3</v>
      </c>
      <c r="AG35" s="54">
        <f>IFERROR(__xludf.DUMMYFUNCTION("IFERROR(
  VLOOKUP(
    A35,
    IMPORTRANGE(
      ""1SCYQd7_cobOYqT0r_F0IqD4tE4rYn5y8Eup4PJTH8es"",
      ""Snapshot!A:M""
    ),
    7,
    FALSE
  ),
  0
)
"),3140.0)</f>
        <v>3140</v>
      </c>
      <c r="AH35" s="54">
        <f>IFERROR(__xludf.DUMMYFUNCTION("IFERROR(
  VLOOKUP(
    A35,
    IMPORTRANGE(
      ""1SCYQd7_cobOYqT0r_F0IqD4tE4rYn5y8Eup4PJTH8es"",
      ""Snapshot!A:M""
    ),
    8,
    FALSE
  ),
  0
)
"),8.0)</f>
        <v>8</v>
      </c>
      <c r="AI35" s="54">
        <f>IFERROR(__xludf.DUMMYFUNCTION("IFERROR(
  VLOOKUP(
    A35,
    IMPORTRANGE(
      ""1SCYQd7_cobOYqT0r_F0IqD4tE4rYn5y8Eup4PJTH8es"",
      ""Snapshot!A:M""
    ),
    9,
    FALSE
  ),
  0
)
"),5.0)</f>
        <v>5</v>
      </c>
      <c r="AJ35" s="54">
        <f>IFERROR(__xludf.DUMMYFUNCTION("IFERROR(
  VLOOKUP(
    A35,
    IMPORTRANGE(
      ""1SCYQd7_cobOYqT0r_F0IqD4tE4rYn5y8Eup4PJTH8es"",
      ""Snapshot!A:M""
    ),
    13,
    FALSE
  ),
  0
)
"),3.0)</f>
        <v>3</v>
      </c>
      <c r="AK35" s="49">
        <f t="shared" ref="AK35:AL35" si="170">LEN(C35)</f>
        <v>25</v>
      </c>
      <c r="AL35" s="49">
        <f t="shared" si="170"/>
        <v>55</v>
      </c>
    </row>
    <row r="36">
      <c r="A36" s="3" t="s">
        <v>545</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"),"東大の国語について検討してみた(前半)【読解ラボ東京】【古典専門塾かきつばた】 - 受験国語専門 読解ラボ東京 | 中学受験・大学受験対応の個別指導国語専門塾（オンライン・教室対応）")</f>
        <v>東大の国語について検討してみた(前半)【読解ラボ東京】【古典専門塾かきつばた】 - 受験国語専門 読解ラボ東京 | 中学受験・大学受験対応の個別指導国語専門塾（オンライン・教室対応）</v>
      </c>
      <c r="D36" s="1" t="str">
        <f>IFERROR(__xludf.DUMMYFUNCTION("IFERROR(
  VLOOKUP(
    A36,
    IMPORTRANGE(
      ""1ZygntHC1J6IxzKbTidmOyf5nUyW4GCLurHCjexrLm_o        "",
      ""HTMLキャッシュ!A:F""
    ),
    6,
    FALSE
  ),
  0
)
"),"東大の国語は、文章が難しく感じても点は取れます。 ただし「分かったつもり」で進むと、傍線部の説明")</f>
        <v>東大の国語は、文章が難しく感じても点は取れます。 ただし「分かったつもり」で進むと、傍線部の説明</v>
      </c>
      <c r="E36" s="32">
        <f>IFERROR(__xludf.DUMMYFUNCTION("IFERROR(
  VLOOKUP(
    A36,
    IMPORTRANGE(
      ""1ZygntHC1J6IxzKbTidmOyf5nUyW4GCLurHCjexrLm_o        "",
      ""HTMLキャッシュ!A:F""
    ),
    3,
    FALSE
  ),
  0
)
"),46078.85209490741)</f>
        <v>46078.85209</v>
      </c>
      <c r="F36" s="49">
        <f>IFERROR(__xludf.DUMMYFUNCTION("IFERROR(
  VLOOKUP(
    A36,
    IMPORTRANGE(
      ""1ZHMy3vVUd_0MrSduXTe1etBb1HNpAlGwQr006ljwMiM"",
      ""GSC最新!A:F""
    ),
    2,
    FALSE
  ),
  0
)
"),5.0)</f>
        <v>5</v>
      </c>
      <c r="G36" s="49">
        <f>IFERROR(__xludf.DUMMYFUNCTION("IFERROR(
  VLOOKUP(
    A36,
    IMPORTRANGE(
      ""1ZHMy3vVUd_0MrSduXTe1etBb1HNpAlGwQr006ljwMiM"",
      ""GSC最新!A:F""
    ),
    3,
    FALSE
  ),
  0
)
"),17.0)</f>
        <v>17</v>
      </c>
      <c r="H36" s="49">
        <f>IFERROR(__xludf.DUMMYFUNCTION("IFERROR(
  VLOOKUP(
    A36,
    IMPORTRANGE(
      ""1ZHMy3vVUd_0MrSduXTe1etBb1HNpAlGwQr006ljwMiM"",
      ""GSC最新!A:F""
    ),
    4,
    FALSE
  ),
  0
)
"),2.0)</f>
        <v>2</v>
      </c>
      <c r="I36" s="49">
        <f>IFERROR(__xludf.DUMMYFUNCTION("IFERROR(
  VLOOKUP(
    A36,
    IMPORTRANGE(
      ""1ZHMy3vVUd_0MrSduXTe1etBb1HNpAlGwQr006ljwMiM"",
      ""GSC最新!A:F""
    ),
    5,
    FALSE
  ),
  0
)
"),9.0)</f>
        <v>9</v>
      </c>
      <c r="J36" s="50">
        <f t="shared" ref="J36:K36" si="171">IFERROR(F36/H36,"-")</f>
        <v>2.5</v>
      </c>
      <c r="K36" s="50">
        <f t="shared" si="171"/>
        <v>1.888888889</v>
      </c>
      <c r="L36" s="6">
        <f>IFERROR(__xludf.DUMMYFUNCTION("IFERROR(
  VLOOKUP(
    A36,
    IMPORTRANGE(
      ""1ZHMy3vVUd_0MrSduXTe1etBb1HNpAlGwQr006ljwMiM"",
      ""GSC最新!A:R""
    ),
    7,
    FALSE
  ),
  0
)
"),219.0)</f>
        <v>219</v>
      </c>
      <c r="M36" s="6">
        <f>IFERROR(__xludf.DUMMYFUNCTION("IFERROR(
  VLOOKUP(
    A36,
    IMPORTRANGE(
      ""1ZHMy3vVUd_0MrSduXTe1etBb1HNpAlGwQr006ljwMiM"",
      ""GSC最新!A:R""
    ),
    10,
    FALSE
  ),
  0
)
"),463.0)</f>
        <v>463</v>
      </c>
      <c r="N36" s="6">
        <f>IFERROR(__xludf.DUMMYFUNCTION("IFERROR(
  VLOOKUP(
    A36,
    IMPORTRANGE(
      ""1ZHMy3vVUd_0MrSduXTe1etBb1HNpAlGwQr006ljwMiM"",
      ""GSC最新!A:R""
    ),
    13,
    FALSE
  ),
  0
)
"),90.0)</f>
        <v>90</v>
      </c>
      <c r="O36" s="6">
        <f>IFERROR(__xludf.DUMMYFUNCTION("IFERROR(
  VLOOKUP(
    A36,
    IMPORTRANGE(
      ""1ZHMy3vVUd_0MrSduXTe1etBb1HNpAlGwQr006ljwMiM"",
      ""GSC最新!A:R""
    ),
    16,
    FALSE
  ),
  0
)
"),267.0)</f>
        <v>267</v>
      </c>
      <c r="P36" s="51">
        <f t="shared" ref="P36:Q36" si="172">IFERROR(L36/N36,"-")</f>
        <v>2.433333333</v>
      </c>
      <c r="Q36" s="51">
        <f t="shared" si="172"/>
        <v>1.734082397</v>
      </c>
      <c r="R36" s="9">
        <f>IFERROR(__xludf.DUMMYFUNCTION("IFERROR(
  VLOOKUP(
    A36,
    IMPORTRANGE(
      ""1ZHMy3vVUd_0MrSduXTe1etBb1HNpAlGwQr006ljwMiM"",
      ""GSC最新!A:R""
    ),
    8,
    FALSE
  ),
  0
)
"),0.0228310502283105)</f>
        <v>0.02283105023</v>
      </c>
      <c r="S36" s="9">
        <f>IFERROR(__xludf.DUMMYFUNCTION("IFERROR(
  VLOOKUP(
    A36,
    IMPORTRANGE(
      ""1ZHMy3vVUd_0MrSduXTe1etBb1HNpAlGwQr006ljwMiM"",
      ""GSC最新!A:R""
    ),
    11,
    FALSE
  ),
  0
)
"),0.0367170626349892)</f>
        <v>0.03671706263</v>
      </c>
      <c r="T36" s="9">
        <f>IFERROR(__xludf.DUMMYFUNCTION("IFERROR(
  VLOOKUP(
    A36,
    IMPORTRANGE(
      ""1ZHMy3vVUd_0MrSduXTe1etBb1HNpAlGwQr006ljwMiM"",
      ""GSC最新!A:R""
    ),
    14,
    FALSE
  ),
  0
)
"),0.022222222222222223)</f>
        <v>0.02222222222</v>
      </c>
      <c r="U36" s="9">
        <f>IFERROR(__xludf.DUMMYFUNCTION("IFERROR(
  VLOOKUP(
    A36,
    IMPORTRANGE(
      ""1ZHMy3vVUd_0MrSduXTe1etBb1HNpAlGwQr006ljwMiM"",
      ""GSC最新!A:R""
    ),
    17,
    FALSE
  ),
  0
)
"),0.033707865168539325)</f>
        <v>0.03370786517</v>
      </c>
      <c r="V36" s="9">
        <f t="shared" ref="V36:W36" si="173">IFERROR(R36-T36,"-")</f>
        <v>0.0006088280061</v>
      </c>
      <c r="W36" s="9">
        <f t="shared" si="173"/>
        <v>0.003009197466</v>
      </c>
      <c r="X36" s="65">
        <f>IFERROR(__xludf.DUMMYFUNCTION("IFERROR(
  VLOOKUP(
    A36,
    IMPORTRANGE(
      ""1ZHMy3vVUd_0MrSduXTe1etBb1HNpAlGwQr006ljwMiM"",
      ""GSC最新!A:R""
    ),
    9,
    FALSE
  ),
  0
)
"),8.342465753424658)</f>
        <v>8.342465753</v>
      </c>
      <c r="Y36" s="65">
        <f>IFERROR(__xludf.DUMMYFUNCTION("IFERROR(
  VLOOKUP(
    A36,
    IMPORTRANGE(
      ""1ZHMy3vVUd_0MrSduXTe1etBb1HNpAlGwQr006ljwMiM"",
      ""GSC最新!A:R""
    ),
    12,
    FALSE
  ),
  0
)
"),8.051835853131749)</f>
        <v>8.051835853</v>
      </c>
      <c r="Z36" s="65">
        <f>IFERROR(__xludf.DUMMYFUNCTION("IFERROR(
  VLOOKUP(
    A36,
    IMPORTRANGE(
      ""1ZHMy3vVUd_0MrSduXTe1etBb1HNpAlGwQr006ljwMiM"",
      ""GSC最新!A:R""
    ),
    15,
    FALSE
  ),
  0
)
"),15.411111111111111)</f>
        <v>15.41111111</v>
      </c>
      <c r="AA36" s="65">
        <f>IFERROR(__xludf.DUMMYFUNCTION("IFERROR(
  VLOOKUP(
    A36,
    IMPORTRANGE(
      ""1ZHMy3vVUd_0MrSduXTe1etBb1HNpAlGwQr006ljwMiM"",
      ""GSC最新!A:R""
    ),
    18,
    FALSE
  ),
  0
)
"),15.662921348314606)</f>
        <v>15.66292135</v>
      </c>
      <c r="AB36" s="65">
        <f t="shared" ref="AB36:AC36" si="174">X36-Z36</f>
        <v>-7.068645358</v>
      </c>
      <c r="AC36" s="65">
        <f t="shared" si="174"/>
        <v>-7.611085495</v>
      </c>
      <c r="AD36" s="53">
        <f>IFERROR(__xludf.DUMMYFUNCTION("IFERROR(
  VLOOKUP(
    A36,
    IMPORTRANGE(
      ""1ZHMy3vVUd_0MrSduXTe1etBb1HNpAlGwQr006ljwMiM"",
      ""GSC最新!A:F""
    ),
    6,
    FALSE
  ),
  0
)
"),46081.0)</f>
        <v>46081</v>
      </c>
      <c r="AE36" s="54">
        <f>IFERROR(__xludf.DUMMYFUNCTION("IFERROR(
  VLOOKUP(
    A36,
    IMPORTRANGE(
      ""1SCYQd7_cobOYqT0r_F0IqD4tE4rYn5y8Eup4PJTH8es"",
      ""Snapshot!A:M""
    ),
    5,
    FALSE
  ),
  ""-""
)
"),4.0)</f>
        <v>4</v>
      </c>
      <c r="AF36" s="54">
        <f>IFERROR(__xludf.DUMMYFUNCTION("IFERROR(
  VLOOKUP(
    A36,
    IMPORTRANGE(
      ""1SCYQd7_cobOYqT0r_F0IqD4tE4rYn5y8Eup4PJTH8es"",
      ""Snapshot!A:M""
    ),
    6,
    FALSE
  ),
  0
)
"),0.0)</f>
        <v>0</v>
      </c>
      <c r="AG36" s="54">
        <f>IFERROR(__xludf.DUMMYFUNCTION("IFERROR(
  VLOOKUP(
    A36,
    IMPORTRANGE(
      ""1SCYQd7_cobOYqT0r_F0IqD4tE4rYn5y8Eup4PJTH8es"",
      ""Snapshot!A:M""
    ),
    7,
    FALSE
  ),
  0
)
"),5690.0)</f>
        <v>5690</v>
      </c>
      <c r="AH36" s="54">
        <f>IFERROR(__xludf.DUMMYFUNCTION("IFERROR(
  VLOOKUP(
    A36,
    IMPORTRANGE(
      ""1SCYQd7_cobOYqT0r_F0IqD4tE4rYn5y8Eup4PJTH8es"",
      ""Snapshot!A:M""
    ),
    8,
    FALSE
  ),
  0
)
"),7.0)</f>
        <v>7</v>
      </c>
      <c r="AI36" s="54">
        <f>IFERROR(__xludf.DUMMYFUNCTION("IFERROR(
  VLOOKUP(
    A36,
    IMPORTRANGE(
      ""1SCYQd7_cobOYqT0r_F0IqD4tE4rYn5y8Eup4PJTH8es"",
      ""Snapshot!A:M""
    ),
    9,
    FALSE
  ),
  0
)
"),1.0)</f>
        <v>1</v>
      </c>
      <c r="AJ36" s="54">
        <f>IFERROR(__xludf.DUMMYFUNCTION("IFERROR(
  VLOOKUP(
    A36,
    IMPORTRANGE(
      ""1SCYQd7_cobOYqT0r_F0IqD4tE4rYn5y8Eup4PJTH8es"",
      ""Snapshot!A:M""
    ),
    13,
    FALSE
  ),
  0
)
"),3.0)</f>
        <v>3</v>
      </c>
      <c r="AK36" s="49">
        <f t="shared" ref="AK36:AL36" si="175">LEN(C36)</f>
        <v>91</v>
      </c>
      <c r="AL36" s="49">
        <f t="shared" si="175"/>
        <v>48</v>
      </c>
    </row>
    <row r="37">
      <c r="A37" s="3" t="s">
        <v>546</v>
      </c>
      <c r="B37" s="1" t="str">
        <f>IFERROR(__xludf.DUMMYFUNCTION("IFERROR(
  VLOOKUP(
    A37,
    IMPORTRANGE(
      ""1ZygntHC1J6IxzKbTidmOyf5nUyW4GCLurHCjexrLm_o"",
      ""HTMLキャッシュ!A:F""
    ),
    2,
    FALSE
  ),
  0
)
"),"MC")</f>
        <v>MC</v>
      </c>
      <c r="C37" s="1" t="str">
        <f>IFERROR(__xludf.DUMMYFUNCTION("IFERROR(
  VLOOKUP(
    A37,
    IMPORTRANGE(
      ""1ZygntHC1J6IxzKbTidmOyf5nUyW4GCLurHCjexrLm_o"",
      ""HTMLキャッシュ!A:F""
    ),
    5,
    FALSE
  ),
  0
)
"),"フェリス女学院中2021国語入試 指示語と記述攻略法")</f>
        <v>フェリス女学院中2021国語入試 指示語と記述攻略法</v>
      </c>
      <c r="D37" s="1" t="str">
        <f>IFERROR(__xludf.DUMMYFUNCTION("IFERROR(
  VLOOKUP(
    A37,
    IMPORTRANGE(
      ""1ZygntHC1J6IxzKbTidmOyf5nUyW4GCLurHCjexrLm_o        "",
      ""HTMLキャッシュ!A:F""
    ),
    6,
    FALSE
  ),
  0
)
"),"フェリス女学院中2021国語を動画で解説。指示語それの特定と傍線部説明のまとめ方を、本文根拠で確認。PDF配布なし。")</f>
        <v>フェリス女学院中2021国語を動画で解説。指示語それの特定と傍線部説明のまとめ方を、本文根拠で確認。PDF配布なし。</v>
      </c>
      <c r="E37" s="32">
        <f>IFERROR(__xludf.DUMMYFUNCTION("IFERROR(
  VLOOKUP(
    A37,
    IMPORTRANGE(
      ""1ZygntHC1J6IxzKbTidmOyf5nUyW4GCLurHCjexrLm_o        "",
      ""HTMLキャッシュ!A:F""
    ),
    3,
    FALSE
  ),
  0
)
"),46078.84581018519)</f>
        <v>46078.84581</v>
      </c>
      <c r="F37" s="49">
        <f>IFERROR(__xludf.DUMMYFUNCTION("IFERROR(
  VLOOKUP(
    A37,
    IMPORTRANGE(
      ""1ZHMy3vVUd_0MrSduXTe1etBb1HNpAlGwQr006ljwMiM"",
      ""GSC最新!A:F""
    ),
    2,
    FALSE
  ),
  0
)
"),7.0)</f>
        <v>7</v>
      </c>
      <c r="G37" s="49">
        <f>IFERROR(__xludf.DUMMYFUNCTION("IFERROR(
  VLOOKUP(
    A37,
    IMPORTRANGE(
      ""1ZHMy3vVUd_0MrSduXTe1etBb1HNpAlGwQr006ljwMiM"",
      ""GSC最新!A:F""
    ),
    3,
    FALSE
  ),
  0
)
"),16.0)</f>
        <v>16</v>
      </c>
      <c r="H37" s="49">
        <f>IFERROR(__xludf.DUMMYFUNCTION("IFERROR(
  VLOOKUP(
    A37,
    IMPORTRANGE(
      ""1ZHMy3vVUd_0MrSduXTe1etBb1HNpAlGwQr006ljwMiM"",
      ""GSC最新!A:F""
    ),
    4,
    FALSE
  ),
  0
)
"),1.0)</f>
        <v>1</v>
      </c>
      <c r="I37" s="49">
        <f>IFERROR(__xludf.DUMMYFUNCTION("IFERROR(
  VLOOKUP(
    A37,
    IMPORTRANGE(
      ""1ZHMy3vVUd_0MrSduXTe1etBb1HNpAlGwQr006ljwMiM"",
      ""GSC最新!A:F""
    ),
    5,
    FALSE
  ),
  0
)
"),10.0)</f>
        <v>10</v>
      </c>
      <c r="J37" s="50">
        <f t="shared" ref="J37:K37" si="176">IFERROR(F37/H37,"-")</f>
        <v>7</v>
      </c>
      <c r="K37" s="50">
        <f t="shared" si="176"/>
        <v>1.6</v>
      </c>
      <c r="L37" s="6">
        <f>IFERROR(__xludf.DUMMYFUNCTION("IFERROR(
  VLOOKUP(
    A37,
    IMPORTRANGE(
      ""1ZHMy3vVUd_0MrSduXTe1etBb1HNpAlGwQr006ljwMiM"",
      ""GSC最新!A:R""
    ),
    7,
    FALSE
  ),
  0
)
"),41.0)</f>
        <v>41</v>
      </c>
      <c r="M37" s="6">
        <f>IFERROR(__xludf.DUMMYFUNCTION("IFERROR(
  VLOOKUP(
    A37,
    IMPORTRANGE(
      ""1ZHMy3vVUd_0MrSduXTe1etBb1HNpAlGwQr006ljwMiM"",
      ""GSC最新!A:R""
    ),
    10,
    FALSE
  ),
  0
)
"),131.0)</f>
        <v>131</v>
      </c>
      <c r="N37" s="6">
        <f>IFERROR(__xludf.DUMMYFUNCTION("IFERROR(
  VLOOKUP(
    A37,
    IMPORTRANGE(
      ""1ZHMy3vVUd_0MrSduXTe1etBb1HNpAlGwQr006ljwMiM"",
      ""GSC最新!A:R""
    ),
    13,
    FALSE
  ),
  0
)
"),25.0)</f>
        <v>25</v>
      </c>
      <c r="O37" s="6">
        <f>IFERROR(__xludf.DUMMYFUNCTION("IFERROR(
  VLOOKUP(
    A37,
    IMPORTRANGE(
      ""1ZHMy3vVUd_0MrSduXTe1etBb1HNpAlGwQr006ljwMiM"",
      ""GSC最新!A:R""
    ),
    16,
    FALSE
  ),
  0
)
"),134.0)</f>
        <v>134</v>
      </c>
      <c r="P37" s="51">
        <f t="shared" ref="P37:Q37" si="177">IFERROR(L37/N37,"-")</f>
        <v>1.64</v>
      </c>
      <c r="Q37" s="51">
        <f t="shared" si="177"/>
        <v>0.9776119403</v>
      </c>
      <c r="R37" s="9">
        <f>IFERROR(__xludf.DUMMYFUNCTION("IFERROR(
  VLOOKUP(
    A37,
    IMPORTRANGE(
      ""1ZHMy3vVUd_0MrSduXTe1etBb1HNpAlGwQr006ljwMiM"",
      ""GSC最新!A:R""
    ),
    8,
    FALSE
  ),
  0
)
"),0.17073170731707318)</f>
        <v>0.1707317073</v>
      </c>
      <c r="S37" s="9">
        <f>IFERROR(__xludf.DUMMYFUNCTION("IFERROR(
  VLOOKUP(
    A37,
    IMPORTRANGE(
      ""1ZHMy3vVUd_0MrSduXTe1etBb1HNpAlGwQr006ljwMiM"",
      ""GSC最新!A:R""
    ),
    11,
    FALSE
  ),
  0
)
"),0.12213740458015267)</f>
        <v>0.1221374046</v>
      </c>
      <c r="T37" s="9">
        <f>IFERROR(__xludf.DUMMYFUNCTION("IFERROR(
  VLOOKUP(
    A37,
    IMPORTRANGE(
      ""1ZHMy3vVUd_0MrSduXTe1etBb1HNpAlGwQr006ljwMiM"",
      ""GSC最新!A:R""
    ),
    14,
    FALSE
  ),
  0
)
"),0.04)</f>
        <v>0.04</v>
      </c>
      <c r="U37" s="9">
        <f>IFERROR(__xludf.DUMMYFUNCTION("IFERROR(
  VLOOKUP(
    A37,
    IMPORTRANGE(
      ""1ZHMy3vVUd_0MrSduXTe1etBb1HNpAlGwQr006ljwMiM"",
      ""GSC最新!A:R""
    ),
    17,
    FALSE
  ),
  0
)
"),0.07462686567164178)</f>
        <v>0.07462686567</v>
      </c>
      <c r="V37" s="9">
        <f t="shared" ref="V37:W37" si="178">IFERROR(R37-T37,"-")</f>
        <v>0.1307317073</v>
      </c>
      <c r="W37" s="9">
        <f t="shared" si="178"/>
        <v>0.04751053891</v>
      </c>
      <c r="X37" s="65">
        <f>IFERROR(__xludf.DUMMYFUNCTION("IFERROR(
  VLOOKUP(
    A37,
    IMPORTRANGE(
      ""1ZHMy3vVUd_0MrSduXTe1etBb1HNpAlGwQr006ljwMiM"",
      ""GSC最新!A:R""
    ),
    9,
    FALSE
  ),
  0
)
"),7.439024390243903)</f>
        <v>7.43902439</v>
      </c>
      <c r="Y37" s="65">
        <f>IFERROR(__xludf.DUMMYFUNCTION("IFERROR(
  VLOOKUP(
    A37,
    IMPORTRANGE(
      ""1ZHMy3vVUd_0MrSduXTe1etBb1HNpAlGwQr006ljwMiM"",
      ""GSC最新!A:R""
    ),
    12,
    FALSE
  ),
  0
)
"),11.381679389312977)</f>
        <v>11.38167939</v>
      </c>
      <c r="Z37" s="65">
        <f>IFERROR(__xludf.DUMMYFUNCTION("IFERROR(
  VLOOKUP(
    A37,
    IMPORTRANGE(
      ""1ZHMy3vVUd_0MrSduXTe1etBb1HNpAlGwQr006ljwMiM"",
      ""GSC最新!A:R""
    ),
    15,
    FALSE
  ),
  0
)
"),58.0)</f>
        <v>58</v>
      </c>
      <c r="AA37" s="65">
        <f>IFERROR(__xludf.DUMMYFUNCTION("IFERROR(
  VLOOKUP(
    A37,
    IMPORTRANGE(
      ""1ZHMy3vVUd_0MrSduXTe1etBb1HNpAlGwQr006ljwMiM"",
      ""GSC最新!A:R""
    ),
    18,
    FALSE
  ),
  0
)
"),53.75373134328358)</f>
        <v>53.75373134</v>
      </c>
      <c r="AB37" s="65">
        <f t="shared" ref="AB37:AC37" si="179">X37-Z37</f>
        <v>-50.56097561</v>
      </c>
      <c r="AC37" s="65">
        <f t="shared" si="179"/>
        <v>-42.37205195</v>
      </c>
      <c r="AD37" s="53">
        <f>IFERROR(__xludf.DUMMYFUNCTION("IFERROR(
  VLOOKUP(
    A37,
    IMPORTRANGE(
      ""1ZHMy3vVUd_0MrSduXTe1etBb1HNpAlGwQr006ljwMiM"",
      ""GSC最新!A:F""
    ),
    6,
    FALSE
  ),
  0
)
"),46081.0)</f>
        <v>46081</v>
      </c>
      <c r="AE37" s="54">
        <f>IFERROR(__xludf.DUMMYFUNCTION("IFERROR(
  VLOOKUP(
    A37,
    IMPORTRANGE(
      ""1SCYQd7_cobOYqT0r_F0IqD4tE4rYn5y8Eup4PJTH8es"",
      ""Snapshot!A:M""
    ),
    5,
    FALSE
  ),
  ""-""
)
"),3.0)</f>
        <v>3</v>
      </c>
      <c r="AF37" s="54">
        <f>IFERROR(__xludf.DUMMYFUNCTION("IFERROR(
  VLOOKUP(
    A37,
    IMPORTRANGE(
      ""1SCYQd7_cobOYqT0r_F0IqD4tE4rYn5y8Eup4PJTH8es"",
      ""Snapshot!A:M""
    ),
    6,
    FALSE
  ),
  0
)
"),2.0)</f>
        <v>2</v>
      </c>
      <c r="AG37" s="54">
        <f>IFERROR(__xludf.DUMMYFUNCTION("IFERROR(
  VLOOKUP(
    A37,
    IMPORTRANGE(
      ""1SCYQd7_cobOYqT0r_F0IqD4tE4rYn5y8Eup4PJTH8es"",
      ""Snapshot!A:M""
    ),
    7,
    FALSE
  ),
  0
)
"),2365.0)</f>
        <v>2365</v>
      </c>
      <c r="AH37" s="54">
        <f>IFERROR(__xludf.DUMMYFUNCTION("IFERROR(
  VLOOKUP(
    A37,
    IMPORTRANGE(
      ""1SCYQd7_cobOYqT0r_F0IqD4tE4rYn5y8Eup4PJTH8es"",
      ""Snapshot!A:M""
    ),
    8,
    FALSE
  ),
  0
)
"),7.0)</f>
        <v>7</v>
      </c>
      <c r="AI37" s="54">
        <f>IFERROR(__xludf.DUMMYFUNCTION("IFERROR(
  VLOOKUP(
    A37,
    IMPORTRANGE(
      ""1SCYQd7_cobOYqT0r_F0IqD4tE4rYn5y8Eup4PJTH8es"",
      ""Snapshot!A:M""
    ),
    9,
    FALSE
  ),
  0
)
"),1.0)</f>
        <v>1</v>
      </c>
      <c r="AJ37" s="54">
        <f>IFERROR(__xludf.DUMMYFUNCTION("IFERROR(
  VLOOKUP(
    A37,
    IMPORTRANGE(
      ""1SCYQd7_cobOYqT0r_F0IqD4tE4rYn5y8Eup4PJTH8es"",
      ""Snapshot!A:M""
    ),
    13,
    FALSE
  ),
  0
)
"),3.0)</f>
        <v>3</v>
      </c>
      <c r="AK37" s="49">
        <f t="shared" ref="AK37:AL37" si="180">LEN(C37)</f>
        <v>26</v>
      </c>
      <c r="AL37" s="49">
        <f t="shared" si="180"/>
        <v>58</v>
      </c>
    </row>
    <row r="38">
      <c r="A38" s="3" t="s">
        <v>547</v>
      </c>
      <c r="B38" s="1" t="str">
        <f>IFERROR(__xludf.DUMMYFUNCTION("IFERROR(
  VLOOKUP(
    A38,
    IMPORTRANGE(
      ""1ZygntHC1J6IxzKbTidmOyf5nUyW4GCLurHCjexrLm_o"",
      ""HTMLキャッシュ!A:F""
    ),
    2,
    FALSE
  ),
  0
)
"),"SC")</f>
        <v>SC</v>
      </c>
      <c r="C38" s="1" t="str">
        <f>IFERROR(__xludf.DUMMYFUNCTION("IFERROR(
  VLOOKUP(
    A38,
    IMPORTRANGE(
      ""1ZygntHC1J6IxzKbTidmOyf5nUyW4GCLurHCjexrLm_o"",
      ""HTMLキャッシュ!A:F""
    ),
    5,
    FALSE
  ),
  0
)
"),"国語オンライン完全対応授業｜読解記述力を鍛える個別指導")</f>
        <v>国語オンライン完全対応授業｜読解記述力を鍛える個別指導</v>
      </c>
      <c r="D38" s="1" t="str">
        <f>IFERROR(__xludf.DUMMYFUNCTION("IFERROR(
  VLOOKUP(
    A38,
    IMPORTRANGE(
      ""1ZygntHC1J6IxzKbTidmOyf5nUyW4GCLurHCjexrLm_o        "",
      ""HTMLキャッシュ!A:F""
    ),
    6,
    FALSE
  ),
  0
)
"),"中学受験国語をオンライン個別だけで進める条件を整理。手元カメラ、家庭の役割、記述添削、過去問の進め方、向く子の特徴までまとめます。")</f>
        <v>中学受験国語をオンライン個別だけで進める条件を整理。手元カメラ、家庭の役割、記述添削、過去問の進め方、向く子の特徴までまとめます。</v>
      </c>
      <c r="E38" s="32">
        <f>IFERROR(__xludf.DUMMYFUNCTION("IFERROR(
  VLOOKUP(
    A38,
    IMPORTRANGE(
      ""1ZygntHC1J6IxzKbTidmOyf5nUyW4GCLurHCjexrLm_o        "",
      ""HTMLキャッシュ!A:F""
    ),
    3,
    FALSE
  ),
  0
)
"),46078.85221064815)</f>
        <v>46078.85221</v>
      </c>
      <c r="F38" s="49">
        <f>IFERROR(__xludf.DUMMYFUNCTION("IFERROR(
  VLOOKUP(
    A38,
    IMPORTRANGE(
      ""1ZHMy3vVUd_0MrSduXTe1etBb1HNpAlGwQr006ljwMiM"",
      ""GSC最新!A:F""
    ),
    2,
    FALSE
  ),
  0
)
"),5.0)</f>
        <v>5</v>
      </c>
      <c r="G38" s="49">
        <f>IFERROR(__xludf.DUMMYFUNCTION("IFERROR(
  VLOOKUP(
    A38,
    IMPORTRANGE(
      ""1ZHMy3vVUd_0MrSduXTe1etBb1HNpAlGwQr006ljwMiM"",
      ""GSC最新!A:F""
    ),
    3,
    FALSE
  ),
  0
)
"),17.0)</f>
        <v>17</v>
      </c>
      <c r="H38" s="49">
        <f>IFERROR(__xludf.DUMMYFUNCTION("IFERROR(
  VLOOKUP(
    A38,
    IMPORTRANGE(
      ""1ZHMy3vVUd_0MrSduXTe1etBb1HNpAlGwQr006ljwMiM"",
      ""GSC最新!A:F""
    ),
    4,
    FALSE
  ),
  0
)
"),0.0)</f>
        <v>0</v>
      </c>
      <c r="I38" s="49">
        <f>IFERROR(__xludf.DUMMYFUNCTION("IFERROR(
  VLOOKUP(
    A38,
    IMPORTRANGE(
      ""1ZHMy3vVUd_0MrSduXTe1etBb1HNpAlGwQr006ljwMiM"",
      ""GSC最新!A:F""
    ),
    5,
    FALSE
  ),
  0
)
"),0.0)</f>
        <v>0</v>
      </c>
      <c r="J38" s="50" t="str">
        <f t="shared" ref="J38:K38" si="181">IFERROR(F38/H38,"-")</f>
        <v>-</v>
      </c>
      <c r="K38" s="50" t="str">
        <f t="shared" si="181"/>
        <v>-</v>
      </c>
      <c r="L38" s="6">
        <f>IFERROR(__xludf.DUMMYFUNCTION("IFERROR(
  VLOOKUP(
    A38,
    IMPORTRANGE(
      ""1ZHMy3vVUd_0MrSduXTe1etBb1HNpAlGwQr006ljwMiM"",
      ""GSC最新!A:R""
    ),
    7,
    FALSE
  ),
  0
)
"),208.0)</f>
        <v>208</v>
      </c>
      <c r="M38" s="6">
        <f>IFERROR(__xludf.DUMMYFUNCTION("IFERROR(
  VLOOKUP(
    A38,
    IMPORTRANGE(
      ""1ZHMy3vVUd_0MrSduXTe1etBb1HNpAlGwQr006ljwMiM"",
      ""GSC最新!A:R""
    ),
    10,
    FALSE
  ),
  0
)
"),336.0)</f>
        <v>336</v>
      </c>
      <c r="N38" s="6">
        <f>IFERROR(__xludf.DUMMYFUNCTION("IFERROR(
  VLOOKUP(
    A38,
    IMPORTRANGE(
      ""1ZHMy3vVUd_0MrSduXTe1etBb1HNpAlGwQr006ljwMiM"",
      ""GSC最新!A:R""
    ),
    13,
    FALSE
  ),
  0
)
"),0.0)</f>
        <v>0</v>
      </c>
      <c r="O38" s="6">
        <f>IFERROR(__xludf.DUMMYFUNCTION("IFERROR(
  VLOOKUP(
    A38,
    IMPORTRANGE(
      ""1ZHMy3vVUd_0MrSduXTe1etBb1HNpAlGwQr006ljwMiM"",
      ""GSC最新!A:R""
    ),
    16,
    FALSE
  ),
  0
)
"),0.0)</f>
        <v>0</v>
      </c>
      <c r="P38" s="51" t="str">
        <f t="shared" ref="P38:Q38" si="182">IFERROR(L38/N38,"-")</f>
        <v>-</v>
      </c>
      <c r="Q38" s="51" t="str">
        <f t="shared" si="182"/>
        <v>-</v>
      </c>
      <c r="R38" s="9">
        <f>IFERROR(__xludf.DUMMYFUNCTION("IFERROR(
  VLOOKUP(
    A38,
    IMPORTRANGE(
      ""1ZHMy3vVUd_0MrSduXTe1etBb1HNpAlGwQr006ljwMiM"",
      ""GSC最新!A:R""
    ),
    8,
    FALSE
  ),
  0
)
"),0.02403846153846154)</f>
        <v>0.02403846154</v>
      </c>
      <c r="S38" s="9">
        <f>IFERROR(__xludf.DUMMYFUNCTION("IFERROR(
  VLOOKUP(
    A38,
    IMPORTRANGE(
      ""1ZHMy3vVUd_0MrSduXTe1etBb1HNpAlGwQr006ljwMiM"",
      ""GSC最新!A:R""
    ),
    11,
    FALSE
  ),
  0
)
"),0.050595238095238096)</f>
        <v>0.0505952381</v>
      </c>
      <c r="T38" s="9">
        <f>IFERROR(__xludf.DUMMYFUNCTION("IFERROR(
  VLOOKUP(
    A38,
    IMPORTRANGE(
      ""1ZHMy3vVUd_0MrSduXTe1etBb1HNpAlGwQr006ljwMiM"",
      ""GSC最新!A:R""
    ),
    14,
    FALSE
  ),
  0
)
"),0.0)</f>
        <v>0</v>
      </c>
      <c r="U38" s="9">
        <f>IFERROR(__xludf.DUMMYFUNCTION("IFERROR(
  VLOOKUP(
    A38,
    IMPORTRANGE(
      ""1ZHMy3vVUd_0MrSduXTe1etBb1HNpAlGwQr006ljwMiM"",
      ""GSC最新!A:R""
    ),
    17,
    FALSE
  ),
  0
)
"),0.0)</f>
        <v>0</v>
      </c>
      <c r="V38" s="9">
        <f t="shared" ref="V38:W38" si="183">IFERROR(R38-T38,"-")</f>
        <v>0.02403846154</v>
      </c>
      <c r="W38" s="9">
        <f t="shared" si="183"/>
        <v>0.0505952381</v>
      </c>
      <c r="X38" s="65">
        <f>IFERROR(__xludf.DUMMYFUNCTION("IFERROR(
  VLOOKUP(
    A38,
    IMPORTRANGE(
      ""1ZHMy3vVUd_0MrSduXTe1etBb1HNpAlGwQr006ljwMiM"",
      ""GSC最新!A:R""
    ),
    9,
    FALSE
  ),
  0
)
"),14.514423076923077)</f>
        <v>14.51442308</v>
      </c>
      <c r="Y38" s="65">
        <f>IFERROR(__xludf.DUMMYFUNCTION("IFERROR(
  VLOOKUP(
    A38,
    IMPORTRANGE(
      ""1ZHMy3vVUd_0MrSduXTe1etBb1HNpAlGwQr006ljwMiM"",
      ""GSC最新!A:R""
    ),
    12,
    FALSE
  ),
  0
)
"),14.625)</f>
        <v>14.625</v>
      </c>
      <c r="Z38" s="65" t="str">
        <f>IFERROR(__xludf.DUMMYFUNCTION("IFERROR(
  VLOOKUP(
    A38,
    IMPORTRANGE(
      ""1ZHMy3vVUd_0MrSduXTe1etBb1HNpAlGwQr006ljwMiM"",
      ""GSC最新!A:R""
    ),
    15,
    FALSE
  ),
  0
)
"),"")</f>
        <v/>
      </c>
      <c r="AA38" s="65" t="str">
        <f>IFERROR(__xludf.DUMMYFUNCTION("IFERROR(
  VLOOKUP(
    A38,
    IMPORTRANGE(
      ""1ZHMy3vVUd_0MrSduXTe1etBb1HNpAlGwQr006ljwMiM"",
      ""GSC最新!A:R""
    ),
    18,
    FALSE
  ),
  0
)
"),"")</f>
        <v/>
      </c>
      <c r="AB38" s="65">
        <f t="shared" ref="AB38:AC38" si="184">X38-Z38</f>
        <v>14.51442308</v>
      </c>
      <c r="AC38" s="65">
        <f t="shared" si="184"/>
        <v>14.625</v>
      </c>
      <c r="AD38" s="53">
        <f>IFERROR(__xludf.DUMMYFUNCTION("IFERROR(
  VLOOKUP(
    A38,
    IMPORTRANGE(
      ""1ZHMy3vVUd_0MrSduXTe1etBb1HNpAlGwQr006ljwMiM"",
      ""GSC最新!A:F""
    ),
    6,
    FALSE
  ),
  0
)
"),46081.0)</f>
        <v>46081</v>
      </c>
      <c r="AE38" s="54">
        <f>IFERROR(__xludf.DUMMYFUNCTION("IFERROR(
  VLOOKUP(
    A38,
    IMPORTRANGE(
      ""1SCYQd7_cobOYqT0r_F0IqD4tE4rYn5y8Eup4PJTH8es"",
      ""Snapshot!A:M""
    ),
    5,
    FALSE
  ),
  ""-""
)
"),7.0)</f>
        <v>7</v>
      </c>
      <c r="AF38" s="54">
        <f>IFERROR(__xludf.DUMMYFUNCTION("IFERROR(
  VLOOKUP(
    A38,
    IMPORTRANGE(
      ""1SCYQd7_cobOYqT0r_F0IqD4tE4rYn5y8Eup4PJTH8es"",
      ""Snapshot!A:M""
    ),
    6,
    FALSE
  ),
  0
)
"),16.0)</f>
        <v>16</v>
      </c>
      <c r="AG38" s="54">
        <f>IFERROR(__xludf.DUMMYFUNCTION("IFERROR(
  VLOOKUP(
    A38,
    IMPORTRANGE(
      ""1SCYQd7_cobOYqT0r_F0IqD4tE4rYn5y8Eup4PJTH8es"",
      ""Snapshot!A:M""
    ),
    7,
    FALSE
  ),
  0
)
"),5979.0)</f>
        <v>5979</v>
      </c>
      <c r="AH38" s="54">
        <f>IFERROR(__xludf.DUMMYFUNCTION("IFERROR(
  VLOOKUP(
    A38,
    IMPORTRANGE(
      ""1SCYQd7_cobOYqT0r_F0IqD4tE4rYn5y8Eup4PJTH8es"",
      ""Snapshot!A:M""
    ),
    8,
    FALSE
  ),
  0
)
"),7.0)</f>
        <v>7</v>
      </c>
      <c r="AI38" s="54">
        <f>IFERROR(__xludf.DUMMYFUNCTION("IFERROR(
  VLOOKUP(
    A38,
    IMPORTRANGE(
      ""1SCYQd7_cobOYqT0r_F0IqD4tE4rYn5y8Eup4PJTH8es"",
      ""Snapshot!A:M""
    ),
    9,
    FALSE
  ),
  0
)
"),2.0)</f>
        <v>2</v>
      </c>
      <c r="AJ38" s="54">
        <f>IFERROR(__xludf.DUMMYFUNCTION("IFERROR(
  VLOOKUP(
    A38,
    IMPORTRANGE(
      ""1SCYQd7_cobOYqT0r_F0IqD4tE4rYn5y8Eup4PJTH8es"",
      ""Snapshot!A:M""
    ),
    13,
    FALSE
  ),
  0
)
"),3.0)</f>
        <v>3</v>
      </c>
      <c r="AK38" s="49">
        <f t="shared" ref="AK38:AL38" si="185">LEN(C38)</f>
        <v>27</v>
      </c>
      <c r="AL38" s="49">
        <f t="shared" si="185"/>
        <v>65</v>
      </c>
    </row>
    <row r="39">
      <c r="A39" s="3" t="s">
        <v>548</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"),"ラ・サール中学入試問題｜国語の説明記述と言い換え｜2021")</f>
        <v>ラ・サール中学入試問題｜国語の説明記述と言い換え｜2021</v>
      </c>
      <c r="D39" s="1" t="str">
        <f>IFERROR(__xludf.DUMMYFUNCTION("IFERROR(
  VLOOKUP(
    A39,
    IMPORTRANGE(
      ""1ZygntHC1J6IxzKbTidmOyf5nUyW4GCLurHCjexrLm_o        "",
      ""HTMLキャッシュ!A:F""
    ),
    6,
    FALSE
  ),
  0
)
"),"ラ・サール中学入試問題の国語2021を題材に、理由記述と説明記述（言い換え）の答案例を整理。根拠位置、字数補強、比喩の具体化まで。")</f>
        <v>ラ・サール中学入試問題の国語2021を題材に、理由記述と説明記述（言い換え）の答案例を整理。根拠位置、字数補強、比喩の具体化まで。</v>
      </c>
      <c r="E39" s="32">
        <f>IFERROR(__xludf.DUMMYFUNCTION("IFERROR(
  VLOOKUP(
    A39,
    IMPORTRANGE(
      ""1ZygntHC1J6IxzKbTidmOyf5nUyW4GCLurHCjexrLm_o        "",
      ""HTMLキャッシュ!A:F""
    ),
    3,
    FALSE
  ),
  0
)
"),46078.849375)</f>
        <v>46078.84938</v>
      </c>
      <c r="F39" s="49">
        <f>IFERROR(__xludf.DUMMYFUNCTION("IFERROR(
  VLOOKUP(
    A39,
    IMPORTRANGE(
      ""1ZHMy3vVUd_0MrSduXTe1etBb1HNpAlGwQr006ljwMiM"",
      ""GSC最新!A:F""
    ),
    2,
    FALSE
  ),
  0
)
"),1.0)</f>
        <v>1</v>
      </c>
      <c r="G39" s="49">
        <f>IFERROR(__xludf.DUMMYFUNCTION("IFERROR(
  VLOOKUP(
    A39,
    IMPORTRANGE(
      ""1ZHMy3vVUd_0MrSduXTe1etBb1HNpAlGwQr006ljwMiM"",
      ""GSC最新!A:F""
    ),
    3,
    FALSE
  ),
  0
)
"),15.0)</f>
        <v>15</v>
      </c>
      <c r="H39" s="49">
        <f>IFERROR(__xludf.DUMMYFUNCTION("IFERROR(
  VLOOKUP(
    A39,
    IMPORTRANGE(
      ""1ZHMy3vVUd_0MrSduXTe1etBb1HNpAlGwQr006ljwMiM"",
      ""GSC最新!A:F""
    ),
    4,
    FALSE
  ),
  0
)
"),1.0)</f>
        <v>1</v>
      </c>
      <c r="I39" s="49">
        <f>IFERROR(__xludf.DUMMYFUNCTION("IFERROR(
  VLOOKUP(
    A39,
    IMPORTRANGE(
      ""1ZHMy3vVUd_0MrSduXTe1etBb1HNpAlGwQr006ljwMiM"",
      ""GSC最新!A:F""
    ),
    5,
    FALSE
  ),
  0
)
"),16.0)</f>
        <v>16</v>
      </c>
      <c r="J39" s="50">
        <f t="shared" ref="J39:K39" si="186">IFERROR(F39/H39,"-")</f>
        <v>1</v>
      </c>
      <c r="K39" s="50">
        <f t="shared" si="186"/>
        <v>0.9375</v>
      </c>
      <c r="L39" s="6">
        <f>IFERROR(__xludf.DUMMYFUNCTION("IFERROR(
  VLOOKUP(
    A39,
    IMPORTRANGE(
      ""1ZHMy3vVUd_0MrSduXTe1etBb1HNpAlGwQr006ljwMiM"",
      ""GSC最新!A:R""
    ),
    7,
    FALSE
  ),
  0
)
"),90.0)</f>
        <v>90</v>
      </c>
      <c r="M39" s="6">
        <f>IFERROR(__xludf.DUMMYFUNCTION("IFERROR(
  VLOOKUP(
    A39,
    IMPORTRANGE(
      ""1ZHMy3vVUd_0MrSduXTe1etBb1HNpAlGwQr006ljwMiM"",
      ""GSC最新!A:R""
    ),
    10,
    FALSE
  ),
  0
)
"),320.0)</f>
        <v>320</v>
      </c>
      <c r="N39" s="6">
        <f>IFERROR(__xludf.DUMMYFUNCTION("IFERROR(
  VLOOKUP(
    A39,
    IMPORTRANGE(
      ""1ZHMy3vVUd_0MrSduXTe1etBb1HNpAlGwQr006ljwMiM"",
      ""GSC最新!A:R""
    ),
    13,
    FALSE
  ),
  0
)
"),24.0)</f>
        <v>24</v>
      </c>
      <c r="O39" s="6">
        <f>IFERROR(__xludf.DUMMYFUNCTION("IFERROR(
  VLOOKUP(
    A39,
    IMPORTRANGE(
      ""1ZHMy3vVUd_0MrSduXTe1etBb1HNpAlGwQr006ljwMiM"",
      ""GSC最新!A:R""
    ),
    16,
    FALSE
  ),
  0
)
"),175.0)</f>
        <v>175</v>
      </c>
      <c r="P39" s="51">
        <f t="shared" ref="P39:Q39" si="187">IFERROR(L39/N39,"-")</f>
        <v>3.75</v>
      </c>
      <c r="Q39" s="51">
        <f t="shared" si="187"/>
        <v>1.828571429</v>
      </c>
      <c r="R39" s="9">
        <f>IFERROR(__xludf.DUMMYFUNCTION("IFERROR(
  VLOOKUP(
    A39,
    IMPORTRANGE(
      ""1ZHMy3vVUd_0MrSduXTe1etBb1HNpAlGwQr006ljwMiM"",
      ""GSC最新!A:R""
    ),
    8,
    FALSE
  ),
  0
)
"),0.011111111111111112)</f>
        <v>0.01111111111</v>
      </c>
      <c r="S39" s="9">
        <f>IFERROR(__xludf.DUMMYFUNCTION("IFERROR(
  VLOOKUP(
    A39,
    IMPORTRANGE(
      ""1ZHMy3vVUd_0MrSduXTe1etBb1HNpAlGwQr006ljwMiM"",
      ""GSC最新!A:R""
    ),
    11,
    FALSE
  ),
  0
)
"),0.046875)</f>
        <v>0.046875</v>
      </c>
      <c r="T39" s="9">
        <f>IFERROR(__xludf.DUMMYFUNCTION("IFERROR(
  VLOOKUP(
    A39,
    IMPORTRANGE(
      ""1ZHMy3vVUd_0MrSduXTe1etBb1HNpAlGwQr006ljwMiM"",
      ""GSC最新!A:R""
    ),
    14,
    FALSE
  ),
  0
)
"),0.041666666666666664)</f>
        <v>0.04166666667</v>
      </c>
      <c r="U39" s="9">
        <f>IFERROR(__xludf.DUMMYFUNCTION("IFERROR(
  VLOOKUP(
    A39,
    IMPORTRANGE(
      ""1ZHMy3vVUd_0MrSduXTe1etBb1HNpAlGwQr006ljwMiM"",
      ""GSC最新!A:R""
    ),
    17,
    FALSE
  ),
  0
)
"),0.09142857142857143)</f>
        <v>0.09142857143</v>
      </c>
      <c r="V39" s="9">
        <f t="shared" ref="V39:W39" si="188">IFERROR(R39-T39,"-")</f>
        <v>-0.03055555556</v>
      </c>
      <c r="W39" s="9">
        <f t="shared" si="188"/>
        <v>-0.04455357143</v>
      </c>
      <c r="X39" s="65">
        <f>IFERROR(__xludf.DUMMYFUNCTION("IFERROR(
  VLOOKUP(
    A39,
    IMPORTRANGE(
      ""1ZHMy3vVUd_0MrSduXTe1etBb1HNpAlGwQr006ljwMiM"",
      ""GSC最新!A:R""
    ),
    9,
    FALSE
  ),
  0
)
"),9.455555555555556)</f>
        <v>9.455555556</v>
      </c>
      <c r="Y39" s="65">
        <f>IFERROR(__xludf.DUMMYFUNCTION("IFERROR(
  VLOOKUP(
    A39,
    IMPORTRANGE(
      ""1ZHMy3vVUd_0MrSduXTe1etBb1HNpAlGwQr006ljwMiM"",
      ""GSC最新!A:R""
    ),
    12,
    FALSE
  ),
  0
)
"),8.659375)</f>
        <v>8.659375</v>
      </c>
      <c r="Z39" s="65">
        <f>IFERROR(__xludf.DUMMYFUNCTION("IFERROR(
  VLOOKUP(
    A39,
    IMPORTRANGE(
      ""1ZHMy3vVUd_0MrSduXTe1etBb1HNpAlGwQr006ljwMiM"",
      ""GSC最新!A:R""
    ),
    15,
    FALSE
  ),
  0
)
"),16.791666666666664)</f>
        <v>16.79166667</v>
      </c>
      <c r="AA39" s="65">
        <f>IFERROR(__xludf.DUMMYFUNCTION("IFERROR(
  VLOOKUP(
    A39,
    IMPORTRANGE(
      ""1ZHMy3vVUd_0MrSduXTe1etBb1HNpAlGwQr006ljwMiM"",
      ""GSC最新!A:R""
    ),
    18,
    FALSE
  ),
  0
)
"),18.2)</f>
        <v>18.2</v>
      </c>
      <c r="AB39" s="65">
        <f t="shared" ref="AB39:AC39" si="189">X39-Z39</f>
        <v>-7.336111111</v>
      </c>
      <c r="AC39" s="65">
        <f t="shared" si="189"/>
        <v>-9.540625</v>
      </c>
      <c r="AD39" s="53">
        <f>IFERROR(__xludf.DUMMYFUNCTION("IFERROR(
  VLOOKUP(
    A39,
    IMPORTRANGE(
      ""1ZHMy3vVUd_0MrSduXTe1etBb1HNpAlGwQr006ljwMiM"",
      ""GSC最新!A:F""
    ),
    6,
    FALSE
  ),
  0
)
"),46081.0)</f>
        <v>46081</v>
      </c>
      <c r="AE39" s="54">
        <f>IFERROR(__xludf.DUMMYFUNCTION("IFERROR(
  VLOOKUP(
    A39,
    IMPORTRANGE(
      ""1SCYQd7_cobOYqT0r_F0IqD4tE4rYn5y8Eup4PJTH8es"",
      ""Snapshot!A:M""
    ),
    5,
    FALSE
  ),
  ""-""
)
"),6.0)</f>
        <v>6</v>
      </c>
      <c r="AF39" s="54">
        <f>IFERROR(__xludf.DUMMYFUNCTION("IFERROR(
  VLOOKUP(
    A39,
    IMPORTRANGE(
      ""1SCYQd7_cobOYqT0r_F0IqD4tE4rYn5y8Eup4PJTH8es"",
      ""Snapshot!A:M""
    ),
    6,
    FALSE
  ),
  0
)
"),2.0)</f>
        <v>2</v>
      </c>
      <c r="AG39" s="54">
        <f>IFERROR(__xludf.DUMMYFUNCTION("IFERROR(
  VLOOKUP(
    A39,
    IMPORTRANGE(
      ""1SCYQd7_cobOYqT0r_F0IqD4tE4rYn5y8Eup4PJTH8es"",
      ""Snapshot!A:M""
    ),
    7,
    FALSE
  ),
  0
)
"),3380.0)</f>
        <v>3380</v>
      </c>
      <c r="AH39" s="54">
        <f>IFERROR(__xludf.DUMMYFUNCTION("IFERROR(
  VLOOKUP(
    A39,
    IMPORTRANGE(
      ""1SCYQd7_cobOYqT0r_F0IqD4tE4rYn5y8Eup4PJTH8es"",
      ""Snapshot!A:M""
    ),
    8,
    FALSE
  ),
  0
)
"),7.0)</f>
        <v>7</v>
      </c>
      <c r="AI39" s="54">
        <f>IFERROR(__xludf.DUMMYFUNCTION("IFERROR(
  VLOOKUP(
    A39,
    IMPORTRANGE(
      ""1SCYQd7_cobOYqT0r_F0IqD4tE4rYn5y8Eup4PJTH8es"",
      ""Snapshot!A:M""
    ),
    9,
    FALSE
  ),
  0
)
"),2.0)</f>
        <v>2</v>
      </c>
      <c r="AJ39" s="54">
        <f>IFERROR(__xludf.DUMMYFUNCTION("IFERROR(
  VLOOKUP(
    A39,
    IMPORTRANGE(
      ""1SCYQd7_cobOYqT0r_F0IqD4tE4rYn5y8Eup4PJTH8es"",
      ""Snapshot!A:M""
    ),
    13,
    FALSE
  ),
  0
)
"),3.0)</f>
        <v>3</v>
      </c>
      <c r="AK39" s="49">
        <f t="shared" ref="AK39:AL39" si="190">LEN(C39)</f>
        <v>29</v>
      </c>
      <c r="AL39" s="49">
        <f t="shared" si="190"/>
        <v>65</v>
      </c>
    </row>
    <row r="40">
      <c r="A40" s="56" t="s">
        <v>549</v>
      </c>
      <c r="B40" s="1" t="str">
        <f>IFERROR(__xludf.DUMMYFUNCTION("IFERROR(
  VLOOKUP(
    A40,
    IMPORTRANGE(
      ""1ZygntHC1J6IxzKbTidmOyf5nUyW4GCLurHCjexrLm_o"",
      ""HTMLキャッシュ!A:F""
    ),
    2,
    FALSE
  ),
  0
)
"),"SC")</f>
        <v>SC</v>
      </c>
      <c r="C40" s="1" t="str">
        <f>IFERROR(__xludf.DUMMYFUNCTION("IFERROR(
  VLOOKUP(
    A40,
    IMPORTRANGE(
      ""1ZygntHC1J6IxzKbTidmOyf5nUyW4GCLurHCjexrLm_o"",
      ""HTMLキャッシュ!A:F""
    ),
    5,
    FALSE
  ),
  0
)
"),"読み飛ばし 対策｜接続語・指示語・否定語で止まる矯正ルール｜中学受験国語（オンライン可）")</f>
        <v>読み飛ばし 対策｜接続語・指示語・否定語で止まる矯正ルール｜中学受験国語（オンライン可）</v>
      </c>
      <c r="D40" s="1" t="str">
        <f>IFERROR(__xludf.DUMMYFUNCTION("IFERROR(
  VLOOKUP(
    A40,
    IMPORTRANGE(
      ""1ZygntHC1J6IxzKbTidmOyf5nUyW4GCLurHCjexrLm_o        "",
      ""HTMLキャッシュ!A:F""
    ),
    6,
    FALSE
  ),
  0
)
"),"中学受験国語の読み飛ばし対策を、注意喚起ではなく「止まる語の固定」で矯正します。接続語・指示語・否定語・例外条件で止まるルール、段落要点を一言で置く方法、設問の三点分解、記述の材料→並び替え→文章化、家庭3分音読まで具体化。")</f>
        <v>中学受験国語の読み飛ばし対策を、注意喚起ではなく「止まる語の固定」で矯正します。接続語・指示語・否定語・例外条件で止まるルール、段落要点を一言で置く方法、設問の三点分解、記述の材料→並び替え→文章化、家庭3分音読まで具体化。</v>
      </c>
      <c r="E40" s="32">
        <f>IFERROR(__xludf.DUMMYFUNCTION("IFERROR(
  VLOOKUP(
    A40,
    IMPORTRANGE(
      ""1ZygntHC1J6IxzKbTidmOyf5nUyW4GCLurHCjexrLm_o        "",
      ""HTMLキャッシュ!A:F""
    ),
    3,
    FALSE
  ),
  0
)
"),46080.797627314816)</f>
        <v>46080.79763</v>
      </c>
      <c r="F40" s="49">
        <f>IFERROR(__xludf.DUMMYFUNCTION("IFERROR(
  VLOOKUP(
    A40,
    IMPORTRANGE(
      ""1ZHMy3vVUd_0MrSduXTe1etBb1HNpAlGwQr006ljwMiM"",
      ""GSC最新!A:F""
    ),
    2,
    FALSE
  ),
  0
)
"),10.0)</f>
        <v>10</v>
      </c>
      <c r="G40" s="49">
        <f>IFERROR(__xludf.DUMMYFUNCTION("IFERROR(
  VLOOKUP(
    A40,
    IMPORTRANGE(
      ""1ZHMy3vVUd_0MrSduXTe1etBb1HNpAlGwQr006ljwMiM"",
      ""GSC最新!A:F""
    ),
    3,
    FALSE
  ),
  0
)
"),14.0)</f>
        <v>14</v>
      </c>
      <c r="H40" s="49">
        <f>IFERROR(__xludf.DUMMYFUNCTION("IFERROR(
  VLOOKUP(
    A40,
    IMPORTRANGE(
      ""1ZHMy3vVUd_0MrSduXTe1etBb1HNpAlGwQr006ljwMiM"",
      ""GSC最新!A:F""
    ),
    4,
    FALSE
  ),
  0
)
"),0.0)</f>
        <v>0</v>
      </c>
      <c r="I40" s="49">
        <f>IFERROR(__xludf.DUMMYFUNCTION("IFERROR(
  VLOOKUP(
    A40,
    IMPORTRANGE(
      ""1ZHMy3vVUd_0MrSduXTe1etBb1HNpAlGwQr006ljwMiM"",
      ""GSC最新!A:F""
    ),
    5,
    FALSE
  ),
  0
)
"),0.0)</f>
        <v>0</v>
      </c>
      <c r="J40" s="50" t="str">
        <f t="shared" ref="J40:K40" si="191">IFERROR(F40/H40,"-")</f>
        <v>-</v>
      </c>
      <c r="K40" s="50" t="str">
        <f t="shared" si="191"/>
        <v>-</v>
      </c>
      <c r="L40" s="6">
        <f>IFERROR(__xludf.DUMMYFUNCTION("IFERROR(
  VLOOKUP(
    A40,
    IMPORTRANGE(
      ""1ZHMy3vVUd_0MrSduXTe1etBb1HNpAlGwQr006ljwMiM"",
      ""GSC最新!A:R""
    ),
    7,
    FALSE
  ),
  0
)
"),238.0)</f>
        <v>238</v>
      </c>
      <c r="M40" s="6">
        <f>IFERROR(__xludf.DUMMYFUNCTION("IFERROR(
  VLOOKUP(
    A40,
    IMPORTRANGE(
      ""1ZHMy3vVUd_0MrSduXTe1etBb1HNpAlGwQr006ljwMiM"",
      ""GSC最新!A:R""
    ),
    10,
    FALSE
  ),
  0
)
"),444.0)</f>
        <v>444</v>
      </c>
      <c r="N40" s="6">
        <f>IFERROR(__xludf.DUMMYFUNCTION("IFERROR(
  VLOOKUP(
    A40,
    IMPORTRANGE(
      ""1ZHMy3vVUd_0MrSduXTe1etBb1HNpAlGwQr006ljwMiM"",
      ""GSC最新!A:R""
    ),
    13,
    FALSE
  ),
  0
)
"),0.0)</f>
        <v>0</v>
      </c>
      <c r="O40" s="6">
        <f>IFERROR(__xludf.DUMMYFUNCTION("IFERROR(
  VLOOKUP(
    A40,
    IMPORTRANGE(
      ""1ZHMy3vVUd_0MrSduXTe1etBb1HNpAlGwQr006ljwMiM"",
      ""GSC最新!A:R""
    ),
    16,
    FALSE
  ),
  0
)
"),0.0)</f>
        <v>0</v>
      </c>
      <c r="P40" s="51" t="str">
        <f t="shared" ref="P40:Q40" si="192">IFERROR(L40/N40,"-")</f>
        <v>-</v>
      </c>
      <c r="Q40" s="51" t="str">
        <f t="shared" si="192"/>
        <v>-</v>
      </c>
      <c r="R40" s="9">
        <f>IFERROR(__xludf.DUMMYFUNCTION("IFERROR(
  VLOOKUP(
    A40,
    IMPORTRANGE(
      ""1ZHMy3vVUd_0MrSduXTe1etBb1HNpAlGwQr006ljwMiM"",
      ""GSC最新!A:R""
    ),
    8,
    FALSE
  ),
  0
)
"),0.04201680672268908)</f>
        <v>0.04201680672</v>
      </c>
      <c r="S40" s="9">
        <f>IFERROR(__xludf.DUMMYFUNCTION("IFERROR(
  VLOOKUP(
    A40,
    IMPORTRANGE(
      ""1ZHMy3vVUd_0MrSduXTe1etBb1HNpAlGwQr006ljwMiM"",
      ""GSC最新!A:R""
    ),
    11,
    FALSE
  ),
  0
)
"),0.03153153153153153)</f>
        <v>0.03153153153</v>
      </c>
      <c r="T40" s="9">
        <f>IFERROR(__xludf.DUMMYFUNCTION("IFERROR(
  VLOOKUP(
    A40,
    IMPORTRANGE(
      ""1ZHMy3vVUd_0MrSduXTe1etBb1HNpAlGwQr006ljwMiM"",
      ""GSC最新!A:R""
    ),
    14,
    FALSE
  ),
  0
)
"),0.0)</f>
        <v>0</v>
      </c>
      <c r="U40" s="9">
        <f>IFERROR(__xludf.DUMMYFUNCTION("IFERROR(
  VLOOKUP(
    A40,
    IMPORTRANGE(
      ""1ZHMy3vVUd_0MrSduXTe1etBb1HNpAlGwQr006ljwMiM"",
      ""GSC最新!A:R""
    ),
    17,
    FALSE
  ),
  0
)
"),0.0)</f>
        <v>0</v>
      </c>
      <c r="V40" s="9">
        <f t="shared" ref="V40:W40" si="193">IFERROR(R40-T40,"-")</f>
        <v>0.04201680672</v>
      </c>
      <c r="W40" s="9">
        <f t="shared" si="193"/>
        <v>0.03153153153</v>
      </c>
      <c r="X40" s="65">
        <f>IFERROR(__xludf.DUMMYFUNCTION("IFERROR(
  VLOOKUP(
    A40,
    IMPORTRANGE(
      ""1ZHMy3vVUd_0MrSduXTe1etBb1HNpAlGwQr006ljwMiM"",
      ""GSC最新!A:R""
    ),
    9,
    FALSE
  ),
  0
)
"),5.218487394957983)</f>
        <v>5.218487395</v>
      </c>
      <c r="Y40" s="65">
        <f>IFERROR(__xludf.DUMMYFUNCTION("IFERROR(
  VLOOKUP(
    A40,
    IMPORTRANGE(
      ""1ZHMy3vVUd_0MrSduXTe1etBb1HNpAlGwQr006ljwMiM"",
      ""GSC最新!A:R""
    ),
    12,
    FALSE
  ),
  0
)
"),5.95945945945946)</f>
        <v>5.959459459</v>
      </c>
      <c r="Z40" s="65" t="str">
        <f>IFERROR(__xludf.DUMMYFUNCTION("IFERROR(
  VLOOKUP(
    A40,
    IMPORTRANGE(
      ""1ZHMy3vVUd_0MrSduXTe1etBb1HNpAlGwQr006ljwMiM"",
      ""GSC最新!A:R""
    ),
    15,
    FALSE
  ),
  0
)
"),"")</f>
        <v/>
      </c>
      <c r="AA40" s="65" t="str">
        <f>IFERROR(__xludf.DUMMYFUNCTION("IFERROR(
  VLOOKUP(
    A40,
    IMPORTRANGE(
      ""1ZHMy3vVUd_0MrSduXTe1etBb1HNpAlGwQr006ljwMiM"",
      ""GSC最新!A:R""
    ),
    18,
    FALSE
  ),
  0
)
"),"")</f>
        <v/>
      </c>
      <c r="AB40" s="65">
        <f t="shared" ref="AB40:AC40" si="194">X40-Z40</f>
        <v>5.218487395</v>
      </c>
      <c r="AC40" s="65">
        <f t="shared" si="194"/>
        <v>5.959459459</v>
      </c>
      <c r="AD40" s="53">
        <f>IFERROR(__xludf.DUMMYFUNCTION("IFERROR(
  VLOOKUP(
    A40,
    IMPORTRANGE(
      ""1ZHMy3vVUd_0MrSduXTe1etBb1HNpAlGwQr006ljwMiM"",
      ""GSC最新!A:F""
    ),
    6,
    FALSE
  ),
  0
)
"),46081.0)</f>
        <v>46081</v>
      </c>
      <c r="AE40" s="54">
        <f>IFERROR(__xludf.DUMMYFUNCTION("IFERROR(
  VLOOKUP(
    A40,
    IMPORTRANGE(
      ""1SCYQd7_cobOYqT0r_F0IqD4tE4rYn5y8Eup4PJTH8es"",
      ""Snapshot!A:M""
    ),
    5,
    FALSE
  ),
  ""-""
)
"),6.0)</f>
        <v>6</v>
      </c>
      <c r="AF40" s="54">
        <f>IFERROR(__xludf.DUMMYFUNCTION("IFERROR(
  VLOOKUP(
    A40,
    IMPORTRANGE(
      ""1SCYQd7_cobOYqT0r_F0IqD4tE4rYn5y8Eup4PJTH8es"",
      ""Snapshot!A:M""
    ),
    6,
    FALSE
  ),
  0
)
"),0.0)</f>
        <v>0</v>
      </c>
      <c r="AG40" s="54">
        <f>IFERROR(__xludf.DUMMYFUNCTION("IFERROR(
  VLOOKUP(
    A40,
    IMPORTRANGE(
      ""1SCYQd7_cobOYqT0r_F0IqD4tE4rYn5y8Eup4PJTH8es"",
      ""Snapshot!A:M""
    ),
    7,
    FALSE
  ),
  0
)
"),3004.0)</f>
        <v>3004</v>
      </c>
      <c r="AH40" s="54">
        <f>IFERROR(__xludf.DUMMYFUNCTION("IFERROR(
  VLOOKUP(
    A40,
    IMPORTRANGE(
      ""1SCYQd7_cobOYqT0r_F0IqD4tE4rYn5y8Eup4PJTH8es"",
      ""Snapshot!A:M""
    ),
    8,
    FALSE
  ),
  0
)
"),3.0)</f>
        <v>3</v>
      </c>
      <c r="AI40" s="54">
        <f>IFERROR(__xludf.DUMMYFUNCTION("IFERROR(
  VLOOKUP(
    A40,
    IMPORTRANGE(
      ""1SCYQd7_cobOYqT0r_F0IqD4tE4rYn5y8Eup4PJTH8es"",
      ""Snapshot!A:M""
    ),
    9,
    FALSE
  ),
  0
)
"),4.0)</f>
        <v>4</v>
      </c>
      <c r="AJ40" s="54">
        <f>IFERROR(__xludf.DUMMYFUNCTION("IFERROR(
  VLOOKUP(
    A40,
    IMPORTRANGE(
      ""1SCYQd7_cobOYqT0r_F0IqD4tE4rYn5y8Eup4PJTH8es"",
      ""Snapshot!A:M""
    ),
    13,
    FALSE
  ),
  0
)
"),3.0)</f>
        <v>3</v>
      </c>
      <c r="AK40" s="49">
        <f t="shared" ref="AK40:AL40" si="195">LEN(C40)</f>
        <v>44</v>
      </c>
      <c r="AL40" s="49">
        <f t="shared" si="195"/>
        <v>112</v>
      </c>
    </row>
    <row r="41">
      <c r="A41" s="3" t="s">
        <v>550</v>
      </c>
      <c r="B41" s="1" t="str">
        <f>IFERROR(__xludf.DUMMYFUNCTION("IFERROR(
  VLOOKUP(
    A41,
    IMPORTRANGE(
      ""1ZygntHC1J6IxzKbTidmOyf5nUyW4GCLurHCjexrLm_o"",
      ""HTMLキャッシュ!A:F""
    ),
    2,
    FALSE
  ),
  0
)
"),"ST")</f>
        <v>ST</v>
      </c>
      <c r="C41" s="1" t="str">
        <f>IFERROR(__xludf.DUMMYFUNCTION("IFERROR(
  VLOOKUP(
    A41,
    IMPORTRANGE(
      ""1ZygntHC1J6IxzKbTidmOyf5nUyW4GCLurHCjexrLm_o"",
      ""HTMLキャッシュ!A:F""
    ),
    5,
    FALSE
  ),
  0
)
"),"アクセス - 受験国語専門 読解ラボ東京 | 中学受験・大学受験対応の個別指導国語専門塾（オンライン・教室対応）")</f>
        <v>アクセス - 受験国語専門 読解ラボ東京 | 中学受験・大学受験対応の個別指導国語専門塾（オンライン・教室対応）</v>
      </c>
      <c r="D41" s="1" t="str">
        <f>IFERROR(__xludf.DUMMYFUNCTION("IFERROR(
  VLOOKUP(
    A41,
    IMPORTRANGE(
      ""1ZygntHC1J6IxzKbTidmOyf5nUyW4GCLurHCjexrLm_o        "",
      ""HTMLキャッシュ!A:F""
    ),
    6,
    FALSE
  ),
  0
)
"),"当塾・四ツ谷教室の所在地とアクセス方法をご案内します。JR・東京メトロいずれからも徒歩数分の場所にあり、お子さ")</f>
        <v>当塾・四ツ谷教室の所在地とアクセス方法をご案内します。JR・東京メトロいずれからも徒歩数分の場所にあり、お子さ</v>
      </c>
      <c r="E41" s="32">
        <f>IFERROR(__xludf.DUMMYFUNCTION("IFERROR(
  VLOOKUP(
    A41,
    IMPORTRANGE(
      ""1ZygntHC1J6IxzKbTidmOyf5nUyW4GCLurHCjexrLm_o        "",
      ""HTMLキャッシュ!A:F""
    ),
    3,
    FALSE
  ),
  0
)
"),45981.64523148148)</f>
        <v>45981.64523</v>
      </c>
      <c r="F41" s="49">
        <f>IFERROR(__xludf.DUMMYFUNCTION("IFERROR(
  VLOOKUP(
    A41,
    IMPORTRANGE(
      ""1ZHMy3vVUd_0MrSduXTe1etBb1HNpAlGwQr006ljwMiM"",
      ""GSC最新!A:F""
    ),
    2,
    FALSE
  ),
  0
)
"),3.0)</f>
        <v>3</v>
      </c>
      <c r="G41" s="49">
        <f>IFERROR(__xludf.DUMMYFUNCTION("IFERROR(
  VLOOKUP(
    A41,
    IMPORTRANGE(
      ""1ZHMy3vVUd_0MrSduXTe1etBb1HNpAlGwQr006ljwMiM"",
      ""GSC最新!A:F""
    ),
    3,
    FALSE
  ),
  0
)
"),12.0)</f>
        <v>12</v>
      </c>
      <c r="H41" s="49">
        <f>IFERROR(__xludf.DUMMYFUNCTION("IFERROR(
  VLOOKUP(
    A41,
    IMPORTRANGE(
      ""1ZHMy3vVUd_0MrSduXTe1etBb1HNpAlGwQr006ljwMiM"",
      ""GSC最新!A:F""
    ),
    4,
    FALSE
  ),
  0
)
"),1.0)</f>
        <v>1</v>
      </c>
      <c r="I41" s="49">
        <f>IFERROR(__xludf.DUMMYFUNCTION("IFERROR(
  VLOOKUP(
    A41,
    IMPORTRANGE(
      ""1ZHMy3vVUd_0MrSduXTe1etBb1HNpAlGwQr006ljwMiM"",
      ""GSC最新!A:F""
    ),
    5,
    FALSE
  ),
  0
)
"),9.0)</f>
        <v>9</v>
      </c>
      <c r="J41" s="50">
        <f t="shared" ref="J41:K41" si="196">IFERROR(F41/H41,"-")</f>
        <v>3</v>
      </c>
      <c r="K41" s="50">
        <f t="shared" si="196"/>
        <v>1.333333333</v>
      </c>
      <c r="L41" s="6">
        <f>IFERROR(__xludf.DUMMYFUNCTION("IFERROR(
  VLOOKUP(
    A41,
    IMPORTRANGE(
      ""1ZHMy3vVUd_0MrSduXTe1etBb1HNpAlGwQr006ljwMiM"",
      ""GSC最新!A:R""
    ),
    7,
    FALSE
  ),
  0
)
"),132.0)</f>
        <v>132</v>
      </c>
      <c r="M41" s="6">
        <f>IFERROR(__xludf.DUMMYFUNCTION("IFERROR(
  VLOOKUP(
    A41,
    IMPORTRANGE(
      ""1ZHMy3vVUd_0MrSduXTe1etBb1HNpAlGwQr006ljwMiM"",
      ""GSC最新!A:R""
    ),
    10,
    FALSE
  ),
  0
)
"),358.0)</f>
        <v>358</v>
      </c>
      <c r="N41" s="6">
        <f>IFERROR(__xludf.DUMMYFUNCTION("IFERROR(
  VLOOKUP(
    A41,
    IMPORTRANGE(
      ""1ZHMy3vVUd_0MrSduXTe1etBb1HNpAlGwQr006ljwMiM"",
      ""GSC最新!A:R""
    ),
    13,
    FALSE
  ),
  0
)
"),73.0)</f>
        <v>73</v>
      </c>
      <c r="O41" s="6">
        <f>IFERROR(__xludf.DUMMYFUNCTION("IFERROR(
  VLOOKUP(
    A41,
    IMPORTRANGE(
      ""1ZHMy3vVUd_0MrSduXTe1etBb1HNpAlGwQr006ljwMiM"",
      ""GSC最新!A:R""
    ),
    16,
    FALSE
  ),
  0
)
"),422.0)</f>
        <v>422</v>
      </c>
      <c r="P41" s="51">
        <f t="shared" ref="P41:Q41" si="197">IFERROR(L41/N41,"-")</f>
        <v>1.808219178</v>
      </c>
      <c r="Q41" s="51">
        <f t="shared" si="197"/>
        <v>0.8483412322</v>
      </c>
      <c r="R41" s="9">
        <f>IFERROR(__xludf.DUMMYFUNCTION("IFERROR(
  VLOOKUP(
    A41,
    IMPORTRANGE(
      ""1ZHMy3vVUd_0MrSduXTe1etBb1HNpAlGwQr006ljwMiM"",
      ""GSC最新!A:R""
    ),
    8,
    FALSE
  ),
  0
)
"),0.022727272727272728)</f>
        <v>0.02272727273</v>
      </c>
      <c r="S41" s="9">
        <f>IFERROR(__xludf.DUMMYFUNCTION("IFERROR(
  VLOOKUP(
    A41,
    IMPORTRANGE(
      ""1ZHMy3vVUd_0MrSduXTe1etBb1HNpAlGwQr006ljwMiM"",
      ""GSC最新!A:R""
    ),
    11,
    FALSE
  ),
  0
)
"),0.0335195530726257)</f>
        <v>0.03351955307</v>
      </c>
      <c r="T41" s="9">
        <f>IFERROR(__xludf.DUMMYFUNCTION("IFERROR(
  VLOOKUP(
    A41,
    IMPORTRANGE(
      ""1ZHMy3vVUd_0MrSduXTe1etBb1HNpAlGwQr006ljwMiM"",
      ""GSC最新!A:R""
    ),
    14,
    FALSE
  ),
  0
)
"),0.0136986301369863)</f>
        <v>0.01369863014</v>
      </c>
      <c r="U41" s="9">
        <f>IFERROR(__xludf.DUMMYFUNCTION("IFERROR(
  VLOOKUP(
    A41,
    IMPORTRANGE(
      ""1ZHMy3vVUd_0MrSduXTe1etBb1HNpAlGwQr006ljwMiM"",
      ""GSC最新!A:R""
    ),
    17,
    FALSE
  ),
  0
)
"),0.02132701421800948)</f>
        <v>0.02132701422</v>
      </c>
      <c r="V41" s="9">
        <f t="shared" ref="V41:W41" si="198">IFERROR(R41-T41,"-")</f>
        <v>0.00902864259</v>
      </c>
      <c r="W41" s="9">
        <f t="shared" si="198"/>
        <v>0.01219253885</v>
      </c>
      <c r="X41" s="65">
        <f>IFERROR(__xludf.DUMMYFUNCTION("IFERROR(
  VLOOKUP(
    A41,
    IMPORTRANGE(
      ""1ZHMy3vVUd_0MrSduXTe1etBb1HNpAlGwQr006ljwMiM"",
      ""GSC最新!A:R""
    ),
    9,
    FALSE
  ),
  0
)
"),3.9393939393939394)</f>
        <v>3.939393939</v>
      </c>
      <c r="Y41" s="65">
        <f>IFERROR(__xludf.DUMMYFUNCTION("IFERROR(
  VLOOKUP(
    A41,
    IMPORTRANGE(
      ""1ZHMy3vVUd_0MrSduXTe1etBb1HNpAlGwQr006ljwMiM"",
      ""GSC最新!A:R""
    ),
    12,
    FALSE
  ),
  0
)
"),2.8687150837988824)</f>
        <v>2.868715084</v>
      </c>
      <c r="Z41" s="65">
        <f>IFERROR(__xludf.DUMMYFUNCTION("IFERROR(
  VLOOKUP(
    A41,
    IMPORTRANGE(
      ""1ZHMy3vVUd_0MrSduXTe1etBb1HNpAlGwQr006ljwMiM"",
      ""GSC最新!A:R""
    ),
    15,
    FALSE
  ),
  0
)
"),3.0547945205479454)</f>
        <v>3.054794521</v>
      </c>
      <c r="AA41" s="65">
        <f>IFERROR(__xludf.DUMMYFUNCTION("IFERROR(
  VLOOKUP(
    A41,
    IMPORTRANGE(
      ""1ZHMy3vVUd_0MrSduXTe1etBb1HNpAlGwQr006ljwMiM"",
      ""GSC最新!A:R""
    ),
    18,
    FALSE
  ),
  0
)
"),21.298578199052134)</f>
        <v>21.2985782</v>
      </c>
      <c r="AB41" s="65">
        <f t="shared" ref="AB41:AC41" si="199">X41-Z41</f>
        <v>0.8845994188</v>
      </c>
      <c r="AC41" s="65">
        <f t="shared" si="199"/>
        <v>-18.42986312</v>
      </c>
      <c r="AD41" s="53">
        <f>IFERROR(__xludf.DUMMYFUNCTION("IFERROR(
  VLOOKUP(
    A41,
    IMPORTRANGE(
      ""1ZHMy3vVUd_0MrSduXTe1etBb1HNpAlGwQr006ljwMiM"",
      ""GSC最新!A:F""
    ),
    6,
    FALSE
  ),
  0
)
"),46081.0)</f>
        <v>46081</v>
      </c>
      <c r="AE41" s="54">
        <f>IFERROR(__xludf.DUMMYFUNCTION("IFERROR(
  VLOOKUP(
    A41,
    IMPORTRANGE(
      ""1SCYQd7_cobOYqT0r_F0IqD4tE4rYn5y8Eup4PJTH8es"",
      ""Snapshot!A:M""
    ),
    5,
    FALSE
  ),
  ""-""
)
"),4.0)</f>
        <v>4</v>
      </c>
      <c r="AF41" s="54">
        <f>IFERROR(__xludf.DUMMYFUNCTION("IFERROR(
  VLOOKUP(
    A41,
    IMPORTRANGE(
      ""1SCYQd7_cobOYqT0r_F0IqD4tE4rYn5y8Eup4PJTH8es"",
      ""Snapshot!A:M""
    ),
    6,
    FALSE
  ),
  0
)
"),4.0)</f>
        <v>4</v>
      </c>
      <c r="AG41" s="54">
        <f>IFERROR(__xludf.DUMMYFUNCTION("IFERROR(
  VLOOKUP(
    A41,
    IMPORTRANGE(
      ""1SCYQd7_cobOYqT0r_F0IqD4tE4rYn5y8Eup4PJTH8es"",
      ""Snapshot!A:M""
    ),
    7,
    FALSE
  ),
  0
)
"),599.0)</f>
        <v>599</v>
      </c>
      <c r="AH41" s="54">
        <f>IFERROR(__xludf.DUMMYFUNCTION("IFERROR(
  VLOOKUP(
    A41,
    IMPORTRANGE(
      ""1SCYQd7_cobOYqT0r_F0IqD4tE4rYn5y8Eup4PJTH8es"",
      ""Snapshot!A:M""
    ),
    8,
    FALSE
  ),
  0
)
"),0.0)</f>
        <v>0</v>
      </c>
      <c r="AI41" s="54">
        <f>IFERROR(__xludf.DUMMYFUNCTION("IFERROR(
  VLOOKUP(
    A41,
    IMPORTRANGE(
      ""1SCYQd7_cobOYqT0r_F0IqD4tE4rYn5y8Eup4PJTH8es"",
      ""Snapshot!A:M""
    ),
    9,
    FALSE
  ),
  0
)
"),1.0)</f>
        <v>1</v>
      </c>
      <c r="AJ41" s="54">
        <f>IFERROR(__xludf.DUMMYFUNCTION("IFERROR(
  VLOOKUP(
    A41,
    IMPORTRANGE(
      ""1SCYQd7_cobOYqT0r_F0IqD4tE4rYn5y8Eup4PJTH8es"",
      ""Snapshot!A:M""
    ),
    13,
    FALSE
  ),
  0
)
"),2.0)</f>
        <v>2</v>
      </c>
      <c r="AK41" s="49">
        <f t="shared" ref="AK41:AL41" si="200">LEN(C41)</f>
        <v>56</v>
      </c>
      <c r="AL41" s="49">
        <f t="shared" si="200"/>
        <v>55</v>
      </c>
    </row>
    <row r="42">
      <c r="A42" s="3" t="s">
        <v>551</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"),"豊島岡女子国語過去問｜点が取れない原因｜中学受験動画")</f>
        <v>豊島岡女子国語過去問｜点が取れない原因｜中学受験動画</v>
      </c>
      <c r="D42" s="1" t="str">
        <f>IFERROR(__xludf.DUMMYFUNCTION("IFERROR(
  VLOOKUP(
    A42,
    IMPORTRANGE(
      ""1ZygntHC1J6IxzKbTidmOyf5nUyW4GCLurHCjexrLm_o        "",
      ""HTMLキャッシュ!A:F""
    ),
    6,
    FALSE
  ),
  0
)
"),"豊島岡女子国語の過去問で点が伸びない人へ。傍線前後の根拠、心情の言い直し、記述のまとめ方を令和２の動画で確認。")</f>
        <v>豊島岡女子国語の過去問で点が伸びない人へ。傍線前後の根拠、心情の言い直し、記述のまとめ方を令和２の動画で確認。</v>
      </c>
      <c r="E42" s="32">
        <f>IFERROR(__xludf.DUMMYFUNCTION("IFERROR(
  VLOOKUP(
    A42,
    IMPORTRANGE(
      ""1ZygntHC1J6IxzKbTidmOyf5nUyW4GCLurHCjexrLm_o        "",
      ""HTMLキャッシュ!A:F""
    ),
    3,
    FALSE
  ),
  0
)
"),46078.84434027778)</f>
        <v>46078.84434</v>
      </c>
      <c r="F42" s="49">
        <f>IFERROR(__xludf.DUMMYFUNCTION("IFERROR(
  VLOOKUP(
    A42,
    IMPORTRANGE(
      ""1ZHMy3vVUd_0MrSduXTe1etBb1HNpAlGwQr006ljwMiM"",
      ""GSC最新!A:F""
    ),
    2,
    FALSE
  ),
  0
)
"),1.0)</f>
        <v>1</v>
      </c>
      <c r="G42" s="49">
        <f>IFERROR(__xludf.DUMMYFUNCTION("IFERROR(
  VLOOKUP(
    A42,
    IMPORTRANGE(
      ""1ZHMy3vVUd_0MrSduXTe1etBb1HNpAlGwQr006ljwMiM"",
      ""GSC最新!A:F""
    ),
    3,
    FALSE
  ),
  0
)
"),11.0)</f>
        <v>11</v>
      </c>
      <c r="H42" s="49">
        <f>IFERROR(__xludf.DUMMYFUNCTION("IFERROR(
  VLOOKUP(
    A42,
    IMPORTRANGE(
      ""1ZHMy3vVUd_0MrSduXTe1etBb1HNpAlGwQr006ljwMiM"",
      ""GSC最新!A:F""
    ),
    4,
    FALSE
  ),
  0
)
"),0.0)</f>
        <v>0</v>
      </c>
      <c r="I42" s="49">
        <f>IFERROR(__xludf.DUMMYFUNCTION("IFERROR(
  VLOOKUP(
    A42,
    IMPORTRANGE(
      ""1ZHMy3vVUd_0MrSduXTe1etBb1HNpAlGwQr006ljwMiM"",
      ""GSC最新!A:F""
    ),
    5,
    FALSE
  ),
  0
)
"),7.0)</f>
        <v>7</v>
      </c>
      <c r="J42" s="50" t="str">
        <f t="shared" ref="J42:K42" si="201">IFERROR(F42/H42,"-")</f>
        <v>-</v>
      </c>
      <c r="K42" s="50">
        <f t="shared" si="201"/>
        <v>1.571428571</v>
      </c>
      <c r="L42" s="6">
        <f>IFERROR(__xludf.DUMMYFUNCTION("IFERROR(
  VLOOKUP(
    A42,
    IMPORTRANGE(
      ""1ZHMy3vVUd_0MrSduXTe1etBb1HNpAlGwQr006ljwMiM"",
      ""GSC最新!A:R""
    ),
    7,
    FALSE
  ),
  0
)
"),198.0)</f>
        <v>198</v>
      </c>
      <c r="M42" s="6">
        <f>IFERROR(__xludf.DUMMYFUNCTION("IFERROR(
  VLOOKUP(
    A42,
    IMPORTRANGE(
      ""1ZHMy3vVUd_0MrSduXTe1etBb1HNpAlGwQr006ljwMiM"",
      ""GSC最新!A:R""
    ),
    10,
    FALSE
  ),
  0
)
"),370.0)</f>
        <v>370</v>
      </c>
      <c r="N42" s="6">
        <f>IFERROR(__xludf.DUMMYFUNCTION("IFERROR(
  VLOOKUP(
    A42,
    IMPORTRANGE(
      ""1ZHMy3vVUd_0MrSduXTe1etBb1HNpAlGwQr006ljwMiM"",
      ""GSC最新!A:R""
    ),
    13,
    FALSE
  ),
  0
)
"),18.0)</f>
        <v>18</v>
      </c>
      <c r="O42" s="6">
        <f>IFERROR(__xludf.DUMMYFUNCTION("IFERROR(
  VLOOKUP(
    A42,
    IMPORTRANGE(
      ""1ZHMy3vVUd_0MrSduXTe1etBb1HNpAlGwQr006ljwMiM"",
      ""GSC最新!A:R""
    ),
    16,
    FALSE
  ),
  0
)
"),914.0)</f>
        <v>914</v>
      </c>
      <c r="P42" s="51">
        <f t="shared" ref="P42:Q42" si="202">IFERROR(L42/N42,"-")</f>
        <v>11</v>
      </c>
      <c r="Q42" s="51">
        <f t="shared" si="202"/>
        <v>0.4048140044</v>
      </c>
      <c r="R42" s="9">
        <f>IFERROR(__xludf.DUMMYFUNCTION("IFERROR(
  VLOOKUP(
    A42,
    IMPORTRANGE(
      ""1ZHMy3vVUd_0MrSduXTe1etBb1HNpAlGwQr006ljwMiM"",
      ""GSC最新!A:R""
    ),
    8,
    FALSE
  ),
  0
)
"),0.005050505050505051)</f>
        <v>0.005050505051</v>
      </c>
      <c r="S42" s="9">
        <f>IFERROR(__xludf.DUMMYFUNCTION("IFERROR(
  VLOOKUP(
    A42,
    IMPORTRANGE(
      ""1ZHMy3vVUd_0MrSduXTe1etBb1HNpAlGwQr006ljwMiM"",
      ""GSC最新!A:R""
    ),
    11,
    FALSE
  ),
  0
)
"),0.02972972972972973)</f>
        <v>0.02972972973</v>
      </c>
      <c r="T42" s="9">
        <f>IFERROR(__xludf.DUMMYFUNCTION("IFERROR(
  VLOOKUP(
    A42,
    IMPORTRANGE(
      ""1ZHMy3vVUd_0MrSduXTe1etBb1HNpAlGwQr006ljwMiM"",
      ""GSC最新!A:R""
    ),
    14,
    FALSE
  ),
  0
)
"),0.0)</f>
        <v>0</v>
      </c>
      <c r="U42" s="9">
        <f>IFERROR(__xludf.DUMMYFUNCTION("IFERROR(
  VLOOKUP(
    A42,
    IMPORTRANGE(
      ""1ZHMy3vVUd_0MrSduXTe1etBb1HNpAlGwQr006ljwMiM"",
      ""GSC最新!A:R""
    ),
    17,
    FALSE
  ),
  0
)
"),0.007658643326039387)</f>
        <v>0.007658643326</v>
      </c>
      <c r="V42" s="9">
        <f t="shared" ref="V42:W42" si="203">IFERROR(R42-T42,"-")</f>
        <v>0.005050505051</v>
      </c>
      <c r="W42" s="9">
        <f t="shared" si="203"/>
        <v>0.0220710864</v>
      </c>
      <c r="X42" s="65">
        <f>IFERROR(__xludf.DUMMYFUNCTION("IFERROR(
  VLOOKUP(
    A42,
    IMPORTRANGE(
      ""1ZHMy3vVUd_0MrSduXTe1etBb1HNpAlGwQr006ljwMiM"",
      ""GSC最新!A:R""
    ),
    9,
    FALSE
  ),
  0
)
"),6.9646464646464645)</f>
        <v>6.964646465</v>
      </c>
      <c r="Y42" s="65">
        <f>IFERROR(__xludf.DUMMYFUNCTION("IFERROR(
  VLOOKUP(
    A42,
    IMPORTRANGE(
      ""1ZHMy3vVUd_0MrSduXTe1etBb1HNpAlGwQr006ljwMiM"",
      ""GSC最新!A:R""
    ),
    12,
    FALSE
  ),
  0
)
"),7.824324324324325)</f>
        <v>7.824324324</v>
      </c>
      <c r="Z42" s="65">
        <f>IFERROR(__xludf.DUMMYFUNCTION("IFERROR(
  VLOOKUP(
    A42,
    IMPORTRANGE(
      ""1ZHMy3vVUd_0MrSduXTe1etBb1HNpAlGwQr006ljwMiM"",
      ""GSC最新!A:R""
    ),
    15,
    FALSE
  ),
  0
)
"),57.55555555555556)</f>
        <v>57.55555556</v>
      </c>
      <c r="AA42" s="65">
        <f>IFERROR(__xludf.DUMMYFUNCTION("IFERROR(
  VLOOKUP(
    A42,
    IMPORTRANGE(
      ""1ZHMy3vVUd_0MrSduXTe1etBb1HNpAlGwQr006ljwMiM"",
      ""GSC最新!A:R""
    ),
    18,
    FALSE
  ),
  0
)
"),65.3566739606127)</f>
        <v>65.35667396</v>
      </c>
      <c r="AB42" s="65">
        <f t="shared" ref="AB42:AC42" si="204">X42-Z42</f>
        <v>-50.59090909</v>
      </c>
      <c r="AC42" s="65">
        <f t="shared" si="204"/>
        <v>-57.53234964</v>
      </c>
      <c r="AD42" s="53">
        <f>IFERROR(__xludf.DUMMYFUNCTION("IFERROR(
  VLOOKUP(
    A42,
    IMPORTRANGE(
      ""1ZHMy3vVUd_0MrSduXTe1etBb1HNpAlGwQr006ljwMiM"",
      ""GSC最新!A:F""
    ),
    6,
    FALSE
  ),
  0
)
"),46081.0)</f>
        <v>46081</v>
      </c>
      <c r="AE42" s="54">
        <f>IFERROR(__xludf.DUMMYFUNCTION("IFERROR(
  VLOOKUP(
    A42,
    IMPORTRANGE(
      ""1SCYQd7_cobOYqT0r_F0IqD4tE4rYn5y8Eup4PJTH8es"",
      ""Snapshot!A:M""
    ),
    5,
    FALSE
  ),
  ""-""
)
"),0.0)</f>
        <v>0</v>
      </c>
      <c r="AF42" s="54">
        <f>IFERROR(__xludf.DUMMYFUNCTION("IFERROR(
  VLOOKUP(
    A42,
    IMPORTRANGE(
      ""1SCYQd7_cobOYqT0r_F0IqD4tE4rYn5y8Eup4PJTH8es"",
      ""Snapshot!A:M""
    ),
    6,
    FALSE
  ),
  0
)
"),9.0)</f>
        <v>9</v>
      </c>
      <c r="AG42" s="54">
        <f>IFERROR(__xludf.DUMMYFUNCTION("IFERROR(
  VLOOKUP(
    A42,
    IMPORTRANGE(
      ""1SCYQd7_cobOYqT0r_F0IqD4tE4rYn5y8Eup4PJTH8es"",
      ""Snapshot!A:M""
    ),
    7,
    FALSE
  ),
  0
)
"),2899.0)</f>
        <v>2899</v>
      </c>
      <c r="AH42" s="54">
        <f>IFERROR(__xludf.DUMMYFUNCTION("IFERROR(
  VLOOKUP(
    A42,
    IMPORTRANGE(
      ""1SCYQd7_cobOYqT0r_F0IqD4tE4rYn5y8Eup4PJTH8es"",
      ""Snapshot!A:M""
    ),
    8,
    FALSE
  ),
  0
)
"),7.0)</f>
        <v>7</v>
      </c>
      <c r="AI42" s="54">
        <f>IFERROR(__xludf.DUMMYFUNCTION("IFERROR(
  VLOOKUP(
    A42,
    IMPORTRANGE(
      ""1SCYQd7_cobOYqT0r_F0IqD4tE4rYn5y8Eup4PJTH8es"",
      ""Snapshot!A:M""
    ),
    9,
    FALSE
  ),
  0
)
"),2.0)</f>
        <v>2</v>
      </c>
      <c r="AJ42" s="54">
        <f>IFERROR(__xludf.DUMMYFUNCTION("IFERROR(
  VLOOKUP(
    A42,
    IMPORTRANGE(
      ""1SCYQd7_cobOYqT0r_F0IqD4tE4rYn5y8Eup4PJTH8es"",
      ""Snapshot!A:M""
    ),
    13,
    FALSE
  ),
  0
)
"),3.0)</f>
        <v>3</v>
      </c>
      <c r="AK42" s="49">
        <f t="shared" ref="AK42:AL42" si="205">LEN(C42)</f>
        <v>26</v>
      </c>
      <c r="AL42" s="49">
        <f t="shared" si="205"/>
        <v>55</v>
      </c>
    </row>
    <row r="43">
      <c r="A43" s="3" t="s">
        <v>552</v>
      </c>
      <c r="B43" s="1" t="str">
        <f>IFERROR(__xludf.DUMMYFUNCTION("IFERROR(
  VLOOKUP(
    A43,
    IMPORTRANGE(
      ""1ZygntHC1J6IxzKbTidmOyf5nUyW4GCLurHCjexrLm_o"",
      ""HTMLキャッシュ!A:F""
    ),
    2,
    FALSE
  ),
  0
)
"),"MC")</f>
        <v>MC</v>
      </c>
      <c r="C43" s="1" t="str">
        <f>IFERROR(__xludf.DUMMYFUNCTION("IFERROR(
  VLOOKUP(
    A43,
    IMPORTRANGE(
      ""1ZygntHC1J6IxzKbTidmOyf5nUyW4GCLurHCjexrLm_o"",
      ""HTMLキャッシュ!A:F""
    ),
    5,
    FALSE
  ),
  0
)
"),"記述問題の徹底攻略｜理由の根拠の拾い方 中学受験国語")</f>
        <v>記述問題の徹底攻略｜理由の根拠の拾い方 中学受験国語</v>
      </c>
      <c r="D43" s="1" t="str">
        <f>IFERROR(__xludf.DUMMYFUNCTION("IFERROR(
  VLOOKUP(
    A43,
    IMPORTRANGE(
      ""1ZygntHC1J6IxzKbTidmOyf5nUyW4GCLurHCjexrLm_o        "",
      ""HTMLキャッシュ!A:F""
    ),
    6,
    FALSE
  ),
  0
)
"),"記述問題の徹底攻略として、聖光学院中2021国語の厳選2問を解説。理由記述は傍線前後＋周辺から根拠を集めてまとめる。X具体例は本文の定義に合わせる。")</f>
        <v>記述問題の徹底攻略として、聖光学院中2021国語の厳選2問を解説。理由記述は傍線前後＋周辺から根拠を集めてまとめる。X具体例は本文の定義に合わせる。</v>
      </c>
      <c r="E43" s="32">
        <f>IFERROR(__xludf.DUMMYFUNCTION("IFERROR(
  VLOOKUP(
    A43,
    IMPORTRANGE(
      ""1ZygntHC1J6IxzKbTidmOyf5nUyW4GCLurHCjexrLm_o        "",
      ""HTMLキャッシュ!A:F""
    ),
    3,
    FALSE
  ),
  0
)
"),46078.84943287037)</f>
        <v>46078.84943</v>
      </c>
      <c r="F43" s="49">
        <f>IFERROR(__xludf.DUMMYFUNCTION("IFERROR(
  VLOOKUP(
    A43,
    IMPORTRANGE(
      ""1ZHMy3vVUd_0MrSduXTe1etBb1HNpAlGwQr006ljwMiM"",
      ""GSC最新!A:F""
    ),
    2,
    FALSE
  ),
  0
)
"),1.0)</f>
        <v>1</v>
      </c>
      <c r="G43" s="49">
        <f>IFERROR(__xludf.DUMMYFUNCTION("IFERROR(
  VLOOKUP(
    A43,
    IMPORTRANGE(
      ""1ZHMy3vVUd_0MrSduXTe1etBb1HNpAlGwQr006ljwMiM"",
      ""GSC最新!A:F""
    ),
    3,
    FALSE
  ),
  0
)
"),10.0)</f>
        <v>10</v>
      </c>
      <c r="H43" s="49">
        <f>IFERROR(__xludf.DUMMYFUNCTION("IFERROR(
  VLOOKUP(
    A43,
    IMPORTRANGE(
      ""1ZHMy3vVUd_0MrSduXTe1etBb1HNpAlGwQr006ljwMiM"",
      ""GSC最新!A:F""
    ),
    4,
    FALSE
  ),
  0
)
"),2.0)</f>
        <v>2</v>
      </c>
      <c r="I43" s="49">
        <f>IFERROR(__xludf.DUMMYFUNCTION("IFERROR(
  VLOOKUP(
    A43,
    IMPORTRANGE(
      ""1ZHMy3vVUd_0MrSduXTe1etBb1HNpAlGwQr006ljwMiM"",
      ""GSC最新!A:F""
    ),
    5,
    FALSE
  ),
  0
)
"),5.0)</f>
        <v>5</v>
      </c>
      <c r="J43" s="50">
        <f t="shared" ref="J43:K43" si="206">IFERROR(F43/H43,"-")</f>
        <v>0.5</v>
      </c>
      <c r="K43" s="50">
        <f t="shared" si="206"/>
        <v>2</v>
      </c>
      <c r="L43" s="6">
        <f>IFERROR(__xludf.DUMMYFUNCTION("IFERROR(
  VLOOKUP(
    A43,
    IMPORTRANGE(
      ""1ZHMy3vVUd_0MrSduXTe1etBb1HNpAlGwQr006ljwMiM"",
      ""GSC最新!A:R""
    ),
    7,
    FALSE
  ),
  0
)
"),89.0)</f>
        <v>89</v>
      </c>
      <c r="M43" s="6">
        <f>IFERROR(__xludf.DUMMYFUNCTION("IFERROR(
  VLOOKUP(
    A43,
    IMPORTRANGE(
      ""1ZHMy3vVUd_0MrSduXTe1etBb1HNpAlGwQr006ljwMiM"",
      ""GSC最新!A:R""
    ),
    10,
    FALSE
  ),
  0
)
"),265.0)</f>
        <v>265</v>
      </c>
      <c r="N43" s="6">
        <f>IFERROR(__xludf.DUMMYFUNCTION("IFERROR(
  VLOOKUP(
    A43,
    IMPORTRANGE(
      ""1ZHMy3vVUd_0MrSduXTe1etBb1HNpAlGwQr006ljwMiM"",
      ""GSC最新!A:R""
    ),
    13,
    FALSE
  ),
  0
)
"),9.0)</f>
        <v>9</v>
      </c>
      <c r="O43" s="6">
        <f>IFERROR(__xludf.DUMMYFUNCTION("IFERROR(
  VLOOKUP(
    A43,
    IMPORTRANGE(
      ""1ZHMy3vVUd_0MrSduXTe1etBb1HNpAlGwQr006ljwMiM"",
      ""GSC最新!A:R""
    ),
    16,
    FALSE
  ),
  0
)
"),47.0)</f>
        <v>47</v>
      </c>
      <c r="P43" s="51">
        <f t="shared" ref="P43:Q43" si="207">IFERROR(L43/N43,"-")</f>
        <v>9.888888889</v>
      </c>
      <c r="Q43" s="51">
        <f t="shared" si="207"/>
        <v>5.638297872</v>
      </c>
      <c r="R43" s="9">
        <f>IFERROR(__xludf.DUMMYFUNCTION("IFERROR(
  VLOOKUP(
    A43,
    IMPORTRANGE(
      ""1ZHMy3vVUd_0MrSduXTe1etBb1HNpAlGwQr006ljwMiM"",
      ""GSC最新!A:R""
    ),
    8,
    FALSE
  ),
  0
)
"),0.011235955056179775)</f>
        <v>0.01123595506</v>
      </c>
      <c r="S43" s="9">
        <f>IFERROR(__xludf.DUMMYFUNCTION("IFERROR(
  VLOOKUP(
    A43,
    IMPORTRANGE(
      ""1ZHMy3vVUd_0MrSduXTe1etBb1HNpAlGwQr006ljwMiM"",
      ""GSC最新!A:R""
    ),
    11,
    FALSE
  ),
  0
)
"),0.03773584905660377)</f>
        <v>0.03773584906</v>
      </c>
      <c r="T43" s="9">
        <f>IFERROR(__xludf.DUMMYFUNCTION("IFERROR(
  VLOOKUP(
    A43,
    IMPORTRANGE(
      ""1ZHMy3vVUd_0MrSduXTe1etBb1HNpAlGwQr006ljwMiM"",
      ""GSC最新!A:R""
    ),
    14,
    FALSE
  ),
  0
)
"),0.2222222222222222)</f>
        <v>0.2222222222</v>
      </c>
      <c r="U43" s="9">
        <f>IFERROR(__xludf.DUMMYFUNCTION("IFERROR(
  VLOOKUP(
    A43,
    IMPORTRANGE(
      ""1ZHMy3vVUd_0MrSduXTe1etBb1HNpAlGwQr006ljwMiM"",
      ""GSC最新!A:R""
    ),
    17,
    FALSE
  ),
  0
)
"),0.10638297872340426)</f>
        <v>0.1063829787</v>
      </c>
      <c r="V43" s="9">
        <f t="shared" ref="V43:W43" si="208">IFERROR(R43-T43,"-")</f>
        <v>-0.2109862672</v>
      </c>
      <c r="W43" s="9">
        <f t="shared" si="208"/>
        <v>-0.06864712967</v>
      </c>
      <c r="X43" s="65">
        <f>IFERROR(__xludf.DUMMYFUNCTION("IFERROR(
  VLOOKUP(
    A43,
    IMPORTRANGE(
      ""1ZHMy3vVUd_0MrSduXTe1etBb1HNpAlGwQr006ljwMiM"",
      ""GSC最新!A:R""
    ),
    9,
    FALSE
  ),
  0
)
"),8.04494382022472)</f>
        <v>8.04494382</v>
      </c>
      <c r="Y43" s="65">
        <f>IFERROR(__xludf.DUMMYFUNCTION("IFERROR(
  VLOOKUP(
    A43,
    IMPORTRANGE(
      ""1ZHMy3vVUd_0MrSduXTe1etBb1HNpAlGwQr006ljwMiM"",
      ""GSC最新!A:R""
    ),
    12,
    FALSE
  ),
  0
)
"),8.675471698113206)</f>
        <v>8.675471698</v>
      </c>
      <c r="Z43" s="65">
        <f>IFERROR(__xludf.DUMMYFUNCTION("IFERROR(
  VLOOKUP(
    A43,
    IMPORTRANGE(
      ""1ZHMy3vVUd_0MrSduXTe1etBb1HNpAlGwQr006ljwMiM"",
      ""GSC最新!A:R""
    ),
    15,
    FALSE
  ),
  0
)
"),41.22222222222222)</f>
        <v>41.22222222</v>
      </c>
      <c r="AA43" s="65">
        <f>IFERROR(__xludf.DUMMYFUNCTION("IFERROR(
  VLOOKUP(
    A43,
    IMPORTRANGE(
      ""1ZHMy3vVUd_0MrSduXTe1etBb1HNpAlGwQr006ljwMiM"",
      ""GSC最新!A:R""
    ),
    18,
    FALSE
  ),
  0
)
"),28.4468085106383)</f>
        <v>28.44680851</v>
      </c>
      <c r="AB43" s="65">
        <f t="shared" ref="AB43:AC43" si="209">X43-Z43</f>
        <v>-33.1772784</v>
      </c>
      <c r="AC43" s="65">
        <f t="shared" si="209"/>
        <v>-19.77133681</v>
      </c>
      <c r="AD43" s="53">
        <f>IFERROR(__xludf.DUMMYFUNCTION("IFERROR(
  VLOOKUP(
    A43,
    IMPORTRANGE(
      ""1ZHMy3vVUd_0MrSduXTe1etBb1HNpAlGwQr006ljwMiM"",
      ""GSC最新!A:F""
    ),
    6,
    FALSE
  ),
  0
)
"),46081.0)</f>
        <v>46081</v>
      </c>
      <c r="AE43" s="54">
        <f>IFERROR(__xludf.DUMMYFUNCTION("IFERROR(
  VLOOKUP(
    A43,
    IMPORTRANGE(
      ""1SCYQd7_cobOYqT0r_F0IqD4tE4rYn5y8Eup4PJTH8es"",
      ""Snapshot!A:M""
    ),
    5,
    FALSE
  ),
  ""-""
)
"),3.0)</f>
        <v>3</v>
      </c>
      <c r="AF43" s="54">
        <f>IFERROR(__xludf.DUMMYFUNCTION("IFERROR(
  VLOOKUP(
    A43,
    IMPORTRANGE(
      ""1SCYQd7_cobOYqT0r_F0IqD4tE4rYn5y8Eup4PJTH8es"",
      ""Snapshot!A:M""
    ),
    6,
    FALSE
  ),
  0
)
"),2.0)</f>
        <v>2</v>
      </c>
      <c r="AG43" s="54">
        <f>IFERROR(__xludf.DUMMYFUNCTION("IFERROR(
  VLOOKUP(
    A43,
    IMPORTRANGE(
      ""1SCYQd7_cobOYqT0r_F0IqD4tE4rYn5y8Eup4PJTH8es"",
      ""Snapshot!A:M""
    ),
    7,
    FALSE
  ),
  0
)
"),1862.0)</f>
        <v>1862</v>
      </c>
      <c r="AH43" s="54">
        <f>IFERROR(__xludf.DUMMYFUNCTION("IFERROR(
  VLOOKUP(
    A43,
    IMPORTRANGE(
      ""1SCYQd7_cobOYqT0r_F0IqD4tE4rYn5y8Eup4PJTH8es"",
      ""Snapshot!A:M""
    ),
    8,
    FALSE
  ),
  0
)
"),7.0)</f>
        <v>7</v>
      </c>
      <c r="AI43" s="54">
        <f>IFERROR(__xludf.DUMMYFUNCTION("IFERROR(
  VLOOKUP(
    A43,
    IMPORTRANGE(
      ""1SCYQd7_cobOYqT0r_F0IqD4tE4rYn5y8Eup4PJTH8es"",
      ""Snapshot!A:M""
    ),
    9,
    FALSE
  ),
  0
)
"),1.0)</f>
        <v>1</v>
      </c>
      <c r="AJ43" s="54">
        <f>IFERROR(__xludf.DUMMYFUNCTION("IFERROR(
  VLOOKUP(
    A43,
    IMPORTRANGE(
      ""1SCYQd7_cobOYqT0r_F0IqD4tE4rYn5y8Eup4PJTH8es"",
      ""Snapshot!A:M""
    ),
    13,
    FALSE
  ),
  0
)
"),3.0)</f>
        <v>3</v>
      </c>
      <c r="AK43" s="49">
        <f t="shared" ref="AK43:AL43" si="210">LEN(C43)</f>
        <v>26</v>
      </c>
      <c r="AL43" s="49">
        <f t="shared" si="210"/>
        <v>74</v>
      </c>
    </row>
    <row r="44">
      <c r="A44" s="3" t="s">
        <v>553</v>
      </c>
      <c r="B44" s="1" t="str">
        <f>IFERROR(__xludf.DUMMYFUNCTION("IFERROR(
  VLOOKUP(
    A44,
    IMPORTRANGE(
      ""1ZygntHC1J6IxzKbTidmOyf5nUyW4GCLurHCjexrLm_o"",
      ""HTMLキャッシュ!A:F""
    ),
    2,
    FALSE
  ),
  0
)
"),"MC")</f>
        <v>MC</v>
      </c>
      <c r="C44" s="1" t="str">
        <f>IFERROR(__xludf.DUMMYFUNCTION("IFERROR(
  VLOOKUP(
    A44,
    IMPORTRANGE(
      ""1ZygntHC1J6IxzKbTidmOyf5nUyW4GCLurHCjexrLm_o"",
      ""HTMLキャッシュ!A:F""
    ),
    5,
    FALSE
  ),
  0
)
"),"早稲田中2021国語記述・読解過去問解説と解法の基本ステップ")</f>
        <v>早稲田中2021国語記述・読解過去問解説と解法の基本ステップ</v>
      </c>
      <c r="D44" s="1" t="str">
        <f>IFERROR(__xludf.DUMMYFUNCTION("IFERROR(
  VLOOKUP(
    A44,
    IMPORTRANGE(
      ""1ZygntHC1J6IxzKbTidmOyf5nUyW4GCLurHCjexrLm_o        "",
      ""HTMLキャッシュ!A:F""
    ),
    6,
    FALSE
  ),
  0
)
"),"「立場が弱い」の言い換えを、本文根拠から整理。早稲田中2021国語の説明問題を例に、キーワード→根拠→一文まで確認できます。")</f>
        <v>「立場が弱い」の言い換えを、本文根拠から整理。早稲田中2021国語の説明問題を例に、キーワード→根拠→一文まで確認できます。</v>
      </c>
      <c r="E44" s="32">
        <f>IFERROR(__xludf.DUMMYFUNCTION("IFERROR(
  VLOOKUP(
    A44,
    IMPORTRANGE(
      ""1ZygntHC1J6IxzKbTidmOyf5nUyW4GCLurHCjexrLm_o        "",
      ""HTMLキャッシュ!A:F""
    ),
    3,
    FALSE
  ),
  0
)
"),46074.57326388889)</f>
        <v>46074.57326</v>
      </c>
      <c r="F44" s="49">
        <f>IFERROR(__xludf.DUMMYFUNCTION("IFERROR(
  VLOOKUP(
    A44,
    IMPORTRANGE(
      ""1ZHMy3vVUd_0MrSduXTe1etBb1HNpAlGwQr006ljwMiM"",
      ""GSC最新!A:F""
    ),
    2,
    FALSE
  ),
  0
)
"),1.0)</f>
        <v>1</v>
      </c>
      <c r="G44" s="49">
        <f>IFERROR(__xludf.DUMMYFUNCTION("IFERROR(
  VLOOKUP(
    A44,
    IMPORTRANGE(
      ""1ZHMy3vVUd_0MrSduXTe1etBb1HNpAlGwQr006ljwMiM"",
      ""GSC最新!A:F""
    ),
    3,
    FALSE
  ),
  0
)
"),11.0)</f>
        <v>11</v>
      </c>
      <c r="H44" s="49">
        <f>IFERROR(__xludf.DUMMYFUNCTION("IFERROR(
  VLOOKUP(
    A44,
    IMPORTRANGE(
      ""1ZHMy3vVUd_0MrSduXTe1etBb1HNpAlGwQr006ljwMiM"",
      ""GSC最新!A:F""
    ),
    4,
    FALSE
  ),
  0
)
"),0.0)</f>
        <v>0</v>
      </c>
      <c r="I44" s="49">
        <f>IFERROR(__xludf.DUMMYFUNCTION("IFERROR(
  VLOOKUP(
    A44,
    IMPORTRANGE(
      ""1ZHMy3vVUd_0MrSduXTe1etBb1HNpAlGwQr006ljwMiM"",
      ""GSC最新!A:F""
    ),
    5,
    FALSE
  ),
  0
)
"),9.0)</f>
        <v>9</v>
      </c>
      <c r="J44" s="50" t="str">
        <f t="shared" ref="J44:K44" si="211">IFERROR(F44/H44,"-")</f>
        <v>-</v>
      </c>
      <c r="K44" s="50">
        <f t="shared" si="211"/>
        <v>1.222222222</v>
      </c>
      <c r="L44" s="6">
        <f>IFERROR(__xludf.DUMMYFUNCTION("IFERROR(
  VLOOKUP(
    A44,
    IMPORTRANGE(
      ""1ZHMy3vVUd_0MrSduXTe1etBb1HNpAlGwQr006ljwMiM"",
      ""GSC最新!A:R""
    ),
    7,
    FALSE
  ),
  0
)
"),26.0)</f>
        <v>26</v>
      </c>
      <c r="M44" s="6">
        <f>IFERROR(__xludf.DUMMYFUNCTION("IFERROR(
  VLOOKUP(
    A44,
    IMPORTRANGE(
      ""1ZHMy3vVUd_0MrSduXTe1etBb1HNpAlGwQr006ljwMiM"",
      ""GSC最新!A:R""
    ),
    10,
    FALSE
  ),
  0
)
"),122.0)</f>
        <v>122</v>
      </c>
      <c r="N44" s="6">
        <f>IFERROR(__xludf.DUMMYFUNCTION("IFERROR(
  VLOOKUP(
    A44,
    IMPORTRANGE(
      ""1ZHMy3vVUd_0MrSduXTe1etBb1HNpAlGwQr006ljwMiM"",
      ""GSC最新!A:R""
    ),
    13,
    FALSE
  ),
  0
)
"),30.0)</f>
        <v>30</v>
      </c>
      <c r="O44" s="6">
        <f>IFERROR(__xludf.DUMMYFUNCTION("IFERROR(
  VLOOKUP(
    A44,
    IMPORTRANGE(
      ""1ZHMy3vVUd_0MrSduXTe1etBb1HNpAlGwQr006ljwMiM"",
      ""GSC最新!A:R""
    ),
    16,
    FALSE
  ),
  0
)
"),275.0)</f>
        <v>275</v>
      </c>
      <c r="P44" s="51">
        <f t="shared" ref="P44:Q44" si="212">IFERROR(L44/N44,"-")</f>
        <v>0.8666666667</v>
      </c>
      <c r="Q44" s="51">
        <f t="shared" si="212"/>
        <v>0.4436363636</v>
      </c>
      <c r="R44" s="9">
        <f>IFERROR(__xludf.DUMMYFUNCTION("IFERROR(
  VLOOKUP(
    A44,
    IMPORTRANGE(
      ""1ZHMy3vVUd_0MrSduXTe1etBb1HNpAlGwQr006ljwMiM"",
      ""GSC最新!A:R""
    ),
    8,
    FALSE
  ),
  0
)
"),0.038461538461538464)</f>
        <v>0.03846153846</v>
      </c>
      <c r="S44" s="9">
        <f>IFERROR(__xludf.DUMMYFUNCTION("IFERROR(
  VLOOKUP(
    A44,
    IMPORTRANGE(
      ""1ZHMy3vVUd_0MrSduXTe1etBb1HNpAlGwQr006ljwMiM"",
      ""GSC最新!A:R""
    ),
    11,
    FALSE
  ),
  0
)
"),0.09016393442622951)</f>
        <v>0.09016393443</v>
      </c>
      <c r="T44" s="9">
        <f>IFERROR(__xludf.DUMMYFUNCTION("IFERROR(
  VLOOKUP(
    A44,
    IMPORTRANGE(
      ""1ZHMy3vVUd_0MrSduXTe1etBb1HNpAlGwQr006ljwMiM"",
      ""GSC最新!A:R""
    ),
    14,
    FALSE
  ),
  0
)
"),0.0)</f>
        <v>0</v>
      </c>
      <c r="U44" s="9">
        <f>IFERROR(__xludf.DUMMYFUNCTION("IFERROR(
  VLOOKUP(
    A44,
    IMPORTRANGE(
      ""1ZHMy3vVUd_0MrSduXTe1etBb1HNpAlGwQr006ljwMiM"",
      ""GSC最新!A:R""
    ),
    17,
    FALSE
  ),
  0
)
"),0.03272727272727273)</f>
        <v>0.03272727273</v>
      </c>
      <c r="V44" s="9">
        <f t="shared" ref="V44:W44" si="213">IFERROR(R44-T44,"-")</f>
        <v>0.03846153846</v>
      </c>
      <c r="W44" s="9">
        <f t="shared" si="213"/>
        <v>0.0574366617</v>
      </c>
      <c r="X44" s="65">
        <f>IFERROR(__xludf.DUMMYFUNCTION("IFERROR(
  VLOOKUP(
    A44,
    IMPORTRANGE(
      ""1ZHMy3vVUd_0MrSduXTe1etBb1HNpAlGwQr006ljwMiM"",
      ""GSC最新!A:R""
    ),
    9,
    FALSE
  ),
  0
)
"),8.884615384615385)</f>
        <v>8.884615385</v>
      </c>
      <c r="Y44" s="65">
        <f>IFERROR(__xludf.DUMMYFUNCTION("IFERROR(
  VLOOKUP(
    A44,
    IMPORTRANGE(
      ""1ZHMy3vVUd_0MrSduXTe1etBb1HNpAlGwQr006ljwMiM"",
      ""GSC最新!A:R""
    ),
    12,
    FALSE
  ),
  0
)
"),9.19672131147541)</f>
        <v>9.196721311</v>
      </c>
      <c r="Z44" s="65">
        <f>IFERROR(__xludf.DUMMYFUNCTION("IFERROR(
  VLOOKUP(
    A44,
    IMPORTRANGE(
      ""1ZHMy3vVUd_0MrSduXTe1etBb1HNpAlGwQr006ljwMiM"",
      ""GSC最新!A:R""
    ),
    15,
    FALSE
  ),
  0
)
"),10.6)</f>
        <v>10.6</v>
      </c>
      <c r="AA44" s="65">
        <f>IFERROR(__xludf.DUMMYFUNCTION("IFERROR(
  VLOOKUP(
    A44,
    IMPORTRANGE(
      ""1ZHMy3vVUd_0MrSduXTe1etBb1HNpAlGwQr006ljwMiM"",
      ""GSC最新!A:R""
    ),
    18,
    FALSE
  ),
  0
)
"),30.916363636363638)</f>
        <v>30.91636364</v>
      </c>
      <c r="AB44" s="65">
        <f t="shared" ref="AB44:AC44" si="214">X44-Z44</f>
        <v>-1.715384615</v>
      </c>
      <c r="AC44" s="65">
        <f t="shared" si="214"/>
        <v>-21.71964232</v>
      </c>
      <c r="AD44" s="53">
        <f>IFERROR(__xludf.DUMMYFUNCTION("IFERROR(
  VLOOKUP(
    A44,
    IMPORTRANGE(
      ""1ZHMy3vVUd_0MrSduXTe1etBb1HNpAlGwQr006ljwMiM"",
      ""GSC最新!A:F""
    ),
    6,
    FALSE
  ),
  0
)
"),46081.0)</f>
        <v>46081</v>
      </c>
      <c r="AE44" s="54">
        <f>IFERROR(__xludf.DUMMYFUNCTION("IFERROR(
  VLOOKUP(
    A44,
    IMPORTRANGE(
      ""1SCYQd7_cobOYqT0r_F0IqD4tE4rYn5y8Eup4PJTH8es"",
      ""Snapshot!A:M""
    ),
    5,
    FALSE
  ),
  ""-""
)
"),7.0)</f>
        <v>7</v>
      </c>
      <c r="AF44" s="54">
        <f>IFERROR(__xludf.DUMMYFUNCTION("IFERROR(
  VLOOKUP(
    A44,
    IMPORTRANGE(
      ""1SCYQd7_cobOYqT0r_F0IqD4tE4rYn5y8Eup4PJTH8es"",
      ""Snapshot!A:M""
    ),
    6,
    FALSE
  ),
  0
)
"),11.0)</f>
        <v>11</v>
      </c>
      <c r="AG44" s="54">
        <f>IFERROR(__xludf.DUMMYFUNCTION("IFERROR(
  VLOOKUP(
    A44,
    IMPORTRANGE(
      ""1SCYQd7_cobOYqT0r_F0IqD4tE4rYn5y8Eup4PJTH8es"",
      ""Snapshot!A:M""
    ),
    7,
    FALSE
  ),
  0
)
"),3706.0)</f>
        <v>3706</v>
      </c>
      <c r="AH44" s="54">
        <f>IFERROR(__xludf.DUMMYFUNCTION("IFERROR(
  VLOOKUP(
    A44,
    IMPORTRANGE(
      ""1SCYQd7_cobOYqT0r_F0IqD4tE4rYn5y8Eup4PJTH8es"",
      ""Snapshot!A:M""
    ),
    8,
    FALSE
  ),
  0
)
"),1.0)</f>
        <v>1</v>
      </c>
      <c r="AI44" s="54">
        <f>IFERROR(__xludf.DUMMYFUNCTION("IFERROR(
  VLOOKUP(
    A44,
    IMPORTRANGE(
      ""1SCYQd7_cobOYqT0r_F0IqD4tE4rYn5y8Eup4PJTH8es"",
      ""Snapshot!A:M""
    ),
    9,
    FALSE
  ),
  0
)
"),1.0)</f>
        <v>1</v>
      </c>
      <c r="AJ44" s="54">
        <f>IFERROR(__xludf.DUMMYFUNCTION("IFERROR(
  VLOOKUP(
    A44,
    IMPORTRANGE(
      ""1SCYQd7_cobOYqT0r_F0IqD4tE4rYn5y8Eup4PJTH8es"",
      ""Snapshot!A:M""
    ),
    13,
    FALSE
  ),
  0
)
"),3.0)</f>
        <v>3</v>
      </c>
      <c r="AK44" s="49">
        <f t="shared" ref="AK44:AL44" si="215">LEN(C44)</f>
        <v>30</v>
      </c>
      <c r="AL44" s="49">
        <f t="shared" si="215"/>
        <v>62</v>
      </c>
    </row>
    <row r="45">
      <c r="A45" s="3" t="s">
        <v>554</v>
      </c>
      <c r="B45" s="1" t="str">
        <f>IFERROR(__xludf.DUMMYFUNCTION("IFERROR(
  VLOOKUP(
    A45,
    IMPORTRANGE(
      ""1ZygntHC1J6IxzKbTidmOyf5nUyW4GCLurHCjexrLm_o"",
      ""HTMLキャッシュ!A:F""
    ),
    2,
    FALSE
  ),
  0
)
"),"MC")</f>
        <v>MC</v>
      </c>
      <c r="C45" s="1" t="str">
        <f>IFERROR(__xludf.DUMMYFUNCTION("IFERROR(
  VLOOKUP(
    A45,
    IMPORTRANGE(
      ""1ZygntHC1J6IxzKbTidmOyf5nUyW4GCLurHCjexrLm_o"",
      ""HTMLキャッシュ!A:F""
    ),
    5,
    FALSE
  ),
  0
)
"),"国語の長文読解のコツ｜接続詞・指示語で説明文を迷わない｜中学受験国語")</f>
        <v>国語の長文読解のコツ｜接続詞・指示語で説明文を迷わない｜中学受験国語</v>
      </c>
      <c r="D45" s="1" t="str">
        <f>IFERROR(__xludf.DUMMYFUNCTION("IFERROR(
  VLOOKUP(
    A45,
    IMPORTRANGE(
      ""1ZygntHC1J6IxzKbTidmOyf5nUyW4GCLurHCjexrLm_o        "",
      ""HTMLキャッシュ!A:F""
    ),
    6,
    FALSE
  ),
  0
)
"),"中学受験の国語で長文が読めない／時間が足りないと感じたら、まず読む手がかりを固定します。説明文は接続詞（しかし・つまり・例えば等）と指示語で要点を追跡。物語文は背景→出来事→心情で整理し、ブレを減らす。語彙強化のコツもまとめ。")</f>
        <v>中学受験の国語で長文が読めない／時間が足りないと感じたら、まず読む手がかりを固定します。説明文は接続詞（しかし・つまり・例えば等）と指示語で要点を追跡。物語文は背景→出来事→心情で整理し、ブレを減らす。語彙強化のコツもまとめ。</v>
      </c>
      <c r="E45" s="32">
        <f>IFERROR(__xludf.DUMMYFUNCTION("IFERROR(
  VLOOKUP(
    A45,
    IMPORTRANGE(
      ""1ZygntHC1J6IxzKbTidmOyf5nUyW4GCLurHCjexrLm_o        "",
      ""HTMLキャッシュ!A:F""
    ),
    3,
    FALSE
  ),
  0
)
"),46078.84547453704)</f>
        <v>46078.84547</v>
      </c>
      <c r="F45" s="49">
        <f>IFERROR(__xludf.DUMMYFUNCTION("IFERROR(
  VLOOKUP(
    A45,
    IMPORTRANGE(
      ""1ZHMy3vVUd_0MrSduXTe1etBb1HNpAlGwQr006ljwMiM"",
      ""GSC最新!A:F""
    ),
    2,
    FALSE
  ),
  0
)
"),5.0)</f>
        <v>5</v>
      </c>
      <c r="G45" s="49">
        <f>IFERROR(__xludf.DUMMYFUNCTION("IFERROR(
  VLOOKUP(
    A45,
    IMPORTRANGE(
      ""1ZHMy3vVUd_0MrSduXTe1etBb1HNpAlGwQr006ljwMiM"",
      ""GSC最新!A:F""
    ),
    3,
    FALSE
  ),
  0
)
"),10.0)</f>
        <v>10</v>
      </c>
      <c r="H45" s="49">
        <f>IFERROR(__xludf.DUMMYFUNCTION("IFERROR(
  VLOOKUP(
    A45,
    IMPORTRANGE(
      ""1ZHMy3vVUd_0MrSduXTe1etBb1HNpAlGwQr006ljwMiM"",
      ""GSC最新!A:F""
    ),
    4,
    FALSE
  ),
  0
)
"),0.0)</f>
        <v>0</v>
      </c>
      <c r="I45" s="49">
        <f>IFERROR(__xludf.DUMMYFUNCTION("IFERROR(
  VLOOKUP(
    A45,
    IMPORTRANGE(
      ""1ZHMy3vVUd_0MrSduXTe1etBb1HNpAlGwQr006ljwMiM"",
      ""GSC最新!A:F""
    ),
    5,
    FALSE
  ),
  0
)
"),0.0)</f>
        <v>0</v>
      </c>
      <c r="J45" s="50" t="str">
        <f t="shared" ref="J45:K45" si="216">IFERROR(F45/H45,"-")</f>
        <v>-</v>
      </c>
      <c r="K45" s="50" t="str">
        <f t="shared" si="216"/>
        <v>-</v>
      </c>
      <c r="L45" s="6">
        <f>IFERROR(__xludf.DUMMYFUNCTION("IFERROR(
  VLOOKUP(
    A45,
    IMPORTRANGE(
      ""1ZHMy3vVUd_0MrSduXTe1etBb1HNpAlGwQr006ljwMiM"",
      ""GSC最新!A:R""
    ),
    7,
    FALSE
  ),
  0
)
"),1082.0)</f>
        <v>1082</v>
      </c>
      <c r="M45" s="6">
        <f>IFERROR(__xludf.DUMMYFUNCTION("IFERROR(
  VLOOKUP(
    A45,
    IMPORTRANGE(
      ""1ZHMy3vVUd_0MrSduXTe1etBb1HNpAlGwQr006ljwMiM"",
      ""GSC最新!A:R""
    ),
    10,
    FALSE
  ),
  0
)
"),1845.0)</f>
        <v>1845</v>
      </c>
      <c r="N45" s="6">
        <f>IFERROR(__xludf.DUMMYFUNCTION("IFERROR(
  VLOOKUP(
    A45,
    IMPORTRANGE(
      ""1ZHMy3vVUd_0MrSduXTe1etBb1HNpAlGwQr006ljwMiM"",
      ""GSC最新!A:R""
    ),
    13,
    FALSE
  ),
  0
)
"),129.0)</f>
        <v>129</v>
      </c>
      <c r="O45" s="6">
        <f>IFERROR(__xludf.DUMMYFUNCTION("IFERROR(
  VLOOKUP(
    A45,
    IMPORTRANGE(
      ""1ZHMy3vVUd_0MrSduXTe1etBb1HNpAlGwQr006ljwMiM"",
      ""GSC最新!A:R""
    ),
    16,
    FALSE
  ),
  0
)
"),383.0)</f>
        <v>383</v>
      </c>
      <c r="P45" s="51">
        <f t="shared" ref="P45:Q45" si="217">IFERROR(L45/N45,"-")</f>
        <v>8.387596899</v>
      </c>
      <c r="Q45" s="51">
        <f t="shared" si="217"/>
        <v>4.817232376</v>
      </c>
      <c r="R45" s="9">
        <f>IFERROR(__xludf.DUMMYFUNCTION("IFERROR(
  VLOOKUP(
    A45,
    IMPORTRANGE(
      ""1ZHMy3vVUd_0MrSduXTe1etBb1HNpAlGwQr006ljwMiM"",
      ""GSC最新!A:R""
    ),
    8,
    FALSE
  ),
  0
)
"),0.0046210720887245845)</f>
        <v>0.004621072089</v>
      </c>
      <c r="S45" s="9">
        <f>IFERROR(__xludf.DUMMYFUNCTION("IFERROR(
  VLOOKUP(
    A45,
    IMPORTRANGE(
      ""1ZHMy3vVUd_0MrSduXTe1etBb1HNpAlGwQr006ljwMiM"",
      ""GSC最新!A:R""
    ),
    11,
    FALSE
  ),
  0
)
"),0.005420054200542005)</f>
        <v>0.005420054201</v>
      </c>
      <c r="T45" s="9">
        <f>IFERROR(__xludf.DUMMYFUNCTION("IFERROR(
  VLOOKUP(
    A45,
    IMPORTRANGE(
      ""1ZHMy3vVUd_0MrSduXTe1etBb1HNpAlGwQr006ljwMiM"",
      ""GSC最新!A:R""
    ),
    14,
    FALSE
  ),
  0
)
"),0.0)</f>
        <v>0</v>
      </c>
      <c r="U45" s="9">
        <f>IFERROR(__xludf.DUMMYFUNCTION("IFERROR(
  VLOOKUP(
    A45,
    IMPORTRANGE(
      ""1ZHMy3vVUd_0MrSduXTe1etBb1HNpAlGwQr006ljwMiM"",
      ""GSC最新!A:R""
    ),
    17,
    FALSE
  ),
  0
)
"),0.0)</f>
        <v>0</v>
      </c>
      <c r="V45" s="9">
        <f t="shared" ref="V45:W45" si="218">IFERROR(R45-T45,"-")</f>
        <v>0.004621072089</v>
      </c>
      <c r="W45" s="9">
        <f t="shared" si="218"/>
        <v>0.005420054201</v>
      </c>
      <c r="X45" s="65">
        <f>IFERROR(__xludf.DUMMYFUNCTION("IFERROR(
  VLOOKUP(
    A45,
    IMPORTRANGE(
      ""1ZHMy3vVUd_0MrSduXTe1etBb1HNpAlGwQr006ljwMiM"",
      ""GSC最新!A:R""
    ),
    9,
    FALSE
  ),
  0
)
"),3.655268022181146)</f>
        <v>3.655268022</v>
      </c>
      <c r="Y45" s="65">
        <f>IFERROR(__xludf.DUMMYFUNCTION("IFERROR(
  VLOOKUP(
    A45,
    IMPORTRANGE(
      ""1ZHMy3vVUd_0MrSduXTe1etBb1HNpAlGwQr006ljwMiM"",
      ""GSC最新!A:R""
    ),
    12,
    FALSE
  ),
  0
)
"),3.6574525745257453)</f>
        <v>3.657452575</v>
      </c>
      <c r="Z45" s="65">
        <f>IFERROR(__xludf.DUMMYFUNCTION("IFERROR(
  VLOOKUP(
    A45,
    IMPORTRANGE(
      ""1ZHMy3vVUd_0MrSduXTe1etBb1HNpAlGwQr006ljwMiM"",
      ""GSC最新!A:R""
    ),
    15,
    FALSE
  ),
  0
)
"),16.728682170542633)</f>
        <v>16.72868217</v>
      </c>
      <c r="AA45" s="65">
        <f>IFERROR(__xludf.DUMMYFUNCTION("IFERROR(
  VLOOKUP(
    A45,
    IMPORTRANGE(
      ""1ZHMy3vVUd_0MrSduXTe1etBb1HNpAlGwQr006ljwMiM"",
      ""GSC最新!A:R""
    ),
    18,
    FALSE
  ),
  0
)
"),24.258485639686683)</f>
        <v>24.25848564</v>
      </c>
      <c r="AB45" s="65">
        <f t="shared" ref="AB45:AC45" si="219">X45-Z45</f>
        <v>-13.07341415</v>
      </c>
      <c r="AC45" s="65">
        <f t="shared" si="219"/>
        <v>-20.60103307</v>
      </c>
      <c r="AD45" s="53">
        <f>IFERROR(__xludf.DUMMYFUNCTION("IFERROR(
  VLOOKUP(
    A45,
    IMPORTRANGE(
      ""1ZHMy3vVUd_0MrSduXTe1etBb1HNpAlGwQr006ljwMiM"",
      ""GSC最新!A:F""
    ),
    6,
    FALSE
  ),
  0
)
"),46081.0)</f>
        <v>46081</v>
      </c>
      <c r="AE45" s="54">
        <f>IFERROR(__xludf.DUMMYFUNCTION("IFERROR(
  VLOOKUP(
    A45,
    IMPORTRANGE(
      ""1SCYQd7_cobOYqT0r_F0IqD4tE4rYn5y8Eup4PJTH8es"",
      ""Snapshot!A:M""
    ),
    5,
    FALSE
  ),
  ""-""
)
"),1.0)</f>
        <v>1</v>
      </c>
      <c r="AF45" s="54">
        <f>IFERROR(__xludf.DUMMYFUNCTION("IFERROR(
  VLOOKUP(
    A45,
    IMPORTRANGE(
      ""1SCYQd7_cobOYqT0r_F0IqD4tE4rYn5y8Eup4PJTH8es"",
      ""Snapshot!A:M""
    ),
    6,
    FALSE
  ),
  0
)
"),5.0)</f>
        <v>5</v>
      </c>
      <c r="AG45" s="54">
        <f>IFERROR(__xludf.DUMMYFUNCTION("IFERROR(
  VLOOKUP(
    A45,
    IMPORTRANGE(
      ""1SCYQd7_cobOYqT0r_F0IqD4tE4rYn5y8Eup4PJTH8es"",
      ""Snapshot!A:M""
    ),
    7,
    FALSE
  ),
  0
)
"),2050.0)</f>
        <v>2050</v>
      </c>
      <c r="AH45" s="54">
        <f>IFERROR(__xludf.DUMMYFUNCTION("IFERROR(
  VLOOKUP(
    A45,
    IMPORTRANGE(
      ""1SCYQd7_cobOYqT0r_F0IqD4tE4rYn5y8Eup4PJTH8es"",
      ""Snapshot!A:M""
    ),
    8,
    FALSE
  ),
  0
)
"),11.0)</f>
        <v>11</v>
      </c>
      <c r="AI45" s="54">
        <f>IFERROR(__xludf.DUMMYFUNCTION("IFERROR(
  VLOOKUP(
    A45,
    IMPORTRANGE(
      ""1SCYQd7_cobOYqT0r_F0IqD4tE4rYn5y8Eup4PJTH8es"",
      ""Snapshot!A:M""
    ),
    9,
    FALSE
  ),
  0
)
"),1.0)</f>
        <v>1</v>
      </c>
      <c r="AJ45" s="54">
        <f>IFERROR(__xludf.DUMMYFUNCTION("IFERROR(
  VLOOKUP(
    A45,
    IMPORTRANGE(
      ""1SCYQd7_cobOYqT0r_F0IqD4tE4rYn5y8Eup4PJTH8es"",
      ""Snapshot!A:M""
    ),
    13,
    FALSE
  ),
  0
)
"),3.0)</f>
        <v>3</v>
      </c>
      <c r="AK45" s="49">
        <f t="shared" ref="AK45:AL45" si="220">LEN(C45)</f>
        <v>34</v>
      </c>
      <c r="AL45" s="49">
        <f t="shared" si="220"/>
        <v>113</v>
      </c>
    </row>
    <row r="46">
      <c r="A46" s="3" t="s">
        <v>555</v>
      </c>
      <c r="B46" s="1" t="str">
        <f>IFERROR(__xludf.DUMMYFUNCTION("IFERROR(
  VLOOKUP(
    A46,
    IMPORTRANGE(
      ""1ZygntHC1J6IxzKbTidmOyf5nUyW4GCLurHCjexrLm_o"",
      ""HTMLキャッシュ!A:F""
    ),
    2,
    FALSE
  ),
  0
)
"),"MC")</f>
        <v>MC</v>
      </c>
      <c r="C46" s="1" t="str">
        <f>IFERROR(__xludf.DUMMYFUNCTION("IFERROR(
  VLOOKUP(
    A46,
    IMPORTRANGE(
      ""1ZygntHC1J6IxzKbTidmOyf5nUyW4GCLurHCjexrLm_o"",
      ""HTMLキャッシュ!A:F""
    ),
    5,
    FALSE
  ),
  0
)
"),"浅野中学校・令和３(2021)年度の過去問解説 - 受験国語専門 読解ラボ東京 | 中学受験・大学受験対応の個別指導国語専門塾（オンライン・教室対応）")</f>
        <v>浅野中学校・令和３(2021)年度の過去問解説 - 受験国語専門 読解ラボ東京 | 中学受験・大学受験対応の個別指導国語専門塾（オンライン・教室対応）</v>
      </c>
      <c r="D46" s="1" t="str">
        <f>IFERROR(__xludf.DUMMYFUNCTION("IFERROR(
  VLOOKUP(
    A46,
    IMPORTRANGE(
      ""1ZygntHC1J6IxzKbTidmOyf5nUyW4GCLurHCjexrLm_o        "",
      ""HTMLキャッシュ!A:F""
    ),
    6,
    FALSE
  ),
  0
)
"),"このページでは、浅野中学校・令和３年度入試（国語）から厳選した問題について、動画とあわせて解説します。 実際の")</f>
        <v>このページでは、浅野中学校・令和３年度入試（国語）から厳選した問題について、動画とあわせて解説します。 実際の</v>
      </c>
      <c r="E46" s="32">
        <f>IFERROR(__xludf.DUMMYFUNCTION("IFERROR(
  VLOOKUP(
    A46,
    IMPORTRANGE(
      ""1ZygntHC1J6IxzKbTidmOyf5nUyW4GCLurHCjexrLm_o        "",
      ""HTMLキャッシュ!A:F""
    ),
    3,
    FALSE
  ),
  0
)
"),46078.84476851852)</f>
        <v>46078.84477</v>
      </c>
      <c r="F46" s="49">
        <f>IFERROR(__xludf.DUMMYFUNCTION("IFERROR(
  VLOOKUP(
    A46,
    IMPORTRANGE(
      ""1ZHMy3vVUd_0MrSduXTe1etBb1HNpAlGwQr006ljwMiM"",
      ""GSC最新!A:F""
    ),
    2,
    FALSE
  ),
  0
)
"),3.0)</f>
        <v>3</v>
      </c>
      <c r="G46" s="49">
        <f>IFERROR(__xludf.DUMMYFUNCTION("IFERROR(
  VLOOKUP(
    A46,
    IMPORTRANGE(
      ""1ZHMy3vVUd_0MrSduXTe1etBb1HNpAlGwQr006ljwMiM"",
      ""GSC最新!A:F""
    ),
    3,
    FALSE
  ),
  0
)
"),9.0)</f>
        <v>9</v>
      </c>
      <c r="H46" s="49">
        <f>IFERROR(__xludf.DUMMYFUNCTION("IFERROR(
  VLOOKUP(
    A46,
    IMPORTRANGE(
      ""1ZHMy3vVUd_0MrSduXTe1etBb1HNpAlGwQr006ljwMiM"",
      ""GSC最新!A:F""
    ),
    4,
    FALSE
  ),
  0
)
"),2.0)</f>
        <v>2</v>
      </c>
      <c r="I46" s="49">
        <f>IFERROR(__xludf.DUMMYFUNCTION("IFERROR(
  VLOOKUP(
    A46,
    IMPORTRANGE(
      ""1ZHMy3vVUd_0MrSduXTe1etBb1HNpAlGwQr006ljwMiM"",
      ""GSC最新!A:F""
    ),
    5,
    FALSE
  ),
  0
)
"),6.0)</f>
        <v>6</v>
      </c>
      <c r="J46" s="50">
        <f t="shared" ref="J46:K46" si="221">IFERROR(F46/H46,"-")</f>
        <v>1.5</v>
      </c>
      <c r="K46" s="50">
        <f t="shared" si="221"/>
        <v>1.5</v>
      </c>
      <c r="L46" s="6">
        <f>IFERROR(__xludf.DUMMYFUNCTION("IFERROR(
  VLOOKUP(
    A46,
    IMPORTRANGE(
      ""1ZHMy3vVUd_0MrSduXTe1etBb1HNpAlGwQr006ljwMiM"",
      ""GSC最新!A:R""
    ),
    7,
    FALSE
  ),
  0
)
"),40.0)</f>
        <v>40</v>
      </c>
      <c r="M46" s="6">
        <f>IFERROR(__xludf.DUMMYFUNCTION("IFERROR(
  VLOOKUP(
    A46,
    IMPORTRANGE(
      ""1ZHMy3vVUd_0MrSduXTe1etBb1HNpAlGwQr006ljwMiM"",
      ""GSC最新!A:R""
    ),
    10,
    FALSE
  ),
  0
)
"),112.0)</f>
        <v>112</v>
      </c>
      <c r="N46" s="6">
        <f>IFERROR(__xludf.DUMMYFUNCTION("IFERROR(
  VLOOKUP(
    A46,
    IMPORTRANGE(
      ""1ZHMy3vVUd_0MrSduXTe1etBb1HNpAlGwQr006ljwMiM"",
      ""GSC最新!A:R""
    ),
    13,
    FALSE
  ),
  0
)
"),36.0)</f>
        <v>36</v>
      </c>
      <c r="O46" s="6">
        <f>IFERROR(__xludf.DUMMYFUNCTION("IFERROR(
  VLOOKUP(
    A46,
    IMPORTRANGE(
      ""1ZHMy3vVUd_0MrSduXTe1etBb1HNpAlGwQr006ljwMiM"",
      ""GSC最新!A:R""
    ),
    16,
    FALSE
  ),
  0
)
"),182.0)</f>
        <v>182</v>
      </c>
      <c r="P46" s="51">
        <f t="shared" ref="P46:Q46" si="222">IFERROR(L46/N46,"-")</f>
        <v>1.111111111</v>
      </c>
      <c r="Q46" s="51">
        <f t="shared" si="222"/>
        <v>0.6153846154</v>
      </c>
      <c r="R46" s="9">
        <f>IFERROR(__xludf.DUMMYFUNCTION("IFERROR(
  VLOOKUP(
    A46,
    IMPORTRANGE(
      ""1ZHMy3vVUd_0MrSduXTe1etBb1HNpAlGwQr006ljwMiM"",
      ""GSC最新!A:R""
    ),
    8,
    FALSE
  ),
  0
)
"),0.075)</f>
        <v>0.075</v>
      </c>
      <c r="S46" s="9">
        <f>IFERROR(__xludf.DUMMYFUNCTION("IFERROR(
  VLOOKUP(
    A46,
    IMPORTRANGE(
      ""1ZHMy3vVUd_0MrSduXTe1etBb1HNpAlGwQr006ljwMiM"",
      ""GSC最新!A:R""
    ),
    11,
    FALSE
  ),
  0
)
"),0.08035714285714286)</f>
        <v>0.08035714286</v>
      </c>
      <c r="T46" s="9">
        <f>IFERROR(__xludf.DUMMYFUNCTION("IFERROR(
  VLOOKUP(
    A46,
    IMPORTRANGE(
      ""1ZHMy3vVUd_0MrSduXTe1etBb1HNpAlGwQr006ljwMiM"",
      ""GSC最新!A:R""
    ),
    14,
    FALSE
  ),
  0
)
"),0.05555555555555555)</f>
        <v>0.05555555556</v>
      </c>
      <c r="U46" s="9">
        <f>IFERROR(__xludf.DUMMYFUNCTION("IFERROR(
  VLOOKUP(
    A46,
    IMPORTRANGE(
      ""1ZHMy3vVUd_0MrSduXTe1etBb1HNpAlGwQr006ljwMiM"",
      ""GSC最新!A:R""
    ),
    17,
    FALSE
  ),
  0
)
"),0.03296703296703297)</f>
        <v>0.03296703297</v>
      </c>
      <c r="V46" s="9">
        <f t="shared" ref="V46:W46" si="223">IFERROR(R46-T46,"-")</f>
        <v>0.01944444444</v>
      </c>
      <c r="W46" s="9">
        <f t="shared" si="223"/>
        <v>0.04739010989</v>
      </c>
      <c r="X46" s="65">
        <f>IFERROR(__xludf.DUMMYFUNCTION("IFERROR(
  VLOOKUP(
    A46,
    IMPORTRANGE(
      ""1ZHMy3vVUd_0MrSduXTe1etBb1HNpAlGwQr006ljwMiM"",
      ""GSC最新!A:R""
    ),
    9,
    FALSE
  ),
  0
)
"),13.6)</f>
        <v>13.6</v>
      </c>
      <c r="Y46" s="65">
        <f>IFERROR(__xludf.DUMMYFUNCTION("IFERROR(
  VLOOKUP(
    A46,
    IMPORTRANGE(
      ""1ZHMy3vVUd_0MrSduXTe1etBb1HNpAlGwQr006ljwMiM"",
      ""GSC最新!A:R""
    ),
    12,
    FALSE
  ),
  0
)
"),10.151785714285714)</f>
        <v>10.15178571</v>
      </c>
      <c r="Z46" s="65">
        <f>IFERROR(__xludf.DUMMYFUNCTION("IFERROR(
  VLOOKUP(
    A46,
    IMPORTRANGE(
      ""1ZHMy3vVUd_0MrSduXTe1etBb1HNpAlGwQr006ljwMiM"",
      ""GSC最新!A:R""
    ),
    15,
    FALSE
  ),
  0
)
"),32.97222222222222)</f>
        <v>32.97222222</v>
      </c>
      <c r="AA46" s="65">
        <f>IFERROR(__xludf.DUMMYFUNCTION("IFERROR(
  VLOOKUP(
    A46,
    IMPORTRANGE(
      ""1ZHMy3vVUd_0MrSduXTe1etBb1HNpAlGwQr006ljwMiM"",
      ""GSC最新!A:R""
    ),
    18,
    FALSE
  ),
  0
)
"),41.494505494505496)</f>
        <v>41.49450549</v>
      </c>
      <c r="AB46" s="65">
        <f t="shared" ref="AB46:AC46" si="224">X46-Z46</f>
        <v>-19.37222222</v>
      </c>
      <c r="AC46" s="65">
        <f t="shared" si="224"/>
        <v>-31.34271978</v>
      </c>
      <c r="AD46" s="53">
        <f>IFERROR(__xludf.DUMMYFUNCTION("IFERROR(
  VLOOKUP(
    A46,
    IMPORTRANGE(
      ""1ZHMy3vVUd_0MrSduXTe1etBb1HNpAlGwQr006ljwMiM"",
      ""GSC最新!A:F""
    ),
    6,
    FALSE
  ),
  0
)
"),46081.0)</f>
        <v>46081</v>
      </c>
      <c r="AE46" s="54">
        <f>IFERROR(__xludf.DUMMYFUNCTION("IFERROR(
  VLOOKUP(
    A46,
    IMPORTRANGE(
      ""1SCYQd7_cobOYqT0r_F0IqD4tE4rYn5y8Eup4PJTH8es"",
      ""Snapshot!A:M""
    ),
    5,
    FALSE
  ),
  ""-""
)
"),3.0)</f>
        <v>3</v>
      </c>
      <c r="AF46" s="54">
        <f>IFERROR(__xludf.DUMMYFUNCTION("IFERROR(
  VLOOKUP(
    A46,
    IMPORTRANGE(
      ""1SCYQd7_cobOYqT0r_F0IqD4tE4rYn5y8Eup4PJTH8es"",
      ""Snapshot!A:M""
    ),
    6,
    FALSE
  ),
  0
)
"),2.0)</f>
        <v>2</v>
      </c>
      <c r="AG46" s="54">
        <f>IFERROR(__xludf.DUMMYFUNCTION("IFERROR(
  VLOOKUP(
    A46,
    IMPORTRANGE(
      ""1SCYQd7_cobOYqT0r_F0IqD4tE4rYn5y8Eup4PJTH8es"",
      ""Snapshot!A:M""
    ),
    7,
    FALSE
  ),
  0
)
"),2371.0)</f>
        <v>2371</v>
      </c>
      <c r="AH46" s="54">
        <f>IFERROR(__xludf.DUMMYFUNCTION("IFERROR(
  VLOOKUP(
    A46,
    IMPORTRANGE(
      ""1SCYQd7_cobOYqT0r_F0IqD4tE4rYn5y8Eup4PJTH8es"",
      ""Snapshot!A:M""
    ),
    8,
    FALSE
  ),
  0
)
"),7.0)</f>
        <v>7</v>
      </c>
      <c r="AI46" s="54">
        <f>IFERROR(__xludf.DUMMYFUNCTION("IFERROR(
  VLOOKUP(
    A46,
    IMPORTRANGE(
      ""1SCYQd7_cobOYqT0r_F0IqD4tE4rYn5y8Eup4PJTH8es"",
      ""Snapshot!A:M""
    ),
    9,
    FALSE
  ),
  0
)
"),1.0)</f>
        <v>1</v>
      </c>
      <c r="AJ46" s="54">
        <f>IFERROR(__xludf.DUMMYFUNCTION("IFERROR(
  VLOOKUP(
    A46,
    IMPORTRANGE(
      ""1SCYQd7_cobOYqT0r_F0IqD4tE4rYn5y8Eup4PJTH8es"",
      ""Snapshot!A:M""
    ),
    13,
    FALSE
  ),
  0
)
"),3.0)</f>
        <v>3</v>
      </c>
      <c r="AK46" s="49">
        <f t="shared" ref="AK46:AL46" si="225">LEN(C46)</f>
        <v>75</v>
      </c>
      <c r="AL46" s="49">
        <f t="shared" si="225"/>
        <v>55</v>
      </c>
    </row>
    <row r="47">
      <c r="A47" s="3" t="s">
        <v>556</v>
      </c>
      <c r="B47" s="1" t="str">
        <f>IFERROR(__xludf.DUMMYFUNCTION("IFERROR(
  VLOOKUP(
    A47,
    IMPORTRANGE(
      ""1ZygntHC1J6IxzKbTidmOyf5nUyW4GCLurHCjexrLm_o"",
      ""HTMLキャッシュ!A:F""
    ),
    2,
    FALSE
  ),
  0
)
"),"MC")</f>
        <v>MC</v>
      </c>
      <c r="C47" s="1" t="str">
        <f>IFERROR(__xludf.DUMMYFUNCTION("IFERROR(
  VLOOKUP(
    A47,
    IMPORTRANGE(
      ""1ZygntHC1J6IxzKbTidmOyf5nUyW4GCLurHCjexrLm_o"",
      ""HTMLキャッシュ!A:F""
    ),
    5,
    FALSE
  ),
  0
)
"),"女子学院中 国語過去問解説｜記述・選択の解き方の型｜中学受験国語（令和3）")</f>
        <v>女子学院中 国語過去問解説｜記述・選択の解き方の型｜中学受験国語（令和3）</v>
      </c>
      <c r="D47" s="1" t="str">
        <f>IFERROR(__xludf.DUMMYFUNCTION("IFERROR(
  VLOOKUP(
    A47,
    IMPORTRANGE(
      ""1ZygntHC1J6IxzKbTidmOyf5nUyW4GCLurHCjexrLm_o        "",
      ""HTMLキャッシュ!A:F""
    ),
    6,
    FALSE
  ),
  0
)
"),"女子学院中2021年度（令和3）国語の重要設問を厳選し、解き方の「型」で解説。傍線部説明は本文中のイコール表現を探して言い換え、具体例選択は「ほぼイコール→選択肢照合」で処理します。女子学院志望の小6・保護者向け。")</f>
        <v>女子学院中2021年度（令和3）国語の重要設問を厳選し、解き方の「型」で解説。傍線部説明は本文中のイコール表現を探して言い換え、具体例選択は「ほぼイコール→選択肢照合」で処理します。女子学院志望の小6・保護者向け。</v>
      </c>
      <c r="E47" s="32">
        <f>IFERROR(__xludf.DUMMYFUNCTION("IFERROR(
  VLOOKUP(
    A47,
    IMPORTRANGE(
      ""1ZygntHC1J6IxzKbTidmOyf5nUyW4GCLurHCjexrLm_o        "",
      ""HTMLキャッシュ!A:F""
    ),
    3,
    FALSE
  ),
  0
)
"),46078.847719907404)</f>
        <v>46078.84772</v>
      </c>
      <c r="F47" s="49">
        <f>IFERROR(__xludf.DUMMYFUNCTION("IFERROR(
  VLOOKUP(
    A47,
    IMPORTRANGE(
      ""1ZHMy3vVUd_0MrSduXTe1etBb1HNpAlGwQr006ljwMiM"",
      ""GSC最新!A:F""
    ),
    2,
    FALSE
  ),
  0
)
"),1.0)</f>
        <v>1</v>
      </c>
      <c r="G47" s="49">
        <f>IFERROR(__xludf.DUMMYFUNCTION("IFERROR(
  VLOOKUP(
    A47,
    IMPORTRANGE(
      ""1ZHMy3vVUd_0MrSduXTe1etBb1HNpAlGwQr006ljwMiM"",
      ""GSC最新!A:F""
    ),
    3,
    FALSE
  ),
  0
)
"),9.0)</f>
        <v>9</v>
      </c>
      <c r="H47" s="49">
        <f>IFERROR(__xludf.DUMMYFUNCTION("IFERROR(
  VLOOKUP(
    A47,
    IMPORTRANGE(
      ""1ZHMy3vVUd_0MrSduXTe1etBb1HNpAlGwQr006ljwMiM"",
      ""GSC最新!A:F""
    ),
    4,
    FALSE
  ),
  0
)
"),2.0)</f>
        <v>2</v>
      </c>
      <c r="I47" s="49">
        <f>IFERROR(__xludf.DUMMYFUNCTION("IFERROR(
  VLOOKUP(
    A47,
    IMPORTRANGE(
      ""1ZHMy3vVUd_0MrSduXTe1etBb1HNpAlGwQr006ljwMiM"",
      ""GSC最新!A:F""
    ),
    5,
    FALSE
  ),
  0
)
"),3.0)</f>
        <v>3</v>
      </c>
      <c r="J47" s="50">
        <f t="shared" ref="J47:K47" si="226">IFERROR(F47/H47,"-")</f>
        <v>0.5</v>
      </c>
      <c r="K47" s="50">
        <f t="shared" si="226"/>
        <v>3</v>
      </c>
      <c r="L47" s="6">
        <f>IFERROR(__xludf.DUMMYFUNCTION("IFERROR(
  VLOOKUP(
    A47,
    IMPORTRANGE(
      ""1ZHMy3vVUd_0MrSduXTe1etBb1HNpAlGwQr006ljwMiM"",
      ""GSC最新!A:R""
    ),
    7,
    FALSE
  ),
  0
)
"),26.0)</f>
        <v>26</v>
      </c>
      <c r="M47" s="6">
        <f>IFERROR(__xludf.DUMMYFUNCTION("IFERROR(
  VLOOKUP(
    A47,
    IMPORTRANGE(
      ""1ZHMy3vVUd_0MrSduXTe1etBb1HNpAlGwQr006ljwMiM"",
      ""GSC最新!A:R""
    ),
    10,
    FALSE
  ),
  0
)
"),94.0)</f>
        <v>94</v>
      </c>
      <c r="N47" s="6">
        <f>IFERROR(__xludf.DUMMYFUNCTION("IFERROR(
  VLOOKUP(
    A47,
    IMPORTRANGE(
      ""1ZHMy3vVUd_0MrSduXTe1etBb1HNpAlGwQr006ljwMiM"",
      ""GSC最新!A:R""
    ),
    13,
    FALSE
  ),
  0
)
"),85.0)</f>
        <v>85</v>
      </c>
      <c r="O47" s="6">
        <f>IFERROR(__xludf.DUMMYFUNCTION("IFERROR(
  VLOOKUP(
    A47,
    IMPORTRANGE(
      ""1ZHMy3vVUd_0MrSduXTe1etBb1HNpAlGwQr006ljwMiM"",
      ""GSC最新!A:R""
    ),
    16,
    FALSE
  ),
  0
)
"),242.0)</f>
        <v>242</v>
      </c>
      <c r="P47" s="51">
        <f t="shared" ref="P47:Q47" si="227">IFERROR(L47/N47,"-")</f>
        <v>0.3058823529</v>
      </c>
      <c r="Q47" s="51">
        <f t="shared" si="227"/>
        <v>0.3884297521</v>
      </c>
      <c r="R47" s="9">
        <f>IFERROR(__xludf.DUMMYFUNCTION("IFERROR(
  VLOOKUP(
    A47,
    IMPORTRANGE(
      ""1ZHMy3vVUd_0MrSduXTe1etBb1HNpAlGwQr006ljwMiM"",
      ""GSC最新!A:R""
    ),
    8,
    FALSE
  ),
  0
)
"),0.038461538461538464)</f>
        <v>0.03846153846</v>
      </c>
      <c r="S47" s="9">
        <f>IFERROR(__xludf.DUMMYFUNCTION("IFERROR(
  VLOOKUP(
    A47,
    IMPORTRANGE(
      ""1ZHMy3vVUd_0MrSduXTe1etBb1HNpAlGwQr006ljwMiM"",
      ""GSC最新!A:R""
    ),
    11,
    FALSE
  ),
  0
)
"),0.09574468085106383)</f>
        <v>0.09574468085</v>
      </c>
      <c r="T47" s="9">
        <f>IFERROR(__xludf.DUMMYFUNCTION("IFERROR(
  VLOOKUP(
    A47,
    IMPORTRANGE(
      ""1ZHMy3vVUd_0MrSduXTe1etBb1HNpAlGwQr006ljwMiM"",
      ""GSC最新!A:R""
    ),
    14,
    FALSE
  ),
  0
)
"),0.023529411764705882)</f>
        <v>0.02352941176</v>
      </c>
      <c r="U47" s="9">
        <f>IFERROR(__xludf.DUMMYFUNCTION("IFERROR(
  VLOOKUP(
    A47,
    IMPORTRANGE(
      ""1ZHMy3vVUd_0MrSduXTe1etBb1HNpAlGwQr006ljwMiM"",
      ""GSC最新!A:R""
    ),
    17,
    FALSE
  ),
  0
)
"),0.012396694214876033)</f>
        <v>0.01239669421</v>
      </c>
      <c r="V47" s="9">
        <f t="shared" ref="V47:W47" si="228">IFERROR(R47-T47,"-")</f>
        <v>0.0149321267</v>
      </c>
      <c r="W47" s="9">
        <f t="shared" si="228"/>
        <v>0.08334798664</v>
      </c>
      <c r="X47" s="65">
        <f>IFERROR(__xludf.DUMMYFUNCTION("IFERROR(
  VLOOKUP(
    A47,
    IMPORTRANGE(
      ""1ZHMy3vVUd_0MrSduXTe1etBb1HNpAlGwQr006ljwMiM"",
      ""GSC最新!A:R""
    ),
    9,
    FALSE
  ),
  0
)
"),8.807692307692307)</f>
        <v>8.807692308</v>
      </c>
      <c r="Y47" s="65">
        <f>IFERROR(__xludf.DUMMYFUNCTION("IFERROR(
  VLOOKUP(
    A47,
    IMPORTRANGE(
      ""1ZHMy3vVUd_0MrSduXTe1etBb1HNpAlGwQr006ljwMiM"",
      ""GSC最新!A:R""
    ),
    12,
    FALSE
  ),
  0
)
"),10.74468085106383)</f>
        <v>10.74468085</v>
      </c>
      <c r="Z47" s="65">
        <f>IFERROR(__xludf.DUMMYFUNCTION("IFERROR(
  VLOOKUP(
    A47,
    IMPORTRANGE(
      ""1ZHMy3vVUd_0MrSduXTe1etBb1HNpAlGwQr006ljwMiM"",
      ""GSC最新!A:R""
    ),
    15,
    FALSE
  ),
  0
)
"),64.61176470588235)</f>
        <v>64.61176471</v>
      </c>
      <c r="AA47" s="65">
        <f>IFERROR(__xludf.DUMMYFUNCTION("IFERROR(
  VLOOKUP(
    A47,
    IMPORTRANGE(
      ""1ZHMy3vVUd_0MrSduXTe1etBb1HNpAlGwQr006ljwMiM"",
      ""GSC最新!A:R""
    ),
    18,
    FALSE
  ),
  0
)
"),65.61157024793388)</f>
        <v>65.61157025</v>
      </c>
      <c r="AB47" s="65">
        <f t="shared" ref="AB47:AC47" si="229">X47-Z47</f>
        <v>-55.8040724</v>
      </c>
      <c r="AC47" s="65">
        <f t="shared" si="229"/>
        <v>-54.8668894</v>
      </c>
      <c r="AD47" s="53">
        <f>IFERROR(__xludf.DUMMYFUNCTION("IFERROR(
  VLOOKUP(
    A47,
    IMPORTRANGE(
      ""1ZHMy3vVUd_0MrSduXTe1etBb1HNpAlGwQr006ljwMiM"",
      ""GSC最新!A:F""
    ),
    6,
    FALSE
  ),
  0
)
"),46081.0)</f>
        <v>46081</v>
      </c>
      <c r="AE47" s="54">
        <f>IFERROR(__xludf.DUMMYFUNCTION("IFERROR(
  VLOOKUP(
    A47,
    IMPORTRANGE(
      ""1SCYQd7_cobOYqT0r_F0IqD4tE4rYn5y8Eup4PJTH8es"",
      ""Snapshot!A:M""
    ),
    5,
    FALSE
  ),
  ""-""
)
"),3.0)</f>
        <v>3</v>
      </c>
      <c r="AF47" s="54">
        <f>IFERROR(__xludf.DUMMYFUNCTION("IFERROR(
  VLOOKUP(
    A47,
    IMPORTRANGE(
      ""1SCYQd7_cobOYqT0r_F0IqD4tE4rYn5y8Eup4PJTH8es"",
      ""Snapshot!A:M""
    ),
    6,
    FALSE
  ),
  0
)
"),6.0)</f>
        <v>6</v>
      </c>
      <c r="AG47" s="54">
        <f>IFERROR(__xludf.DUMMYFUNCTION("IFERROR(
  VLOOKUP(
    A47,
    IMPORTRANGE(
      ""1SCYQd7_cobOYqT0r_F0IqD4tE4rYn5y8Eup4PJTH8es"",
      ""Snapshot!A:M""
    ),
    7,
    FALSE
  ),
  0
)
"),2011.0)</f>
        <v>2011</v>
      </c>
      <c r="AH47" s="54">
        <f>IFERROR(__xludf.DUMMYFUNCTION("IFERROR(
  VLOOKUP(
    A47,
    IMPORTRANGE(
      ""1SCYQd7_cobOYqT0r_F0IqD4tE4rYn5y8Eup4PJTH8es"",
      ""Snapshot!A:M""
    ),
    8,
    FALSE
  ),
  0
)
"),7.0)</f>
        <v>7</v>
      </c>
      <c r="AI47" s="54">
        <f>IFERROR(__xludf.DUMMYFUNCTION("IFERROR(
  VLOOKUP(
    A47,
    IMPORTRANGE(
      ""1SCYQd7_cobOYqT0r_F0IqD4tE4rYn5y8Eup4PJTH8es"",
      ""Snapshot!A:M""
    ),
    9,
    FALSE
  ),
  0
)
"),2.0)</f>
        <v>2</v>
      </c>
      <c r="AJ47" s="54">
        <f>IFERROR(__xludf.DUMMYFUNCTION("IFERROR(
  VLOOKUP(
    A47,
    IMPORTRANGE(
      ""1SCYQd7_cobOYqT0r_F0IqD4tE4rYn5y8Eup4PJTH8es"",
      ""Snapshot!A:M""
    ),
    13,
    FALSE
  ),
  0
)
"),3.0)</f>
        <v>3</v>
      </c>
      <c r="AK47" s="49">
        <f t="shared" ref="AK47:AL47" si="230">LEN(C47)</f>
        <v>37</v>
      </c>
      <c r="AL47" s="49">
        <f t="shared" si="230"/>
        <v>107</v>
      </c>
    </row>
    <row r="48">
      <c r="A48" s="3" t="s">
        <v>557</v>
      </c>
      <c r="B48" s="1" t="str">
        <f>IFERROR(__xludf.DUMMYFUNCTION("IFERROR(
  VLOOKUP(
    A48,
    IMPORTRANGE(
      ""1ZygntHC1J6IxzKbTidmOyf5nUyW4GCLurHCjexrLm_o"",
      ""HTMLキャッシュ!A:F""
    ),
    2,
    FALSE
  ),
  0
)
"),"MC")</f>
        <v>MC</v>
      </c>
      <c r="C48" s="1" t="str">
        <f>IFERROR(__xludf.DUMMYFUNCTION("IFERROR(
  VLOOKUP(
    A48,
    IMPORTRANGE(
      ""1ZygntHC1J6IxzKbTidmOyf5nUyW4GCLurHCjexrLm_o"",
      ""HTMLキャッシュ!A:F""
    ),
    5,
    FALSE
  ),
  0
)
"),"桜蔭国語が難しい理由｜記述の型で減点止め｜2021過去問")</f>
        <v>桜蔭国語が難しい理由｜記述の型で減点止め｜2021過去問</v>
      </c>
      <c r="D48" s="1" t="str">
        <f>IFERROR(__xludf.DUMMYFUNCTION("IFERROR(
  VLOOKUP(
    A48,
    IMPORTRANGE(
      ""1ZygntHC1J6IxzKbTidmOyf5nUyW4GCLurHCjexrLm_o        "",
      ""HTMLキャッシュ!A:F""
    ),
    6,
    FALSE
  ),
  0
)
"),"桜蔭国語が難しい原因は記述の要素落ち。2021過去問で根拠→言い換え→字数→心情の型を動画付きで確認し、減点を止める勉強法を整理。")</f>
        <v>桜蔭国語が難しい原因は記述の要素落ち。2021過去問で根拠→言い換え→字数→心情の型を動画付きで確認し、減点を止める勉強法を整理。</v>
      </c>
      <c r="E48" s="32">
        <f>IFERROR(__xludf.DUMMYFUNCTION("IFERROR(
  VLOOKUP(
    A48,
    IMPORTRANGE(
      ""1ZygntHC1J6IxzKbTidmOyf5nUyW4GCLurHCjexrLm_o        "",
      ""HTMLキャッシュ!A:F""
    ),
    3,
    FALSE
  ),
  0
)
"),46078.84747685185)</f>
        <v>46078.84748</v>
      </c>
      <c r="F48" s="49">
        <f>IFERROR(__xludf.DUMMYFUNCTION("IFERROR(
  VLOOKUP(
    A48,
    IMPORTRANGE(
      ""1ZHMy3vVUd_0MrSduXTe1etBb1HNpAlGwQr006ljwMiM"",
      ""GSC最新!A:F""
    ),
    2,
    FALSE
  ),
  0
)
"),3.0)</f>
        <v>3</v>
      </c>
      <c r="G48" s="49">
        <f>IFERROR(__xludf.DUMMYFUNCTION("IFERROR(
  VLOOKUP(
    A48,
    IMPORTRANGE(
      ""1ZHMy3vVUd_0MrSduXTe1etBb1HNpAlGwQr006ljwMiM"",
      ""GSC最新!A:F""
    ),
    3,
    FALSE
  ),
  0
)
"),9.0)</f>
        <v>9</v>
      </c>
      <c r="H48" s="49">
        <f>IFERROR(__xludf.DUMMYFUNCTION("IFERROR(
  VLOOKUP(
    A48,
    IMPORTRANGE(
      ""1ZHMy3vVUd_0MrSduXTe1etBb1HNpAlGwQr006ljwMiM"",
      ""GSC最新!A:F""
    ),
    4,
    FALSE
  ),
  0
)
"),3.0)</f>
        <v>3</v>
      </c>
      <c r="I48" s="49">
        <f>IFERROR(__xludf.DUMMYFUNCTION("IFERROR(
  VLOOKUP(
    A48,
    IMPORTRANGE(
      ""1ZHMy3vVUd_0MrSduXTe1etBb1HNpAlGwQr006ljwMiM"",
      ""GSC最新!A:F""
    ),
    5,
    FALSE
  ),
  0
)
"),7.0)</f>
        <v>7</v>
      </c>
      <c r="J48" s="50">
        <f t="shared" ref="J48:K48" si="231">IFERROR(F48/H48,"-")</f>
        <v>1</v>
      </c>
      <c r="K48" s="50">
        <f t="shared" si="231"/>
        <v>1.285714286</v>
      </c>
      <c r="L48" s="6">
        <f>IFERROR(__xludf.DUMMYFUNCTION("IFERROR(
  VLOOKUP(
    A48,
    IMPORTRANGE(
      ""1ZHMy3vVUd_0MrSduXTe1etBb1HNpAlGwQr006ljwMiM"",
      ""GSC最新!A:R""
    ),
    7,
    FALSE
  ),
  0
)
"),119.0)</f>
        <v>119</v>
      </c>
      <c r="M48" s="6">
        <f>IFERROR(__xludf.DUMMYFUNCTION("IFERROR(
  VLOOKUP(
    A48,
    IMPORTRANGE(
      ""1ZHMy3vVUd_0MrSduXTe1etBb1HNpAlGwQr006ljwMiM"",
      ""GSC最新!A:R""
    ),
    10,
    FALSE
  ),
  0
)
"),275.0)</f>
        <v>275</v>
      </c>
      <c r="N48" s="6">
        <f>IFERROR(__xludf.DUMMYFUNCTION("IFERROR(
  VLOOKUP(
    A48,
    IMPORTRANGE(
      ""1ZHMy3vVUd_0MrSduXTe1etBb1HNpAlGwQr006ljwMiM"",
      ""GSC最新!A:R""
    ),
    13,
    FALSE
  ),
  0
)
"),88.0)</f>
        <v>88</v>
      </c>
      <c r="O48" s="6">
        <f>IFERROR(__xludf.DUMMYFUNCTION("IFERROR(
  VLOOKUP(
    A48,
    IMPORTRANGE(
      ""1ZHMy3vVUd_0MrSduXTe1etBb1HNpAlGwQr006ljwMiM"",
      ""GSC最新!A:R""
    ),
    16,
    FALSE
  ),
  0
)
"),553.0)</f>
        <v>553</v>
      </c>
      <c r="P48" s="51">
        <f t="shared" ref="P48:Q48" si="232">IFERROR(L48/N48,"-")</f>
        <v>1.352272727</v>
      </c>
      <c r="Q48" s="51">
        <f t="shared" si="232"/>
        <v>0.4972875226</v>
      </c>
      <c r="R48" s="9">
        <f>IFERROR(__xludf.DUMMYFUNCTION("IFERROR(
  VLOOKUP(
    A48,
    IMPORTRANGE(
      ""1ZHMy3vVUd_0MrSduXTe1etBb1HNpAlGwQr006ljwMiM"",
      ""GSC最新!A:R""
    ),
    8,
    FALSE
  ),
  0
)
"),0.025210084033613446)</f>
        <v>0.02521008403</v>
      </c>
      <c r="S48" s="9">
        <f>IFERROR(__xludf.DUMMYFUNCTION("IFERROR(
  VLOOKUP(
    A48,
    IMPORTRANGE(
      ""1ZHMy3vVUd_0MrSduXTe1etBb1HNpAlGwQr006ljwMiM"",
      ""GSC最新!A:R""
    ),
    11,
    FALSE
  ),
  0
)
"),0.03272727272727273)</f>
        <v>0.03272727273</v>
      </c>
      <c r="T48" s="9">
        <f>IFERROR(__xludf.DUMMYFUNCTION("IFERROR(
  VLOOKUP(
    A48,
    IMPORTRANGE(
      ""1ZHMy3vVUd_0MrSduXTe1etBb1HNpAlGwQr006ljwMiM"",
      ""GSC最新!A:R""
    ),
    14,
    FALSE
  ),
  0
)
"),0.03409090909090909)</f>
        <v>0.03409090909</v>
      </c>
      <c r="U48" s="9">
        <f>IFERROR(__xludf.DUMMYFUNCTION("IFERROR(
  VLOOKUP(
    A48,
    IMPORTRANGE(
      ""1ZHMy3vVUd_0MrSduXTe1etBb1HNpAlGwQr006ljwMiM"",
      ""GSC最新!A:R""
    ),
    17,
    FALSE
  ),
  0
)
"),0.012658227848101266)</f>
        <v>0.01265822785</v>
      </c>
      <c r="V48" s="9">
        <f t="shared" ref="V48:W48" si="233">IFERROR(R48-T48,"-")</f>
        <v>-0.008880825057</v>
      </c>
      <c r="W48" s="9">
        <f t="shared" si="233"/>
        <v>0.02006904488</v>
      </c>
      <c r="X48" s="65">
        <f>IFERROR(__xludf.DUMMYFUNCTION("IFERROR(
  VLOOKUP(
    A48,
    IMPORTRANGE(
      ""1ZHMy3vVUd_0MrSduXTe1etBb1HNpAlGwQr006ljwMiM"",
      ""GSC最新!A:R""
    ),
    9,
    FALSE
  ),
  0
)
"),9.268907563025211)</f>
        <v>9.268907563</v>
      </c>
      <c r="Y48" s="65">
        <f>IFERROR(__xludf.DUMMYFUNCTION("IFERROR(
  VLOOKUP(
    A48,
    IMPORTRANGE(
      ""1ZHMy3vVUd_0MrSduXTe1etBb1HNpAlGwQr006ljwMiM"",
      ""GSC最新!A:R""
    ),
    12,
    FALSE
  ),
  0
)
"),9.501818181818182)</f>
        <v>9.501818182</v>
      </c>
      <c r="Z48" s="65">
        <f>IFERROR(__xludf.DUMMYFUNCTION("IFERROR(
  VLOOKUP(
    A48,
    IMPORTRANGE(
      ""1ZHMy3vVUd_0MrSduXTe1etBb1HNpAlGwQr006ljwMiM"",
      ""GSC最新!A:R""
    ),
    15,
    FALSE
  ),
  0
)
"),27.21590909090909)</f>
        <v>27.21590909</v>
      </c>
      <c r="AA48" s="65">
        <f>IFERROR(__xludf.DUMMYFUNCTION("IFERROR(
  VLOOKUP(
    A48,
    IMPORTRANGE(
      ""1ZHMy3vVUd_0MrSduXTe1etBb1HNpAlGwQr006ljwMiM"",
      ""GSC最新!A:R""
    ),
    18,
    FALSE
  ),
  0
)
"),39.3128390596745)</f>
        <v>39.31283906</v>
      </c>
      <c r="AB48" s="65">
        <f t="shared" ref="AB48:AC48" si="234">X48-Z48</f>
        <v>-17.94700153</v>
      </c>
      <c r="AC48" s="65">
        <f t="shared" si="234"/>
        <v>-29.81102088</v>
      </c>
      <c r="AD48" s="53">
        <f>IFERROR(__xludf.DUMMYFUNCTION("IFERROR(
  VLOOKUP(
    A48,
    IMPORTRANGE(
      ""1ZHMy3vVUd_0MrSduXTe1etBb1HNpAlGwQr006ljwMiM"",
      ""GSC最新!A:F""
    ),
    6,
    FALSE
  ),
  0
)
"),46081.0)</f>
        <v>46081</v>
      </c>
      <c r="AE48" s="54">
        <f>IFERROR(__xludf.DUMMYFUNCTION("IFERROR(
  VLOOKUP(
    A48,
    IMPORTRANGE(
      ""1SCYQd7_cobOYqT0r_F0IqD4tE4rYn5y8Eup4PJTH8es"",
      ""Snapshot!A:M""
    ),
    5,
    FALSE
  ),
  ""-""
)
"),9.0)</f>
        <v>9</v>
      </c>
      <c r="AF48" s="54">
        <f>IFERROR(__xludf.DUMMYFUNCTION("IFERROR(
  VLOOKUP(
    A48,
    IMPORTRANGE(
      ""1SCYQd7_cobOYqT0r_F0IqD4tE4rYn5y8Eup4PJTH8es"",
      ""Snapshot!A:M""
    ),
    6,
    FALSE
  ),
  0
)
"),13.0)</f>
        <v>13</v>
      </c>
      <c r="AG48" s="54">
        <f>IFERROR(__xludf.DUMMYFUNCTION("IFERROR(
  VLOOKUP(
    A48,
    IMPORTRANGE(
      ""1SCYQd7_cobOYqT0r_F0IqD4tE4rYn5y8Eup4PJTH8es"",
      ""Snapshot!A:M""
    ),
    7,
    FALSE
  ),
  0
)
"),4024.0)</f>
        <v>4024</v>
      </c>
      <c r="AH48" s="54">
        <f>IFERROR(__xludf.DUMMYFUNCTION("IFERROR(
  VLOOKUP(
    A48,
    IMPORTRANGE(
      ""1SCYQd7_cobOYqT0r_F0IqD4tE4rYn5y8Eup4PJTH8es"",
      ""Snapshot!A:M""
    ),
    8,
    FALSE
  ),
  0
)
"),8.0)</f>
        <v>8</v>
      </c>
      <c r="AI48" s="54">
        <f>IFERROR(__xludf.DUMMYFUNCTION("IFERROR(
  VLOOKUP(
    A48,
    IMPORTRANGE(
      ""1SCYQd7_cobOYqT0r_F0IqD4tE4rYn5y8Eup4PJTH8es"",
      ""Snapshot!A:M""
    ),
    9,
    FALSE
  ),
  0
)
"),3.0)</f>
        <v>3</v>
      </c>
      <c r="AJ48" s="54">
        <f>IFERROR(__xludf.DUMMYFUNCTION("IFERROR(
  VLOOKUP(
    A48,
    IMPORTRANGE(
      ""1SCYQd7_cobOYqT0r_F0IqD4tE4rYn5y8Eup4PJTH8es"",
      ""Snapshot!A:M""
    ),
    13,
    FALSE
  ),
  0
)
"),3.0)</f>
        <v>3</v>
      </c>
      <c r="AK48" s="49">
        <f t="shared" ref="AK48:AL48" si="235">LEN(C48)</f>
        <v>28</v>
      </c>
      <c r="AL48" s="49">
        <f t="shared" si="235"/>
        <v>65</v>
      </c>
    </row>
    <row r="49">
      <c r="A49" s="56" t="s">
        <v>558</v>
      </c>
      <c r="B49" s="1" t="str">
        <f>IFERROR(__xludf.DUMMYFUNCTION("IFERROR(
  VLOOKUP(
    A49,
    IMPORTRANGE(
      ""1ZygntHC1J6IxzKbTidmOyf5nUyW4GCLurHCjexrLm_o"",
      ""HTMLキャッシュ!A:F""
    ),
    2,
    FALSE
  ),
  0
)
"),"SC")</f>
        <v>SC</v>
      </c>
      <c r="C49" s="1" t="str">
        <f>IFERROR(__xludf.DUMMYFUNCTION("IFERROR(
  VLOOKUP(
    A49,
    IMPORTRANGE(
      ""1ZygntHC1J6IxzKbTidmOyf5nUyW4GCLurHCjexrLm_o"",
      ""HTMLキャッシュ!A:F""
    ),
    5,
    FALSE
  ),
  0
)
"),"日能研国語の取りこぼし｜選択肢で迷う・記述が抜ける｜中学受験")</f>
        <v>日能研国語の取りこぼし｜選択肢で迷う・記述が抜ける｜中学受験</v>
      </c>
      <c r="D49" s="1" t="str">
        <f>IFERROR(__xludf.DUMMYFUNCTION("IFERROR(
  VLOOKUP(
    A49,
    IMPORTRANGE(
      ""1ZygntHC1J6IxzKbTidmOyf5nUyW4GCLurHCjexrLm_o        "",
      ""HTMLキャッシュ!A:F""
    ),
    6,
    FALSE
  ),
  0
)
"),"選択肢で迷う時間が長い、傍線部近くだけで処理してズレる、記述で要素が落ちる。最新入試で必要な処理を、日能研の土台に上乗せする視点でまとめます。")</f>
        <v>選択肢で迷う時間が長い、傍線部近くだけで処理してズレる、記述で要素が落ちる。最新入試で必要な処理を、日能研の土台に上乗せする視点でまとめます。</v>
      </c>
      <c r="E49" s="32">
        <f>IFERROR(__xludf.DUMMYFUNCTION("IFERROR(
  VLOOKUP(
    A49,
    IMPORTRANGE(
      ""1ZygntHC1J6IxzKbTidmOyf5nUyW4GCLurHCjexrLm_o        "",
      ""HTMLキャッシュ!A:F""
    ),
    3,
    FALSE
  ),
  0
)
"),46078.607453703706)</f>
        <v>46078.60745</v>
      </c>
      <c r="F49" s="49">
        <f>IFERROR(__xludf.DUMMYFUNCTION("IFERROR(
  VLOOKUP(
    A49,
    IMPORTRANGE(
      ""1ZHMy3vVUd_0MrSduXTe1etBb1HNpAlGwQr006ljwMiM"",
      ""GSC最新!A:F""
    ),
    2,
    FALSE
  ),
  0
)
"),7.0)</f>
        <v>7</v>
      </c>
      <c r="G49" s="49">
        <f>IFERROR(__xludf.DUMMYFUNCTION("IFERROR(
  VLOOKUP(
    A49,
    IMPORTRANGE(
      ""1ZHMy3vVUd_0MrSduXTe1etBb1HNpAlGwQr006ljwMiM"",
      ""GSC最新!A:F""
    ),
    3,
    FALSE
  ),
  0
)
"),10.0)</f>
        <v>10</v>
      </c>
      <c r="H49" s="49">
        <f>IFERROR(__xludf.DUMMYFUNCTION("IFERROR(
  VLOOKUP(
    A49,
    IMPORTRANGE(
      ""1ZHMy3vVUd_0MrSduXTe1etBb1HNpAlGwQr006ljwMiM"",
      ""GSC最新!A:F""
    ),
    4,
    FALSE
  ),
  0
)
"),0.0)</f>
        <v>0</v>
      </c>
      <c r="I49" s="49">
        <f>IFERROR(__xludf.DUMMYFUNCTION("IFERROR(
  VLOOKUP(
    A49,
    IMPORTRANGE(
      ""1ZHMy3vVUd_0MrSduXTe1etBb1HNpAlGwQr006ljwMiM"",
      ""GSC最新!A:F""
    ),
    5,
    FALSE
  ),
  0
)
"),0.0)</f>
        <v>0</v>
      </c>
      <c r="J49" s="50" t="str">
        <f t="shared" ref="J49:K49" si="236">IFERROR(F49/H49,"-")</f>
        <v>-</v>
      </c>
      <c r="K49" s="50" t="str">
        <f t="shared" si="236"/>
        <v>-</v>
      </c>
      <c r="L49" s="6">
        <f>IFERROR(__xludf.DUMMYFUNCTION("IFERROR(
  VLOOKUP(
    A49,
    IMPORTRANGE(
      ""1ZHMy3vVUd_0MrSduXTe1etBb1HNpAlGwQr006ljwMiM"",
      ""GSC最新!A:R""
    ),
    7,
    FALSE
  ),
  0
)
"),127.0)</f>
        <v>127</v>
      </c>
      <c r="M49" s="6">
        <f>IFERROR(__xludf.DUMMYFUNCTION("IFERROR(
  VLOOKUP(
    A49,
    IMPORTRANGE(
      ""1ZHMy3vVUd_0MrSduXTe1etBb1HNpAlGwQr006ljwMiM"",
      ""GSC最新!A:R""
    ),
    10,
    FALSE
  ),
  0
)
"),147.0)</f>
        <v>147</v>
      </c>
      <c r="N49" s="6">
        <f>IFERROR(__xludf.DUMMYFUNCTION("IFERROR(
  VLOOKUP(
    A49,
    IMPORTRANGE(
      ""1ZHMy3vVUd_0MrSduXTe1etBb1HNpAlGwQr006ljwMiM"",
      ""GSC最新!A:R""
    ),
    13,
    FALSE
  ),
  0
)
"),0.0)</f>
        <v>0</v>
      </c>
      <c r="O49" s="6">
        <f>IFERROR(__xludf.DUMMYFUNCTION("IFERROR(
  VLOOKUP(
    A49,
    IMPORTRANGE(
      ""1ZHMy3vVUd_0MrSduXTe1etBb1HNpAlGwQr006ljwMiM"",
      ""GSC最新!A:R""
    ),
    16,
    FALSE
  ),
  0
)
"),0.0)</f>
        <v>0</v>
      </c>
      <c r="P49" s="51" t="str">
        <f t="shared" ref="P49:Q49" si="237">IFERROR(L49/N49,"-")</f>
        <v>-</v>
      </c>
      <c r="Q49" s="51" t="str">
        <f t="shared" si="237"/>
        <v>-</v>
      </c>
      <c r="R49" s="9">
        <f>IFERROR(__xludf.DUMMYFUNCTION("IFERROR(
  VLOOKUP(
    A49,
    IMPORTRANGE(
      ""1ZHMy3vVUd_0MrSduXTe1etBb1HNpAlGwQr006ljwMiM"",
      ""GSC最新!A:R""
    ),
    8,
    FALSE
  ),
  0
)
"),0.05511811023622047)</f>
        <v>0.05511811024</v>
      </c>
      <c r="S49" s="9">
        <f>IFERROR(__xludf.DUMMYFUNCTION("IFERROR(
  VLOOKUP(
    A49,
    IMPORTRANGE(
      ""1ZHMy3vVUd_0MrSduXTe1etBb1HNpAlGwQr006ljwMiM"",
      ""GSC最新!A:R""
    ),
    11,
    FALSE
  ),
  0
)
"),0.06802721088435375)</f>
        <v>0.06802721088</v>
      </c>
      <c r="T49" s="9">
        <f>IFERROR(__xludf.DUMMYFUNCTION("IFERROR(
  VLOOKUP(
    A49,
    IMPORTRANGE(
      ""1ZHMy3vVUd_0MrSduXTe1etBb1HNpAlGwQr006ljwMiM"",
      ""GSC最新!A:R""
    ),
    14,
    FALSE
  ),
  0
)
"),0.0)</f>
        <v>0</v>
      </c>
      <c r="U49" s="9">
        <f>IFERROR(__xludf.DUMMYFUNCTION("IFERROR(
  VLOOKUP(
    A49,
    IMPORTRANGE(
      ""1ZHMy3vVUd_0MrSduXTe1etBb1HNpAlGwQr006ljwMiM"",
      ""GSC最新!A:R""
    ),
    17,
    FALSE
  ),
  0
)
"),0.0)</f>
        <v>0</v>
      </c>
      <c r="V49" s="9">
        <f t="shared" ref="V49:W49" si="238">IFERROR(R49-T49,"-")</f>
        <v>0.05511811024</v>
      </c>
      <c r="W49" s="9">
        <f t="shared" si="238"/>
        <v>0.06802721088</v>
      </c>
      <c r="X49" s="65">
        <f>IFERROR(__xludf.DUMMYFUNCTION("IFERROR(
  VLOOKUP(
    A49,
    IMPORTRANGE(
      ""1ZHMy3vVUd_0MrSduXTe1etBb1HNpAlGwQr006ljwMiM"",
      ""GSC最新!A:R""
    ),
    9,
    FALSE
  ),
  0
)
"),8.354330708661418)</f>
        <v>8.354330709</v>
      </c>
      <c r="Y49" s="65">
        <f>IFERROR(__xludf.DUMMYFUNCTION("IFERROR(
  VLOOKUP(
    A49,
    IMPORTRANGE(
      ""1ZHMy3vVUd_0MrSduXTe1etBb1HNpAlGwQr006ljwMiM"",
      ""GSC最新!A:R""
    ),
    12,
    FALSE
  ),
  0
)
"),8.217687074829932)</f>
        <v>8.217687075</v>
      </c>
      <c r="Z49" s="65" t="str">
        <f>IFERROR(__xludf.DUMMYFUNCTION("IFERROR(
  VLOOKUP(
    A49,
    IMPORTRANGE(
      ""1ZHMy3vVUd_0MrSduXTe1etBb1HNpAlGwQr006ljwMiM"",
      ""GSC最新!A:R""
    ),
    15,
    FALSE
  ),
  0
)
"),"")</f>
        <v/>
      </c>
      <c r="AA49" s="65" t="str">
        <f>IFERROR(__xludf.DUMMYFUNCTION("IFERROR(
  VLOOKUP(
    A49,
    IMPORTRANGE(
      ""1ZHMy3vVUd_0MrSduXTe1etBb1HNpAlGwQr006ljwMiM"",
      ""GSC最新!A:R""
    ),
    18,
    FALSE
  ),
  0
)
"),"")</f>
        <v/>
      </c>
      <c r="AB49" s="65">
        <f t="shared" ref="AB49:AC49" si="239">X49-Z49</f>
        <v>8.354330709</v>
      </c>
      <c r="AC49" s="65">
        <f t="shared" si="239"/>
        <v>8.217687075</v>
      </c>
      <c r="AD49" s="53">
        <f>IFERROR(__xludf.DUMMYFUNCTION("IFERROR(
  VLOOKUP(
    A49,
    IMPORTRANGE(
      ""1ZHMy3vVUd_0MrSduXTe1etBb1HNpAlGwQr006ljwMiM"",
      ""GSC最新!A:F""
    ),
    6,
    FALSE
  ),
  0
)
"),46081.0)</f>
        <v>46081</v>
      </c>
      <c r="AE49" s="54">
        <f>IFERROR(__xludf.DUMMYFUNCTION("IFERROR(
  VLOOKUP(
    A49,
    IMPORTRANGE(
      ""1SCYQd7_cobOYqT0r_F0IqD4tE4rYn5y8Eup4PJTH8es"",
      ""Snapshot!A:M""
    ),
    5,
    FALSE
  ),
  ""-""
)
"),7.0)</f>
        <v>7</v>
      </c>
      <c r="AF49" s="54">
        <f>IFERROR(__xludf.DUMMYFUNCTION("IFERROR(
  VLOOKUP(
    A49,
    IMPORTRANGE(
      ""1SCYQd7_cobOYqT0r_F0IqD4tE4rYn5y8Eup4PJTH8es"",
      ""Snapshot!A:M""
    ),
    6,
    FALSE
  ),
  0
)
"),2.0)</f>
        <v>2</v>
      </c>
      <c r="AG49" s="54">
        <f>IFERROR(__xludf.DUMMYFUNCTION("IFERROR(
  VLOOKUP(
    A49,
    IMPORTRANGE(
      ""1SCYQd7_cobOYqT0r_F0IqD4tE4rYn5y8Eup4PJTH8es"",
      ""Snapshot!A:M""
    ),
    7,
    FALSE
  ),
  0
)
"),3426.0)</f>
        <v>3426</v>
      </c>
      <c r="AH49" s="54">
        <f>IFERROR(__xludf.DUMMYFUNCTION("IFERROR(
  VLOOKUP(
    A49,
    IMPORTRANGE(
      ""1SCYQd7_cobOYqT0r_F0IqD4tE4rYn5y8Eup4PJTH8es"",
      ""Snapshot!A:M""
    ),
    8,
    FALSE
  ),
  0
)
"),3.0)</f>
        <v>3</v>
      </c>
      <c r="AI49" s="54">
        <f>IFERROR(__xludf.DUMMYFUNCTION("IFERROR(
  VLOOKUP(
    A49,
    IMPORTRANGE(
      ""1SCYQd7_cobOYqT0r_F0IqD4tE4rYn5y8Eup4PJTH8es"",
      ""Snapshot!A:M""
    ),
    9,
    FALSE
  ),
  0
)
"),4.0)</f>
        <v>4</v>
      </c>
      <c r="AJ49" s="54">
        <f>IFERROR(__xludf.DUMMYFUNCTION("IFERROR(
  VLOOKUP(
    A49,
    IMPORTRANGE(
      ""1SCYQd7_cobOYqT0r_F0IqD4tE4rYn5y8Eup4PJTH8es"",
      ""Snapshot!A:M""
    ),
    13,
    FALSE
  ),
  0
)
"),3.0)</f>
        <v>3</v>
      </c>
      <c r="AK49" s="49">
        <f t="shared" ref="AK49:AL49" si="240">LEN(C49)</f>
        <v>30</v>
      </c>
      <c r="AL49" s="49">
        <f t="shared" si="240"/>
        <v>71</v>
      </c>
    </row>
    <row r="50">
      <c r="A50" s="3" t="s">
        <v>559</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"),"早稲田中学 国語過去問解説｜動画＋記述25〜50字｜2020")</f>
        <v>早稲田中学 国語過去問解説｜動画＋記述25〜50字｜2020</v>
      </c>
      <c r="D50" s="1" t="str">
        <f>IFERROR(__xludf.DUMMYFUNCTION("IFERROR(
  VLOOKUP(
    A50,
    IMPORTRANGE(
      ""1ZygntHC1J6IxzKbTidmOyf5nUyW4GCLurHCjexrLm_o        "",
      ""HTMLキャッシュ!A:F""
    ),
    6,
    FALSE
  ),
  0
)
"),"早稲田中2020第1回国語を厳選解説。記述25〜50字は要素を絞り一文化。抽象=同義探し、傍線部=中核言換え、指示語=直前復元。動画とA/B/C分類。")</f>
        <v>早稲田中2020第1回国語を厳選解説。記述25〜50字は要素を絞り一文化。抽象=同義探し、傍線部=中核言換え、指示語=直前復元。動画とA/B/C分類。</v>
      </c>
      <c r="E50" s="32">
        <f>IFERROR(__xludf.DUMMYFUNCTION("IFERROR(
  VLOOKUP(
    A50,
    IMPORTRANGE(
      ""1ZygntHC1J6IxzKbTidmOyf5nUyW4GCLurHCjexrLm_o        "",
      ""HTMLキャッシュ!A:F""
    ),
    3,
    FALSE
  ),
  0
)
"),46078.8437962963)</f>
        <v>46078.8438</v>
      </c>
      <c r="F50" s="49">
        <f>IFERROR(__xludf.DUMMYFUNCTION("IFERROR(
  VLOOKUP(
    A50,
    IMPORTRANGE(
      ""1ZHMy3vVUd_0MrSduXTe1etBb1HNpAlGwQr006ljwMiM"",
      ""GSC最新!A:F""
    ),
    2,
    FALSE
  ),
  0
)
"),3.0)</f>
        <v>3</v>
      </c>
      <c r="G50" s="49">
        <f>IFERROR(__xludf.DUMMYFUNCTION("IFERROR(
  VLOOKUP(
    A50,
    IMPORTRANGE(
      ""1ZHMy3vVUd_0MrSduXTe1etBb1HNpAlGwQr006ljwMiM"",
      ""GSC最新!A:F""
    ),
    3,
    FALSE
  ),
  0
)
"),8.0)</f>
        <v>8</v>
      </c>
      <c r="H50" s="49">
        <f>IFERROR(__xludf.DUMMYFUNCTION("IFERROR(
  VLOOKUP(
    A50,
    IMPORTRANGE(
      ""1ZHMy3vVUd_0MrSduXTe1etBb1HNpAlGwQr006ljwMiM"",
      ""GSC最新!A:F""
    ),
    4,
    FALSE
  ),
  0
)
"),1.0)</f>
        <v>1</v>
      </c>
      <c r="I50" s="49">
        <f>IFERROR(__xludf.DUMMYFUNCTION("IFERROR(
  VLOOKUP(
    A50,
    IMPORTRANGE(
      ""1ZHMy3vVUd_0MrSduXTe1etBb1HNpAlGwQr006ljwMiM"",
      ""GSC最新!A:F""
    ),
    5,
    FALSE
  ),
  0
)
"),18.0)</f>
        <v>18</v>
      </c>
      <c r="J50" s="50">
        <f t="shared" ref="J50:K50" si="241">IFERROR(F50/H50,"-")</f>
        <v>3</v>
      </c>
      <c r="K50" s="50">
        <f t="shared" si="241"/>
        <v>0.4444444444</v>
      </c>
      <c r="L50" s="6">
        <f>IFERROR(__xludf.DUMMYFUNCTION("IFERROR(
  VLOOKUP(
    A50,
    IMPORTRANGE(
      ""1ZHMy3vVUd_0MrSduXTe1etBb1HNpAlGwQr006ljwMiM"",
      ""GSC最新!A:R""
    ),
    7,
    FALSE
  ),
  0
)
"),103.0)</f>
        <v>103</v>
      </c>
      <c r="M50" s="6">
        <f>IFERROR(__xludf.DUMMYFUNCTION("IFERROR(
  VLOOKUP(
    A50,
    IMPORTRANGE(
      ""1ZHMy3vVUd_0MrSduXTe1etBb1HNpAlGwQr006ljwMiM"",
      ""GSC最新!A:R""
    ),
    10,
    FALSE
  ),
  0
)
"),396.0)</f>
        <v>396</v>
      </c>
      <c r="N50" s="6">
        <f>IFERROR(__xludf.DUMMYFUNCTION("IFERROR(
  VLOOKUP(
    A50,
    IMPORTRANGE(
      ""1ZHMy3vVUd_0MrSduXTe1etBb1HNpAlGwQr006ljwMiM"",
      ""GSC最新!A:R""
    ),
    13,
    FALSE
  ),
  0
)
"),242.0)</f>
        <v>242</v>
      </c>
      <c r="O50" s="6">
        <f>IFERROR(__xludf.DUMMYFUNCTION("IFERROR(
  VLOOKUP(
    A50,
    IMPORTRANGE(
      ""1ZHMy3vVUd_0MrSduXTe1etBb1HNpAlGwQr006ljwMiM"",
      ""GSC最新!A:R""
    ),
    16,
    FALSE
  ),
  0
)
"),875.0)</f>
        <v>875</v>
      </c>
      <c r="P50" s="51">
        <f t="shared" ref="P50:Q50" si="242">IFERROR(L50/N50,"-")</f>
        <v>0.4256198347</v>
      </c>
      <c r="Q50" s="51">
        <f t="shared" si="242"/>
        <v>0.4525714286</v>
      </c>
      <c r="R50" s="9">
        <f>IFERROR(__xludf.DUMMYFUNCTION("IFERROR(
  VLOOKUP(
    A50,
    IMPORTRANGE(
      ""1ZHMy3vVUd_0MrSduXTe1etBb1HNpAlGwQr006ljwMiM"",
      ""GSC最新!A:R""
    ),
    8,
    FALSE
  ),
  0
)
"),0.02912621359223301)</f>
        <v>0.02912621359</v>
      </c>
      <c r="S50" s="9">
        <f>IFERROR(__xludf.DUMMYFUNCTION("IFERROR(
  VLOOKUP(
    A50,
    IMPORTRANGE(
      ""1ZHMy3vVUd_0MrSduXTe1etBb1HNpAlGwQr006ljwMiM"",
      ""GSC最新!A:R""
    ),
    11,
    FALSE
  ),
  0
)
"),0.020202020202020204)</f>
        <v>0.0202020202</v>
      </c>
      <c r="T50" s="9">
        <f>IFERROR(__xludf.DUMMYFUNCTION("IFERROR(
  VLOOKUP(
    A50,
    IMPORTRANGE(
      ""1ZHMy3vVUd_0MrSduXTe1etBb1HNpAlGwQr006ljwMiM"",
      ""GSC最新!A:R""
    ),
    14,
    FALSE
  ),
  0
)
"),0.004132231404958678)</f>
        <v>0.004132231405</v>
      </c>
      <c r="U50" s="9">
        <f>IFERROR(__xludf.DUMMYFUNCTION("IFERROR(
  VLOOKUP(
    A50,
    IMPORTRANGE(
      ""1ZHMy3vVUd_0MrSduXTe1etBb1HNpAlGwQr006ljwMiM"",
      ""GSC最新!A:R""
    ),
    17,
    FALSE
  ),
  0
)
"),0.02057142857142857)</f>
        <v>0.02057142857</v>
      </c>
      <c r="V50" s="9">
        <f t="shared" ref="V50:W50" si="243">IFERROR(R50-T50,"-")</f>
        <v>0.02499398219</v>
      </c>
      <c r="W50" s="9">
        <f t="shared" si="243"/>
        <v>-0.0003694083694</v>
      </c>
      <c r="X50" s="65">
        <f>IFERROR(__xludf.DUMMYFUNCTION("IFERROR(
  VLOOKUP(
    A50,
    IMPORTRANGE(
      ""1ZHMy3vVUd_0MrSduXTe1etBb1HNpAlGwQr006ljwMiM"",
      ""GSC最新!A:R""
    ),
    9,
    FALSE
  ),
  0
)
"),9.029126213592233)</f>
        <v>9.029126214</v>
      </c>
      <c r="Y50" s="65">
        <f>IFERROR(__xludf.DUMMYFUNCTION("IFERROR(
  VLOOKUP(
    A50,
    IMPORTRANGE(
      ""1ZHMy3vVUd_0MrSduXTe1etBb1HNpAlGwQr006ljwMiM"",
      ""GSC最新!A:R""
    ),
    12,
    FALSE
  ),
  0
)
"),8.512626262626263)</f>
        <v>8.512626263</v>
      </c>
      <c r="Z50" s="65">
        <f>IFERROR(__xludf.DUMMYFUNCTION("IFERROR(
  VLOOKUP(
    A50,
    IMPORTRANGE(
      ""1ZHMy3vVUd_0MrSduXTe1etBb1HNpAlGwQr006ljwMiM"",
      ""GSC最新!A:R""
    ),
    15,
    FALSE
  ),
  0
)
"),25.297520661157026)</f>
        <v>25.29752066</v>
      </c>
      <c r="AA50" s="65">
        <f>IFERROR(__xludf.DUMMYFUNCTION("IFERROR(
  VLOOKUP(
    A50,
    IMPORTRANGE(
      ""1ZHMy3vVUd_0MrSduXTe1etBb1HNpAlGwQr006ljwMiM"",
      ""GSC最新!A:R""
    ),
    18,
    FALSE
  ),
  0
)
"),37.88457142857143)</f>
        <v>37.88457143</v>
      </c>
      <c r="AB50" s="65">
        <f t="shared" ref="AB50:AC50" si="244">X50-Z50</f>
        <v>-16.26839445</v>
      </c>
      <c r="AC50" s="65">
        <f t="shared" si="244"/>
        <v>-29.37194517</v>
      </c>
      <c r="AD50" s="53">
        <f>IFERROR(__xludf.DUMMYFUNCTION("IFERROR(
  VLOOKUP(
    A50,
    IMPORTRANGE(
      ""1ZHMy3vVUd_0MrSduXTe1etBb1HNpAlGwQr006ljwMiM"",
      ""GSC最新!A:F""
    ),
    6,
    FALSE
  ),
  0
)
"),46081.0)</f>
        <v>46081</v>
      </c>
      <c r="AE50" s="54">
        <f>IFERROR(__xludf.DUMMYFUNCTION("IFERROR(
  VLOOKUP(
    A50,
    IMPORTRANGE(
      ""1SCYQd7_cobOYqT0r_F0IqD4tE4rYn5y8Eup4PJTH8es"",
      ""Snapshot!A:M""
    ),
    5,
    FALSE
  ),
  ""-""
)
"),6.0)</f>
        <v>6</v>
      </c>
      <c r="AF50" s="54">
        <f>IFERROR(__xludf.DUMMYFUNCTION("IFERROR(
  VLOOKUP(
    A50,
    IMPORTRANGE(
      ""1SCYQd7_cobOYqT0r_F0IqD4tE4rYn5y8Eup4PJTH8es"",
      ""Snapshot!A:M""
    ),
    6,
    FALSE
  ),
  0
)
"),10.0)</f>
        <v>10</v>
      </c>
      <c r="AG50" s="54">
        <f>IFERROR(__xludf.DUMMYFUNCTION("IFERROR(
  VLOOKUP(
    A50,
    IMPORTRANGE(
      ""1SCYQd7_cobOYqT0r_F0IqD4tE4rYn5y8Eup4PJTH8es"",
      ""Snapshot!A:M""
    ),
    7,
    FALSE
  ),
  0
)
"),3704.0)</f>
        <v>3704</v>
      </c>
      <c r="AH50" s="54">
        <f>IFERROR(__xludf.DUMMYFUNCTION("IFERROR(
  VLOOKUP(
    A50,
    IMPORTRANGE(
      ""1SCYQd7_cobOYqT0r_F0IqD4tE4rYn5y8Eup4PJTH8es"",
      ""Snapshot!A:M""
    ),
    8,
    FALSE
  ),
  0
)
"),8.0)</f>
        <v>8</v>
      </c>
      <c r="AI50" s="54">
        <f>IFERROR(__xludf.DUMMYFUNCTION("IFERROR(
  VLOOKUP(
    A50,
    IMPORTRANGE(
      ""1SCYQd7_cobOYqT0r_F0IqD4tE4rYn5y8Eup4PJTH8es"",
      ""Snapshot!A:M""
    ),
    9,
    FALSE
  ),
  0
)
"),3.0)</f>
        <v>3</v>
      </c>
      <c r="AJ50" s="54">
        <f>IFERROR(__xludf.DUMMYFUNCTION("IFERROR(
  VLOOKUP(
    A50,
    IMPORTRANGE(
      ""1SCYQd7_cobOYqT0r_F0IqD4tE4rYn5y8Eup4PJTH8es"",
      ""Snapshot!A:M""
    ),
    13,
    FALSE
  ),
  0
)
"),3.0)</f>
        <v>3</v>
      </c>
      <c r="AK50" s="49">
        <f t="shared" ref="AK50:AL50" si="245">LEN(C50)</f>
        <v>30</v>
      </c>
      <c r="AL50" s="49">
        <f t="shared" si="245"/>
        <v>75</v>
      </c>
    </row>
    <row r="51">
      <c r="A51" s="3" t="s">
        <v>560</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"),"豊島岡女子 国語過去問2021｜記述・選択解説｜中学受験")</f>
        <v>豊島岡女子 国語過去問2021｜記述・選択解説｜中学受験</v>
      </c>
      <c r="D51" s="1" t="str">
        <f>IFERROR(__xludf.DUMMYFUNCTION("IFERROR(
  VLOOKUP(
    A51,
    IMPORTRANGE(
      ""1ZygntHC1J6IxzKbTidmOyf5nUyW4GCLurHCjexrLm_o        "",
      ""HTMLキャッシュ!A:F""
    ),
    6,
    FALSE
  ),
  0
)
"),"豊島岡女子国語2021の過去問2問を解説。50字記述と心情選択を、本文根拠の見つけ方・言い換え・解き直しの見方まで確認。")</f>
        <v>豊島岡女子国語2021の過去問2問を解説。50字記述と心情選択を、本文根拠の見つけ方・言い換え・解き直しの見方まで確認。</v>
      </c>
      <c r="E51" s="32">
        <f>IFERROR(__xludf.DUMMYFUNCTION("IFERROR(
  VLOOKUP(
    A51,
    IMPORTRANGE(
      ""1ZygntHC1J6IxzKbTidmOyf5nUyW4GCLurHCjexrLm_o        "",
      ""HTMLキャッシュ!A:F""
    ),
    3,
    FALSE
  ),
  0
)
"),46078.85202546296)</f>
        <v>46078.85203</v>
      </c>
      <c r="F51" s="49">
        <f>IFERROR(__xludf.DUMMYFUNCTION("IFERROR(
  VLOOKUP(
    A51,
    IMPORTRANGE(
      ""1ZHMy3vVUd_0MrSduXTe1etBb1HNpAlGwQr006ljwMiM"",
      ""GSC最新!A:F""
    ),
    2,
    FALSE
  ),
  0
)
"),0.0)</f>
        <v>0</v>
      </c>
      <c r="G51" s="49">
        <f>IFERROR(__xludf.DUMMYFUNCTION("IFERROR(
  VLOOKUP(
    A51,
    IMPORTRANGE(
      ""1ZHMy3vVUd_0MrSduXTe1etBb1HNpAlGwQr006ljwMiM"",
      ""GSC最新!A:F""
    ),
    3,
    FALSE
  ),
  0
)
"),8.0)</f>
        <v>8</v>
      </c>
      <c r="H51" s="49">
        <f>IFERROR(__xludf.DUMMYFUNCTION("IFERROR(
  VLOOKUP(
    A51,
    IMPORTRANGE(
      ""1ZHMy3vVUd_0MrSduXTe1etBb1HNpAlGwQr006ljwMiM"",
      ""GSC最新!A:F""
    ),
    4,
    FALSE
  ),
  0
)
"),1.0)</f>
        <v>1</v>
      </c>
      <c r="I51" s="49">
        <f>IFERROR(__xludf.DUMMYFUNCTION("IFERROR(
  VLOOKUP(
    A51,
    IMPORTRANGE(
      ""1ZHMy3vVUd_0MrSduXTe1etBb1HNpAlGwQr006ljwMiM"",
      ""GSC最新!A:F""
    ),
    5,
    FALSE
  ),
  0
)
"),12.0)</f>
        <v>12</v>
      </c>
      <c r="J51" s="50">
        <f t="shared" ref="J51:K51" si="246">IFERROR(F51/H51,"-")</f>
        <v>0</v>
      </c>
      <c r="K51" s="50">
        <f t="shared" si="246"/>
        <v>0.6666666667</v>
      </c>
      <c r="L51" s="6">
        <f>IFERROR(__xludf.DUMMYFUNCTION("IFERROR(
  VLOOKUP(
    A51,
    IMPORTRANGE(
      ""1ZHMy3vVUd_0MrSduXTe1etBb1HNpAlGwQr006ljwMiM"",
      ""GSC最新!A:R""
    ),
    7,
    FALSE
  ),
  0
)
"),13.0)</f>
        <v>13</v>
      </c>
      <c r="M51" s="6">
        <f>IFERROR(__xludf.DUMMYFUNCTION("IFERROR(
  VLOOKUP(
    A51,
    IMPORTRANGE(
      ""1ZHMy3vVUd_0MrSduXTe1etBb1HNpAlGwQr006ljwMiM"",
      ""GSC最新!A:R""
    ),
    10,
    FALSE
  ),
  0
)
"),65.0)</f>
        <v>65</v>
      </c>
      <c r="N51" s="6">
        <f>IFERROR(__xludf.DUMMYFUNCTION("IFERROR(
  VLOOKUP(
    A51,
    IMPORTRANGE(
      ""1ZHMy3vVUd_0MrSduXTe1etBb1HNpAlGwQr006ljwMiM"",
      ""GSC最新!A:R""
    ),
    13,
    FALSE
  ),
  0
)
"),56.0)</f>
        <v>56</v>
      </c>
      <c r="O51" s="6">
        <f>IFERROR(__xludf.DUMMYFUNCTION("IFERROR(
  VLOOKUP(
    A51,
    IMPORTRANGE(
      ""1ZHMy3vVUd_0MrSduXTe1etBb1HNpAlGwQr006ljwMiM"",
      ""GSC最新!A:R""
    ),
    16,
    FALSE
  ),
  0
)
"),1101.0)</f>
        <v>1101</v>
      </c>
      <c r="P51" s="51">
        <f t="shared" ref="P51:Q51" si="247">IFERROR(L51/N51,"-")</f>
        <v>0.2321428571</v>
      </c>
      <c r="Q51" s="51">
        <f t="shared" si="247"/>
        <v>0.05903723887</v>
      </c>
      <c r="R51" s="9">
        <f>IFERROR(__xludf.DUMMYFUNCTION("IFERROR(
  VLOOKUP(
    A51,
    IMPORTRANGE(
      ""1ZHMy3vVUd_0MrSduXTe1etBb1HNpAlGwQr006ljwMiM"",
      ""GSC最新!A:R""
    ),
    8,
    FALSE
  ),
  0
)
"),0.0)</f>
        <v>0</v>
      </c>
      <c r="S51" s="9">
        <f>IFERROR(__xludf.DUMMYFUNCTION("IFERROR(
  VLOOKUP(
    A51,
    IMPORTRANGE(
      ""1ZHMy3vVUd_0MrSduXTe1etBb1HNpAlGwQr006ljwMiM"",
      ""GSC最新!A:R""
    ),
    11,
    FALSE
  ),
  0
)
"),0.12307692307692308)</f>
        <v>0.1230769231</v>
      </c>
      <c r="T51" s="9">
        <f>IFERROR(__xludf.DUMMYFUNCTION("IFERROR(
  VLOOKUP(
    A51,
    IMPORTRANGE(
      ""1ZHMy3vVUd_0MrSduXTe1etBb1HNpAlGwQr006ljwMiM"",
      ""GSC最新!A:R""
    ),
    14,
    FALSE
  ),
  0
)
"),0.017857142857142856)</f>
        <v>0.01785714286</v>
      </c>
      <c r="U51" s="9">
        <f>IFERROR(__xludf.DUMMYFUNCTION("IFERROR(
  VLOOKUP(
    A51,
    IMPORTRANGE(
      ""1ZHMy3vVUd_0MrSduXTe1etBb1HNpAlGwQr006ljwMiM"",
      ""GSC最新!A:R""
    ),
    17,
    FALSE
  ),
  0
)
"),0.010899182561307902)</f>
        <v>0.01089918256</v>
      </c>
      <c r="V51" s="9">
        <f t="shared" ref="V51:W51" si="248">IFERROR(R51-T51,"-")</f>
        <v>-0.01785714286</v>
      </c>
      <c r="W51" s="9">
        <f t="shared" si="248"/>
        <v>0.1121777405</v>
      </c>
      <c r="X51" s="65">
        <f>IFERROR(__xludf.DUMMYFUNCTION("IFERROR(
  VLOOKUP(
    A51,
    IMPORTRANGE(
      ""1ZHMy3vVUd_0MrSduXTe1etBb1HNpAlGwQr006ljwMiM"",
      ""GSC最新!A:R""
    ),
    9,
    FALSE
  ),
  0
)
"),11.384615384615385)</f>
        <v>11.38461538</v>
      </c>
      <c r="Y51" s="65">
        <f>IFERROR(__xludf.DUMMYFUNCTION("IFERROR(
  VLOOKUP(
    A51,
    IMPORTRANGE(
      ""1ZHMy3vVUd_0MrSduXTe1etBb1HNpAlGwQr006ljwMiM"",
      ""GSC最新!A:R""
    ),
    12,
    FALSE
  ),
  0
)
"),9.8)</f>
        <v>9.8</v>
      </c>
      <c r="Z51" s="65">
        <f>IFERROR(__xludf.DUMMYFUNCTION("IFERROR(
  VLOOKUP(
    A51,
    IMPORTRANGE(
      ""1ZHMy3vVUd_0MrSduXTe1etBb1HNpAlGwQr006ljwMiM"",
      ""GSC最新!A:R""
    ),
    15,
    FALSE
  ),
  0
)
"),68.125)</f>
        <v>68.125</v>
      </c>
      <c r="AA51" s="65">
        <f>IFERROR(__xludf.DUMMYFUNCTION("IFERROR(
  VLOOKUP(
    A51,
    IMPORTRANGE(
      ""1ZHMy3vVUd_0MrSduXTe1etBb1HNpAlGwQr006ljwMiM"",
      ""GSC最新!A:R""
    ),
    18,
    FALSE
  ),
  0
)
"),64.70572207084469)</f>
        <v>64.70572207</v>
      </c>
      <c r="AB51" s="65">
        <f t="shared" ref="AB51:AC51" si="249">X51-Z51</f>
        <v>-56.74038462</v>
      </c>
      <c r="AC51" s="65">
        <f t="shared" si="249"/>
        <v>-54.90572207</v>
      </c>
      <c r="AD51" s="53">
        <f>IFERROR(__xludf.DUMMYFUNCTION("IFERROR(
  VLOOKUP(
    A51,
    IMPORTRANGE(
      ""1ZHMy3vVUd_0MrSduXTe1etBb1HNpAlGwQr006ljwMiM"",
      ""GSC最新!A:F""
    ),
    6,
    FALSE
  ),
  0
)
"),46081.0)</f>
        <v>46081</v>
      </c>
      <c r="AE51" s="54">
        <f>IFERROR(__xludf.DUMMYFUNCTION("IFERROR(
  VLOOKUP(
    A51,
    IMPORTRANGE(
      ""1SCYQd7_cobOYqT0r_F0IqD4tE4rYn5y8Eup4PJTH8es"",
      ""Snapshot!A:M""
    ),
    5,
    FALSE
  ),
  ""-""
)
"),8.0)</f>
        <v>8</v>
      </c>
      <c r="AF51" s="54">
        <f>IFERROR(__xludf.DUMMYFUNCTION("IFERROR(
  VLOOKUP(
    A51,
    IMPORTRANGE(
      ""1SCYQd7_cobOYqT0r_F0IqD4tE4rYn5y8Eup4PJTH8es"",
      ""Snapshot!A:M""
    ),
    6,
    FALSE
  ),
  0
)
"),14.0)</f>
        <v>14</v>
      </c>
      <c r="AG51" s="54">
        <f>IFERROR(__xludf.DUMMYFUNCTION("IFERROR(
  VLOOKUP(
    A51,
    IMPORTRANGE(
      ""1SCYQd7_cobOYqT0r_F0IqD4tE4rYn5y8Eup4PJTH8es"",
      ""Snapshot!A:M""
    ),
    7,
    FALSE
  ),
  0
)
"),3983.0)</f>
        <v>3983</v>
      </c>
      <c r="AH51" s="54">
        <f>IFERROR(__xludf.DUMMYFUNCTION("IFERROR(
  VLOOKUP(
    A51,
    IMPORTRANGE(
      ""1SCYQd7_cobOYqT0r_F0IqD4tE4rYn5y8Eup4PJTH8es"",
      ""Snapshot!A:M""
    ),
    8,
    FALSE
  ),
  0
)
"),10.0)</f>
        <v>10</v>
      </c>
      <c r="AI51" s="54">
        <f>IFERROR(__xludf.DUMMYFUNCTION("IFERROR(
  VLOOKUP(
    A51,
    IMPORTRANGE(
      ""1SCYQd7_cobOYqT0r_F0IqD4tE4rYn5y8Eup4PJTH8es"",
      ""Snapshot!A:M""
    ),
    9,
    FALSE
  ),
  0
)
"),4.0)</f>
        <v>4</v>
      </c>
      <c r="AJ51" s="54">
        <f>IFERROR(__xludf.DUMMYFUNCTION("IFERROR(
  VLOOKUP(
    A51,
    IMPORTRANGE(
      ""1SCYQd7_cobOYqT0r_F0IqD4tE4rYn5y8Eup4PJTH8es"",
      ""Snapshot!A:M""
    ),
    13,
    FALSE
  ),
  0
)
"),3.0)</f>
        <v>3</v>
      </c>
      <c r="AK51" s="49">
        <f t="shared" ref="AK51:AL51" si="250">LEN(C51)</f>
        <v>28</v>
      </c>
      <c r="AL51" s="49">
        <f t="shared" si="250"/>
        <v>60</v>
      </c>
    </row>
    <row r="52">
      <c r="A52" s="56" t="s">
        <v>561</v>
      </c>
      <c r="B52" s="1" t="str">
        <f>IFERROR(__xludf.DUMMYFUNCTION("IFERROR(
  VLOOKUP(
    A52,
    IMPORTRANGE(
      ""1ZygntHC1J6IxzKbTidmOyf5nUyW4GCLurHCjexrLm_o"",
      ""HTMLキャッシュ!A:F""
    ),
    2,
    FALSE
  ),
  0
)
"),"SC")</f>
        <v>SC</v>
      </c>
      <c r="C52" s="1" t="str">
        <f>IFERROR(__xludf.DUMMYFUNCTION("IFERROR(
  VLOOKUP(
    A52,
    IMPORTRANGE(
      ""1ZygntHC1J6IxzKbTidmOyf5nUyW4GCLurHCjexrLm_o"",
      ""HTMLキャッシュ!A:F""
    ),
    5,
    FALSE
  ),
  0
)
"),"語彙力強化の実践法 読解で使える語彙力を鍛える")</f>
        <v>語彙力強化の実践法 読解で使える語彙力を鍛える</v>
      </c>
      <c r="D52" s="1" t="str">
        <f>IFERROR(__xludf.DUMMYFUNCTION("IFERROR(
  VLOOKUP(
    A52,
    IMPORTRANGE(
      ""1ZygntHC1J6IxzKbTidmOyf5nUyW4GCLurHCjexrLm_o        "",
      ""HTMLキャッシュ!A:F""
    ),
    6,
    FALSE
  ),
  0
)
"),"中学受験国語は語彙で伸びる。本文で意味推測→確定、言い換えで読解と記述に接続。7日プランも整理。")</f>
        <v>中学受験国語は語彙で伸びる。本文で意味推測→確定、言い換えで読解と記述に接続。7日プランも整理。</v>
      </c>
      <c r="E52" s="32">
        <f>IFERROR(__xludf.DUMMYFUNCTION("IFERROR(
  VLOOKUP(
    A52,
    IMPORTRANGE(
      ""1ZygntHC1J6IxzKbTidmOyf5nUyW4GCLurHCjexrLm_o        "",
      ""HTMLキャッシュ!A:F""
    ),
    3,
    FALSE
  ),
  0
)
"),46080.80923611111)</f>
        <v>46080.80924</v>
      </c>
      <c r="F52" s="49">
        <f>IFERROR(__xludf.DUMMYFUNCTION("IFERROR(
  VLOOKUP(
    A52,
    IMPORTRANGE(
      ""1ZHMy3vVUd_0MrSduXTe1etBb1HNpAlGwQr006ljwMiM"",
      ""GSC最新!A:F""
    ),
    2,
    FALSE
  ),
  0
)
"),6.0)</f>
        <v>6</v>
      </c>
      <c r="G52" s="49">
        <f>IFERROR(__xludf.DUMMYFUNCTION("IFERROR(
  VLOOKUP(
    A52,
    IMPORTRANGE(
      ""1ZHMy3vVUd_0MrSduXTe1etBb1HNpAlGwQr006ljwMiM"",
      ""GSC最新!A:F""
    ),
    3,
    FALSE
  ),
  0
)
"),8.0)</f>
        <v>8</v>
      </c>
      <c r="H52" s="49">
        <f>IFERROR(__xludf.DUMMYFUNCTION("IFERROR(
  VLOOKUP(
    A52,
    IMPORTRANGE(
      ""1ZHMy3vVUd_0MrSduXTe1etBb1HNpAlGwQr006ljwMiM"",
      ""GSC最新!A:F""
    ),
    4,
    FALSE
  ),
  0
)
"),0.0)</f>
        <v>0</v>
      </c>
      <c r="I52" s="49">
        <f>IFERROR(__xludf.DUMMYFUNCTION("IFERROR(
  VLOOKUP(
    A52,
    IMPORTRANGE(
      ""1ZHMy3vVUd_0MrSduXTe1etBb1HNpAlGwQr006ljwMiM"",
      ""GSC最新!A:F""
    ),
    5,
    FALSE
  ),
  0
)
"),0.0)</f>
        <v>0</v>
      </c>
      <c r="J52" s="50" t="str">
        <f t="shared" ref="J52:K52" si="251">IFERROR(F52/H52,"-")</f>
        <v>-</v>
      </c>
      <c r="K52" s="50" t="str">
        <f t="shared" si="251"/>
        <v>-</v>
      </c>
      <c r="L52" s="6">
        <f>IFERROR(__xludf.DUMMYFUNCTION("IFERROR(
  VLOOKUP(
    A52,
    IMPORTRANGE(
      ""1ZHMy3vVUd_0MrSduXTe1etBb1HNpAlGwQr006ljwMiM"",
      ""GSC最新!A:R""
    ),
    7,
    FALSE
  ),
  0
)
"),214.0)</f>
        <v>214</v>
      </c>
      <c r="M52" s="6">
        <f>IFERROR(__xludf.DUMMYFUNCTION("IFERROR(
  VLOOKUP(
    A52,
    IMPORTRANGE(
      ""1ZHMy3vVUd_0MrSduXTe1etBb1HNpAlGwQr006ljwMiM"",
      ""GSC最新!A:R""
    ),
    10,
    FALSE
  ),
  0
)
"),264.0)</f>
        <v>264</v>
      </c>
      <c r="N52" s="6">
        <f>IFERROR(__xludf.DUMMYFUNCTION("IFERROR(
  VLOOKUP(
    A52,
    IMPORTRANGE(
      ""1ZHMy3vVUd_0MrSduXTe1etBb1HNpAlGwQr006ljwMiM"",
      ""GSC最新!A:R""
    ),
    13,
    FALSE
  ),
  0
)
"),0.0)</f>
        <v>0</v>
      </c>
      <c r="O52" s="6">
        <f>IFERROR(__xludf.DUMMYFUNCTION("IFERROR(
  VLOOKUP(
    A52,
    IMPORTRANGE(
      ""1ZHMy3vVUd_0MrSduXTe1etBb1HNpAlGwQr006ljwMiM"",
      ""GSC最新!A:R""
    ),
    16,
    FALSE
  ),
  0
)
"),0.0)</f>
        <v>0</v>
      </c>
      <c r="P52" s="51" t="str">
        <f t="shared" ref="P52:Q52" si="252">IFERROR(L52/N52,"-")</f>
        <v>-</v>
      </c>
      <c r="Q52" s="51" t="str">
        <f t="shared" si="252"/>
        <v>-</v>
      </c>
      <c r="R52" s="9">
        <f>IFERROR(__xludf.DUMMYFUNCTION("IFERROR(
  VLOOKUP(
    A52,
    IMPORTRANGE(
      ""1ZHMy3vVUd_0MrSduXTe1etBb1HNpAlGwQr006ljwMiM"",
      ""GSC最新!A:R""
    ),
    8,
    FALSE
  ),
  0
)
"),0.028037383177570093)</f>
        <v>0.02803738318</v>
      </c>
      <c r="S52" s="9">
        <f>IFERROR(__xludf.DUMMYFUNCTION("IFERROR(
  VLOOKUP(
    A52,
    IMPORTRANGE(
      ""1ZHMy3vVUd_0MrSduXTe1etBb1HNpAlGwQr006ljwMiM"",
      ""GSC最新!A:R""
    ),
    11,
    FALSE
  ),
  0
)
"),0.030303030303030304)</f>
        <v>0.0303030303</v>
      </c>
      <c r="T52" s="9">
        <f>IFERROR(__xludf.DUMMYFUNCTION("IFERROR(
  VLOOKUP(
    A52,
    IMPORTRANGE(
      ""1ZHMy3vVUd_0MrSduXTe1etBb1HNpAlGwQr006ljwMiM"",
      ""GSC最新!A:R""
    ),
    14,
    FALSE
  ),
  0
)
"),0.0)</f>
        <v>0</v>
      </c>
      <c r="U52" s="9">
        <f>IFERROR(__xludf.DUMMYFUNCTION("IFERROR(
  VLOOKUP(
    A52,
    IMPORTRANGE(
      ""1ZHMy3vVUd_0MrSduXTe1etBb1HNpAlGwQr006ljwMiM"",
      ""GSC最新!A:R""
    ),
    17,
    FALSE
  ),
  0
)
"),0.0)</f>
        <v>0</v>
      </c>
      <c r="V52" s="9">
        <f t="shared" ref="V52:W52" si="253">IFERROR(R52-T52,"-")</f>
        <v>0.02803738318</v>
      </c>
      <c r="W52" s="9">
        <f t="shared" si="253"/>
        <v>0.0303030303</v>
      </c>
      <c r="X52" s="65">
        <f>IFERROR(__xludf.DUMMYFUNCTION("IFERROR(
  VLOOKUP(
    A52,
    IMPORTRANGE(
      ""1ZHMy3vVUd_0MrSduXTe1etBb1HNpAlGwQr006ljwMiM"",
      ""GSC最新!A:R""
    ),
    9,
    FALSE
  ),
  0
)
"),6.789719626168225)</f>
        <v>6.789719626</v>
      </c>
      <c r="Y52" s="65">
        <f>IFERROR(__xludf.DUMMYFUNCTION("IFERROR(
  VLOOKUP(
    A52,
    IMPORTRANGE(
      ""1ZHMy3vVUd_0MrSduXTe1etBb1HNpAlGwQr006ljwMiM"",
      ""GSC最新!A:R""
    ),
    12,
    FALSE
  ),
  0
)
"),7.875)</f>
        <v>7.875</v>
      </c>
      <c r="Z52" s="65" t="str">
        <f>IFERROR(__xludf.DUMMYFUNCTION("IFERROR(
  VLOOKUP(
    A52,
    IMPORTRANGE(
      ""1ZHMy3vVUd_0MrSduXTe1etBb1HNpAlGwQr006ljwMiM"",
      ""GSC最新!A:R""
    ),
    15,
    FALSE
  ),
  0
)
"),"")</f>
        <v/>
      </c>
      <c r="AA52" s="65" t="str">
        <f>IFERROR(__xludf.DUMMYFUNCTION("IFERROR(
  VLOOKUP(
    A52,
    IMPORTRANGE(
      ""1ZHMy3vVUd_0MrSduXTe1etBb1HNpAlGwQr006ljwMiM"",
      ""GSC最新!A:R""
    ),
    18,
    FALSE
  ),
  0
)
"),"")</f>
        <v/>
      </c>
      <c r="AB52" s="65">
        <f t="shared" ref="AB52:AC52" si="254">X52-Z52</f>
        <v>6.789719626</v>
      </c>
      <c r="AC52" s="65">
        <f t="shared" si="254"/>
        <v>7.875</v>
      </c>
      <c r="AD52" s="53">
        <f>IFERROR(__xludf.DUMMYFUNCTION("IFERROR(
  VLOOKUP(
    A52,
    IMPORTRANGE(
      ""1ZHMy3vVUd_0MrSduXTe1etBb1HNpAlGwQr006ljwMiM"",
      ""GSC最新!A:F""
    ),
    6,
    FALSE
  ),
  0
)
"),46081.0)</f>
        <v>46081</v>
      </c>
      <c r="AE52" s="54">
        <f>IFERROR(__xludf.DUMMYFUNCTION("IFERROR(
  VLOOKUP(
    A52,
    IMPORTRANGE(
      ""1SCYQd7_cobOYqT0r_F0IqD4tE4rYn5y8Eup4PJTH8es"",
      ""Snapshot!A:M""
    ),
    5,
    FALSE
  ),
  ""-""
)
"),6.0)</f>
        <v>6</v>
      </c>
      <c r="AF52" s="54">
        <f>IFERROR(__xludf.DUMMYFUNCTION("IFERROR(
  VLOOKUP(
    A52,
    IMPORTRANGE(
      ""1SCYQd7_cobOYqT0r_F0IqD4tE4rYn5y8Eup4PJTH8es"",
      ""Snapshot!A:M""
    ),
    6,
    FALSE
  ),
  0
)
"),0.0)</f>
        <v>0</v>
      </c>
      <c r="AG52" s="54">
        <f>IFERROR(__xludf.DUMMYFUNCTION("IFERROR(
  VLOOKUP(
    A52,
    IMPORTRANGE(
      ""1SCYQd7_cobOYqT0r_F0IqD4tE4rYn5y8Eup4PJTH8es"",
      ""Snapshot!A:M""
    ),
    7,
    FALSE
  ),
  0
)
"),4380.0)</f>
        <v>4380</v>
      </c>
      <c r="AH52" s="54">
        <f>IFERROR(__xludf.DUMMYFUNCTION("IFERROR(
  VLOOKUP(
    A52,
    IMPORTRANGE(
      ""1SCYQd7_cobOYqT0r_F0IqD4tE4rYn5y8Eup4PJTH8es"",
      ""Snapshot!A:M""
    ),
    8,
    FALSE
  ),
  0
)
"),3.0)</f>
        <v>3</v>
      </c>
      <c r="AI52" s="54">
        <f>IFERROR(__xludf.DUMMYFUNCTION("IFERROR(
  VLOOKUP(
    A52,
    IMPORTRANGE(
      ""1SCYQd7_cobOYqT0r_F0IqD4tE4rYn5y8Eup4PJTH8es"",
      ""Snapshot!A:M""
    ),
    9,
    FALSE
  ),
  0
)
"),4.0)</f>
        <v>4</v>
      </c>
      <c r="AJ52" s="54">
        <f>IFERROR(__xludf.DUMMYFUNCTION("IFERROR(
  VLOOKUP(
    A52,
    IMPORTRANGE(
      ""1SCYQd7_cobOYqT0r_F0IqD4tE4rYn5y8Eup4PJTH8es"",
      ""Snapshot!A:M""
    ),
    13,
    FALSE
  ),
  0
)
"),3.0)</f>
        <v>3</v>
      </c>
      <c r="AK52" s="49">
        <f t="shared" ref="AK52:AL52" si="255">LEN(C52)</f>
        <v>23</v>
      </c>
      <c r="AL52" s="49">
        <f t="shared" si="255"/>
        <v>48</v>
      </c>
    </row>
    <row r="53">
      <c r="A53" s="3" t="s">
        <v>562</v>
      </c>
      <c r="B53" s="1" t="str">
        <f>IFERROR(__xludf.DUMMYFUNCTION("IFERROR(
  VLOOKUP(
    A53,
    IMPORTRANGE(
      ""1ZygntHC1J6IxzKbTidmOyf5nUyW4GCLurHCjexrLm_o"",
      ""HTMLキャッシュ!A:F""
    ),
    2,
    FALSE
  ),
  0
)
"),"MC")</f>
        <v>MC</v>
      </c>
      <c r="C53" s="1" t="str">
        <f>IFERROR(__xludf.DUMMYFUNCTION("IFERROR(
  VLOOKUP(
    A53,
    IMPORTRANGE(
      ""1ZygntHC1J6IxzKbTidmOyf5nUyW4GCLurHCjexrLm_o"",
      ""HTMLキャッシュ!A:F""
    ),
    5,
    FALSE
  ),
  0
)
"),"現代文記述添削｜国公立大の添削実例動画｜大学受験国語入試対策")</f>
        <v>現代文記述添削｜国公立大の添削実例動画｜大学受験国語入試対策</v>
      </c>
      <c r="D53" s="1" t="str">
        <f>IFERROR(__xludf.DUMMYFUNCTION("IFERROR(
  VLOOKUP(
    A53,
    IMPORTRANGE(
      ""1ZygntHC1J6IxzKbTidmOyf5nUyW4GCLurHCjexrLm_o        "",
      ""HTMLキャッシュ!A:F""
    ),
    6,
    FALSE
  ),
  0
)
"),"大学受験の国語添削を探している方向け。国公立大の現代文記述を題材に、添削実例動画で何を足すか・一文でまとめる考え方を確認できます。")</f>
        <v>大学受験の国語添削を探している方向け。国公立大の現代文記述を題材に、添削実例動画で何を足すか・一文でまとめる考え方を確認できます。</v>
      </c>
      <c r="E53" s="32">
        <f>IFERROR(__xludf.DUMMYFUNCTION("IFERROR(
  VLOOKUP(
    A53,
    IMPORTRANGE(
      ""1ZygntHC1J6IxzKbTidmOyf5nUyW4GCLurHCjexrLm_o        "",
      ""HTMLキャッシュ!A:F""
    ),
    3,
    FALSE
  ),
  0
)
"),46078.71545138889)</f>
        <v>46078.71545</v>
      </c>
      <c r="F53" s="49">
        <f>IFERROR(__xludf.DUMMYFUNCTION("IFERROR(
  VLOOKUP(
    A53,
    IMPORTRANGE(
      ""1ZHMy3vVUd_0MrSduXTe1etBb1HNpAlGwQr006ljwMiM"",
      ""GSC最新!A:F""
    ),
    2,
    FALSE
  ),
  0
)
"),5.0)</f>
        <v>5</v>
      </c>
      <c r="G53" s="49">
        <f>IFERROR(__xludf.DUMMYFUNCTION("IFERROR(
  VLOOKUP(
    A53,
    IMPORTRANGE(
      ""1ZHMy3vVUd_0MrSduXTe1etBb1HNpAlGwQr006ljwMiM"",
      ""GSC最新!A:F""
    ),
    3,
    FALSE
  ),
  0
)
"),7.0)</f>
        <v>7</v>
      </c>
      <c r="H53" s="49">
        <f>IFERROR(__xludf.DUMMYFUNCTION("IFERROR(
  VLOOKUP(
    A53,
    IMPORTRANGE(
      ""1ZHMy3vVUd_0MrSduXTe1etBb1HNpAlGwQr006ljwMiM"",
      ""GSC最新!A:F""
    ),
    4,
    FALSE
  ),
  0
)
"),0.0)</f>
        <v>0</v>
      </c>
      <c r="I53" s="49">
        <f>IFERROR(__xludf.DUMMYFUNCTION("IFERROR(
  VLOOKUP(
    A53,
    IMPORTRANGE(
      ""1ZHMy3vVUd_0MrSduXTe1etBb1HNpAlGwQr006ljwMiM"",
      ""GSC最新!A:F""
    ),
    5,
    FALSE
  ),
  0
)
"),1.0)</f>
        <v>1</v>
      </c>
      <c r="J53" s="50" t="str">
        <f t="shared" ref="J53:K53" si="256">IFERROR(F53/H53,"-")</f>
        <v>-</v>
      </c>
      <c r="K53" s="50">
        <f t="shared" si="256"/>
        <v>7</v>
      </c>
      <c r="L53" s="6">
        <f>IFERROR(__xludf.DUMMYFUNCTION("IFERROR(
  VLOOKUP(
    A53,
    IMPORTRANGE(
      ""1ZHMy3vVUd_0MrSduXTe1etBb1HNpAlGwQr006ljwMiM"",
      ""GSC最新!A:R""
    ),
    7,
    FALSE
  ),
  0
)
"),111.0)</f>
        <v>111</v>
      </c>
      <c r="M53" s="6">
        <f>IFERROR(__xludf.DUMMYFUNCTION("IFERROR(
  VLOOKUP(
    A53,
    IMPORTRANGE(
      ""1ZHMy3vVUd_0MrSduXTe1etBb1HNpAlGwQr006ljwMiM"",
      ""GSC最新!A:R""
    ),
    10,
    FALSE
  ),
  0
)
"),152.0)</f>
        <v>152</v>
      </c>
      <c r="N53" s="6">
        <f>IFERROR(__xludf.DUMMYFUNCTION("IFERROR(
  VLOOKUP(
    A53,
    IMPORTRANGE(
      ""1ZHMy3vVUd_0MrSduXTe1etBb1HNpAlGwQr006ljwMiM"",
      ""GSC最新!A:R""
    ),
    13,
    FALSE
  ),
  0
)
"),1.0)</f>
        <v>1</v>
      </c>
      <c r="O53" s="6">
        <f>IFERROR(__xludf.DUMMYFUNCTION("IFERROR(
  VLOOKUP(
    A53,
    IMPORTRANGE(
      ""1ZHMy3vVUd_0MrSduXTe1etBb1HNpAlGwQr006ljwMiM"",
      ""GSC最新!A:R""
    ),
    16,
    FALSE
  ),
  0
)
"),6.0)</f>
        <v>6</v>
      </c>
      <c r="P53" s="51">
        <f t="shared" ref="P53:Q53" si="257">IFERROR(L53/N53,"-")</f>
        <v>111</v>
      </c>
      <c r="Q53" s="51">
        <f t="shared" si="257"/>
        <v>25.33333333</v>
      </c>
      <c r="R53" s="9">
        <f>IFERROR(__xludf.DUMMYFUNCTION("IFERROR(
  VLOOKUP(
    A53,
    IMPORTRANGE(
      ""1ZHMy3vVUd_0MrSduXTe1etBb1HNpAlGwQr006ljwMiM"",
      ""GSC最新!A:R""
    ),
    8,
    FALSE
  ),
  0
)
"),0.04504504504504504)</f>
        <v>0.04504504505</v>
      </c>
      <c r="S53" s="9">
        <f>IFERROR(__xludf.DUMMYFUNCTION("IFERROR(
  VLOOKUP(
    A53,
    IMPORTRANGE(
      ""1ZHMy3vVUd_0MrSduXTe1etBb1HNpAlGwQr006ljwMiM"",
      ""GSC最新!A:R""
    ),
    11,
    FALSE
  ),
  0
)
"),0.046052631578947366)</f>
        <v>0.04605263158</v>
      </c>
      <c r="T53" s="9">
        <f>IFERROR(__xludf.DUMMYFUNCTION("IFERROR(
  VLOOKUP(
    A53,
    IMPORTRANGE(
      ""1ZHMy3vVUd_0MrSduXTe1etBb1HNpAlGwQr006ljwMiM"",
      ""GSC最新!A:R""
    ),
    14,
    FALSE
  ),
  0
)
"),0.0)</f>
        <v>0</v>
      </c>
      <c r="U53" s="9">
        <f>IFERROR(__xludf.DUMMYFUNCTION("IFERROR(
  VLOOKUP(
    A53,
    IMPORTRANGE(
      ""1ZHMy3vVUd_0MrSduXTe1etBb1HNpAlGwQr006ljwMiM"",
      ""GSC最新!A:R""
    ),
    17,
    FALSE
  ),
  0
)
"),0.16666666666666666)</f>
        <v>0.1666666667</v>
      </c>
      <c r="V53" s="9">
        <f t="shared" ref="V53:W53" si="258">IFERROR(R53-T53,"-")</f>
        <v>0.04504504505</v>
      </c>
      <c r="W53" s="9">
        <f t="shared" si="258"/>
        <v>-0.1206140351</v>
      </c>
      <c r="X53" s="65">
        <f>IFERROR(__xludf.DUMMYFUNCTION("IFERROR(
  VLOOKUP(
    A53,
    IMPORTRANGE(
      ""1ZHMy3vVUd_0MrSduXTe1etBb1HNpAlGwQr006ljwMiM"",
      ""GSC最新!A:R""
    ),
    9,
    FALSE
  ),
  0
)
"),9.306306306306306)</f>
        <v>9.306306306</v>
      </c>
      <c r="Y53" s="65">
        <f>IFERROR(__xludf.DUMMYFUNCTION("IFERROR(
  VLOOKUP(
    A53,
    IMPORTRANGE(
      ""1ZHMy3vVUd_0MrSduXTe1etBb1HNpAlGwQr006ljwMiM"",
      ""GSC最新!A:R""
    ),
    12,
    FALSE
  ),
  0
)
"),9.868421052631579)</f>
        <v>9.868421053</v>
      </c>
      <c r="Z53" s="65">
        <f>IFERROR(__xludf.DUMMYFUNCTION("IFERROR(
  VLOOKUP(
    A53,
    IMPORTRANGE(
      ""1ZHMy3vVUd_0MrSduXTe1etBb1HNpAlGwQr006ljwMiM"",
      ""GSC最新!A:R""
    ),
    15,
    FALSE
  ),
  0
)
"),6.0)</f>
        <v>6</v>
      </c>
      <c r="AA53" s="65">
        <f>IFERROR(__xludf.DUMMYFUNCTION("IFERROR(
  VLOOKUP(
    A53,
    IMPORTRANGE(
      ""1ZHMy3vVUd_0MrSduXTe1etBb1HNpAlGwQr006ljwMiM"",
      ""GSC最新!A:R""
    ),
    18,
    FALSE
  ),
  0
)
"),9.833333333333334)</f>
        <v>9.833333333</v>
      </c>
      <c r="AB53" s="65">
        <f t="shared" ref="AB53:AC53" si="259">X53-Z53</f>
        <v>3.306306306</v>
      </c>
      <c r="AC53" s="65">
        <f t="shared" si="259"/>
        <v>0.0350877193</v>
      </c>
      <c r="AD53" s="53">
        <f>IFERROR(__xludf.DUMMYFUNCTION("IFERROR(
  VLOOKUP(
    A53,
    IMPORTRANGE(
      ""1ZHMy3vVUd_0MrSduXTe1etBb1HNpAlGwQr006ljwMiM"",
      ""GSC最新!A:F""
    ),
    6,
    FALSE
  ),
  0
)
"),46081.0)</f>
        <v>46081</v>
      </c>
      <c r="AE53" s="54">
        <f>IFERROR(__xludf.DUMMYFUNCTION("IFERROR(
  VLOOKUP(
    A53,
    IMPORTRANGE(
      ""1SCYQd7_cobOYqT0r_F0IqD4tE4rYn5y8Eup4PJTH8es"",
      ""Snapshot!A:M""
    ),
    5,
    FALSE
  ),
  ""-""
)
"),1.0)</f>
        <v>1</v>
      </c>
      <c r="AF53" s="54">
        <f>IFERROR(__xludf.DUMMYFUNCTION("IFERROR(
  VLOOKUP(
    A53,
    IMPORTRANGE(
      ""1SCYQd7_cobOYqT0r_F0IqD4tE4rYn5y8Eup4PJTH8es"",
      ""Snapshot!A:M""
    ),
    6,
    FALSE
  ),
  0
)
"),2.0)</f>
        <v>2</v>
      </c>
      <c r="AG53" s="54">
        <f>IFERROR(__xludf.DUMMYFUNCTION("IFERROR(
  VLOOKUP(
    A53,
    IMPORTRANGE(
      ""1SCYQd7_cobOYqT0r_F0IqD4tE4rYn5y8Eup4PJTH8es"",
      ""Snapshot!A:M""
    ),
    7,
    FALSE
  ),
  0
)
"),536.0)</f>
        <v>536</v>
      </c>
      <c r="AH53" s="54">
        <f>IFERROR(__xludf.DUMMYFUNCTION("IFERROR(
  VLOOKUP(
    A53,
    IMPORTRANGE(
      ""1SCYQd7_cobOYqT0r_F0IqD4tE4rYn5y8Eup4PJTH8es"",
      ""Snapshot!A:M""
    ),
    8,
    FALSE
  ),
  0
)
"),3.0)</f>
        <v>3</v>
      </c>
      <c r="AI53" s="54">
        <f>IFERROR(__xludf.DUMMYFUNCTION("IFERROR(
  VLOOKUP(
    A53,
    IMPORTRANGE(
      ""1SCYQd7_cobOYqT0r_F0IqD4tE4rYn5y8Eup4PJTH8es"",
      ""Snapshot!A:M""
    ),
    9,
    FALSE
  ),
  0
)
"),1.0)</f>
        <v>1</v>
      </c>
      <c r="AJ53" s="54">
        <f>IFERROR(__xludf.DUMMYFUNCTION("IFERROR(
  VLOOKUP(
    A53,
    IMPORTRANGE(
      ""1SCYQd7_cobOYqT0r_F0IqD4tE4rYn5y8Eup4PJTH8es"",
      ""Snapshot!A:M""
    ),
    13,
    FALSE
  ),
  0
)
"),3.0)</f>
        <v>3</v>
      </c>
      <c r="AK53" s="49">
        <f t="shared" ref="AK53:AL53" si="260">LEN(C53)</f>
        <v>30</v>
      </c>
      <c r="AL53" s="49">
        <f t="shared" si="260"/>
        <v>65</v>
      </c>
    </row>
    <row r="54">
      <c r="A54" s="3" t="s">
        <v>563</v>
      </c>
      <c r="B54" s="1" t="str">
        <f>IFERROR(__xludf.DUMMYFUNCTION("IFERROR(
  VLOOKUP(
    A54,
    IMPORTRANGE(
      ""1ZygntHC1J6IxzKbTidmOyf5nUyW4GCLurHCjexrLm_o"",
      ""HTMLキャッシュ!A:F""
    ),
    2,
    FALSE
  ),
  0
)
"),"MC")</f>
        <v>MC</v>
      </c>
      <c r="C54" s="1" t="str">
        <f>IFERROR(__xludf.DUMMYFUNCTION("IFERROR(
  VLOOKUP(
    A54,
    IMPORTRANGE(
      ""1ZygntHC1J6IxzKbTidmOyf5nUyW4GCLurHCjexrLm_o"",
      ""HTMLキャッシュ!A:F""
    ),
    5,
    FALSE
  ),
  0
)
"),"桜蔭中学校 国語2020｜字数指定なし記述の書き方と過去問の見方")</f>
        <v>桜蔭中学校 国語2020｜字数指定なし記述の書き方と過去問の見方</v>
      </c>
      <c r="D54" s="1" t="str">
        <f>IFERROR(__xludf.DUMMYFUNCTION("IFERROR(
  VLOOKUP(
    A54,
    IMPORTRANGE(
      ""1ZygntHC1J6IxzKbTidmOyf5nUyW4GCLurHCjexrLm_o        "",
      ""HTMLキャッシュ!A:F""
    ),
    6,
    FALSE
  ),
  0
)
"),"桜蔭中学校2020年国語の傾向と過去問を動画で解説。字数指定のない記述で何を書くか、文章量が多い中でどう取捨選択するかを具体的に整理。")</f>
        <v>桜蔭中学校2020年国語の傾向と過去問を動画で解説。字数指定のない記述で何を書くか、文章量が多い中でどう取捨選択するかを具体的に整理。</v>
      </c>
      <c r="E54" s="32">
        <f>IFERROR(__xludf.DUMMYFUNCTION("IFERROR(
  VLOOKUP(
    A54,
    IMPORTRANGE(
      ""1ZygntHC1J6IxzKbTidmOyf5nUyW4GCLurHCjexrLm_o        "",
      ""HTMLキャッシュ!A:F""
    ),
    3,
    FALSE
  ),
  0
)
"),46053.77048611111)</f>
        <v>46053.77049</v>
      </c>
      <c r="F54" s="49">
        <f>IFERROR(__xludf.DUMMYFUNCTION("IFERROR(
  VLOOKUP(
    A54,
    IMPORTRANGE(
      ""1ZHMy3vVUd_0MrSduXTe1etBb1HNpAlGwQr006ljwMiM"",
      ""GSC最新!A:F""
    ),
    2,
    FALSE
  ),
  0
)
"),3.0)</f>
        <v>3</v>
      </c>
      <c r="G54" s="49">
        <f>IFERROR(__xludf.DUMMYFUNCTION("IFERROR(
  VLOOKUP(
    A54,
    IMPORTRANGE(
      ""1ZHMy3vVUd_0MrSduXTe1etBb1HNpAlGwQr006ljwMiM"",
      ""GSC最新!A:F""
    ),
    3,
    FALSE
  ),
  0
)
"),7.0)</f>
        <v>7</v>
      </c>
      <c r="H54" s="49">
        <f>IFERROR(__xludf.DUMMYFUNCTION("IFERROR(
  VLOOKUP(
    A54,
    IMPORTRANGE(
      ""1ZHMy3vVUd_0MrSduXTe1etBb1HNpAlGwQr006ljwMiM"",
      ""GSC最新!A:F""
    ),
    4,
    FALSE
  ),
  0
)
"),1.0)</f>
        <v>1</v>
      </c>
      <c r="I54" s="49">
        <f>IFERROR(__xludf.DUMMYFUNCTION("IFERROR(
  VLOOKUP(
    A54,
    IMPORTRANGE(
      ""1ZHMy3vVUd_0MrSduXTe1etBb1HNpAlGwQr006ljwMiM"",
      ""GSC最新!A:F""
    ),
    5,
    FALSE
  ),
  0
)
"),1.0)</f>
        <v>1</v>
      </c>
      <c r="J54" s="50">
        <f t="shared" ref="J54:K54" si="261">IFERROR(F54/H54,"-")</f>
        <v>3</v>
      </c>
      <c r="K54" s="50">
        <f t="shared" si="261"/>
        <v>7</v>
      </c>
      <c r="L54" s="6">
        <f>IFERROR(__xludf.DUMMYFUNCTION("IFERROR(
  VLOOKUP(
    A54,
    IMPORTRANGE(
      ""1ZHMy3vVUd_0MrSduXTe1etBb1HNpAlGwQr006ljwMiM"",
      ""GSC最新!A:R""
    ),
    7,
    FALSE
  ),
  0
)
"),136.0)</f>
        <v>136</v>
      </c>
      <c r="M54" s="6">
        <f>IFERROR(__xludf.DUMMYFUNCTION("IFERROR(
  VLOOKUP(
    A54,
    IMPORTRANGE(
      ""1ZHMy3vVUd_0MrSduXTe1etBb1HNpAlGwQr006ljwMiM"",
      ""GSC最新!A:R""
    ),
    10,
    FALSE
  ),
  0
)
"),261.0)</f>
        <v>261</v>
      </c>
      <c r="N54" s="6">
        <f>IFERROR(__xludf.DUMMYFUNCTION("IFERROR(
  VLOOKUP(
    A54,
    IMPORTRANGE(
      ""1ZHMy3vVUd_0MrSduXTe1etBb1HNpAlGwQr006ljwMiM"",
      ""GSC最新!A:R""
    ),
    13,
    FALSE
  ),
  0
)
"),45.0)</f>
        <v>45</v>
      </c>
      <c r="O54" s="6">
        <f>IFERROR(__xludf.DUMMYFUNCTION("IFERROR(
  VLOOKUP(
    A54,
    IMPORTRANGE(
      ""1ZHMy3vVUd_0MrSduXTe1etBb1HNpAlGwQr006ljwMiM"",
      ""GSC最新!A:R""
    ),
    16,
    FALSE
  ),
  0
)
"),326.0)</f>
        <v>326</v>
      </c>
      <c r="P54" s="51">
        <f t="shared" ref="P54:Q54" si="262">IFERROR(L54/N54,"-")</f>
        <v>3.022222222</v>
      </c>
      <c r="Q54" s="51">
        <f t="shared" si="262"/>
        <v>0.8006134969</v>
      </c>
      <c r="R54" s="9">
        <f>IFERROR(__xludf.DUMMYFUNCTION("IFERROR(
  VLOOKUP(
    A54,
    IMPORTRANGE(
      ""1ZHMy3vVUd_0MrSduXTe1etBb1HNpAlGwQr006ljwMiM"",
      ""GSC最新!A:R""
    ),
    8,
    FALSE
  ),
  0
)
"),0.022058823529411766)</f>
        <v>0.02205882353</v>
      </c>
      <c r="S54" s="9">
        <f>IFERROR(__xludf.DUMMYFUNCTION("IFERROR(
  VLOOKUP(
    A54,
    IMPORTRANGE(
      ""1ZHMy3vVUd_0MrSduXTe1etBb1HNpAlGwQr006ljwMiM"",
      ""GSC最新!A:R""
    ),
    11,
    FALSE
  ),
  0
)
"),0.02681992337164751)</f>
        <v>0.02681992337</v>
      </c>
      <c r="T54" s="9">
        <f>IFERROR(__xludf.DUMMYFUNCTION("IFERROR(
  VLOOKUP(
    A54,
    IMPORTRANGE(
      ""1ZHMy3vVUd_0MrSduXTe1etBb1HNpAlGwQr006ljwMiM"",
      ""GSC最新!A:R""
    ),
    14,
    FALSE
  ),
  0
)
"),0.022222222222222223)</f>
        <v>0.02222222222</v>
      </c>
      <c r="U54" s="9">
        <f>IFERROR(__xludf.DUMMYFUNCTION("IFERROR(
  VLOOKUP(
    A54,
    IMPORTRANGE(
      ""1ZHMy3vVUd_0MrSduXTe1etBb1HNpAlGwQr006ljwMiM"",
      ""GSC最新!A:R""
    ),
    17,
    FALSE
  ),
  0
)
"),0.003067484662576687)</f>
        <v>0.003067484663</v>
      </c>
      <c r="V54" s="9">
        <f t="shared" ref="V54:W54" si="263">IFERROR(R54-T54,"-")</f>
        <v>-0.0001633986928</v>
      </c>
      <c r="W54" s="9">
        <f t="shared" si="263"/>
        <v>0.02375243871</v>
      </c>
      <c r="X54" s="65">
        <f>IFERROR(__xludf.DUMMYFUNCTION("IFERROR(
  VLOOKUP(
    A54,
    IMPORTRANGE(
      ""1ZHMy3vVUd_0MrSduXTe1etBb1HNpAlGwQr006ljwMiM"",
      ""GSC最新!A:R""
    ),
    9,
    FALSE
  ),
  0
)
"),10.485294117647058)</f>
        <v>10.48529412</v>
      </c>
      <c r="Y54" s="65">
        <f>IFERROR(__xludf.DUMMYFUNCTION("IFERROR(
  VLOOKUP(
    A54,
    IMPORTRANGE(
      ""1ZHMy3vVUd_0MrSduXTe1etBb1HNpAlGwQr006ljwMiM"",
      ""GSC最新!A:R""
    ),
    12,
    FALSE
  ),
  0
)
"),10.689655172413794)</f>
        <v>10.68965517</v>
      </c>
      <c r="Z54" s="65">
        <f>IFERROR(__xludf.DUMMYFUNCTION("IFERROR(
  VLOOKUP(
    A54,
    IMPORTRANGE(
      ""1ZHMy3vVUd_0MrSduXTe1etBb1HNpAlGwQr006ljwMiM"",
      ""GSC最新!A:R""
    ),
    15,
    FALSE
  ),
  0
)
"),64.4)</f>
        <v>64.4</v>
      </c>
      <c r="AA54" s="65">
        <f>IFERROR(__xludf.DUMMYFUNCTION("IFERROR(
  VLOOKUP(
    A54,
    IMPORTRANGE(
      ""1ZHMy3vVUd_0MrSduXTe1etBb1HNpAlGwQr006ljwMiM"",
      ""GSC最新!A:R""
    ),
    18,
    FALSE
  ),
  0
)
"),61.4478527607362)</f>
        <v>61.44785276</v>
      </c>
      <c r="AB54" s="65">
        <f t="shared" ref="AB54:AC54" si="264">X54-Z54</f>
        <v>-53.91470588</v>
      </c>
      <c r="AC54" s="65">
        <f t="shared" si="264"/>
        <v>-50.75819759</v>
      </c>
      <c r="AD54" s="53">
        <f>IFERROR(__xludf.DUMMYFUNCTION("IFERROR(
  VLOOKUP(
    A54,
    IMPORTRANGE(
      ""1ZHMy3vVUd_0MrSduXTe1etBb1HNpAlGwQr006ljwMiM"",
      ""GSC最新!A:F""
    ),
    6,
    FALSE
  ),
  0
)
"),46081.0)</f>
        <v>46081</v>
      </c>
      <c r="AE54" s="54">
        <f>IFERROR(__xludf.DUMMYFUNCTION("IFERROR(
  VLOOKUP(
    A54,
    IMPORTRANGE(
      ""1SCYQd7_cobOYqT0r_F0IqD4tE4rYn5y8Eup4PJTH8es"",
      ""Snapshot!A:M""
    ),
    5,
    FALSE
  ),
  ""-""
)
"),4.0)</f>
        <v>4</v>
      </c>
      <c r="AF54" s="54">
        <f>IFERROR(__xludf.DUMMYFUNCTION("IFERROR(
  VLOOKUP(
    A54,
    IMPORTRANGE(
      ""1SCYQd7_cobOYqT0r_F0IqD4tE4rYn5y8Eup4PJTH8es"",
      ""Snapshot!A:M""
    ),
    6,
    FALSE
  ),
  0
)
"),4.0)</f>
        <v>4</v>
      </c>
      <c r="AG54" s="54">
        <f>IFERROR(__xludf.DUMMYFUNCTION("IFERROR(
  VLOOKUP(
    A54,
    IMPORTRANGE(
      ""1SCYQd7_cobOYqT0r_F0IqD4tE4rYn5y8Eup4PJTH8es"",
      ""Snapshot!A:M""
    ),
    7,
    FALSE
  ),
  0
)
"),767.0)</f>
        <v>767</v>
      </c>
      <c r="AH54" s="54">
        <f>IFERROR(__xludf.DUMMYFUNCTION("IFERROR(
  VLOOKUP(
    A54,
    IMPORTRANGE(
      ""1SCYQd7_cobOYqT0r_F0IqD4tE4rYn5y8Eup4PJTH8es"",
      ""Snapshot!A:M""
    ),
    8,
    FALSE
  ),
  0
)
"),1.0)</f>
        <v>1</v>
      </c>
      <c r="AI54" s="54">
        <f>IFERROR(__xludf.DUMMYFUNCTION("IFERROR(
  VLOOKUP(
    A54,
    IMPORTRANGE(
      ""1SCYQd7_cobOYqT0r_F0IqD4tE4rYn5y8Eup4PJTH8es"",
      ""Snapshot!A:M""
    ),
    9,
    FALSE
  ),
  0
)
"),1.0)</f>
        <v>1</v>
      </c>
      <c r="AJ54" s="54">
        <f>IFERROR(__xludf.DUMMYFUNCTION("IFERROR(
  VLOOKUP(
    A54,
    IMPORTRANGE(
      ""1SCYQd7_cobOYqT0r_F0IqD4tE4rYn5y8Eup4PJTH8es"",
      ""Snapshot!A:M""
    ),
    13,
    FALSE
  ),
  0
)
"),3.0)</f>
        <v>3</v>
      </c>
      <c r="AK54" s="49">
        <f t="shared" ref="AK54:AL54" si="265">LEN(C54)</f>
        <v>32</v>
      </c>
      <c r="AL54" s="49">
        <f t="shared" si="265"/>
        <v>67</v>
      </c>
    </row>
    <row r="55">
      <c r="A55" s="3" t="s">
        <v>564</v>
      </c>
      <c r="B55" s="1" t="str">
        <f>IFERROR(__xludf.DUMMYFUNCTION("IFERROR(
  VLOOKUP(
    A55,
    IMPORTRANGE(
      ""1ZygntHC1J6IxzKbTidmOyf5nUyW4GCLurHCjexrLm_o"",
      ""HTMLキャッシュ!A:F""
    ),
    2,
    FALSE
  ),
  0
)
"),"MC")</f>
        <v>MC</v>
      </c>
      <c r="C55" s="1" t="str">
        <f>IFERROR(__xludf.DUMMYFUNCTION("IFERROR(
  VLOOKUP(
    A55,
    IMPORTRANGE(
      ""1ZygntHC1J6IxzKbTidmOyf5nUyW4GCLurHCjexrLm_o"",
      ""HTMLキャッシュ!A:F""
    ),
    5,
    FALSE
  ),
  0
)
"),"海城中2021国語過去問解説｜記述力と選択の読み方総整理")</f>
        <v>海城中2021国語過去問解説｜記述力と選択の読み方総整理</v>
      </c>
      <c r="D55" s="1" t="str">
        <f>IFERROR(__xludf.DUMMYFUNCTION("IFERROR(
  VLOOKUP(
    A55,
    IMPORTRANGE(
      ""1ZygntHC1J6IxzKbTidmOyf5nUyW4GCLurHCjexrLm_o        "",
      ""HTMLキャッシュ!A:F""
    ),
    6,
    FALSE
  ),
  0
)
"),"海城中学2021国語の代表2問を動画解説。記述は二要素指定→根拠2つ→一文化。選択は以前→今の変化を要約し言い換え一致で判断。")</f>
        <v>海城中学2021国語の代表2問を動画解説。記述は二要素指定→根拠2つ→一文化。選択は以前→今の変化を要約し言い換え一致で判断。</v>
      </c>
      <c r="E55" s="32">
        <f>IFERROR(__xludf.DUMMYFUNCTION("IFERROR(
  VLOOKUP(
    A55,
    IMPORTRANGE(
      ""1ZygntHC1J6IxzKbTidmOyf5nUyW4GCLurHCjexrLm_o        "",
      ""HTMLキャッシュ!A:F""
    ),
    3,
    FALSE
  ),
  0
)
"),46078.71505787037)</f>
        <v>46078.71506</v>
      </c>
      <c r="F55" s="49">
        <f>IFERROR(__xludf.DUMMYFUNCTION("IFERROR(
  VLOOKUP(
    A55,
    IMPORTRANGE(
      ""1ZHMy3vVUd_0MrSduXTe1etBb1HNpAlGwQr006ljwMiM"",
      ""GSC最新!A:F""
    ),
    2,
    FALSE
  ),
  0
)
"),1.0)</f>
        <v>1</v>
      </c>
      <c r="G55" s="49">
        <f>IFERROR(__xludf.DUMMYFUNCTION("IFERROR(
  VLOOKUP(
    A55,
    IMPORTRANGE(
      ""1ZHMy3vVUd_0MrSduXTe1etBb1HNpAlGwQr006ljwMiM"",
      ""GSC最新!A:F""
    ),
    3,
    FALSE
  ),
  0
)
"),7.0)</f>
        <v>7</v>
      </c>
      <c r="H55" s="49">
        <f>IFERROR(__xludf.DUMMYFUNCTION("IFERROR(
  VLOOKUP(
    A55,
    IMPORTRANGE(
      ""1ZHMy3vVUd_0MrSduXTe1etBb1HNpAlGwQr006ljwMiM"",
      ""GSC最新!A:F""
    ),
    4,
    FALSE
  ),
  0
)
"),1.0)</f>
        <v>1</v>
      </c>
      <c r="I55" s="49">
        <f>IFERROR(__xludf.DUMMYFUNCTION("IFERROR(
  VLOOKUP(
    A55,
    IMPORTRANGE(
      ""1ZHMy3vVUd_0MrSduXTe1etBb1HNpAlGwQr006ljwMiM"",
      ""GSC最新!A:F""
    ),
    5,
    FALSE
  ),
  0
)
"),10.0)</f>
        <v>10</v>
      </c>
      <c r="J55" s="50">
        <f t="shared" ref="J55:K55" si="266">IFERROR(F55/H55,"-")</f>
        <v>1</v>
      </c>
      <c r="K55" s="50">
        <f t="shared" si="266"/>
        <v>0.7</v>
      </c>
      <c r="L55" s="6">
        <f>IFERROR(__xludf.DUMMYFUNCTION("IFERROR(
  VLOOKUP(
    A55,
    IMPORTRANGE(
      ""1ZHMy3vVUd_0MrSduXTe1etBb1HNpAlGwQr006ljwMiM"",
      ""GSC最新!A:R""
    ),
    7,
    FALSE
  ),
  0
)
"),34.0)</f>
        <v>34</v>
      </c>
      <c r="M55" s="6">
        <f>IFERROR(__xludf.DUMMYFUNCTION("IFERROR(
  VLOOKUP(
    A55,
    IMPORTRANGE(
      ""1ZHMy3vVUd_0MrSduXTe1etBb1HNpAlGwQr006ljwMiM"",
      ""GSC最新!A:R""
    ),
    10,
    FALSE
  ),
  0
)
"),122.0)</f>
        <v>122</v>
      </c>
      <c r="N55" s="6">
        <f>IFERROR(__xludf.DUMMYFUNCTION("IFERROR(
  VLOOKUP(
    A55,
    IMPORTRANGE(
      ""1ZHMy3vVUd_0MrSduXTe1etBb1HNpAlGwQr006ljwMiM"",
      ""GSC最新!A:R""
    ),
    13,
    FALSE
  ),
  0
)
"),27.0)</f>
        <v>27</v>
      </c>
      <c r="O55" s="6">
        <f>IFERROR(__xludf.DUMMYFUNCTION("IFERROR(
  VLOOKUP(
    A55,
    IMPORTRANGE(
      ""1ZHMy3vVUd_0MrSduXTe1etBb1HNpAlGwQr006ljwMiM"",
      ""GSC最新!A:R""
    ),
    16,
    FALSE
  ),
  0
)
"),772.0)</f>
        <v>772</v>
      </c>
      <c r="P55" s="51">
        <f t="shared" ref="P55:Q55" si="267">IFERROR(L55/N55,"-")</f>
        <v>1.259259259</v>
      </c>
      <c r="Q55" s="51">
        <f t="shared" si="267"/>
        <v>0.1580310881</v>
      </c>
      <c r="R55" s="9">
        <f>IFERROR(__xludf.DUMMYFUNCTION("IFERROR(
  VLOOKUP(
    A55,
    IMPORTRANGE(
      ""1ZHMy3vVUd_0MrSduXTe1etBb1HNpAlGwQr006ljwMiM"",
      ""GSC最新!A:R""
    ),
    8,
    FALSE
  ),
  0
)
"),0.029411764705882353)</f>
        <v>0.02941176471</v>
      </c>
      <c r="S55" s="9">
        <f>IFERROR(__xludf.DUMMYFUNCTION("IFERROR(
  VLOOKUP(
    A55,
    IMPORTRANGE(
      ""1ZHMy3vVUd_0MrSduXTe1etBb1HNpAlGwQr006ljwMiM"",
      ""GSC最新!A:R""
    ),
    11,
    FALSE
  ),
  0
)
"),0.05737704918032787)</f>
        <v>0.05737704918</v>
      </c>
      <c r="T55" s="9">
        <f>IFERROR(__xludf.DUMMYFUNCTION("IFERROR(
  VLOOKUP(
    A55,
    IMPORTRANGE(
      ""1ZHMy3vVUd_0MrSduXTe1etBb1HNpAlGwQr006ljwMiM"",
      ""GSC最新!A:R""
    ),
    14,
    FALSE
  ),
  0
)
"),0.037037037037037035)</f>
        <v>0.03703703704</v>
      </c>
      <c r="U55" s="9">
        <f>IFERROR(__xludf.DUMMYFUNCTION("IFERROR(
  VLOOKUP(
    A55,
    IMPORTRANGE(
      ""1ZHMy3vVUd_0MrSduXTe1etBb1HNpAlGwQr006ljwMiM"",
      ""GSC最新!A:R""
    ),
    17,
    FALSE
  ),
  0
)
"),0.012953367875647668)</f>
        <v>0.01295336788</v>
      </c>
      <c r="V55" s="9">
        <f t="shared" ref="V55:W55" si="268">IFERROR(R55-T55,"-")</f>
        <v>-0.007625272331</v>
      </c>
      <c r="W55" s="9">
        <f t="shared" si="268"/>
        <v>0.0444236813</v>
      </c>
      <c r="X55" s="65">
        <f>IFERROR(__xludf.DUMMYFUNCTION("IFERROR(
  VLOOKUP(
    A55,
    IMPORTRANGE(
      ""1ZHMy3vVUd_0MrSduXTe1etBb1HNpAlGwQr006ljwMiM"",
      ""GSC最新!A:R""
    ),
    9,
    FALSE
  ),
  0
)
"),17.61764705882353)</f>
        <v>17.61764706</v>
      </c>
      <c r="Y55" s="65">
        <f>IFERROR(__xludf.DUMMYFUNCTION("IFERROR(
  VLOOKUP(
    A55,
    IMPORTRANGE(
      ""1ZHMy3vVUd_0MrSduXTe1etBb1HNpAlGwQr006ljwMiM"",
      ""GSC最新!A:R""
    ),
    12,
    FALSE
  ),
  0
)
"),15.704918032786885)</f>
        <v>15.70491803</v>
      </c>
      <c r="Z55" s="65">
        <f>IFERROR(__xludf.DUMMYFUNCTION("IFERROR(
  VLOOKUP(
    A55,
    IMPORTRANGE(
      ""1ZHMy3vVUd_0MrSduXTe1etBb1HNpAlGwQr006ljwMiM"",
      ""GSC最新!A:R""
    ),
    15,
    FALSE
  ),
  0
)
"),22.925925925925927)</f>
        <v>22.92592593</v>
      </c>
      <c r="AA55" s="65">
        <f>IFERROR(__xludf.DUMMYFUNCTION("IFERROR(
  VLOOKUP(
    A55,
    IMPORTRANGE(
      ""1ZHMy3vVUd_0MrSduXTe1etBb1HNpAlGwQr006ljwMiM"",
      ""GSC最新!A:R""
    ),
    18,
    FALSE
  ),
  0
)
"),57.924870466321245)</f>
        <v>57.92487047</v>
      </c>
      <c r="AB55" s="65">
        <f t="shared" ref="AB55:AC55" si="269">X55-Z55</f>
        <v>-5.308278867</v>
      </c>
      <c r="AC55" s="65">
        <f t="shared" si="269"/>
        <v>-42.21995243</v>
      </c>
      <c r="AD55" s="53">
        <f>IFERROR(__xludf.DUMMYFUNCTION("IFERROR(
  VLOOKUP(
    A55,
    IMPORTRANGE(
      ""1ZHMy3vVUd_0MrSduXTe1etBb1HNpAlGwQr006ljwMiM"",
      ""GSC最新!A:F""
    ),
    6,
    FALSE
  ),
  0
)
"),46081.0)</f>
        <v>46081</v>
      </c>
      <c r="AE55" s="54">
        <f>IFERROR(__xludf.DUMMYFUNCTION("IFERROR(
  VLOOKUP(
    A55,
    IMPORTRANGE(
      ""1SCYQd7_cobOYqT0r_F0IqD4tE4rYn5y8Eup4PJTH8es"",
      ""Snapshot!A:M""
    ),
    5,
    FALSE
  ),
  ""-""
)
"),6.0)</f>
        <v>6</v>
      </c>
      <c r="AF55" s="54">
        <f>IFERROR(__xludf.DUMMYFUNCTION("IFERROR(
  VLOOKUP(
    A55,
    IMPORTRANGE(
      ""1SCYQd7_cobOYqT0r_F0IqD4tE4rYn5y8Eup4PJTH8es"",
      ""Snapshot!A:M""
    ),
    6,
    FALSE
  ),
  0
)
"),16.0)</f>
        <v>16</v>
      </c>
      <c r="AG55" s="54">
        <f>IFERROR(__xludf.DUMMYFUNCTION("IFERROR(
  VLOOKUP(
    A55,
    IMPORTRANGE(
      ""1SCYQd7_cobOYqT0r_F0IqD4tE4rYn5y8Eup4PJTH8es"",
      ""Snapshot!A:M""
    ),
    7,
    FALSE
  ),
  0
)
"),3398.0)</f>
        <v>3398</v>
      </c>
      <c r="AH55" s="54">
        <f>IFERROR(__xludf.DUMMYFUNCTION("IFERROR(
  VLOOKUP(
    A55,
    IMPORTRANGE(
      ""1SCYQd7_cobOYqT0r_F0IqD4tE4rYn5y8Eup4PJTH8es"",
      ""Snapshot!A:M""
    ),
    8,
    FALSE
  ),
  0
)
"),3.0)</f>
        <v>3</v>
      </c>
      <c r="AI55" s="54">
        <f>IFERROR(__xludf.DUMMYFUNCTION("IFERROR(
  VLOOKUP(
    A55,
    IMPORTRANGE(
      ""1SCYQd7_cobOYqT0r_F0IqD4tE4rYn5y8Eup4PJTH8es"",
      ""Snapshot!A:M""
    ),
    9,
    FALSE
  ),
  0
)
"),3.0)</f>
        <v>3</v>
      </c>
      <c r="AJ55" s="54">
        <f>IFERROR(__xludf.DUMMYFUNCTION("IFERROR(
  VLOOKUP(
    A55,
    IMPORTRANGE(
      ""1SCYQd7_cobOYqT0r_F0IqD4tE4rYn5y8Eup4PJTH8es"",
      ""Snapshot!A:M""
    ),
    13,
    FALSE
  ),
  0
)
"),3.0)</f>
        <v>3</v>
      </c>
      <c r="AK55" s="49">
        <f t="shared" ref="AK55:AL55" si="270">LEN(C55)</f>
        <v>28</v>
      </c>
      <c r="AL55" s="49">
        <f t="shared" si="270"/>
        <v>63</v>
      </c>
    </row>
    <row r="56">
      <c r="A56" s="3" t="s">
        <v>111</v>
      </c>
      <c r="B56" s="1" t="str">
        <f>IFERROR(__xludf.DUMMYFUNCTION("IFERROR(
  VLOOKUP(
    A56,
    IMPORTRANGE(
      ""1ZygntHC1J6IxzKbTidmOyf5nUyW4GCLurHCjexrLm_o"",
      ""HTMLキャッシュ!A:F""
    ),
    2,
    FALSE
  ),
  0
)
"),"-")</f>
        <v>-</v>
      </c>
      <c r="C56" s="1" t="str">
        <f>IFERROR(__xludf.DUMMYFUNCTION("IFERROR(
  VLOOKUP(
    A56,
    IMPORTRANGE(
      ""1ZygntHC1J6IxzKbTidmOyf5nUyW4GCLurHCjexrLm_o"",
      ""HTMLキャッシュ!A:F""
    ),
    5,
    FALSE
  ),
  0
)
"),"読解ラボ東京の過去問解説 - 受験国語専門 読解ラボ東京 | 中学受験・大学受験対応の個別指導国語専門塾（オンライン・教室対応）")</f>
        <v>読解ラボ東京の過去問解説 - 受験国語専門 読解ラボ東京 | 中学受験・大学受験対応の個別指導国語専門塾（オンライン・教室対応）</v>
      </c>
      <c r="D56" s="1" t="str">
        <f>IFERROR(__xludf.DUMMYFUNCTION("IFERROR(
  VLOOKUP(
    A56,
    IMPORTRANGE(
      ""1ZygntHC1J6IxzKbTidmOyf5nUyW4GCLurHCjexrLm_o        "",
      ""HTMLキャッシュ!A:F""
    ),
    6,
    FALSE
  ),
  0
)
"),"読解ラボ東京の過去問解説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読解ラボ東京の過去問解説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56" s="32">
        <f>IFERROR(__xludf.DUMMYFUNCTION("IFERROR(
  VLOOKUP(
    A56,
    IMPORTRANGE(
      ""1ZygntHC1J6IxzKbTidmOyf5nUyW4GCLurHCjexrLm_o        "",
      ""HTMLキャッシュ!A:F""
    ),
    3,
    FALSE
  ),
  0
)
"),25569.375)</f>
        <v>25569.375</v>
      </c>
      <c r="F56" s="49">
        <f>IFERROR(__xludf.DUMMYFUNCTION("IFERROR(
  VLOOKUP(
    A56,
    IMPORTRANGE(
      ""1ZHMy3vVUd_0MrSduXTe1etBb1HNpAlGwQr006ljwMiM"",
      ""GSC最新!A:F""
    ),
    2,
    FALSE
  ),
  0
)
"),4.0)</f>
        <v>4</v>
      </c>
      <c r="G56" s="49">
        <f>IFERROR(__xludf.DUMMYFUNCTION("IFERROR(
  VLOOKUP(
    A56,
    IMPORTRANGE(
      ""1ZHMy3vVUd_0MrSduXTe1etBb1HNpAlGwQr006ljwMiM"",
      ""GSC最新!A:F""
    ),
    3,
    FALSE
  ),
  0
)
"),8.0)</f>
        <v>8</v>
      </c>
      <c r="H56" s="49">
        <f>IFERROR(__xludf.DUMMYFUNCTION("IFERROR(
  VLOOKUP(
    A56,
    IMPORTRANGE(
      ""1ZHMy3vVUd_0MrSduXTe1etBb1HNpAlGwQr006ljwMiM"",
      ""GSC最新!A:F""
    ),
    4,
    FALSE
  ),
  0
)
"),0.0)</f>
        <v>0</v>
      </c>
      <c r="I56" s="49">
        <f>IFERROR(__xludf.DUMMYFUNCTION("IFERROR(
  VLOOKUP(
    A56,
    IMPORTRANGE(
      ""1ZHMy3vVUd_0MrSduXTe1etBb1HNpAlGwQr006ljwMiM"",
      ""GSC最新!A:F""
    ),
    5,
    FALSE
  ),
  0
)
"),4.0)</f>
        <v>4</v>
      </c>
      <c r="J56" s="50" t="str">
        <f t="shared" ref="J56:K56" si="271">IFERROR(F56/H56,"-")</f>
        <v>-</v>
      </c>
      <c r="K56" s="50">
        <f t="shared" si="271"/>
        <v>2</v>
      </c>
      <c r="L56" s="6">
        <f>IFERROR(__xludf.DUMMYFUNCTION("IFERROR(
  VLOOKUP(
    A56,
    IMPORTRANGE(
      ""1ZHMy3vVUd_0MrSduXTe1etBb1HNpAlGwQr006ljwMiM"",
      ""GSC最新!A:R""
    ),
    7,
    FALSE
  ),
  0
)
"),102.0)</f>
        <v>102</v>
      </c>
      <c r="M56" s="6">
        <f>IFERROR(__xludf.DUMMYFUNCTION("IFERROR(
  VLOOKUP(
    A56,
    IMPORTRANGE(
      ""1ZHMy3vVUd_0MrSduXTe1etBb1HNpAlGwQr006ljwMiM"",
      ""GSC最新!A:R""
    ),
    10,
    FALSE
  ),
  0
)
"),317.0)</f>
        <v>317</v>
      </c>
      <c r="N56" s="6">
        <f>IFERROR(__xludf.DUMMYFUNCTION("IFERROR(
  VLOOKUP(
    A56,
    IMPORTRANGE(
      ""1ZHMy3vVUd_0MrSduXTe1etBb1HNpAlGwQr006ljwMiM"",
      ""GSC最新!A:R""
    ),
    13,
    FALSE
  ),
  0
)
"),36.0)</f>
        <v>36</v>
      </c>
      <c r="O56" s="6">
        <f>IFERROR(__xludf.DUMMYFUNCTION("IFERROR(
  VLOOKUP(
    A56,
    IMPORTRANGE(
      ""1ZHMy3vVUd_0MrSduXTe1etBb1HNpAlGwQr006ljwMiM"",
      ""GSC最新!A:R""
    ),
    16,
    FALSE
  ),
  0
)
"),146.0)</f>
        <v>146</v>
      </c>
      <c r="P56" s="51">
        <f t="shared" ref="P56:Q56" si="272">IFERROR(L56/N56,"-")</f>
        <v>2.833333333</v>
      </c>
      <c r="Q56" s="51">
        <f t="shared" si="272"/>
        <v>2.171232877</v>
      </c>
      <c r="R56" s="9">
        <f>IFERROR(__xludf.DUMMYFUNCTION("IFERROR(
  VLOOKUP(
    A56,
    IMPORTRANGE(
      ""1ZHMy3vVUd_0MrSduXTe1etBb1HNpAlGwQr006ljwMiM"",
      ""GSC最新!A:R""
    ),
    8,
    FALSE
  ),
  0
)
"),0.0392156862745098)</f>
        <v>0.03921568627</v>
      </c>
      <c r="S56" s="9">
        <f>IFERROR(__xludf.DUMMYFUNCTION("IFERROR(
  VLOOKUP(
    A56,
    IMPORTRANGE(
      ""1ZHMy3vVUd_0MrSduXTe1etBb1HNpAlGwQr006ljwMiM"",
      ""GSC最新!A:R""
    ),
    11,
    FALSE
  ),
  0
)
"),0.025236593059936908)</f>
        <v>0.02523659306</v>
      </c>
      <c r="T56" s="9">
        <f>IFERROR(__xludf.DUMMYFUNCTION("IFERROR(
  VLOOKUP(
    A56,
    IMPORTRANGE(
      ""1ZHMy3vVUd_0MrSduXTe1etBb1HNpAlGwQr006ljwMiM"",
      ""GSC最新!A:R""
    ),
    14,
    FALSE
  ),
  0
)
"),0.0)</f>
        <v>0</v>
      </c>
      <c r="U56" s="9">
        <f>IFERROR(__xludf.DUMMYFUNCTION("IFERROR(
  VLOOKUP(
    A56,
    IMPORTRANGE(
      ""1ZHMy3vVUd_0MrSduXTe1etBb1HNpAlGwQr006ljwMiM"",
      ""GSC最新!A:R""
    ),
    17,
    FALSE
  ),
  0
)
"),0.0273972602739726)</f>
        <v>0.02739726027</v>
      </c>
      <c r="V56" s="9">
        <f t="shared" ref="V56:W56" si="273">IFERROR(R56-T56,"-")</f>
        <v>0.03921568627</v>
      </c>
      <c r="W56" s="9">
        <f t="shared" si="273"/>
        <v>-0.002160667214</v>
      </c>
      <c r="X56" s="65">
        <f>IFERROR(__xludf.DUMMYFUNCTION("IFERROR(
  VLOOKUP(
    A56,
    IMPORTRANGE(
      ""1ZHMy3vVUd_0MrSduXTe1etBb1HNpAlGwQr006ljwMiM"",
      ""GSC最新!A:R""
    ),
    9,
    FALSE
  ),
  0
)
"),6.745098039215686)</f>
        <v>6.745098039</v>
      </c>
      <c r="Y56" s="65">
        <f>IFERROR(__xludf.DUMMYFUNCTION("IFERROR(
  VLOOKUP(
    A56,
    IMPORTRANGE(
      ""1ZHMy3vVUd_0MrSduXTe1etBb1HNpAlGwQr006ljwMiM"",
      ""GSC最新!A:R""
    ),
    12,
    FALSE
  ),
  0
)
"),6.280757097791798)</f>
        <v>6.280757098</v>
      </c>
      <c r="Z56" s="65">
        <f>IFERROR(__xludf.DUMMYFUNCTION("IFERROR(
  VLOOKUP(
    A56,
    IMPORTRANGE(
      ""1ZHMy3vVUd_0MrSduXTe1etBb1HNpAlGwQr006ljwMiM"",
      ""GSC最新!A:R""
    ),
    15,
    FALSE
  ),
  0
)
"),6.027777777777778)</f>
        <v>6.027777778</v>
      </c>
      <c r="AA56" s="65">
        <f>IFERROR(__xludf.DUMMYFUNCTION("IFERROR(
  VLOOKUP(
    A56,
    IMPORTRANGE(
      ""1ZHMy3vVUd_0MrSduXTe1etBb1HNpAlGwQr006ljwMiM"",
      ""GSC最新!A:R""
    ),
    18,
    FALSE
  ),
  0
)
"),21.431506849315067)</f>
        <v>21.43150685</v>
      </c>
      <c r="AB56" s="65">
        <f t="shared" ref="AB56:AC56" si="274">X56-Z56</f>
        <v>0.7173202614</v>
      </c>
      <c r="AC56" s="65">
        <f t="shared" si="274"/>
        <v>-15.15074975</v>
      </c>
      <c r="AD56" s="53">
        <f>IFERROR(__xludf.DUMMYFUNCTION("IFERROR(
  VLOOKUP(
    A56,
    IMPORTRANGE(
      ""1ZHMy3vVUd_0MrSduXTe1etBb1HNpAlGwQr006ljwMiM"",
      ""GSC最新!A:F""
    ),
    6,
    FALSE
  ),
  0
)
"),46081.0)</f>
        <v>46081</v>
      </c>
      <c r="AE56" s="54">
        <f>IFERROR(__xludf.DUMMYFUNCTION("IFERROR(
  VLOOKUP(
    A56,
    IMPORTRANGE(
      ""1SCYQd7_cobOYqT0r_F0IqD4tE4rYn5y8Eup4PJTH8es"",
      ""Snapshot!A:M""
    ),
    5,
    FALSE
  ),
  ""-""
)
"),0.0)</f>
        <v>0</v>
      </c>
      <c r="AF56" s="54">
        <f>IFERROR(__xludf.DUMMYFUNCTION("IFERROR(
  VLOOKUP(
    A56,
    IMPORTRANGE(
      ""1SCYQd7_cobOYqT0r_F0IqD4tE4rYn5y8Eup4PJTH8es"",
      ""Snapshot!A:M""
    ),
    6,
    FALSE
  ),
  0
)
"),0.0)</f>
        <v>0</v>
      </c>
      <c r="AG56" s="54">
        <f>IFERROR(__xludf.DUMMYFUNCTION("IFERROR(
  VLOOKUP(
    A56,
    IMPORTRANGE(
      ""1SCYQd7_cobOYqT0r_F0IqD4tE4rYn5y8Eup4PJTH8es"",
      ""Snapshot!A:M""
    ),
    7,
    FALSE
  ),
  0
)
"),0.0)</f>
        <v>0</v>
      </c>
      <c r="AH56" s="54">
        <f>IFERROR(__xludf.DUMMYFUNCTION("IFERROR(
  VLOOKUP(
    A56,
    IMPORTRANGE(
      ""1SCYQd7_cobOYqT0r_F0IqD4tE4rYn5y8Eup4PJTH8es"",
      ""Snapshot!A:M""
    ),
    8,
    FALSE
  ),
  0
)
"),0.0)</f>
        <v>0</v>
      </c>
      <c r="AI56" s="54">
        <f>IFERROR(__xludf.DUMMYFUNCTION("IFERROR(
  VLOOKUP(
    A56,
    IMPORTRANGE(
      ""1SCYQd7_cobOYqT0r_F0IqD4tE4rYn5y8Eup4PJTH8es"",
      ""Snapshot!A:M""
    ),
    9,
    FALSE
  ),
  0
)
"),0.0)</f>
        <v>0</v>
      </c>
      <c r="AJ56" s="54">
        <f>IFERROR(__xludf.DUMMYFUNCTION("IFERROR(
  VLOOKUP(
    A56,
    IMPORTRANGE(
      ""1SCYQd7_cobOYqT0r_F0IqD4tE4rYn5y8Eup4PJTH8es"",
      ""Snapshot!A:M""
    ),
    13,
    FALSE
  ),
  0
)
"),2.0)</f>
        <v>2</v>
      </c>
      <c r="AK56" s="49">
        <f t="shared" ref="AK56:AL56" si="275">LEN(C56)</f>
        <v>64</v>
      </c>
      <c r="AL56" s="49">
        <f t="shared" si="275"/>
        <v>142</v>
      </c>
    </row>
    <row r="57">
      <c r="A57" s="3" t="s">
        <v>565</v>
      </c>
      <c r="B57" s="1" t="str">
        <f>IFERROR(__xludf.DUMMYFUNCTION("IFERROR(
  VLOOKUP(
    A57,
    IMPORTRANGE(
      ""1ZygntHC1J6IxzKbTidmOyf5nUyW4GCLurHCjexrLm_o"",
      ""HTMLキャッシュ!A:F""
    ),
    2,
    FALSE
  ),
  0
)
"),"ST")</f>
        <v>ST</v>
      </c>
      <c r="C57" s="1" t="str">
        <f>IFERROR(__xludf.DUMMYFUNCTION("IFERROR(
  VLOOKUP(
    A57,
    IMPORTRANGE(
      ""1ZygntHC1J6IxzKbTidmOyf5nUyW4GCLurHCjexrLm_o"",
      ""HTMLキャッシュ!A:F""
    ),
    5,
    FALSE
  ),
  0
)
"),"スケジュール - 受験国語専門 読解ラボ東京 | 中学受験・大学受験対応の個別指導国語専門塾（オンライン・教室対応）")</f>
        <v>スケジュール - 受験国語専門 読解ラボ東京 | 中学受験・大学受験対応の個別指導国語専門塾（オンライン・教室対応）</v>
      </c>
      <c r="D57" s="1" t="str">
        <f>IFERROR(__xludf.DUMMYFUNCTION("IFERROR(
  VLOOKUP(
    A57,
    IMPORTRANGE(
      ""1ZygntHC1J6IxzKbTidmOyf5nUyW4GCLurHCjexrLm_o        "",
      ""HTMLキャッシュ!A:F""
    ),
    6,
    FALSE
  ),
  0
)
"),"１．直近４週間分の空きコマ状況 直近４週間分の空きコマ状況は以下よりご確認いただけます。 細かな")</f>
        <v>１．直近４週間分の空きコマ状況 直近４週間分の空きコマ状況は以下よりご確認いただけます。 細かな</v>
      </c>
      <c r="E57" s="32">
        <f>IFERROR(__xludf.DUMMYFUNCTION("IFERROR(
  VLOOKUP(
    A57,
    IMPORTRANGE(
      ""1ZygntHC1J6IxzKbTidmOyf5nUyW4GCLurHCjexrLm_o        "",
      ""HTMLキャッシュ!A:F""
    ),
    3,
    FALSE
  ),
  0
)
"),45970.58226851852)</f>
        <v>45970.58227</v>
      </c>
      <c r="F57" s="49">
        <f>IFERROR(__xludf.DUMMYFUNCTION("IFERROR(
  VLOOKUP(
    A57,
    IMPORTRANGE(
      ""1ZHMy3vVUd_0MrSduXTe1etBb1HNpAlGwQr006ljwMiM"",
      ""GSC最新!A:F""
    ),
    2,
    FALSE
  ),
  0
)
"),1.0)</f>
        <v>1</v>
      </c>
      <c r="G57" s="49">
        <f>IFERROR(__xludf.DUMMYFUNCTION("IFERROR(
  VLOOKUP(
    A57,
    IMPORTRANGE(
      ""1ZHMy3vVUd_0MrSduXTe1etBb1HNpAlGwQr006ljwMiM"",
      ""GSC最新!A:F""
    ),
    3,
    FALSE
  ),
  0
)
"),7.0)</f>
        <v>7</v>
      </c>
      <c r="H57" s="49">
        <f>IFERROR(__xludf.DUMMYFUNCTION("IFERROR(
  VLOOKUP(
    A57,
    IMPORTRANGE(
      ""1ZHMy3vVUd_0MrSduXTe1etBb1HNpAlGwQr006ljwMiM"",
      ""GSC最新!A:F""
    ),
    4,
    FALSE
  ),
  0
)
"),3.0)</f>
        <v>3</v>
      </c>
      <c r="I57" s="49">
        <f>IFERROR(__xludf.DUMMYFUNCTION("IFERROR(
  VLOOKUP(
    A57,
    IMPORTRANGE(
      ""1ZHMy3vVUd_0MrSduXTe1etBb1HNpAlGwQr006ljwMiM"",
      ""GSC最新!A:F""
    ),
    5,
    FALSE
  ),
  0
)
"),6.0)</f>
        <v>6</v>
      </c>
      <c r="J57" s="50">
        <f t="shared" ref="J57:K57" si="276">IFERROR(F57/H57,"-")</f>
        <v>0.3333333333</v>
      </c>
      <c r="K57" s="50">
        <f t="shared" si="276"/>
        <v>1.166666667</v>
      </c>
      <c r="L57" s="6">
        <f>IFERROR(__xludf.DUMMYFUNCTION("IFERROR(
  VLOOKUP(
    A57,
    IMPORTRANGE(
      ""1ZHMy3vVUd_0MrSduXTe1etBb1HNpAlGwQr006ljwMiM"",
      ""GSC最新!A:R""
    ),
    7,
    FALSE
  ),
  0
)
"),93.0)</f>
        <v>93</v>
      </c>
      <c r="M57" s="6">
        <f>IFERROR(__xludf.DUMMYFUNCTION("IFERROR(
  VLOOKUP(
    A57,
    IMPORTRANGE(
      ""1ZHMy3vVUd_0MrSduXTe1etBb1HNpAlGwQr006ljwMiM"",
      ""GSC最新!A:R""
    ),
    10,
    FALSE
  ),
  0
)
"),269.0)</f>
        <v>269</v>
      </c>
      <c r="N57" s="6">
        <f>IFERROR(__xludf.DUMMYFUNCTION("IFERROR(
  VLOOKUP(
    A57,
    IMPORTRANGE(
      ""1ZHMy3vVUd_0MrSduXTe1etBb1HNpAlGwQr006ljwMiM"",
      ""GSC最新!A:R""
    ),
    13,
    FALSE
  ),
  0
)
"),75.0)</f>
        <v>75</v>
      </c>
      <c r="O57" s="6">
        <f>IFERROR(__xludf.DUMMYFUNCTION("IFERROR(
  VLOOKUP(
    A57,
    IMPORTRANGE(
      ""1ZHMy3vVUd_0MrSduXTe1etBb1HNpAlGwQr006ljwMiM"",
      ""GSC最新!A:R""
    ),
    16,
    FALSE
  ),
  0
)
"),210.0)</f>
        <v>210</v>
      </c>
      <c r="P57" s="51">
        <f t="shared" ref="P57:Q57" si="277">IFERROR(L57/N57,"-")</f>
        <v>1.24</v>
      </c>
      <c r="Q57" s="51">
        <f t="shared" si="277"/>
        <v>1.280952381</v>
      </c>
      <c r="R57" s="9">
        <f>IFERROR(__xludf.DUMMYFUNCTION("IFERROR(
  VLOOKUP(
    A57,
    IMPORTRANGE(
      ""1ZHMy3vVUd_0MrSduXTe1etBb1HNpAlGwQr006ljwMiM"",
      ""GSC最新!A:R""
    ),
    8,
    FALSE
  ),
  0
)
"),0.010752688172043012)</f>
        <v>0.01075268817</v>
      </c>
      <c r="S57" s="9">
        <f>IFERROR(__xludf.DUMMYFUNCTION("IFERROR(
  VLOOKUP(
    A57,
    IMPORTRANGE(
      ""1ZHMy3vVUd_0MrSduXTe1etBb1HNpAlGwQr006ljwMiM"",
      ""GSC最新!A:R""
    ),
    11,
    FALSE
  ),
  0
)
"),0.026022304832713755)</f>
        <v>0.02602230483</v>
      </c>
      <c r="T57" s="9">
        <f>IFERROR(__xludf.DUMMYFUNCTION("IFERROR(
  VLOOKUP(
    A57,
    IMPORTRANGE(
      ""1ZHMy3vVUd_0MrSduXTe1etBb1HNpAlGwQr006ljwMiM"",
      ""GSC最新!A:R""
    ),
    14,
    FALSE
  ),
  0
)
"),0.04)</f>
        <v>0.04</v>
      </c>
      <c r="U57" s="9">
        <f>IFERROR(__xludf.DUMMYFUNCTION("IFERROR(
  VLOOKUP(
    A57,
    IMPORTRANGE(
      ""1ZHMy3vVUd_0MrSduXTe1etBb1HNpAlGwQr006ljwMiM"",
      ""GSC最新!A:R""
    ),
    17,
    FALSE
  ),
  0
)
"),0.02857142857142857)</f>
        <v>0.02857142857</v>
      </c>
      <c r="V57" s="9">
        <f t="shared" ref="V57:W57" si="278">IFERROR(R57-T57,"-")</f>
        <v>-0.02924731183</v>
      </c>
      <c r="W57" s="9">
        <f t="shared" si="278"/>
        <v>-0.002549123739</v>
      </c>
      <c r="X57" s="65">
        <f>IFERROR(__xludf.DUMMYFUNCTION("IFERROR(
  VLOOKUP(
    A57,
    IMPORTRANGE(
      ""1ZHMy3vVUd_0MrSduXTe1etBb1HNpAlGwQr006ljwMiM"",
      ""GSC最新!A:R""
    ),
    9,
    FALSE
  ),
  0
)
"),2.247311827956989)</f>
        <v>2.247311828</v>
      </c>
      <c r="Y57" s="65">
        <f>IFERROR(__xludf.DUMMYFUNCTION("IFERROR(
  VLOOKUP(
    A57,
    IMPORTRANGE(
      ""1ZHMy3vVUd_0MrSduXTe1etBb1HNpAlGwQr006ljwMiM"",
      ""GSC最新!A:R""
    ),
    12,
    FALSE
  ),
  0
)
"),1.895910780669145)</f>
        <v>1.895910781</v>
      </c>
      <c r="Z57" s="65">
        <f>IFERROR(__xludf.DUMMYFUNCTION("IFERROR(
  VLOOKUP(
    A57,
    IMPORTRANGE(
      ""1ZHMy3vVUd_0MrSduXTe1etBb1HNpAlGwQr006ljwMiM"",
      ""GSC最新!A:R""
    ),
    15,
    FALSE
  ),
  0
)
"),4.706666666666667)</f>
        <v>4.706666667</v>
      </c>
      <c r="AA57" s="65">
        <f>IFERROR(__xludf.DUMMYFUNCTION("IFERROR(
  VLOOKUP(
    A57,
    IMPORTRANGE(
      ""1ZHMy3vVUd_0MrSduXTe1etBb1HNpAlGwQr006ljwMiM"",
      ""GSC最新!A:R""
    ),
    18,
    FALSE
  ),
  0
)
"),3.080952380952381)</f>
        <v>3.080952381</v>
      </c>
      <c r="AB57" s="65">
        <f t="shared" ref="AB57:AC57" si="279">X57-Z57</f>
        <v>-2.459354839</v>
      </c>
      <c r="AC57" s="65">
        <f t="shared" si="279"/>
        <v>-1.1850416</v>
      </c>
      <c r="AD57" s="53">
        <f>IFERROR(__xludf.DUMMYFUNCTION("IFERROR(
  VLOOKUP(
    A57,
    IMPORTRANGE(
      ""1ZHMy3vVUd_0MrSduXTe1etBb1HNpAlGwQr006ljwMiM"",
      ""GSC最新!A:F""
    ),
    6,
    FALSE
  ),
  0
)
"),46081.0)</f>
        <v>46081</v>
      </c>
      <c r="AE57" s="54">
        <f>IFERROR(__xludf.DUMMYFUNCTION("IFERROR(
  VLOOKUP(
    A57,
    IMPORTRANGE(
      ""1SCYQd7_cobOYqT0r_F0IqD4tE4rYn5y8Eup4PJTH8es"",
      ""Snapshot!A:M""
    ),
    5,
    FALSE
  ),
  ""-""
)
"),3.0)</f>
        <v>3</v>
      </c>
      <c r="AF57" s="54">
        <f>IFERROR(__xludf.DUMMYFUNCTION("IFERROR(
  VLOOKUP(
    A57,
    IMPORTRANGE(
      ""1SCYQd7_cobOYqT0r_F0IqD4tE4rYn5y8Eup4PJTH8es"",
      ""Snapshot!A:M""
    ),
    6,
    FALSE
  ),
  0
)
"),0.0)</f>
        <v>0</v>
      </c>
      <c r="AG57" s="54">
        <f>IFERROR(__xludf.DUMMYFUNCTION("IFERROR(
  VLOOKUP(
    A57,
    IMPORTRANGE(
      ""1SCYQd7_cobOYqT0r_F0IqD4tE4rYn5y8Eup4PJTH8es"",
      ""Snapshot!A:M""
    ),
    7,
    FALSE
  ),
  0
)
"),219.0)</f>
        <v>219</v>
      </c>
      <c r="AH57" s="54">
        <f>IFERROR(__xludf.DUMMYFUNCTION("IFERROR(
  VLOOKUP(
    A57,
    IMPORTRANGE(
      ""1SCYQd7_cobOYqT0r_F0IqD4tE4rYn5y8Eup4PJTH8es"",
      ""Snapshot!A:M""
    ),
    8,
    FALSE
  ),
  0
)
"),3.0)</f>
        <v>3</v>
      </c>
      <c r="AI57" s="54">
        <f>IFERROR(__xludf.DUMMYFUNCTION("IFERROR(
  VLOOKUP(
    A57,
    IMPORTRANGE(
      ""1SCYQd7_cobOYqT0r_F0IqD4tE4rYn5y8Eup4PJTH8es"",
      ""Snapshot!A:M""
    ),
    9,
    FALSE
  ),
  0
)
"),1.0)</f>
        <v>1</v>
      </c>
      <c r="AJ57" s="54">
        <f>IFERROR(__xludf.DUMMYFUNCTION("IFERROR(
  VLOOKUP(
    A57,
    IMPORTRANGE(
      ""1SCYQd7_cobOYqT0r_F0IqD4tE4rYn5y8Eup4PJTH8es"",
      ""Snapshot!A:M""
    ),
    13,
    FALSE
  ),
  0
)
"),2.0)</f>
        <v>2</v>
      </c>
      <c r="AK57" s="49">
        <f t="shared" ref="AK57:AL57" si="280">LEN(C57)</f>
        <v>58</v>
      </c>
      <c r="AL57" s="49">
        <f t="shared" si="280"/>
        <v>48</v>
      </c>
    </row>
    <row r="58">
      <c r="A58" s="3" t="s">
        <v>566</v>
      </c>
      <c r="B58" s="1" t="str">
        <f>IFERROR(__xludf.DUMMYFUNCTION("IFERROR(
  VLOOKUP(
    A58,
    IMPORTRANGE(
      ""1ZygntHC1J6IxzKbTidmOyf5nUyW4GCLurHCjexrLm_o"",
      ""HTMLキャッシュ!A:F""
    ),
    2,
    FALSE
  ),
  0
)
"),"MC")</f>
        <v>MC</v>
      </c>
      <c r="C58" s="1" t="str">
        <f>IFERROR(__xludf.DUMMYFUNCTION("IFERROR(
  VLOOKUP(
    A58,
    IMPORTRANGE(
      ""1ZygntHC1J6IxzKbTidmOyf5nUyW4GCLurHCjexrLm_o"",
      ""HTMLキャッシュ!A:F""
    ),
    5,
    FALSE
  ),
  0
)
"),"開成中2020国語｜記述の要点圧縮｜小さい解答欄対策")</f>
        <v>開成中2020国語｜記述の要点圧縮｜小さい解答欄対策</v>
      </c>
      <c r="D58" s="1" t="str">
        <f>IFERROR(__xludf.DUMMYFUNCTION("IFERROR(
  VLOOKUP(
    A58,
    IMPORTRANGE(
      ""1ZygntHC1J6IxzKbTidmOyf5nUyW4GCLurHCjexrLm_o        "",
      ""HTMLキャッシュ!A:F""
    ),
    6,
    FALSE
  ),
  0
)
"),"開成中2020国語は漢字以外が記述中心。小さい解答欄に要点を絞る考え方と、厳選問題の解説動画で書き方を確認できる。")</f>
        <v>開成中2020国語は漢字以外が記述中心。小さい解答欄に要点を絞る考え方と、厳選問題の解説動画で書き方を確認できる。</v>
      </c>
      <c r="E58" s="32">
        <f>IFERROR(__xludf.DUMMYFUNCTION("IFERROR(
  VLOOKUP(
    A58,
    IMPORTRANGE(
      ""1ZygntHC1J6IxzKbTidmOyf5nUyW4GCLurHCjexrLm_o        "",
      ""HTMLキャッシュ!A:F""
    ),
    3,
    FALSE
  ),
  0
)
"),46078.841365740744)</f>
        <v>46078.84137</v>
      </c>
      <c r="F58" s="49">
        <f>IFERROR(__xludf.DUMMYFUNCTION("IFERROR(
  VLOOKUP(
    A58,
    IMPORTRANGE(
      ""1ZHMy3vVUd_0MrSduXTe1etBb1HNpAlGwQr006ljwMiM"",
      ""GSC最新!A:F""
    ),
    2,
    FALSE
  ),
  0
)
"),1.0)</f>
        <v>1</v>
      </c>
      <c r="G58" s="49">
        <f>IFERROR(__xludf.DUMMYFUNCTION("IFERROR(
  VLOOKUP(
    A58,
    IMPORTRANGE(
      ""1ZHMy3vVUd_0MrSduXTe1etBb1HNpAlGwQr006ljwMiM"",
      ""GSC最新!A:F""
    ),
    3,
    FALSE
  ),
  0
)
"),6.0)</f>
        <v>6</v>
      </c>
      <c r="H58" s="49">
        <f>IFERROR(__xludf.DUMMYFUNCTION("IFERROR(
  VLOOKUP(
    A58,
    IMPORTRANGE(
      ""1ZHMy3vVUd_0MrSduXTe1etBb1HNpAlGwQr006ljwMiM"",
      ""GSC最新!A:F""
    ),
    4,
    FALSE
  ),
  0
)
"),2.0)</f>
        <v>2</v>
      </c>
      <c r="I58" s="49">
        <f>IFERROR(__xludf.DUMMYFUNCTION("IFERROR(
  VLOOKUP(
    A58,
    IMPORTRANGE(
      ""1ZHMy3vVUd_0MrSduXTe1etBb1HNpAlGwQr006ljwMiM"",
      ""GSC最新!A:F""
    ),
    5,
    FALSE
  ),
  0
)
"),2.0)</f>
        <v>2</v>
      </c>
      <c r="J58" s="50">
        <f t="shared" ref="J58:K58" si="281">IFERROR(F58/H58,"-")</f>
        <v>0.5</v>
      </c>
      <c r="K58" s="50">
        <f t="shared" si="281"/>
        <v>3</v>
      </c>
      <c r="L58" s="6">
        <f>IFERROR(__xludf.DUMMYFUNCTION("IFERROR(
  VLOOKUP(
    A58,
    IMPORTRANGE(
      ""1ZHMy3vVUd_0MrSduXTe1etBb1HNpAlGwQr006ljwMiM"",
      ""GSC最新!A:R""
    ),
    7,
    FALSE
  ),
  0
)
"),58.0)</f>
        <v>58</v>
      </c>
      <c r="M58" s="6">
        <f>IFERROR(__xludf.DUMMYFUNCTION("IFERROR(
  VLOOKUP(
    A58,
    IMPORTRANGE(
      ""1ZHMy3vVUd_0MrSduXTe1etBb1HNpAlGwQr006ljwMiM"",
      ""GSC最新!A:R""
    ),
    10,
    FALSE
  ),
  0
)
"),156.0)</f>
        <v>156</v>
      </c>
      <c r="N58" s="6">
        <f>IFERROR(__xludf.DUMMYFUNCTION("IFERROR(
  VLOOKUP(
    A58,
    IMPORTRANGE(
      ""1ZHMy3vVUd_0MrSduXTe1etBb1HNpAlGwQr006ljwMiM"",
      ""GSC最新!A:R""
    ),
    13,
    FALSE
  ),
  0
)
"),111.0)</f>
        <v>111</v>
      </c>
      <c r="O58" s="6">
        <f>IFERROR(__xludf.DUMMYFUNCTION("IFERROR(
  VLOOKUP(
    A58,
    IMPORTRANGE(
      ""1ZHMy3vVUd_0MrSduXTe1etBb1HNpAlGwQr006ljwMiM"",
      ""GSC最新!A:R""
    ),
    16,
    FALSE
  ),
  0
)
"),236.0)</f>
        <v>236</v>
      </c>
      <c r="P58" s="51">
        <f t="shared" ref="P58:Q58" si="282">IFERROR(L58/N58,"-")</f>
        <v>0.5225225225</v>
      </c>
      <c r="Q58" s="51">
        <f t="shared" si="282"/>
        <v>0.6610169492</v>
      </c>
      <c r="R58" s="9">
        <f>IFERROR(__xludf.DUMMYFUNCTION("IFERROR(
  VLOOKUP(
    A58,
    IMPORTRANGE(
      ""1ZHMy3vVUd_0MrSduXTe1etBb1HNpAlGwQr006ljwMiM"",
      ""GSC最新!A:R""
    ),
    8,
    FALSE
  ),
  0
)
"),0.017241379310344827)</f>
        <v>0.01724137931</v>
      </c>
      <c r="S58" s="9">
        <f>IFERROR(__xludf.DUMMYFUNCTION("IFERROR(
  VLOOKUP(
    A58,
    IMPORTRANGE(
      ""1ZHMy3vVUd_0MrSduXTe1etBb1HNpAlGwQr006ljwMiM"",
      ""GSC最新!A:R""
    ),
    11,
    FALSE
  ),
  0
)
"),0.038461538461538464)</f>
        <v>0.03846153846</v>
      </c>
      <c r="T58" s="9">
        <f>IFERROR(__xludf.DUMMYFUNCTION("IFERROR(
  VLOOKUP(
    A58,
    IMPORTRANGE(
      ""1ZHMy3vVUd_0MrSduXTe1etBb1HNpAlGwQr006ljwMiM"",
      ""GSC最新!A:R""
    ),
    14,
    FALSE
  ),
  0
)
"),0.018018018018018018)</f>
        <v>0.01801801802</v>
      </c>
      <c r="U58" s="9">
        <f>IFERROR(__xludf.DUMMYFUNCTION("IFERROR(
  VLOOKUP(
    A58,
    IMPORTRANGE(
      ""1ZHMy3vVUd_0MrSduXTe1etBb1HNpAlGwQr006ljwMiM"",
      ""GSC最新!A:R""
    ),
    17,
    FALSE
  ),
  0
)
"),0.00847457627118644)</f>
        <v>0.008474576271</v>
      </c>
      <c r="V58" s="9">
        <f t="shared" ref="V58:W58" si="283">IFERROR(R58-T58,"-")</f>
        <v>-0.0007766387077</v>
      </c>
      <c r="W58" s="9">
        <f t="shared" si="283"/>
        <v>0.02998696219</v>
      </c>
      <c r="X58" s="65">
        <f>IFERROR(__xludf.DUMMYFUNCTION("IFERROR(
  VLOOKUP(
    A58,
    IMPORTRANGE(
      ""1ZHMy3vVUd_0MrSduXTe1etBb1HNpAlGwQr006ljwMiM"",
      ""GSC最新!A:R""
    ),
    9,
    FALSE
  ),
  0
)
"),12.793103448275861)</f>
        <v>12.79310345</v>
      </c>
      <c r="Y58" s="65">
        <f>IFERROR(__xludf.DUMMYFUNCTION("IFERROR(
  VLOOKUP(
    A58,
    IMPORTRANGE(
      ""1ZHMy3vVUd_0MrSduXTe1etBb1HNpAlGwQr006ljwMiM"",
      ""GSC最新!A:R""
    ),
    12,
    FALSE
  ),
  0
)
"),11.987179487179487)</f>
        <v>11.98717949</v>
      </c>
      <c r="Z58" s="65">
        <f>IFERROR(__xludf.DUMMYFUNCTION("IFERROR(
  VLOOKUP(
    A58,
    IMPORTRANGE(
      ""1ZHMy3vVUd_0MrSduXTe1etBb1HNpAlGwQr006ljwMiM"",
      ""GSC最新!A:R""
    ),
    15,
    FALSE
  ),
  0
)
"),57.62162162162162)</f>
        <v>57.62162162</v>
      </c>
      <c r="AA58" s="65">
        <f>IFERROR(__xludf.DUMMYFUNCTION("IFERROR(
  VLOOKUP(
    A58,
    IMPORTRANGE(
      ""1ZHMy3vVUd_0MrSduXTe1etBb1HNpAlGwQr006ljwMiM"",
      ""GSC最新!A:R""
    ),
    18,
    FALSE
  ),
  0
)
"),55.932203389830505)</f>
        <v>55.93220339</v>
      </c>
      <c r="AB58" s="65">
        <f t="shared" ref="AB58:AC58" si="284">X58-Z58</f>
        <v>-44.82851817</v>
      </c>
      <c r="AC58" s="65">
        <f t="shared" si="284"/>
        <v>-43.9450239</v>
      </c>
      <c r="AD58" s="53">
        <f>IFERROR(__xludf.DUMMYFUNCTION("IFERROR(
  VLOOKUP(
    A58,
    IMPORTRANGE(
      ""1ZHMy3vVUd_0MrSduXTe1etBb1HNpAlGwQr006ljwMiM"",
      ""GSC最新!A:F""
    ),
    6,
    FALSE
  ),
  0
)
"),46081.0)</f>
        <v>46081</v>
      </c>
      <c r="AE58" s="54">
        <f>IFERROR(__xludf.DUMMYFUNCTION("IFERROR(
  VLOOKUP(
    A58,
    IMPORTRANGE(
      ""1SCYQd7_cobOYqT0r_F0IqD4tE4rYn5y8Eup4PJTH8es"",
      ""Snapshot!A:M""
    ),
    5,
    FALSE
  ),
  ""-""
)
"),0.0)</f>
        <v>0</v>
      </c>
      <c r="AF58" s="54">
        <f>IFERROR(__xludf.DUMMYFUNCTION("IFERROR(
  VLOOKUP(
    A58,
    IMPORTRANGE(
      ""1SCYQd7_cobOYqT0r_F0IqD4tE4rYn5y8Eup4PJTH8es"",
      ""Snapshot!A:M""
    ),
    6,
    FALSE
  ),
  0
)
"),3.0)</f>
        <v>3</v>
      </c>
      <c r="AG58" s="54">
        <f>IFERROR(__xludf.DUMMYFUNCTION("IFERROR(
  VLOOKUP(
    A58,
    IMPORTRANGE(
      ""1SCYQd7_cobOYqT0r_F0IqD4tE4rYn5y8Eup4PJTH8es"",
      ""Snapshot!A:M""
    ),
    7,
    FALSE
  ),
  0
)
"),833.0)</f>
        <v>833</v>
      </c>
      <c r="AH58" s="54">
        <f>IFERROR(__xludf.DUMMYFUNCTION("IFERROR(
  VLOOKUP(
    A58,
    IMPORTRANGE(
      ""1SCYQd7_cobOYqT0r_F0IqD4tE4rYn5y8Eup4PJTH8es"",
      ""Snapshot!A:M""
    ),
    8,
    FALSE
  ),
  0
)
"),7.0)</f>
        <v>7</v>
      </c>
      <c r="AI58" s="54">
        <f>IFERROR(__xludf.DUMMYFUNCTION("IFERROR(
  VLOOKUP(
    A58,
    IMPORTRANGE(
      ""1SCYQd7_cobOYqT0r_F0IqD4tE4rYn5y8Eup4PJTH8es"",
      ""Snapshot!A:M""
    ),
    9,
    FALSE
  ),
  0
)
"),1.0)</f>
        <v>1</v>
      </c>
      <c r="AJ58" s="54">
        <f>IFERROR(__xludf.DUMMYFUNCTION("IFERROR(
  VLOOKUP(
    A58,
    IMPORTRANGE(
      ""1SCYQd7_cobOYqT0r_F0IqD4tE4rYn5y8Eup4PJTH8es"",
      ""Snapshot!A:M""
    ),
    13,
    FALSE
  ),
  0
)
"),3.0)</f>
        <v>3</v>
      </c>
      <c r="AK58" s="49">
        <f t="shared" ref="AK58:AL58" si="285">LEN(C58)</f>
        <v>26</v>
      </c>
      <c r="AL58" s="49">
        <f t="shared" si="285"/>
        <v>57</v>
      </c>
    </row>
    <row r="59">
      <c r="A59" s="3" t="s">
        <v>567</v>
      </c>
      <c r="B59" s="1" t="str">
        <f>IFERROR(__xludf.DUMMYFUNCTION("IFERROR(
  VLOOKUP(
    A59,
    IMPORTRANGE(
      ""1ZygntHC1J6IxzKbTidmOyf5nUyW4GCLurHCjexrLm_o"",
      ""HTMLキャッシュ!A:F""
    ),
    2,
    FALSE
  ),
  0
)
"),"MC")</f>
        <v>MC</v>
      </c>
      <c r="C59" s="1" t="str">
        <f>IFERROR(__xludf.DUMMYFUNCTION("IFERROR(
  VLOOKUP(
    A59,
    IMPORTRANGE(
      ""1ZygntHC1J6IxzKbTidmOyf5nUyW4GCLurHCjexrLm_o"",
      ""HTMLキャッシュ!A:F""
    ),
    5,
    FALSE
  ),
  0
)
"),"国語の偏差値を上げる方法｜語彙・読解・解き方｜中学受験")</f>
        <v>国語の偏差値を上げる方法｜語彙・読解・解き方｜中学受験</v>
      </c>
      <c r="D59" s="1" t="str">
        <f>IFERROR(__xludf.DUMMYFUNCTION("IFERROR(
  VLOOKUP(
    A59,
    IMPORTRANGE(
      ""1ZygntHC1J6IxzKbTidmOyf5nUyW4GCLurHCjexrLm_o        "",
      ""HTMLキャッシュ!A:F""
    ),
    6,
    FALSE
  ),
  0
)
"),"国語の偏差値を上げる方法を具体解説。語彙の増やし方、主語述語・指示語・接続語の読み方、時間配分、記述で点を積む考え方まで中学受験向けにまとめています。")</f>
        <v>国語の偏差値を上げる方法を具体解説。語彙の増やし方、主語述語・指示語・接続語の読み方、時間配分、記述で点を積む考え方まで中学受験向けにまとめています。</v>
      </c>
      <c r="E59" s="32">
        <f>IFERROR(__xludf.DUMMYFUNCTION("IFERROR(
  VLOOKUP(
    A59,
    IMPORTRANGE(
      ""1ZygntHC1J6IxzKbTidmOyf5nUyW4GCLurHCjexrLm_o        "",
      ""HTMLキャッシュ!A:F""
    ),
    3,
    FALSE
  ),
  0
)
"),46077.76113425926)</f>
        <v>46077.76113</v>
      </c>
      <c r="F59" s="49">
        <f>IFERROR(__xludf.DUMMYFUNCTION("IFERROR(
  VLOOKUP(
    A59,
    IMPORTRANGE(
      ""1ZHMy3vVUd_0MrSduXTe1etBb1HNpAlGwQr006ljwMiM"",
      ""GSC最新!A:F""
    ),
    2,
    FALSE
  ),
  0
)
"),1.0)</f>
        <v>1</v>
      </c>
      <c r="G59" s="49">
        <f>IFERROR(__xludf.DUMMYFUNCTION("IFERROR(
  VLOOKUP(
    A59,
    IMPORTRANGE(
      ""1ZHMy3vVUd_0MrSduXTe1etBb1HNpAlGwQr006ljwMiM"",
      ""GSC最新!A:F""
    ),
    3,
    FALSE
  ),
  0
)
"),6.0)</f>
        <v>6</v>
      </c>
      <c r="H59" s="49">
        <f>IFERROR(__xludf.DUMMYFUNCTION("IFERROR(
  VLOOKUP(
    A59,
    IMPORTRANGE(
      ""1ZHMy3vVUd_0MrSduXTe1etBb1HNpAlGwQr006ljwMiM"",
      ""GSC最新!A:F""
    ),
    4,
    FALSE
  ),
  0
)
"),0.0)</f>
        <v>0</v>
      </c>
      <c r="I59" s="49">
        <f>IFERROR(__xludf.DUMMYFUNCTION("IFERROR(
  VLOOKUP(
    A59,
    IMPORTRANGE(
      ""1ZHMy3vVUd_0MrSduXTe1etBb1HNpAlGwQr006ljwMiM"",
      ""GSC最新!A:F""
    ),
    5,
    FALSE
  ),
  0
)
"),2.0)</f>
        <v>2</v>
      </c>
      <c r="J59" s="50" t="str">
        <f t="shared" ref="J59:K59" si="286">IFERROR(F59/H59,"-")</f>
        <v>-</v>
      </c>
      <c r="K59" s="50">
        <f t="shared" si="286"/>
        <v>3</v>
      </c>
      <c r="L59" s="6">
        <f>IFERROR(__xludf.DUMMYFUNCTION("IFERROR(
  VLOOKUP(
    A59,
    IMPORTRANGE(
      ""1ZHMy3vVUd_0MrSduXTe1etBb1HNpAlGwQr006ljwMiM"",
      ""GSC最新!A:R""
    ),
    7,
    FALSE
  ),
  0
)
"),297.0)</f>
        <v>297</v>
      </c>
      <c r="M59" s="6">
        <f>IFERROR(__xludf.DUMMYFUNCTION("IFERROR(
  VLOOKUP(
    A59,
    IMPORTRANGE(
      ""1ZHMy3vVUd_0MrSduXTe1etBb1HNpAlGwQr006ljwMiM"",
      ""GSC最新!A:R""
    ),
    10,
    FALSE
  ),
  0
)
"),561.0)</f>
        <v>561</v>
      </c>
      <c r="N59" s="6">
        <f>IFERROR(__xludf.DUMMYFUNCTION("IFERROR(
  VLOOKUP(
    A59,
    IMPORTRANGE(
      ""1ZHMy3vVUd_0MrSduXTe1etBb1HNpAlGwQr006ljwMiM"",
      ""GSC最新!A:R""
    ),
    13,
    FALSE
  ),
  0
)
"),21.0)</f>
        <v>21</v>
      </c>
      <c r="O59" s="6">
        <f>IFERROR(__xludf.DUMMYFUNCTION("IFERROR(
  VLOOKUP(
    A59,
    IMPORTRANGE(
      ""1ZHMy3vVUd_0MrSduXTe1etBb1HNpAlGwQr006ljwMiM"",
      ""GSC最新!A:R""
    ),
    16,
    FALSE
  ),
  0
)
"),229.0)</f>
        <v>229</v>
      </c>
      <c r="P59" s="51">
        <f t="shared" ref="P59:Q59" si="287">IFERROR(L59/N59,"-")</f>
        <v>14.14285714</v>
      </c>
      <c r="Q59" s="51">
        <f t="shared" si="287"/>
        <v>2.449781659</v>
      </c>
      <c r="R59" s="9">
        <f>IFERROR(__xludf.DUMMYFUNCTION("IFERROR(
  VLOOKUP(
    A59,
    IMPORTRANGE(
      ""1ZHMy3vVUd_0MrSduXTe1etBb1HNpAlGwQr006ljwMiM"",
      ""GSC最新!A:R""
    ),
    8,
    FALSE
  ),
  0
)
"),0.003367003367003367)</f>
        <v>0.003367003367</v>
      </c>
      <c r="S59" s="9">
        <f>IFERROR(__xludf.DUMMYFUNCTION("IFERROR(
  VLOOKUP(
    A59,
    IMPORTRANGE(
      ""1ZHMy3vVUd_0MrSduXTe1etBb1HNpAlGwQr006ljwMiM"",
      ""GSC最新!A:R""
    ),
    11,
    FALSE
  ),
  0
)
"),0.0106951871657754)</f>
        <v>0.01069518717</v>
      </c>
      <c r="T59" s="9">
        <f>IFERROR(__xludf.DUMMYFUNCTION("IFERROR(
  VLOOKUP(
    A59,
    IMPORTRANGE(
      ""1ZHMy3vVUd_0MrSduXTe1etBb1HNpAlGwQr006ljwMiM"",
      ""GSC最新!A:R""
    ),
    14,
    FALSE
  ),
  0
)
"),0.0)</f>
        <v>0</v>
      </c>
      <c r="U59" s="9">
        <f>IFERROR(__xludf.DUMMYFUNCTION("IFERROR(
  VLOOKUP(
    A59,
    IMPORTRANGE(
      ""1ZHMy3vVUd_0MrSduXTe1etBb1HNpAlGwQr006ljwMiM"",
      ""GSC最新!A:R""
    ),
    17,
    FALSE
  ),
  0
)
"),0.008733624454148471)</f>
        <v>0.008733624454</v>
      </c>
      <c r="V59" s="9">
        <f t="shared" ref="V59:W59" si="288">IFERROR(R59-T59,"-")</f>
        <v>0.003367003367</v>
      </c>
      <c r="W59" s="9">
        <f t="shared" si="288"/>
        <v>0.001961562712</v>
      </c>
      <c r="X59" s="65">
        <f>IFERROR(__xludf.DUMMYFUNCTION("IFERROR(
  VLOOKUP(
    A59,
    IMPORTRANGE(
      ""1ZHMy3vVUd_0MrSduXTe1etBb1HNpAlGwQr006ljwMiM"",
      ""GSC最新!A:R""
    ),
    9,
    FALSE
  ),
  0
)
"),3.313131313131313)</f>
        <v>3.313131313</v>
      </c>
      <c r="Y59" s="65">
        <f>IFERROR(__xludf.DUMMYFUNCTION("IFERROR(
  VLOOKUP(
    A59,
    IMPORTRANGE(
      ""1ZHMy3vVUd_0MrSduXTe1etBb1HNpAlGwQr006ljwMiM"",
      ""GSC最新!A:R""
    ),
    12,
    FALSE
  ),
  0
)
"),3.802139037433155)</f>
        <v>3.802139037</v>
      </c>
      <c r="Z59" s="65">
        <f>IFERROR(__xludf.DUMMYFUNCTION("IFERROR(
  VLOOKUP(
    A59,
    IMPORTRANGE(
      ""1ZHMy3vVUd_0MrSduXTe1etBb1HNpAlGwQr006ljwMiM"",
      ""GSC最新!A:R""
    ),
    15,
    FALSE
  ),
  0
)
"),30.80952380952381)</f>
        <v>30.80952381</v>
      </c>
      <c r="AA59" s="65">
        <f>IFERROR(__xludf.DUMMYFUNCTION("IFERROR(
  VLOOKUP(
    A59,
    IMPORTRANGE(
      ""1ZHMy3vVUd_0MrSduXTe1etBb1HNpAlGwQr006ljwMiM"",
      ""GSC最新!A:R""
    ),
    18,
    FALSE
  ),
  0
)
"),61.99126637554585)</f>
        <v>61.99126638</v>
      </c>
      <c r="AB59" s="65">
        <f t="shared" ref="AB59:AC59" si="289">X59-Z59</f>
        <v>-27.4963925</v>
      </c>
      <c r="AC59" s="65">
        <f t="shared" si="289"/>
        <v>-58.18912734</v>
      </c>
      <c r="AD59" s="53">
        <f>IFERROR(__xludf.DUMMYFUNCTION("IFERROR(
  VLOOKUP(
    A59,
    IMPORTRANGE(
      ""1ZHMy3vVUd_0MrSduXTe1etBb1HNpAlGwQr006ljwMiM"",
      ""GSC最新!A:F""
    ),
    6,
    FALSE
  ),
  0
)
"),46081.0)</f>
        <v>46081</v>
      </c>
      <c r="AE59" s="54">
        <f>IFERROR(__xludf.DUMMYFUNCTION("IFERROR(
  VLOOKUP(
    A59,
    IMPORTRANGE(
      ""1SCYQd7_cobOYqT0r_F0IqD4tE4rYn5y8Eup4PJTH8es"",
      ""Snapshot!A:M""
    ),
    5,
    FALSE
  ),
  ""-""
)
"),4.0)</f>
        <v>4</v>
      </c>
      <c r="AF59" s="54">
        <f>IFERROR(__xludf.DUMMYFUNCTION("IFERROR(
  VLOOKUP(
    A59,
    IMPORTRANGE(
      ""1SCYQd7_cobOYqT0r_F0IqD4tE4rYn5y8Eup4PJTH8es"",
      ""Snapshot!A:M""
    ),
    6,
    FALSE
  ),
  0
)
"),7.0)</f>
        <v>7</v>
      </c>
      <c r="AG59" s="54">
        <f>IFERROR(__xludf.DUMMYFUNCTION("IFERROR(
  VLOOKUP(
    A59,
    IMPORTRANGE(
      ""1SCYQd7_cobOYqT0r_F0IqD4tE4rYn5y8Eup4PJTH8es"",
      ""Snapshot!A:M""
    ),
    7,
    FALSE
  ),
  0
)
"),2733.0)</f>
        <v>2733</v>
      </c>
      <c r="AH59" s="54">
        <f>IFERROR(__xludf.DUMMYFUNCTION("IFERROR(
  VLOOKUP(
    A59,
    IMPORTRANGE(
      ""1SCYQd7_cobOYqT0r_F0IqD4tE4rYn5y8Eup4PJTH8es"",
      ""Snapshot!A:M""
    ),
    8,
    FALSE
  ),
  0
)
"),1.0)</f>
        <v>1</v>
      </c>
      <c r="AI59" s="54">
        <f>IFERROR(__xludf.DUMMYFUNCTION("IFERROR(
  VLOOKUP(
    A59,
    IMPORTRANGE(
      ""1SCYQd7_cobOYqT0r_F0IqD4tE4rYn5y8Eup4PJTH8es"",
      ""Snapshot!A:M""
    ),
    9,
    FALSE
  ),
  0
)
"),1.0)</f>
        <v>1</v>
      </c>
      <c r="AJ59" s="54">
        <f>IFERROR(__xludf.DUMMYFUNCTION("IFERROR(
  VLOOKUP(
    A59,
    IMPORTRANGE(
      ""1SCYQd7_cobOYqT0r_F0IqD4tE4rYn5y8Eup4PJTH8es"",
      ""Snapshot!A:M""
    ),
    13,
    FALSE
  ),
  0
)
"),3.0)</f>
        <v>3</v>
      </c>
      <c r="AK59" s="49">
        <f t="shared" ref="AK59:AL59" si="290">LEN(C59)</f>
        <v>27</v>
      </c>
      <c r="AL59" s="49">
        <f t="shared" si="290"/>
        <v>75</v>
      </c>
    </row>
    <row r="60">
      <c r="A60" s="3" t="s">
        <v>568</v>
      </c>
      <c r="B60" s="1" t="str">
        <f>IFERROR(__xludf.DUMMYFUNCTION("IFERROR(
  VLOOKUP(
    A60,
    IMPORTRANGE(
      ""1ZygntHC1J6IxzKbTidmOyf5nUyW4GCLurHCjexrLm_o"",
      ""HTMLキャッシュ!A:F""
    ),
    2,
    FALSE
  ),
  0
)
"),"MC")</f>
        <v>MC</v>
      </c>
      <c r="C60" s="1" t="str">
        <f>IFERROR(__xludf.DUMMYFUNCTION("IFERROR(
  VLOOKUP(
    A60,
    IMPORTRANGE(
      ""1ZygntHC1J6IxzKbTidmOyf5nUyW4GCLurHCjexrLm_o"",
      ""HTMLキャッシュ!A:F""
    ),
    5,
    FALSE
  ),
  0
)
"),"武蔵中 国語勉強法｜理由・比較の記述｜2021大問1")</f>
        <v>武蔵中 国語勉強法｜理由・比較の記述｜2021大問1</v>
      </c>
      <c r="D60" s="1" t="str">
        <f>IFERROR(__xludf.DUMMYFUNCTION("IFERROR(
  VLOOKUP(
    A60,
    IMPORTRANGE(
      ""1ZygntHC1J6IxzKbTidmOyf5nUyW4GCLurHCjexrLm_o        "",
      ""HTMLキャッシュ!A:F""
    ),
    6,
    FALSE
  ),
  0
)
"),"武蔵中2021国語の過去問（大問1）を動画解説。理由＋具体例、味覚と嗅覚の比較を、要求分解→根拠→一文答案でまとめて再現。")</f>
        <v>武蔵中2021国語の過去問（大問1）を動画解説。理由＋具体例、味覚と嗅覚の比較を、要求分解→根拠→一文答案でまとめて再現。</v>
      </c>
      <c r="E60" s="32">
        <f>IFERROR(__xludf.DUMMYFUNCTION("IFERROR(
  VLOOKUP(
    A60,
    IMPORTRANGE(
      ""1ZygntHC1J6IxzKbTidmOyf5nUyW4GCLurHCjexrLm_o        "",
      ""HTMLキャッシュ!A:F""
    ),
    3,
    FALSE
  ),
  0
)
"),46078.84756944444)</f>
        <v>46078.84757</v>
      </c>
      <c r="F60" s="49">
        <f>IFERROR(__xludf.DUMMYFUNCTION("IFERROR(
  VLOOKUP(
    A60,
    IMPORTRANGE(
      ""1ZHMy3vVUd_0MrSduXTe1etBb1HNpAlGwQr006ljwMiM"",
      ""GSC最新!A:F""
    ),
    2,
    FALSE
  ),
  0
)
"),2.0)</f>
        <v>2</v>
      </c>
      <c r="G60" s="49">
        <f>IFERROR(__xludf.DUMMYFUNCTION("IFERROR(
  VLOOKUP(
    A60,
    IMPORTRANGE(
      ""1ZHMy3vVUd_0MrSduXTe1etBb1HNpAlGwQr006ljwMiM"",
      ""GSC最新!A:F""
    ),
    3,
    FALSE
  ),
  0
)
"),6.0)</f>
        <v>6</v>
      </c>
      <c r="H60" s="49">
        <f>IFERROR(__xludf.DUMMYFUNCTION("IFERROR(
  VLOOKUP(
    A60,
    IMPORTRANGE(
      ""1ZHMy3vVUd_0MrSduXTe1etBb1HNpAlGwQr006ljwMiM"",
      ""GSC最新!A:F""
    ),
    4,
    FALSE
  ),
  0
)
"),1.0)</f>
        <v>1</v>
      </c>
      <c r="I60" s="49">
        <f>IFERROR(__xludf.DUMMYFUNCTION("IFERROR(
  VLOOKUP(
    A60,
    IMPORTRANGE(
      ""1ZHMy3vVUd_0MrSduXTe1etBb1HNpAlGwQr006ljwMiM"",
      ""GSC最新!A:F""
    ),
    5,
    FALSE
  ),
  0
)
"),21.0)</f>
        <v>21</v>
      </c>
      <c r="J60" s="50">
        <f t="shared" ref="J60:K60" si="291">IFERROR(F60/H60,"-")</f>
        <v>2</v>
      </c>
      <c r="K60" s="50">
        <f t="shared" si="291"/>
        <v>0.2857142857</v>
      </c>
      <c r="L60" s="6">
        <f>IFERROR(__xludf.DUMMYFUNCTION("IFERROR(
  VLOOKUP(
    A60,
    IMPORTRANGE(
      ""1ZHMy3vVUd_0MrSduXTe1etBb1HNpAlGwQr006ljwMiM"",
      ""GSC最新!A:R""
    ),
    7,
    FALSE
  ),
  0
)
"),164.0)</f>
        <v>164</v>
      </c>
      <c r="M60" s="6">
        <f>IFERROR(__xludf.DUMMYFUNCTION("IFERROR(
  VLOOKUP(
    A60,
    IMPORTRANGE(
      ""1ZHMy3vVUd_0MrSduXTe1etBb1HNpAlGwQr006ljwMiM"",
      ""GSC最新!A:R""
    ),
    10,
    FALSE
  ),
  0
)
"),406.0)</f>
        <v>406</v>
      </c>
      <c r="N60" s="6">
        <f>IFERROR(__xludf.DUMMYFUNCTION("IFERROR(
  VLOOKUP(
    A60,
    IMPORTRANGE(
      ""1ZHMy3vVUd_0MrSduXTe1etBb1HNpAlGwQr006ljwMiM"",
      ""GSC最新!A:R""
    ),
    13,
    FALSE
  ),
  0
)
"),69.0)</f>
        <v>69</v>
      </c>
      <c r="O60" s="6">
        <f>IFERROR(__xludf.DUMMYFUNCTION("IFERROR(
  VLOOKUP(
    A60,
    IMPORTRANGE(
      ""1ZHMy3vVUd_0MrSduXTe1etBb1HNpAlGwQr006ljwMiM"",
      ""GSC最新!A:R""
    ),
    16,
    FALSE
  ),
  0
)
"),423.0)</f>
        <v>423</v>
      </c>
      <c r="P60" s="51">
        <f t="shared" ref="P60:Q60" si="292">IFERROR(L60/N60,"-")</f>
        <v>2.376811594</v>
      </c>
      <c r="Q60" s="51">
        <f t="shared" si="292"/>
        <v>0.9598108747</v>
      </c>
      <c r="R60" s="9">
        <f>IFERROR(__xludf.DUMMYFUNCTION("IFERROR(
  VLOOKUP(
    A60,
    IMPORTRANGE(
      ""1ZHMy3vVUd_0MrSduXTe1etBb1HNpAlGwQr006ljwMiM"",
      ""GSC最新!A:R""
    ),
    8,
    FALSE
  ),
  0
)
"),0.012195121951219513)</f>
        <v>0.01219512195</v>
      </c>
      <c r="S60" s="9">
        <f>IFERROR(__xludf.DUMMYFUNCTION("IFERROR(
  VLOOKUP(
    A60,
    IMPORTRANGE(
      ""1ZHMy3vVUd_0MrSduXTe1etBb1HNpAlGwQr006ljwMiM"",
      ""GSC最新!A:R""
    ),
    11,
    FALSE
  ),
  0
)
"),0.014778325123152709)</f>
        <v>0.01477832512</v>
      </c>
      <c r="T60" s="9">
        <f>IFERROR(__xludf.DUMMYFUNCTION("IFERROR(
  VLOOKUP(
    A60,
    IMPORTRANGE(
      ""1ZHMy3vVUd_0MrSduXTe1etBb1HNpAlGwQr006ljwMiM"",
      ""GSC最新!A:R""
    ),
    14,
    FALSE
  ),
  0
)
"),0.014492753623188406)</f>
        <v>0.01449275362</v>
      </c>
      <c r="U60" s="9">
        <f>IFERROR(__xludf.DUMMYFUNCTION("IFERROR(
  VLOOKUP(
    A60,
    IMPORTRANGE(
      ""1ZHMy3vVUd_0MrSduXTe1etBb1HNpAlGwQr006ljwMiM"",
      ""GSC最新!A:R""
    ),
    17,
    FALSE
  ),
  0
)
"),0.04964539007092199)</f>
        <v>0.04964539007</v>
      </c>
      <c r="V60" s="9">
        <f t="shared" ref="V60:W60" si="293">IFERROR(R60-T60,"-")</f>
        <v>-0.002297631672</v>
      </c>
      <c r="W60" s="9">
        <f t="shared" si="293"/>
        <v>-0.03486706495</v>
      </c>
      <c r="X60" s="65">
        <f>IFERROR(__xludf.DUMMYFUNCTION("IFERROR(
  VLOOKUP(
    A60,
    IMPORTRANGE(
      ""1ZHMy3vVUd_0MrSduXTe1etBb1HNpAlGwQr006ljwMiM"",
      ""GSC最新!A:R""
    ),
    9,
    FALSE
  ),
  0
)
"),9.024390243902438)</f>
        <v>9.024390244</v>
      </c>
      <c r="Y60" s="65">
        <f>IFERROR(__xludf.DUMMYFUNCTION("IFERROR(
  VLOOKUP(
    A60,
    IMPORTRANGE(
      ""1ZHMy3vVUd_0MrSduXTe1etBb1HNpAlGwQr006ljwMiM"",
      ""GSC最新!A:R""
    ),
    12,
    FALSE
  ),
  0
)
"),9.073891625615763)</f>
        <v>9.073891626</v>
      </c>
      <c r="Z60" s="65">
        <f>IFERROR(__xludf.DUMMYFUNCTION("IFERROR(
  VLOOKUP(
    A60,
    IMPORTRANGE(
      ""1ZHMy3vVUd_0MrSduXTe1etBb1HNpAlGwQr006ljwMiM"",
      ""GSC最新!A:R""
    ),
    15,
    FALSE
  ),
  0
)
"),43.81159420289855)</f>
        <v>43.8115942</v>
      </c>
      <c r="AA60" s="65">
        <f>IFERROR(__xludf.DUMMYFUNCTION("IFERROR(
  VLOOKUP(
    A60,
    IMPORTRANGE(
      ""1ZHMy3vVUd_0MrSduXTe1etBb1HNpAlGwQr006ljwMiM"",
      ""GSC最新!A:R""
    ),
    18,
    FALSE
  ),
  0
)
"),45.494089834515364)</f>
        <v>45.49408983</v>
      </c>
      <c r="AB60" s="65">
        <f t="shared" ref="AB60:AC60" si="294">X60-Z60</f>
        <v>-34.78720396</v>
      </c>
      <c r="AC60" s="65">
        <f t="shared" si="294"/>
        <v>-36.42019821</v>
      </c>
      <c r="AD60" s="53">
        <f>IFERROR(__xludf.DUMMYFUNCTION("IFERROR(
  VLOOKUP(
    A60,
    IMPORTRANGE(
      ""1ZHMy3vVUd_0MrSduXTe1etBb1HNpAlGwQr006ljwMiM"",
      ""GSC最新!A:F""
    ),
    6,
    FALSE
  ),
  0
)
"),46081.0)</f>
        <v>46081</v>
      </c>
      <c r="AE60" s="54">
        <f>IFERROR(__xludf.DUMMYFUNCTION("IFERROR(
  VLOOKUP(
    A60,
    IMPORTRANGE(
      ""1SCYQd7_cobOYqT0r_F0IqD4tE4rYn5y8Eup4PJTH8es"",
      ""Snapshot!A:M""
    ),
    5,
    FALSE
  ),
  ""-""
)
"),3.0)</f>
        <v>3</v>
      </c>
      <c r="AF60" s="54">
        <f>IFERROR(__xludf.DUMMYFUNCTION("IFERROR(
  VLOOKUP(
    A60,
    IMPORTRANGE(
      ""1SCYQd7_cobOYqT0r_F0IqD4tE4rYn5y8Eup4PJTH8es"",
      ""Snapshot!A:M""
    ),
    6,
    FALSE
  ),
  0
)
"),4.0)</f>
        <v>4</v>
      </c>
      <c r="AG60" s="54">
        <f>IFERROR(__xludf.DUMMYFUNCTION("IFERROR(
  VLOOKUP(
    A60,
    IMPORTRANGE(
      ""1SCYQd7_cobOYqT0r_F0IqD4tE4rYn5y8Eup4PJTH8es"",
      ""Snapshot!A:M""
    ),
    7,
    FALSE
  ),
  0
)
"),3233.0)</f>
        <v>3233</v>
      </c>
      <c r="AH60" s="54">
        <f>IFERROR(__xludf.DUMMYFUNCTION("IFERROR(
  VLOOKUP(
    A60,
    IMPORTRANGE(
      ""1SCYQd7_cobOYqT0r_F0IqD4tE4rYn5y8Eup4PJTH8es"",
      ""Snapshot!A:M""
    ),
    8,
    FALSE
  ),
  0
)
"),7.0)</f>
        <v>7</v>
      </c>
      <c r="AI60" s="54">
        <f>IFERROR(__xludf.DUMMYFUNCTION("IFERROR(
  VLOOKUP(
    A60,
    IMPORTRANGE(
      ""1SCYQd7_cobOYqT0r_F0IqD4tE4rYn5y8Eup4PJTH8es"",
      ""Snapshot!A:M""
    ),
    9,
    FALSE
  ),
  0
)
"),3.0)</f>
        <v>3</v>
      </c>
      <c r="AJ60" s="54">
        <f>IFERROR(__xludf.DUMMYFUNCTION("IFERROR(
  VLOOKUP(
    A60,
    IMPORTRANGE(
      ""1SCYQd7_cobOYqT0r_F0IqD4tE4rYn5y8Eup4PJTH8es"",
      ""Snapshot!A:M""
    ),
    13,
    FALSE
  ),
  0
)
"),3.0)</f>
        <v>3</v>
      </c>
      <c r="AK60" s="49">
        <f t="shared" ref="AK60:AL60" si="295">LEN(C60)</f>
        <v>26</v>
      </c>
      <c r="AL60" s="49">
        <f t="shared" si="295"/>
        <v>61</v>
      </c>
    </row>
    <row r="61">
      <c r="A61" s="3" t="s">
        <v>569</v>
      </c>
      <c r="B61" s="1" t="str">
        <f>IFERROR(__xludf.DUMMYFUNCTION("IFERROR(
  VLOOKUP(
    A61,
    IMPORTRANGE(
      ""1ZygntHC1J6IxzKbTidmOyf5nUyW4GCLurHCjexrLm_o"",
      ""HTMLキャッシュ!A:F""
    ),
    2,
    FALSE
  ),
  0
)
"),"MC")</f>
        <v>MC</v>
      </c>
      <c r="C61" s="1" t="str">
        <f>IFERROR(__xludf.DUMMYFUNCTION("IFERROR(
  VLOOKUP(
    A61,
    IMPORTRANGE(
      ""1ZygntHC1J6IxzKbTidmOyf5nUyW4GCLurHCjexrLm_o"",
      ""HTMLキャッシュ!A:F""
    ),
    5,
    FALSE
  ),
  0
)
"),"小学6国語 漢字と書き問題対策の始める最適タイミング")</f>
        <v>小学6国語 漢字と書き問題対策の始める最適タイミング</v>
      </c>
      <c r="D61" s="1" t="str">
        <f>IFERROR(__xludf.DUMMYFUNCTION("IFERROR(
  VLOOKUP(
    A61,
    IMPORTRANGE(
      ""1ZygntHC1J6IxzKbTidmOyf5nUyW4GCLurHCjexrLm_o        "",
      ""HTMLキャッシュ!A:F""
    ),
    6,
    FALSE
  ),
  0
)
"),"小6国語の過去問はいつから。春〜初夏/夏〜秋/直前期のスケジュールで開始目安と量、弱点の戻し方を整理。")</f>
        <v>小6国語の過去問はいつから。春〜初夏/夏〜秋/直前期のスケジュールで開始目安と量、弱点の戻し方を整理。</v>
      </c>
      <c r="E61" s="32">
        <f>IFERROR(__xludf.DUMMYFUNCTION("IFERROR(
  VLOOKUP(
    A61,
    IMPORTRANGE(
      ""1ZygntHC1J6IxzKbTidmOyf5nUyW4GCLurHCjexrLm_o        "",
      ""HTMLキャッシュ!A:F""
    ),
    3,
    FALSE
  ),
  0
)
"),46078.84950231481)</f>
        <v>46078.8495</v>
      </c>
      <c r="F61" s="49">
        <f>IFERROR(__xludf.DUMMYFUNCTION("IFERROR(
  VLOOKUP(
    A61,
    IMPORTRANGE(
      ""1ZHMy3vVUd_0MrSduXTe1etBb1HNpAlGwQr006ljwMiM"",
      ""GSC最新!A:F""
    ),
    2,
    FALSE
  ),
  0
)
"),2.0)</f>
        <v>2</v>
      </c>
      <c r="G61" s="49">
        <f>IFERROR(__xludf.DUMMYFUNCTION("IFERROR(
  VLOOKUP(
    A61,
    IMPORTRANGE(
      ""1ZHMy3vVUd_0MrSduXTe1etBb1HNpAlGwQr006ljwMiM"",
      ""GSC最新!A:F""
    ),
    3,
    FALSE
  ),
  0
)
"),6.0)</f>
        <v>6</v>
      </c>
      <c r="H61" s="49">
        <f>IFERROR(__xludf.DUMMYFUNCTION("IFERROR(
  VLOOKUP(
    A61,
    IMPORTRANGE(
      ""1ZHMy3vVUd_0MrSduXTe1etBb1HNpAlGwQr006ljwMiM"",
      ""GSC最新!A:F""
    ),
    4,
    FALSE
  ),
  0
)
"),0.0)</f>
        <v>0</v>
      </c>
      <c r="I61" s="49">
        <f>IFERROR(__xludf.DUMMYFUNCTION("IFERROR(
  VLOOKUP(
    A61,
    IMPORTRANGE(
      ""1ZHMy3vVUd_0MrSduXTe1etBb1HNpAlGwQr006ljwMiM"",
      ""GSC最新!A:F""
    ),
    5,
    FALSE
  ),
  0
)
"),0.0)</f>
        <v>0</v>
      </c>
      <c r="J61" s="50" t="str">
        <f t="shared" ref="J61:K61" si="296">IFERROR(F61/H61,"-")</f>
        <v>-</v>
      </c>
      <c r="K61" s="50" t="str">
        <f t="shared" si="296"/>
        <v>-</v>
      </c>
      <c r="L61" s="6">
        <f>IFERROR(__xludf.DUMMYFUNCTION("IFERROR(
  VLOOKUP(
    A61,
    IMPORTRANGE(
      ""1ZHMy3vVUd_0MrSduXTe1etBb1HNpAlGwQr006ljwMiM"",
      ""GSC最新!A:R""
    ),
    7,
    FALSE
  ),
  0
)
"),130.0)</f>
        <v>130</v>
      </c>
      <c r="M61" s="6">
        <f>IFERROR(__xludf.DUMMYFUNCTION("IFERROR(
  VLOOKUP(
    A61,
    IMPORTRANGE(
      ""1ZHMy3vVUd_0MrSduXTe1etBb1HNpAlGwQr006ljwMiM"",
      ""GSC最新!A:R""
    ),
    10,
    FALSE
  ),
  0
)
"),318.0)</f>
        <v>318</v>
      </c>
      <c r="N61" s="6">
        <f>IFERROR(__xludf.DUMMYFUNCTION("IFERROR(
  VLOOKUP(
    A61,
    IMPORTRANGE(
      ""1ZHMy3vVUd_0MrSduXTe1etBb1HNpAlGwQr006ljwMiM"",
      ""GSC最新!A:R""
    ),
    13,
    FALSE
  ),
  0
)
"),0.0)</f>
        <v>0</v>
      </c>
      <c r="O61" s="6">
        <f>IFERROR(__xludf.DUMMYFUNCTION("IFERROR(
  VLOOKUP(
    A61,
    IMPORTRANGE(
      ""1ZHMy3vVUd_0MrSduXTe1etBb1HNpAlGwQr006ljwMiM"",
      ""GSC最新!A:R""
    ),
    16,
    FALSE
  ),
  0
)
"),0.0)</f>
        <v>0</v>
      </c>
      <c r="P61" s="51" t="str">
        <f t="shared" ref="P61:Q61" si="297">IFERROR(L61/N61,"-")</f>
        <v>-</v>
      </c>
      <c r="Q61" s="51" t="str">
        <f t="shared" si="297"/>
        <v>-</v>
      </c>
      <c r="R61" s="9">
        <f>IFERROR(__xludf.DUMMYFUNCTION("IFERROR(
  VLOOKUP(
    A61,
    IMPORTRANGE(
      ""1ZHMy3vVUd_0MrSduXTe1etBb1HNpAlGwQr006ljwMiM"",
      ""GSC最新!A:R""
    ),
    8,
    FALSE
  ),
  0
)
"),0.015384615384615385)</f>
        <v>0.01538461538</v>
      </c>
      <c r="S61" s="9">
        <f>IFERROR(__xludf.DUMMYFUNCTION("IFERROR(
  VLOOKUP(
    A61,
    IMPORTRANGE(
      ""1ZHMy3vVUd_0MrSduXTe1etBb1HNpAlGwQr006ljwMiM"",
      ""GSC最新!A:R""
    ),
    11,
    FALSE
  ),
  0
)
"),0.018867924528301886)</f>
        <v>0.01886792453</v>
      </c>
      <c r="T61" s="9">
        <f>IFERROR(__xludf.DUMMYFUNCTION("IFERROR(
  VLOOKUP(
    A61,
    IMPORTRANGE(
      ""1ZHMy3vVUd_0MrSduXTe1etBb1HNpAlGwQr006ljwMiM"",
      ""GSC最新!A:R""
    ),
    14,
    FALSE
  ),
  0
)
"),0.0)</f>
        <v>0</v>
      </c>
      <c r="U61" s="9">
        <f>IFERROR(__xludf.DUMMYFUNCTION("IFERROR(
  VLOOKUP(
    A61,
    IMPORTRANGE(
      ""1ZHMy3vVUd_0MrSduXTe1etBb1HNpAlGwQr006ljwMiM"",
      ""GSC最新!A:R""
    ),
    17,
    FALSE
  ),
  0
)
"),0.0)</f>
        <v>0</v>
      </c>
      <c r="V61" s="9">
        <f t="shared" ref="V61:W61" si="298">IFERROR(R61-T61,"-")</f>
        <v>0.01538461538</v>
      </c>
      <c r="W61" s="9">
        <f t="shared" si="298"/>
        <v>0.01886792453</v>
      </c>
      <c r="X61" s="65">
        <f>IFERROR(__xludf.DUMMYFUNCTION("IFERROR(
  VLOOKUP(
    A61,
    IMPORTRANGE(
      ""1ZHMy3vVUd_0MrSduXTe1etBb1HNpAlGwQr006ljwMiM"",
      ""GSC最新!A:R""
    ),
    9,
    FALSE
  ),
  0
)
"),5.530769230769231)</f>
        <v>5.530769231</v>
      </c>
      <c r="Y61" s="65">
        <f>IFERROR(__xludf.DUMMYFUNCTION("IFERROR(
  VLOOKUP(
    A61,
    IMPORTRANGE(
      ""1ZHMy3vVUd_0MrSduXTe1etBb1HNpAlGwQr006ljwMiM"",
      ""GSC最新!A:R""
    ),
    12,
    FALSE
  ),
  0
)
"),6.273584905660377)</f>
        <v>6.273584906</v>
      </c>
      <c r="Z61" s="65" t="str">
        <f>IFERROR(__xludf.DUMMYFUNCTION("IFERROR(
  VLOOKUP(
    A61,
    IMPORTRANGE(
      ""1ZHMy3vVUd_0MrSduXTe1etBb1HNpAlGwQr006ljwMiM"",
      ""GSC最新!A:R""
    ),
    15,
    FALSE
  ),
  0
)
"),"")</f>
        <v/>
      </c>
      <c r="AA61" s="65" t="str">
        <f>IFERROR(__xludf.DUMMYFUNCTION("IFERROR(
  VLOOKUP(
    A61,
    IMPORTRANGE(
      ""1ZHMy3vVUd_0MrSduXTe1etBb1HNpAlGwQr006ljwMiM"",
      ""GSC最新!A:R""
    ),
    18,
    FALSE
  ),
  0
)
"),"")</f>
        <v/>
      </c>
      <c r="AB61" s="65">
        <f t="shared" ref="AB61:AC61" si="299">X61-Z61</f>
        <v>5.530769231</v>
      </c>
      <c r="AC61" s="65">
        <f t="shared" si="299"/>
        <v>6.273584906</v>
      </c>
      <c r="AD61" s="53">
        <f>IFERROR(__xludf.DUMMYFUNCTION("IFERROR(
  VLOOKUP(
    A61,
    IMPORTRANGE(
      ""1ZHMy3vVUd_0MrSduXTe1etBb1HNpAlGwQr006ljwMiM"",
      ""GSC最新!A:F""
    ),
    6,
    FALSE
  ),
  0
)
"),46081.0)</f>
        <v>46081</v>
      </c>
      <c r="AE61" s="54">
        <f>IFERROR(__xludf.DUMMYFUNCTION("IFERROR(
  VLOOKUP(
    A61,
    IMPORTRANGE(
      ""1SCYQd7_cobOYqT0r_F0IqD4tE4rYn5y8Eup4PJTH8es"",
      ""Snapshot!A:M""
    ),
    5,
    FALSE
  ),
  ""-""
)
"),5.0)</f>
        <v>5</v>
      </c>
      <c r="AF61" s="54">
        <f>IFERROR(__xludf.DUMMYFUNCTION("IFERROR(
  VLOOKUP(
    A61,
    IMPORTRANGE(
      ""1SCYQd7_cobOYqT0r_F0IqD4tE4rYn5y8Eup4PJTH8es"",
      ""Snapshot!A:M""
    ),
    6,
    FALSE
  ),
  0
)
"),14.0)</f>
        <v>14</v>
      </c>
      <c r="AG61" s="54">
        <f>IFERROR(__xludf.DUMMYFUNCTION("IFERROR(
  VLOOKUP(
    A61,
    IMPORTRANGE(
      ""1SCYQd7_cobOYqT0r_F0IqD4tE4rYn5y8Eup4PJTH8es"",
      ""Snapshot!A:M""
    ),
    7,
    FALSE
  ),
  0
)
"),4481.0)</f>
        <v>4481</v>
      </c>
      <c r="AH61" s="54">
        <f>IFERROR(__xludf.DUMMYFUNCTION("IFERROR(
  VLOOKUP(
    A61,
    IMPORTRANGE(
      ""1SCYQd7_cobOYqT0r_F0IqD4tE4rYn5y8Eup4PJTH8es"",
      ""Snapshot!A:M""
    ),
    8,
    FALSE
  ),
  0
)
"),7.0)</f>
        <v>7</v>
      </c>
      <c r="AI61" s="54">
        <f>IFERROR(__xludf.DUMMYFUNCTION("IFERROR(
  VLOOKUP(
    A61,
    IMPORTRANGE(
      ""1SCYQd7_cobOYqT0r_F0IqD4tE4rYn5y8Eup4PJTH8es"",
      ""Snapshot!A:M""
    ),
    9,
    FALSE
  ),
  0
)
"),4.0)</f>
        <v>4</v>
      </c>
      <c r="AJ61" s="54">
        <f>IFERROR(__xludf.DUMMYFUNCTION("IFERROR(
  VLOOKUP(
    A61,
    IMPORTRANGE(
      ""1SCYQd7_cobOYqT0r_F0IqD4tE4rYn5y8Eup4PJTH8es"",
      ""Snapshot!A:M""
    ),
    13,
    FALSE
  ),
  0
)
"),3.0)</f>
        <v>3</v>
      </c>
      <c r="AK61" s="49">
        <f t="shared" ref="AK61:AL61" si="300">LEN(C61)</f>
        <v>26</v>
      </c>
      <c r="AL61" s="49">
        <f t="shared" si="300"/>
        <v>51</v>
      </c>
    </row>
    <row r="62">
      <c r="A62" s="56" t="s">
        <v>570</v>
      </c>
      <c r="B62" s="1" t="str">
        <f>IFERROR(__xludf.DUMMYFUNCTION("IFERROR(
  VLOOKUP(
    A62,
    IMPORTRANGE(
      ""1ZygntHC1J6IxzKbTidmOyf5nUyW4GCLurHCjexrLm_o"",
      ""HTMLキャッシュ!A:F""
    ),
    2,
    FALSE
  ),
  0
)
"),"SC")</f>
        <v>SC</v>
      </c>
      <c r="C62" s="1" t="str">
        <f>IFERROR(__xludf.DUMMYFUNCTION("IFERROR(
  VLOOKUP(
    A62,
    IMPORTRANGE(
      ""1ZygntHC1J6IxzKbTidmOyf5nUyW4GCLurHCjexrLm_o"",
      ""HTMLキャッシュ!A:F""
    ),
    5,
    FALSE
  ),
  0
)
"),"早稲アカ生の国語で重要な“処理速度”の整え方 - 受験国語専門 読解ラボ東京 | 中学受験・大学受験対応の個別指導国語専門塾（オンライン・教室対応）")</f>
        <v>早稲アカ生の国語で重要な“処理速度”の整え方 - 受験国語専門 読解ラボ東京 | 中学受験・大学受験対応の個別指導国語専門塾（オンライン・教室対応）</v>
      </c>
      <c r="D62" s="1" t="str">
        <f>IFERROR(__xludf.DUMMYFUNCTION("IFERROR(
  VLOOKUP(
    A62,
    IMPORTRANGE(
      ""1ZygntHC1J6IxzKbTidmOyf5nUyW4GCLurHCjexrLm_o        "",
      ""HTMLキャッシュ!A:F""
    ),
    6,
    FALSE
  ),
  0
)
"),"早稲アカ国語で時間が足りない原因は速読不足ではなく、迷いと探し直しが多い処理手順にあります。段落要点・設問先読み・根拠限定・記述の材料整理で処理速度を整える方法と、オンライン個別での改善手順を解説。")</f>
        <v>早稲アカ国語で時間が足りない原因は速読不足ではなく、迷いと探し直しが多い処理手順にあります。段落要点・設問先読み・根拠限定・記述の材料整理で処理速度を整える方法と、オンライン個別での改善手順を解説。</v>
      </c>
      <c r="E62" s="32">
        <f>IFERROR(__xludf.DUMMYFUNCTION("IFERROR(
  VLOOKUP(
    A62,
    IMPORTRANGE(
      ""1ZygntHC1J6IxzKbTidmOyf5nUyW4GCLurHCjexrLm_o        "",
      ""HTMLキャッシュ!A:F""
    ),
    3,
    FALSE
  ),
  0
)
"),46069.654340277775)</f>
        <v>46069.65434</v>
      </c>
      <c r="F62" s="49">
        <f>IFERROR(__xludf.DUMMYFUNCTION("IFERROR(
  VLOOKUP(
    A62,
    IMPORTRANGE(
      ""1ZHMy3vVUd_0MrSduXTe1etBb1HNpAlGwQr006ljwMiM"",
      ""GSC最新!A:F""
    ),
    2,
    FALSE
  ),
  0
)
"),5.0)</f>
        <v>5</v>
      </c>
      <c r="G62" s="49">
        <f>IFERROR(__xludf.DUMMYFUNCTION("IFERROR(
  VLOOKUP(
    A62,
    IMPORTRANGE(
      ""1ZHMy3vVUd_0MrSduXTe1etBb1HNpAlGwQr006ljwMiM"",
      ""GSC最新!A:F""
    ),
    3,
    FALSE
  ),
  0
)
"),6.0)</f>
        <v>6</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"),0.0)</f>
        <v>0</v>
      </c>
      <c r="J62" s="50" t="str">
        <f t="shared" ref="J62:K62" si="301">IFERROR(F62/H62,"-")</f>
        <v>-</v>
      </c>
      <c r="K62" s="50" t="str">
        <f t="shared" si="301"/>
        <v>-</v>
      </c>
      <c r="L62" s="6">
        <f>IFERROR(__xludf.DUMMYFUNCTION("IFERROR(
  VLOOKUP(
    A62,
    IMPORTRANGE(
      ""1ZHMy3vVUd_0MrSduXTe1etBb1HNpAlGwQr006ljwMiM"",
      ""GSC最新!A:R""
    ),
    7,
    FALSE
  ),
  0
)
"),67.0)</f>
        <v>67</v>
      </c>
      <c r="M62" s="6">
        <f>IFERROR(__xludf.DUMMYFUNCTION("IFERROR(
  VLOOKUP(
    A62,
    IMPORTRANGE(
      ""1ZHMy3vVUd_0MrSduXTe1etBb1HNpAlGwQr006ljwMiM"",
      ""GSC最新!A:R""
    ),
    10,
    FALSE
  ),
  0
)
"),82.0)</f>
        <v>82</v>
      </c>
      <c r="N62" s="6">
        <f>IFERROR(__xludf.DUMMYFUNCTION("IFERROR(
  VLOOKUP(
    A62,
    IMPORTRANGE(
      ""1ZHMy3vVUd_0MrSduXTe1etBb1HNpAlGwQr006ljwMiM"",
      ""GSC最新!A:R""
    ),
    13,
    FALSE
  ),
  0
)
"),0.0)</f>
        <v>0</v>
      </c>
      <c r="O62" s="6">
        <f>IFERROR(__xludf.DUMMYFUNCTION("IFERROR(
  VLOOKUP(
    A62,
    IMPORTRANGE(
      ""1ZHMy3vVUd_0MrSduXTe1etBb1HNpAlGwQr006ljwMiM"",
      ""GSC最新!A:R""
    ),
    16,
    FALSE
  ),
  0
)
"),0.0)</f>
        <v>0</v>
      </c>
      <c r="P62" s="51" t="str">
        <f t="shared" ref="P62:Q62" si="302">IFERROR(L62/N62,"-")</f>
        <v>-</v>
      </c>
      <c r="Q62" s="51" t="str">
        <f t="shared" si="302"/>
        <v>-</v>
      </c>
      <c r="R62" s="9">
        <f>IFERROR(__xludf.DUMMYFUNCTION("IFERROR(
  VLOOKUP(
    A62,
    IMPORTRANGE(
      ""1ZHMy3vVUd_0MrSduXTe1etBb1HNpAlGwQr006ljwMiM"",
      ""GSC最新!A:R""
    ),
    8,
    FALSE
  ),
  0
)
"),0.07462686567164178)</f>
        <v>0.07462686567</v>
      </c>
      <c r="S62" s="9">
        <f>IFERROR(__xludf.DUMMYFUNCTION("IFERROR(
  VLOOKUP(
    A62,
    IMPORTRANGE(
      ""1ZHMy3vVUd_0MrSduXTe1etBb1HNpAlGwQr006ljwMiM"",
      ""GSC最新!A:R""
    ),
    11,
    FALSE
  ),
  0
)
"),0.07317073170731707)</f>
        <v>0.07317073171</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f>
        <v>0</v>
      </c>
      <c r="V62" s="9">
        <f t="shared" ref="V62:W62" si="303">IFERROR(R62-T62,"-")</f>
        <v>0.07462686567</v>
      </c>
      <c r="W62" s="9">
        <f t="shared" si="303"/>
        <v>0.07317073171</v>
      </c>
      <c r="X62" s="65">
        <f>IFERROR(__xludf.DUMMYFUNCTION("IFERROR(
  VLOOKUP(
    A62,
    IMPORTRANGE(
      ""1ZHMy3vVUd_0MrSduXTe1etBb1HNpAlGwQr006ljwMiM"",
      ""GSC最新!A:R""
    ),
    9,
    FALSE
  ),
  0
)
"),9.432835820895523)</f>
        <v>9.432835821</v>
      </c>
      <c r="Y62" s="65">
        <f>IFERROR(__xludf.DUMMYFUNCTION("IFERROR(
  VLOOKUP(
    A62,
    IMPORTRANGE(
      ""1ZHMy3vVUd_0MrSduXTe1etBb1HNpAlGwQr006ljwMiM"",
      ""GSC最新!A:R""
    ),
    12,
    FALSE
  ),
  0
)
"),9.402439024390244)</f>
        <v>9.402439024</v>
      </c>
      <c r="Z62" s="65" t="str">
        <f>IFERROR(__xludf.DUMMYFUNCTION("IFERROR(
  VLOOKUP(
    A62,
    IMPORTRANGE(
      ""1ZHMy3vVUd_0MrSduXTe1etBb1HNpAlGwQr006ljwMiM"",
      ""GSC最新!A:R""
    ),
    15,
    FALSE
  ),
  0
)
"),"")</f>
        <v/>
      </c>
      <c r="AA62" s="65" t="str">
        <f>IFERROR(__xludf.DUMMYFUNCTION("IFERROR(
  VLOOKUP(
    A62,
    IMPORTRANGE(
      ""1ZHMy3vVUd_0MrSduXTe1etBb1HNpAlGwQr006ljwMiM"",
      ""GSC最新!A:R""
    ),
    18,
    FALSE
  ),
  0
)
"),"")</f>
        <v/>
      </c>
      <c r="AB62" s="65">
        <f t="shared" ref="AB62:AC62" si="304">X62-Z62</f>
        <v>9.432835821</v>
      </c>
      <c r="AC62" s="65">
        <f t="shared" si="304"/>
        <v>9.402439024</v>
      </c>
      <c r="AD62" s="53">
        <f>IFERROR(__xludf.DUMMYFUNCTION("IFERROR(
  VLOOKUP(
    A62,
    IMPORTRANGE(
      ""1ZHMy3vVUd_0MrSduXTe1etBb1HNpAlGwQr006ljwMiM"",
      ""GSC最新!A:F""
    ),
    6,
    FALSE
  ),
  0
)
"),46081.0)</f>
        <v>46081</v>
      </c>
      <c r="AE62" s="54">
        <f>IFERROR(__xludf.DUMMYFUNCTION("IFERROR(
  VLOOKUP(
    A62,
    IMPORTRANGE(
      ""1SCYQd7_cobOYqT0r_F0IqD4tE4rYn5y8Eup4PJTH8es"",
      ""Snapshot!A:M""
    ),
    5,
    FALSE
  ),
  ""-""
)
"),7.0)</f>
        <v>7</v>
      </c>
      <c r="AF62" s="54">
        <f>IFERROR(__xludf.DUMMYFUNCTION("IFERROR(
  VLOOKUP(
    A62,
    IMPORTRANGE(
      ""1SCYQd7_cobOYqT0r_F0IqD4tE4rYn5y8Eup4PJTH8es"",
      ""Snapshot!A:M""
    ),
    6,
    FALSE
  ),
  0
)
"),2.0)</f>
        <v>2</v>
      </c>
      <c r="AG62" s="54">
        <f>IFERROR(__xludf.DUMMYFUNCTION("IFERROR(
  VLOOKUP(
    A62,
    IMPORTRANGE(
      ""1SCYQd7_cobOYqT0r_F0IqD4tE4rYn5y8Eup4PJTH8es"",
      ""Snapshot!A:M""
    ),
    7,
    FALSE
  ),
  0
)
"),3715.0)</f>
        <v>3715</v>
      </c>
      <c r="AH62" s="54">
        <f>IFERROR(__xludf.DUMMYFUNCTION("IFERROR(
  VLOOKUP(
    A62,
    IMPORTRANGE(
      ""1SCYQd7_cobOYqT0r_F0IqD4tE4rYn5y8Eup4PJTH8es"",
      ""Snapshot!A:M""
    ),
    8,
    FALSE
  ),
  0
)
"),3.0)</f>
        <v>3</v>
      </c>
      <c r="AI62" s="54">
        <f>IFERROR(__xludf.DUMMYFUNCTION("IFERROR(
  VLOOKUP(
    A62,
    IMPORTRANGE(
      ""1SCYQd7_cobOYqT0r_F0IqD4tE4rYn5y8Eup4PJTH8es"",
      ""Snapshot!A:M""
    ),
    9,
    FALSE
  ),
  0
)
"),4.0)</f>
        <v>4</v>
      </c>
      <c r="AJ62" s="54">
        <f>IFERROR(__xludf.DUMMYFUNCTION("IFERROR(
  VLOOKUP(
    A62,
    IMPORTRANGE(
      ""1SCYQd7_cobOYqT0r_F0IqD4tE4rYn5y8Eup4PJTH8es"",
      ""Snapshot!A:M""
    ),
    13,
    FALSE
  ),
  0
)
"),3.0)</f>
        <v>3</v>
      </c>
      <c r="AK62" s="49">
        <f t="shared" ref="AK62:AL62" si="305">LEN(C62)</f>
        <v>74</v>
      </c>
      <c r="AL62" s="49">
        <f t="shared" si="305"/>
        <v>99</v>
      </c>
    </row>
    <row r="63">
      <c r="A63" s="3" t="s">
        <v>571</v>
      </c>
      <c r="B63" s="1" t="str">
        <f>IFERROR(__xludf.DUMMYFUNCTION("IFERROR(
  VLOOKUP(
    A63,
    IMPORTRANGE(
      ""1ZygntHC1J6IxzKbTidmOyf5nUyW4GCLurHCjexrLm_o"",
      ""HTMLキャッシュ!A:F""
    ),
    2,
    FALSE
  ),
  0
)
"),"MC")</f>
        <v>MC</v>
      </c>
      <c r="C63" s="1" t="str">
        <f>IFERROR(__xludf.DUMMYFUNCTION("IFERROR(
  VLOOKUP(
    A63,
    IMPORTRANGE(
      ""1ZygntHC1J6IxzKbTidmOyf5nUyW4GCLurHCjexrLm_o"",
      ""HTMLキャッシュ!A:F""
    ),
    5,
    FALSE
  ),
  0
)
"),"女子学院中学校・2020(令和２)年度【解説動画】 - 受験国語専門 読解ラボ東京 | 中学受験・大学受験対応の個別指導国語専門塾（オンライン・教室対応）")</f>
        <v>女子学院中学校・2020(令和２)年度【解説動画】 - 受験国語専門 読解ラボ東京 | 中学受験・大学受験対応の個別指導国語専門塾（オンライン・教室対応）</v>
      </c>
      <c r="D63" s="1" t="str">
        <f>IFERROR(__xludf.DUMMYFUNCTION("IFERROR(
  VLOOKUP(
    A63,
    IMPORTRANGE(
      ""1ZygntHC1J6IxzKbTidmOyf5nUyW4GCLurHCjexrLm_o        "",
      ""HTMLキャッシュ!A:F""
    ),
    6,
    FALSE
  ),
  0
)
"),"女子学院中学校2020年国語の傾向 大問一が随筆、大問二が論説文、大問三が漢字という構成です。試験時間が40分")</f>
        <v>女子学院中学校2020年国語の傾向 大問一が随筆、大問二が論説文、大問三が漢字という構成です。試験時間が40分</v>
      </c>
      <c r="E63" s="32">
        <f>IFERROR(__xludf.DUMMYFUNCTION("IFERROR(
  VLOOKUP(
    A63,
    IMPORTRANGE(
      ""1ZygntHC1J6IxzKbTidmOyf5nUyW4GCLurHCjexrLm_o        "",
      ""HTMLキャッシュ!A:F""
    ),
    3,
    FALSE
  ),
  0
)
"),46078.84226851852)</f>
        <v>46078.84227</v>
      </c>
      <c r="F63" s="49">
        <f>IFERROR(__xludf.DUMMYFUNCTION("IFERROR(
  VLOOKUP(
    A63,
    IMPORTRANGE(
      ""1ZHMy3vVUd_0MrSduXTe1etBb1HNpAlGwQr006ljwMiM"",
      ""GSC最新!A:F""
    ),
    2,
    FALSE
  ),
  0
)
"),1.0)</f>
        <v>1</v>
      </c>
      <c r="G63" s="49">
        <f>IFERROR(__xludf.DUMMYFUNCTION("IFERROR(
  VLOOKUP(
    A63,
    IMPORTRANGE(
      ""1ZHMy3vVUd_0MrSduXTe1etBb1HNpAlGwQr006ljwMiM"",
      ""GSC最新!A:F""
    ),
    3,
    FALSE
  ),
  0
)
"),5.0)</f>
        <v>5</v>
      </c>
      <c r="H63" s="49">
        <f>IFERROR(__xludf.DUMMYFUNCTION("IFERROR(
  VLOOKUP(
    A63,
    IMPORTRANGE(
      ""1ZHMy3vVUd_0MrSduXTe1etBb1HNpAlGwQr006ljwMiM"",
      ""GSC最新!A:F""
    ),
    4,
    FALSE
  ),
  0
)
"),2.0)</f>
        <v>2</v>
      </c>
      <c r="I63" s="49">
        <f>IFERROR(__xludf.DUMMYFUNCTION("IFERROR(
  VLOOKUP(
    A63,
    IMPORTRANGE(
      ""1ZHMy3vVUd_0MrSduXTe1etBb1HNpAlGwQr006ljwMiM"",
      ""GSC最新!A:F""
    ),
    5,
    FALSE
  ),
  0
)
"),3.0)</f>
        <v>3</v>
      </c>
      <c r="J63" s="50">
        <f t="shared" ref="J63:K63" si="306">IFERROR(F63/H63,"-")</f>
        <v>0.5</v>
      </c>
      <c r="K63" s="50">
        <f t="shared" si="306"/>
        <v>1.666666667</v>
      </c>
      <c r="L63" s="6">
        <f>IFERROR(__xludf.DUMMYFUNCTION("IFERROR(
  VLOOKUP(
    A63,
    IMPORTRANGE(
      ""1ZHMy3vVUd_0MrSduXTe1etBb1HNpAlGwQr006ljwMiM"",
      ""GSC最新!A:R""
    ),
    7,
    FALSE
  ),
  0
)
"),73.0)</f>
        <v>73</v>
      </c>
      <c r="M63" s="6">
        <f>IFERROR(__xludf.DUMMYFUNCTION("IFERROR(
  VLOOKUP(
    A63,
    IMPORTRANGE(
      ""1ZHMy3vVUd_0MrSduXTe1etBb1HNpAlGwQr006ljwMiM"",
      ""GSC最新!A:R""
    ),
    10,
    FALSE
  ),
  0
)
"),161.0)</f>
        <v>161</v>
      </c>
      <c r="N63" s="6">
        <f>IFERROR(__xludf.DUMMYFUNCTION("IFERROR(
  VLOOKUP(
    A63,
    IMPORTRANGE(
      ""1ZHMy3vVUd_0MrSduXTe1etBb1HNpAlGwQr006ljwMiM"",
      ""GSC最新!A:R""
    ),
    13,
    FALSE
  ),
  0
)
"),137.0)</f>
        <v>137</v>
      </c>
      <c r="O63" s="6">
        <f>IFERROR(__xludf.DUMMYFUNCTION("IFERROR(
  VLOOKUP(
    A63,
    IMPORTRANGE(
      ""1ZHMy3vVUd_0MrSduXTe1etBb1HNpAlGwQr006ljwMiM"",
      ""GSC最新!A:R""
    ),
    16,
    FALSE
  ),
  0
)
"),484.0)</f>
        <v>484</v>
      </c>
      <c r="P63" s="51">
        <f t="shared" ref="P63:Q63" si="307">IFERROR(L63/N63,"-")</f>
        <v>0.5328467153</v>
      </c>
      <c r="Q63" s="51">
        <f t="shared" si="307"/>
        <v>0.3326446281</v>
      </c>
      <c r="R63" s="9">
        <f>IFERROR(__xludf.DUMMYFUNCTION("IFERROR(
  VLOOKUP(
    A63,
    IMPORTRANGE(
      ""1ZHMy3vVUd_0MrSduXTe1etBb1HNpAlGwQr006ljwMiM"",
      ""GSC最新!A:R""
    ),
    8,
    FALSE
  ),
  0
)
"),0.0136986301369863)</f>
        <v>0.01369863014</v>
      </c>
      <c r="S63" s="9">
        <f>IFERROR(__xludf.DUMMYFUNCTION("IFERROR(
  VLOOKUP(
    A63,
    IMPORTRANGE(
      ""1ZHMy3vVUd_0MrSduXTe1etBb1HNpAlGwQr006ljwMiM"",
      ""GSC最新!A:R""
    ),
    11,
    FALSE
  ),
  0
)
"),0.031055900621118012)</f>
        <v>0.03105590062</v>
      </c>
      <c r="T63" s="9">
        <f>IFERROR(__xludf.DUMMYFUNCTION("IFERROR(
  VLOOKUP(
    A63,
    IMPORTRANGE(
      ""1ZHMy3vVUd_0MrSduXTe1etBb1HNpAlGwQr006ljwMiM"",
      ""GSC最新!A:R""
    ),
    14,
    FALSE
  ),
  0
)
"),0.014598540145985401)</f>
        <v>0.01459854015</v>
      </c>
      <c r="U63" s="9">
        <f>IFERROR(__xludf.DUMMYFUNCTION("IFERROR(
  VLOOKUP(
    A63,
    IMPORTRANGE(
      ""1ZHMy3vVUd_0MrSduXTe1etBb1HNpAlGwQr006ljwMiM"",
      ""GSC最新!A:R""
    ),
    17,
    FALSE
  ),
  0
)
"),0.006198347107438017)</f>
        <v>0.006198347107</v>
      </c>
      <c r="V63" s="9">
        <f t="shared" ref="V63:W63" si="308">IFERROR(R63-T63,"-")</f>
        <v>-0.000899910009</v>
      </c>
      <c r="W63" s="9">
        <f t="shared" si="308"/>
        <v>0.02485755351</v>
      </c>
      <c r="X63" s="65">
        <f>IFERROR(__xludf.DUMMYFUNCTION("IFERROR(
  VLOOKUP(
    A63,
    IMPORTRANGE(
      ""1ZHMy3vVUd_0MrSduXTe1etBb1HNpAlGwQr006ljwMiM"",
      ""GSC最新!A:R""
    ),
    9,
    FALSE
  ),
  0
)
"),15.383561643835616)</f>
        <v>15.38356164</v>
      </c>
      <c r="Y63" s="65">
        <f>IFERROR(__xludf.DUMMYFUNCTION("IFERROR(
  VLOOKUP(
    A63,
    IMPORTRANGE(
      ""1ZHMy3vVUd_0MrSduXTe1etBb1HNpAlGwQr006ljwMiM"",
      ""GSC最新!A:R""
    ),
    12,
    FALSE
  ),
  0
)
"),12.79503105590062)</f>
        <v>12.79503106</v>
      </c>
      <c r="Z63" s="65">
        <f>IFERROR(__xludf.DUMMYFUNCTION("IFERROR(
  VLOOKUP(
    A63,
    IMPORTRANGE(
      ""1ZHMy3vVUd_0MrSduXTe1etBb1HNpAlGwQr006ljwMiM"",
      ""GSC最新!A:R""
    ),
    15,
    FALSE
  ),
  0
)
"),31.386861313868614)</f>
        <v>31.38686131</v>
      </c>
      <c r="AA63" s="65">
        <f>IFERROR(__xludf.DUMMYFUNCTION("IFERROR(
  VLOOKUP(
    A63,
    IMPORTRANGE(
      ""1ZHMy3vVUd_0MrSduXTe1etBb1HNpAlGwQr006ljwMiM"",
      ""GSC最新!A:R""
    ),
    18,
    FALSE
  ),
  0
)
"),44.02479338842975)</f>
        <v>44.02479339</v>
      </c>
      <c r="AB63" s="65">
        <f t="shared" ref="AB63:AC63" si="309">X63-Z63</f>
        <v>-16.00329967</v>
      </c>
      <c r="AC63" s="65">
        <f t="shared" si="309"/>
        <v>-31.22976233</v>
      </c>
      <c r="AD63" s="53">
        <f>IFERROR(__xludf.DUMMYFUNCTION("IFERROR(
  VLOOKUP(
    A63,
    IMPORTRANGE(
      ""1ZHMy3vVUd_0MrSduXTe1etBb1HNpAlGwQr006ljwMiM"",
      ""GSC最新!A:F""
    ),
    6,
    FALSE
  ),
  0
)
"),46081.0)</f>
        <v>46081</v>
      </c>
      <c r="AE63" s="54">
        <f>IFERROR(__xludf.DUMMYFUNCTION("IFERROR(
  VLOOKUP(
    A63,
    IMPORTRANGE(
      ""1SCYQd7_cobOYqT0r_F0IqD4tE4rYn5y8Eup4PJTH8es"",
      ""Snapshot!A:M""
    ),
    5,
    FALSE
  ),
  ""-""
)
"),3.0)</f>
        <v>3</v>
      </c>
      <c r="AF63" s="54">
        <f>IFERROR(__xludf.DUMMYFUNCTION("IFERROR(
  VLOOKUP(
    A63,
    IMPORTRANGE(
      ""1SCYQd7_cobOYqT0r_F0IqD4tE4rYn5y8Eup4PJTH8es"",
      ""Snapshot!A:M""
    ),
    6,
    FALSE
  ),
  0
)
"),0.0)</f>
        <v>0</v>
      </c>
      <c r="AG63" s="54">
        <f>IFERROR(__xludf.DUMMYFUNCTION("IFERROR(
  VLOOKUP(
    A63,
    IMPORTRANGE(
      ""1SCYQd7_cobOYqT0r_F0IqD4tE4rYn5y8Eup4PJTH8es"",
      ""Snapshot!A:M""
    ),
    7,
    FALSE
  ),
  0
)
"),845.0)</f>
        <v>845</v>
      </c>
      <c r="AH63" s="54">
        <f>IFERROR(__xludf.DUMMYFUNCTION("IFERROR(
  VLOOKUP(
    A63,
    IMPORTRANGE(
      ""1SCYQd7_cobOYqT0r_F0IqD4tE4rYn5y8Eup4PJTH8es"",
      ""Snapshot!A:M""
    ),
    8,
    FALSE
  ),
  0
)
"),7.0)</f>
        <v>7</v>
      </c>
      <c r="AI63" s="54">
        <f>IFERROR(__xludf.DUMMYFUNCTION("IFERROR(
  VLOOKUP(
    A63,
    IMPORTRANGE(
      ""1SCYQd7_cobOYqT0r_F0IqD4tE4rYn5y8Eup4PJTH8es"",
      ""Snapshot!A:M""
    ),
    9,
    FALSE
  ),
  0
)
"),1.0)</f>
        <v>1</v>
      </c>
      <c r="AJ63" s="54">
        <f>IFERROR(__xludf.DUMMYFUNCTION("IFERROR(
  VLOOKUP(
    A63,
    IMPORTRANGE(
      ""1SCYQd7_cobOYqT0r_F0IqD4tE4rYn5y8Eup4PJTH8es"",
      ""Snapshot!A:M""
    ),
    13,
    FALSE
  ),
  0
)
"),3.0)</f>
        <v>3</v>
      </c>
      <c r="AK63" s="49">
        <f t="shared" ref="AK63:AL63" si="310">LEN(C63)</f>
        <v>77</v>
      </c>
      <c r="AL63" s="49">
        <f t="shared" si="310"/>
        <v>55</v>
      </c>
    </row>
    <row r="64">
      <c r="A64" s="3" t="s">
        <v>572</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"),"雙葉中学校・令和３(2021)年度の過去問解説 - 受験国語専門 読解ラボ東京 | 中学受験・大学受験対応の個別指導国語専門塾（オンライン・教室対応）")</f>
        <v>雙葉中学校・令和３(2021)年度の過去問解説 - 受験国語専門 読解ラボ東京 | 中学受験・大学受験対応の個別指導国語専門塾（オンライン・教室対応）</v>
      </c>
      <c r="D64" s="1" t="str">
        <f>IFERROR(__xludf.DUMMYFUNCTION("IFERROR(
  VLOOKUP(
    A64,
    IMPORTRANGE(
      ""1ZygntHC1J6IxzKbTidmOyf5nUyW4GCLurHCjexrLm_o        "",
      ""HTMLキャッシュ!A:F""
    ),
    6,
    FALSE
  ),
  0
)
"),"雙葉中学校・令和３年度厳選解説動画 過去問演習の回数・繰り返しの効果と限界・類題演習との順番まで含めた全体像は")</f>
        <v>雙葉中学校・令和３年度厳選解説動画 過去問演習の回数・繰り返しの効果と限界・類題演習との順番まで含めた全体像は</v>
      </c>
      <c r="E64" s="32">
        <f>IFERROR(__xludf.DUMMYFUNCTION("IFERROR(
  VLOOKUP(
    A64,
    IMPORTRANGE(
      ""1ZygntHC1J6IxzKbTidmOyf5nUyW4GCLurHCjexrLm_o        "",
      ""HTMLキャッシュ!A:F""
    ),
    3,
    FALSE
  ),
  0
)
"),46078.84615740741)</f>
        <v>46078.84616</v>
      </c>
      <c r="F64" s="49">
        <f>IFERROR(__xludf.DUMMYFUNCTION("IFERROR(
  VLOOKUP(
    A64,
    IMPORTRANGE(
      ""1ZHMy3vVUd_0MrSduXTe1etBb1HNpAlGwQr006ljwMiM"",
      ""GSC最新!A:F""
    ),
    2,
    FALSE
  ),
  0
)
"),2.0)</f>
        <v>2</v>
      </c>
      <c r="G64" s="49">
        <f>IFERROR(__xludf.DUMMYFUNCTION("IFERROR(
  VLOOKUP(
    A64,
    IMPORTRANGE(
      ""1ZHMy3vVUd_0MrSduXTe1etBb1HNpAlGwQr006ljwMiM"",
      ""GSC最新!A:F""
    ),
    3,
    FALSE
  ),
  0
)
"),5.0)</f>
        <v>5</v>
      </c>
      <c r="H64" s="49">
        <f>IFERROR(__xludf.DUMMYFUNCTION("IFERROR(
  VLOOKUP(
    A64,
    IMPORTRANGE(
      ""1ZHMy3vVUd_0MrSduXTe1etBb1HNpAlGwQr006ljwMiM"",
      ""GSC最新!A:F""
    ),
    4,
    FALSE
  ),
  0
)
"),0.0)</f>
        <v>0</v>
      </c>
      <c r="I64" s="49">
        <f>IFERROR(__xludf.DUMMYFUNCTION("IFERROR(
  VLOOKUP(
    A64,
    IMPORTRANGE(
      ""1ZHMy3vVUd_0MrSduXTe1etBb1HNpAlGwQr006ljwMiM"",
      ""GSC最新!A:F""
    ),
    5,
    FALSE
  ),
  0
)
"),1.0)</f>
        <v>1</v>
      </c>
      <c r="J64" s="50" t="str">
        <f t="shared" ref="J64:K64" si="311">IFERROR(F64/H64,"-")</f>
        <v>-</v>
      </c>
      <c r="K64" s="50">
        <f t="shared" si="311"/>
        <v>5</v>
      </c>
      <c r="L64" s="6">
        <f>IFERROR(__xludf.DUMMYFUNCTION("IFERROR(
  VLOOKUP(
    A64,
    IMPORTRANGE(
      ""1ZHMy3vVUd_0MrSduXTe1etBb1HNpAlGwQr006ljwMiM"",
      ""GSC最新!A:R""
    ),
    7,
    FALSE
  ),
  0
)
"),31.0)</f>
        <v>31</v>
      </c>
      <c r="M64" s="6">
        <f>IFERROR(__xludf.DUMMYFUNCTION("IFERROR(
  VLOOKUP(
    A64,
    IMPORTRANGE(
      ""1ZHMy3vVUd_0MrSduXTe1etBb1HNpAlGwQr006ljwMiM"",
      ""GSC最新!A:R""
    ),
    10,
    FALSE
  ),
  0
)
"),109.0)</f>
        <v>109</v>
      </c>
      <c r="N64" s="6">
        <f>IFERROR(__xludf.DUMMYFUNCTION("IFERROR(
  VLOOKUP(
    A64,
    IMPORTRANGE(
      ""1ZHMy3vVUd_0MrSduXTe1etBb1HNpAlGwQr006ljwMiM"",
      ""GSC最新!A:R""
    ),
    13,
    FALSE
  ),
  0
)
"),15.0)</f>
        <v>15</v>
      </c>
      <c r="O64" s="6">
        <f>IFERROR(__xludf.DUMMYFUNCTION("IFERROR(
  VLOOKUP(
    A64,
    IMPORTRANGE(
      ""1ZHMy3vVUd_0MrSduXTe1etBb1HNpAlGwQr006ljwMiM"",
      ""GSC最新!A:R""
    ),
    16,
    FALSE
  ),
  0
)
"),160.0)</f>
        <v>160</v>
      </c>
      <c r="P64" s="51">
        <f t="shared" ref="P64:Q64" si="312">IFERROR(L64/N64,"-")</f>
        <v>2.066666667</v>
      </c>
      <c r="Q64" s="51">
        <f t="shared" si="312"/>
        <v>0.68125</v>
      </c>
      <c r="R64" s="9">
        <f>IFERROR(__xludf.DUMMYFUNCTION("IFERROR(
  VLOOKUP(
    A64,
    IMPORTRANGE(
      ""1ZHMy3vVUd_0MrSduXTe1etBb1HNpAlGwQr006ljwMiM"",
      ""GSC最新!A:R""
    ),
    8,
    FALSE
  ),
  0
)
"),0.06451612903225806)</f>
        <v>0.06451612903</v>
      </c>
      <c r="S64" s="9">
        <f>IFERROR(__xludf.DUMMYFUNCTION("IFERROR(
  VLOOKUP(
    A64,
    IMPORTRANGE(
      ""1ZHMy3vVUd_0MrSduXTe1etBb1HNpAlGwQr006ljwMiM"",
      ""GSC最新!A:R""
    ),
    11,
    FALSE
  ),
  0
)
"),0.045871559633027525)</f>
        <v>0.04587155963</v>
      </c>
      <c r="T64" s="9">
        <f>IFERROR(__xludf.DUMMYFUNCTION("IFERROR(
  VLOOKUP(
    A64,
    IMPORTRANGE(
      ""1ZHMy3vVUd_0MrSduXTe1etBb1HNpAlGwQr006ljwMiM"",
      ""GSC最新!A:R""
    ),
    14,
    FALSE
  ),
  0
)
"),0.0)</f>
        <v>0</v>
      </c>
      <c r="U64" s="9">
        <f>IFERROR(__xludf.DUMMYFUNCTION("IFERROR(
  VLOOKUP(
    A64,
    IMPORTRANGE(
      ""1ZHMy3vVUd_0MrSduXTe1etBb1HNpAlGwQr006ljwMiM"",
      ""GSC最新!A:R""
    ),
    17,
    FALSE
  ),
  0
)
"),0.00625)</f>
        <v>0.00625</v>
      </c>
      <c r="V64" s="9">
        <f t="shared" ref="V64:W64" si="313">IFERROR(R64-T64,"-")</f>
        <v>0.06451612903</v>
      </c>
      <c r="W64" s="9">
        <f t="shared" si="313"/>
        <v>0.03962155963</v>
      </c>
      <c r="X64" s="65">
        <f>IFERROR(__xludf.DUMMYFUNCTION("IFERROR(
  VLOOKUP(
    A64,
    IMPORTRANGE(
      ""1ZHMy3vVUd_0MrSduXTe1etBb1HNpAlGwQr006ljwMiM"",
      ""GSC最新!A:R""
    ),
    9,
    FALSE
  ),
  0
)
"),13.35483870967742)</f>
        <v>13.35483871</v>
      </c>
      <c r="Y64" s="65">
        <f>IFERROR(__xludf.DUMMYFUNCTION("IFERROR(
  VLOOKUP(
    A64,
    IMPORTRANGE(
      ""1ZHMy3vVUd_0MrSduXTe1etBb1HNpAlGwQr006ljwMiM"",
      ""GSC最新!A:R""
    ),
    12,
    FALSE
  ),
  0
)
"),10.46788990825688)</f>
        <v>10.46788991</v>
      </c>
      <c r="Z64" s="65">
        <f>IFERROR(__xludf.DUMMYFUNCTION("IFERROR(
  VLOOKUP(
    A64,
    IMPORTRANGE(
      ""1ZHMy3vVUd_0MrSduXTe1etBb1HNpAlGwQr006ljwMiM"",
      ""GSC最新!A:R""
    ),
    15,
    FALSE
  ),
  0
)
"),21.0)</f>
        <v>21</v>
      </c>
      <c r="AA64" s="65">
        <f>IFERROR(__xludf.DUMMYFUNCTION("IFERROR(
  VLOOKUP(
    A64,
    IMPORTRANGE(
      ""1ZHMy3vVUd_0MrSduXTe1etBb1HNpAlGwQr006ljwMiM"",
      ""GSC最新!A:R""
    ),
    18,
    FALSE
  ),
  0
)
"),43.4875)</f>
        <v>43.4875</v>
      </c>
      <c r="AB64" s="65">
        <f t="shared" ref="AB64:AC64" si="314">X64-Z64</f>
        <v>-7.64516129</v>
      </c>
      <c r="AC64" s="65">
        <f t="shared" si="314"/>
        <v>-33.01961009</v>
      </c>
      <c r="AD64" s="53">
        <f>IFERROR(__xludf.DUMMYFUNCTION("IFERROR(
  VLOOKUP(
    A64,
    IMPORTRANGE(
      ""1ZHMy3vVUd_0MrSduXTe1etBb1HNpAlGwQr006ljwMiM"",
      ""GSC最新!A:F""
    ),
    6,
    FALSE
  ),
  0
)
"),46081.0)</f>
        <v>46081</v>
      </c>
      <c r="AE64" s="54">
        <f>IFERROR(__xludf.DUMMYFUNCTION("IFERROR(
  VLOOKUP(
    A64,
    IMPORTRANGE(
      ""1SCYQd7_cobOYqT0r_F0IqD4tE4rYn5y8Eup4PJTH8es"",
      ""Snapshot!A:M""
    ),
    5,
    FALSE
  ),
  ""-""
)
"),2.0)</f>
        <v>2</v>
      </c>
      <c r="AF64" s="54">
        <f>IFERROR(__xludf.DUMMYFUNCTION("IFERROR(
  VLOOKUP(
    A64,
    IMPORTRANGE(
      ""1SCYQd7_cobOYqT0r_F0IqD4tE4rYn5y8Eup4PJTH8es"",
      ""Snapshot!A:M""
    ),
    6,
    FALSE
  ),
  0
)
"),0.0)</f>
        <v>0</v>
      </c>
      <c r="AG64" s="54">
        <f>IFERROR(__xludf.DUMMYFUNCTION("IFERROR(
  VLOOKUP(
    A64,
    IMPORTRANGE(
      ""1SCYQd7_cobOYqT0r_F0IqD4tE4rYn5y8Eup4PJTH8es"",
      ""Snapshot!A:M""
    ),
    7,
    FALSE
  ),
  0
)
"),1108.0)</f>
        <v>1108</v>
      </c>
      <c r="AH64" s="54">
        <f>IFERROR(__xludf.DUMMYFUNCTION("IFERROR(
  VLOOKUP(
    A64,
    IMPORTRANGE(
      ""1SCYQd7_cobOYqT0r_F0IqD4tE4rYn5y8Eup4PJTH8es"",
      ""Snapshot!A:M""
    ),
    8,
    FALSE
  ),
  0
)
"),7.0)</f>
        <v>7</v>
      </c>
      <c r="AI64" s="54">
        <f>IFERROR(__xludf.DUMMYFUNCTION("IFERROR(
  VLOOKUP(
    A64,
    IMPORTRANGE(
      ""1SCYQd7_cobOYqT0r_F0IqD4tE4rYn5y8Eup4PJTH8es"",
      ""Snapshot!A:M""
    ),
    9,
    FALSE
  ),
  0
)
"),1.0)</f>
        <v>1</v>
      </c>
      <c r="AJ64" s="54">
        <f>IFERROR(__xludf.DUMMYFUNCTION("IFERROR(
  VLOOKUP(
    A64,
    IMPORTRANGE(
      ""1SCYQd7_cobOYqT0r_F0IqD4tE4rYn5y8Eup4PJTH8es"",
      ""Snapshot!A:M""
    ),
    13,
    FALSE
  ),
  0
)
"),3.0)</f>
        <v>3</v>
      </c>
      <c r="AK64" s="49">
        <f t="shared" ref="AK64:AL64" si="315">LEN(C64)</f>
        <v>75</v>
      </c>
      <c r="AL64" s="49">
        <f t="shared" si="315"/>
        <v>55</v>
      </c>
    </row>
    <row r="65">
      <c r="A65" s="66" t="s">
        <v>573</v>
      </c>
      <c r="B65" s="1" t="str">
        <f>IFERROR(__xludf.DUMMYFUNCTION("IFERROR(
  VLOOKUP(
    A65,
    IMPORTRANGE(
      ""1ZygntHC1J6IxzKbTidmOyf5nUyW4GCLurHCjexrLm_o"",
      ""HTMLキャッシュ!A:F""
    ),
    2,
    FALSE
  ),
  0
)
"),"MC")</f>
        <v>MC</v>
      </c>
      <c r="C65" s="1" t="str">
        <f>IFERROR(__xludf.DUMMYFUNCTION("IFERROR(
  VLOOKUP(
    A65,
    IMPORTRANGE(
      ""1ZygntHC1J6IxzKbTidmOyf5nUyW4GCLurHCjexrLm_o"",
      ""HTMLキャッシュ!A:F""
    ),
    5,
    FALSE
  ),
  0
)
"),"模試の復習法｜国語の答案分析3観点と5ステップ｜中学受験")</f>
        <v>模試の復習法｜国語の答案分析3観点と5ステップ｜中学受験</v>
      </c>
      <c r="D65" s="1" t="str">
        <f>IFERROR(__xludf.DUMMYFUNCTION("IFERROR(
  VLOOKUP(
    A65,
    IMPORTRANGE(
      ""1ZygntHC1J6IxzKbTidmOyf5nUyW4GCLurHCjexrLm_o        "",
      ""HTMLキャッシュ!A:F""
    ),
    6,
    FALSE
  ),
  0
)
"),"中学受験国語の模試復習を「偏差値」で終わらせない。問題文理解・答案の書き方・知識の穴の3観点で点の落ち所を特定し、5ステップで次回までの改善行動に落とし込む。")</f>
        <v>中学受験国語の模試復習を「偏差値」で終わらせない。問題文理解・答案の書き方・知識の穴の3観点で点の落ち所を特定し、5ステップで次回までの改善行動に落とし込む。</v>
      </c>
      <c r="E65" s="32">
        <f>IFERROR(__xludf.DUMMYFUNCTION("IFERROR(
  VLOOKUP(
    A65,
    IMPORTRANGE(
      ""1ZygntHC1J6IxzKbTidmOyf5nUyW4GCLurHCjexrLm_o        "",
      ""HTMLキャッシュ!A:F""
    ),
    3,
    FALSE
  ),
  0
)
"),46069.64791666667)</f>
        <v>46069.64792</v>
      </c>
      <c r="F65" s="49">
        <f>IFERROR(__xludf.DUMMYFUNCTION("IFERROR(
  VLOOKUP(
    A65,
    IMPORTRANGE(
      ""1ZHMy3vVUd_0MrSduXTe1etBb1HNpAlGwQr006ljwMiM"",
      ""GSC最新!A:F""
    ),
    2,
    FALSE
  ),
  0
)
"),6.0)</f>
        <v>6</v>
      </c>
      <c r="G65" s="49">
        <f>IFERROR(__xludf.DUMMYFUNCTION("IFERROR(
  VLOOKUP(
    A65,
    IMPORTRANGE(
      ""1ZHMy3vVUd_0MrSduXTe1etBb1HNpAlGwQr006ljwMiM"",
      ""GSC最新!A:F""
    ),
    3,
    FALSE
  ),
  0
)
"),6.0)</f>
        <v>6</v>
      </c>
      <c r="H65" s="49">
        <f>IFERROR(__xludf.DUMMYFUNCTION("IFERROR(
  VLOOKUP(
    A65,
    IMPORTRANGE(
      ""1ZHMy3vVUd_0MrSduXTe1etBb1HNpAlGwQr006ljwMiM"",
      ""GSC最新!A:F""
    ),
    4,
    FALSE
  ),
  0
)
"),0.0)</f>
        <v>0</v>
      </c>
      <c r="I65" s="49">
        <f>IFERROR(__xludf.DUMMYFUNCTION("IFERROR(
  VLOOKUP(
    A65,
    IMPORTRANGE(
      ""1ZHMy3vVUd_0MrSduXTe1etBb1HNpAlGwQr006ljwMiM"",
      ""GSC最新!A:F""
    ),
    5,
    FALSE
  ),
  0
)
"),0.0)</f>
        <v>0</v>
      </c>
      <c r="J65" s="50" t="str">
        <f t="shared" ref="J65:K65" si="316">IFERROR(F65/H65,"-")</f>
        <v>-</v>
      </c>
      <c r="K65" s="50" t="str">
        <f t="shared" si="316"/>
        <v>-</v>
      </c>
      <c r="L65" s="6">
        <f>IFERROR(__xludf.DUMMYFUNCTION("IFERROR(
  VLOOKUP(
    A65,
    IMPORTRANGE(
      ""1ZHMy3vVUd_0MrSduXTe1etBb1HNpAlGwQr006ljwMiM"",
      ""GSC最新!A:R""
    ),
    7,
    FALSE
  ),
  0
)
"),273.0)</f>
        <v>273</v>
      </c>
      <c r="M65" s="6">
        <f>IFERROR(__xludf.DUMMYFUNCTION("IFERROR(
  VLOOKUP(
    A65,
    IMPORTRANGE(
      ""1ZHMy3vVUd_0MrSduXTe1etBb1HNpAlGwQr006ljwMiM"",
      ""GSC最新!A:R""
    ),
    10,
    FALSE
  ),
  0
)
"),338.0)</f>
        <v>338</v>
      </c>
      <c r="N65" s="6">
        <f>IFERROR(__xludf.DUMMYFUNCTION("IFERROR(
  VLOOKUP(
    A65,
    IMPORTRANGE(
      ""1ZHMy3vVUd_0MrSduXTe1etBb1HNpAlGwQr006ljwMiM"",
      ""GSC最新!A:R""
    ),
    13,
    FALSE
  ),
  0
)
"),0.0)</f>
        <v>0</v>
      </c>
      <c r="O65" s="6">
        <f>IFERROR(__xludf.DUMMYFUNCTION("IFERROR(
  VLOOKUP(
    A65,
    IMPORTRANGE(
      ""1ZHMy3vVUd_0MrSduXTe1etBb1HNpAlGwQr006ljwMiM"",
      ""GSC最新!A:R""
    ),
    16,
    FALSE
  ),
  0
)
"),0.0)</f>
        <v>0</v>
      </c>
      <c r="P65" s="51" t="str">
        <f t="shared" ref="P65:Q65" si="317">IFERROR(L65/N65,"-")</f>
        <v>-</v>
      </c>
      <c r="Q65" s="51" t="str">
        <f t="shared" si="317"/>
        <v>-</v>
      </c>
      <c r="R65" s="9">
        <f>IFERROR(__xludf.DUMMYFUNCTION("IFERROR(
  VLOOKUP(
    A65,
    IMPORTRANGE(
      ""1ZHMy3vVUd_0MrSduXTe1etBb1HNpAlGwQr006ljwMiM"",
      ""GSC最新!A:R""
    ),
    8,
    FALSE
  ),
  0
)
"),0.02197802197802198)</f>
        <v>0.02197802198</v>
      </c>
      <c r="S65" s="9">
        <f>IFERROR(__xludf.DUMMYFUNCTION("IFERROR(
  VLOOKUP(
    A65,
    IMPORTRANGE(
      ""1ZHMy3vVUd_0MrSduXTe1etBb1HNpAlGwQr006ljwMiM"",
      ""GSC最新!A:R""
    ),
    11,
    FALSE
  ),
  0
)
"),0.01775147928994083)</f>
        <v>0.01775147929</v>
      </c>
      <c r="T65" s="9">
        <f>IFERROR(__xludf.DUMMYFUNCTION("IFERROR(
  VLOOKUP(
    A65,
    IMPORTRANGE(
      ""1ZHMy3vVUd_0MrSduXTe1etBb1HNpAlGwQr006ljwMiM"",
      ""GSC最新!A:R""
    ),
    14,
    FALSE
  ),
  0
)
"),0.0)</f>
        <v>0</v>
      </c>
      <c r="U65" s="9">
        <f>IFERROR(__xludf.DUMMYFUNCTION("IFERROR(
  VLOOKUP(
    A65,
    IMPORTRANGE(
      ""1ZHMy3vVUd_0MrSduXTe1etBb1HNpAlGwQr006ljwMiM"",
      ""GSC最新!A:R""
    ),
    17,
    FALSE
  ),
  0
)
"),0.0)</f>
        <v>0</v>
      </c>
      <c r="V65" s="9">
        <f t="shared" ref="V65:W65" si="318">IFERROR(R65-T65,"-")</f>
        <v>0.02197802198</v>
      </c>
      <c r="W65" s="9">
        <f t="shared" si="318"/>
        <v>0.01775147929</v>
      </c>
      <c r="X65" s="65">
        <f>IFERROR(__xludf.DUMMYFUNCTION("IFERROR(
  VLOOKUP(
    A65,
    IMPORTRANGE(
      ""1ZHMy3vVUd_0MrSduXTe1etBb1HNpAlGwQr006ljwMiM"",
      ""GSC最新!A:R""
    ),
    9,
    FALSE
  ),
  0
)
"),8.622710622710622)</f>
        <v>8.622710623</v>
      </c>
      <c r="Y65" s="65">
        <f>IFERROR(__xludf.DUMMYFUNCTION("IFERROR(
  VLOOKUP(
    A65,
    IMPORTRANGE(
      ""1ZHMy3vVUd_0MrSduXTe1etBb1HNpAlGwQr006ljwMiM"",
      ""GSC最新!A:R""
    ),
    12,
    FALSE
  ),
  0
)
"),8.52958579881657)</f>
        <v>8.529585799</v>
      </c>
      <c r="Z65" s="65" t="str">
        <f>IFERROR(__xludf.DUMMYFUNCTION("IFERROR(
  VLOOKUP(
    A65,
    IMPORTRANGE(
      ""1ZHMy3vVUd_0MrSduXTe1etBb1HNpAlGwQr006ljwMiM"",
      ""GSC最新!A:R""
    ),
    15,
    FALSE
  ),
  0
)
"),"")</f>
        <v/>
      </c>
      <c r="AA65" s="65" t="str">
        <f>IFERROR(__xludf.DUMMYFUNCTION("IFERROR(
  VLOOKUP(
    A65,
    IMPORTRANGE(
      ""1ZHMy3vVUd_0MrSduXTe1etBb1HNpAlGwQr006ljwMiM"",
      ""GSC最新!A:R""
    ),
    18,
    FALSE
  ),
  0
)
"),"")</f>
        <v/>
      </c>
      <c r="AB65" s="65">
        <f t="shared" ref="AB65:AC65" si="319">X65-Z65</f>
        <v>8.622710623</v>
      </c>
      <c r="AC65" s="65">
        <f t="shared" si="319"/>
        <v>8.529585799</v>
      </c>
      <c r="AD65" s="53">
        <f>IFERROR(__xludf.DUMMYFUNCTION("IFERROR(
  VLOOKUP(
    A65,
    IMPORTRANGE(
      ""1ZHMy3vVUd_0MrSduXTe1etBb1HNpAlGwQr006ljwMiM"",
      ""GSC最新!A:F""
    ),
    6,
    FALSE
  ),
  0
)
"),46081.0)</f>
        <v>46081</v>
      </c>
      <c r="AE65" s="54">
        <f>IFERROR(__xludf.DUMMYFUNCTION("IFERROR(
  VLOOKUP(
    A65,
    IMPORTRANGE(
      ""1SCYQd7_cobOYqT0r_F0IqD4tE4rYn5y8Eup4PJTH8es"",
      ""Snapshot!A:M""
    ),
    5,
    FALSE
  ),
  ""-""
)
"),16.0)</f>
        <v>16</v>
      </c>
      <c r="AF65" s="54">
        <f>IFERROR(__xludf.DUMMYFUNCTION("IFERROR(
  VLOOKUP(
    A65,
    IMPORTRANGE(
      ""1SCYQd7_cobOYqT0r_F0IqD4tE4rYn5y8Eup4PJTH8es"",
      ""Snapshot!A:M""
    ),
    6,
    FALSE
  ),
  0
)
"),22.0)</f>
        <v>22</v>
      </c>
      <c r="AG65" s="54">
        <f>IFERROR(__xludf.DUMMYFUNCTION("IFERROR(
  VLOOKUP(
    A65,
    IMPORTRANGE(
      ""1SCYQd7_cobOYqT0r_F0IqD4tE4rYn5y8Eup4PJTH8es"",
      ""Snapshot!A:M""
    ),
    7,
    FALSE
  ),
  0
)
"),6975.0)</f>
        <v>6975</v>
      </c>
      <c r="AH65" s="54">
        <f>IFERROR(__xludf.DUMMYFUNCTION("IFERROR(
  VLOOKUP(
    A65,
    IMPORTRANGE(
      ""1SCYQd7_cobOYqT0r_F0IqD4tE4rYn5y8Eup4PJTH8es"",
      ""Snapshot!A:M""
    ),
    8,
    FALSE
  ),
  0
)
"),1.0)</f>
        <v>1</v>
      </c>
      <c r="AI65" s="54">
        <f>IFERROR(__xludf.DUMMYFUNCTION("IFERROR(
  VLOOKUP(
    A65,
    IMPORTRANGE(
      ""1SCYQd7_cobOYqT0r_F0IqD4tE4rYn5y8Eup4PJTH8es"",
      ""Snapshot!A:M""
    ),
    9,
    FALSE
  ),
  0
)
"),3.0)</f>
        <v>3</v>
      </c>
      <c r="AJ65" s="54">
        <f>IFERROR(__xludf.DUMMYFUNCTION("IFERROR(
  VLOOKUP(
    A65,
    IMPORTRANGE(
      ""1SCYQd7_cobOYqT0r_F0IqD4tE4rYn5y8Eup4PJTH8es"",
      ""Snapshot!A:M""
    ),
    13,
    FALSE
  ),
  0
)
"),3.0)</f>
        <v>3</v>
      </c>
      <c r="AK65" s="49">
        <f t="shared" ref="AK65:AL65" si="320">LEN(C65)</f>
        <v>28</v>
      </c>
      <c r="AL65" s="49">
        <f t="shared" si="320"/>
        <v>79</v>
      </c>
    </row>
    <row r="66">
      <c r="A66" s="3" t="s">
        <v>308</v>
      </c>
      <c r="B66" s="1" t="str">
        <f>IFERROR(__xludf.DUMMYFUNCTION("IFERROR(
  VLOOKUP(
    A66,
    IMPORTRANGE(
      ""1ZygntHC1J6IxzKbTidmOyf5nUyW4GCLurHCjexrLm_o"",
      ""HTMLキャッシュ!A:F""
    ),
    2,
    FALSE
  ),
  0
)
"),"SP")</f>
        <v>SP</v>
      </c>
      <c r="C66" s="1" t="str">
        <f>IFERROR(__xludf.DUMMYFUNCTION("IFERROR(
  VLOOKUP(
    A66,
    IMPORTRANGE(
      ""1ZygntHC1J6IxzKbTidmOyf5nUyW4GCLurHCjexrLm_o"",
      ""HTMLキャッシュ!A:F""
    ),
    5,
    FALSE
  ),
  0
)
"),"読解/漢字演習道場【中受】 - 受験国語専門 読解ラボ東京 | 中学受験・大学受験対応の個別指導国語専門塾（オンライン・教室対応）")</f>
        <v>読解/漢字演習道場【中受】 - 受験国語専門 読解ラボ東京 | 中学受験・大学受験対応の個別指導国語専門塾（オンライン・教室対応）</v>
      </c>
      <c r="D66" s="1" t="str">
        <f>IFERROR(__xludf.DUMMYFUNCTION("IFERROR(
  VLOOKUP(
    A66,
    IMPORTRANGE(
      ""1ZygntHC1J6IxzKbTidmOyf5nUyW4GCLurHCjexrLm_o        "",
      ""HTMLキャッシュ!A:F""
    ),
    6,
    FALSE
  ),
  0
)
"),"読解演習道場 「インプットとアウトプットのバランスは取れていますか？」 講座の全体像（他の開講講座・受講形式・")</f>
        <v>読解演習道場 「インプットとアウトプットのバランスは取れていますか？」 講座の全体像（他の開講講座・受講形式・</v>
      </c>
      <c r="E66" s="32">
        <f>IFERROR(__xludf.DUMMYFUNCTION("IFERROR(
  VLOOKUP(
    A66,
    IMPORTRANGE(
      ""1ZygntHC1J6IxzKbTidmOyf5nUyW4GCLurHCjexrLm_o        "",
      ""HTMLキャッシュ!A:F""
    ),
    3,
    FALSE
  ),
  0
)
"),46081.78704861111)</f>
        <v>46081.78705</v>
      </c>
      <c r="F66" s="49">
        <f>IFERROR(__xludf.DUMMYFUNCTION("IFERROR(
  VLOOKUP(
    A66,
    IMPORTRANGE(
      ""1ZHMy3vVUd_0MrSduXTe1etBb1HNpAlGwQr006ljwMiM"",
      ""GSC最新!A:F""
    ),
    2,
    FALSE
  ),
  0
)
"),1.0)</f>
        <v>1</v>
      </c>
      <c r="G66" s="49">
        <f>IFERROR(__xludf.DUMMYFUNCTION("IFERROR(
  VLOOKUP(
    A66,
    IMPORTRANGE(
      ""1ZHMy3vVUd_0MrSduXTe1etBb1HNpAlGwQr006ljwMiM"",
      ""GSC最新!A:F""
    ),
    3,
    FALSE
  ),
  0
)
"),5.0)</f>
        <v>5</v>
      </c>
      <c r="H66" s="49">
        <f>IFERROR(__xludf.DUMMYFUNCTION("IFERROR(
  VLOOKUP(
    A66,
    IMPORTRANGE(
      ""1ZHMy3vVUd_0MrSduXTe1etBb1HNpAlGwQr006ljwMiM"",
      ""GSC最新!A:F""
    ),
    4,
    FALSE
  ),
  0
)
"),1.0)</f>
        <v>1</v>
      </c>
      <c r="I66" s="49">
        <f>IFERROR(__xludf.DUMMYFUNCTION("IFERROR(
  VLOOKUP(
    A66,
    IMPORTRANGE(
      ""1ZHMy3vVUd_0MrSduXTe1etBb1HNpAlGwQr006ljwMiM"",
      ""GSC最新!A:F""
    ),
    5,
    FALSE
  ),
  0
)
"),2.0)</f>
        <v>2</v>
      </c>
      <c r="J66" s="50">
        <f t="shared" ref="J66:K66" si="321">IFERROR(F66/H66,"-")</f>
        <v>1</v>
      </c>
      <c r="K66" s="50">
        <f t="shared" si="321"/>
        <v>2.5</v>
      </c>
      <c r="L66" s="6">
        <f>IFERROR(__xludf.DUMMYFUNCTION("IFERROR(
  VLOOKUP(
    A66,
    IMPORTRANGE(
      ""1ZHMy3vVUd_0MrSduXTe1etBb1HNpAlGwQr006ljwMiM"",
      ""GSC最新!A:R""
    ),
    7,
    FALSE
  ),
  0
)
"),62.0)</f>
        <v>62</v>
      </c>
      <c r="M66" s="6">
        <f>IFERROR(__xludf.DUMMYFUNCTION("IFERROR(
  VLOOKUP(
    A66,
    IMPORTRANGE(
      ""1ZHMy3vVUd_0MrSduXTe1etBb1HNpAlGwQr006ljwMiM"",
      ""GSC最新!A:R""
    ),
    10,
    FALSE
  ),
  0
)
"),126.0)</f>
        <v>126</v>
      </c>
      <c r="N66" s="6">
        <f>IFERROR(__xludf.DUMMYFUNCTION("IFERROR(
  VLOOKUP(
    A66,
    IMPORTRANGE(
      ""1ZHMy3vVUd_0MrSduXTe1etBb1HNpAlGwQr006ljwMiM"",
      ""GSC最新!A:R""
    ),
    13,
    FALSE
  ),
  0
)
"),16.0)</f>
        <v>16</v>
      </c>
      <c r="O66" s="6">
        <f>IFERROR(__xludf.DUMMYFUNCTION("IFERROR(
  VLOOKUP(
    A66,
    IMPORTRANGE(
      ""1ZHMy3vVUd_0MrSduXTe1etBb1HNpAlGwQr006ljwMiM"",
      ""GSC最新!A:R""
    ),
    16,
    FALSE
  ),
  0
)
"),62.0)</f>
        <v>62</v>
      </c>
      <c r="P66" s="51">
        <f t="shared" ref="P66:Q66" si="322">IFERROR(L66/N66,"-")</f>
        <v>3.875</v>
      </c>
      <c r="Q66" s="51">
        <f t="shared" si="322"/>
        <v>2.032258065</v>
      </c>
      <c r="R66" s="9">
        <f>IFERROR(__xludf.DUMMYFUNCTION("IFERROR(
  VLOOKUP(
    A66,
    IMPORTRANGE(
      ""1ZHMy3vVUd_0MrSduXTe1etBb1HNpAlGwQr006ljwMiM"",
      ""GSC最新!A:R""
    ),
    8,
    FALSE
  ),
  0
)
"),0.016129032258064516)</f>
        <v>0.01612903226</v>
      </c>
      <c r="S66" s="9">
        <f>IFERROR(__xludf.DUMMYFUNCTION("IFERROR(
  VLOOKUP(
    A66,
    IMPORTRANGE(
      ""1ZHMy3vVUd_0MrSduXTe1etBb1HNpAlGwQr006ljwMiM"",
      ""GSC最新!A:R""
    ),
    11,
    FALSE
  ),
  0
)
"),0.03968253968253968)</f>
        <v>0.03968253968</v>
      </c>
      <c r="T66" s="9">
        <f>IFERROR(__xludf.DUMMYFUNCTION("IFERROR(
  VLOOKUP(
    A66,
    IMPORTRANGE(
      ""1ZHMy3vVUd_0MrSduXTe1etBb1HNpAlGwQr006ljwMiM"",
      ""GSC最新!A:R""
    ),
    14,
    FALSE
  ),
  0
)
"),0.0625)</f>
        <v>0.0625</v>
      </c>
      <c r="U66" s="9">
        <f>IFERROR(__xludf.DUMMYFUNCTION("IFERROR(
  VLOOKUP(
    A66,
    IMPORTRANGE(
      ""1ZHMy3vVUd_0MrSduXTe1etBb1HNpAlGwQr006ljwMiM"",
      ""GSC最新!A:R""
    ),
    17,
    FALSE
  ),
  0
)
"),0.03225806451612903)</f>
        <v>0.03225806452</v>
      </c>
      <c r="V66" s="9">
        <f t="shared" ref="V66:W66" si="323">IFERROR(R66-T66,"-")</f>
        <v>-0.04637096774</v>
      </c>
      <c r="W66" s="9">
        <f t="shared" si="323"/>
        <v>0.007424475166</v>
      </c>
      <c r="X66" s="65">
        <f>IFERROR(__xludf.DUMMYFUNCTION("IFERROR(
  VLOOKUP(
    A66,
    IMPORTRANGE(
      ""1ZHMy3vVUd_0MrSduXTe1etBb1HNpAlGwQr006ljwMiM"",
      ""GSC最新!A:R""
    ),
    9,
    FALSE
  ),
  0
)
"),14.241935483870968)</f>
        <v>14.24193548</v>
      </c>
      <c r="Y66" s="65">
        <f>IFERROR(__xludf.DUMMYFUNCTION("IFERROR(
  VLOOKUP(
    A66,
    IMPORTRANGE(
      ""1ZHMy3vVUd_0MrSduXTe1etBb1HNpAlGwQr006ljwMiM"",
      ""GSC最新!A:R""
    ),
    12,
    FALSE
  ),
  0
)
"),11.658730158730158)</f>
        <v>11.65873016</v>
      </c>
      <c r="Z66" s="65">
        <f>IFERROR(__xludf.DUMMYFUNCTION("IFERROR(
  VLOOKUP(
    A66,
    IMPORTRANGE(
      ""1ZHMy3vVUd_0MrSduXTe1etBb1HNpAlGwQr006ljwMiM"",
      ""GSC最新!A:R""
    ),
    15,
    FALSE
  ),
  0
)
"),11.9375)</f>
        <v>11.9375</v>
      </c>
      <c r="AA66" s="65">
        <f>IFERROR(__xludf.DUMMYFUNCTION("IFERROR(
  VLOOKUP(
    A66,
    IMPORTRANGE(
      ""1ZHMy3vVUd_0MrSduXTe1etBb1HNpAlGwQr006ljwMiM"",
      ""GSC最新!A:R""
    ),
    18,
    FALSE
  ),
  0
)
"),14.290322580645162)</f>
        <v>14.29032258</v>
      </c>
      <c r="AB66" s="65">
        <f t="shared" ref="AB66:AC66" si="324">X66-Z66</f>
        <v>2.304435484</v>
      </c>
      <c r="AC66" s="65">
        <f t="shared" si="324"/>
        <v>-2.631592422</v>
      </c>
      <c r="AD66" s="53">
        <f>IFERROR(__xludf.DUMMYFUNCTION("IFERROR(
  VLOOKUP(
    A66,
    IMPORTRANGE(
      ""1ZHMy3vVUd_0MrSduXTe1etBb1HNpAlGwQr006ljwMiM"",
      ""GSC最新!A:F""
    ),
    6,
    FALSE
  ),
  0
)
"),46081.0)</f>
        <v>46081</v>
      </c>
      <c r="AE66" s="54">
        <f>IFERROR(__xludf.DUMMYFUNCTION("IFERROR(
  VLOOKUP(
    A66,
    IMPORTRANGE(
      ""1SCYQd7_cobOYqT0r_F0IqD4tE4rYn5y8Eup4PJTH8es"",
      ""Snapshot!A:M""
    ),
    5,
    FALSE
  ),
  ""-""
)
"),9.0)</f>
        <v>9</v>
      </c>
      <c r="AF66" s="54">
        <f>IFERROR(__xludf.DUMMYFUNCTION("IFERROR(
  VLOOKUP(
    A66,
    IMPORTRANGE(
      ""1SCYQd7_cobOYqT0r_F0IqD4tE4rYn5y8Eup4PJTH8es"",
      ""Snapshot!A:M""
    ),
    6,
    FALSE
  ),
  0
)
"),0.0)</f>
        <v>0</v>
      </c>
      <c r="AG66" s="54">
        <f>IFERROR(__xludf.DUMMYFUNCTION("IFERROR(
  VLOOKUP(
    A66,
    IMPORTRANGE(
      ""1SCYQd7_cobOYqT0r_F0IqD4tE4rYn5y8Eup4PJTH8es"",
      ""Snapshot!A:M""
    ),
    7,
    FALSE
  ),
  0
)
"),2545.0)</f>
        <v>2545</v>
      </c>
      <c r="AH66" s="54">
        <f>IFERROR(__xludf.DUMMYFUNCTION("IFERROR(
  VLOOKUP(
    A66,
    IMPORTRANGE(
      ""1SCYQd7_cobOYqT0r_F0IqD4tE4rYn5y8Eup4PJTH8es"",
      ""Snapshot!A:M""
    ),
    8,
    FALSE
  ),
  0
)
"),2.0)</f>
        <v>2</v>
      </c>
      <c r="AI66" s="54">
        <f>IFERROR(__xludf.DUMMYFUNCTION("IFERROR(
  VLOOKUP(
    A66,
    IMPORTRANGE(
      ""1SCYQd7_cobOYqT0r_F0IqD4tE4rYn5y8Eup4PJTH8es"",
      ""Snapshot!A:M""
    ),
    9,
    FALSE
  ),
  0
)
"),1.0)</f>
        <v>1</v>
      </c>
      <c r="AJ66" s="54">
        <f>IFERROR(__xludf.DUMMYFUNCTION("IFERROR(
  VLOOKUP(
    A66,
    IMPORTRANGE(
      ""1SCYQd7_cobOYqT0r_F0IqD4tE4rYn5y8Eup4PJTH8es"",
      ""Snapshot!A:M""
    ),
    13,
    FALSE
  ),
  0
)
"),2.0)</f>
        <v>2</v>
      </c>
      <c r="AK66" s="49">
        <f t="shared" ref="AK66:AL66" si="325">LEN(C66)</f>
        <v>65</v>
      </c>
      <c r="AL66" s="49">
        <f t="shared" si="325"/>
        <v>55</v>
      </c>
    </row>
    <row r="67">
      <c r="A67" s="1" t="s">
        <v>574</v>
      </c>
      <c r="B67" s="1" t="s">
        <v>32</v>
      </c>
      <c r="C67" s="1" t="str">
        <f>IFERROR(__xludf.DUMMYFUNCTION("IFERROR(
  VLOOKUP(
    A67,
    IMPORTRANGE(
      ""1ZygntHC1J6IxzKbTidmOyf5nUyW4GCLurHCjexrLm_o"",
      ""HTMLキャッシュ!A:F""
    ),
    5,
    FALSE
  ),
  0
)
"),"オンライン - 受験国語専門 読解ラボ東京 | 中学受験・大学受験対応の個別指導国語専門塾（オンライン・教室対応）")</f>
        <v>オンライン - 受験国語専門 読解ラボ東京 | 中学受験・大学受験対応の個別指導国語専門塾（オンライン・教室対応）</v>
      </c>
      <c r="D67" s="1" t="str">
        <f>IFERROR(__xludf.DUMMYFUNCTION("IFERROR(
  VLOOKUP(
    A67,
    IMPORTRANGE(
      ""1ZygntHC1J6IxzKbTidmOyf5nUyW4GCLurHCjexrLm_o        "",
      ""HTMLキャッシュ!A:F""
    ),
    6,
    FALSE
  ),
  0
)
"),"")</f>
        <v/>
      </c>
      <c r="E67" s="32">
        <f>IFERROR(__xludf.DUMMYFUNCTION("IFERROR(
  VLOOKUP(
    A67,
    IMPORTRANGE(
      ""1ZygntHC1J6IxzKbTidmOyf5nUyW4GCLurHCjexrLm_o        "",
      ""HTMLキャッシュ!A:F""
    ),
    3,
    FALSE
  ),
  0
)
"),43964.70295138889)</f>
        <v>43964.70295</v>
      </c>
      <c r="F67" s="49">
        <f>IFERROR(__xludf.DUMMYFUNCTION("IFERROR(
  VLOOKUP(
    A67,
    IMPORTRANGE(
      ""1ZHMy3vVUd_0MrSduXTe1etBb1HNpAlGwQr006ljwMiM"",
      ""GSC最新!A:F""
    ),
    2,
    FALSE
  ),
  0
)
"),1.0)</f>
        <v>1</v>
      </c>
      <c r="G67" s="49">
        <f>IFERROR(__xludf.DUMMYFUNCTION("IFERROR(
  VLOOKUP(
    A67,
    IMPORTRANGE(
      ""1ZHMy3vVUd_0MrSduXTe1etBb1HNpAlGwQr006ljwMiM"",
      ""GSC最新!A:F""
    ),
    3,
    FALSE
  ),
  0
)
"),4.0)</f>
        <v>4</v>
      </c>
      <c r="H67" s="49">
        <f>IFERROR(__xludf.DUMMYFUNCTION("IFERROR(
  VLOOKUP(
    A67,
    IMPORTRANGE(
      ""1ZHMy3vVUd_0MrSduXTe1etBb1HNpAlGwQr006ljwMiM"",
      ""GSC最新!A:F""
    ),
    4,
    FALSE
  ),
  0
)
"),0.0)</f>
        <v>0</v>
      </c>
      <c r="I67" s="49">
        <f>IFERROR(__xludf.DUMMYFUNCTION("IFERROR(
  VLOOKUP(
    A67,
    IMPORTRANGE(
      ""1ZHMy3vVUd_0MrSduXTe1etBb1HNpAlGwQr006ljwMiM"",
      ""GSC最新!A:F""
    ),
    5,
    FALSE
  ),
  0
)
"),1.0)</f>
        <v>1</v>
      </c>
      <c r="J67" s="50" t="str">
        <f t="shared" ref="J67:K67" si="326">IFERROR(F67/H67,"-")</f>
        <v>-</v>
      </c>
      <c r="K67" s="50">
        <f t="shared" si="326"/>
        <v>4</v>
      </c>
      <c r="L67" s="6">
        <f>IFERROR(__xludf.DUMMYFUNCTION("IFERROR(
  VLOOKUP(
    A67,
    IMPORTRANGE(
      ""1ZHMy3vVUd_0MrSduXTe1etBb1HNpAlGwQr006ljwMiM"",
      ""GSC最新!A:R""
    ),
    7,
    FALSE
  ),
  0
)
"),52.0)</f>
        <v>52</v>
      </c>
      <c r="M67" s="6">
        <f>IFERROR(__xludf.DUMMYFUNCTION("IFERROR(
  VLOOKUP(
    A67,
    IMPORTRANGE(
      ""1ZHMy3vVUd_0MrSduXTe1etBb1HNpAlGwQr006ljwMiM"",
      ""GSC最新!A:R""
    ),
    10,
    FALSE
  ),
  0
)
"),219.0)</f>
        <v>219</v>
      </c>
      <c r="N67" s="6">
        <f>IFERROR(__xludf.DUMMYFUNCTION("IFERROR(
  VLOOKUP(
    A67,
    IMPORTRANGE(
      ""1ZHMy3vVUd_0MrSduXTe1etBb1HNpAlGwQr006ljwMiM"",
      ""GSC最新!A:R""
    ),
    13,
    FALSE
  ),
  0
)
"),19.0)</f>
        <v>19</v>
      </c>
      <c r="O67" s="6">
        <f>IFERROR(__xludf.DUMMYFUNCTION("IFERROR(
  VLOOKUP(
    A67,
    IMPORTRANGE(
      ""1ZHMy3vVUd_0MrSduXTe1etBb1HNpAlGwQr006ljwMiM"",
      ""GSC最新!A:R""
    ),
    16,
    FALSE
  ),
  0
)
"),147.0)</f>
        <v>147</v>
      </c>
      <c r="P67" s="51">
        <f t="shared" ref="P67:Q67" si="327">IFERROR(L67/N67,"-")</f>
        <v>2.736842105</v>
      </c>
      <c r="Q67" s="51">
        <f t="shared" si="327"/>
        <v>1.489795918</v>
      </c>
      <c r="R67" s="9">
        <f>IFERROR(__xludf.DUMMYFUNCTION("IFERROR(
  VLOOKUP(
    A67,
    IMPORTRANGE(
      ""1ZHMy3vVUd_0MrSduXTe1etBb1HNpAlGwQr006ljwMiM"",
      ""GSC最新!A:R""
    ),
    8,
    FALSE
  ),
  0
)
"),0.019230769230769232)</f>
        <v>0.01923076923</v>
      </c>
      <c r="S67" s="9">
        <f>IFERROR(__xludf.DUMMYFUNCTION("IFERROR(
  VLOOKUP(
    A67,
    IMPORTRANGE(
      ""1ZHMy3vVUd_0MrSduXTe1etBb1HNpAlGwQr006ljwMiM"",
      ""GSC最新!A:R""
    ),
    11,
    FALSE
  ),
  0
)
"),0.0182648401826484)</f>
        <v>0.01826484018</v>
      </c>
      <c r="T67" s="9">
        <f>IFERROR(__xludf.DUMMYFUNCTION("IFERROR(
  VLOOKUP(
    A67,
    IMPORTRANGE(
      ""1ZHMy3vVUd_0MrSduXTe1etBb1HNpAlGwQr006ljwMiM"",
      ""GSC最新!A:R""
    ),
    14,
    FALSE
  ),
  0
)
"),0.0)</f>
        <v>0</v>
      </c>
      <c r="U67" s="9">
        <f>IFERROR(__xludf.DUMMYFUNCTION("IFERROR(
  VLOOKUP(
    A67,
    IMPORTRANGE(
      ""1ZHMy3vVUd_0MrSduXTe1etBb1HNpAlGwQr006ljwMiM"",
      ""GSC最新!A:R""
    ),
    17,
    FALSE
  ),
  0
)
"),0.006802721088435374)</f>
        <v>0.006802721088</v>
      </c>
      <c r="V67" s="9">
        <f t="shared" ref="V67:W67" si="328">IFERROR(R67-T67,"-")</f>
        <v>0.01923076923</v>
      </c>
      <c r="W67" s="9">
        <f t="shared" si="328"/>
        <v>0.01146211909</v>
      </c>
      <c r="X67" s="65">
        <f>IFERROR(__xludf.DUMMYFUNCTION("IFERROR(
  VLOOKUP(
    A67,
    IMPORTRANGE(
      ""1ZHMy3vVUd_0MrSduXTe1etBb1HNpAlGwQr006ljwMiM"",
      ""GSC最新!A:R""
    ),
    9,
    FALSE
  ),
  0
)
"),6.230769230769231)</f>
        <v>6.230769231</v>
      </c>
      <c r="Y67" s="65">
        <f>IFERROR(__xludf.DUMMYFUNCTION("IFERROR(
  VLOOKUP(
    A67,
    IMPORTRANGE(
      ""1ZHMy3vVUd_0MrSduXTe1etBb1HNpAlGwQr006ljwMiM"",
      ""GSC最新!A:R""
    ),
    12,
    FALSE
  ),
  0
)
"),5.894977168949771)</f>
        <v>5.894977169</v>
      </c>
      <c r="Z67" s="65">
        <f>IFERROR(__xludf.DUMMYFUNCTION("IFERROR(
  VLOOKUP(
    A67,
    IMPORTRANGE(
      ""1ZHMy3vVUd_0MrSduXTe1etBb1HNpAlGwQr006ljwMiM"",
      ""GSC最新!A:R""
    ),
    15,
    FALSE
  ),
  0
)
"),9.789473684210526)</f>
        <v>9.789473684</v>
      </c>
      <c r="AA67" s="65">
        <f>IFERROR(__xludf.DUMMYFUNCTION("IFERROR(
  VLOOKUP(
    A67,
    IMPORTRANGE(
      ""1ZHMy3vVUd_0MrSduXTe1etBb1HNpAlGwQr006ljwMiM"",
      ""GSC最新!A:R""
    ),
    18,
    FALSE
  ),
  0
)
"),10.795918367346939)</f>
        <v>10.79591837</v>
      </c>
      <c r="AB67" s="65">
        <f t="shared" ref="AB67:AC67" si="329">X67-Z67</f>
        <v>-3.558704453</v>
      </c>
      <c r="AC67" s="65">
        <f t="shared" si="329"/>
        <v>-4.900941198</v>
      </c>
      <c r="AD67" s="53">
        <f>IFERROR(__xludf.DUMMYFUNCTION("IFERROR(
  VLOOKUP(
    A67,
    IMPORTRANGE(
      ""1ZHMy3vVUd_0MrSduXTe1etBb1HNpAlGwQr006ljwMiM"",
      ""GSC最新!A:F""
    ),
    6,
    FALSE
  ),
  0
)
"),46081.0)</f>
        <v>46081</v>
      </c>
      <c r="AE67" s="54">
        <f>IFERROR(__xludf.DUMMYFUNCTION("IFERROR(
  VLOOKUP(
    A67,
    IMPORTRANGE(
      ""1SCYQd7_cobOYqT0r_F0IqD4tE4rYn5y8Eup4PJTH8es"",
      ""Snapshot!A:M""
    ),
    5,
    FALSE
  ),
  ""-""
)
"),0.0)</f>
        <v>0</v>
      </c>
      <c r="AF67" s="54">
        <f>IFERROR(__xludf.DUMMYFUNCTION("IFERROR(
  VLOOKUP(
    A67,
    IMPORTRANGE(
      ""1SCYQd7_cobOYqT0r_F0IqD4tE4rYn5y8Eup4PJTH8es"",
      ""Snapshot!A:M""
    ),
    6,
    FALSE
  ),
  0
)
"),0.0)</f>
        <v>0</v>
      </c>
      <c r="AG67" s="54">
        <f>IFERROR(__xludf.DUMMYFUNCTION("IFERROR(
  VLOOKUP(
    A67,
    IMPORTRANGE(
      ""1SCYQd7_cobOYqT0r_F0IqD4tE4rYn5y8Eup4PJTH8es"",
      ""Snapshot!A:M""
    ),
    7,
    FALSE
  ),
  0
)
"),0.0)</f>
        <v>0</v>
      </c>
      <c r="AH67" s="54">
        <f>IFERROR(__xludf.DUMMYFUNCTION("IFERROR(
  VLOOKUP(
    A67,
    IMPORTRANGE(
      ""1SCYQd7_cobOYqT0r_F0IqD4tE4rYn5y8Eup4PJTH8es"",
      ""Snapshot!A:M""
    ),
    8,
    FALSE
  ),
  0
)
"),0.0)</f>
        <v>0</v>
      </c>
      <c r="AI67" s="54">
        <f>IFERROR(__xludf.DUMMYFUNCTION("IFERROR(
  VLOOKUP(
    A67,
    IMPORTRANGE(
      ""1SCYQd7_cobOYqT0r_F0IqD4tE4rYn5y8Eup4PJTH8es"",
      ""Snapshot!A:M""
    ),
    9,
    FALSE
  ),
  0
)
"),1.0)</f>
        <v>1</v>
      </c>
      <c r="AJ67" s="54">
        <f>IFERROR(__xludf.DUMMYFUNCTION("IFERROR(
  VLOOKUP(
    A67,
    IMPORTRANGE(
      ""1SCYQd7_cobOYqT0r_F0IqD4tE4rYn5y8Eup4PJTH8es"",
      ""Snapshot!A:M""
    ),
    13,
    FALSE
  ),
  0
)
"),2.0)</f>
        <v>2</v>
      </c>
      <c r="AK67" s="49">
        <f t="shared" ref="AK67:AL67" si="330">LEN(C67)</f>
        <v>57</v>
      </c>
      <c r="AL67" s="49">
        <f t="shared" si="330"/>
        <v>0</v>
      </c>
    </row>
    <row r="68">
      <c r="A68" s="3" t="s">
        <v>326</v>
      </c>
      <c r="B68" s="1" t="str">
        <f>IFERROR(__xludf.DUMMYFUNCTION("IFERROR(
  VLOOKUP(
    A68,
    IMPORTRANGE(
      ""1ZygntHC1J6IxzKbTidmOyf5nUyW4GCLurHCjexrLm_o"",
      ""HTMLキャッシュ!A:F""
    ),
    2,
    FALSE
  ),
  0
)
"),"SP")</f>
        <v>SP</v>
      </c>
      <c r="C68" s="1" t="str">
        <f>IFERROR(__xludf.DUMMYFUNCTION("IFERROR(
  VLOOKUP(
    A68,
    IMPORTRANGE(
      ""1ZygntHC1J6IxzKbTidmOyf5nUyW4GCLurHCjexrLm_o"",
      ""HTMLキャッシュ!A:F""
    ),
    5,
    FALSE
  ),
  0
)
"),"中学受験国語の個別指導講座｜読解基礎を固めるオンライン塾")</f>
        <v>中学受験国語の個別指導講座｜読解基礎を固めるオンライン塾</v>
      </c>
      <c r="D68" s="1" t="str">
        <f>IFERROR(__xludf.DUMMYFUNCTION("IFERROR(
  VLOOKUP(
    A68,
    IMPORTRANGE(
      ""1ZygntHC1J6IxzKbTidmOyf5nUyW4GCLurHCjexrLm_o        "",
      ""HTMLキャッシュ!A:F""
    ),
    6,
    FALSE
  ),
  0
)
"),"読めているのに点が取れない小学生向け。個別指導で根拠整理から答案作成まで徹底指導。無料相談受付中今すぐオンライン対応可能です")</f>
        <v>読めているのに点が取れない小学生向け。個別指導で根拠整理から答案作成まで徹底指導。無料相談受付中今すぐオンライン対応可能です</v>
      </c>
      <c r="E68" s="32">
        <f>IFERROR(__xludf.DUMMYFUNCTION("IFERROR(
  VLOOKUP(
    A68,
    IMPORTRANGE(
      ""1ZygntHC1J6IxzKbTidmOyf5nUyW4GCLurHCjexrLm_o        "",
      ""HTMLキャッシュ!A:F""
    ),
    3,
    FALSE
  ),
  0
)
"),46076.79371527778)</f>
        <v>46076.79372</v>
      </c>
      <c r="F68" s="49">
        <f>IFERROR(__xludf.DUMMYFUNCTION("IFERROR(
  VLOOKUP(
    A68,
    IMPORTRANGE(
      ""1ZHMy3vVUd_0MrSduXTe1etBb1HNpAlGwQr006ljwMiM"",
      ""GSC最新!A:F""
    ),
    2,
    FALSE
  ),
  0
)
"),2.0)</f>
        <v>2</v>
      </c>
      <c r="G68" s="49">
        <f>IFERROR(__xludf.DUMMYFUNCTION("IFERROR(
  VLOOKUP(
    A68,
    IMPORTRANGE(
      ""1ZHMy3vVUd_0MrSduXTe1etBb1HNpAlGwQr006ljwMiM"",
      ""GSC最新!A:F""
    ),
    3,
    FALSE
  ),
  0
)
"),4.0)</f>
        <v>4</v>
      </c>
      <c r="H68" s="49">
        <f>IFERROR(__xludf.DUMMYFUNCTION("IFERROR(
  VLOOKUP(
    A68,
    IMPORTRANGE(
      ""1ZHMy3vVUd_0MrSduXTe1etBb1HNpAlGwQr006ljwMiM"",
      ""GSC最新!A:F""
    ),
    4,
    FALSE
  ),
  0
)
"),0.0)</f>
        <v>0</v>
      </c>
      <c r="I68" s="49">
        <f>IFERROR(__xludf.DUMMYFUNCTION("IFERROR(
  VLOOKUP(
    A68,
    IMPORTRANGE(
      ""1ZHMy3vVUd_0MrSduXTe1etBb1HNpAlGwQr006ljwMiM"",
      ""GSC最新!A:F""
    ),
    5,
    FALSE
  ),
  0
)
"),4.0)</f>
        <v>4</v>
      </c>
      <c r="J68" s="50" t="str">
        <f t="shared" ref="J68:K68" si="331">IFERROR(F68/H68,"-")</f>
        <v>-</v>
      </c>
      <c r="K68" s="50">
        <f t="shared" si="331"/>
        <v>1</v>
      </c>
      <c r="L68" s="6">
        <f>IFERROR(__xludf.DUMMYFUNCTION("IFERROR(
  VLOOKUP(
    A68,
    IMPORTRANGE(
      ""1ZHMy3vVUd_0MrSduXTe1etBb1HNpAlGwQr006ljwMiM"",
      ""GSC最新!A:R""
    ),
    7,
    FALSE
  ),
  0
)
"),22.0)</f>
        <v>22</v>
      </c>
      <c r="M68" s="6">
        <f>IFERROR(__xludf.DUMMYFUNCTION("IFERROR(
  VLOOKUP(
    A68,
    IMPORTRANGE(
      ""1ZHMy3vVUd_0MrSduXTe1etBb1HNpAlGwQr006ljwMiM"",
      ""GSC最新!A:R""
    ),
    10,
    FALSE
  ),
  0
)
"),48.0)</f>
        <v>48</v>
      </c>
      <c r="N68" s="6">
        <f>IFERROR(__xludf.DUMMYFUNCTION("IFERROR(
  VLOOKUP(
    A68,
    IMPORTRANGE(
      ""1ZHMy3vVUd_0MrSduXTe1etBb1HNpAlGwQr006ljwMiM"",
      ""GSC最新!A:R""
    ),
    13,
    FALSE
  ),
  0
)
"),23.0)</f>
        <v>23</v>
      </c>
      <c r="O68" s="6">
        <f>IFERROR(__xludf.DUMMYFUNCTION("IFERROR(
  VLOOKUP(
    A68,
    IMPORTRANGE(
      ""1ZHMy3vVUd_0MrSduXTe1etBb1HNpAlGwQr006ljwMiM"",
      ""GSC最新!A:R""
    ),
    16,
    FALSE
  ),
  0
)
"),105.0)</f>
        <v>105</v>
      </c>
      <c r="P68" s="51">
        <f t="shared" ref="P68:Q68" si="332">IFERROR(L68/N68,"-")</f>
        <v>0.9565217391</v>
      </c>
      <c r="Q68" s="51">
        <f t="shared" si="332"/>
        <v>0.4571428571</v>
      </c>
      <c r="R68" s="9">
        <f>IFERROR(__xludf.DUMMYFUNCTION("IFERROR(
  VLOOKUP(
    A68,
    IMPORTRANGE(
      ""1ZHMy3vVUd_0MrSduXTe1etBb1HNpAlGwQr006ljwMiM"",
      ""GSC最新!A:R""
    ),
    8,
    FALSE
  ),
  0
)
"),0.09090909090909091)</f>
        <v>0.09090909091</v>
      </c>
      <c r="S68" s="9">
        <f>IFERROR(__xludf.DUMMYFUNCTION("IFERROR(
  VLOOKUP(
    A68,
    IMPORTRANGE(
      ""1ZHMy3vVUd_0MrSduXTe1etBb1HNpAlGwQr006ljwMiM"",
      ""GSC最新!A:R""
    ),
    11,
    FALSE
  ),
  0
)
"),0.08333333333333333)</f>
        <v>0.08333333333</v>
      </c>
      <c r="T68" s="9">
        <f>IFERROR(__xludf.DUMMYFUNCTION("IFERROR(
  VLOOKUP(
    A68,
    IMPORTRANGE(
      ""1ZHMy3vVUd_0MrSduXTe1etBb1HNpAlGwQr006ljwMiM"",
      ""GSC最新!A:R""
    ),
    14,
    FALSE
  ),
  0
)
"),0.0)</f>
        <v>0</v>
      </c>
      <c r="U68" s="9">
        <f>IFERROR(__xludf.DUMMYFUNCTION("IFERROR(
  VLOOKUP(
    A68,
    IMPORTRANGE(
      ""1ZHMy3vVUd_0MrSduXTe1etBb1HNpAlGwQr006ljwMiM"",
      ""GSC最新!A:R""
    ),
    17,
    FALSE
  ),
  0
)
"),0.0380952380952381)</f>
        <v>0.0380952381</v>
      </c>
      <c r="V68" s="9">
        <f t="shared" ref="V68:W68" si="333">IFERROR(R68-T68,"-")</f>
        <v>0.09090909091</v>
      </c>
      <c r="W68" s="9">
        <f t="shared" si="333"/>
        <v>0.04523809524</v>
      </c>
      <c r="X68" s="65">
        <f>IFERROR(__xludf.DUMMYFUNCTION("IFERROR(
  VLOOKUP(
    A68,
    IMPORTRANGE(
      ""1ZHMy3vVUd_0MrSduXTe1etBb1HNpAlGwQr006ljwMiM"",
      ""GSC最新!A:R""
    ),
    9,
    FALSE
  ),
  0
)
"),5.636363636363637)</f>
        <v>5.636363636</v>
      </c>
      <c r="Y68" s="65">
        <f>IFERROR(__xludf.DUMMYFUNCTION("IFERROR(
  VLOOKUP(
    A68,
    IMPORTRANGE(
      ""1ZHMy3vVUd_0MrSduXTe1etBb1HNpAlGwQr006ljwMiM"",
      ""GSC最新!A:R""
    ),
    12,
    FALSE
  ),
  0
)
"),4.833333333333334)</f>
        <v>4.833333333</v>
      </c>
      <c r="Z68" s="65">
        <f>IFERROR(__xludf.DUMMYFUNCTION("IFERROR(
  VLOOKUP(
    A68,
    IMPORTRANGE(
      ""1ZHMy3vVUd_0MrSduXTe1etBb1HNpAlGwQr006ljwMiM"",
      ""GSC最新!A:R""
    ),
    15,
    FALSE
  ),
  0
)
"),6.173913043478261)</f>
        <v>6.173913043</v>
      </c>
      <c r="AA68" s="65">
        <f>IFERROR(__xludf.DUMMYFUNCTION("IFERROR(
  VLOOKUP(
    A68,
    IMPORTRANGE(
      ""1ZHMy3vVUd_0MrSduXTe1etBb1HNpAlGwQr006ljwMiM"",
      ""GSC最新!A:R""
    ),
    18,
    FALSE
  ),
  0
)
"),11.876190476190477)</f>
        <v>11.87619048</v>
      </c>
      <c r="AB68" s="65">
        <f t="shared" ref="AB68:AC68" si="334">X68-Z68</f>
        <v>-0.5375494071</v>
      </c>
      <c r="AC68" s="65">
        <f t="shared" si="334"/>
        <v>-7.042857143</v>
      </c>
      <c r="AD68" s="53">
        <f>IFERROR(__xludf.DUMMYFUNCTION("IFERROR(
  VLOOKUP(
    A68,
    IMPORTRANGE(
      ""1ZHMy3vVUd_0MrSduXTe1etBb1HNpAlGwQr006ljwMiM"",
      ""GSC最新!A:F""
    ),
    6,
    FALSE
  ),
  0
)
"),46081.0)</f>
        <v>46081</v>
      </c>
      <c r="AE68" s="54">
        <f>IFERROR(__xludf.DUMMYFUNCTION("IFERROR(
  VLOOKUP(
    A68,
    IMPORTRANGE(
      ""1SCYQd7_cobOYqT0r_F0IqD4tE4rYn5y8Eup4PJTH8es"",
      ""Snapshot!A:M""
    ),
    5,
    FALSE
  ),
  ""-""
)
"),1.0)</f>
        <v>1</v>
      </c>
      <c r="AF68" s="54">
        <f>IFERROR(__xludf.DUMMYFUNCTION("IFERROR(
  VLOOKUP(
    A68,
    IMPORTRANGE(
      ""1SCYQd7_cobOYqT0r_F0IqD4tE4rYn5y8Eup4PJTH8es"",
      ""Snapshot!A:M""
    ),
    6,
    FALSE
  ),
  0
)
"),12.0)</f>
        <v>12</v>
      </c>
      <c r="AG68" s="54">
        <f>IFERROR(__xludf.DUMMYFUNCTION("IFERROR(
  VLOOKUP(
    A68,
    IMPORTRANGE(
      ""1SCYQd7_cobOYqT0r_F0IqD4tE4rYn5y8Eup4PJTH8es"",
      ""Snapshot!A:M""
    ),
    7,
    FALSE
  ),
  0
)
"),1938.0)</f>
        <v>1938</v>
      </c>
      <c r="AH68" s="54">
        <f>IFERROR(__xludf.DUMMYFUNCTION("IFERROR(
  VLOOKUP(
    A68,
    IMPORTRANGE(
      ""1SCYQd7_cobOYqT0r_F0IqD4tE4rYn5y8Eup4PJTH8es"",
      ""Snapshot!A:M""
    ),
    8,
    FALSE
  ),
  0
)
"),2.0)</f>
        <v>2</v>
      </c>
      <c r="AI68" s="54">
        <f>IFERROR(__xludf.DUMMYFUNCTION("IFERROR(
  VLOOKUP(
    A68,
    IMPORTRANGE(
      ""1SCYQd7_cobOYqT0r_F0IqD4tE4rYn5y8Eup4PJTH8es"",
      ""Snapshot!A:M""
    ),
    9,
    FALSE
  ),
  0
)
"),1.0)</f>
        <v>1</v>
      </c>
      <c r="AJ68" s="54">
        <f>IFERROR(__xludf.DUMMYFUNCTION("IFERROR(
  VLOOKUP(
    A68,
    IMPORTRANGE(
      ""1SCYQd7_cobOYqT0r_F0IqD4tE4rYn5y8Eup4PJTH8es"",
      ""Snapshot!A:M""
    ),
    13,
    FALSE
  ),
  0
)
"),2.0)</f>
        <v>2</v>
      </c>
      <c r="AK68" s="49">
        <f t="shared" ref="AK68:AL68" si="335">LEN(C68)</f>
        <v>28</v>
      </c>
      <c r="AL68" s="49">
        <f t="shared" si="335"/>
        <v>62</v>
      </c>
    </row>
    <row r="69">
      <c r="A69" s="3" t="s">
        <v>297</v>
      </c>
      <c r="B69" s="1" t="str">
        <f>IFERROR(__xludf.DUMMYFUNCTION("IFERROR(
  VLOOKUP(
    A69,
    IMPORTRANGE(
      ""1ZygntHC1J6IxzKbTidmOyf5nUyW4GCLurHCjexrLm_o"",
      ""HTMLキャッシュ!A:F""
    ),
    2,
    FALSE
  ),
  0
)
"),"SP")</f>
        <v>SP</v>
      </c>
      <c r="C69" s="1" t="str">
        <f>IFERROR(__xludf.DUMMYFUNCTION("IFERROR(
  VLOOKUP(
    A69,
    IMPORTRANGE(
      ""1ZygntHC1J6IxzKbTidmOyf5nUyW4GCLurHCjexrLm_o"",
      ""HTMLキャッシュ!A:F""
    ),
    5,
    FALSE
  ),
  0
)
"),"中学受験国語個別指導｜得点安定読解解法型最短オンライン塾")</f>
        <v>中学受験国語個別指導｜得点安定読解解法型最短オンライン塾</v>
      </c>
      <c r="D69" s="1" t="str">
        <f>IFERROR(__xludf.DUMMYFUNCTION("IFERROR(
  VLOOKUP(
    A69,
    IMPORTRANGE(
      ""1ZygntHC1J6IxzKbTidmOyf5nUyW4GCLurHCjexrLm_o        "",
      ""HTMLキャッシュ!A:F""
    ),
    6,
    FALSE
  ),
  0
)
"),"小4小5向け国語個別指導オンラインで読解型を定着・得点安定化。最短学習計画・進捗管理で入試得点を伸ばす合格力育成安心サポート付き")</f>
        <v>小4小5向け国語個別指導オンラインで読解型を定着・得点安定化。最短学習計画・進捗管理で入試得点を伸ばす合格力育成安心サポート付き</v>
      </c>
      <c r="E69" s="32">
        <f>IFERROR(__xludf.DUMMYFUNCTION("IFERROR(
  VLOOKUP(
    A69,
    IMPORTRANGE(
      ""1ZygntHC1J6IxzKbTidmOyf5nUyW4GCLurHCjexrLm_o        "",
      ""HTMLキャッシュ!A:F""
    ),
    3,
    FALSE
  ),
  0
)
"),46078.86756944445)</f>
        <v>46078.86757</v>
      </c>
      <c r="F69" s="49">
        <f>IFERROR(__xludf.DUMMYFUNCTION("IFERROR(
  VLOOKUP(
    A69,
    IMPORTRANGE(
      ""1ZHMy3vVUd_0MrSduXTe1etBb1HNpAlGwQr006ljwMiM"",
      ""GSC最新!A:F""
    ),
    2,
    FALSE
  ),
  0
)
"),0.0)</f>
        <v>0</v>
      </c>
      <c r="G69" s="49">
        <f>IFERROR(__xludf.DUMMYFUNCTION("IFERROR(
  VLOOKUP(
    A69,
    IMPORTRANGE(
      ""1ZHMy3vVUd_0MrSduXTe1etBb1HNpAlGwQr006ljwMiM"",
      ""GSC最新!A:F""
    ),
    3,
    FALSE
  ),
  0
)
"),4.0)</f>
        <v>4</v>
      </c>
      <c r="H69" s="49">
        <f>IFERROR(__xludf.DUMMYFUNCTION("IFERROR(
  VLOOKUP(
    A69,
    IMPORTRANGE(
      ""1ZHMy3vVUd_0MrSduXTe1etBb1HNpAlGwQr006ljwMiM"",
      ""GSC最新!A:F""
    ),
    4,
    FALSE
  ),
  0
)
"),2.0)</f>
        <v>2</v>
      </c>
      <c r="I69" s="49">
        <f>IFERROR(__xludf.DUMMYFUNCTION("IFERROR(
  VLOOKUP(
    A69,
    IMPORTRANGE(
      ""1ZHMy3vVUd_0MrSduXTe1etBb1HNpAlGwQr006ljwMiM"",
      ""GSC最新!A:F""
    ),
    5,
    FALSE
  ),
  0
)
"),12.0)</f>
        <v>12</v>
      </c>
      <c r="J69" s="50">
        <f t="shared" ref="J69:K69" si="336">IFERROR(F69/H69,"-")</f>
        <v>0</v>
      </c>
      <c r="K69" s="50">
        <f t="shared" si="336"/>
        <v>0.3333333333</v>
      </c>
      <c r="L69" s="6">
        <f>IFERROR(__xludf.DUMMYFUNCTION("IFERROR(
  VLOOKUP(
    A69,
    IMPORTRANGE(
      ""1ZHMy3vVUd_0MrSduXTe1etBb1HNpAlGwQr006ljwMiM"",
      ""GSC最新!A:R""
    ),
    7,
    FALSE
  ),
  0
)
"),98.0)</f>
        <v>98</v>
      </c>
      <c r="M69" s="6">
        <f>IFERROR(__xludf.DUMMYFUNCTION("IFERROR(
  VLOOKUP(
    A69,
    IMPORTRANGE(
      ""1ZHMy3vVUd_0MrSduXTe1etBb1HNpAlGwQr006ljwMiM"",
      ""GSC最新!A:R""
    ),
    10,
    FALSE
  ),
  0
)
"),243.0)</f>
        <v>243</v>
      </c>
      <c r="N69" s="6">
        <f>IFERROR(__xludf.DUMMYFUNCTION("IFERROR(
  VLOOKUP(
    A69,
    IMPORTRANGE(
      ""1ZHMy3vVUd_0MrSduXTe1etBb1HNpAlGwQr006ljwMiM"",
      ""GSC最新!A:R""
    ),
    13,
    FALSE
  ),
  0
)
"),35.0)</f>
        <v>35</v>
      </c>
      <c r="O69" s="6">
        <f>IFERROR(__xludf.DUMMYFUNCTION("IFERROR(
  VLOOKUP(
    A69,
    IMPORTRANGE(
      ""1ZHMy3vVUd_0MrSduXTe1etBb1HNpAlGwQr006ljwMiM"",
      ""GSC最新!A:R""
    ),
    16,
    FALSE
  ),
  0
)
"),451.0)</f>
        <v>451</v>
      </c>
      <c r="P69" s="51">
        <f t="shared" ref="P69:Q69" si="337">IFERROR(L69/N69,"-")</f>
        <v>2.8</v>
      </c>
      <c r="Q69" s="51">
        <f t="shared" si="337"/>
        <v>0.5388026608</v>
      </c>
      <c r="R69" s="9">
        <f>IFERROR(__xludf.DUMMYFUNCTION("IFERROR(
  VLOOKUP(
    A69,
    IMPORTRANGE(
      ""1ZHMy3vVUd_0MrSduXTe1etBb1HNpAlGwQr006ljwMiM"",
      ""GSC最新!A:R""
    ),
    8,
    FALSE
  ),
  0
)
"),0.0)</f>
        <v>0</v>
      </c>
      <c r="S69" s="9">
        <f>IFERROR(__xludf.DUMMYFUNCTION("IFERROR(
  VLOOKUP(
    A69,
    IMPORTRANGE(
      ""1ZHMy3vVUd_0MrSduXTe1etBb1HNpAlGwQr006ljwMiM"",
      ""GSC最新!A:R""
    ),
    11,
    FALSE
  ),
  0
)
"),0.01646090534979424)</f>
        <v>0.01646090535</v>
      </c>
      <c r="T69" s="9">
        <f>IFERROR(__xludf.DUMMYFUNCTION("IFERROR(
  VLOOKUP(
    A69,
    IMPORTRANGE(
      ""1ZHMy3vVUd_0MrSduXTe1etBb1HNpAlGwQr006ljwMiM"",
      ""GSC最新!A:R""
    ),
    14,
    FALSE
  ),
  0
)
"),0.05714285714285714)</f>
        <v>0.05714285714</v>
      </c>
      <c r="U69" s="9">
        <f>IFERROR(__xludf.DUMMYFUNCTION("IFERROR(
  VLOOKUP(
    A69,
    IMPORTRANGE(
      ""1ZHMy3vVUd_0MrSduXTe1etBb1HNpAlGwQr006ljwMiM"",
      ""GSC最新!A:R""
    ),
    17,
    FALSE
  ),
  0
)
"),0.026607538802660754)</f>
        <v>0.0266075388</v>
      </c>
      <c r="V69" s="9">
        <f t="shared" ref="V69:W69" si="338">IFERROR(R69-T69,"-")</f>
        <v>-0.05714285714</v>
      </c>
      <c r="W69" s="9">
        <f t="shared" si="338"/>
        <v>-0.01014663345</v>
      </c>
      <c r="X69" s="65">
        <f>IFERROR(__xludf.DUMMYFUNCTION("IFERROR(
  VLOOKUP(
    A69,
    IMPORTRANGE(
      ""1ZHMy3vVUd_0MrSduXTe1etBb1HNpAlGwQr006ljwMiM"",
      ""GSC最新!A:R""
    ),
    9,
    FALSE
  ),
  0
)
"),16.714285714285715)</f>
        <v>16.71428571</v>
      </c>
      <c r="Y69" s="65">
        <f>IFERROR(__xludf.DUMMYFUNCTION("IFERROR(
  VLOOKUP(
    A69,
    IMPORTRANGE(
      ""1ZHMy3vVUd_0MrSduXTe1etBb1HNpAlGwQr006ljwMiM"",
      ""GSC最新!A:R""
    ),
    12,
    FALSE
  ),
  0
)
"),11.934156378600823)</f>
        <v>11.93415638</v>
      </c>
      <c r="Z69" s="65">
        <f>IFERROR(__xludf.DUMMYFUNCTION("IFERROR(
  VLOOKUP(
    A69,
    IMPORTRANGE(
      ""1ZHMy3vVUd_0MrSduXTe1etBb1HNpAlGwQr006ljwMiM"",
      ""GSC最新!A:R""
    ),
    15,
    FALSE
  ),
  0
)
"),26.914285714285715)</f>
        <v>26.91428571</v>
      </c>
      <c r="AA69" s="65">
        <f>IFERROR(__xludf.DUMMYFUNCTION("IFERROR(
  VLOOKUP(
    A69,
    IMPORTRANGE(
      ""1ZHMy3vVUd_0MrSduXTe1etBb1HNpAlGwQr006ljwMiM"",
      ""GSC最新!A:R""
    ),
    18,
    FALSE
  ),
  0
)
"),34.707317073170735)</f>
        <v>34.70731707</v>
      </c>
      <c r="AB69" s="65">
        <f t="shared" ref="AB69:AC69" si="339">X69-Z69</f>
        <v>-10.2</v>
      </c>
      <c r="AC69" s="65">
        <f t="shared" si="339"/>
        <v>-22.77316069</v>
      </c>
      <c r="AD69" s="53">
        <f>IFERROR(__xludf.DUMMYFUNCTION("IFERROR(
  VLOOKUP(
    A69,
    IMPORTRANGE(
      ""1ZHMy3vVUd_0MrSduXTe1etBb1HNpAlGwQr006ljwMiM"",
      ""GSC最新!A:F""
    ),
    6,
    FALSE
  ),
  0
)
"),46081.0)</f>
        <v>46081</v>
      </c>
      <c r="AE69" s="54">
        <f>IFERROR(__xludf.DUMMYFUNCTION("IFERROR(
  VLOOKUP(
    A69,
    IMPORTRANGE(
      ""1SCYQd7_cobOYqT0r_F0IqD4tE4rYn5y8Eup4PJTH8es"",
      ""Snapshot!A:M""
    ),
    5,
    FALSE
  ),
  ""-""
)
"),18.0)</f>
        <v>18</v>
      </c>
      <c r="AF69" s="54">
        <f>IFERROR(__xludf.DUMMYFUNCTION("IFERROR(
  VLOOKUP(
    A69,
    IMPORTRANGE(
      ""1SCYQd7_cobOYqT0r_F0IqD4tE4rYn5y8Eup4PJTH8es"",
      ""Snapshot!A:M""
    ),
    6,
    FALSE
  ),
  0
)
"),31.0)</f>
        <v>31</v>
      </c>
      <c r="AG69" s="54">
        <f>IFERROR(__xludf.DUMMYFUNCTION("IFERROR(
  VLOOKUP(
    A69,
    IMPORTRANGE(
      ""1SCYQd7_cobOYqT0r_F0IqD4tE4rYn5y8Eup4PJTH8es"",
      ""Snapshot!A:M""
    ),
    7,
    FALSE
  ),
  0
)
"),7479.0)</f>
        <v>7479</v>
      </c>
      <c r="AH69" s="54">
        <f>IFERROR(__xludf.DUMMYFUNCTION("IFERROR(
  VLOOKUP(
    A69,
    IMPORTRANGE(
      ""1SCYQd7_cobOYqT0r_F0IqD4tE4rYn5y8Eup4PJTH8es"",
      ""Snapshot!A:M""
    ),
    8,
    FALSE
  ),
  0
)
"),4.0)</f>
        <v>4</v>
      </c>
      <c r="AI69" s="54">
        <f>IFERROR(__xludf.DUMMYFUNCTION("IFERROR(
  VLOOKUP(
    A69,
    IMPORTRANGE(
      ""1SCYQd7_cobOYqT0r_F0IqD4tE4rYn5y8Eup4PJTH8es"",
      ""Snapshot!A:M""
    ),
    9,
    FALSE
  ),
  0
)
"),4.0)</f>
        <v>4</v>
      </c>
      <c r="AJ69" s="54">
        <f>IFERROR(__xludf.DUMMYFUNCTION("IFERROR(
  VLOOKUP(
    A69,
    IMPORTRANGE(
      ""1SCYQd7_cobOYqT0r_F0IqD4tE4rYn5y8Eup4PJTH8es"",
      ""Snapshot!A:M""
    ),
    13,
    FALSE
  ),
  0
)
"),2.0)</f>
        <v>2</v>
      </c>
      <c r="AK69" s="49">
        <f t="shared" ref="AK69:AL69" si="340">LEN(C69)</f>
        <v>28</v>
      </c>
      <c r="AL69" s="49">
        <f t="shared" si="340"/>
        <v>64</v>
      </c>
    </row>
    <row r="70">
      <c r="A70" s="3" t="s">
        <v>575</v>
      </c>
      <c r="B70" s="1" t="str">
        <f>IFERROR(__xludf.DUMMYFUNCTION("IFERROR(
  VLOOKUP(
    A70,
    IMPORTRANGE(
      ""1ZygntHC1J6IxzKbTidmOyf5nUyW4GCLurHCjexrLm_o"",
      ""HTMLキャッシュ!A:F""
    ),
    2,
    FALSE
  ),
  0
)
"),"MC")</f>
        <v>MC</v>
      </c>
      <c r="C70" s="1" t="str">
        <f>IFERROR(__xludf.DUMMYFUNCTION("IFERROR(
  VLOOKUP(
    A70,
    IMPORTRANGE(
      ""1ZygntHC1J6IxzKbTidmOyf5nUyW4GCLurHCjexrLm_o"",
      ""HTMLキャッシュ!A:F""
    ),
    5,
    FALSE
  ),
  0
)
"),"中学受験国語｜説明文の「説明せよ」はイコール探し（2手法）")</f>
        <v>中学受験国語｜説明文の「説明せよ」はイコール探し（2手法）</v>
      </c>
      <c r="D70" s="1" t="str">
        <f>IFERROR(__xludf.DUMMYFUNCTION("IFERROR(
  VLOOKUP(
    A70,
    IMPORTRANGE(
      ""1ZygntHC1J6IxzKbTidmOyf5nUyW4GCLurHCjexrLm_o        "",
      ""HTMLキャッシュ!A:F""
    ),
    6,
    FALSE
  ),
  0
)
"),"中学受験国語の説明文で頻出の「〇〇を説明せよ／傍線部を説明せよ」に対応。答えは本文中の“イコール（同義）”を集めて作ります。三段論法とブロック分けの2手法を例つきで整理。小4〜小6の復習に使える解法メモ。")</f>
        <v>中学受験国語の説明文で頻出の「〇〇を説明せよ／傍線部を説明せよ」に対応。答えは本文中の“イコール（同義）”を集めて作ります。三段論法とブロック分けの2手法を例つきで整理。小4〜小6の復習に使える解法メモ。</v>
      </c>
      <c r="E70" s="32">
        <f>IFERROR(__xludf.DUMMYFUNCTION("IFERROR(
  VLOOKUP(
    A70,
    IMPORTRANGE(
      ""1ZygntHC1J6IxzKbTidmOyf5nUyW4GCLurHCjexrLm_o        "",
      ""HTMLキャッシュ!A:F""
    ),
    3,
    FALSE
  ),
  0
)
"),46062.654490740744)</f>
        <v>46062.65449</v>
      </c>
      <c r="F70" s="49">
        <f>IFERROR(__xludf.DUMMYFUNCTION("IFERROR(
  VLOOKUP(
    A70,
    IMPORTRANGE(
      ""1ZHMy3vVUd_0MrSduXTe1etBb1HNpAlGwQr006ljwMiM"",
      ""GSC最新!A:F""
    ),
    2,
    FALSE
  ),
  0
)
"),2.0)</f>
        <v>2</v>
      </c>
      <c r="G70" s="49">
        <f>IFERROR(__xludf.DUMMYFUNCTION("IFERROR(
  VLOOKUP(
    A70,
    IMPORTRANGE(
      ""1ZHMy3vVUd_0MrSduXTe1etBb1HNpAlGwQr006ljwMiM"",
      ""GSC最新!A:F""
    ),
    3,
    FALSE
  ),
  0
)
"),4.0)</f>
        <v>4</v>
      </c>
      <c r="H70" s="49">
        <f>IFERROR(__xludf.DUMMYFUNCTION("IFERROR(
  VLOOKUP(
    A70,
    IMPORTRANGE(
      ""1ZHMy3vVUd_0MrSduXTe1etBb1HNpAlGwQr006ljwMiM"",
      ""GSC最新!A:F""
    ),
    4,
    FALSE
  ),
  0
)
"),0.0)</f>
        <v>0</v>
      </c>
      <c r="I70" s="49">
        <f>IFERROR(__xludf.DUMMYFUNCTION("IFERROR(
  VLOOKUP(
    A70,
    IMPORTRANGE(
      ""1ZHMy3vVUd_0MrSduXTe1etBb1HNpAlGwQr006ljwMiM"",
      ""GSC最新!A:F""
    ),
    5,
    FALSE
  ),
  0
)
"),0.0)</f>
        <v>0</v>
      </c>
      <c r="J70" s="50" t="str">
        <f t="shared" ref="J70:K70" si="341">IFERROR(F70/H70,"-")</f>
        <v>-</v>
      </c>
      <c r="K70" s="50" t="str">
        <f t="shared" si="341"/>
        <v>-</v>
      </c>
      <c r="L70" s="6">
        <f>IFERROR(__xludf.DUMMYFUNCTION("IFERROR(
  VLOOKUP(
    A70,
    IMPORTRANGE(
      ""1ZHMy3vVUd_0MrSduXTe1etBb1HNpAlGwQr006ljwMiM"",
      ""GSC最新!A:R""
    ),
    7,
    FALSE
  ),
  0
)
"),225.0)</f>
        <v>225</v>
      </c>
      <c r="M70" s="6">
        <f>IFERROR(__xludf.DUMMYFUNCTION("IFERROR(
  VLOOKUP(
    A70,
    IMPORTRANGE(
      ""1ZHMy3vVUd_0MrSduXTe1etBb1HNpAlGwQr006ljwMiM"",
      ""GSC最新!A:R""
    ),
    10,
    FALSE
  ),
  0
)
"),314.0)</f>
        <v>314</v>
      </c>
      <c r="N70" s="6">
        <f>IFERROR(__xludf.DUMMYFUNCTION("IFERROR(
  VLOOKUP(
    A70,
    IMPORTRANGE(
      ""1ZHMy3vVUd_0MrSduXTe1etBb1HNpAlGwQr006ljwMiM"",
      ""GSC最新!A:R""
    ),
    13,
    FALSE
  ),
  0
)
"),71.0)</f>
        <v>71</v>
      </c>
      <c r="O70" s="6">
        <f>IFERROR(__xludf.DUMMYFUNCTION("IFERROR(
  VLOOKUP(
    A70,
    IMPORTRANGE(
      ""1ZHMy3vVUd_0MrSduXTe1etBb1HNpAlGwQr006ljwMiM"",
      ""GSC最新!A:R""
    ),
    16,
    FALSE
  ),
  0
)
"),149.0)</f>
        <v>149</v>
      </c>
      <c r="P70" s="51">
        <f t="shared" ref="P70:Q70" si="342">IFERROR(L70/N70,"-")</f>
        <v>3.169014085</v>
      </c>
      <c r="Q70" s="51">
        <f t="shared" si="342"/>
        <v>2.10738255</v>
      </c>
      <c r="R70" s="9">
        <f>IFERROR(__xludf.DUMMYFUNCTION("IFERROR(
  VLOOKUP(
    A70,
    IMPORTRANGE(
      ""1ZHMy3vVUd_0MrSduXTe1etBb1HNpAlGwQr006ljwMiM"",
      ""GSC最新!A:R""
    ),
    8,
    FALSE
  ),
  0
)
"),0.008888888888888889)</f>
        <v>0.008888888889</v>
      </c>
      <c r="S70" s="9">
        <f>IFERROR(__xludf.DUMMYFUNCTION("IFERROR(
  VLOOKUP(
    A70,
    IMPORTRANGE(
      ""1ZHMy3vVUd_0MrSduXTe1etBb1HNpAlGwQr006ljwMiM"",
      ""GSC最新!A:R""
    ),
    11,
    FALSE
  ),
  0
)
"),0.012738853503184714)</f>
        <v>0.0127388535</v>
      </c>
      <c r="T70" s="9">
        <f>IFERROR(__xludf.DUMMYFUNCTION("IFERROR(
  VLOOKUP(
    A70,
    IMPORTRANGE(
      ""1ZHMy3vVUd_0MrSduXTe1etBb1HNpAlGwQr006ljwMiM"",
      ""GSC最新!A:R""
    ),
    14,
    FALSE
  ),
  0
)
"),0.0)</f>
        <v>0</v>
      </c>
      <c r="U70" s="9">
        <f>IFERROR(__xludf.DUMMYFUNCTION("IFERROR(
  VLOOKUP(
    A70,
    IMPORTRANGE(
      ""1ZHMy3vVUd_0MrSduXTe1etBb1HNpAlGwQr006ljwMiM"",
      ""GSC最新!A:R""
    ),
    17,
    FALSE
  ),
  0
)
"),0.0)</f>
        <v>0</v>
      </c>
      <c r="V70" s="9">
        <f t="shared" ref="V70:W70" si="343">IFERROR(R70-T70,"-")</f>
        <v>0.008888888889</v>
      </c>
      <c r="W70" s="9">
        <f t="shared" si="343"/>
        <v>0.0127388535</v>
      </c>
      <c r="X70" s="65">
        <f>IFERROR(__xludf.DUMMYFUNCTION("IFERROR(
  VLOOKUP(
    A70,
    IMPORTRANGE(
      ""1ZHMy3vVUd_0MrSduXTe1etBb1HNpAlGwQr006ljwMiM"",
      ""GSC最新!A:R""
    ),
    9,
    FALSE
  ),
  0
)
"),6.871111111111111)</f>
        <v>6.871111111</v>
      </c>
      <c r="Y70" s="65">
        <f>IFERROR(__xludf.DUMMYFUNCTION("IFERROR(
  VLOOKUP(
    A70,
    IMPORTRANGE(
      ""1ZHMy3vVUd_0MrSduXTe1etBb1HNpAlGwQr006ljwMiM"",
      ""GSC最新!A:R""
    ),
    12,
    FALSE
  ),
  0
)
"),7.143312101910828)</f>
        <v>7.143312102</v>
      </c>
      <c r="Z70" s="65">
        <f>IFERROR(__xludf.DUMMYFUNCTION("IFERROR(
  VLOOKUP(
    A70,
    IMPORTRANGE(
      ""1ZHMy3vVUd_0MrSduXTe1etBb1HNpAlGwQr006ljwMiM"",
      ""GSC最新!A:R""
    ),
    15,
    FALSE
  ),
  0
)
"),55.225352112676056)</f>
        <v>55.22535211</v>
      </c>
      <c r="AA70" s="65">
        <f>IFERROR(__xludf.DUMMYFUNCTION("IFERROR(
  VLOOKUP(
    A70,
    IMPORTRANGE(
      ""1ZHMy3vVUd_0MrSduXTe1etBb1HNpAlGwQr006ljwMiM"",
      ""GSC最新!A:R""
    ),
    18,
    FALSE
  ),
  0
)
"),48.355704697986575)</f>
        <v>48.3557047</v>
      </c>
      <c r="AB70" s="65">
        <f t="shared" ref="AB70:AC70" si="344">X70-Z70</f>
        <v>-48.354241</v>
      </c>
      <c r="AC70" s="65">
        <f t="shared" si="344"/>
        <v>-41.2123926</v>
      </c>
      <c r="AD70" s="53">
        <f>IFERROR(__xludf.DUMMYFUNCTION("IFERROR(
  VLOOKUP(
    A70,
    IMPORTRANGE(
      ""1ZHMy3vVUd_0MrSduXTe1etBb1HNpAlGwQr006ljwMiM"",
      ""GSC最新!A:F""
    ),
    6,
    FALSE
  ),
  0
)
"),46081.0)</f>
        <v>46081</v>
      </c>
      <c r="AE70" s="54">
        <f>IFERROR(__xludf.DUMMYFUNCTION("IFERROR(
  VLOOKUP(
    A70,
    IMPORTRANGE(
      ""1SCYQd7_cobOYqT0r_F0IqD4tE4rYn5y8Eup4PJTH8es"",
      ""Snapshot!A:M""
    ),
    5,
    FALSE
  ),
  ""-""
)
"),10.0)</f>
        <v>10</v>
      </c>
      <c r="AF70" s="54">
        <f>IFERROR(__xludf.DUMMYFUNCTION("IFERROR(
  VLOOKUP(
    A70,
    IMPORTRANGE(
      ""1SCYQd7_cobOYqT0r_F0IqD4tE4rYn5y8Eup4PJTH8es"",
      ""Snapshot!A:M""
    ),
    6,
    FALSE
  ),
  0
)
"),9.0)</f>
        <v>9</v>
      </c>
      <c r="AG70" s="54">
        <f>IFERROR(__xludf.DUMMYFUNCTION("IFERROR(
  VLOOKUP(
    A70,
    IMPORTRANGE(
      ""1SCYQd7_cobOYqT0r_F0IqD4tE4rYn5y8Eup4PJTH8es"",
      ""Snapshot!A:M""
    ),
    7,
    FALSE
  ),
  0
)
"),3357.0)</f>
        <v>3357</v>
      </c>
      <c r="AH70" s="54">
        <f>IFERROR(__xludf.DUMMYFUNCTION("IFERROR(
  VLOOKUP(
    A70,
    IMPORTRANGE(
      ""1SCYQd7_cobOYqT0r_F0IqD4tE4rYn5y8Eup4PJTH8es"",
      ""Snapshot!A:M""
    ),
    8,
    FALSE
  ),
  0
)
"),5.0)</f>
        <v>5</v>
      </c>
      <c r="AI70" s="54">
        <f>IFERROR(__xludf.DUMMYFUNCTION("IFERROR(
  VLOOKUP(
    A70,
    IMPORTRANGE(
      ""1SCYQd7_cobOYqT0r_F0IqD4tE4rYn5y8Eup4PJTH8es"",
      ""Snapshot!A:M""
    ),
    9,
    FALSE
  ),
  0
)
"),1.0)</f>
        <v>1</v>
      </c>
      <c r="AJ70" s="54">
        <f>IFERROR(__xludf.DUMMYFUNCTION("IFERROR(
  VLOOKUP(
    A70,
    IMPORTRANGE(
      ""1SCYQd7_cobOYqT0r_F0IqD4tE4rYn5y8Eup4PJTH8es"",
      ""Snapshot!A:M""
    ),
    13,
    FALSE
  ),
  0
)
"),3.0)</f>
        <v>3</v>
      </c>
      <c r="AK70" s="49">
        <f t="shared" ref="AK70:AL70" si="345">LEN(C70)</f>
        <v>29</v>
      </c>
      <c r="AL70" s="49">
        <f t="shared" si="345"/>
        <v>102</v>
      </c>
    </row>
    <row r="71">
      <c r="A71" s="3" t="s">
        <v>576</v>
      </c>
      <c r="B71" s="1" t="str">
        <f>IFERROR(__xludf.DUMMYFUNCTION("IFERROR(
  VLOOKUP(
    A71,
    IMPORTRANGE(
      ""1ZygntHC1J6IxzKbTidmOyf5nUyW4GCLurHCjexrLm_o"",
      ""HTMLキャッシュ!A:F""
    ),
    2,
    FALSE
  ),
  0
)
"),"MC")</f>
        <v>MC</v>
      </c>
      <c r="C71" s="1" t="str">
        <f>IFERROR(__xludf.DUMMYFUNCTION("IFERROR(
  VLOOKUP(
    A71,
    IMPORTRANGE(
      ""1ZygntHC1J6IxzKbTidmOyf5nUyW4GCLurHCjexrLm_o"",
      ""HTMLキャッシュ!A:F""
    ),
    5,
    FALSE
  ),
  0
)
"),"中学入試国語 読解力いらずの解き方講座 - 受験国語専門 読解ラボ東京 | 中学受験・大学受験対応の個別指導国語専門塾（オンライン・教室対応）")</f>
        <v>中学入試国語 読解力いらずの解き方講座 - 受験国語専門 読解ラボ東京 | 中学受験・大学受験対応の個別指導国語専門塾（オンライン・教室対応）</v>
      </c>
      <c r="D71" s="1" t="str">
        <f>IFERROR(__xludf.DUMMYFUNCTION("IFERROR(
  VLOOKUP(
    A71,
    IMPORTRANGE(
      ""1ZygntHC1J6IxzKbTidmOyf5nUyW4GCLurHCjexrLm_o        "",
      ""HTMLキャッシュ!A:F""
    ),
    6,
    FALSE
  ),
  0
)
"),"本書の主な内容・目次 「読解力＝センス」という誤解を解き、論理的に答えを導き出すための具体的な手法を網羅してい")</f>
        <v>本書の主な内容・目次 「読解力＝センス」という誤解を解き、論理的に答えを導き出すための具体的な手法を網羅してい</v>
      </c>
      <c r="E71" s="32">
        <f>IFERROR(__xludf.DUMMYFUNCTION("IFERROR(
  VLOOKUP(
    A71,
    IMPORTRANGE(
      ""1ZygntHC1J6IxzKbTidmOyf5nUyW4GCLurHCjexrLm_o        "",
      ""HTMLキャッシュ!A:F""
    ),
    3,
    FALSE
  ),
  0
)
"),46045.73706018519)</f>
        <v>46045.73706</v>
      </c>
      <c r="F71" s="49">
        <f>IFERROR(__xludf.DUMMYFUNCTION("IFERROR(
  VLOOKUP(
    A71,
    IMPORTRANGE(
      ""1ZHMy3vVUd_0MrSduXTe1etBb1HNpAlGwQr006ljwMiM"",
      ""GSC最新!A:F""
    ),
    2,
    FALSE
  ),
  0
)
"),0.0)</f>
        <v>0</v>
      </c>
      <c r="G71" s="49">
        <f>IFERROR(__xludf.DUMMYFUNCTION("IFERROR(
  VLOOKUP(
    A71,
    IMPORTRANGE(
      ""1ZHMy3vVUd_0MrSduXTe1etBb1HNpAlGwQr006ljwMiM"",
      ""GSC最新!A:F""
    ),
    3,
    FALSE
  ),
  0
)
"),4.0)</f>
        <v>4</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"),3.0)</f>
        <v>3</v>
      </c>
      <c r="J71" s="50" t="str">
        <f t="shared" ref="J71:K71" si="346">IFERROR(F71/H71,"-")</f>
        <v>-</v>
      </c>
      <c r="K71" s="50">
        <f t="shared" si="346"/>
        <v>1.333333333</v>
      </c>
      <c r="L71" s="6">
        <f>IFERROR(__xludf.DUMMYFUNCTION("IFERROR(
  VLOOKUP(
    A71,
    IMPORTRANGE(
      ""1ZHMy3vVUd_0MrSduXTe1etBb1HNpAlGwQr006ljwMiM"",
      ""GSC最新!A:R""
    ),
    7,
    FALSE
  ),
  0
)
"),10.0)</f>
        <v>10</v>
      </c>
      <c r="M71" s="6">
        <f>IFERROR(__xludf.DUMMYFUNCTION("IFERROR(
  VLOOKUP(
    A71,
    IMPORTRANGE(
      ""1ZHMy3vVUd_0MrSduXTe1etBb1HNpAlGwQr006ljwMiM"",
      ""GSC最新!A:R""
    ),
    10,
    FALSE
  ),
  0
)
"),55.0)</f>
        <v>55</v>
      </c>
      <c r="N71" s="6">
        <f>IFERROR(__xludf.DUMMYFUNCTION("IFERROR(
  VLOOKUP(
    A71,
    IMPORTRANGE(
      ""1ZHMy3vVUd_0MrSduXTe1etBb1HNpAlGwQr006ljwMiM"",
      ""GSC最新!A:R""
    ),
    13,
    FALSE
  ),
  0
)
"),15.0)</f>
        <v>15</v>
      </c>
      <c r="O71" s="6">
        <f>IFERROR(__xludf.DUMMYFUNCTION("IFERROR(
  VLOOKUP(
    A71,
    IMPORTRANGE(
      ""1ZHMy3vVUd_0MrSduXTe1etBb1HNpAlGwQr006ljwMiM"",
      ""GSC最新!A:R""
    ),
    16,
    FALSE
  ),
  0
)
"),57.0)</f>
        <v>57</v>
      </c>
      <c r="P71" s="51">
        <f t="shared" ref="P71:Q71" si="347">IFERROR(L71/N71,"-")</f>
        <v>0.6666666667</v>
      </c>
      <c r="Q71" s="51">
        <f t="shared" si="347"/>
        <v>0.9649122807</v>
      </c>
      <c r="R71" s="9">
        <f>IFERROR(__xludf.DUMMYFUNCTION("IFERROR(
  VLOOKUP(
    A71,
    IMPORTRANGE(
      ""1ZHMy3vVUd_0MrSduXTe1etBb1HNpAlGwQr006ljwMiM"",
      ""GSC最新!A:R""
    ),
    8,
    FALSE
  ),
  0
)
"),0.0)</f>
        <v>0</v>
      </c>
      <c r="S71" s="9">
        <f>IFERROR(__xludf.DUMMYFUNCTION("IFERROR(
  VLOOKUP(
    A71,
    IMPORTRANGE(
      ""1ZHMy3vVUd_0MrSduXTe1etBb1HNpAlGwQr006ljwMiM"",
      ""GSC最新!A:R""
    ),
    11,
    FALSE
  ),
  0
)
"),0.07272727272727272)</f>
        <v>0.07272727273</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"),0.05263157894736842)</f>
        <v>0.05263157895</v>
      </c>
      <c r="V71" s="9">
        <f t="shared" ref="V71:W71" si="348">IFERROR(R71-T71,"-")</f>
        <v>0</v>
      </c>
      <c r="W71" s="9">
        <f t="shared" si="348"/>
        <v>0.02009569378</v>
      </c>
      <c r="X71" s="65">
        <f>IFERROR(__xludf.DUMMYFUNCTION("IFERROR(
  VLOOKUP(
    A71,
    IMPORTRANGE(
      ""1ZHMy3vVUd_0MrSduXTe1etBb1HNpAlGwQr006ljwMiM"",
      ""GSC最新!A:R""
    ),
    9,
    FALSE
  ),
  0
)
"),8.4)</f>
        <v>8.4</v>
      </c>
      <c r="Y71" s="65">
        <f>IFERROR(__xludf.DUMMYFUNCTION("IFERROR(
  VLOOKUP(
    A71,
    IMPORTRANGE(
      ""1ZHMy3vVUd_0MrSduXTe1etBb1HNpAlGwQr006ljwMiM"",
      ""GSC最新!A:R""
    ),
    12,
    FALSE
  ),
  0
)
"),8.709090909090909)</f>
        <v>8.709090909</v>
      </c>
      <c r="Z71" s="65">
        <f>IFERROR(__xludf.DUMMYFUNCTION("IFERROR(
  VLOOKUP(
    A71,
    IMPORTRANGE(
      ""1ZHMy3vVUd_0MrSduXTe1etBb1HNpAlGwQr006ljwMiM"",
      ""GSC最新!A:R""
    ),
    15,
    FALSE
  ),
  0
)
"),9.6)</f>
        <v>9.6</v>
      </c>
      <c r="AA71" s="65">
        <f>IFERROR(__xludf.DUMMYFUNCTION("IFERROR(
  VLOOKUP(
    A71,
    IMPORTRANGE(
      ""1ZHMy3vVUd_0MrSduXTe1etBb1HNpAlGwQr006ljwMiM"",
      ""GSC最新!A:R""
    ),
    18,
    FALSE
  ),
  0
)
"),16.350877192982455)</f>
        <v>16.35087719</v>
      </c>
      <c r="AB71" s="65">
        <f t="shared" ref="AB71:AC71" si="349">X71-Z71</f>
        <v>-1.2</v>
      </c>
      <c r="AC71" s="65">
        <f t="shared" si="349"/>
        <v>-7.641786284</v>
      </c>
      <c r="AD71" s="53">
        <f>IFERROR(__xludf.DUMMYFUNCTION("IFERROR(
  VLOOKUP(
    A71,
    IMPORTRANGE(
      ""1ZHMy3vVUd_0MrSduXTe1etBb1HNpAlGwQr006ljwMiM"",
      ""GSC最新!A:F""
    ),
    6,
    FALSE
  ),
  0
)
"),46081.0)</f>
        <v>46081</v>
      </c>
      <c r="AE71" s="54">
        <f>IFERROR(__xludf.DUMMYFUNCTION("IFERROR(
  VLOOKUP(
    A71,
    IMPORTRANGE(
      ""1SCYQd7_cobOYqT0r_F0IqD4tE4rYn5y8Eup4PJTH8es"",
      ""Snapshot!A:M""
    ),
    5,
    FALSE
  ),
  ""-""
)
"),1.0)</f>
        <v>1</v>
      </c>
      <c r="AF71" s="54">
        <f>IFERROR(__xludf.DUMMYFUNCTION("IFERROR(
  VLOOKUP(
    A71,
    IMPORTRANGE(
      ""1SCYQd7_cobOYqT0r_F0IqD4tE4rYn5y8Eup4PJTH8es"",
      ""Snapshot!A:M""
    ),
    6,
    FALSE
  ),
  0
)
"),3.0)</f>
        <v>3</v>
      </c>
      <c r="AG71" s="54">
        <f>IFERROR(__xludf.DUMMYFUNCTION("IFERROR(
  VLOOKUP(
    A71,
    IMPORTRANGE(
      ""1SCYQd7_cobOYqT0r_F0IqD4tE4rYn5y8Eup4PJTH8es"",
      ""Snapshot!A:M""
    ),
    7,
    FALSE
  ),
  0
)
"),1096.0)</f>
        <v>1096</v>
      </c>
      <c r="AH71" s="54">
        <f>IFERROR(__xludf.DUMMYFUNCTION("IFERROR(
  VLOOKUP(
    A71,
    IMPORTRANGE(
      ""1SCYQd7_cobOYqT0r_F0IqD4tE4rYn5y8Eup4PJTH8es"",
      ""Snapshot!A:M""
    ),
    8,
    FALSE
  ),
  0
)
"),1.0)</f>
        <v>1</v>
      </c>
      <c r="AI71" s="54">
        <f>IFERROR(__xludf.DUMMYFUNCTION("IFERROR(
  VLOOKUP(
    A71,
    IMPORTRANGE(
      ""1SCYQd7_cobOYqT0r_F0IqD4tE4rYn5y8Eup4PJTH8es"",
      ""Snapshot!A:M""
    ),
    9,
    FALSE
  ),
  0
)
"),1.0)</f>
        <v>1</v>
      </c>
      <c r="AJ71" s="54">
        <f>IFERROR(__xludf.DUMMYFUNCTION("IFERROR(
  VLOOKUP(
    A71,
    IMPORTRANGE(
      ""1SCYQd7_cobOYqT0r_F0IqD4tE4rYn5y8Eup4PJTH8es"",
      ""Snapshot!A:M""
    ),
    13,
    FALSE
  ),
  0
)
"),3.0)</f>
        <v>3</v>
      </c>
      <c r="AK71" s="49">
        <f t="shared" ref="AK71:AL71" si="350">LEN(C71)</f>
        <v>71</v>
      </c>
      <c r="AL71" s="49">
        <f t="shared" si="350"/>
        <v>55</v>
      </c>
    </row>
    <row r="72">
      <c r="A72" s="56" t="s">
        <v>577</v>
      </c>
      <c r="B72" s="1" t="str">
        <f>IFERROR(__xludf.DUMMYFUNCTION("IFERROR(
  VLOOKUP(
    A72,
    IMPORTRANGE(
      ""1ZygntHC1J6IxzKbTidmOyf5nUyW4GCLurHCjexrLm_o"",
      ""HTMLキャッシュ!A:F""
    ),
    2,
    FALSE
  ),
  0
)
"),"SC")</f>
        <v>SC</v>
      </c>
      <c r="C72" s="1" t="str">
        <f>IFERROR(__xludf.DUMMYFUNCTION("IFERROR(
  VLOOKUP(
    A72,
    IMPORTRANGE(
      ""1ZygntHC1J6IxzKbTidmOyf5nUyW4GCLurHCjexrLm_o"",
      ""HTMLキャッシュ!A:F""
    ),
    5,
    FALSE
  ),
  0
)
"),"家庭で国語を教えるのが“極めて難しい”理由 - 受験国語専門 読解ラボ東京 | 中学受験・大学受験対応の個別指導国語専門塾（オンライン・教室対応）")</f>
        <v>家庭で国語を教えるのが“極めて難しい”理由 - 受験国語専門 読解ラボ東京 | 中学受験・大学受験対応の個別指導国語専門塾（オンライン・教室対応）</v>
      </c>
      <c r="D72" s="1" t="str">
        <f>IFERROR(__xludf.DUMMYFUNCTION("IFERROR(
  VLOOKUP(
    A72,
    IMPORTRANGE(
      ""1ZygntHC1J6IxzKbTidmOyf5nUyW4GCLurHCjexrLm_o        "",
      ""HTMLキャッシュ!A:F""
    ),
    6,
    FALSE
  ),
  0
)
"),"中学受験の国語を家庭で教えるのが難しいのは、思考の途中が見えず、根拠が抽象的で、本文処理・設問処理・記述の工程が複雑に絡むからです。つまずきの典型と改善ステップ、過去問の直し方、オンライン国語の個別指導で読解力と記述を整える方法まで解説します。")</f>
        <v>中学受験の国語を家庭で教えるのが難しいのは、思考の途中が見えず、根拠が抽象的で、本文処理・設問処理・記述の工程が複雑に絡むからです。つまずきの典型と改善ステップ、過去問の直し方、オンライン国語の個別指導で読解力と記述を整える方法まで解説します。</v>
      </c>
      <c r="E72" s="32">
        <f>IFERROR(__xludf.DUMMYFUNCTION("IFERROR(
  VLOOKUP(
    A72,
    IMPORTRANGE(
      ""1ZygntHC1J6IxzKbTidmOyf5nUyW4GCLurHCjexrLm_o        "",
      ""HTMLキャッシュ!A:F""
    ),
    3,
    FALSE
  ),
  0
)
"),46080.81033564815)</f>
        <v>46080.81034</v>
      </c>
      <c r="F72" s="49">
        <f>IFERROR(__xludf.DUMMYFUNCTION("IFERROR(
  VLOOKUP(
    A72,
    IMPORTRANGE(
      ""1ZHMy3vVUd_0MrSduXTe1etBb1HNpAlGwQr006ljwMiM"",
      ""GSC最新!A:F""
    ),
    2,
    FALSE
  ),
  0
)
"),2.0)</f>
        <v>2</v>
      </c>
      <c r="G72" s="49">
        <f>IFERROR(__xludf.DUMMYFUNCTION("IFERROR(
  VLOOKUP(
    A72,
    IMPORTRANGE(
      ""1ZHMy3vVUd_0MrSduXTe1etBb1HNpAlGwQr006ljwMiM"",
      ""GSC最新!A:F""
    ),
    3,
    FALSE
  ),
  0
)
"),4.0)</f>
        <v>4</v>
      </c>
      <c r="H72" s="49">
        <f>IFERROR(__xludf.DUMMYFUNCTION("IFERROR(
  VLOOKUP(
    A72,
    IMPORTRANGE(
      ""1ZHMy3vVUd_0MrSduXTe1etBb1HNpAlGwQr006ljwMiM"",
      ""GSC最新!A:F""
    ),
    4,
    FALSE
  ),
  0
)
"),0.0)</f>
        <v>0</v>
      </c>
      <c r="I72" s="49">
        <f>IFERROR(__xludf.DUMMYFUNCTION("IFERROR(
  VLOOKUP(
    A72,
    IMPORTRANGE(
      ""1ZHMy3vVUd_0MrSduXTe1etBb1HNpAlGwQr006ljwMiM"",
      ""GSC最新!A:F""
    ),
    5,
    FALSE
  ),
  0
)
"),0.0)</f>
        <v>0</v>
      </c>
      <c r="J72" s="50" t="str">
        <f t="shared" ref="J72:K72" si="351">IFERROR(F72/H72,"-")</f>
        <v>-</v>
      </c>
      <c r="K72" s="50" t="str">
        <f t="shared" si="351"/>
        <v>-</v>
      </c>
      <c r="L72" s="6">
        <f>IFERROR(__xludf.DUMMYFUNCTION("IFERROR(
  VLOOKUP(
    A72,
    IMPORTRANGE(
      ""1ZHMy3vVUd_0MrSduXTe1etBb1HNpAlGwQr006ljwMiM"",
      ""GSC最新!A:R""
    ),
    7,
    FALSE
  ),
  0
)
"),129.0)</f>
        <v>129</v>
      </c>
      <c r="M72" s="6">
        <f>IFERROR(__xludf.DUMMYFUNCTION("IFERROR(
  VLOOKUP(
    A72,
    IMPORTRANGE(
      ""1ZHMy3vVUd_0MrSduXTe1etBb1HNpAlGwQr006ljwMiM"",
      ""GSC最新!A:R""
    ),
    10,
    FALSE
  ),
  0
)
"),219.0)</f>
        <v>219</v>
      </c>
      <c r="N72" s="6">
        <f>IFERROR(__xludf.DUMMYFUNCTION("IFERROR(
  VLOOKUP(
    A72,
    IMPORTRANGE(
      ""1ZHMy3vVUd_0MrSduXTe1etBb1HNpAlGwQr006ljwMiM"",
      ""GSC最新!A:R""
    ),
    13,
    FALSE
  ),
  0
)
"),0.0)</f>
        <v>0</v>
      </c>
      <c r="O72" s="6">
        <f>IFERROR(__xludf.DUMMYFUNCTION("IFERROR(
  VLOOKUP(
    A72,
    IMPORTRANGE(
      ""1ZHMy3vVUd_0MrSduXTe1etBb1HNpAlGwQr006ljwMiM"",
      ""GSC最新!A:R""
    ),
    16,
    FALSE
  ),
  0
)
"),0.0)</f>
        <v>0</v>
      </c>
      <c r="P72" s="51" t="str">
        <f t="shared" ref="P72:Q72" si="352">IFERROR(L72/N72,"-")</f>
        <v>-</v>
      </c>
      <c r="Q72" s="51" t="str">
        <f t="shared" si="352"/>
        <v>-</v>
      </c>
      <c r="R72" s="9">
        <f>IFERROR(__xludf.DUMMYFUNCTION("IFERROR(
  VLOOKUP(
    A72,
    IMPORTRANGE(
      ""1ZHMy3vVUd_0MrSduXTe1etBb1HNpAlGwQr006ljwMiM"",
      ""GSC最新!A:R""
    ),
    8,
    FALSE
  ),
  0
)
"),0.015503875968992248)</f>
        <v>0.01550387597</v>
      </c>
      <c r="S72" s="9">
        <f>IFERROR(__xludf.DUMMYFUNCTION("IFERROR(
  VLOOKUP(
    A72,
    IMPORTRANGE(
      ""1ZHMy3vVUd_0MrSduXTe1etBb1HNpAlGwQr006ljwMiM"",
      ""GSC最新!A:R""
    ),
    11,
    FALSE
  ),
  0
)
"),0.0182648401826484)</f>
        <v>0.01826484018</v>
      </c>
      <c r="T72" s="9">
        <f>IFERROR(__xludf.DUMMYFUNCTION("IFERROR(
  VLOOKUP(
    A72,
    IMPORTRANGE(
      ""1ZHMy3vVUd_0MrSduXTe1etBb1HNpAlGwQr006ljwMiM"",
      ""GSC最新!A:R""
    ),
    14,
    FALSE
  ),
  0
)
"),0.0)</f>
        <v>0</v>
      </c>
      <c r="U72" s="9">
        <f>IFERROR(__xludf.DUMMYFUNCTION("IFERROR(
  VLOOKUP(
    A72,
    IMPORTRANGE(
      ""1ZHMy3vVUd_0MrSduXTe1etBb1HNpAlGwQr006ljwMiM"",
      ""GSC最新!A:R""
    ),
    17,
    FALSE
  ),
  0
)
"),0.0)</f>
        <v>0</v>
      </c>
      <c r="V72" s="9">
        <f t="shared" ref="V72:W72" si="353">IFERROR(R72-T72,"-")</f>
        <v>0.01550387597</v>
      </c>
      <c r="W72" s="9">
        <f t="shared" si="353"/>
        <v>0.01826484018</v>
      </c>
      <c r="X72" s="65">
        <f>IFERROR(__xludf.DUMMYFUNCTION("IFERROR(
  VLOOKUP(
    A72,
    IMPORTRANGE(
      ""1ZHMy3vVUd_0MrSduXTe1etBb1HNpAlGwQr006ljwMiM"",
      ""GSC最新!A:R""
    ),
    9,
    FALSE
  ),
  0
)
"),7.821705426356589)</f>
        <v>7.821705426</v>
      </c>
      <c r="Y72" s="65">
        <f>IFERROR(__xludf.DUMMYFUNCTION("IFERROR(
  VLOOKUP(
    A72,
    IMPORTRANGE(
      ""1ZHMy3vVUd_0MrSduXTe1etBb1HNpAlGwQr006ljwMiM"",
      ""GSC最新!A:R""
    ),
    12,
    FALSE
  ),
  0
)
"),7.840182648401827)</f>
        <v>7.840182648</v>
      </c>
      <c r="Z72" s="65" t="str">
        <f>IFERROR(__xludf.DUMMYFUNCTION("IFERROR(
  VLOOKUP(
    A72,
    IMPORTRANGE(
      ""1ZHMy3vVUd_0MrSduXTe1etBb1HNpAlGwQr006ljwMiM"",
      ""GSC最新!A:R""
    ),
    15,
    FALSE
  ),
  0
)
"),"")</f>
        <v/>
      </c>
      <c r="AA72" s="65" t="str">
        <f>IFERROR(__xludf.DUMMYFUNCTION("IFERROR(
  VLOOKUP(
    A72,
    IMPORTRANGE(
      ""1ZHMy3vVUd_0MrSduXTe1etBb1HNpAlGwQr006ljwMiM"",
      ""GSC最新!A:R""
    ),
    18,
    FALSE
  ),
  0
)
"),"")</f>
        <v/>
      </c>
      <c r="AB72" s="65">
        <f t="shared" ref="AB72:AC72" si="354">X72-Z72</f>
        <v>7.821705426</v>
      </c>
      <c r="AC72" s="65">
        <f t="shared" si="354"/>
        <v>7.840182648</v>
      </c>
      <c r="AD72" s="53">
        <f>IFERROR(__xludf.DUMMYFUNCTION("IFERROR(
  VLOOKUP(
    A72,
    IMPORTRANGE(
      ""1ZHMy3vVUd_0MrSduXTe1etBb1HNpAlGwQr006ljwMiM"",
      ""GSC最新!A:F""
    ),
    6,
    FALSE
  ),
  0
)
"),46081.0)</f>
        <v>46081</v>
      </c>
      <c r="AE72" s="54">
        <f>IFERROR(__xludf.DUMMYFUNCTION("IFERROR(
  VLOOKUP(
    A72,
    IMPORTRANGE(
      ""1SCYQd7_cobOYqT0r_F0IqD4tE4rYn5y8Eup4PJTH8es"",
      ""Snapshot!A:M""
    ),
    5,
    FALSE
  ),
  ""-""
)
"),6.0)</f>
        <v>6</v>
      </c>
      <c r="AF72" s="54">
        <f>IFERROR(__xludf.DUMMYFUNCTION("IFERROR(
  VLOOKUP(
    A72,
    IMPORTRANGE(
      ""1SCYQd7_cobOYqT0r_F0IqD4tE4rYn5y8Eup4PJTH8es"",
      ""Snapshot!A:M""
    ),
    6,
    FALSE
  ),
  0
)
"),0.0)</f>
        <v>0</v>
      </c>
      <c r="AG72" s="54">
        <f>IFERROR(__xludf.DUMMYFUNCTION("IFERROR(
  VLOOKUP(
    A72,
    IMPORTRANGE(
      ""1SCYQd7_cobOYqT0r_F0IqD4tE4rYn5y8Eup4PJTH8es"",
      ""Snapshot!A:M""
    ),
    7,
    FALSE
  ),
  0
)
"),4151.0)</f>
        <v>4151</v>
      </c>
      <c r="AH72" s="54">
        <f>IFERROR(__xludf.DUMMYFUNCTION("IFERROR(
  VLOOKUP(
    A72,
    IMPORTRANGE(
      ""1SCYQd7_cobOYqT0r_F0IqD4tE4rYn5y8Eup4PJTH8es"",
      ""Snapshot!A:M""
    ),
    8,
    FALSE
  ),
  0
)
"),3.0)</f>
        <v>3</v>
      </c>
      <c r="AI72" s="54">
        <f>IFERROR(__xludf.DUMMYFUNCTION("IFERROR(
  VLOOKUP(
    A72,
    IMPORTRANGE(
      ""1SCYQd7_cobOYqT0r_F0IqD4tE4rYn5y8Eup4PJTH8es"",
      ""Snapshot!A:M""
    ),
    9,
    FALSE
  ),
  0
)
"),5.0)</f>
        <v>5</v>
      </c>
      <c r="AJ72" s="54">
        <f>IFERROR(__xludf.DUMMYFUNCTION("IFERROR(
  VLOOKUP(
    A72,
    IMPORTRANGE(
      ""1SCYQd7_cobOYqT0r_F0IqD4tE4rYn5y8Eup4PJTH8es"",
      ""Snapshot!A:M""
    ),
    13,
    FALSE
  ),
  0
)
"),3.0)</f>
        <v>3</v>
      </c>
      <c r="AK72" s="49">
        <f t="shared" ref="AK72:AL72" si="355">LEN(C72)</f>
        <v>73</v>
      </c>
      <c r="AL72" s="49">
        <f t="shared" si="355"/>
        <v>122</v>
      </c>
    </row>
    <row r="73">
      <c r="A73" s="3" t="s">
        <v>113</v>
      </c>
      <c r="B73" s="1" t="str">
        <f>IFERROR(__xludf.DUMMYFUNCTION("IFERROR(
  VLOOKUP(
    A73,
    IMPORTRANGE(
      ""1ZygntHC1J6IxzKbTidmOyf5nUyW4GCLurHCjexrLm_o"",
      ""HTMLキャッシュ!A:F""
    ),
    2,
    FALSE
  ),
  0
)
"),"-")</f>
        <v>-</v>
      </c>
      <c r="C73" s="1" t="str">
        <f>IFERROR(__xludf.DUMMYFUNCTION("IFERROR(
  VLOOKUP(
    A73,
    IMPORTRANGE(
      ""1ZygntHC1J6IxzKbTidmOyf5nUyW4GCLurHCjexrLm_o"",
      ""HTMLキャッシュ!A:F""
    ),
    5,
    FALSE
  ),
  0
)
"),"中学受験 国語の個別指導なら｜完全１対１オンライン国語塾 - 受験国語専門 読解ラボ東京 | 中学受験・大学受験対応の個別指導国語専門塾（オンライン・教室対応）")</f>
        <v>中学受験 国語の個別指導なら｜完全１対１オンライン国語塾 - 受験国語専門 読解ラボ東京 | 中学受験・大学受験対応の個別指導国語専門塾（オンライン・教室対応）</v>
      </c>
      <c r="D73" s="1" t="str">
        <f>IFERROR(__xludf.DUMMYFUNCTION("IFERROR(
  VLOOKUP(
    A73,
    IMPORTRANGE(
      ""1ZygntHC1J6IxzKbTidmOyf5nUyW4GCLurHCjexrLm_o        "",
      ""HTMLキャッシュ!A:F""
    ),
    6,
    FALSE
  ),
  0
)
"),"中学受験の国語で伸び悩むお子様へ。完全１対１のオンライン個別指導で、センスに頼らない読解法を身につけます。体験授業受付中。")</f>
        <v>中学受験の国語で伸び悩むお子様へ。完全１対１のオンライン個別指導で、センスに頼らない読解法を身につけます。体験授業受付中。</v>
      </c>
      <c r="E73" s="32">
        <f>IFERROR(__xludf.DUMMYFUNCTION("IFERROR(
  VLOOKUP(
    A73,
    IMPORTRANGE(
      ""1ZygntHC1J6IxzKbTidmOyf5nUyW4GCLurHCjexrLm_o        "",
      ""HTMLキャッシュ!A:F""
    ),
    3,
    FALSE
  ),
  0
)
"),46036.74829861111)</f>
        <v>46036.7483</v>
      </c>
      <c r="F73" s="49">
        <f>IFERROR(__xludf.DUMMYFUNCTION("IFERROR(
  VLOOKUP(
    A73,
    IMPORTRANGE(
      ""1ZHMy3vVUd_0MrSduXTe1etBb1HNpAlGwQr006ljwMiM"",
      ""GSC最新!A:F""
    ),
    2,
    FALSE
  ),
  0
)
"),1.0)</f>
        <v>1</v>
      </c>
      <c r="G73" s="49">
        <f>IFERROR(__xludf.DUMMYFUNCTION("IFERROR(
  VLOOKUP(
    A73,
    IMPORTRANGE(
      ""1ZHMy3vVUd_0MrSduXTe1etBb1HNpAlGwQr006ljwMiM"",
      ""GSC最新!A:F""
    ),
    3,
    FALSE
  ),
  0
)
"),4.0)</f>
        <v>4</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"),0.0)</f>
        <v>0</v>
      </c>
      <c r="J73" s="50" t="str">
        <f t="shared" ref="J73:K73" si="356">IFERROR(F73/H73,"-")</f>
        <v>-</v>
      </c>
      <c r="K73" s="50" t="str">
        <f t="shared" si="356"/>
        <v>-</v>
      </c>
      <c r="L73" s="6">
        <f>IFERROR(__xludf.DUMMYFUNCTION("IFERROR(
  VLOOKUP(
    A73,
    IMPORTRANGE(
      ""1ZHMy3vVUd_0MrSduXTe1etBb1HNpAlGwQr006ljwMiM"",
      ""GSC最新!A:R""
    ),
    7,
    FALSE
  ),
  0
)
"),38.0)</f>
        <v>38</v>
      </c>
      <c r="M73" s="6">
        <f>IFERROR(__xludf.DUMMYFUNCTION("IFERROR(
  VLOOKUP(
    A73,
    IMPORTRANGE(
      ""1ZHMy3vVUd_0MrSduXTe1etBb1HNpAlGwQr006ljwMiM"",
      ""GSC最新!A:R""
    ),
    10,
    FALSE
  ),
  0
)
"),102.0)</f>
        <v>102</v>
      </c>
      <c r="N73" s="6">
        <f>IFERROR(__xludf.DUMMYFUNCTION("IFERROR(
  VLOOKUP(
    A73,
    IMPORTRANGE(
      ""1ZHMy3vVUd_0MrSduXTe1etBb1HNpAlGwQr006ljwMiM"",
      ""GSC最新!A:R""
    ),
    13,
    FALSE
  ),
  0
)
"),0.0)</f>
        <v>0</v>
      </c>
      <c r="O73" s="6">
        <f>IFERROR(__xludf.DUMMYFUNCTION("IFERROR(
  VLOOKUP(
    A73,
    IMPORTRANGE(
      ""1ZHMy3vVUd_0MrSduXTe1etBb1HNpAlGwQr006ljwMiM"",
      ""GSC最新!A:R""
    ),
    16,
    FALSE
  ),
  0
)
"),0.0)</f>
        <v>0</v>
      </c>
      <c r="P73" s="51" t="str">
        <f t="shared" ref="P73:Q73" si="357">IFERROR(L73/N73,"-")</f>
        <v>-</v>
      </c>
      <c r="Q73" s="51" t="str">
        <f t="shared" si="357"/>
        <v>-</v>
      </c>
      <c r="R73" s="9">
        <f>IFERROR(__xludf.DUMMYFUNCTION("IFERROR(
  VLOOKUP(
    A73,
    IMPORTRANGE(
      ""1ZHMy3vVUd_0MrSduXTe1etBb1HNpAlGwQr006ljwMiM"",
      ""GSC最新!A:R""
    ),
    8,
    FALSE
  ),
  0
)
"),0.02631578947368421)</f>
        <v>0.02631578947</v>
      </c>
      <c r="S73" s="9">
        <f>IFERROR(__xludf.DUMMYFUNCTION("IFERROR(
  VLOOKUP(
    A73,
    IMPORTRANGE(
      ""1ZHMy3vVUd_0MrSduXTe1etBb1HNpAlGwQr006ljwMiM"",
      ""GSC最新!A:R""
    ),
    11,
    FALSE
  ),
  0
)
"),0.0392156862745098)</f>
        <v>0.03921568627</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f>
        <v>0</v>
      </c>
      <c r="V73" s="9">
        <f t="shared" ref="V73:W73" si="358">IFERROR(R73-T73,"-")</f>
        <v>0.02631578947</v>
      </c>
      <c r="W73" s="9">
        <f t="shared" si="358"/>
        <v>0.03921568627</v>
      </c>
      <c r="X73" s="65">
        <f>IFERROR(__xludf.DUMMYFUNCTION("IFERROR(
  VLOOKUP(
    A73,
    IMPORTRANGE(
      ""1ZHMy3vVUd_0MrSduXTe1etBb1HNpAlGwQr006ljwMiM"",
      ""GSC最新!A:R""
    ),
    9,
    FALSE
  ),
  0
)
"),23.657894736842106)</f>
        <v>23.65789474</v>
      </c>
      <c r="Y73" s="65">
        <f>IFERROR(__xludf.DUMMYFUNCTION("IFERROR(
  VLOOKUP(
    A73,
    IMPORTRANGE(
      ""1ZHMy3vVUd_0MrSduXTe1etBb1HNpAlGwQr006ljwMiM"",
      ""GSC最新!A:R""
    ),
    12,
    FALSE
  ),
  0
)
"),15.303921568627452)</f>
        <v>15.30392157</v>
      </c>
      <c r="Z73" s="65" t="str">
        <f>IFERROR(__xludf.DUMMYFUNCTION("IFERROR(
  VLOOKUP(
    A73,
    IMPORTRANGE(
      ""1ZHMy3vVUd_0MrSduXTe1etBb1HNpAlGwQr006ljwMiM"",
      ""GSC最新!A:R""
    ),
    15,
    FALSE
  ),
  0
)
"),"")</f>
        <v/>
      </c>
      <c r="AA73" s="65" t="str">
        <f>IFERROR(__xludf.DUMMYFUNCTION("IFERROR(
  VLOOKUP(
    A73,
    IMPORTRANGE(
      ""1ZHMy3vVUd_0MrSduXTe1etBb1HNpAlGwQr006ljwMiM"",
      ""GSC最新!A:R""
    ),
    18,
    FALSE
  ),
  0
)
"),"")</f>
        <v/>
      </c>
      <c r="AB73" s="65">
        <f t="shared" ref="AB73:AC73" si="359">X73-Z73</f>
        <v>23.65789474</v>
      </c>
      <c r="AC73" s="65">
        <f t="shared" si="359"/>
        <v>15.30392157</v>
      </c>
      <c r="AD73" s="53">
        <f>IFERROR(__xludf.DUMMYFUNCTION("IFERROR(
  VLOOKUP(
    A73,
    IMPORTRANGE(
      ""1ZHMy3vVUd_0MrSduXTe1etBb1HNpAlGwQr006ljwMiM"",
      ""GSC最新!A:F""
    ),
    6,
    FALSE
  ),
  0
)
"),46081.0)</f>
        <v>46081</v>
      </c>
      <c r="AE73" s="54">
        <f>IFERROR(__xludf.DUMMYFUNCTION("IFERROR(
  VLOOKUP(
    A73,
    IMPORTRANGE(
      ""1SCYQd7_cobOYqT0r_F0IqD4tE4rYn5y8Eup4PJTH8es"",
      ""Snapshot!A:M""
    ),
    5,
    FALSE
  ),
  ""-""
)
"),7.0)</f>
        <v>7</v>
      </c>
      <c r="AF73" s="54">
        <f>IFERROR(__xludf.DUMMYFUNCTION("IFERROR(
  VLOOKUP(
    A73,
    IMPORTRANGE(
      ""1SCYQd7_cobOYqT0r_F0IqD4tE4rYn5y8Eup4PJTH8es"",
      ""Snapshot!A:M""
    ),
    6,
    FALSE
  ),
  0
)
"),4.0)</f>
        <v>4</v>
      </c>
      <c r="AG73" s="54">
        <f>IFERROR(__xludf.DUMMYFUNCTION("IFERROR(
  VLOOKUP(
    A73,
    IMPORTRANGE(
      ""1SCYQd7_cobOYqT0r_F0IqD4tE4rYn5y8Eup4PJTH8es"",
      ""Snapshot!A:M""
    ),
    7,
    FALSE
  ),
  0
)
"),2285.0)</f>
        <v>2285</v>
      </c>
      <c r="AH73" s="54">
        <f>IFERROR(__xludf.DUMMYFUNCTION("IFERROR(
  VLOOKUP(
    A73,
    IMPORTRANGE(
      ""1SCYQd7_cobOYqT0r_F0IqD4tE4rYn5y8Eup4PJTH8es"",
      ""Snapshot!A:M""
    ),
    8,
    FALSE
  ),
  0
)
"),1.0)</f>
        <v>1</v>
      </c>
      <c r="AI73" s="54">
        <f>IFERROR(__xludf.DUMMYFUNCTION("IFERROR(
  VLOOKUP(
    A73,
    IMPORTRANGE(
      ""1SCYQd7_cobOYqT0r_F0IqD4tE4rYn5y8Eup4PJTH8es"",
      ""Snapshot!A:M""
    ),
    9,
    FALSE
  ),
  0
)
"),4.0)</f>
        <v>4</v>
      </c>
      <c r="AJ73" s="54">
        <f>IFERROR(__xludf.DUMMYFUNCTION("IFERROR(
  VLOOKUP(
    A73,
    IMPORTRANGE(
      ""1SCYQd7_cobOYqT0r_F0IqD4tE4rYn5y8Eup4PJTH8es"",
      ""Snapshot!A:M""
    ),
    13,
    FALSE
  ),
  0
)
"),2.0)</f>
        <v>2</v>
      </c>
      <c r="AK73" s="49">
        <f t="shared" ref="AK73:AL73" si="360">LEN(C73)</f>
        <v>80</v>
      </c>
      <c r="AL73" s="49">
        <f t="shared" si="360"/>
        <v>61</v>
      </c>
    </row>
    <row r="74">
      <c r="A74" s="3" t="s">
        <v>578</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"),"駒場東邦中 国語の過去問解説（2021）｜傍線部説明（イコール）と心情＋理由の記述手順")</f>
        <v>駒場東邦中 国語の過去問解説（2021）｜傍線部説明（イコール）と心情＋理由の記述手順</v>
      </c>
      <c r="D74" s="1" t="str">
        <f>IFERROR(__xludf.DUMMYFUNCTION("IFERROR(
  VLOOKUP(
    A74,
    IMPORTRANGE(
      ""1ZygntHC1J6IxzKbTidmOyf5nUyW4GCLurHCjexrLm_o        "",
      ""HTMLキャッシュ!A:F""
    ),
    6,
    FALSE
  ),
  0
)
"),"駒場東邦中2021国語の過去問から厳選2問を解説動画つきで確認。傍線部説明は「傍線＝イコールの中身」を本文から拾う手順、心情説明は「どう感じたか＋理由」を状況整理して書く型を具体例で整理。小6・保護者の復習用にも。")</f>
        <v>駒場東邦中2021国語の過去問から厳選2問を解説動画つきで確認。傍線部説明は「傍線＝イコールの中身」を本文から拾う手順、心情説明は「どう感じたか＋理由」を状況整理して書く型を具体例で整理。小6・保護者の復習用にも。</v>
      </c>
      <c r="E74" s="32">
        <f>IFERROR(__xludf.DUMMYFUNCTION("IFERROR(
  VLOOKUP(
    A74,
    IMPORTRANGE(
      ""1ZygntHC1J6IxzKbTidmOyf5nUyW4GCLurHCjexrLm_o        "",
      ""HTMLキャッシュ!A:F""
    ),
    3,
    FALSE
  ),
  0
)
"),46059.74605324074)</f>
        <v>46059.74605</v>
      </c>
      <c r="F74" s="49">
        <f>IFERROR(__xludf.DUMMYFUNCTION("IFERROR(
  VLOOKUP(
    A74,
    IMPORTRANGE(
      ""1ZHMy3vVUd_0MrSduXTe1etBb1HNpAlGwQr006ljwMiM"",
      ""GSC最新!A:F""
    ),
    2,
    FALSE
  ),
  0
)
"),1.0)</f>
        <v>1</v>
      </c>
      <c r="G74" s="49">
        <f>IFERROR(__xludf.DUMMYFUNCTION("IFERROR(
  VLOOKUP(
    A74,
    IMPORTRANGE(
      ""1ZHMy3vVUd_0MrSduXTe1etBb1HNpAlGwQr006ljwMiM"",
      ""GSC最新!A:F""
    ),
    3,
    FALSE
  ),
  0
)
"),3.0)</f>
        <v>3</v>
      </c>
      <c r="H74" s="49">
        <f>IFERROR(__xludf.DUMMYFUNCTION("IFERROR(
  VLOOKUP(
    A74,
    IMPORTRANGE(
      ""1ZHMy3vVUd_0MrSduXTe1etBb1HNpAlGwQr006ljwMiM"",
      ""GSC最新!A:F""
    ),
    4,
    FALSE
  ),
  0
)
"),0.0)</f>
        <v>0</v>
      </c>
      <c r="I74" s="49">
        <f>IFERROR(__xludf.DUMMYFUNCTION("IFERROR(
  VLOOKUP(
    A74,
    IMPORTRANGE(
      ""1ZHMy3vVUd_0MrSduXTe1etBb1HNpAlGwQr006ljwMiM"",
      ""GSC最新!A:F""
    ),
    5,
    FALSE
  ),
  0
)
"),4.0)</f>
        <v>4</v>
      </c>
      <c r="J74" s="50" t="str">
        <f t="shared" ref="J74:K74" si="361">IFERROR(F74/H74,"-")</f>
        <v>-</v>
      </c>
      <c r="K74" s="50">
        <f t="shared" si="361"/>
        <v>0.75</v>
      </c>
      <c r="L74" s="6">
        <f>IFERROR(__xludf.DUMMYFUNCTION("IFERROR(
  VLOOKUP(
    A74,
    IMPORTRANGE(
      ""1ZHMy3vVUd_0MrSduXTe1etBb1HNpAlGwQr006ljwMiM"",
      ""GSC最新!A:R""
    ),
    7,
    FALSE
  ),
  0
)
"),30.0)</f>
        <v>30</v>
      </c>
      <c r="M74" s="6">
        <f>IFERROR(__xludf.DUMMYFUNCTION("IFERROR(
  VLOOKUP(
    A74,
    IMPORTRANGE(
      ""1ZHMy3vVUd_0MrSduXTe1etBb1HNpAlGwQr006ljwMiM"",
      ""GSC最新!A:R""
    ),
    10,
    FALSE
  ),
  0
)
"),104.0)</f>
        <v>104</v>
      </c>
      <c r="N74" s="6">
        <f>IFERROR(__xludf.DUMMYFUNCTION("IFERROR(
  VLOOKUP(
    A74,
    IMPORTRANGE(
      ""1ZHMy3vVUd_0MrSduXTe1etBb1HNpAlGwQr006ljwMiM"",
      ""GSC最新!A:R""
    ),
    13,
    FALSE
  ),
  0
)
"),8.0)</f>
        <v>8</v>
      </c>
      <c r="O74" s="6">
        <f>IFERROR(__xludf.DUMMYFUNCTION("IFERROR(
  VLOOKUP(
    A74,
    IMPORTRANGE(
      ""1ZHMy3vVUd_0MrSduXTe1etBb1HNpAlGwQr006ljwMiM"",
      ""GSC最新!A:R""
    ),
    16,
    FALSE
  ),
  0
)
"),69.0)</f>
        <v>69</v>
      </c>
      <c r="P74" s="51">
        <f t="shared" ref="P74:Q74" si="362">IFERROR(L74/N74,"-")</f>
        <v>3.75</v>
      </c>
      <c r="Q74" s="51">
        <f t="shared" si="362"/>
        <v>1.507246377</v>
      </c>
      <c r="R74" s="9">
        <f>IFERROR(__xludf.DUMMYFUNCTION("IFERROR(
  VLOOKUP(
    A74,
    IMPORTRANGE(
      ""1ZHMy3vVUd_0MrSduXTe1etBb1HNpAlGwQr006ljwMiM"",
      ""GSC最新!A:R""
    ),
    8,
    FALSE
  ),
  0
)
"),0.03333333333333333)</f>
        <v>0.03333333333</v>
      </c>
      <c r="S74" s="9">
        <f>IFERROR(__xludf.DUMMYFUNCTION("IFERROR(
  VLOOKUP(
    A74,
    IMPORTRANGE(
      ""1ZHMy3vVUd_0MrSduXTe1etBb1HNpAlGwQr006ljwMiM"",
      ""GSC最新!A:R""
    ),
    11,
    FALSE
  ),
  0
)
"),0.028846153846153848)</f>
        <v>0.02884615385</v>
      </c>
      <c r="T74" s="9">
        <f>IFERROR(__xludf.DUMMYFUNCTION("IFERROR(
  VLOOKUP(
    A74,
    IMPORTRANGE(
      ""1ZHMy3vVUd_0MrSduXTe1etBb1HNpAlGwQr006ljwMiM"",
      ""GSC最新!A:R""
    ),
    14,
    FALSE
  ),
  0
)
"),0.0)</f>
        <v>0</v>
      </c>
      <c r="U74" s="9">
        <f>IFERROR(__xludf.DUMMYFUNCTION("IFERROR(
  VLOOKUP(
    A74,
    IMPORTRANGE(
      ""1ZHMy3vVUd_0MrSduXTe1etBb1HNpAlGwQr006ljwMiM"",
      ""GSC最新!A:R""
    ),
    17,
    FALSE
  ),
  0
)
"),0.057971014492753624)</f>
        <v>0.05797101449</v>
      </c>
      <c r="V74" s="9">
        <f t="shared" ref="V74:W74" si="363">IFERROR(R74-T74,"-")</f>
        <v>0.03333333333</v>
      </c>
      <c r="W74" s="9">
        <f t="shared" si="363"/>
        <v>-0.02912486065</v>
      </c>
      <c r="X74" s="65">
        <f>IFERROR(__xludf.DUMMYFUNCTION("IFERROR(
  VLOOKUP(
    A74,
    IMPORTRANGE(
      ""1ZHMy3vVUd_0MrSduXTe1etBb1HNpAlGwQr006ljwMiM"",
      ""GSC最新!A:R""
    ),
    9,
    FALSE
  ),
  0
)
"),9.233333333333333)</f>
        <v>9.233333333</v>
      </c>
      <c r="Y74" s="65">
        <f>IFERROR(__xludf.DUMMYFUNCTION("IFERROR(
  VLOOKUP(
    A74,
    IMPORTRANGE(
      ""1ZHMy3vVUd_0MrSduXTe1etBb1HNpAlGwQr006ljwMiM"",
      ""GSC最新!A:R""
    ),
    12,
    FALSE
  ),
  0
)
"),8.75)</f>
        <v>8.75</v>
      </c>
      <c r="Z74" s="65">
        <f>IFERROR(__xludf.DUMMYFUNCTION("IFERROR(
  VLOOKUP(
    A74,
    IMPORTRANGE(
      ""1ZHMy3vVUd_0MrSduXTe1etBb1HNpAlGwQr006ljwMiM"",
      ""GSC最新!A:R""
    ),
    15,
    FALSE
  ),
  0
)
"),59.25)</f>
        <v>59.25</v>
      </c>
      <c r="AA74" s="65">
        <f>IFERROR(__xludf.DUMMYFUNCTION("IFERROR(
  VLOOKUP(
    A74,
    IMPORTRANGE(
      ""1ZHMy3vVUd_0MrSduXTe1etBb1HNpAlGwQr006ljwMiM"",
      ""GSC最新!A:R""
    ),
    18,
    FALSE
  ),
  0
)
"),42.15942028985507)</f>
        <v>42.15942029</v>
      </c>
      <c r="AB74" s="65">
        <f t="shared" ref="AB74:AC74" si="364">X74-Z74</f>
        <v>-50.01666667</v>
      </c>
      <c r="AC74" s="65">
        <f t="shared" si="364"/>
        <v>-33.40942029</v>
      </c>
      <c r="AD74" s="53">
        <f>IFERROR(__xludf.DUMMYFUNCTION("IFERROR(
  VLOOKUP(
    A74,
    IMPORTRANGE(
      ""1ZHMy3vVUd_0MrSduXTe1etBb1HNpAlGwQr006ljwMiM"",
      ""GSC最新!A:F""
    ),
    6,
    FALSE
  ),
  0
)
"),46081.0)</f>
        <v>46081</v>
      </c>
      <c r="AE74" s="54">
        <f>IFERROR(__xludf.DUMMYFUNCTION("IFERROR(
  VLOOKUP(
    A74,
    IMPORTRANGE(
      ""1SCYQd7_cobOYqT0r_F0IqD4tE4rYn5y8Eup4PJTH8es"",
      ""Snapshot!A:M""
    ),
    5,
    FALSE
  ),
  ""-""
)
"),6.0)</f>
        <v>6</v>
      </c>
      <c r="AF74" s="54">
        <f>IFERROR(__xludf.DUMMYFUNCTION("IFERROR(
  VLOOKUP(
    A74,
    IMPORTRANGE(
      ""1SCYQd7_cobOYqT0r_F0IqD4tE4rYn5y8Eup4PJTH8es"",
      ""Snapshot!A:M""
    ),
    6,
    FALSE
  ),
  0
)
"),3.0)</f>
        <v>3</v>
      </c>
      <c r="AG74" s="54">
        <f>IFERROR(__xludf.DUMMYFUNCTION("IFERROR(
  VLOOKUP(
    A74,
    IMPORTRANGE(
      ""1SCYQd7_cobOYqT0r_F0IqD4tE4rYn5y8Eup4PJTH8es"",
      ""Snapshot!A:M""
    ),
    7,
    FALSE
  ),
  0
)
"),3314.0)</f>
        <v>3314</v>
      </c>
      <c r="AH74" s="54">
        <f>IFERROR(__xludf.DUMMYFUNCTION("IFERROR(
  VLOOKUP(
    A74,
    IMPORTRANGE(
      ""1SCYQd7_cobOYqT0r_F0IqD4tE4rYn5y8Eup4PJTH8es"",
      ""Snapshot!A:M""
    ),
    8,
    FALSE
  ),
  0
)
"),4.0)</f>
        <v>4</v>
      </c>
      <c r="AI74" s="54">
        <f>IFERROR(__xludf.DUMMYFUNCTION("IFERROR(
  VLOOKUP(
    A74,
    IMPORTRANGE(
      ""1SCYQd7_cobOYqT0r_F0IqD4tE4rYn5y8Eup4PJTH8es"",
      ""Snapshot!A:M""
    ),
    9,
    FALSE
  ),
  0
)
"),4.0)</f>
        <v>4</v>
      </c>
      <c r="AJ74" s="54">
        <f>IFERROR(__xludf.DUMMYFUNCTION("IFERROR(
  VLOOKUP(
    A74,
    IMPORTRANGE(
      ""1SCYQd7_cobOYqT0r_F0IqD4tE4rYn5y8Eup4PJTH8es"",
      ""Snapshot!A:M""
    ),
    13,
    FALSE
  ),
  0
)
"),3.0)</f>
        <v>3</v>
      </c>
      <c r="AK74" s="49">
        <f t="shared" ref="AK74:AL74" si="365">LEN(C74)</f>
        <v>43</v>
      </c>
      <c r="AL74" s="49">
        <f t="shared" si="365"/>
        <v>107</v>
      </c>
    </row>
    <row r="75">
      <c r="A75" s="56" t="s">
        <v>579</v>
      </c>
      <c r="B75" s="1" t="s">
        <v>32</v>
      </c>
      <c r="C75" s="1" t="str">
        <f>IFERROR(__xludf.DUMMYFUNCTION("IFERROR(
  VLOOKUP(
    A75,
    IMPORTRANGE(
      ""1ZygntHC1J6IxzKbTidmOyf5nUyW4GCLurHCjexrLm_o"",
      ""HTMLキャッシュ!A:F""
    ),
    5,
    FALSE
  ),
  0
)
"),"サピックス・小５国語の要点(52B-02) - 受験国語専門 読解ラボ東京 | 中学受験・大学受験対応の個別指導国語専門塾（オンライン・教室対応）")</f>
        <v>サピックス・小５国語の要点(52B-02) - 受験国語専門 読解ラボ東京 | 中学受験・大学受験対応の個別指導国語専門塾（オンライン・教室対応）</v>
      </c>
      <c r="D75" s="1" t="str">
        <f>IFERROR(__xludf.DUMMYFUNCTION("IFERROR(
  VLOOKUP(
    A75,
    IMPORTRANGE(
      ""1ZygntHC1J6IxzKbTidmOyf5nUyW4GCLurHCjexrLm_o        "",
      ""HTMLキャッシュ!A:F""
    ),
    6,
    FALSE
  ),
  0
)
"),"動画を見たあと、下の順番で見直すと、家での復習がスムーズになります。 SAPIX 国語 小5 Bテキスト 52")</f>
        <v>動画を見たあと、下の順番で見直すと、家での復習がスムーズになります。 SAPIX 国語 小5 Bテキスト 52</v>
      </c>
      <c r="E75" s="32">
        <f>IFERROR(__xludf.DUMMYFUNCTION("IFERROR(
  VLOOKUP(
    A75,
    IMPORTRANGE(
      ""1ZygntHC1J6IxzKbTidmOyf5nUyW4GCLurHCjexrLm_o        "",
      ""HTMLキャッシュ!A:F""
    ),
    3,
    FALSE
  ),
  0
)
"),46080.73324074074)</f>
        <v>46080.73324</v>
      </c>
      <c r="F75" s="49">
        <f>IFERROR(__xludf.DUMMYFUNCTION("IFERROR(
  VLOOKUP(
    A75,
    IMPORTRANGE(
      ""1ZHMy3vVUd_0MrSduXTe1etBb1HNpAlGwQr006ljwMiM"",
      ""GSC最新!A:F""
    ),
    2,
    FALSE
  ),
  0
)
"),2.0)</f>
        <v>2</v>
      </c>
      <c r="G75" s="49">
        <f>IFERROR(__xludf.DUMMYFUNCTION("IFERROR(
  VLOOKUP(
    A75,
    IMPORTRANGE(
      ""1ZHMy3vVUd_0MrSduXTe1etBb1HNpAlGwQr006ljwMiM"",
      ""GSC最新!A:F""
    ),
    3,
    FALSE
  ),
  0
)
"),3.0)</f>
        <v>3</v>
      </c>
      <c r="H75" s="49">
        <f>IFERROR(__xludf.DUMMYFUNCTION("IFERROR(
  VLOOKUP(
    A75,
    IMPORTRANGE(
      ""1ZHMy3vVUd_0MrSduXTe1etBb1HNpAlGwQr006ljwMiM"",
      ""GSC最新!A:F""
    ),
    4,
    FALSE
  ),
  0
)
"),0.0)</f>
        <v>0</v>
      </c>
      <c r="I75" s="49">
        <f>IFERROR(__xludf.DUMMYFUNCTION("IFERROR(
  VLOOKUP(
    A75,
    IMPORTRANGE(
      ""1ZHMy3vVUd_0MrSduXTe1etBb1HNpAlGwQr006ljwMiM"",
      ""GSC最新!A:F""
    ),
    5,
    FALSE
  ),
  0
)
"),0.0)</f>
        <v>0</v>
      </c>
      <c r="J75" s="50" t="str">
        <f t="shared" ref="J75:K75" si="366">IFERROR(F75/H75,"-")</f>
        <v>-</v>
      </c>
      <c r="K75" s="50" t="str">
        <f t="shared" si="366"/>
        <v>-</v>
      </c>
      <c r="L75" s="6">
        <f>IFERROR(__xludf.DUMMYFUNCTION("IFERROR(
  VLOOKUP(
    A75,
    IMPORTRANGE(
      ""1ZHMy3vVUd_0MrSduXTe1etBb1HNpAlGwQr006ljwMiM"",
      ""GSC最新!A:R""
    ),
    7,
    FALSE
  ),
  0
)
"),12.0)</f>
        <v>12</v>
      </c>
      <c r="M75" s="6">
        <f>IFERROR(__xludf.DUMMYFUNCTION("IFERROR(
  VLOOKUP(
    A75,
    IMPORTRANGE(
      ""1ZHMy3vVUd_0MrSduXTe1etBb1HNpAlGwQr006ljwMiM"",
      ""GSC最新!A:R""
    ),
    10,
    FALSE
  ),
  0
)
"),17.0)</f>
        <v>17</v>
      </c>
      <c r="N75" s="6">
        <f>IFERROR(__xludf.DUMMYFUNCTION("IFERROR(
  VLOOKUP(
    A75,
    IMPORTRANGE(
      ""1ZHMy3vVUd_0MrSduXTe1etBb1HNpAlGwQr006ljwMiM"",
      ""GSC最新!A:R""
    ),
    13,
    FALSE
  ),
  0
)
"),0.0)</f>
        <v>0</v>
      </c>
      <c r="O75" s="6">
        <f>IFERROR(__xludf.DUMMYFUNCTION("IFERROR(
  VLOOKUP(
    A75,
    IMPORTRANGE(
      ""1ZHMy3vVUd_0MrSduXTe1etBb1HNpAlGwQr006ljwMiM"",
      ""GSC最新!A:R""
    ),
    16,
    FALSE
  ),
  0
)
"),0.0)</f>
        <v>0</v>
      </c>
      <c r="P75" s="51" t="str">
        <f t="shared" ref="P75:Q75" si="367">IFERROR(L75/N75,"-")</f>
        <v>-</v>
      </c>
      <c r="Q75" s="51" t="str">
        <f t="shared" si="367"/>
        <v>-</v>
      </c>
      <c r="R75" s="9">
        <f>IFERROR(__xludf.DUMMYFUNCTION("IFERROR(
  VLOOKUP(
    A75,
    IMPORTRANGE(
      ""1ZHMy3vVUd_0MrSduXTe1etBb1HNpAlGwQr006ljwMiM"",
      ""GSC最新!A:R""
    ),
    8,
    FALSE
  ),
  0
)
"),0.16666666666666666)</f>
        <v>0.1666666667</v>
      </c>
      <c r="S75" s="9">
        <f>IFERROR(__xludf.DUMMYFUNCTION("IFERROR(
  VLOOKUP(
    A75,
    IMPORTRANGE(
      ""1ZHMy3vVUd_0MrSduXTe1etBb1HNpAlGwQr006ljwMiM"",
      ""GSC最新!A:R""
    ),
    11,
    FALSE
  ),
  0
)
"),0.17647058823529413)</f>
        <v>0.1764705882</v>
      </c>
      <c r="T75" s="9">
        <f>IFERROR(__xludf.DUMMYFUNCTION("IFERROR(
  VLOOKUP(
    A75,
    IMPORTRANGE(
      ""1ZHMy3vVUd_0MrSduXTe1etBb1HNpAlGwQr006ljwMiM"",
      ""GSC最新!A:R""
    ),
    14,
    FALSE
  ),
  0
)
"),0.0)</f>
        <v>0</v>
      </c>
      <c r="U75" s="9">
        <f>IFERROR(__xludf.DUMMYFUNCTION("IFERROR(
  VLOOKUP(
    A75,
    IMPORTRANGE(
      ""1ZHMy3vVUd_0MrSduXTe1etBb1HNpAlGwQr006ljwMiM"",
      ""GSC最新!A:R""
    ),
    17,
    FALSE
  ),
  0
)
"),0.0)</f>
        <v>0</v>
      </c>
      <c r="V75" s="9">
        <f t="shared" ref="V75:W75" si="368">IFERROR(R75-T75,"-")</f>
        <v>0.1666666667</v>
      </c>
      <c r="W75" s="9">
        <f t="shared" si="368"/>
        <v>0.1764705882</v>
      </c>
      <c r="X75" s="65">
        <f>IFERROR(__xludf.DUMMYFUNCTION("IFERROR(
  VLOOKUP(
    A75,
    IMPORTRANGE(
      ""1ZHMy3vVUd_0MrSduXTe1etBb1HNpAlGwQr006ljwMiM"",
      ""GSC最新!A:R""
    ),
    9,
    FALSE
  ),
  0
)
"),1.5833333333333335)</f>
        <v>1.583333333</v>
      </c>
      <c r="Y75" s="65">
        <f>IFERROR(__xludf.DUMMYFUNCTION("IFERROR(
  VLOOKUP(
    A75,
    IMPORTRANGE(
      ""1ZHMy3vVUd_0MrSduXTe1etBb1HNpAlGwQr006ljwMiM"",
      ""GSC最新!A:R""
    ),
    12,
    FALSE
  ),
  0
)
"),2.9411764705882355)</f>
        <v>2.941176471</v>
      </c>
      <c r="Z75" s="65" t="str">
        <f>IFERROR(__xludf.DUMMYFUNCTION("IFERROR(
  VLOOKUP(
    A75,
    IMPORTRANGE(
      ""1ZHMy3vVUd_0MrSduXTe1etBb1HNpAlGwQr006ljwMiM"",
      ""GSC最新!A:R""
    ),
    15,
    FALSE
  ),
  0
)
"),"")</f>
        <v/>
      </c>
      <c r="AA75" s="65" t="str">
        <f>IFERROR(__xludf.DUMMYFUNCTION("IFERROR(
  VLOOKUP(
    A75,
    IMPORTRANGE(
      ""1ZHMy3vVUd_0MrSduXTe1etBb1HNpAlGwQr006ljwMiM"",
      ""GSC最新!A:R""
    ),
    18,
    FALSE
  ),
  0
)
"),"")</f>
        <v/>
      </c>
      <c r="AB75" s="65">
        <f t="shared" ref="AB75:AC75" si="369">X75-Z75</f>
        <v>1.583333333</v>
      </c>
      <c r="AC75" s="65">
        <f t="shared" si="369"/>
        <v>2.941176471</v>
      </c>
      <c r="AD75" s="53">
        <f>IFERROR(__xludf.DUMMYFUNCTION("IFERROR(
  VLOOKUP(
    A75,
    IMPORTRANGE(
      ""1ZHMy3vVUd_0MrSduXTe1etBb1HNpAlGwQr006ljwMiM"",
      ""GSC最新!A:F""
    ),
    6,
    FALSE
  ),
  0
)
"),46081.0)</f>
        <v>46081</v>
      </c>
      <c r="AE75" s="54">
        <f>IFERROR(__xludf.DUMMYFUNCTION("IFERROR(
  VLOOKUP(
    A75,
    IMPORTRANGE(
      ""1SCYQd7_cobOYqT0r_F0IqD4tE4rYn5y8Eup4PJTH8es"",
      ""Snapshot!A:M""
    ),
    5,
    FALSE
  ),
  ""-""
)
"),6.0)</f>
        <v>6</v>
      </c>
      <c r="AF75" s="54">
        <f>IFERROR(__xludf.DUMMYFUNCTION("IFERROR(
  VLOOKUP(
    A75,
    IMPORTRANGE(
      ""1SCYQd7_cobOYqT0r_F0IqD4tE4rYn5y8Eup4PJTH8es"",
      ""Snapshot!A:M""
    ),
    6,
    FALSE
  ),
  0
)
"),10.0)</f>
        <v>10</v>
      </c>
      <c r="AG75" s="54">
        <f>IFERROR(__xludf.DUMMYFUNCTION("IFERROR(
  VLOOKUP(
    A75,
    IMPORTRANGE(
      ""1SCYQd7_cobOYqT0r_F0IqD4tE4rYn5y8Eup4PJTH8es"",
      ""Snapshot!A:M""
    ),
    7,
    FALSE
  ),
  0
)
"),1961.0)</f>
        <v>1961</v>
      </c>
      <c r="AH75" s="54">
        <f>IFERROR(__xludf.DUMMYFUNCTION("IFERROR(
  VLOOKUP(
    A75,
    IMPORTRANGE(
      ""1SCYQd7_cobOYqT0r_F0IqD4tE4rYn5y8Eup4PJTH8es"",
      ""Snapshot!A:M""
    ),
    8,
    FALSE
  ),
  0
)
"),3.0)</f>
        <v>3</v>
      </c>
      <c r="AI75" s="54">
        <f>IFERROR(__xludf.DUMMYFUNCTION("IFERROR(
  VLOOKUP(
    A75,
    IMPORTRANGE(
      ""1SCYQd7_cobOYqT0r_F0IqD4tE4rYn5y8Eup4PJTH8es"",
      ""Snapshot!A:M""
    ),
    9,
    FALSE
  ),
  0
)
"),3.0)</f>
        <v>3</v>
      </c>
      <c r="AJ75" s="54">
        <f>IFERROR(__xludf.DUMMYFUNCTION("IFERROR(
  VLOOKUP(
    A75,
    IMPORTRANGE(
      ""1SCYQd7_cobOYqT0r_F0IqD4tE4rYn5y8Eup4PJTH8es"",
      ""Snapshot!A:M""
    ),
    13,
    FALSE
  ),
  0
)
"),3.0)</f>
        <v>3</v>
      </c>
      <c r="AK75" s="49">
        <f t="shared" ref="AK75:AL75" si="370">LEN(C75)</f>
        <v>73</v>
      </c>
      <c r="AL75" s="49">
        <f t="shared" si="370"/>
        <v>55</v>
      </c>
    </row>
    <row r="76">
      <c r="A76" s="3" t="s">
        <v>580</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"),"小６国語直前期の優先順位｜捨てる勉強と残す勉強｜中学受験")</f>
        <v>小６国語直前期の優先順位｜捨てる勉強と残す勉強｜中学受験</v>
      </c>
      <c r="D76" s="1" t="str">
        <f>IFERROR(__xludf.DUMMYFUNCTION("IFERROR(
  VLOOKUP(
    A76,
    IMPORTRANGE(
      ""1ZygntHC1J6IxzKbTidmOyf5nUyW4GCLurHCjexrLm_o        "",
      ""HTMLキャッシュ!A:F""
    ),
    6,
    FALSE
  ),
  0
)
"),"小６国語で今やること／後回しを時期別に整理。読解・記述・語彙漢字・時間配分の優先度、算理社の配分目安、親が見る進捗サインまで具体化。")</f>
        <v>小６国語で今やること／後回しを時期別に整理。読解・記述・語彙漢字・時間配分の優先度、算理社の配分目安、親が見る進捗サインまで具体化。</v>
      </c>
      <c r="E76" s="32">
        <f>IFERROR(__xludf.DUMMYFUNCTION("IFERROR(
  VLOOKUP(
    A76,
    IMPORTRANGE(
      ""1ZygntHC1J6IxzKbTidmOyf5nUyW4GCLurHCjexrLm_o        "",
      ""HTMLキャッシュ!A:F""
    ),
    3,
    FALSE
  ),
  0
)
"),46080.78876157408)</f>
        <v>46080.78876</v>
      </c>
      <c r="F76" s="49">
        <f>IFERROR(__xludf.DUMMYFUNCTION("IFERROR(
  VLOOKUP(
    A76,
    IMPORTRANGE(
      ""1ZHMy3vVUd_0MrSduXTe1etBb1HNpAlGwQr006ljwMiM"",
      ""GSC最新!A:F""
    ),
    2,
    FALSE
  ),
  0
)
"),0.0)</f>
        <v>0</v>
      </c>
      <c r="G76" s="49">
        <f>IFERROR(__xludf.DUMMYFUNCTION("IFERROR(
  VLOOKUP(
    A76,
    IMPORTRANGE(
      ""1ZHMy3vVUd_0MrSduXTe1etBb1HNpAlGwQr006ljwMiM"",
      ""GSC最新!A:F""
    ),
    3,
    FALSE
  ),
  0
)
"),3.0)</f>
        <v>3</v>
      </c>
      <c r="H76" s="49">
        <f>IFERROR(__xludf.DUMMYFUNCTION("IFERROR(
  VLOOKUP(
    A76,
    IMPORTRANGE(
      ""1ZHMy3vVUd_0MrSduXTe1etBb1HNpAlGwQr006ljwMiM"",
      ""GSC最新!A:F""
    ),
    4,
    FALSE
  ),
  0
)
"),0.0)</f>
        <v>0</v>
      </c>
      <c r="I76" s="49">
        <f>IFERROR(__xludf.DUMMYFUNCTION("IFERROR(
  VLOOKUP(
    A76,
    IMPORTRANGE(
      ""1ZHMy3vVUd_0MrSduXTe1etBb1HNpAlGwQr006ljwMiM"",
      ""GSC最新!A:F""
    ),
    5,
    FALSE
  ),
  0
)
"),0.0)</f>
        <v>0</v>
      </c>
      <c r="J76" s="50" t="str">
        <f t="shared" ref="J76:K76" si="371">IFERROR(F76/H76,"-")</f>
        <v>-</v>
      </c>
      <c r="K76" s="50" t="str">
        <f t="shared" si="371"/>
        <v>-</v>
      </c>
      <c r="L76" s="6">
        <f>IFERROR(__xludf.DUMMYFUNCTION("IFERROR(
  VLOOKUP(
    A76,
    IMPORTRANGE(
      ""1ZHMy3vVUd_0MrSduXTe1etBb1HNpAlGwQr006ljwMiM"",
      ""GSC最新!A:R""
    ),
    7,
    FALSE
  ),
  0
)
"),143.0)</f>
        <v>143</v>
      </c>
      <c r="M76" s="6">
        <f>IFERROR(__xludf.DUMMYFUNCTION("IFERROR(
  VLOOKUP(
    A76,
    IMPORTRANGE(
      ""1ZHMy3vVUd_0MrSduXTe1etBb1HNpAlGwQr006ljwMiM"",
      ""GSC最新!A:R""
    ),
    10,
    FALSE
  ),
  0
)
"),303.0)</f>
        <v>303</v>
      </c>
      <c r="N76" s="6">
        <f>IFERROR(__xludf.DUMMYFUNCTION("IFERROR(
  VLOOKUP(
    A76,
    IMPORTRANGE(
      ""1ZHMy3vVUd_0MrSduXTe1etBb1HNpAlGwQr006ljwMiM"",
      ""GSC最新!A:R""
    ),
    13,
    FALSE
  ),
  0
)
"),0.0)</f>
        <v>0</v>
      </c>
      <c r="O76" s="6">
        <f>IFERROR(__xludf.DUMMYFUNCTION("IFERROR(
  VLOOKUP(
    A76,
    IMPORTRANGE(
      ""1ZHMy3vVUd_0MrSduXTe1etBb1HNpAlGwQr006ljwMiM"",
      ""GSC最新!A:R""
    ),
    16,
    FALSE
  ),
  0
)
"),0.0)</f>
        <v>0</v>
      </c>
      <c r="P76" s="51" t="str">
        <f t="shared" ref="P76:Q76" si="372">IFERROR(L76/N76,"-")</f>
        <v>-</v>
      </c>
      <c r="Q76" s="51" t="str">
        <f t="shared" si="372"/>
        <v>-</v>
      </c>
      <c r="R76" s="9">
        <f>IFERROR(__xludf.DUMMYFUNCTION("IFERROR(
  VLOOKUP(
    A76,
    IMPORTRANGE(
      ""1ZHMy3vVUd_0MrSduXTe1etBb1HNpAlGwQr006ljwMiM"",
      ""GSC最新!A:R""
    ),
    8,
    FALSE
  ),
  0
)
"),0.0)</f>
        <v>0</v>
      </c>
      <c r="S76" s="9">
        <f>IFERROR(__xludf.DUMMYFUNCTION("IFERROR(
  VLOOKUP(
    A76,
    IMPORTRANGE(
      ""1ZHMy3vVUd_0MrSduXTe1etBb1HNpAlGwQr006ljwMiM"",
      ""GSC最新!A:R""
    ),
    11,
    FALSE
  ),
  0
)
"),0.009900990099009901)</f>
        <v>0.009900990099</v>
      </c>
      <c r="T76" s="9">
        <f>IFERROR(__xludf.DUMMYFUNCTION("IFERROR(
  VLOOKUP(
    A76,
    IMPORTRANGE(
      ""1ZHMy3vVUd_0MrSduXTe1etBb1HNpAlGwQr006ljwMiM"",
      ""GSC最新!A:R""
    ),
    14,
    FALSE
  ),
  0
)
"),0.0)</f>
        <v>0</v>
      </c>
      <c r="U76" s="9">
        <f>IFERROR(__xludf.DUMMYFUNCTION("IFERROR(
  VLOOKUP(
    A76,
    IMPORTRANGE(
      ""1ZHMy3vVUd_0MrSduXTe1etBb1HNpAlGwQr006ljwMiM"",
      ""GSC最新!A:R""
    ),
    17,
    FALSE
  ),
  0
)
"),0.0)</f>
        <v>0</v>
      </c>
      <c r="V76" s="9">
        <f t="shared" ref="V76:W76" si="373">IFERROR(R76-T76,"-")</f>
        <v>0</v>
      </c>
      <c r="W76" s="9">
        <f t="shared" si="373"/>
        <v>0.009900990099</v>
      </c>
      <c r="X76" s="65">
        <f>IFERROR(__xludf.DUMMYFUNCTION("IFERROR(
  VLOOKUP(
    A76,
    IMPORTRANGE(
      ""1ZHMy3vVUd_0MrSduXTe1etBb1HNpAlGwQr006ljwMiM"",
      ""GSC最新!A:R""
    ),
    9,
    FALSE
  ),
  0
)
"),7.258741258741258)</f>
        <v>7.258741259</v>
      </c>
      <c r="Y76" s="65">
        <f>IFERROR(__xludf.DUMMYFUNCTION("IFERROR(
  VLOOKUP(
    A76,
    IMPORTRANGE(
      ""1ZHMy3vVUd_0MrSduXTe1etBb1HNpAlGwQr006ljwMiM"",
      ""GSC最新!A:R""
    ),
    12,
    FALSE
  ),
  0
)
"),6.98019801980198)</f>
        <v>6.98019802</v>
      </c>
      <c r="Z76" s="65" t="str">
        <f>IFERROR(__xludf.DUMMYFUNCTION("IFERROR(
  VLOOKUP(
    A76,
    IMPORTRANGE(
      ""1ZHMy3vVUd_0MrSduXTe1etBb1HNpAlGwQr006ljwMiM"",
      ""GSC最新!A:R""
    ),
    15,
    FALSE
  ),
  0
)
"),"")</f>
        <v/>
      </c>
      <c r="AA76" s="65" t="str">
        <f>IFERROR(__xludf.DUMMYFUNCTION("IFERROR(
  VLOOKUP(
    A76,
    IMPORTRANGE(
      ""1ZHMy3vVUd_0MrSduXTe1etBb1HNpAlGwQr006ljwMiM"",
      ""GSC最新!A:R""
    ),
    18,
    FALSE
  ),
  0
)
"),"")</f>
        <v/>
      </c>
      <c r="AB76" s="65">
        <f t="shared" ref="AB76:AC76" si="374">X76-Z76</f>
        <v>7.258741259</v>
      </c>
      <c r="AC76" s="65">
        <f t="shared" si="374"/>
        <v>6.98019802</v>
      </c>
      <c r="AD76" s="53">
        <f>IFERROR(__xludf.DUMMYFUNCTION("IFERROR(
  VLOOKUP(
    A76,
    IMPORTRANGE(
      ""1ZHMy3vVUd_0MrSduXTe1etBb1HNpAlGwQr006ljwMiM"",
      ""GSC最新!A:F""
    ),
    6,
    FALSE
  ),
  0
)
"),46081.0)</f>
        <v>46081</v>
      </c>
      <c r="AE76" s="54">
        <f>IFERROR(__xludf.DUMMYFUNCTION("IFERROR(
  VLOOKUP(
    A76,
    IMPORTRANGE(
      ""1SCYQd7_cobOYqT0r_F0IqD4tE4rYn5y8Eup4PJTH8es"",
      ""Snapshot!A:M""
    ),
    5,
    FALSE
  ),
  ""-""
)
"),16.0)</f>
        <v>16</v>
      </c>
      <c r="AF76" s="54">
        <f>IFERROR(__xludf.DUMMYFUNCTION("IFERROR(
  VLOOKUP(
    A76,
    IMPORTRANGE(
      ""1SCYQd7_cobOYqT0r_F0IqD4tE4rYn5y8Eup4PJTH8es"",
      ""Snapshot!A:M""
    ),
    6,
    FALSE
  ),
  0
)
"),16.0)</f>
        <v>16</v>
      </c>
      <c r="AG76" s="54">
        <f>IFERROR(__xludf.DUMMYFUNCTION("IFERROR(
  VLOOKUP(
    A76,
    IMPORTRANGE(
      ""1SCYQd7_cobOYqT0r_F0IqD4tE4rYn5y8Eup4PJTH8es"",
      ""Snapshot!A:M""
    ),
    7,
    FALSE
  ),
  0
)
"),7372.0)</f>
        <v>7372</v>
      </c>
      <c r="AH76" s="54">
        <f>IFERROR(__xludf.DUMMYFUNCTION("IFERROR(
  VLOOKUP(
    A76,
    IMPORTRANGE(
      ""1SCYQd7_cobOYqT0r_F0IqD4tE4rYn5y8Eup4PJTH8es"",
      ""Snapshot!A:M""
    ),
    8,
    FALSE
  ),
  0
)
"),7.0)</f>
        <v>7</v>
      </c>
      <c r="AI76" s="54">
        <f>IFERROR(__xludf.DUMMYFUNCTION("IFERROR(
  VLOOKUP(
    A76,
    IMPORTRANGE(
      ""1SCYQd7_cobOYqT0r_F0IqD4tE4rYn5y8Eup4PJTH8es"",
      ""Snapshot!A:M""
    ),
    9,
    FALSE
  ),
  0
)
"),3.0)</f>
        <v>3</v>
      </c>
      <c r="AJ76" s="54">
        <f>IFERROR(__xludf.DUMMYFUNCTION("IFERROR(
  VLOOKUP(
    A76,
    IMPORTRANGE(
      ""1SCYQd7_cobOYqT0r_F0IqD4tE4rYn5y8Eup4PJTH8es"",
      ""Snapshot!A:M""
    ),
    13,
    FALSE
  ),
  0
)
"),3.0)</f>
        <v>3</v>
      </c>
      <c r="AK76" s="49">
        <f t="shared" ref="AK76:AL76" si="375">LEN(C76)</f>
        <v>28</v>
      </c>
      <c r="AL76" s="49">
        <f t="shared" si="375"/>
        <v>66</v>
      </c>
    </row>
    <row r="77">
      <c r="A77" s="3" t="s">
        <v>581</v>
      </c>
      <c r="B77" s="1" t="str">
        <f>IFERROR(__xludf.DUMMYFUNCTION("IFERROR(
  VLOOKUP(
    A77,
    IMPORTRANGE(
      ""1ZygntHC1J6IxzKbTidmOyf5nUyW4GCLurHCjexrLm_o"",
      ""HTMLキャッシュ!A:F""
    ),
    2,
    FALSE
  ),
  0
)
"),"MC")</f>
        <v>MC</v>
      </c>
      <c r="C77" s="1" t="str">
        <f>IFERROR(__xludf.DUMMYFUNCTION("IFERROR(
  VLOOKUP(
    A77,
    IMPORTRANGE(
      ""1ZygntHC1J6IxzKbTidmOyf5nUyW4GCLurHCjexrLm_o"",
      ""HTMLキャッシュ!A:F""
    ),
    5,
    FALSE
  ),
  0
)
"),"筑波大学付属駒場中学校・令和３(2021)年度の過去問解説 - 受験国語専門 読解ラボ東京 | 中学受験・大学受験対応の個別指導国語専門塾（オンライン・教室対応）")</f>
        <v>筑波大学付属駒場中学校・令和３(2021)年度の過去問解説 - 受験国語専門 読解ラボ東京 | 中学受験・大学受験対応の個別指導国語専門塾（オンライン・教室対応）</v>
      </c>
      <c r="D77" s="1" t="str">
        <f>IFERROR(__xludf.DUMMYFUNCTION("IFERROR(
  VLOOKUP(
    A77,
    IMPORTRANGE(
      ""1ZygntHC1J6IxzKbTidmOyf5nUyW4GCLurHCjexrLm_o        "",
      ""HTMLキャッシュ!A:F""
    ),
    6,
    FALSE
  ),
  0
)
"),"筑波大学付属駒場中学校・令和３年度厳選解説動画 令和３年度 筑波大学附属駒場中学校の入試より、厳選した問題とそ")</f>
        <v>筑波大学付属駒場中学校・令和３年度厳選解説動画 令和３年度 筑波大学附属駒場中学校の入試より、厳選した問題とそ</v>
      </c>
      <c r="E77" s="32">
        <f>IFERROR(__xludf.DUMMYFUNCTION("IFERROR(
  VLOOKUP(
    A77,
    IMPORTRANGE(
      ""1ZygntHC1J6IxzKbTidmOyf5nUyW4GCLurHCjexrLm_o        "",
      ""HTMLキャッシュ!A:F""
    ),
    3,
    FALSE
  ),
  0
)
"),46045.739907407406)</f>
        <v>46045.73991</v>
      </c>
      <c r="F77" s="49">
        <f>IFERROR(__xludf.DUMMYFUNCTION("IFERROR(
  VLOOKUP(
    A77,
    IMPORTRANGE(
      ""1ZHMy3vVUd_0MrSduXTe1etBb1HNpAlGwQr006ljwMiM"",
      ""GSC最新!A:F""
    ),
    2,
    FALSE
  ),
  0
)
"),1.0)</f>
        <v>1</v>
      </c>
      <c r="G77" s="49">
        <f>IFERROR(__xludf.DUMMYFUNCTION("IFERROR(
  VLOOKUP(
    A77,
    IMPORTRANGE(
      ""1ZHMy3vVUd_0MrSduXTe1etBb1HNpAlGwQr006ljwMiM"",
      ""GSC最新!A:F""
    ),
    3,
    FALSE
  ),
  0
)
"),3.0)</f>
        <v>3</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"),0.0)</f>
        <v>0</v>
      </c>
      <c r="J77" s="50" t="str">
        <f t="shared" ref="J77:K77" si="376">IFERROR(F77/H77,"-")</f>
        <v>-</v>
      </c>
      <c r="K77" s="50" t="str">
        <f t="shared" si="376"/>
        <v>-</v>
      </c>
      <c r="L77" s="6">
        <f>IFERROR(__xludf.DUMMYFUNCTION("IFERROR(
  VLOOKUP(
    A77,
    IMPORTRANGE(
      ""1ZHMy3vVUd_0MrSduXTe1etBb1HNpAlGwQr006ljwMiM"",
      ""GSC最新!A:R""
    ),
    7,
    FALSE
  ),
  0
)
"),32.0)</f>
        <v>32</v>
      </c>
      <c r="M77" s="6">
        <f>IFERROR(__xludf.DUMMYFUNCTION("IFERROR(
  VLOOKUP(
    A77,
    IMPORTRANGE(
      ""1ZHMy3vVUd_0MrSduXTe1etBb1HNpAlGwQr006ljwMiM"",
      ""GSC最新!A:R""
    ),
    10,
    FALSE
  ),
  0
)
"),81.0)</f>
        <v>81</v>
      </c>
      <c r="N77" s="6">
        <f>IFERROR(__xludf.DUMMYFUNCTION("IFERROR(
  VLOOKUP(
    A77,
    IMPORTRANGE(
      ""1ZHMy3vVUd_0MrSduXTe1etBb1HNpAlGwQr006ljwMiM"",
      ""GSC最新!A:R""
    ),
    13,
    FALSE
  ),
  0
)
"),0.0)</f>
        <v>0</v>
      </c>
      <c r="O77" s="6">
        <f>IFERROR(__xludf.DUMMYFUNCTION("IFERROR(
  VLOOKUP(
    A77,
    IMPORTRANGE(
      ""1ZHMy3vVUd_0MrSduXTe1etBb1HNpAlGwQr006ljwMiM"",
      ""GSC最新!A:R""
    ),
    16,
    FALSE
  ),
  0
)
"),1.0)</f>
        <v>1</v>
      </c>
      <c r="P77" s="51" t="str">
        <f t="shared" ref="P77:Q77" si="377">IFERROR(L77/N77,"-")</f>
        <v>-</v>
      </c>
      <c r="Q77" s="51">
        <f t="shared" si="377"/>
        <v>81</v>
      </c>
      <c r="R77" s="9">
        <f>IFERROR(__xludf.DUMMYFUNCTION("IFERROR(
  VLOOKUP(
    A77,
    IMPORTRANGE(
      ""1ZHMy3vVUd_0MrSduXTe1etBb1HNpAlGwQr006ljwMiM"",
      ""GSC最新!A:R""
    ),
    8,
    FALSE
  ),
  0
)
"),0.03125)</f>
        <v>0.03125</v>
      </c>
      <c r="S77" s="9">
        <f>IFERROR(__xludf.DUMMYFUNCTION("IFERROR(
  VLOOKUP(
    A77,
    IMPORTRANGE(
      ""1ZHMy3vVUd_0MrSduXTe1etBb1HNpAlGwQr006ljwMiM"",
      ""GSC最新!A:R""
    ),
    11,
    FALSE
  ),
  0
)
"),0.037037037037037035)</f>
        <v>0.03703703704</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f>
        <v>0</v>
      </c>
      <c r="V77" s="9">
        <f t="shared" ref="V77:W77" si="378">IFERROR(R77-T77,"-")</f>
        <v>0.03125</v>
      </c>
      <c r="W77" s="9">
        <f t="shared" si="378"/>
        <v>0.03703703704</v>
      </c>
      <c r="X77" s="65">
        <f>IFERROR(__xludf.DUMMYFUNCTION("IFERROR(
  VLOOKUP(
    A77,
    IMPORTRANGE(
      ""1ZHMy3vVUd_0MrSduXTe1etBb1HNpAlGwQr006ljwMiM"",
      ""GSC最新!A:R""
    ),
    9,
    FALSE
  ),
  0
)
"),12.125)</f>
        <v>12.125</v>
      </c>
      <c r="Y77" s="65">
        <f>IFERROR(__xludf.DUMMYFUNCTION("IFERROR(
  VLOOKUP(
    A77,
    IMPORTRANGE(
      ""1ZHMy3vVUd_0MrSduXTe1etBb1HNpAlGwQr006ljwMiM"",
      ""GSC最新!A:R""
    ),
    12,
    FALSE
  ),
  0
)
"),11.654320987654321)</f>
        <v>11.65432099</v>
      </c>
      <c r="Z77" s="65" t="str">
        <f>IFERROR(__xludf.DUMMYFUNCTION("IFERROR(
  VLOOKUP(
    A77,
    IMPORTRANGE(
      ""1ZHMy3vVUd_0MrSduXTe1etBb1HNpAlGwQr006ljwMiM"",
      ""GSC最新!A:R""
    ),
    15,
    FALSE
  ),
  0
)
"),"")</f>
        <v/>
      </c>
      <c r="AA77" s="65">
        <f>IFERROR(__xludf.DUMMYFUNCTION("IFERROR(
  VLOOKUP(
    A77,
    IMPORTRANGE(
      ""1ZHMy3vVUd_0MrSduXTe1etBb1HNpAlGwQr006ljwMiM"",
      ""GSC最新!A:R""
    ),
    18,
    FALSE
  ),
  0
)
"),10.0)</f>
        <v>10</v>
      </c>
      <c r="AB77" s="65">
        <f t="shared" ref="AB77:AC77" si="379">X77-Z77</f>
        <v>12.125</v>
      </c>
      <c r="AC77" s="65">
        <f t="shared" si="379"/>
        <v>1.654320988</v>
      </c>
      <c r="AD77" s="53">
        <f>IFERROR(__xludf.DUMMYFUNCTION("IFERROR(
  VLOOKUP(
    A77,
    IMPORTRANGE(
      ""1ZHMy3vVUd_0MrSduXTe1etBb1HNpAlGwQr006ljwMiM"",
      ""GSC最新!A:F""
    ),
    6,
    FALSE
  ),
  0
)
"),46081.0)</f>
        <v>46081</v>
      </c>
      <c r="AE77" s="54">
        <f>IFERROR(__xludf.DUMMYFUNCTION("IFERROR(
  VLOOKUP(
    A77,
    IMPORTRANGE(
      ""1SCYQd7_cobOYqT0r_F0IqD4tE4rYn5y8Eup4PJTH8es"",
      ""Snapshot!A:M""
    ),
    5,
    FALSE
  ),
  ""-""
)
"),1.0)</f>
        <v>1</v>
      </c>
      <c r="AF77" s="54">
        <f>IFERROR(__xludf.DUMMYFUNCTION("IFERROR(
  VLOOKUP(
    A77,
    IMPORTRANGE(
      ""1SCYQd7_cobOYqT0r_F0IqD4tE4rYn5y8Eup4PJTH8es"",
      ""Snapshot!A:M""
    ),
    6,
    FALSE
  ),
  0
)
"),2.0)</f>
        <v>2</v>
      </c>
      <c r="AG77" s="54">
        <f>IFERROR(__xludf.DUMMYFUNCTION("IFERROR(
  VLOOKUP(
    A77,
    IMPORTRANGE(
      ""1SCYQd7_cobOYqT0r_F0IqD4tE4rYn5y8Eup4PJTH8es"",
      ""Snapshot!A:M""
    ),
    7,
    FALSE
  ),
  0
)
"),1274.0)</f>
        <v>1274</v>
      </c>
      <c r="AH77" s="54">
        <f>IFERROR(__xludf.DUMMYFUNCTION("IFERROR(
  VLOOKUP(
    A77,
    IMPORTRANGE(
      ""1SCYQd7_cobOYqT0r_F0IqD4tE4rYn5y8Eup4PJTH8es"",
      ""Snapshot!A:M""
    ),
    8,
    FALSE
  ),
  0
)
"),1.0)</f>
        <v>1</v>
      </c>
      <c r="AI77" s="54">
        <f>IFERROR(__xludf.DUMMYFUNCTION("IFERROR(
  VLOOKUP(
    A77,
    IMPORTRANGE(
      ""1SCYQd7_cobOYqT0r_F0IqD4tE4rYn5y8Eup4PJTH8es"",
      ""Snapshot!A:M""
    ),
    9,
    FALSE
  ),
  0
)
"),1.0)</f>
        <v>1</v>
      </c>
      <c r="AJ77" s="54">
        <f>IFERROR(__xludf.DUMMYFUNCTION("IFERROR(
  VLOOKUP(
    A77,
    IMPORTRANGE(
      ""1SCYQd7_cobOYqT0r_F0IqD4tE4rYn5y8Eup4PJTH8es"",
      ""Snapshot!A:M""
    ),
    13,
    FALSE
  ),
  0
)
"),3.0)</f>
        <v>3</v>
      </c>
      <c r="AK77" s="49">
        <f t="shared" ref="AK77:AL77" si="380">LEN(C77)</f>
        <v>81</v>
      </c>
      <c r="AL77" s="49">
        <f t="shared" si="380"/>
        <v>55</v>
      </c>
    </row>
    <row r="78">
      <c r="A78" s="3" t="s">
        <v>582</v>
      </c>
      <c r="B78" s="1" t="str">
        <f>IFERROR(__xludf.DUMMYFUNCTION("IFERROR(
  VLOOKUP(
    A78,
    IMPORTRANGE(
      ""1ZygntHC1J6IxzKbTidmOyf5nUyW4GCLurHCjexrLm_o"",
      ""HTMLキャッシュ!A:F""
    ),
    2,
    FALSE
  ),
  0
)
"),"SC")</f>
        <v>SC</v>
      </c>
      <c r="C78" s="1" t="str">
        <f>IFERROR(__xludf.DUMMYFUNCTION("IFERROR(
  VLOOKUP(
    A78,
    IMPORTRANGE(
      ""1ZygntHC1J6IxzKbTidmOyf5nUyW4GCLurHCjexrLm_o"",
      ""HTMLキャッシュ!A:F""
    ),
    5,
    FALSE
  ),
  0
)
"),"言い換え・対比・因果がつかめない子のための読み方トレーニング - 受験国語専門 読解ラボ東京 | 中学受験・大学受験対応の個別指導国語専門塾（オンライン・教室対応）")</f>
        <v>言い換え・対比・因果がつかめない子のための読み方トレーニング - 受験国語専門 読解ラボ東京 | 中学受験・大学受験対応の個別指導国語専門塾（オンライン・教室対応）</v>
      </c>
      <c r="D78" s="1" t="str">
        <f>IFERROR(__xludf.DUMMYFUNCTION("IFERROR(
  VLOOKUP(
    A78,
    IMPORTRANGE(
      ""1ZygntHC1J6IxzKbTidmOyf5nUyW4GCLurHCjexrLm_o        "",
      ""HTMLキャッシュ!A:F""
    ),
    6,
    FALSE
  ),
  0
)
"),"中学受験の説明文が苦手な小学生向けに、「しかし」「一方で」「なぜなら」など論理語に注目し、言い換え・対比・因果の読み方をオンライン国語個別で鍛える方法を具体例付きで解説。")</f>
        <v>中学受験の説明文が苦手な小学生向けに、「しかし」「一方で」「なぜなら」など論理語に注目し、言い換え・対比・因果の読み方をオンライン国語個別で鍛える方法を具体例付きで解説。</v>
      </c>
      <c r="E78" s="32">
        <f>IFERROR(__xludf.DUMMYFUNCTION("IFERROR(
  VLOOKUP(
    A78,
    IMPORTRANGE(
      ""1ZygntHC1J6IxzKbTidmOyf5nUyW4GCLurHCjexrLm_o        "",
      ""HTMLキャッシュ!A:F""
    ),
    3,
    FALSE
  ),
  0
)
"),46052.746041666665)</f>
        <v>46052.74604</v>
      </c>
      <c r="F78" s="49">
        <f>IFERROR(__xludf.DUMMYFUNCTION("IFERROR(
  VLOOKUP(
    A78,
    IMPORTRANGE(
      ""1ZHMy3vVUd_0MrSduXTe1etBb1HNpAlGwQr006ljwMiM"",
      ""GSC最新!A:F""
    ),
    2,
    FALSE
  ),
  0
)
"),0.0)</f>
        <v>0</v>
      </c>
      <c r="G78" s="49">
        <f>IFERROR(__xludf.DUMMYFUNCTION("IFERROR(
  VLOOKUP(
    A78,
    IMPORTRANGE(
      ""1ZHMy3vVUd_0MrSduXTe1etBb1HNpAlGwQr006ljwMiM"",
      ""GSC最新!A:F""
    ),
    3,
    FALSE
  ),
  0
)
"),3.0)</f>
        <v>3</v>
      </c>
      <c r="H78" s="49">
        <f>IFERROR(__xludf.DUMMYFUNCTION("IFERROR(
  VLOOKUP(
    A78,
    IMPORTRANGE(
      ""1ZHMy3vVUd_0MrSduXTe1etBb1HNpAlGwQr006ljwMiM"",
      ""GSC最新!A:F""
    ),
    4,
    FALSE
  ),
  0
)
"),0.0)</f>
        <v>0</v>
      </c>
      <c r="I78" s="49">
        <f>IFERROR(__xludf.DUMMYFUNCTION("IFERROR(
  VLOOKUP(
    A78,
    IMPORTRANGE(
      ""1ZHMy3vVUd_0MrSduXTe1etBb1HNpAlGwQr006ljwMiM"",
      ""GSC最新!A:F""
    ),
    5,
    FALSE
  ),
  0
)
"),0.0)</f>
        <v>0</v>
      </c>
      <c r="J78" s="50" t="str">
        <f t="shared" ref="J78:K78" si="381">IFERROR(F78/H78,"-")</f>
        <v>-</v>
      </c>
      <c r="K78" s="50" t="str">
        <f t="shared" si="381"/>
        <v>-</v>
      </c>
      <c r="L78" s="6">
        <f>IFERROR(__xludf.DUMMYFUNCTION("IFERROR(
  VLOOKUP(
    A78,
    IMPORTRANGE(
      ""1ZHMy3vVUd_0MrSduXTe1etBb1HNpAlGwQr006ljwMiM"",
      ""GSC最新!A:R""
    ),
    7,
    FALSE
  ),
  0
)
"),31.0)</f>
        <v>31</v>
      </c>
      <c r="M78" s="6">
        <f>IFERROR(__xludf.DUMMYFUNCTION("IFERROR(
  VLOOKUP(
    A78,
    IMPORTRANGE(
      ""1ZHMy3vVUd_0MrSduXTe1etBb1HNpAlGwQr006ljwMiM"",
      ""GSC最新!A:R""
    ),
    10,
    FALSE
  ),
  0
)
"),88.0)</f>
        <v>88</v>
      </c>
      <c r="N78" s="6">
        <f>IFERROR(__xludf.DUMMYFUNCTION("IFERROR(
  VLOOKUP(
    A78,
    IMPORTRANGE(
      ""1ZHMy3vVUd_0MrSduXTe1etBb1HNpAlGwQr006ljwMiM"",
      ""GSC最新!A:R""
    ),
    13,
    FALSE
  ),
  0
)
"),0.0)</f>
        <v>0</v>
      </c>
      <c r="O78" s="6">
        <f>IFERROR(__xludf.DUMMYFUNCTION("IFERROR(
  VLOOKUP(
    A78,
    IMPORTRANGE(
      ""1ZHMy3vVUd_0MrSduXTe1etBb1HNpAlGwQr006ljwMiM"",
      ""GSC最新!A:R""
    ),
    16,
    FALSE
  ),
  0
)
"),0.0)</f>
        <v>0</v>
      </c>
      <c r="P78" s="51" t="str">
        <f t="shared" ref="P78:Q78" si="382">IFERROR(L78/N78,"-")</f>
        <v>-</v>
      </c>
      <c r="Q78" s="51" t="str">
        <f t="shared" si="382"/>
        <v>-</v>
      </c>
      <c r="R78" s="9">
        <f>IFERROR(__xludf.DUMMYFUNCTION("IFERROR(
  VLOOKUP(
    A78,
    IMPORTRANGE(
      ""1ZHMy3vVUd_0MrSduXTe1etBb1HNpAlGwQr006ljwMiM"",
      ""GSC最新!A:R""
    ),
    8,
    FALSE
  ),
  0
)
"),0.0)</f>
        <v>0</v>
      </c>
      <c r="S78" s="9">
        <f>IFERROR(__xludf.DUMMYFUNCTION("IFERROR(
  VLOOKUP(
    A78,
    IMPORTRANGE(
      ""1ZHMy3vVUd_0MrSduXTe1etBb1HNpAlGwQr006ljwMiM"",
      ""GSC最新!A:R""
    ),
    11,
    FALSE
  ),
  0
)
"),0.03409090909090909)</f>
        <v>0.03409090909</v>
      </c>
      <c r="T78" s="9">
        <f>IFERROR(__xludf.DUMMYFUNCTION("IFERROR(
  VLOOKUP(
    A78,
    IMPORTRANGE(
      ""1ZHMy3vVUd_0MrSduXTe1etBb1HNpAlGwQr006ljwMiM"",
      ""GSC最新!A:R""
    ),
    14,
    FALSE
  ),
  0
)
"),0.0)</f>
        <v>0</v>
      </c>
      <c r="U78" s="9">
        <f>IFERROR(__xludf.DUMMYFUNCTION("IFERROR(
  VLOOKUP(
    A78,
    IMPORTRANGE(
      ""1ZHMy3vVUd_0MrSduXTe1etBb1HNpAlGwQr006ljwMiM"",
      ""GSC最新!A:R""
    ),
    17,
    FALSE
  ),
  0
)
"),0.0)</f>
        <v>0</v>
      </c>
      <c r="V78" s="9">
        <f t="shared" ref="V78:W78" si="383">IFERROR(R78-T78,"-")</f>
        <v>0</v>
      </c>
      <c r="W78" s="9">
        <f t="shared" si="383"/>
        <v>0.03409090909</v>
      </c>
      <c r="X78" s="65">
        <f>IFERROR(__xludf.DUMMYFUNCTION("IFERROR(
  VLOOKUP(
    A78,
    IMPORTRANGE(
      ""1ZHMy3vVUd_0MrSduXTe1etBb1HNpAlGwQr006ljwMiM"",
      ""GSC最新!A:R""
    ),
    9,
    FALSE
  ),
  0
)
"),4.870967741935484)</f>
        <v>4.870967742</v>
      </c>
      <c r="Y78" s="65">
        <f>IFERROR(__xludf.DUMMYFUNCTION("IFERROR(
  VLOOKUP(
    A78,
    IMPORTRANGE(
      ""1ZHMy3vVUd_0MrSduXTe1etBb1HNpAlGwQr006ljwMiM"",
      ""GSC最新!A:R""
    ),
    12,
    FALSE
  ),
  0
)
"),7.340909090909091)</f>
        <v>7.340909091</v>
      </c>
      <c r="Z78" s="65" t="str">
        <f>IFERROR(__xludf.DUMMYFUNCTION("IFERROR(
  VLOOKUP(
    A78,
    IMPORTRANGE(
      ""1ZHMy3vVUd_0MrSduXTe1etBb1HNpAlGwQr006ljwMiM"",
      ""GSC最新!A:R""
    ),
    15,
    FALSE
  ),
  0
)
"),"")</f>
        <v/>
      </c>
      <c r="AA78" s="65" t="str">
        <f>IFERROR(__xludf.DUMMYFUNCTION("IFERROR(
  VLOOKUP(
    A78,
    IMPORTRANGE(
      ""1ZHMy3vVUd_0MrSduXTe1etBb1HNpAlGwQr006ljwMiM"",
      ""GSC最新!A:R""
    ),
    18,
    FALSE
  ),
  0
)
"),"")</f>
        <v/>
      </c>
      <c r="AB78" s="65">
        <f t="shared" ref="AB78:AC78" si="384">X78-Z78</f>
        <v>4.870967742</v>
      </c>
      <c r="AC78" s="65">
        <f t="shared" si="384"/>
        <v>7.340909091</v>
      </c>
      <c r="AD78" s="53">
        <f>IFERROR(__xludf.DUMMYFUNCTION("IFERROR(
  VLOOKUP(
    A78,
    IMPORTRANGE(
      ""1ZHMy3vVUd_0MrSduXTe1etBb1HNpAlGwQr006ljwMiM"",
      ""GSC最新!A:F""
    ),
    6,
    FALSE
  ),
  0
)
"),46081.0)</f>
        <v>46081</v>
      </c>
      <c r="AE78" s="54">
        <f>IFERROR(__xludf.DUMMYFUNCTION("IFERROR(
  VLOOKUP(
    A78,
    IMPORTRANGE(
      ""1SCYQd7_cobOYqT0r_F0IqD4tE4rYn5y8Eup4PJTH8es"",
      ""Snapshot!A:M""
    ),
    5,
    FALSE
  ),
  ""-""
)
"),9.0)</f>
        <v>9</v>
      </c>
      <c r="AF78" s="54">
        <f>IFERROR(__xludf.DUMMYFUNCTION("IFERROR(
  VLOOKUP(
    A78,
    IMPORTRANGE(
      ""1SCYQd7_cobOYqT0r_F0IqD4tE4rYn5y8Eup4PJTH8es"",
      ""Snapshot!A:M""
    ),
    6,
    FALSE
  ),
  0
)
"),23.0)</f>
        <v>23</v>
      </c>
      <c r="AG78" s="54">
        <f>IFERROR(__xludf.DUMMYFUNCTION("IFERROR(
  VLOOKUP(
    A78,
    IMPORTRANGE(
      ""1SCYQd7_cobOYqT0r_F0IqD4tE4rYn5y8Eup4PJTH8es"",
      ""Snapshot!A:M""
    ),
    7,
    FALSE
  ),
  0
)
"),6749.0)</f>
        <v>6749</v>
      </c>
      <c r="AH78" s="54">
        <f>IFERROR(__xludf.DUMMYFUNCTION("IFERROR(
  VLOOKUP(
    A78,
    IMPORTRANGE(
      ""1SCYQd7_cobOYqT0r_F0IqD4tE4rYn5y8Eup4PJTH8es"",
      ""Snapshot!A:M""
    ),
    8,
    FALSE
  ),
  0
)
"),5.0)</f>
        <v>5</v>
      </c>
      <c r="AI78" s="54">
        <f>IFERROR(__xludf.DUMMYFUNCTION("IFERROR(
  VLOOKUP(
    A78,
    IMPORTRANGE(
      ""1SCYQd7_cobOYqT0r_F0IqD4tE4rYn5y8Eup4PJTH8es"",
      ""Snapshot!A:M""
    ),
    9,
    FALSE
  ),
  0
)
"),1.0)</f>
        <v>1</v>
      </c>
      <c r="AJ78" s="54">
        <f>IFERROR(__xludf.DUMMYFUNCTION("IFERROR(
  VLOOKUP(
    A78,
    IMPORTRANGE(
      ""1SCYQd7_cobOYqT0r_F0IqD4tE4rYn5y8Eup4PJTH8es"",
      ""Snapshot!A:M""
    ),
    13,
    FALSE
  ),
  0
)
"),3.0)</f>
        <v>3</v>
      </c>
      <c r="AK78" s="49">
        <f t="shared" ref="AK78:AL78" si="385">LEN(C78)</f>
        <v>82</v>
      </c>
      <c r="AL78" s="49">
        <f t="shared" si="385"/>
        <v>85</v>
      </c>
    </row>
    <row r="79">
      <c r="A79" s="56" t="s">
        <v>583</v>
      </c>
      <c r="B79" s="1" t="str">
        <f>IFERROR(__xludf.DUMMYFUNCTION("IFERROR(
  VLOOKUP(
    A79,
    IMPORTRANGE(
      ""1ZygntHC1J6IxzKbTidmOyf5nUyW4GCLurHCjexrLm_o"",
      ""HTMLキャッシュ!A:F""
    ),
    2,
    FALSE
  ),
  0
)
"),"SC")</f>
        <v>SC</v>
      </c>
      <c r="C79" s="1" t="str">
        <f>IFERROR(__xludf.DUMMYFUNCTION("IFERROR(
  VLOOKUP(
    A79,
    IMPORTRANGE(
      ""1ZygntHC1J6IxzKbTidmOyf5nUyW4GCLurHCjexrLm_o"",
      ""HTMLキャッシュ!A:F""
    ),
    5,
    FALSE
  ),
  0
)
"),"読解処理の順番 読む順序と理解力を高める手順")</f>
        <v>読解処理の順番 読む順序と理解力を高める手順</v>
      </c>
      <c r="D79" s="1" t="str">
        <f>IFERROR(__xludf.DUMMYFUNCTION("IFERROR(
  VLOOKUP(
    A79,
    IMPORTRANGE(
      ""1ZygntHC1J6IxzKbTidmOyf5nUyW4GCLurHCjexrLm_o        "",
      ""HTMLキャッシュ!A:F""
    ),
    6,
    FALSE
  ),
  0
)
"),"中学受験国語。文の順番をそろえ、本文→設問→本文の往復を短縮。段落要点、条件整理、根拠比較、記述まで。")</f>
        <v>中学受験国語。文の順番をそろえ、本文→設問→本文の往復を短縮。段落要点、条件整理、根拠比較、記述まで。</v>
      </c>
      <c r="E79" s="32">
        <f>IFERROR(__xludf.DUMMYFUNCTION("IFERROR(
  VLOOKUP(
    A79,
    IMPORTRANGE(
      ""1ZygntHC1J6IxzKbTidmOyf5nUyW4GCLurHCjexrLm_o        "",
      ""HTMLキャッシュ!A:F""
    ),
    3,
    FALSE
  ),
  0
)
"),46084.5669212963)</f>
        <v>46084.56692</v>
      </c>
      <c r="F79" s="49">
        <f>IFERROR(__xludf.DUMMYFUNCTION("IFERROR(
  VLOOKUP(
    A79,
    IMPORTRANGE(
      ""1ZHMy3vVUd_0MrSduXTe1etBb1HNpAlGwQr006ljwMiM"",
      ""GSC最新!A:F""
    ),
    2,
    FALSE
  ),
  0
)
"),2.0)</f>
        <v>2</v>
      </c>
      <c r="G79" s="49">
        <f>IFERROR(__xludf.DUMMYFUNCTION("IFERROR(
  VLOOKUP(
    A79,
    IMPORTRANGE(
      ""1ZHMy3vVUd_0MrSduXTe1etBb1HNpAlGwQr006ljwMiM"",
      ""GSC最新!A:F""
    ),
    3,
    FALSE
  ),
  0
)
"),3.0)</f>
        <v>3</v>
      </c>
      <c r="H79" s="49">
        <f>IFERROR(__xludf.DUMMYFUNCTION("IFERROR(
  VLOOKUP(
    A79,
    IMPORTRANGE(
      ""1ZHMy3vVUd_0MrSduXTe1etBb1HNpAlGwQr006ljwMiM"",
      ""GSC最新!A:F""
    ),
    4,
    FALSE
  ),
  0
)
"),0.0)</f>
        <v>0</v>
      </c>
      <c r="I79" s="49">
        <f>IFERROR(__xludf.DUMMYFUNCTION("IFERROR(
  VLOOKUP(
    A79,
    IMPORTRANGE(
      ""1ZHMy3vVUd_0MrSduXTe1etBb1HNpAlGwQr006ljwMiM"",
      ""GSC最新!A:F""
    ),
    5,
    FALSE
  ),
  0
)
"),0.0)</f>
        <v>0</v>
      </c>
      <c r="J79" s="50" t="str">
        <f t="shared" ref="J79:K79" si="386">IFERROR(F79/H79,"-")</f>
        <v>-</v>
      </c>
      <c r="K79" s="50" t="str">
        <f t="shared" si="386"/>
        <v>-</v>
      </c>
      <c r="L79" s="6">
        <f>IFERROR(__xludf.DUMMYFUNCTION("IFERROR(
  VLOOKUP(
    A79,
    IMPORTRANGE(
      ""1ZHMy3vVUd_0MrSduXTe1etBb1HNpAlGwQr006ljwMiM"",
      ""GSC最新!A:R""
    ),
    7,
    FALSE
  ),
  0
)
"),194.0)</f>
        <v>194</v>
      </c>
      <c r="M79" s="6">
        <f>IFERROR(__xludf.DUMMYFUNCTION("IFERROR(
  VLOOKUP(
    A79,
    IMPORTRANGE(
      ""1ZHMy3vVUd_0MrSduXTe1etBb1HNpAlGwQr006ljwMiM"",
      ""GSC最新!A:R""
    ),
    10,
    FALSE
  ),
  0
)
"),266.0)</f>
        <v>266</v>
      </c>
      <c r="N79" s="6">
        <f>IFERROR(__xludf.DUMMYFUNCTION("IFERROR(
  VLOOKUP(
    A79,
    IMPORTRANGE(
      ""1ZHMy3vVUd_0MrSduXTe1etBb1HNpAlGwQr006ljwMiM"",
      ""GSC最新!A:R""
    ),
    13,
    FALSE
  ),
  0
)
"),0.0)</f>
        <v>0</v>
      </c>
      <c r="O79" s="6">
        <f>IFERROR(__xludf.DUMMYFUNCTION("IFERROR(
  VLOOKUP(
    A79,
    IMPORTRANGE(
      ""1ZHMy3vVUd_0MrSduXTe1etBb1HNpAlGwQr006ljwMiM"",
      ""GSC最新!A:R""
    ),
    16,
    FALSE
  ),
  0
)
"),0.0)</f>
        <v>0</v>
      </c>
      <c r="P79" s="51" t="str">
        <f t="shared" ref="P79:Q79" si="387">IFERROR(L79/N79,"-")</f>
        <v>-</v>
      </c>
      <c r="Q79" s="51" t="str">
        <f t="shared" si="387"/>
        <v>-</v>
      </c>
      <c r="R79" s="9">
        <f>IFERROR(__xludf.DUMMYFUNCTION("IFERROR(
  VLOOKUP(
    A79,
    IMPORTRANGE(
      ""1ZHMy3vVUd_0MrSduXTe1etBb1HNpAlGwQr006ljwMiM"",
      ""GSC最新!A:R""
    ),
    8,
    FALSE
  ),
  0
)
"),0.010309278350515464)</f>
        <v>0.01030927835</v>
      </c>
      <c r="S79" s="9">
        <f>IFERROR(__xludf.DUMMYFUNCTION("IFERROR(
  VLOOKUP(
    A79,
    IMPORTRANGE(
      ""1ZHMy3vVUd_0MrSduXTe1etBb1HNpAlGwQr006ljwMiM"",
      ""GSC最新!A:R""
    ),
    11,
    FALSE
  ),
  0
)
"),0.011278195488721804)</f>
        <v>0.01127819549</v>
      </c>
      <c r="T79" s="9">
        <f>IFERROR(__xludf.DUMMYFUNCTION("IFERROR(
  VLOOKUP(
    A79,
    IMPORTRANGE(
      ""1ZHMy3vVUd_0MrSduXTe1etBb1HNpAlGwQr006ljwMiM"",
      ""GSC最新!A:R""
    ),
    14,
    FALSE
  ),
  0
)
"),0.0)</f>
        <v>0</v>
      </c>
      <c r="U79" s="9">
        <f>IFERROR(__xludf.DUMMYFUNCTION("IFERROR(
  VLOOKUP(
    A79,
    IMPORTRANGE(
      ""1ZHMy3vVUd_0MrSduXTe1etBb1HNpAlGwQr006ljwMiM"",
      ""GSC最新!A:R""
    ),
    17,
    FALSE
  ),
  0
)
"),0.0)</f>
        <v>0</v>
      </c>
      <c r="V79" s="9">
        <f t="shared" ref="V79:W79" si="388">IFERROR(R79-T79,"-")</f>
        <v>0.01030927835</v>
      </c>
      <c r="W79" s="9">
        <f t="shared" si="388"/>
        <v>0.01127819549</v>
      </c>
      <c r="X79" s="65">
        <f>IFERROR(__xludf.DUMMYFUNCTION("IFERROR(
  VLOOKUP(
    A79,
    IMPORTRANGE(
      ""1ZHMy3vVUd_0MrSduXTe1etBb1HNpAlGwQr006ljwMiM"",
      ""GSC最新!A:R""
    ),
    9,
    FALSE
  ),
  0
)
"),6.536082474226804)</f>
        <v>6.536082474</v>
      </c>
      <c r="Y79" s="65">
        <f>IFERROR(__xludf.DUMMYFUNCTION("IFERROR(
  VLOOKUP(
    A79,
    IMPORTRANGE(
      ""1ZHMy3vVUd_0MrSduXTe1etBb1HNpAlGwQr006ljwMiM"",
      ""GSC最新!A:R""
    ),
    12,
    FALSE
  ),
  0
)
"),6.417293233082707)</f>
        <v>6.417293233</v>
      </c>
      <c r="Z79" s="65" t="str">
        <f>IFERROR(__xludf.DUMMYFUNCTION("IFERROR(
  VLOOKUP(
    A79,
    IMPORTRANGE(
      ""1ZHMy3vVUd_0MrSduXTe1etBb1HNpAlGwQr006ljwMiM"",
      ""GSC最新!A:R""
    ),
    15,
    FALSE
  ),
  0
)
"),"")</f>
        <v/>
      </c>
      <c r="AA79" s="65" t="str">
        <f>IFERROR(__xludf.DUMMYFUNCTION("IFERROR(
  VLOOKUP(
    A79,
    IMPORTRANGE(
      ""1ZHMy3vVUd_0MrSduXTe1etBb1HNpAlGwQr006ljwMiM"",
      ""GSC最新!A:R""
    ),
    18,
    FALSE
  ),
  0
)
"),"")</f>
        <v/>
      </c>
      <c r="AB79" s="65">
        <f t="shared" ref="AB79:AC79" si="389">X79-Z79</f>
        <v>6.536082474</v>
      </c>
      <c r="AC79" s="65">
        <f t="shared" si="389"/>
        <v>6.417293233</v>
      </c>
      <c r="AD79" s="53">
        <f>IFERROR(__xludf.DUMMYFUNCTION("IFERROR(
  VLOOKUP(
    A79,
    IMPORTRANGE(
      ""1ZHMy3vVUd_0MrSduXTe1etBb1HNpAlGwQr006ljwMiM"",
      ""GSC最新!A:F""
    ),
    6,
    FALSE
  ),
  0
)
"),46081.0)</f>
        <v>46081</v>
      </c>
      <c r="AE79" s="54">
        <f>IFERROR(__xludf.DUMMYFUNCTION("IFERROR(
  VLOOKUP(
    A79,
    IMPORTRANGE(
      ""1SCYQd7_cobOYqT0r_F0IqD4tE4rYn5y8Eup4PJTH8es"",
      ""Snapshot!A:M""
    ),
    5,
    FALSE
  ),
  ""-""
)
"),9.0)</f>
        <v>9</v>
      </c>
      <c r="AF79" s="54">
        <f>IFERROR(__xludf.DUMMYFUNCTION("IFERROR(
  VLOOKUP(
    A79,
    IMPORTRANGE(
      ""1SCYQd7_cobOYqT0r_F0IqD4tE4rYn5y8Eup4PJTH8es"",
      ""Snapshot!A:M""
    ),
    6,
    FALSE
  ),
  0
)
"),3.0)</f>
        <v>3</v>
      </c>
      <c r="AG79" s="54">
        <f>IFERROR(__xludf.DUMMYFUNCTION("IFERROR(
  VLOOKUP(
    A79,
    IMPORTRANGE(
      ""1SCYQd7_cobOYqT0r_F0IqD4tE4rYn5y8Eup4PJTH8es"",
      ""Snapshot!A:M""
    ),
    7,
    FALSE
  ),
  0
)
"),4413.0)</f>
        <v>4413</v>
      </c>
      <c r="AH79" s="54">
        <f>IFERROR(__xludf.DUMMYFUNCTION("IFERROR(
  VLOOKUP(
    A79,
    IMPORTRANGE(
      ""1SCYQd7_cobOYqT0r_F0IqD4tE4rYn5y8Eup4PJTH8es"",
      ""Snapshot!A:M""
    ),
    8,
    FALSE
  ),
  0
)
"),3.0)</f>
        <v>3</v>
      </c>
      <c r="AI79" s="54">
        <f>IFERROR(__xludf.DUMMYFUNCTION("IFERROR(
  VLOOKUP(
    A79,
    IMPORTRANGE(
      ""1SCYQd7_cobOYqT0r_F0IqD4tE4rYn5y8Eup4PJTH8es"",
      ""Snapshot!A:M""
    ),
    9,
    FALSE
  ),
  0
)
"),3.0)</f>
        <v>3</v>
      </c>
      <c r="AJ79" s="54">
        <f>IFERROR(__xludf.DUMMYFUNCTION("IFERROR(
  VLOOKUP(
    A79,
    IMPORTRANGE(
      ""1SCYQd7_cobOYqT0r_F0IqD4tE4rYn5y8Eup4PJTH8es"",
      ""Snapshot!A:M""
    ),
    13,
    FALSE
  ),
  0
)
"),3.0)</f>
        <v>3</v>
      </c>
      <c r="AK79" s="49">
        <f t="shared" ref="AK79:AL79" si="390">LEN(C79)</f>
        <v>22</v>
      </c>
      <c r="AL79" s="49">
        <f t="shared" si="390"/>
        <v>51</v>
      </c>
    </row>
    <row r="80">
      <c r="A80" s="3" t="s">
        <v>584</v>
      </c>
      <c r="B80" s="1" t="str">
        <f>IFERROR(__xludf.DUMMYFUNCTION("IFERROR(
  VLOOKUP(
    A80,
    IMPORTRANGE(
      ""1ZygntHC1J6IxzKbTidmOyf5nUyW4GCLurHCjexrLm_o"",
      ""HTMLキャッシュ!A:F""
    ),
    2,
    FALSE
  ),
  0
)
"),"SC")</f>
        <v>SC</v>
      </c>
      <c r="C80" s="1" t="str">
        <f>IFERROR(__xludf.DUMMYFUNCTION("IFERROR(
  VLOOKUP(
    A80,
    IMPORTRANGE(
      ""1ZygntHC1J6IxzKbTidmOyf5nUyW4GCLurHCjexrLm_o"",
      ""HTMLキャッシュ!A:F""
    ),
    5,
    FALSE
  ),
  0
)
"),"物語文で点が取れない理由 人物像のつかみ方と心情把握をオンラインで鍛える - 受験国語専門 読解ラボ東京 | 中学受験・大学受験対応の個別指導国語専門塾（オンライン・教室対応）")</f>
        <v>物語文で点が取れない理由 人物像のつかみ方と心情把握をオンラインで鍛える - 受験国語専門 読解ラボ東京 | 中学受験・大学受験対応の個別指導国語専門塾（オンライン・教室対応）</v>
      </c>
      <c r="D80" s="1" t="str">
        <f>IFERROR(__xludf.DUMMYFUNCTION("IFERROR(
  VLOOKUP(
    A80,
    IMPORTRANGE(
      ""1ZygntHC1J6IxzKbTidmOyf5nUyW4GCLurHCjexrLm_o        "",
      ""HTMLキャッシュ!A:F""
    ),
    6,
    FALSE
  ),
  0
)
"),"物語文だけ点が伸びない中学受験生向けに、人物像の整理と心情把握をオンライン国語個別で鍛える具体ステップを解説。線引き・メモ・記述の直し方まで。")</f>
        <v>物語文だけ点が伸びない中学受験生向けに、人物像の整理と心情把握をオンライン国語個別で鍛える具体ステップを解説。線引き・メモ・記述の直し方まで。</v>
      </c>
      <c r="E80" s="32">
        <f>IFERROR(__xludf.DUMMYFUNCTION("IFERROR(
  VLOOKUP(
    A80,
    IMPORTRANGE(
      ""1ZygntHC1J6IxzKbTidmOyf5nUyW4GCLurHCjexrLm_o        "",
      ""HTMLキャッシュ!A:F""
    ),
    3,
    FALSE
  ),
  0
)
"),46069.72435185185)</f>
        <v>46069.72435</v>
      </c>
      <c r="F80" s="49">
        <f>IFERROR(__xludf.DUMMYFUNCTION("IFERROR(
  VLOOKUP(
    A80,
    IMPORTRANGE(
      ""1ZHMy3vVUd_0MrSduXTe1etBb1HNpAlGwQr006ljwMiM"",
      ""GSC最新!A:F""
    ),
    2,
    FALSE
  ),
  0
)
"),0.0)</f>
        <v>0</v>
      </c>
      <c r="G80" s="49">
        <f>IFERROR(__xludf.DUMMYFUNCTION("IFERROR(
  VLOOKUP(
    A80,
    IMPORTRANGE(
      ""1ZHMy3vVUd_0MrSduXTe1etBb1HNpAlGwQr006ljwMiM"",
      ""GSC最新!A:F""
    ),
    3,
    FALSE
  ),
  0
)
"),3.0)</f>
        <v>3</v>
      </c>
      <c r="H80" s="49">
        <f>IFERROR(__xludf.DUMMYFUNCTION("IFERROR(
  VLOOKUP(
    A80,
    IMPORTRANGE(
      ""1ZHMy3vVUd_0MrSduXTe1etBb1HNpAlGwQr006ljwMiM"",
      ""GSC最新!A:F""
    ),
    4,
    FALSE
  ),
  0
)
"),0.0)</f>
        <v>0</v>
      </c>
      <c r="I80" s="49">
        <f>IFERROR(__xludf.DUMMYFUNCTION("IFERROR(
  VLOOKUP(
    A80,
    IMPORTRANGE(
      ""1ZHMy3vVUd_0MrSduXTe1etBb1HNpAlGwQr006ljwMiM"",
      ""GSC最新!A:F""
    ),
    5,
    FALSE
  ),
  0
)
"),0.0)</f>
        <v>0</v>
      </c>
      <c r="J80" s="50" t="str">
        <f t="shared" ref="J80:K80" si="391">IFERROR(F80/H80,"-")</f>
        <v>-</v>
      </c>
      <c r="K80" s="50" t="str">
        <f t="shared" si="391"/>
        <v>-</v>
      </c>
      <c r="L80" s="6">
        <f>IFERROR(__xludf.DUMMYFUNCTION("IFERROR(
  VLOOKUP(
    A80,
    IMPORTRANGE(
      ""1ZHMy3vVUd_0MrSduXTe1etBb1HNpAlGwQr006ljwMiM"",
      ""GSC最新!A:R""
    ),
    7,
    FALSE
  ),
  0
)
"),10.0)</f>
        <v>10</v>
      </c>
      <c r="M80" s="6">
        <f>IFERROR(__xludf.DUMMYFUNCTION("IFERROR(
  VLOOKUP(
    A80,
    IMPORTRANGE(
      ""1ZHMy3vVUd_0MrSduXTe1etBb1HNpAlGwQr006ljwMiM"",
      ""GSC最新!A:R""
    ),
    10,
    FALSE
  ),
  0
)
"),66.0)</f>
        <v>66</v>
      </c>
      <c r="N80" s="6">
        <f>IFERROR(__xludf.DUMMYFUNCTION("IFERROR(
  VLOOKUP(
    A80,
    IMPORTRANGE(
      ""1ZHMy3vVUd_0MrSduXTe1etBb1HNpAlGwQr006ljwMiM"",
      ""GSC最新!A:R""
    ),
    13,
    FALSE
  ),
  0
)
"),0.0)</f>
        <v>0</v>
      </c>
      <c r="O80" s="6">
        <f>IFERROR(__xludf.DUMMYFUNCTION("IFERROR(
  VLOOKUP(
    A80,
    IMPORTRANGE(
      ""1ZHMy3vVUd_0MrSduXTe1etBb1HNpAlGwQr006ljwMiM"",
      ""GSC最新!A:R""
    ),
    16,
    FALSE
  ),
  0
)
"),0.0)</f>
        <v>0</v>
      </c>
      <c r="P80" s="51" t="str">
        <f t="shared" ref="P80:Q80" si="392">IFERROR(L80/N80,"-")</f>
        <v>-</v>
      </c>
      <c r="Q80" s="51" t="str">
        <f t="shared" si="392"/>
        <v>-</v>
      </c>
      <c r="R80" s="9">
        <f>IFERROR(__xludf.DUMMYFUNCTION("IFERROR(
  VLOOKUP(
    A80,
    IMPORTRANGE(
      ""1ZHMy3vVUd_0MrSduXTe1etBb1HNpAlGwQr006ljwMiM"",
      ""GSC最新!A:R""
    ),
    8,
    FALSE
  ),
  0
)
"),0.0)</f>
        <v>0</v>
      </c>
      <c r="S80" s="9">
        <f>IFERROR(__xludf.DUMMYFUNCTION("IFERROR(
  VLOOKUP(
    A80,
    IMPORTRANGE(
      ""1ZHMy3vVUd_0MrSduXTe1etBb1HNpAlGwQr006ljwMiM"",
      ""GSC最新!A:R""
    ),
    11,
    FALSE
  ),
  0
)
"),0.045454545454545456)</f>
        <v>0.04545454545</v>
      </c>
      <c r="T80" s="9">
        <f>IFERROR(__xludf.DUMMYFUNCTION("IFERROR(
  VLOOKUP(
    A80,
    IMPORTRANGE(
      ""1ZHMy3vVUd_0MrSduXTe1etBb1HNpAlGwQr006ljwMiM"",
      ""GSC最新!A:R""
    ),
    14,
    FALSE
  ),
  0
)
"),0.0)</f>
        <v>0</v>
      </c>
      <c r="U80" s="9">
        <f>IFERROR(__xludf.DUMMYFUNCTION("IFERROR(
  VLOOKUP(
    A80,
    IMPORTRANGE(
      ""1ZHMy3vVUd_0MrSduXTe1etBb1HNpAlGwQr006ljwMiM"",
      ""GSC最新!A:R""
    ),
    17,
    FALSE
  ),
  0
)
"),0.0)</f>
        <v>0</v>
      </c>
      <c r="V80" s="9">
        <f t="shared" ref="V80:W80" si="393">IFERROR(R80-T80,"-")</f>
        <v>0</v>
      </c>
      <c r="W80" s="9">
        <f t="shared" si="393"/>
        <v>0.04545454545</v>
      </c>
      <c r="X80" s="65">
        <f>IFERROR(__xludf.DUMMYFUNCTION("IFERROR(
  VLOOKUP(
    A80,
    IMPORTRANGE(
      ""1ZHMy3vVUd_0MrSduXTe1etBb1HNpAlGwQr006ljwMiM"",
      ""GSC最新!A:R""
    ),
    9,
    FALSE
  ),
  0
)
"),4.9)</f>
        <v>4.9</v>
      </c>
      <c r="Y80" s="65">
        <f>IFERROR(__xludf.DUMMYFUNCTION("IFERROR(
  VLOOKUP(
    A80,
    IMPORTRANGE(
      ""1ZHMy3vVUd_0MrSduXTe1etBb1HNpAlGwQr006ljwMiM"",
      ""GSC最新!A:R""
    ),
    12,
    FALSE
  ),
  0
)
"),6.106060606060606)</f>
        <v>6.106060606</v>
      </c>
      <c r="Z80" s="65" t="str">
        <f>IFERROR(__xludf.DUMMYFUNCTION("IFERROR(
  VLOOKUP(
    A80,
    IMPORTRANGE(
      ""1ZHMy3vVUd_0MrSduXTe1etBb1HNpAlGwQr006ljwMiM"",
      ""GSC最新!A:R""
    ),
    15,
    FALSE
  ),
  0
)
"),"")</f>
        <v/>
      </c>
      <c r="AA80" s="65" t="str">
        <f>IFERROR(__xludf.DUMMYFUNCTION("IFERROR(
  VLOOKUP(
    A80,
    IMPORTRANGE(
      ""1ZHMy3vVUd_0MrSduXTe1etBb1HNpAlGwQr006ljwMiM"",
      ""GSC最新!A:R""
    ),
    18,
    FALSE
  ),
  0
)
"),"")</f>
        <v/>
      </c>
      <c r="AB80" s="65">
        <f t="shared" ref="AB80:AC80" si="394">X80-Z80</f>
        <v>4.9</v>
      </c>
      <c r="AC80" s="65">
        <f t="shared" si="394"/>
        <v>6.106060606</v>
      </c>
      <c r="AD80" s="53">
        <f>IFERROR(__xludf.DUMMYFUNCTION("IFERROR(
  VLOOKUP(
    A80,
    IMPORTRANGE(
      ""1ZHMy3vVUd_0MrSduXTe1etBb1HNpAlGwQr006ljwMiM"",
      ""GSC最新!A:F""
    ),
    6,
    FALSE
  ),
  0
)
"),46081.0)</f>
        <v>46081</v>
      </c>
      <c r="AE80" s="54">
        <f>IFERROR(__xludf.DUMMYFUNCTION("IFERROR(
  VLOOKUP(
    A80,
    IMPORTRANGE(
      ""1SCYQd7_cobOYqT0r_F0IqD4tE4rYn5y8Eup4PJTH8es"",
      ""Snapshot!A:M""
    ),
    5,
    FALSE
  ),
  ""-""
)
"),7.0)</f>
        <v>7</v>
      </c>
      <c r="AF80" s="54">
        <f>IFERROR(__xludf.DUMMYFUNCTION("IFERROR(
  VLOOKUP(
    A80,
    IMPORTRANGE(
      ""1SCYQd7_cobOYqT0r_F0IqD4tE4rYn5y8Eup4PJTH8es"",
      ""Snapshot!A:M""
    ),
    6,
    FALSE
  ),
  0
)
"),18.0)</f>
        <v>18</v>
      </c>
      <c r="AG80" s="54">
        <f>IFERROR(__xludf.DUMMYFUNCTION("IFERROR(
  VLOOKUP(
    A80,
    IMPORTRANGE(
      ""1SCYQd7_cobOYqT0r_F0IqD4tE4rYn5y8Eup4PJTH8es"",
      ""Snapshot!A:M""
    ),
    7,
    FALSE
  ),
  0
)
"),6733.0)</f>
        <v>6733</v>
      </c>
      <c r="AH80" s="54">
        <f>IFERROR(__xludf.DUMMYFUNCTION("IFERROR(
  VLOOKUP(
    A80,
    IMPORTRANGE(
      ""1SCYQd7_cobOYqT0r_F0IqD4tE4rYn5y8Eup4PJTH8es"",
      ""Snapshot!A:M""
    ),
    8,
    FALSE
  ),
  0
)
"),3.0)</f>
        <v>3</v>
      </c>
      <c r="AI80" s="54">
        <f>IFERROR(__xludf.DUMMYFUNCTION("IFERROR(
  VLOOKUP(
    A80,
    IMPORTRANGE(
      ""1SCYQd7_cobOYqT0r_F0IqD4tE4rYn5y8Eup4PJTH8es"",
      ""Snapshot!A:M""
    ),
    9,
    FALSE
  ),
  0
)
"),1.0)</f>
        <v>1</v>
      </c>
      <c r="AJ80" s="54">
        <f>IFERROR(__xludf.DUMMYFUNCTION("IFERROR(
  VLOOKUP(
    A80,
    IMPORTRANGE(
      ""1SCYQd7_cobOYqT0r_F0IqD4tE4rYn5y8Eup4PJTH8es"",
      ""Snapshot!A:M""
    ),
    13,
    FALSE
  ),
  0
)
"),3.0)</f>
        <v>3</v>
      </c>
      <c r="AK80" s="49">
        <f t="shared" ref="AK80:AL80" si="395">LEN(C80)</f>
        <v>88</v>
      </c>
      <c r="AL80" s="49">
        <f t="shared" si="395"/>
        <v>71</v>
      </c>
    </row>
    <row r="81">
      <c r="A81" s="3" t="s">
        <v>318</v>
      </c>
      <c r="B81" s="1" t="str">
        <f>IFERROR(__xludf.DUMMYFUNCTION("IFERROR(
  VLOOKUP(
    A81,
    IMPORTRANGE(
      ""1ZygntHC1J6IxzKbTidmOyf5nUyW4GCLurHCjexrLm_o"",
      ""HTMLキャッシュ!A:F""
    ),
    2,
    FALSE
  ),
  0
)
"),"SP")</f>
        <v>SP</v>
      </c>
      <c r="C81" s="1" t="str">
        <f>IFERROR(__xludf.DUMMYFUNCTION("IFERROR(
  VLOOKUP(
    A81,
    IMPORTRANGE(
      ""1ZygntHC1J6IxzKbTidmOyf5nUyW4GCLurHCjexrLm_o"",
      ""HTMLキャッシュ!A:F""
    ),
    5,
    FALSE
  ),
  0
)
"),"大学受験国語の個別指導講座｜現代文小論文で得点化する塾")</f>
        <v>大学受験国語の個別指導講座｜現代文小論文で得点化する塾</v>
      </c>
      <c r="D81" s="1" t="str">
        <f>IFERROR(__xludf.DUMMYFUNCTION("IFERROR(
  VLOOKUP(
    A81,
    IMPORTRANGE(
      ""1ZygntHC1J6IxzKbTidmOyf5nUyW4GCLurHCjexrLm_o        "",
      ""HTMLキャッシュ!A:F""
    ),
    6,
    FALSE
  ),
  0
)
"),"現代文や小論文が伸びない受験生向け。志望校別の完全1対1個別指導で論理読解を定着し得点力を強化。オンライン体験受付中")</f>
        <v>現代文や小論文が伸びない受験生向け。志望校別の完全1対1個別指導で論理読解を定着し得点力を強化。オンライン体験受付中</v>
      </c>
      <c r="E81" s="32">
        <f>IFERROR(__xludf.DUMMYFUNCTION("IFERROR(
  VLOOKUP(
    A81,
    IMPORTRANGE(
      ""1ZygntHC1J6IxzKbTidmOyf5nUyW4GCLurHCjexrLm_o        "",
      ""HTMLキャッシュ!A:F""
    ),
    3,
    FALSE
  ),
  0
)
"),46081.76253472222)</f>
        <v>46081.76253</v>
      </c>
      <c r="F81" s="49">
        <f>IFERROR(__xludf.DUMMYFUNCTION("IFERROR(
  VLOOKUP(
    A81,
    IMPORTRANGE(
      ""1ZHMy3vVUd_0MrSduXTe1etBb1HNpAlGwQr006ljwMiM"",
      ""GSC最新!A:F""
    ),
    2,
    FALSE
  ),
  0
)
"),3.0)</f>
        <v>3</v>
      </c>
      <c r="G81" s="49">
        <f>IFERROR(__xludf.DUMMYFUNCTION("IFERROR(
  VLOOKUP(
    A81,
    IMPORTRANGE(
      ""1ZHMy3vVUd_0MrSduXTe1etBb1HNpAlGwQr006ljwMiM"",
      ""GSC最新!A:F""
    ),
    3,
    FALSE
  ),
  0
)
"),4.0)</f>
        <v>4</v>
      </c>
      <c r="H81" s="49">
        <f>IFERROR(__xludf.DUMMYFUNCTION("IFERROR(
  VLOOKUP(
    A81,
    IMPORTRANGE(
      ""1ZHMy3vVUd_0MrSduXTe1etBb1HNpAlGwQr006ljwMiM"",
      ""GSC最新!A:F""
    ),
    4,
    FALSE
  ),
  0
)
"),1.0)</f>
        <v>1</v>
      </c>
      <c r="I81" s="49">
        <f>IFERROR(__xludf.DUMMYFUNCTION("IFERROR(
  VLOOKUP(
    A81,
    IMPORTRANGE(
      ""1ZHMy3vVUd_0MrSduXTe1etBb1HNpAlGwQr006ljwMiM"",
      ""GSC最新!A:F""
    ),
    5,
    FALSE
  ),
  0
)
"),1.0)</f>
        <v>1</v>
      </c>
      <c r="J81" s="50">
        <f t="shared" ref="J81:K81" si="396">IFERROR(F81/H81,"-")</f>
        <v>3</v>
      </c>
      <c r="K81" s="50">
        <f t="shared" si="396"/>
        <v>4</v>
      </c>
      <c r="L81" s="6">
        <f>IFERROR(__xludf.DUMMYFUNCTION("IFERROR(
  VLOOKUP(
    A81,
    IMPORTRANGE(
      ""1ZHMy3vVUd_0MrSduXTe1etBb1HNpAlGwQr006ljwMiM"",
      ""GSC最新!A:R""
    ),
    7,
    FALSE
  ),
  0
)
"),25.0)</f>
        <v>25</v>
      </c>
      <c r="M81" s="6">
        <f>IFERROR(__xludf.DUMMYFUNCTION("IFERROR(
  VLOOKUP(
    A81,
    IMPORTRANGE(
      ""1ZHMy3vVUd_0MrSduXTe1etBb1HNpAlGwQr006ljwMiM"",
      ""GSC最新!A:R""
    ),
    10,
    FALSE
  ),
  0
)
"),71.0)</f>
        <v>71</v>
      </c>
      <c r="N81" s="6">
        <f>IFERROR(__xludf.DUMMYFUNCTION("IFERROR(
  VLOOKUP(
    A81,
    IMPORTRANGE(
      ""1ZHMy3vVUd_0MrSduXTe1etBb1HNpAlGwQr006ljwMiM"",
      ""GSC最新!A:R""
    ),
    13,
    FALSE
  ),
  0
)
"),21.0)</f>
        <v>21</v>
      </c>
      <c r="O81" s="6">
        <f>IFERROR(__xludf.DUMMYFUNCTION("IFERROR(
  VLOOKUP(
    A81,
    IMPORTRANGE(
      ""1ZHMy3vVUd_0MrSduXTe1etBb1HNpAlGwQr006ljwMiM"",
      ""GSC最新!A:R""
    ),
    16,
    FALSE
  ),
  0
)
"),56.0)</f>
        <v>56</v>
      </c>
      <c r="P81" s="51">
        <f t="shared" ref="P81:Q81" si="397">IFERROR(L81/N81,"-")</f>
        <v>1.19047619</v>
      </c>
      <c r="Q81" s="51">
        <f t="shared" si="397"/>
        <v>1.267857143</v>
      </c>
      <c r="R81" s="9">
        <f>IFERROR(__xludf.DUMMYFUNCTION("IFERROR(
  VLOOKUP(
    A81,
    IMPORTRANGE(
      ""1ZHMy3vVUd_0MrSduXTe1etBb1HNpAlGwQr006ljwMiM"",
      ""GSC最新!A:R""
    ),
    8,
    FALSE
  ),
  0
)
"),0.12)</f>
        <v>0.12</v>
      </c>
      <c r="S81" s="9">
        <f>IFERROR(__xludf.DUMMYFUNCTION("IFERROR(
  VLOOKUP(
    A81,
    IMPORTRANGE(
      ""1ZHMy3vVUd_0MrSduXTe1etBb1HNpAlGwQr006ljwMiM"",
      ""GSC最新!A:R""
    ),
    11,
    FALSE
  ),
  0
)
"),0.056338028169014086)</f>
        <v>0.05633802817</v>
      </c>
      <c r="T81" s="9">
        <f>IFERROR(__xludf.DUMMYFUNCTION("IFERROR(
  VLOOKUP(
    A81,
    IMPORTRANGE(
      ""1ZHMy3vVUd_0MrSduXTe1etBb1HNpAlGwQr006ljwMiM"",
      ""GSC最新!A:R""
    ),
    14,
    FALSE
  ),
  0
)
"),0.047619047619047616)</f>
        <v>0.04761904762</v>
      </c>
      <c r="U81" s="9">
        <f>IFERROR(__xludf.DUMMYFUNCTION("IFERROR(
  VLOOKUP(
    A81,
    IMPORTRANGE(
      ""1ZHMy3vVUd_0MrSduXTe1etBb1HNpAlGwQr006ljwMiM"",
      ""GSC最新!A:R""
    ),
    17,
    FALSE
  ),
  0
)
"),0.017857142857142856)</f>
        <v>0.01785714286</v>
      </c>
      <c r="V81" s="9">
        <f t="shared" ref="V81:W81" si="398">IFERROR(R81-T81,"-")</f>
        <v>0.07238095238</v>
      </c>
      <c r="W81" s="9">
        <f t="shared" si="398"/>
        <v>0.03848088531</v>
      </c>
      <c r="X81" s="65">
        <f>IFERROR(__xludf.DUMMYFUNCTION("IFERROR(
  VLOOKUP(
    A81,
    IMPORTRANGE(
      ""1ZHMy3vVUd_0MrSduXTe1etBb1HNpAlGwQr006ljwMiM"",
      ""GSC最新!A:R""
    ),
    9,
    FALSE
  ),
  0
)
"),10.92)</f>
        <v>10.92</v>
      </c>
      <c r="Y81" s="65">
        <f>IFERROR(__xludf.DUMMYFUNCTION("IFERROR(
  VLOOKUP(
    A81,
    IMPORTRANGE(
      ""1ZHMy3vVUd_0MrSduXTe1etBb1HNpAlGwQr006ljwMiM"",
      ""GSC最新!A:R""
    ),
    12,
    FALSE
  ),
  0
)
"),13.056338028169014)</f>
        <v>13.05633803</v>
      </c>
      <c r="Z81" s="65">
        <f>IFERROR(__xludf.DUMMYFUNCTION("IFERROR(
  VLOOKUP(
    A81,
    IMPORTRANGE(
      ""1ZHMy3vVUd_0MrSduXTe1etBb1HNpAlGwQr006ljwMiM"",
      ""GSC最新!A:R""
    ),
    15,
    FALSE
  ),
  0
)
"),17.523809523809526)</f>
        <v>17.52380952</v>
      </c>
      <c r="AA81" s="65">
        <f>IFERROR(__xludf.DUMMYFUNCTION("IFERROR(
  VLOOKUP(
    A81,
    IMPORTRANGE(
      ""1ZHMy3vVUd_0MrSduXTe1etBb1HNpAlGwQr006ljwMiM"",
      ""GSC最新!A:R""
    ),
    18,
    FALSE
  ),
  0
)
"),31.107142857142858)</f>
        <v>31.10714286</v>
      </c>
      <c r="AB81" s="65">
        <f t="shared" ref="AB81:AC81" si="399">X81-Z81</f>
        <v>-6.603809524</v>
      </c>
      <c r="AC81" s="65">
        <f t="shared" si="399"/>
        <v>-18.05080483</v>
      </c>
      <c r="AD81" s="53">
        <f>IFERROR(__xludf.DUMMYFUNCTION("IFERROR(
  VLOOKUP(
    A81,
    IMPORTRANGE(
      ""1ZHMy3vVUd_0MrSduXTe1etBb1HNpAlGwQr006ljwMiM"",
      ""GSC最新!A:F""
    ),
    6,
    FALSE
  ),
  0
)
"),46081.0)</f>
        <v>46081</v>
      </c>
      <c r="AE81" s="54">
        <f>IFERROR(__xludf.DUMMYFUNCTION("IFERROR(
  VLOOKUP(
    A81,
    IMPORTRANGE(
      ""1SCYQd7_cobOYqT0r_F0IqD4tE4rYn5y8Eup4PJTH8es"",
      ""Snapshot!A:M""
    ),
    5,
    FALSE
  ),
  ""-""
)
"),8.0)</f>
        <v>8</v>
      </c>
      <c r="AF81" s="54">
        <f>IFERROR(__xludf.DUMMYFUNCTION("IFERROR(
  VLOOKUP(
    A81,
    IMPORTRANGE(
      ""1SCYQd7_cobOYqT0r_F0IqD4tE4rYn5y8Eup4PJTH8es"",
      ""Snapshot!A:M""
    ),
    6,
    FALSE
  ),
  0
)
"),7.0)</f>
        <v>7</v>
      </c>
      <c r="AG81" s="54">
        <f>IFERROR(__xludf.DUMMYFUNCTION("IFERROR(
  VLOOKUP(
    A81,
    IMPORTRANGE(
      ""1SCYQd7_cobOYqT0r_F0IqD4tE4rYn5y8Eup4PJTH8es"",
      ""Snapshot!A:M""
    ),
    7,
    FALSE
  ),
  0
)
"),2703.0)</f>
        <v>2703</v>
      </c>
      <c r="AH81" s="54">
        <f>IFERROR(__xludf.DUMMYFUNCTION("IFERROR(
  VLOOKUP(
    A81,
    IMPORTRANGE(
      ""1SCYQd7_cobOYqT0r_F0IqD4tE4rYn5y8Eup4PJTH8es"",
      ""Snapshot!A:M""
    ),
    8,
    FALSE
  ),
  0
)
"),3.0)</f>
        <v>3</v>
      </c>
      <c r="AI81" s="54">
        <f>IFERROR(__xludf.DUMMYFUNCTION("IFERROR(
  VLOOKUP(
    A81,
    IMPORTRANGE(
      ""1SCYQd7_cobOYqT0r_F0IqD4tE4rYn5y8Eup4PJTH8es"",
      ""Snapshot!A:M""
    ),
    9,
    FALSE
  ),
  0
)
"),0.0)</f>
        <v>0</v>
      </c>
      <c r="AJ81" s="54">
        <f>IFERROR(__xludf.DUMMYFUNCTION("IFERROR(
  VLOOKUP(
    A81,
    IMPORTRANGE(
      ""1SCYQd7_cobOYqT0r_F0IqD4tE4rYn5y8Eup4PJTH8es"",
      ""Snapshot!A:M""
    ),
    13,
    FALSE
  ),
  0
)
"),3.0)</f>
        <v>3</v>
      </c>
      <c r="AK81" s="49">
        <f t="shared" ref="AK81:AL81" si="400">LEN(C81)</f>
        <v>27</v>
      </c>
      <c r="AL81" s="49">
        <f t="shared" si="400"/>
        <v>58</v>
      </c>
    </row>
    <row r="82">
      <c r="A82" s="3" t="s">
        <v>331</v>
      </c>
      <c r="B82" s="1" t="str">
        <f>IFERROR(__xludf.DUMMYFUNCTION("IFERROR(
  VLOOKUP(
    A82,
    IMPORTRANGE(
      ""1ZygntHC1J6IxzKbTidmOyf5nUyW4GCLurHCjexrLm_o"",
      ""HTMLキャッシュ!A:F""
    ),
    2,
    FALSE
  ),
  0
)
"),"SP")</f>
        <v>SP</v>
      </c>
      <c r="C82" s="1" t="str">
        <f>IFERROR(__xludf.DUMMYFUNCTION("IFERROR(
  VLOOKUP(
    A82,
    IMPORTRANGE(
      ""1ZygntHC1J6IxzKbTidmOyf5nUyW4GCLurHCjexrLm_o"",
      ""HTMLキャッシュ!A:F""
    ),
    5,
    FALSE
  ),
  0
)
"),"大学受験国語ハイレベル記述対策講座｜得点力講座")</f>
        <v>大学受験国語ハイレベル記述対策講座｜得点力講座</v>
      </c>
      <c r="D82" s="1" t="str">
        <f>IFERROR(__xludf.DUMMYFUNCTION("IFERROR(
  VLOOKUP(
    A82,
    IMPORTRANGE(
      ""1ZygntHC1J6IxzKbTidmOyf5nUyW4GCLurHCjexrLm_o        "",
      ""HTMLキャッシュ!A:F""
    ),
    6,
    FALSE
  ),
  0
)
"),"現代文が読めても点に結びつかない大学受験生へ。根拠の見つけ方と設問対応力を徹底指導するハイレベル国語講座。オンライン・教室対応で得点力アップ無料体験も受付中")</f>
        <v>現代文が読めても点に結びつかない大学受験生へ。根拠の見つけ方と設問対応力を徹底指導するハイレベル国語講座。オンライン・教室対応で得点力アップ無料体験も受付中</v>
      </c>
      <c r="E82" s="32">
        <f>IFERROR(__xludf.DUMMYFUNCTION("IFERROR(
  VLOOKUP(
    A82,
    IMPORTRANGE(
      ""1ZygntHC1J6IxzKbTidmOyf5nUyW4GCLurHCjexrLm_o        "",
      ""HTMLキャッシュ!A:F""
    ),
    3,
    FALSE
  ),
  0
)
"),46081.73181712963)</f>
        <v>46081.73182</v>
      </c>
      <c r="F82" s="49">
        <f>IFERROR(__xludf.DUMMYFUNCTION("IFERROR(
  VLOOKUP(
    A82,
    IMPORTRANGE(
      ""1ZHMy3vVUd_0MrSduXTe1etBb1HNpAlGwQr006ljwMiM"",
      ""GSC最新!A:F""
    ),
    2,
    FALSE
  ),
  0
)
"),1.0)</f>
        <v>1</v>
      </c>
      <c r="G82" s="49">
        <f>IFERROR(__xludf.DUMMYFUNCTION("IFERROR(
  VLOOKUP(
    A82,
    IMPORTRANGE(
      ""1ZHMy3vVUd_0MrSduXTe1etBb1HNpAlGwQr006ljwMiM"",
      ""GSC最新!A:F""
    ),
    3,
    FALSE
  ),
  0
)
"),3.0)</f>
        <v>3</v>
      </c>
      <c r="H82" s="49">
        <f>IFERROR(__xludf.DUMMYFUNCTION("IFERROR(
  VLOOKUP(
    A82,
    IMPORTRANGE(
      ""1ZHMy3vVUd_0MrSduXTe1etBb1HNpAlGwQr006ljwMiM"",
      ""GSC最新!A:F""
    ),
    4,
    FALSE
  ),
  0
)
"),0.0)</f>
        <v>0</v>
      </c>
      <c r="I82" s="49">
        <f>IFERROR(__xludf.DUMMYFUNCTION("IFERROR(
  VLOOKUP(
    A82,
    IMPORTRANGE(
      ""1ZHMy3vVUd_0MrSduXTe1etBb1HNpAlGwQr006ljwMiM"",
      ""GSC最新!A:F""
    ),
    5,
    FALSE
  ),
  0
)
"),0.0)</f>
        <v>0</v>
      </c>
      <c r="J82" s="50" t="str">
        <f t="shared" ref="J82:K82" si="401">IFERROR(F82/H82,"-")</f>
        <v>-</v>
      </c>
      <c r="K82" s="50" t="str">
        <f t="shared" si="401"/>
        <v>-</v>
      </c>
      <c r="L82" s="6">
        <f>IFERROR(__xludf.DUMMYFUNCTION("IFERROR(
  VLOOKUP(
    A82,
    IMPORTRANGE(
      ""1ZHMy3vVUd_0MrSduXTe1etBb1HNpAlGwQr006ljwMiM"",
      ""GSC最新!A:R""
    ),
    7,
    FALSE
  ),
  0
)
"),13.0)</f>
        <v>13</v>
      </c>
      <c r="M82" s="6">
        <f>IFERROR(__xludf.DUMMYFUNCTION("IFERROR(
  VLOOKUP(
    A82,
    IMPORTRANGE(
      ""1ZHMy3vVUd_0MrSduXTe1etBb1HNpAlGwQr006ljwMiM"",
      ""GSC最新!A:R""
    ),
    10,
    FALSE
  ),
  0
)
"),37.0)</f>
        <v>37</v>
      </c>
      <c r="N82" s="6">
        <f>IFERROR(__xludf.DUMMYFUNCTION("IFERROR(
  VLOOKUP(
    A82,
    IMPORTRANGE(
      ""1ZHMy3vVUd_0MrSduXTe1etBb1HNpAlGwQr006ljwMiM"",
      ""GSC最新!A:R""
    ),
    13,
    FALSE
  ),
  0
)
"),2.0)</f>
        <v>2</v>
      </c>
      <c r="O82" s="6">
        <f>IFERROR(__xludf.DUMMYFUNCTION("IFERROR(
  VLOOKUP(
    A82,
    IMPORTRANGE(
      ""1ZHMy3vVUd_0MrSduXTe1etBb1HNpAlGwQr006ljwMiM"",
      ""GSC最新!A:R""
    ),
    16,
    FALSE
  ),
  0
)
"),2.0)</f>
        <v>2</v>
      </c>
      <c r="P82" s="51">
        <f t="shared" ref="P82:Q82" si="402">IFERROR(L82/N82,"-")</f>
        <v>6.5</v>
      </c>
      <c r="Q82" s="51">
        <f t="shared" si="402"/>
        <v>18.5</v>
      </c>
      <c r="R82" s="9">
        <f>IFERROR(__xludf.DUMMYFUNCTION("IFERROR(
  VLOOKUP(
    A82,
    IMPORTRANGE(
      ""1ZHMy3vVUd_0MrSduXTe1etBb1HNpAlGwQr006ljwMiM"",
      ""GSC最新!A:R""
    ),
    8,
    FALSE
  ),
  0
)
"),0.07692307692307693)</f>
        <v>0.07692307692</v>
      </c>
      <c r="S82" s="9">
        <f>IFERROR(__xludf.DUMMYFUNCTION("IFERROR(
  VLOOKUP(
    A82,
    IMPORTRANGE(
      ""1ZHMy3vVUd_0MrSduXTe1etBb1HNpAlGwQr006ljwMiM"",
      ""GSC最新!A:R""
    ),
    11,
    FALSE
  ),
  0
)
"),0.08108108108108109)</f>
        <v>0.08108108108</v>
      </c>
      <c r="T82" s="9">
        <f>IFERROR(__xludf.DUMMYFUNCTION("IFERROR(
  VLOOKUP(
    A82,
    IMPORTRANGE(
      ""1ZHMy3vVUd_0MrSduXTe1etBb1HNpAlGwQr006ljwMiM"",
      ""GSC最新!A:R""
    ),
    14,
    FALSE
  ),
  0
)
"),0.0)</f>
        <v>0</v>
      </c>
      <c r="U82" s="9">
        <f>IFERROR(__xludf.DUMMYFUNCTION("IFERROR(
  VLOOKUP(
    A82,
    IMPORTRANGE(
      ""1ZHMy3vVUd_0MrSduXTe1etBb1HNpAlGwQr006ljwMiM"",
      ""GSC最新!A:R""
    ),
    17,
    FALSE
  ),
  0
)
"),0.0)</f>
        <v>0</v>
      </c>
      <c r="V82" s="9">
        <f t="shared" ref="V82:W82" si="403">IFERROR(R82-T82,"-")</f>
        <v>0.07692307692</v>
      </c>
      <c r="W82" s="9">
        <f t="shared" si="403"/>
        <v>0.08108108108</v>
      </c>
      <c r="X82" s="65">
        <f>IFERROR(__xludf.DUMMYFUNCTION("IFERROR(
  VLOOKUP(
    A82,
    IMPORTRANGE(
      ""1ZHMy3vVUd_0MrSduXTe1etBb1HNpAlGwQr006ljwMiM"",
      ""GSC最新!A:R""
    ),
    9,
    FALSE
  ),
  0
)
"),5.538461538461538)</f>
        <v>5.538461538</v>
      </c>
      <c r="Y82" s="65">
        <f>IFERROR(__xludf.DUMMYFUNCTION("IFERROR(
  VLOOKUP(
    A82,
    IMPORTRANGE(
      ""1ZHMy3vVUd_0MrSduXTe1etBb1HNpAlGwQr006ljwMiM"",
      ""GSC最新!A:R""
    ),
    12,
    FALSE
  ),
  0
)
"),7.243243243243243)</f>
        <v>7.243243243</v>
      </c>
      <c r="Z82" s="65">
        <f>IFERROR(__xludf.DUMMYFUNCTION("IFERROR(
  VLOOKUP(
    A82,
    IMPORTRANGE(
      ""1ZHMy3vVUd_0MrSduXTe1etBb1HNpAlGwQr006ljwMiM"",
      ""GSC最新!A:R""
    ),
    15,
    FALSE
  ),
  0
)
"),9.0)</f>
        <v>9</v>
      </c>
      <c r="AA82" s="65">
        <f>IFERROR(__xludf.DUMMYFUNCTION("IFERROR(
  VLOOKUP(
    A82,
    IMPORTRANGE(
      ""1ZHMy3vVUd_0MrSduXTe1etBb1HNpAlGwQr006ljwMiM"",
      ""GSC最新!A:R""
    ),
    18,
    FALSE
  ),
  0
)
"),9.0)</f>
        <v>9</v>
      </c>
      <c r="AB82" s="65">
        <f t="shared" ref="AB82:AC82" si="404">X82-Z82</f>
        <v>-3.461538462</v>
      </c>
      <c r="AC82" s="65">
        <f t="shared" si="404"/>
        <v>-1.756756757</v>
      </c>
      <c r="AD82" s="53">
        <f>IFERROR(__xludf.DUMMYFUNCTION("IFERROR(
  VLOOKUP(
    A82,
    IMPORTRANGE(
      ""1ZHMy3vVUd_0MrSduXTe1etBb1HNpAlGwQr006ljwMiM"",
      ""GSC最新!A:F""
    ),
    6,
    FALSE
  ),
  0
)
"),46081.0)</f>
        <v>46081</v>
      </c>
      <c r="AE82" s="54">
        <f>IFERROR(__xludf.DUMMYFUNCTION("IFERROR(
  VLOOKUP(
    A82,
    IMPORTRANGE(
      ""1SCYQd7_cobOYqT0r_F0IqD4tE4rYn5y8Eup4PJTH8es"",
      ""Snapshot!A:M""
    ),
    5,
    FALSE
  ),
  ""-""
)
"),0.0)</f>
        <v>0</v>
      </c>
      <c r="AF82" s="54">
        <f>IFERROR(__xludf.DUMMYFUNCTION("IFERROR(
  VLOOKUP(
    A82,
    IMPORTRANGE(
      ""1SCYQd7_cobOYqT0r_F0IqD4tE4rYn5y8Eup4PJTH8es"",
      ""Snapshot!A:M""
    ),
    6,
    FALSE
  ),
  0
)
"),4.0)</f>
        <v>4</v>
      </c>
      <c r="AG82" s="54">
        <f>IFERROR(__xludf.DUMMYFUNCTION("IFERROR(
  VLOOKUP(
    A82,
    IMPORTRANGE(
      ""1SCYQd7_cobOYqT0r_F0IqD4tE4rYn5y8Eup4PJTH8es"",
      ""Snapshot!A:M""
    ),
    7,
    FALSE
  ),
  0
)
"),1430.0)</f>
        <v>1430</v>
      </c>
      <c r="AH82" s="54">
        <f>IFERROR(__xludf.DUMMYFUNCTION("IFERROR(
  VLOOKUP(
    A82,
    IMPORTRANGE(
      ""1SCYQd7_cobOYqT0r_F0IqD4tE4rYn5y8Eup4PJTH8es"",
      ""Snapshot!A:M""
    ),
    8,
    FALSE
  ),
  0
)
"),1.0)</f>
        <v>1</v>
      </c>
      <c r="AI82" s="54">
        <f>IFERROR(__xludf.DUMMYFUNCTION("IFERROR(
  VLOOKUP(
    A82,
    IMPORTRANGE(
      ""1SCYQd7_cobOYqT0r_F0IqD4tE4rYn5y8Eup4PJTH8es"",
      ""Snapshot!A:M""
    ),
    9,
    FALSE
  ),
  0
)
"),0.0)</f>
        <v>0</v>
      </c>
      <c r="AJ82" s="54">
        <f>IFERROR(__xludf.DUMMYFUNCTION("IFERROR(
  VLOOKUP(
    A82,
    IMPORTRANGE(
      ""1SCYQd7_cobOYqT0r_F0IqD4tE4rYn5y8Eup4PJTH8es"",
      ""Snapshot!A:M""
    ),
    13,
    FALSE
  ),
  0
)
"),3.0)</f>
        <v>3</v>
      </c>
      <c r="AK82" s="49">
        <f t="shared" ref="AK82:AL82" si="405">LEN(C82)</f>
        <v>23</v>
      </c>
      <c r="AL82" s="49">
        <f t="shared" si="405"/>
        <v>78</v>
      </c>
    </row>
    <row r="83">
      <c r="A83" s="3" t="s">
        <v>313</v>
      </c>
      <c r="B83" s="1" t="str">
        <f>IFERROR(__xludf.DUMMYFUNCTION("IFERROR(
  VLOOKUP(
    A83,
    IMPORTRANGE(
      ""1ZygntHC1J6IxzKbTidmOyf5nUyW4GCLurHCjexrLm_o"",
      ""HTMLキャッシュ!A:F""
    ),
    2,
    FALSE
  ),
  0
)
"),"SP")</f>
        <v>SP</v>
      </c>
      <c r="C83" s="1" t="str">
        <f>IFERROR(__xludf.DUMMYFUNCTION("IFERROR(
  VLOOKUP(
    A83,
    IMPORTRANGE(
      ""1ZygntHC1J6IxzKbTidmOyf5nUyW4GCLurHCjexrLm_o"",
      ""HTMLキャッシュ!A:F""
    ),
    5,
    FALSE
  ),
  0
)
"),"中学受験小5得点力強化完全個別指導講座｜オンライン塾対応")</f>
        <v>中学受験小5得点力強化完全個別指導講座｜オンライン塾対応</v>
      </c>
      <c r="D83" s="1" t="str">
        <f>IFERROR(__xludf.DUMMYFUNCTION("IFERROR(
  VLOOKUP(
    A83,
    IMPORTRANGE(
      ""1ZygntHC1J6IxzKbTidmOyf5nUyW4GCLurHCjexrLm_o        "",
      ""HTMLキャッシュ!A:F""
    ),
    6,
    FALSE
  ),
  0
)
"),"小5で伸び悩む算数・国語の得点力を完全個別で底上げ。毎週演習＋解説で定着し、オンライン体験相談受付中・今すぐ申込可無料")</f>
        <v>小5で伸び悩む算数・国語の得点力を完全個別で底上げ。毎週演習＋解説で定着し、オンライン体験相談受付中・今すぐ申込可無料</v>
      </c>
      <c r="E83" s="32">
        <f>IFERROR(__xludf.DUMMYFUNCTION("IFERROR(
  VLOOKUP(
    A83,
    IMPORTRANGE(
      ""1ZygntHC1J6IxzKbTidmOyf5nUyW4GCLurHCjexrLm_o        "",
      ""HTMLキャッシュ!A:F""
    ),
    3,
    FALSE
  ),
  0
)
"),46081.79025462963)</f>
        <v>46081.79025</v>
      </c>
      <c r="F83" s="49">
        <f>IFERROR(__xludf.DUMMYFUNCTION("IFERROR(
  VLOOKUP(
    A83,
    IMPORTRANGE(
      ""1ZHMy3vVUd_0MrSduXTe1etBb1HNpAlGwQr006ljwMiM"",
      ""GSC最新!A:F""
    ),
    2,
    FALSE
  ),
  0
)
"),1.0)</f>
        <v>1</v>
      </c>
      <c r="G83" s="49">
        <f>IFERROR(__xludf.DUMMYFUNCTION("IFERROR(
  VLOOKUP(
    A83,
    IMPORTRANGE(
      ""1ZHMy3vVUd_0MrSduXTe1etBb1HNpAlGwQr006ljwMiM"",
      ""GSC最新!A:F""
    ),
    3,
    FALSE
  ),
  0
)
"),3.0)</f>
        <v>3</v>
      </c>
      <c r="H83" s="49">
        <f>IFERROR(__xludf.DUMMYFUNCTION("IFERROR(
  VLOOKUP(
    A83,
    IMPORTRANGE(
      ""1ZHMy3vVUd_0MrSduXTe1etBb1HNpAlGwQr006ljwMiM"",
      ""GSC最新!A:F""
    ),
    4,
    FALSE
  ),
  0
)
"),2.0)</f>
        <v>2</v>
      </c>
      <c r="I83" s="49">
        <f>IFERROR(__xludf.DUMMYFUNCTION("IFERROR(
  VLOOKUP(
    A83,
    IMPORTRANGE(
      ""1ZHMy3vVUd_0MrSduXTe1etBb1HNpAlGwQr006ljwMiM"",
      ""GSC最新!A:F""
    ),
    5,
    FALSE
  ),
  0
)
"),4.0)</f>
        <v>4</v>
      </c>
      <c r="J83" s="50">
        <f t="shared" ref="J83:K83" si="406">IFERROR(F83/H83,"-")</f>
        <v>0.5</v>
      </c>
      <c r="K83" s="50">
        <f t="shared" si="406"/>
        <v>0.75</v>
      </c>
      <c r="L83" s="6">
        <f>IFERROR(__xludf.DUMMYFUNCTION("IFERROR(
  VLOOKUP(
    A83,
    IMPORTRANGE(
      ""1ZHMy3vVUd_0MrSduXTe1etBb1HNpAlGwQr006ljwMiM"",
      ""GSC最新!A:R""
    ),
    7,
    FALSE
  ),
  0
)
"),30.0)</f>
        <v>30</v>
      </c>
      <c r="M83" s="6">
        <f>IFERROR(__xludf.DUMMYFUNCTION("IFERROR(
  VLOOKUP(
    A83,
    IMPORTRANGE(
      ""1ZHMy3vVUd_0MrSduXTe1etBb1HNpAlGwQr006ljwMiM"",
      ""GSC最新!A:R""
    ),
    10,
    FALSE
  ),
  0
)
"),78.0)</f>
        <v>78</v>
      </c>
      <c r="N83" s="6">
        <f>IFERROR(__xludf.DUMMYFUNCTION("IFERROR(
  VLOOKUP(
    A83,
    IMPORTRANGE(
      ""1ZHMy3vVUd_0MrSduXTe1etBb1HNpAlGwQr006ljwMiM"",
      ""GSC最新!A:R""
    ),
    13,
    FALSE
  ),
  0
)
"),30.0)</f>
        <v>30</v>
      </c>
      <c r="O83" s="6">
        <f>IFERROR(__xludf.DUMMYFUNCTION("IFERROR(
  VLOOKUP(
    A83,
    IMPORTRANGE(
      ""1ZHMy3vVUd_0MrSduXTe1etBb1HNpAlGwQr006ljwMiM"",
      ""GSC最新!A:R""
    ),
    16,
    FALSE
  ),
  0
)
"),79.0)</f>
        <v>79</v>
      </c>
      <c r="P83" s="51">
        <f t="shared" ref="P83:Q83" si="407">IFERROR(L83/N83,"-")</f>
        <v>1</v>
      </c>
      <c r="Q83" s="51">
        <f t="shared" si="407"/>
        <v>0.9873417722</v>
      </c>
      <c r="R83" s="9">
        <f>IFERROR(__xludf.DUMMYFUNCTION("IFERROR(
  VLOOKUP(
    A83,
    IMPORTRANGE(
      ""1ZHMy3vVUd_0MrSduXTe1etBb1HNpAlGwQr006ljwMiM"",
      ""GSC最新!A:R""
    ),
    8,
    FALSE
  ),
  0
)
"),0.03333333333333333)</f>
        <v>0.03333333333</v>
      </c>
      <c r="S83" s="9">
        <f>IFERROR(__xludf.DUMMYFUNCTION("IFERROR(
  VLOOKUP(
    A83,
    IMPORTRANGE(
      ""1ZHMy3vVUd_0MrSduXTe1etBb1HNpAlGwQr006ljwMiM"",
      ""GSC最新!A:R""
    ),
    11,
    FALSE
  ),
  0
)
"),0.038461538461538464)</f>
        <v>0.03846153846</v>
      </c>
      <c r="T83" s="9">
        <f>IFERROR(__xludf.DUMMYFUNCTION("IFERROR(
  VLOOKUP(
    A83,
    IMPORTRANGE(
      ""1ZHMy3vVUd_0MrSduXTe1etBb1HNpAlGwQr006ljwMiM"",
      ""GSC最新!A:R""
    ),
    14,
    FALSE
  ),
  0
)
"),0.06666666666666667)</f>
        <v>0.06666666667</v>
      </c>
      <c r="U83" s="9">
        <f>IFERROR(__xludf.DUMMYFUNCTION("IFERROR(
  VLOOKUP(
    A83,
    IMPORTRANGE(
      ""1ZHMy3vVUd_0MrSduXTe1etBb1HNpAlGwQr006ljwMiM"",
      ""GSC最新!A:R""
    ),
    17,
    FALSE
  ),
  0
)
"),0.05063291139240506)</f>
        <v>0.05063291139</v>
      </c>
      <c r="V83" s="9">
        <f t="shared" ref="V83:W83" si="408">IFERROR(R83-T83,"-")</f>
        <v>-0.03333333333</v>
      </c>
      <c r="W83" s="9">
        <f t="shared" si="408"/>
        <v>-0.01217137293</v>
      </c>
      <c r="X83" s="65">
        <f>IFERROR(__xludf.DUMMYFUNCTION("IFERROR(
  VLOOKUP(
    A83,
    IMPORTRANGE(
      ""1ZHMy3vVUd_0MrSduXTe1etBb1HNpAlGwQr006ljwMiM"",
      ""GSC最新!A:R""
    ),
    9,
    FALSE
  ),
  0
)
"),12.233333333333333)</f>
        <v>12.23333333</v>
      </c>
      <c r="Y83" s="65">
        <f>IFERROR(__xludf.DUMMYFUNCTION("IFERROR(
  VLOOKUP(
    A83,
    IMPORTRANGE(
      ""1ZHMy3vVUd_0MrSduXTe1etBb1HNpAlGwQr006ljwMiM"",
      ""GSC最新!A:R""
    ),
    12,
    FALSE
  ),
  0
)
"),8.448717948717949)</f>
        <v>8.448717949</v>
      </c>
      <c r="Z83" s="65">
        <f>IFERROR(__xludf.DUMMYFUNCTION("IFERROR(
  VLOOKUP(
    A83,
    IMPORTRANGE(
      ""1ZHMy3vVUd_0MrSduXTe1etBb1HNpAlGwQr006ljwMiM"",
      ""GSC最新!A:R""
    ),
    15,
    FALSE
  ),
  0
)
"),7.766666666666667)</f>
        <v>7.766666667</v>
      </c>
      <c r="AA83" s="65">
        <f>IFERROR(__xludf.DUMMYFUNCTION("IFERROR(
  VLOOKUP(
    A83,
    IMPORTRANGE(
      ""1ZHMy3vVUd_0MrSduXTe1etBb1HNpAlGwQr006ljwMiM"",
      ""GSC最新!A:R""
    ),
    18,
    FALSE
  ),
  0
)
"),7.493670886075949)</f>
        <v>7.493670886</v>
      </c>
      <c r="AB83" s="65">
        <f t="shared" ref="AB83:AC83" si="409">X83-Z83</f>
        <v>4.466666667</v>
      </c>
      <c r="AC83" s="65">
        <f t="shared" si="409"/>
        <v>0.9550470626</v>
      </c>
      <c r="AD83" s="53">
        <f>IFERROR(__xludf.DUMMYFUNCTION("IFERROR(
  VLOOKUP(
    A83,
    IMPORTRANGE(
      ""1ZHMy3vVUd_0MrSduXTe1etBb1HNpAlGwQr006ljwMiM"",
      ""GSC最新!A:F""
    ),
    6,
    FALSE
  ),
  0
)
"),46081.0)</f>
        <v>46081</v>
      </c>
      <c r="AE83" s="54">
        <f>IFERROR(__xludf.DUMMYFUNCTION("IFERROR(
  VLOOKUP(
    A83,
    IMPORTRANGE(
      ""1SCYQd7_cobOYqT0r_F0IqD4tE4rYn5y8Eup4PJTH8es"",
      ""Snapshot!A:M""
    ),
    5,
    FALSE
  ),
  ""-""
)
"),3.0)</f>
        <v>3</v>
      </c>
      <c r="AF83" s="54">
        <f>IFERROR(__xludf.DUMMYFUNCTION("IFERROR(
  VLOOKUP(
    A83,
    IMPORTRANGE(
      ""1SCYQd7_cobOYqT0r_F0IqD4tE4rYn5y8Eup4PJTH8es"",
      ""Snapshot!A:M""
    ),
    6,
    FALSE
  ),
  0
)
"),14.0)</f>
        <v>14</v>
      </c>
      <c r="AG83" s="54">
        <f>IFERROR(__xludf.DUMMYFUNCTION("IFERROR(
  VLOOKUP(
    A83,
    IMPORTRANGE(
      ""1SCYQd7_cobOYqT0r_F0IqD4tE4rYn5y8Eup4PJTH8es"",
      ""Snapshot!A:M""
    ),
    7,
    FALSE
  ),
  0
)
"),2700.0)</f>
        <v>2700</v>
      </c>
      <c r="AH83" s="54">
        <f>IFERROR(__xludf.DUMMYFUNCTION("IFERROR(
  VLOOKUP(
    A83,
    IMPORTRANGE(
      ""1SCYQd7_cobOYqT0r_F0IqD4tE4rYn5y8Eup4PJTH8es"",
      ""Snapshot!A:M""
    ),
    8,
    FALSE
  ),
  0
)
"),1.0)</f>
        <v>1</v>
      </c>
      <c r="AI83" s="54">
        <f>IFERROR(__xludf.DUMMYFUNCTION("IFERROR(
  VLOOKUP(
    A83,
    IMPORTRANGE(
      ""1SCYQd7_cobOYqT0r_F0IqD4tE4rYn5y8Eup4PJTH8es"",
      ""Snapshot!A:M""
    ),
    9,
    FALSE
  ),
  0
)
"),1.0)</f>
        <v>1</v>
      </c>
      <c r="AJ83" s="54">
        <f>IFERROR(__xludf.DUMMYFUNCTION("IFERROR(
  VLOOKUP(
    A83,
    IMPORTRANGE(
      ""1SCYQd7_cobOYqT0r_F0IqD4tE4rYn5y8Eup4PJTH8es"",
      ""Snapshot!A:M""
    ),
    13,
    FALSE
  ),
  0
)
"),2.0)</f>
        <v>2</v>
      </c>
      <c r="AK83" s="49">
        <f t="shared" ref="AK83:AL83" si="410">LEN(C83)</f>
        <v>28</v>
      </c>
      <c r="AL83" s="49">
        <f t="shared" si="410"/>
        <v>59</v>
      </c>
    </row>
    <row r="84">
      <c r="A84" s="3" t="s">
        <v>585</v>
      </c>
      <c r="B84" s="1" t="str">
        <f>IFERROR(__xludf.DUMMYFUNCTION("IFERROR(
  VLOOKUP(
    A84,
    IMPORTRANGE(
      ""1ZygntHC1J6IxzKbTidmOyf5nUyW4GCLurHCjexrLm_o"",
      ""HTMLキャッシュ!A:F""
    ),
    2,
    FALSE
  ),
  0
)
"),"MC")</f>
        <v>MC</v>
      </c>
      <c r="C84" s="1" t="str">
        <f>IFERROR(__xludf.DUMMYFUNCTION("IFERROR(
  VLOOKUP(
    A84,
    IMPORTRANGE(
      ""1ZygntHC1J6IxzKbTidmOyf5nUyW4GCLurHCjexrLm_o"",
      ""HTMLキャッシュ!A:F""
    ),
    5,
    FALSE
  ),
  0
)
"),"麻布中学校〈国語〉過去問解説｜入試問題の読み方と記述で差をつけるコツ")</f>
        <v>麻布中学校〈国語〉過去問解説｜入試問題の読み方と記述で差をつけるコツ</v>
      </c>
      <c r="D84" s="1" t="str">
        <f>IFERROR(__xludf.DUMMYFUNCTION("IFERROR(
  VLOOKUP(
    A84,
    IMPORTRANGE(
      ""1ZygntHC1J6IxzKbTidmOyf5nUyW4GCLurHCjexrLm_o        "",
      ""HTMLキャッシュ!A:F""
    ),
    6,
    FALSE
  ),
  0
)
"),"麻布中国語の過去問を素材に、ブロック分け・根拠拾い・記述答案の型を整理。読み方→解き方→直し方の順で、得点を安定させる手順をまとめます。")</f>
        <v>麻布中国語の過去問を素材に、ブロック分け・根拠拾い・記述答案の型を整理。読み方→解き方→直し方の順で、得点を安定させる手順をまとめます。</v>
      </c>
      <c r="E84" s="32">
        <f>IFERROR(__xludf.DUMMYFUNCTION("IFERROR(
  VLOOKUP(
    A84,
    IMPORTRANGE(
      ""1ZygntHC1J6IxzKbTidmOyf5nUyW4GCLurHCjexrLm_o        "",
      ""HTMLキャッシュ!A:F""
    ),
    3,
    FALSE
  ),
  0
)
"),46077.757893518516)</f>
        <v>46077.75789</v>
      </c>
      <c r="F84" s="49">
        <f>IFERROR(__xludf.DUMMYFUNCTION("IFERROR(
  VLOOKUP(
    A84,
    IMPORTRANGE(
      ""1ZHMy3vVUd_0MrSduXTe1etBb1HNpAlGwQr006ljwMiM"",
      ""GSC最新!A:F""
    ),
    2,
    FALSE
  ),
  0
)
"),1.0)</f>
        <v>1</v>
      </c>
      <c r="G84" s="49">
        <f>IFERROR(__xludf.DUMMYFUNCTION("IFERROR(
  VLOOKUP(
    A84,
    IMPORTRANGE(
      ""1ZHMy3vVUd_0MrSduXTe1etBb1HNpAlGwQr006ljwMiM"",
      ""GSC最新!A:F""
    ),
    3,
    FALSE
  ),
  0
)
"),2.0)</f>
        <v>2</v>
      </c>
      <c r="H84" s="49">
        <f>IFERROR(__xludf.DUMMYFUNCTION("IFERROR(
  VLOOKUP(
    A84,
    IMPORTRANGE(
      ""1ZHMy3vVUd_0MrSduXTe1etBb1HNpAlGwQr006ljwMiM"",
      ""GSC最新!A:F""
    ),
    4,
    FALSE
  ),
  0
)
"),1.0)</f>
        <v>1</v>
      </c>
      <c r="I84" s="49">
        <f>IFERROR(__xludf.DUMMYFUNCTION("IFERROR(
  VLOOKUP(
    A84,
    IMPORTRANGE(
      ""1ZHMy3vVUd_0MrSduXTe1etBb1HNpAlGwQr006ljwMiM"",
      ""GSC最新!A:F""
    ),
    5,
    FALSE
  ),
  0
)
"),6.0)</f>
        <v>6</v>
      </c>
      <c r="J84" s="50">
        <f t="shared" ref="J84:K84" si="411">IFERROR(F84/H84,"-")</f>
        <v>1</v>
      </c>
      <c r="K84" s="50">
        <f t="shared" si="411"/>
        <v>0.3333333333</v>
      </c>
      <c r="L84" s="6">
        <f>IFERROR(__xludf.DUMMYFUNCTION("IFERROR(
  VLOOKUP(
    A84,
    IMPORTRANGE(
      ""1ZHMy3vVUd_0MrSduXTe1etBb1HNpAlGwQr006ljwMiM"",
      ""GSC最新!A:R""
    ),
    7,
    FALSE
  ),
  0
)
"),135.0)</f>
        <v>135</v>
      </c>
      <c r="M84" s="6">
        <f>IFERROR(__xludf.DUMMYFUNCTION("IFERROR(
  VLOOKUP(
    A84,
    IMPORTRANGE(
      ""1ZHMy3vVUd_0MrSduXTe1etBb1HNpAlGwQr006ljwMiM"",
      ""GSC最新!A:R""
    ),
    10,
    FALSE
  ),
  0
)
"),405.0)</f>
        <v>405</v>
      </c>
      <c r="N84" s="6">
        <f>IFERROR(__xludf.DUMMYFUNCTION("IFERROR(
  VLOOKUP(
    A84,
    IMPORTRANGE(
      ""1ZHMy3vVUd_0MrSduXTe1etBb1HNpAlGwQr006ljwMiM"",
      ""GSC最新!A:R""
    ),
    13,
    FALSE
  ),
  0
)
"),46.0)</f>
        <v>46</v>
      </c>
      <c r="O84" s="6">
        <f>IFERROR(__xludf.DUMMYFUNCTION("IFERROR(
  VLOOKUP(
    A84,
    IMPORTRANGE(
      ""1ZHMy3vVUd_0MrSduXTe1etBb1HNpAlGwQr006ljwMiM"",
      ""GSC最新!A:R""
    ),
    16,
    FALSE
  ),
  0
)
"),437.0)</f>
        <v>437</v>
      </c>
      <c r="P84" s="51">
        <f t="shared" ref="P84:Q84" si="412">IFERROR(L84/N84,"-")</f>
        <v>2.934782609</v>
      </c>
      <c r="Q84" s="51">
        <f t="shared" si="412"/>
        <v>0.9267734554</v>
      </c>
      <c r="R84" s="9">
        <f>IFERROR(__xludf.DUMMYFUNCTION("IFERROR(
  VLOOKUP(
    A84,
    IMPORTRANGE(
      ""1ZHMy3vVUd_0MrSduXTe1etBb1HNpAlGwQr006ljwMiM"",
      ""GSC最新!A:R""
    ),
    8,
    FALSE
  ),
  0
)
"),0.007407407407407408)</f>
        <v>0.007407407407</v>
      </c>
      <c r="S84" s="9">
        <f>IFERROR(__xludf.DUMMYFUNCTION("IFERROR(
  VLOOKUP(
    A84,
    IMPORTRANGE(
      ""1ZHMy3vVUd_0MrSduXTe1etBb1HNpAlGwQr006ljwMiM"",
      ""GSC最新!A:R""
    ),
    11,
    FALSE
  ),
  0
)
"),0.0049382716049382715)</f>
        <v>0.004938271605</v>
      </c>
      <c r="T84" s="9">
        <f>IFERROR(__xludf.DUMMYFUNCTION("IFERROR(
  VLOOKUP(
    A84,
    IMPORTRANGE(
      ""1ZHMy3vVUd_0MrSduXTe1etBb1HNpAlGwQr006ljwMiM"",
      ""GSC最新!A:R""
    ),
    14,
    FALSE
  ),
  0
)
"),0.021739130434782608)</f>
        <v>0.02173913043</v>
      </c>
      <c r="U84" s="9">
        <f>IFERROR(__xludf.DUMMYFUNCTION("IFERROR(
  VLOOKUP(
    A84,
    IMPORTRANGE(
      ""1ZHMy3vVUd_0MrSduXTe1etBb1HNpAlGwQr006ljwMiM"",
      ""GSC最新!A:R""
    ),
    17,
    FALSE
  ),
  0
)
"),0.013729977116704805)</f>
        <v>0.01372997712</v>
      </c>
      <c r="V84" s="9">
        <f t="shared" ref="V84:W84" si="413">IFERROR(R84-T84,"-")</f>
        <v>-0.01433172303</v>
      </c>
      <c r="W84" s="9">
        <f t="shared" si="413"/>
        <v>-0.008791705512</v>
      </c>
      <c r="X84" s="65">
        <f>IFERROR(__xludf.DUMMYFUNCTION("IFERROR(
  VLOOKUP(
    A84,
    IMPORTRANGE(
      ""1ZHMy3vVUd_0MrSduXTe1etBb1HNpAlGwQr006ljwMiM"",
      ""GSC最新!A:R""
    ),
    9,
    FALSE
  ),
  0
)
"),15.807407407407407)</f>
        <v>15.80740741</v>
      </c>
      <c r="Y84" s="65">
        <f>IFERROR(__xludf.DUMMYFUNCTION("IFERROR(
  VLOOKUP(
    A84,
    IMPORTRANGE(
      ""1ZHMy3vVUd_0MrSduXTe1etBb1HNpAlGwQr006ljwMiM"",
      ""GSC最新!A:R""
    ),
    12,
    FALSE
  ),
  0
)
"),19.839506172839506)</f>
        <v>19.83950617</v>
      </c>
      <c r="Z84" s="65">
        <f>IFERROR(__xludf.DUMMYFUNCTION("IFERROR(
  VLOOKUP(
    A84,
    IMPORTRANGE(
      ""1ZHMy3vVUd_0MrSduXTe1etBb1HNpAlGwQr006ljwMiM"",
      ""GSC最新!A:R""
    ),
    15,
    FALSE
  ),
  0
)
"),48.54347826086956)</f>
        <v>48.54347826</v>
      </c>
      <c r="AA84" s="65">
        <f>IFERROR(__xludf.DUMMYFUNCTION("IFERROR(
  VLOOKUP(
    A84,
    IMPORTRANGE(
      ""1ZHMy3vVUd_0MrSduXTe1etBb1HNpAlGwQr006ljwMiM"",
      ""GSC最新!A:R""
    ),
    18,
    FALSE
  ),
  0
)
"),59.09153318077803)</f>
        <v>59.09153318</v>
      </c>
      <c r="AB84" s="65">
        <f t="shared" ref="AB84:AC84" si="414">X84-Z84</f>
        <v>-32.73607085</v>
      </c>
      <c r="AC84" s="65">
        <f t="shared" si="414"/>
        <v>-39.25202701</v>
      </c>
      <c r="AD84" s="53">
        <f>IFERROR(__xludf.DUMMYFUNCTION("IFERROR(
  VLOOKUP(
    A84,
    IMPORTRANGE(
      ""1ZHMy3vVUd_0MrSduXTe1etBb1HNpAlGwQr006ljwMiM"",
      ""GSC最新!A:F""
    ),
    6,
    FALSE
  ),
  0
)
"),46081.0)</f>
        <v>46081</v>
      </c>
      <c r="AE84" s="54">
        <f>IFERROR(__xludf.DUMMYFUNCTION("IFERROR(
  VLOOKUP(
    A84,
    IMPORTRANGE(
      ""1SCYQd7_cobOYqT0r_F0IqD4tE4rYn5y8Eup4PJTH8es"",
      ""Snapshot!A:M""
    ),
    5,
    FALSE
  ),
  ""-""
)
"),9.0)</f>
        <v>9</v>
      </c>
      <c r="AF84" s="54">
        <f>IFERROR(__xludf.DUMMYFUNCTION("IFERROR(
  VLOOKUP(
    A84,
    IMPORTRANGE(
      ""1SCYQd7_cobOYqT0r_F0IqD4tE4rYn5y8Eup4PJTH8es"",
      ""Snapshot!A:M""
    ),
    6,
    FALSE
  ),
  0
)
"),9.0)</f>
        <v>9</v>
      </c>
      <c r="AG84" s="54">
        <f>IFERROR(__xludf.DUMMYFUNCTION("IFERROR(
  VLOOKUP(
    A84,
    IMPORTRANGE(
      ""1SCYQd7_cobOYqT0r_F0IqD4tE4rYn5y8Eup4PJTH8es"",
      ""Snapshot!A:M""
    ),
    7,
    FALSE
  ),
  0
)
"),1400.0)</f>
        <v>1400</v>
      </c>
      <c r="AH84" s="54">
        <f>IFERROR(__xludf.DUMMYFUNCTION("IFERROR(
  VLOOKUP(
    A84,
    IMPORTRANGE(
      ""1SCYQd7_cobOYqT0r_F0IqD4tE4rYn5y8Eup4PJTH8es"",
      ""Snapshot!A:M""
    ),
    8,
    FALSE
  ),
  0
)
"),1.0)</f>
        <v>1</v>
      </c>
      <c r="AI84" s="54">
        <f>IFERROR(__xludf.DUMMYFUNCTION("IFERROR(
  VLOOKUP(
    A84,
    IMPORTRANGE(
      ""1SCYQd7_cobOYqT0r_F0IqD4tE4rYn5y8Eup4PJTH8es"",
      ""Snapshot!A:M""
    ),
    9,
    FALSE
  ),
  0
)
"),1.0)</f>
        <v>1</v>
      </c>
      <c r="AJ84" s="54">
        <f>IFERROR(__xludf.DUMMYFUNCTION("IFERROR(
  VLOOKUP(
    A84,
    IMPORTRANGE(
      ""1SCYQd7_cobOYqT0r_F0IqD4tE4rYn5y8Eup4PJTH8es"",
      ""Snapshot!A:M""
    ),
    13,
    FALSE
  ),
  0
)
"),3.0)</f>
        <v>3</v>
      </c>
      <c r="AK84" s="49">
        <f t="shared" ref="AK84:AL84" si="415">LEN(C84)</f>
        <v>34</v>
      </c>
      <c r="AL84" s="49">
        <f t="shared" si="415"/>
        <v>68</v>
      </c>
    </row>
    <row r="85">
      <c r="A85" s="3" t="s">
        <v>586</v>
      </c>
      <c r="B85" s="1" t="str">
        <f>IFERROR(__xludf.DUMMYFUNCTION("IFERROR(
  VLOOKUP(
    A85,
    IMPORTRANGE(
      ""1ZygntHC1J6IxzKbTidmOyf5nUyW4GCLurHCjexrLm_o"",
      ""HTMLキャッシュ!A:F""
    ),
    2,
    FALSE
  ),
  0
)
"),"MC")</f>
        <v>MC</v>
      </c>
      <c r="C85" s="1" t="str">
        <f>IFERROR(__xludf.DUMMYFUNCTION("IFERROR(
  VLOOKUP(
    A85,
    IMPORTRANGE(
      ""1ZygntHC1J6IxzKbTidmOyf5nUyW4GCLurHCjexrLm_o"",
      ""HTMLキャッシュ!A:F""
    ),
    5,
    FALSE
  ),
  0
)
"),"小論文の基本構造と書き方｜序論・本論・結論で説得力を高める")</f>
        <v>小論文の基本構造と書き方｜序論・本論・結論で説得力を高める</v>
      </c>
      <c r="D85" s="1" t="str">
        <f>IFERROR(__xludf.DUMMYFUNCTION("IFERROR(
  VLOOKUP(
    A85,
    IMPORTRANGE(
      ""1ZygntHC1J6IxzKbTidmOyf5nUyW4GCLurHCjexrLm_o        "",
      ""HTMLキャッシュ!A:F""
    ),
    6,
    FALSE
  ),
  0
)
"),"小論文を意見文でまとめる序論本論結論の割合（10〜20/60〜80/10〜20）と、論点・立場・反対意見・根拠の置き方を整理。")</f>
        <v>小論文を意見文でまとめる序論本論結論の割合（10〜20/60〜80/10〜20）と、論点・立場・反対意見・根拠の置き方を整理。</v>
      </c>
      <c r="E85" s="32">
        <f>IFERROR(__xludf.DUMMYFUNCTION("IFERROR(
  VLOOKUP(
    A85,
    IMPORTRANGE(
      ""1ZygntHC1J6IxzKbTidmOyf5nUyW4GCLurHCjexrLm_o        "",
      ""HTMLキャッシュ!A:F""
    ),
    3,
    FALSE
  ),
  0
)
"),46074.541712962964)</f>
        <v>46074.54171</v>
      </c>
      <c r="F85" s="49">
        <f>IFERROR(__xludf.DUMMYFUNCTION("IFERROR(
  VLOOKUP(
    A85,
    IMPORTRANGE(
      ""1ZHMy3vVUd_0MrSduXTe1etBb1HNpAlGwQr006ljwMiM"",
      ""GSC最新!A:F""
    ),
    2,
    FALSE
  ),
  0
)
"),2.0)</f>
        <v>2</v>
      </c>
      <c r="G85" s="49">
        <f>IFERROR(__xludf.DUMMYFUNCTION("IFERROR(
  VLOOKUP(
    A85,
    IMPORTRANGE(
      ""1ZHMy3vVUd_0MrSduXTe1etBb1HNpAlGwQr006ljwMiM"",
      ""GSC最新!A:F""
    ),
    3,
    FALSE
  ),
  0
)
"),2.0)</f>
        <v>2</v>
      </c>
      <c r="H85" s="49">
        <f>IFERROR(__xludf.DUMMYFUNCTION("IFERROR(
  VLOOKUP(
    A85,
    IMPORTRANGE(
      ""1ZHMy3vVUd_0MrSduXTe1etBb1HNpAlGwQr006ljwMiM"",
      ""GSC最新!A:F""
    ),
    4,
    FALSE
  ),
  0
)
"),1.0)</f>
        <v>1</v>
      </c>
      <c r="I85" s="49">
        <f>IFERROR(__xludf.DUMMYFUNCTION("IFERROR(
  VLOOKUP(
    A85,
    IMPORTRANGE(
      ""1ZHMy3vVUd_0MrSduXTe1etBb1HNpAlGwQr006ljwMiM"",
      ""GSC最新!A:F""
    ),
    5,
    FALSE
  ),
  0
)
"),3.0)</f>
        <v>3</v>
      </c>
      <c r="J85" s="50">
        <f t="shared" ref="J85:K85" si="416">IFERROR(F85/H85,"-")</f>
        <v>2</v>
      </c>
      <c r="K85" s="50">
        <f t="shared" si="416"/>
        <v>0.6666666667</v>
      </c>
      <c r="L85" s="6">
        <f>IFERROR(__xludf.DUMMYFUNCTION("IFERROR(
  VLOOKUP(
    A85,
    IMPORTRANGE(
      ""1ZHMy3vVUd_0MrSduXTe1etBb1HNpAlGwQr006ljwMiM"",
      ""GSC最新!A:R""
    ),
    7,
    FALSE
  ),
  0
)
"),5041.0)</f>
        <v>5041</v>
      </c>
      <c r="M85" s="6">
        <f>IFERROR(__xludf.DUMMYFUNCTION("IFERROR(
  VLOOKUP(
    A85,
    IMPORTRANGE(
      ""1ZHMy3vVUd_0MrSduXTe1etBb1HNpAlGwQr006ljwMiM"",
      ""GSC最新!A:R""
    ),
    10,
    FALSE
  ),
  0
)
"),6190.0)</f>
        <v>6190</v>
      </c>
      <c r="N85" s="6">
        <f>IFERROR(__xludf.DUMMYFUNCTION("IFERROR(
  VLOOKUP(
    A85,
    IMPORTRANGE(
      ""1ZHMy3vVUd_0MrSduXTe1etBb1HNpAlGwQr006ljwMiM"",
      ""GSC最新!A:R""
    ),
    13,
    FALSE
  ),
  0
)
"),68.0)</f>
        <v>68</v>
      </c>
      <c r="O85" s="6">
        <f>IFERROR(__xludf.DUMMYFUNCTION("IFERROR(
  VLOOKUP(
    A85,
    IMPORTRANGE(
      ""1ZHMy3vVUd_0MrSduXTe1etBb1HNpAlGwQr006ljwMiM"",
      ""GSC最新!A:R""
    ),
    16,
    FALSE
  ),
  0
)
"),158.0)</f>
        <v>158</v>
      </c>
      <c r="P85" s="51">
        <f t="shared" ref="P85:Q85" si="417">IFERROR(L85/N85,"-")</f>
        <v>74.13235294</v>
      </c>
      <c r="Q85" s="51">
        <f t="shared" si="417"/>
        <v>39.17721519</v>
      </c>
      <c r="R85" s="9">
        <f>IFERROR(__xludf.DUMMYFUNCTION("IFERROR(
  VLOOKUP(
    A85,
    IMPORTRANGE(
      ""1ZHMy3vVUd_0MrSduXTe1etBb1HNpAlGwQr006ljwMiM"",
      ""GSC最新!A:R""
    ),
    8,
    FALSE
  ),
  0
)
"),3.9674667724657806E-4)</f>
        <v>0.0003967466772</v>
      </c>
      <c r="S85" s="9">
        <f>IFERROR(__xludf.DUMMYFUNCTION("IFERROR(
  VLOOKUP(
    A85,
    IMPORTRANGE(
      ""1ZHMy3vVUd_0MrSduXTe1etBb1HNpAlGwQr006ljwMiM"",
      ""GSC最新!A:R""
    ),
    11,
    FALSE
  ),
  0
)
"),3.2310177705977385E-4)</f>
        <v>0.0003231017771</v>
      </c>
      <c r="T85" s="9">
        <f>IFERROR(__xludf.DUMMYFUNCTION("IFERROR(
  VLOOKUP(
    A85,
    IMPORTRANGE(
      ""1ZHMy3vVUd_0MrSduXTe1etBb1HNpAlGwQr006ljwMiM"",
      ""GSC最新!A:R""
    ),
    14,
    FALSE
  ),
  0
)
"),0.014705882352941176)</f>
        <v>0.01470588235</v>
      </c>
      <c r="U85" s="9">
        <f>IFERROR(__xludf.DUMMYFUNCTION("IFERROR(
  VLOOKUP(
    A85,
    IMPORTRANGE(
      ""1ZHMy3vVUd_0MrSduXTe1etBb1HNpAlGwQr006ljwMiM"",
      ""GSC最新!A:R""
    ),
    17,
    FALSE
  ),
  0
)
"),0.0189873417721519)</f>
        <v>0.01898734177</v>
      </c>
      <c r="V85" s="9">
        <f t="shared" ref="V85:W85" si="418">IFERROR(R85-T85,"-")</f>
        <v>-0.01430913568</v>
      </c>
      <c r="W85" s="9">
        <f t="shared" si="418"/>
        <v>-0.01866424</v>
      </c>
      <c r="X85" s="65">
        <f>IFERROR(__xludf.DUMMYFUNCTION("IFERROR(
  VLOOKUP(
    A85,
    IMPORTRANGE(
      ""1ZHMy3vVUd_0MrSduXTe1etBb1HNpAlGwQr006ljwMiM"",
      ""GSC最新!A:R""
    ),
    9,
    FALSE
  ),
  0
)
"),2.052767308073795)</f>
        <v>2.052767308</v>
      </c>
      <c r="Y85" s="65">
        <f>IFERROR(__xludf.DUMMYFUNCTION("IFERROR(
  VLOOKUP(
    A85,
    IMPORTRANGE(
      ""1ZHMy3vVUd_0MrSduXTe1etBb1HNpAlGwQr006ljwMiM"",
      ""GSC最新!A:R""
    ),
    12,
    FALSE
  ),
  0
)
"),2.3949919224555734)</f>
        <v>2.394991922</v>
      </c>
      <c r="Z85" s="65">
        <f>IFERROR(__xludf.DUMMYFUNCTION("IFERROR(
  VLOOKUP(
    A85,
    IMPORTRANGE(
      ""1ZHMy3vVUd_0MrSduXTe1etBb1HNpAlGwQr006ljwMiM"",
      ""GSC最新!A:R""
    ),
    15,
    FALSE
  ),
  0
)
"),56.029411764705884)</f>
        <v>56.02941176</v>
      </c>
      <c r="AA85" s="65">
        <f>IFERROR(__xludf.DUMMYFUNCTION("IFERROR(
  VLOOKUP(
    A85,
    IMPORTRANGE(
      ""1ZHMy3vVUd_0MrSduXTe1etBb1HNpAlGwQr006ljwMiM"",
      ""GSC最新!A:R""
    ),
    18,
    FALSE
  ),
  0
)
"),37.51898734177215)</f>
        <v>37.51898734</v>
      </c>
      <c r="AB85" s="65">
        <f t="shared" ref="AB85:AC85" si="419">X85-Z85</f>
        <v>-53.97664446</v>
      </c>
      <c r="AC85" s="65">
        <f t="shared" si="419"/>
        <v>-35.12399542</v>
      </c>
      <c r="AD85" s="53">
        <f>IFERROR(__xludf.DUMMYFUNCTION("IFERROR(
  VLOOKUP(
    A85,
    IMPORTRANGE(
      ""1ZHMy3vVUd_0MrSduXTe1etBb1HNpAlGwQr006ljwMiM"",
      ""GSC最新!A:F""
    ),
    6,
    FALSE
  ),
  0
)
"),46081.0)</f>
        <v>46081</v>
      </c>
      <c r="AE85" s="54">
        <f>IFERROR(__xludf.DUMMYFUNCTION("IFERROR(
  VLOOKUP(
    A85,
    IMPORTRANGE(
      ""1SCYQd7_cobOYqT0r_F0IqD4tE4rYn5y8Eup4PJTH8es"",
      ""Snapshot!A:M""
    ),
    5,
    FALSE
  ),
  ""-""
)
"),1.0)</f>
        <v>1</v>
      </c>
      <c r="AF85" s="54">
        <f>IFERROR(__xludf.DUMMYFUNCTION("IFERROR(
  VLOOKUP(
    A85,
    IMPORTRANGE(
      ""1SCYQd7_cobOYqT0r_F0IqD4tE4rYn5y8Eup4PJTH8es"",
      ""Snapshot!A:M""
    ),
    6,
    FALSE
  ),
  0
)
"),0.0)</f>
        <v>0</v>
      </c>
      <c r="AG85" s="54">
        <f>IFERROR(__xludf.DUMMYFUNCTION("IFERROR(
  VLOOKUP(
    A85,
    IMPORTRANGE(
      ""1SCYQd7_cobOYqT0r_F0IqD4tE4rYn5y8Eup4PJTH8es"",
      ""Snapshot!A:M""
    ),
    7,
    FALSE
  ),
  0
)
"),1803.0)</f>
        <v>1803</v>
      </c>
      <c r="AH85" s="54">
        <f>IFERROR(__xludf.DUMMYFUNCTION("IFERROR(
  VLOOKUP(
    A85,
    IMPORTRANGE(
      ""1SCYQd7_cobOYqT0r_F0IqD4tE4rYn5y8Eup4PJTH8es"",
      ""Snapshot!A:M""
    ),
    8,
    FALSE
  ),
  0
)
"),5.0)</f>
        <v>5</v>
      </c>
      <c r="AI85" s="54">
        <f>IFERROR(__xludf.DUMMYFUNCTION("IFERROR(
  VLOOKUP(
    A85,
    IMPORTRANGE(
      ""1SCYQd7_cobOYqT0r_F0IqD4tE4rYn5y8Eup4PJTH8es"",
      ""Snapshot!A:M""
    ),
    9,
    FALSE
  ),
  0
)
"),2.0)</f>
        <v>2</v>
      </c>
      <c r="AJ85" s="54">
        <f>IFERROR(__xludf.DUMMYFUNCTION("IFERROR(
  VLOOKUP(
    A85,
    IMPORTRANGE(
      ""1SCYQd7_cobOYqT0r_F0IqD4tE4rYn5y8Eup4PJTH8es"",
      ""Snapshot!A:M""
    ),
    13,
    FALSE
  ),
  0
)
"),3.0)</f>
        <v>3</v>
      </c>
      <c r="AK85" s="49">
        <f t="shared" ref="AK85:AL85" si="420">LEN(C85)</f>
        <v>29</v>
      </c>
      <c r="AL85" s="49">
        <f t="shared" si="420"/>
        <v>63</v>
      </c>
    </row>
    <row r="86">
      <c r="A86" s="56" t="s">
        <v>587</v>
      </c>
      <c r="B86" s="1" t="str">
        <f>IFERROR(__xludf.DUMMYFUNCTION("IFERROR(
  VLOOKUP(
    A86,
    IMPORTRANGE(
      ""1ZygntHC1J6IxzKbTidmOyf5nUyW4GCLurHCjexrLm_o"",
      ""HTMLキャッシュ!A:F""
    ),
    2,
    FALSE
  ),
  0
)
"),"SC")</f>
        <v>SC</v>
      </c>
      <c r="C86" s="1" t="str">
        <f>IFERROR(__xludf.DUMMYFUNCTION("IFERROR(
  VLOOKUP(
    A86,
    IMPORTRANGE(
      ""1ZygntHC1J6IxzKbTidmOyf5nUyW4GCLurHCjexrLm_o"",
      ""HTMLキャッシュ!A:F""
    ),
    5,
    FALSE
  ),
  0
)
"),"読解とメンタルケア 不安・焦り・思考停止の扱い方 - 受験国語専門 読解ラボ東京 | 中学受験・大学受験対応の個別指導国語専門塾（オンライン・教室対応）")</f>
        <v>読解とメンタルケア 不安・焦り・思考停止の扱い方 - 受験国語専門 読解ラボ東京 | 中学受験・大学受験対応の個別指導国語専門塾（オンライン・教室対応）</v>
      </c>
      <c r="D86" s="1" t="str">
        <f>IFERROR(__xludf.DUMMYFUNCTION("IFERROR(
  VLOOKUP(
    A86,
    IMPORTRANGE(
      ""1ZygntHC1J6IxzKbTidmOyf5nUyW4GCLurHCjexrLm_o        "",
      ""HTMLキャッシュ!A:F""
    ),
    6,
    FALSE
  ),
  0
)
"),"中学受験の国語は不安・焦りで読解が乱れ、思考停止や記述の白紙につながることがあります。崩れの典型パターンと、本文処理・設問分解・記述の工程を短い型で立て直す手順を解説。家庭の声かけ、過去問の負荷調整、オンライン国語の個別指導で安定させる方法も紹介します。")</f>
        <v>中学受験の国語は不安・焦りで読解が乱れ、思考停止や記述の白紙につながることがあります。崩れの典型パターンと、本文処理・設問分解・記述の工程を短い型で立て直す手順を解説。家庭の声かけ、過去問の負荷調整、オンライン国語の個別指導で安定させる方法も紹介します。</v>
      </c>
      <c r="E86" s="32">
        <f>IFERROR(__xludf.DUMMYFUNCTION("IFERROR(
  VLOOKUP(
    A86,
    IMPORTRANGE(
      ""1ZygntHC1J6IxzKbTidmOyf5nUyW4GCLurHCjexrLm_o        "",
      ""HTMLキャッシュ!A:F""
    ),
    3,
    FALSE
  ),
  0
)
"),46080.80767361111)</f>
        <v>46080.80767</v>
      </c>
      <c r="F86" s="49">
        <f>IFERROR(__xludf.DUMMYFUNCTION("IFERROR(
  VLOOKUP(
    A86,
    IMPORTRANGE(
      ""1ZHMy3vVUd_0MrSduXTe1etBb1HNpAlGwQr006ljwMiM"",
      ""GSC最新!A:F""
    ),
    2,
    FALSE
  ),
  0
)
"),0.0)</f>
        <v>0</v>
      </c>
      <c r="G86" s="49">
        <f>IFERROR(__xludf.DUMMYFUNCTION("IFERROR(
  VLOOKUP(
    A86,
    IMPORTRANGE(
      ""1ZHMy3vVUd_0MrSduXTe1etBb1HNpAlGwQr006ljwMiM"",
      ""GSC最新!A:F""
    ),
    3,
    FALSE
  ),
  0
)
"),2.0)</f>
        <v>2</v>
      </c>
      <c r="H86" s="49">
        <f>IFERROR(__xludf.DUMMYFUNCTION("IFERROR(
  VLOOKUP(
    A86,
    IMPORTRANGE(
      ""1ZHMy3vVUd_0MrSduXTe1etBb1HNpAlGwQr006ljwMiM"",
      ""GSC最新!A:F""
    ),
    4,
    FALSE
  ),
  0
)
"),0.0)</f>
        <v>0</v>
      </c>
      <c r="I86" s="49">
        <f>IFERROR(__xludf.DUMMYFUNCTION("IFERROR(
  VLOOKUP(
    A86,
    IMPORTRANGE(
      ""1ZHMy3vVUd_0MrSduXTe1etBb1HNpAlGwQr006ljwMiM"",
      ""GSC最新!A:F""
    ),
    5,
    FALSE
  ),
  0
)
"),0.0)</f>
        <v>0</v>
      </c>
      <c r="J86" s="50" t="str">
        <f t="shared" ref="J86:K86" si="421">IFERROR(F86/H86,"-")</f>
        <v>-</v>
      </c>
      <c r="K86" s="50" t="str">
        <f t="shared" si="421"/>
        <v>-</v>
      </c>
      <c r="L86" s="6">
        <f>IFERROR(__xludf.DUMMYFUNCTION("IFERROR(
  VLOOKUP(
    A86,
    IMPORTRANGE(
      ""1ZHMy3vVUd_0MrSduXTe1etBb1HNpAlGwQr006ljwMiM"",
      ""GSC最新!A:R""
    ),
    7,
    FALSE
  ),
  0
)
"),9.0)</f>
        <v>9</v>
      </c>
      <c r="M86" s="6">
        <f>IFERROR(__xludf.DUMMYFUNCTION("IFERROR(
  VLOOKUP(
    A86,
    IMPORTRANGE(
      ""1ZHMy3vVUd_0MrSduXTe1etBb1HNpAlGwQr006ljwMiM"",
      ""GSC最新!A:R""
    ),
    10,
    FALSE
  ),
  0
)
"),27.0)</f>
        <v>27</v>
      </c>
      <c r="N86" s="6">
        <f>IFERROR(__xludf.DUMMYFUNCTION("IFERROR(
  VLOOKUP(
    A86,
    IMPORTRANGE(
      ""1ZHMy3vVUd_0MrSduXTe1etBb1HNpAlGwQr006ljwMiM"",
      ""GSC最新!A:R""
    ),
    13,
    FALSE
  ),
  0
)
"),0.0)</f>
        <v>0</v>
      </c>
      <c r="O86" s="6">
        <f>IFERROR(__xludf.DUMMYFUNCTION("IFERROR(
  VLOOKUP(
    A86,
    IMPORTRANGE(
      ""1ZHMy3vVUd_0MrSduXTe1etBb1HNpAlGwQr006ljwMiM"",
      ""GSC最新!A:R""
    ),
    16,
    FALSE
  ),
  0
)
"),0.0)</f>
        <v>0</v>
      </c>
      <c r="P86" s="51" t="str">
        <f t="shared" ref="P86:Q86" si="422">IFERROR(L86/N86,"-")</f>
        <v>-</v>
      </c>
      <c r="Q86" s="51" t="str">
        <f t="shared" si="422"/>
        <v>-</v>
      </c>
      <c r="R86" s="9">
        <f>IFERROR(__xludf.DUMMYFUNCTION("IFERROR(
  VLOOKUP(
    A86,
    IMPORTRANGE(
      ""1ZHMy3vVUd_0MrSduXTe1etBb1HNpAlGwQr006ljwMiM"",
      ""GSC最新!A:R""
    ),
    8,
    FALSE
  ),
  0
)
"),0.0)</f>
        <v>0</v>
      </c>
      <c r="S86" s="9">
        <f>IFERROR(__xludf.DUMMYFUNCTION("IFERROR(
  VLOOKUP(
    A86,
    IMPORTRANGE(
      ""1ZHMy3vVUd_0MrSduXTe1etBb1HNpAlGwQr006ljwMiM"",
      ""GSC最新!A:R""
    ),
    11,
    FALSE
  ),
  0
)
"),0.07407407407407407)</f>
        <v>0.07407407407</v>
      </c>
      <c r="T86" s="9">
        <f>IFERROR(__xludf.DUMMYFUNCTION("IFERROR(
  VLOOKUP(
    A86,
    IMPORTRANGE(
      ""1ZHMy3vVUd_0MrSduXTe1etBb1HNpAlGwQr006ljwMiM"",
      ""GSC最新!A:R""
    ),
    14,
    FALSE
  ),
  0
)
"),0.0)</f>
        <v>0</v>
      </c>
      <c r="U86" s="9">
        <f>IFERROR(__xludf.DUMMYFUNCTION("IFERROR(
  VLOOKUP(
    A86,
    IMPORTRANGE(
      ""1ZHMy3vVUd_0MrSduXTe1etBb1HNpAlGwQr006ljwMiM"",
      ""GSC最新!A:R""
    ),
    17,
    FALSE
  ),
  0
)
"),0.0)</f>
        <v>0</v>
      </c>
      <c r="V86" s="9">
        <f t="shared" ref="V86:W86" si="423">IFERROR(R86-T86,"-")</f>
        <v>0</v>
      </c>
      <c r="W86" s="9">
        <f t="shared" si="423"/>
        <v>0.07407407407</v>
      </c>
      <c r="X86" s="65">
        <f>IFERROR(__xludf.DUMMYFUNCTION("IFERROR(
  VLOOKUP(
    A86,
    IMPORTRANGE(
      ""1ZHMy3vVUd_0MrSduXTe1etBb1HNpAlGwQr006ljwMiM"",
      ""GSC最新!A:R""
    ),
    9,
    FALSE
  ),
  0
)
"),3.5555555555555554)</f>
        <v>3.555555556</v>
      </c>
      <c r="Y86" s="65">
        <f>IFERROR(__xludf.DUMMYFUNCTION("IFERROR(
  VLOOKUP(
    A86,
    IMPORTRANGE(
      ""1ZHMy3vVUd_0MrSduXTe1etBb1HNpAlGwQr006ljwMiM"",
      ""GSC最新!A:R""
    ),
    12,
    FALSE
  ),
  0
)
"),4.2592592592592595)</f>
        <v>4.259259259</v>
      </c>
      <c r="Z86" s="65" t="str">
        <f>IFERROR(__xludf.DUMMYFUNCTION("IFERROR(
  VLOOKUP(
    A86,
    IMPORTRANGE(
      ""1ZHMy3vVUd_0MrSduXTe1etBb1HNpAlGwQr006ljwMiM"",
      ""GSC最新!A:R""
    ),
    15,
    FALSE
  ),
  0
)
"),"")</f>
        <v/>
      </c>
      <c r="AA86" s="65" t="str">
        <f>IFERROR(__xludf.DUMMYFUNCTION("IFERROR(
  VLOOKUP(
    A86,
    IMPORTRANGE(
      ""1ZHMy3vVUd_0MrSduXTe1etBb1HNpAlGwQr006ljwMiM"",
      ""GSC最新!A:R""
    ),
    18,
    FALSE
  ),
  0
)
"),"")</f>
        <v/>
      </c>
      <c r="AB86" s="65">
        <f t="shared" ref="AB86:AC86" si="424">X86-Z86</f>
        <v>3.555555556</v>
      </c>
      <c r="AC86" s="65">
        <f t="shared" si="424"/>
        <v>4.259259259</v>
      </c>
      <c r="AD86" s="53">
        <f>IFERROR(__xludf.DUMMYFUNCTION("IFERROR(
  VLOOKUP(
    A86,
    IMPORTRANGE(
      ""1ZHMy3vVUd_0MrSduXTe1etBb1HNpAlGwQr006ljwMiM"",
      ""GSC最新!A:F""
    ),
    6,
    FALSE
  ),
  0
)
"),46081.0)</f>
        <v>46081</v>
      </c>
      <c r="AE86" s="54">
        <f>IFERROR(__xludf.DUMMYFUNCTION("IFERROR(
  VLOOKUP(
    A86,
    IMPORTRANGE(
      ""1SCYQd7_cobOYqT0r_F0IqD4tE4rYn5y8Eup4PJTH8es"",
      ""Snapshot!A:M""
    ),
    5,
    FALSE
  ),
  ""-""
)
"),6.0)</f>
        <v>6</v>
      </c>
      <c r="AF86" s="54">
        <f>IFERROR(__xludf.DUMMYFUNCTION("IFERROR(
  VLOOKUP(
    A86,
    IMPORTRANGE(
      ""1SCYQd7_cobOYqT0r_F0IqD4tE4rYn5y8Eup4PJTH8es"",
      ""Snapshot!A:M""
    ),
    6,
    FALSE
  ),
  0
)
"),0.0)</f>
        <v>0</v>
      </c>
      <c r="AG86" s="54">
        <f>IFERROR(__xludf.DUMMYFUNCTION("IFERROR(
  VLOOKUP(
    A86,
    IMPORTRANGE(
      ""1SCYQd7_cobOYqT0r_F0IqD4tE4rYn5y8Eup4PJTH8es"",
      ""Snapshot!A:M""
    ),
    7,
    FALSE
  ),
  0
)
"),5572.0)</f>
        <v>5572</v>
      </c>
      <c r="AH86" s="54">
        <f>IFERROR(__xludf.DUMMYFUNCTION("IFERROR(
  VLOOKUP(
    A86,
    IMPORTRANGE(
      ""1SCYQd7_cobOYqT0r_F0IqD4tE4rYn5y8Eup4PJTH8es"",
      ""Snapshot!A:M""
    ),
    8,
    FALSE
  ),
  0
)
"),3.0)</f>
        <v>3</v>
      </c>
      <c r="AI86" s="54">
        <f>IFERROR(__xludf.DUMMYFUNCTION("IFERROR(
  VLOOKUP(
    A86,
    IMPORTRANGE(
      ""1SCYQd7_cobOYqT0r_F0IqD4tE4rYn5y8Eup4PJTH8es"",
      ""Snapshot!A:M""
    ),
    9,
    FALSE
  ),
  0
)
"),4.0)</f>
        <v>4</v>
      </c>
      <c r="AJ86" s="54">
        <f>IFERROR(__xludf.DUMMYFUNCTION("IFERROR(
  VLOOKUP(
    A86,
    IMPORTRANGE(
      ""1SCYQd7_cobOYqT0r_F0IqD4tE4rYn5y8Eup4PJTH8es"",
      ""Snapshot!A:M""
    ),
    13,
    FALSE
  ),
  0
)
"),3.0)</f>
        <v>3</v>
      </c>
      <c r="AK86" s="49">
        <f t="shared" ref="AK86:AL86" si="425">LEN(C86)</f>
        <v>76</v>
      </c>
      <c r="AL86" s="49">
        <f t="shared" si="425"/>
        <v>127</v>
      </c>
    </row>
    <row r="87">
      <c r="A87" s="56" t="s">
        <v>588</v>
      </c>
      <c r="B87" s="1" t="str">
        <f>IFERROR(__xludf.DUMMYFUNCTION("IFERROR(
  VLOOKUP(
    A87,
    IMPORTRANGE(
      ""1ZygntHC1J6IxzKbTidmOyf5nUyW4GCLurHCjexrLm_o"",
      ""HTMLキャッシュ!A:F""
    ),
    2,
    FALSE
  ),
  0
)
"),"SC")</f>
        <v>SC</v>
      </c>
      <c r="C87" s="1" t="str">
        <f>IFERROR(__xludf.DUMMYFUNCTION("IFERROR(
  VLOOKUP(
    A87,
    IMPORTRANGE(
      ""1ZygntHC1J6IxzKbTidmOyf5nUyW4GCLurHCjexrLm_o"",
      ""HTMLキャッシュ!A:F""
    ),
    5,
    FALSE
  ),
  0
)
"),"国語が伸びない家庭に共通する“学習パターンのズレ” - 受験国語専門 読解ラボ東京 | 中学受験・大学受験対応の個別指導国語専門塾（オンライン・教室対応）")</f>
        <v>国語が伸びない家庭に共通する“学習パターンのズレ” - 受験国語専門 読解ラボ東京 | 中学受験・大学受験対応の個別指導国語専門塾（オンライン・教室対応）</v>
      </c>
      <c r="D87" s="1" t="str">
        <f>IFERROR(__xludf.DUMMYFUNCTION("IFERROR(
  VLOOKUP(
    A87,
    IMPORTRANGE(
      ""1ZygntHC1J6IxzKbTidmOyf5nUyW4GCLurHCjexrLm_o        "",
      ""HTMLキャッシュ!A:F""
    ),
    6,
    FALSE
  ),
  0
)
"),"中学受験の国語が伸びない家庭には共通する学習パターンのズレがあります。正誤確認だけで終わる復習、設問条件の読み落とし、本文根拠の未固定が失点の原因。オンライン国語の個別指導で答案の見方を統一し、記述と読解力を点につなげる改善手順を解説します。")</f>
        <v>中学受験の国語が伸びない家庭には共通する学習パターンのズレがあります。正誤確認だけで終わる復習、設問条件の読み落とし、本文根拠の未固定が失点の原因。オンライン国語の個別指導で答案の見方を統一し、記述と読解力を点につなげる改善手順を解説します。</v>
      </c>
      <c r="E87" s="32">
        <f>IFERROR(__xludf.DUMMYFUNCTION("IFERROR(
  VLOOKUP(
    A87,
    IMPORTRANGE(
      ""1ZygntHC1J6IxzKbTidmOyf5nUyW4GCLurHCjexrLm_o        "",
      ""HTMLキャッシュ!A:F""
    ),
    3,
    FALSE
  ),
  0
)
"),46080.79077546296)</f>
        <v>46080.79078</v>
      </c>
      <c r="F87" s="49">
        <f>IFERROR(__xludf.DUMMYFUNCTION("IFERROR(
  VLOOKUP(
    A87,
    IMPORTRANGE(
      ""1ZHMy3vVUd_0MrSduXTe1etBb1HNpAlGwQr006ljwMiM"",
      ""GSC最新!A:F""
    ),
    2,
    FALSE
  ),
  0
)
"),1.0)</f>
        <v>1</v>
      </c>
      <c r="G87" s="49">
        <f>IFERROR(__xludf.DUMMYFUNCTION("IFERROR(
  VLOOKUP(
    A87,
    IMPORTRANGE(
      ""1ZHMy3vVUd_0MrSduXTe1etBb1HNpAlGwQr006ljwMiM"",
      ""GSC最新!A:F""
    ),
    3,
    FALSE
  ),
  0
)
"),2.0)</f>
        <v>2</v>
      </c>
      <c r="H87" s="49">
        <f>IFERROR(__xludf.DUMMYFUNCTION("IFERROR(
  VLOOKUP(
    A87,
    IMPORTRANGE(
      ""1ZHMy3vVUd_0MrSduXTe1etBb1HNpAlGwQr006ljwMiM"",
      ""GSC最新!A:F""
    ),
    4,
    FALSE
  ),
  0
)
"),0.0)</f>
        <v>0</v>
      </c>
      <c r="I87" s="49">
        <f>IFERROR(__xludf.DUMMYFUNCTION("IFERROR(
  VLOOKUP(
    A87,
    IMPORTRANGE(
      ""1ZHMy3vVUd_0MrSduXTe1etBb1HNpAlGwQr006ljwMiM"",
      ""GSC最新!A:F""
    ),
    5,
    FALSE
  ),
  0
)
"),0.0)</f>
        <v>0</v>
      </c>
      <c r="J87" s="50" t="str">
        <f t="shared" ref="J87:K87" si="426">IFERROR(F87/H87,"-")</f>
        <v>-</v>
      </c>
      <c r="K87" s="50" t="str">
        <f t="shared" si="426"/>
        <v>-</v>
      </c>
      <c r="L87" s="6">
        <f>IFERROR(__xludf.DUMMYFUNCTION("IFERROR(
  VLOOKUP(
    A87,
    IMPORTRANGE(
      ""1ZHMy3vVUd_0MrSduXTe1etBb1HNpAlGwQr006ljwMiM"",
      ""GSC最新!A:R""
    ),
    7,
    FALSE
  ),
  0
)
"),34.0)</f>
        <v>34</v>
      </c>
      <c r="M87" s="6">
        <f>IFERROR(__xludf.DUMMYFUNCTION("IFERROR(
  VLOOKUP(
    A87,
    IMPORTRANGE(
      ""1ZHMy3vVUd_0MrSduXTe1etBb1HNpAlGwQr006ljwMiM"",
      ""GSC最新!A:R""
    ),
    10,
    FALSE
  ),
  0
)
"),47.0)</f>
        <v>47</v>
      </c>
      <c r="N87" s="6">
        <f>IFERROR(__xludf.DUMMYFUNCTION("IFERROR(
  VLOOKUP(
    A87,
    IMPORTRANGE(
      ""1ZHMy3vVUd_0MrSduXTe1etBb1HNpAlGwQr006ljwMiM"",
      ""GSC最新!A:R""
    ),
    13,
    FALSE
  ),
  0
)
"),0.0)</f>
        <v>0</v>
      </c>
      <c r="O87" s="6">
        <f>IFERROR(__xludf.DUMMYFUNCTION("IFERROR(
  VLOOKUP(
    A87,
    IMPORTRANGE(
      ""1ZHMy3vVUd_0MrSduXTe1etBb1HNpAlGwQr006ljwMiM"",
      ""GSC最新!A:R""
    ),
    16,
    FALSE
  ),
  0
)
"),0.0)</f>
        <v>0</v>
      </c>
      <c r="P87" s="51" t="str">
        <f t="shared" ref="P87:Q87" si="427">IFERROR(L87/N87,"-")</f>
        <v>-</v>
      </c>
      <c r="Q87" s="51" t="str">
        <f t="shared" si="427"/>
        <v>-</v>
      </c>
      <c r="R87" s="9">
        <f>IFERROR(__xludf.DUMMYFUNCTION("IFERROR(
  VLOOKUP(
    A87,
    IMPORTRANGE(
      ""1ZHMy3vVUd_0MrSduXTe1etBb1HNpAlGwQr006ljwMiM"",
      ""GSC最新!A:R""
    ),
    8,
    FALSE
  ),
  0
)
"),0.029411764705882353)</f>
        <v>0.02941176471</v>
      </c>
      <c r="S87" s="9">
        <f>IFERROR(__xludf.DUMMYFUNCTION("IFERROR(
  VLOOKUP(
    A87,
    IMPORTRANGE(
      ""1ZHMy3vVUd_0MrSduXTe1etBb1HNpAlGwQr006ljwMiM"",
      ""GSC最新!A:R""
    ),
    11,
    FALSE
  ),
  0
)
"),0.0425531914893617)</f>
        <v>0.04255319149</v>
      </c>
      <c r="T87" s="9">
        <f>IFERROR(__xludf.DUMMYFUNCTION("IFERROR(
  VLOOKUP(
    A87,
    IMPORTRANGE(
      ""1ZHMy3vVUd_0MrSduXTe1etBb1HNpAlGwQr006ljwMiM"",
      ""GSC最新!A:R""
    ),
    14,
    FALSE
  ),
  0
)
"),0.0)</f>
        <v>0</v>
      </c>
      <c r="U87" s="9">
        <f>IFERROR(__xludf.DUMMYFUNCTION("IFERROR(
  VLOOKUP(
    A87,
    IMPORTRANGE(
      ""1ZHMy3vVUd_0MrSduXTe1etBb1HNpAlGwQr006ljwMiM"",
      ""GSC最新!A:R""
    ),
    17,
    FALSE
  ),
  0
)
"),0.0)</f>
        <v>0</v>
      </c>
      <c r="V87" s="9">
        <f t="shared" ref="V87:W87" si="428">IFERROR(R87-T87,"-")</f>
        <v>0.02941176471</v>
      </c>
      <c r="W87" s="9">
        <f t="shared" si="428"/>
        <v>0.04255319149</v>
      </c>
      <c r="X87" s="65">
        <f>IFERROR(__xludf.DUMMYFUNCTION("IFERROR(
  VLOOKUP(
    A87,
    IMPORTRANGE(
      ""1ZHMy3vVUd_0MrSduXTe1etBb1HNpAlGwQr006ljwMiM"",
      ""GSC最新!A:R""
    ),
    9,
    FALSE
  ),
  0
)
"),8.352941176470587)</f>
        <v>8.352941176</v>
      </c>
      <c r="Y87" s="65">
        <f>IFERROR(__xludf.DUMMYFUNCTION("IFERROR(
  VLOOKUP(
    A87,
    IMPORTRANGE(
      ""1ZHMy3vVUd_0MrSduXTe1etBb1HNpAlGwQr006ljwMiM"",
      ""GSC最新!A:R""
    ),
    12,
    FALSE
  ),
  0
)
"),8.191489361702128)</f>
        <v>8.191489362</v>
      </c>
      <c r="Z87" s="65" t="str">
        <f>IFERROR(__xludf.DUMMYFUNCTION("IFERROR(
  VLOOKUP(
    A87,
    IMPORTRANGE(
      ""1ZHMy3vVUd_0MrSduXTe1etBb1HNpAlGwQr006ljwMiM"",
      ""GSC最新!A:R""
    ),
    15,
    FALSE
  ),
  0
)
"),"")</f>
        <v/>
      </c>
      <c r="AA87" s="65" t="str">
        <f>IFERROR(__xludf.DUMMYFUNCTION("IFERROR(
  VLOOKUP(
    A87,
    IMPORTRANGE(
      ""1ZHMy3vVUd_0MrSduXTe1etBb1HNpAlGwQr006ljwMiM"",
      ""GSC最新!A:R""
    ),
    18,
    FALSE
  ),
  0
)
"),"")</f>
        <v/>
      </c>
      <c r="AB87" s="65">
        <f t="shared" ref="AB87:AC87" si="429">X87-Z87</f>
        <v>8.352941176</v>
      </c>
      <c r="AC87" s="65">
        <f t="shared" si="429"/>
        <v>8.191489362</v>
      </c>
      <c r="AD87" s="53">
        <f>IFERROR(__xludf.DUMMYFUNCTION("IFERROR(
  VLOOKUP(
    A87,
    IMPORTRANGE(
      ""1ZHMy3vVUd_0MrSduXTe1etBb1HNpAlGwQr006ljwMiM"",
      ""GSC最新!A:F""
    ),
    6,
    FALSE
  ),
  0
)
"),46081.0)</f>
        <v>46081</v>
      </c>
      <c r="AE87" s="54">
        <f>IFERROR(__xludf.DUMMYFUNCTION("IFERROR(
  VLOOKUP(
    A87,
    IMPORTRANGE(
      ""1SCYQd7_cobOYqT0r_F0IqD4tE4rYn5y8Eup4PJTH8es"",
      ""Snapshot!A:M""
    ),
    5,
    FALSE
  ),
  ""-""
)
"),6.0)</f>
        <v>6</v>
      </c>
      <c r="AF87" s="54">
        <f>IFERROR(__xludf.DUMMYFUNCTION("IFERROR(
  VLOOKUP(
    A87,
    IMPORTRANGE(
      ""1SCYQd7_cobOYqT0r_F0IqD4tE4rYn5y8Eup4PJTH8es"",
      ""Snapshot!A:M""
    ),
    6,
    FALSE
  ),
  0
)
"),0.0)</f>
        <v>0</v>
      </c>
      <c r="AG87" s="54">
        <f>IFERROR(__xludf.DUMMYFUNCTION("IFERROR(
  VLOOKUP(
    A87,
    IMPORTRANGE(
      ""1SCYQd7_cobOYqT0r_F0IqD4tE4rYn5y8Eup4PJTH8es"",
      ""Snapshot!A:M""
    ),
    7,
    FALSE
  ),
  0
)
"),3109.0)</f>
        <v>3109</v>
      </c>
      <c r="AH87" s="54">
        <f>IFERROR(__xludf.DUMMYFUNCTION("IFERROR(
  VLOOKUP(
    A87,
    IMPORTRANGE(
      ""1SCYQd7_cobOYqT0r_F0IqD4tE4rYn5y8Eup4PJTH8es"",
      ""Snapshot!A:M""
    ),
    8,
    FALSE
  ),
  0
)
"),3.0)</f>
        <v>3</v>
      </c>
      <c r="AI87" s="54">
        <f>IFERROR(__xludf.DUMMYFUNCTION("IFERROR(
  VLOOKUP(
    A87,
    IMPORTRANGE(
      ""1SCYQd7_cobOYqT0r_F0IqD4tE4rYn5y8Eup4PJTH8es"",
      ""Snapshot!A:M""
    ),
    9,
    FALSE
  ),
  0
)
"),5.0)</f>
        <v>5</v>
      </c>
      <c r="AJ87" s="54">
        <f>IFERROR(__xludf.DUMMYFUNCTION("IFERROR(
  VLOOKUP(
    A87,
    IMPORTRANGE(
      ""1SCYQd7_cobOYqT0r_F0IqD4tE4rYn5y8Eup4PJTH8es"",
      ""Snapshot!A:M""
    ),
    13,
    FALSE
  ),
  0
)
"),3.0)</f>
        <v>3</v>
      </c>
      <c r="AK87" s="49">
        <f t="shared" ref="AK87:AL87" si="430">LEN(C87)</f>
        <v>77</v>
      </c>
      <c r="AL87" s="49">
        <f t="shared" si="430"/>
        <v>121</v>
      </c>
    </row>
    <row r="88">
      <c r="A88" s="3" t="s">
        <v>589</v>
      </c>
      <c r="B88" s="1" t="str">
        <f>IFERROR(__xludf.DUMMYFUNCTION("IFERROR(
  VLOOKUP(
    A88,
    IMPORTRANGE(
      ""1ZygntHC1J6IxzKbTidmOyf5nUyW4GCLurHCjexrLm_o"",
      ""HTMLキャッシュ!A:F""
    ),
    2,
    FALSE
  ),
  0
)
"),"SC")</f>
        <v>SC</v>
      </c>
      <c r="C88" s="1" t="str">
        <f>IFERROR(__xludf.DUMMYFUNCTION("IFERROR(
  VLOOKUP(
    A88,
    IMPORTRANGE(
      ""1ZygntHC1J6IxzKbTidmOyf5nUyW4GCLurHCjexrLm_o"",
      ""HTMLキャッシュ!A:F""
    ),
    5,
    FALSE
  ),
  0
)
"),"オンライン国語塾の費用相場｜月謝と添削で比較｜中学受験国語")</f>
        <v>オンライン国語塾の費用相場｜月謝と添削で比較｜中学受験国語</v>
      </c>
      <c r="D88" s="1" t="str">
        <f>IFERROR(__xludf.DUMMYFUNCTION("IFERROR(
  VLOOKUP(
    A88,
    IMPORTRANGE(
      ""1ZygntHC1J6IxzKbTidmOyf5nUyW4GCLurHCjexrLm_o        "",
      ""HTMLキャッシュ!A:F""
    ),
    6,
    FALSE
  ),
  0
)
"),"オンライン国語塾の費用は相場だけで判断すると失敗しがち。記述添削の回数と密度、過去問サポート、宿題管理など5項目で費用対効果を比較する方法を整理。")</f>
        <v>オンライン国語塾の費用は相場だけで判断すると失敗しがち。記述添削の回数と密度、過去問サポート、宿題管理など5項目で費用対効果を比較する方法を整理。</v>
      </c>
      <c r="E88" s="32">
        <f>IFERROR(__xludf.DUMMYFUNCTION("IFERROR(
  VLOOKUP(
    A88,
    IMPORTRANGE(
      ""1ZygntHC1J6IxzKbTidmOyf5nUyW4GCLurHCjexrLm_o        "",
      ""HTMLキャッシュ!A:F""
    ),
    3,
    FALSE
  ),
  0
)
"),46069.811585648145)</f>
        <v>46069.81159</v>
      </c>
      <c r="F88" s="49">
        <f>IFERROR(__xludf.DUMMYFUNCTION("IFERROR(
  VLOOKUP(
    A88,
    IMPORTRANGE(
      ""1ZHMy3vVUd_0MrSduXTe1etBb1HNpAlGwQr006ljwMiM"",
      ""GSC最新!A:F""
    ),
    2,
    FALSE
  ),
  0
)
"),1.0)</f>
        <v>1</v>
      </c>
      <c r="G88" s="49">
        <f>IFERROR(__xludf.DUMMYFUNCTION("IFERROR(
  VLOOKUP(
    A88,
    IMPORTRANGE(
      ""1ZHMy3vVUd_0MrSduXTe1etBb1HNpAlGwQr006ljwMiM"",
      ""GSC最新!A:F""
    ),
    3,
    FALSE
  ),
  0
)
"),2.0)</f>
        <v>2</v>
      </c>
      <c r="H88" s="49">
        <f>IFERROR(__xludf.DUMMYFUNCTION("IFERROR(
  VLOOKUP(
    A88,
    IMPORTRANGE(
      ""1ZHMy3vVUd_0MrSduXTe1etBb1HNpAlGwQr006ljwMiM"",
      ""GSC最新!A:F""
    ),
    4,
    FALSE
  ),
  0
)
"),0.0)</f>
        <v>0</v>
      </c>
      <c r="I88" s="49">
        <f>IFERROR(__xludf.DUMMYFUNCTION("IFERROR(
  VLOOKUP(
    A88,
    IMPORTRANGE(
      ""1ZHMy3vVUd_0MrSduXTe1etBb1HNpAlGwQr006ljwMiM"",
      ""GSC最新!A:F""
    ),
    5,
    FALSE
  ),
  0
)
"),0.0)</f>
        <v>0</v>
      </c>
      <c r="J88" s="50" t="str">
        <f t="shared" ref="J88:K88" si="431">IFERROR(F88/H88,"-")</f>
        <v>-</v>
      </c>
      <c r="K88" s="50" t="str">
        <f t="shared" si="431"/>
        <v>-</v>
      </c>
      <c r="L88" s="6">
        <f>IFERROR(__xludf.DUMMYFUNCTION("IFERROR(
  VLOOKUP(
    A88,
    IMPORTRANGE(
      ""1ZHMy3vVUd_0MrSduXTe1etBb1HNpAlGwQr006ljwMiM"",
      ""GSC最新!A:R""
    ),
    7,
    FALSE
  ),
  0
)
"),63.0)</f>
        <v>63</v>
      </c>
      <c r="M88" s="6">
        <f>IFERROR(__xludf.DUMMYFUNCTION("IFERROR(
  VLOOKUP(
    A88,
    IMPORTRANGE(
      ""1ZHMy3vVUd_0MrSduXTe1etBb1HNpAlGwQr006ljwMiM"",
      ""GSC最新!A:R""
    ),
    10,
    FALSE
  ),
  0
)
"),170.0)</f>
        <v>170</v>
      </c>
      <c r="N88" s="6">
        <f>IFERROR(__xludf.DUMMYFUNCTION("IFERROR(
  VLOOKUP(
    A88,
    IMPORTRANGE(
      ""1ZHMy3vVUd_0MrSduXTe1etBb1HNpAlGwQr006ljwMiM"",
      ""GSC最新!A:R""
    ),
    13,
    FALSE
  ),
  0
)
"),0.0)</f>
        <v>0</v>
      </c>
      <c r="O88" s="6">
        <f>IFERROR(__xludf.DUMMYFUNCTION("IFERROR(
  VLOOKUP(
    A88,
    IMPORTRANGE(
      ""1ZHMy3vVUd_0MrSduXTe1etBb1HNpAlGwQr006ljwMiM"",
      ""GSC最新!A:R""
    ),
    16,
    FALSE
  ),
  0
)
"),0.0)</f>
        <v>0</v>
      </c>
      <c r="P88" s="51" t="str">
        <f t="shared" ref="P88:Q88" si="432">IFERROR(L88/N88,"-")</f>
        <v>-</v>
      </c>
      <c r="Q88" s="51" t="str">
        <f t="shared" si="432"/>
        <v>-</v>
      </c>
      <c r="R88" s="9">
        <f>IFERROR(__xludf.DUMMYFUNCTION("IFERROR(
  VLOOKUP(
    A88,
    IMPORTRANGE(
      ""1ZHMy3vVUd_0MrSduXTe1etBb1HNpAlGwQr006ljwMiM"",
      ""GSC最新!A:R""
    ),
    8,
    FALSE
  ),
  0
)
"),0.015873015873015872)</f>
        <v>0.01587301587</v>
      </c>
      <c r="S88" s="9">
        <f>IFERROR(__xludf.DUMMYFUNCTION("IFERROR(
  VLOOKUP(
    A88,
    IMPORTRANGE(
      ""1ZHMy3vVUd_0MrSduXTe1etBb1HNpAlGwQr006ljwMiM"",
      ""GSC最新!A:R""
    ),
    11,
    FALSE
  ),
  0
)
"),0.011764705882352941)</f>
        <v>0.01176470588</v>
      </c>
      <c r="T88" s="9">
        <f>IFERROR(__xludf.DUMMYFUNCTION("IFERROR(
  VLOOKUP(
    A88,
    IMPORTRANGE(
      ""1ZHMy3vVUd_0MrSduXTe1etBb1HNpAlGwQr006ljwMiM"",
      ""GSC最新!A:R""
    ),
    14,
    FALSE
  ),
  0
)
"),0.0)</f>
        <v>0</v>
      </c>
      <c r="U88" s="9">
        <f>IFERROR(__xludf.DUMMYFUNCTION("IFERROR(
  VLOOKUP(
    A88,
    IMPORTRANGE(
      ""1ZHMy3vVUd_0MrSduXTe1etBb1HNpAlGwQr006ljwMiM"",
      ""GSC最新!A:R""
    ),
    17,
    FALSE
  ),
  0
)
"),0.0)</f>
        <v>0</v>
      </c>
      <c r="V88" s="9">
        <f t="shared" ref="V88:W88" si="433">IFERROR(R88-T88,"-")</f>
        <v>0.01587301587</v>
      </c>
      <c r="W88" s="9">
        <f t="shared" si="433"/>
        <v>0.01176470588</v>
      </c>
      <c r="X88" s="65">
        <f>IFERROR(__xludf.DUMMYFUNCTION("IFERROR(
  VLOOKUP(
    A88,
    IMPORTRANGE(
      ""1ZHMy3vVUd_0MrSduXTe1etBb1HNpAlGwQr006ljwMiM"",
      ""GSC最新!A:R""
    ),
    9,
    FALSE
  ),
  0
)
"),5.285714285714286)</f>
        <v>5.285714286</v>
      </c>
      <c r="Y88" s="65">
        <f>IFERROR(__xludf.DUMMYFUNCTION("IFERROR(
  VLOOKUP(
    A88,
    IMPORTRANGE(
      ""1ZHMy3vVUd_0MrSduXTe1etBb1HNpAlGwQr006ljwMiM"",
      ""GSC最新!A:R""
    ),
    12,
    FALSE
  ),
  0
)
"),5.311764705882353)</f>
        <v>5.311764706</v>
      </c>
      <c r="Z88" s="65" t="str">
        <f>IFERROR(__xludf.DUMMYFUNCTION("IFERROR(
  VLOOKUP(
    A88,
    IMPORTRANGE(
      ""1ZHMy3vVUd_0MrSduXTe1etBb1HNpAlGwQr006ljwMiM"",
      ""GSC最新!A:R""
    ),
    15,
    FALSE
  ),
  0
)
"),"")</f>
        <v/>
      </c>
      <c r="AA88" s="65" t="str">
        <f>IFERROR(__xludf.DUMMYFUNCTION("IFERROR(
  VLOOKUP(
    A88,
    IMPORTRANGE(
      ""1ZHMy3vVUd_0MrSduXTe1etBb1HNpAlGwQr006ljwMiM"",
      ""GSC最新!A:R""
    ),
    18,
    FALSE
  ),
  0
)
"),"")</f>
        <v/>
      </c>
      <c r="AB88" s="65">
        <f t="shared" ref="AB88:AC88" si="434">X88-Z88</f>
        <v>5.285714286</v>
      </c>
      <c r="AC88" s="65">
        <f t="shared" si="434"/>
        <v>5.311764706</v>
      </c>
      <c r="AD88" s="53">
        <f>IFERROR(__xludf.DUMMYFUNCTION("IFERROR(
  VLOOKUP(
    A88,
    IMPORTRANGE(
      ""1ZHMy3vVUd_0MrSduXTe1etBb1HNpAlGwQr006ljwMiM"",
      ""GSC最新!A:F""
    ),
    6,
    FALSE
  ),
  0
)
"),46081.0)</f>
        <v>46081</v>
      </c>
      <c r="AE88" s="54">
        <f>IFERROR(__xludf.DUMMYFUNCTION("IFERROR(
  VLOOKUP(
    A88,
    IMPORTRANGE(
      ""1SCYQd7_cobOYqT0r_F0IqD4tE4rYn5y8Eup4PJTH8es"",
      ""Snapshot!A:M""
    ),
    5,
    FALSE
  ),
  ""-""
)
"),2.0)</f>
        <v>2</v>
      </c>
      <c r="AF88" s="54">
        <f>IFERROR(__xludf.DUMMYFUNCTION("IFERROR(
  VLOOKUP(
    A88,
    IMPORTRANGE(
      ""1SCYQd7_cobOYqT0r_F0IqD4tE4rYn5y8Eup4PJTH8es"",
      ""Snapshot!A:M""
    ),
    6,
    FALSE
  ),
  0
)
"),3.0)</f>
        <v>3</v>
      </c>
      <c r="AG88" s="54">
        <f>IFERROR(__xludf.DUMMYFUNCTION("IFERROR(
  VLOOKUP(
    A88,
    IMPORTRANGE(
      ""1SCYQd7_cobOYqT0r_F0IqD4tE4rYn5y8Eup4PJTH8es"",
      ""Snapshot!A:M""
    ),
    7,
    FALSE
  ),
  0
)
"),1610.0)</f>
        <v>1610</v>
      </c>
      <c r="AH88" s="54">
        <f>IFERROR(__xludf.DUMMYFUNCTION("IFERROR(
  VLOOKUP(
    A88,
    IMPORTRANGE(
      ""1SCYQd7_cobOYqT0r_F0IqD4tE4rYn5y8Eup4PJTH8es"",
      ""Snapshot!A:M""
    ),
    8,
    FALSE
  ),
  0
)
"),0.0)</f>
        <v>0</v>
      </c>
      <c r="AI88" s="54">
        <f>IFERROR(__xludf.DUMMYFUNCTION("IFERROR(
  VLOOKUP(
    A88,
    IMPORTRANGE(
      ""1SCYQd7_cobOYqT0r_F0IqD4tE4rYn5y8Eup4PJTH8es"",
      ""Snapshot!A:M""
    ),
    9,
    FALSE
  ),
  0
)
"),0.0)</f>
        <v>0</v>
      </c>
      <c r="AJ88" s="54">
        <f>IFERROR(__xludf.DUMMYFUNCTION("IFERROR(
  VLOOKUP(
    A88,
    IMPORTRANGE(
      ""1SCYQd7_cobOYqT0r_F0IqD4tE4rYn5y8Eup4PJTH8es"",
      ""Snapshot!A:M""
    ),
    13,
    FALSE
  ),
  0
)
"),3.0)</f>
        <v>3</v>
      </c>
      <c r="AK88" s="49">
        <f t="shared" ref="AK88:AL88" si="435">LEN(C88)</f>
        <v>29</v>
      </c>
      <c r="AL88" s="49">
        <f t="shared" si="435"/>
        <v>73</v>
      </c>
    </row>
    <row r="89">
      <c r="A89" s="56" t="s">
        <v>590</v>
      </c>
      <c r="B89" s="1" t="str">
        <f>IFERROR(__xludf.DUMMYFUNCTION("IFERROR(
  VLOOKUP(
    A89,
    IMPORTRANGE(
      ""1ZygntHC1J6IxzKbTidmOyf5nUyW4GCLurHCjexrLm_o"",
      ""HTMLキャッシュ!A:F""
    ),
    2,
    FALSE
  ),
  0
)
"),"SC")</f>
        <v>SC</v>
      </c>
      <c r="C89" s="1" t="str">
        <f>IFERROR(__xludf.DUMMYFUNCTION("IFERROR(
  VLOOKUP(
    A89,
    IMPORTRANGE(
      ""1ZygntHC1J6IxzKbTidmOyf5nUyW4GCLurHCjexrLm_o"",
      ""HTMLキャッシュ!A:F""
    ),
    5,
    FALSE
  ),
  0
)
"),"SAPIX国語の記述対策｜根拠特定と手順固定で伸ばす")</f>
        <v>SAPIX国語の記述対策｜根拠特定と手順固定で伸ばす</v>
      </c>
      <c r="D89" s="1" t="str">
        <f>IFERROR(__xludf.DUMMYFUNCTION("IFERROR(
  VLOOKUP(
    A89,
    IMPORTRANGE(
      ""1ZygntHC1J6IxzKbTidmOyf5nUyW4GCLurHCjexrLm_o        "",
      ""HTMLキャッシュ!A:F""
    ),
    6,
    FALSE
  ),
  0
)
"),"SAPIX国語の記述が伸びない原因は読解力より根拠の取り違えと処理手順の崩れ。段落構造の見える化、設問条件の分解、添削後の直し方まで手順を固定する。")</f>
        <v>SAPIX国語の記述が伸びない原因は読解力より根拠の取り違えと処理手順の崩れ。段落構造の見える化、設問条件の分解、添削後の直し方まで手順を固定する。</v>
      </c>
      <c r="E89" s="32">
        <f>IFERROR(__xludf.DUMMYFUNCTION("IFERROR(
  VLOOKUP(
    A89,
    IMPORTRANGE(
      ""1ZygntHC1J6IxzKbTidmOyf5nUyW4GCLurHCjexrLm_o        "",
      ""HTMLキャッシュ!A:F""
    ),
    3,
    FALSE
  ),
  0
)
"),46077.78288194445)</f>
        <v>46077.78288</v>
      </c>
      <c r="F89" s="49">
        <f>IFERROR(__xludf.DUMMYFUNCTION("IFERROR(
  VLOOKUP(
    A89,
    IMPORTRANGE(
      ""1ZHMy3vVUd_0MrSduXTe1etBb1HNpAlGwQr006ljwMiM"",
      ""GSC最新!A:F""
    ),
    2,
    FALSE
  ),
  0
)
"),0.0)</f>
        <v>0</v>
      </c>
      <c r="G89" s="49">
        <f>IFERROR(__xludf.DUMMYFUNCTION("IFERROR(
  VLOOKUP(
    A89,
    IMPORTRANGE(
      ""1ZHMy3vVUd_0MrSduXTe1etBb1HNpAlGwQr006ljwMiM"",
      ""GSC最新!A:F""
    ),
    3,
    FALSE
  ),
  0
)
"),2.0)</f>
        <v>2</v>
      </c>
      <c r="H89" s="49">
        <f>IFERROR(__xludf.DUMMYFUNCTION("IFERROR(
  VLOOKUP(
    A89,
    IMPORTRANGE(
      ""1ZHMy3vVUd_0MrSduXTe1etBb1HNpAlGwQr006ljwMiM"",
      ""GSC最新!A:F""
    ),
    4,
    FALSE
  ),
  0
)
"),0.0)</f>
        <v>0</v>
      </c>
      <c r="I89" s="49">
        <f>IFERROR(__xludf.DUMMYFUNCTION("IFERROR(
  VLOOKUP(
    A89,
    IMPORTRANGE(
      ""1ZHMy3vVUd_0MrSduXTe1etBb1HNpAlGwQr006ljwMiM"",
      ""GSC最新!A:F""
    ),
    5,
    FALSE
  ),
  0
)
"),0.0)</f>
        <v>0</v>
      </c>
      <c r="J89" s="50" t="str">
        <f t="shared" ref="J89:K89" si="436">IFERROR(F89/H89,"-")</f>
        <v>-</v>
      </c>
      <c r="K89" s="50" t="str">
        <f t="shared" si="436"/>
        <v>-</v>
      </c>
      <c r="L89" s="6">
        <f>IFERROR(__xludf.DUMMYFUNCTION("IFERROR(
  VLOOKUP(
    A89,
    IMPORTRANGE(
      ""1ZHMy3vVUd_0MrSduXTe1etBb1HNpAlGwQr006ljwMiM"",
      ""GSC最新!A:R""
    ),
    7,
    FALSE
  ),
  0
)
"),42.0)</f>
        <v>42</v>
      </c>
      <c r="M89" s="6">
        <f>IFERROR(__xludf.DUMMYFUNCTION("IFERROR(
  VLOOKUP(
    A89,
    IMPORTRANGE(
      ""1ZHMy3vVUd_0MrSduXTe1etBb1HNpAlGwQr006ljwMiM"",
      ""GSC最新!A:R""
    ),
    10,
    FALSE
  ),
  0
)
"),109.0)</f>
        <v>109</v>
      </c>
      <c r="N89" s="6">
        <f>IFERROR(__xludf.DUMMYFUNCTION("IFERROR(
  VLOOKUP(
    A89,
    IMPORTRANGE(
      ""1ZHMy3vVUd_0MrSduXTe1etBb1HNpAlGwQr006ljwMiM"",
      ""GSC最新!A:R""
    ),
    13,
    FALSE
  ),
  0
)
"),0.0)</f>
        <v>0</v>
      </c>
      <c r="O89" s="6">
        <f>IFERROR(__xludf.DUMMYFUNCTION("IFERROR(
  VLOOKUP(
    A89,
    IMPORTRANGE(
      ""1ZHMy3vVUd_0MrSduXTe1etBb1HNpAlGwQr006ljwMiM"",
      ""GSC最新!A:R""
    ),
    16,
    FALSE
  ),
  0
)
"),0.0)</f>
        <v>0</v>
      </c>
      <c r="P89" s="51" t="str">
        <f t="shared" ref="P89:Q89" si="437">IFERROR(L89/N89,"-")</f>
        <v>-</v>
      </c>
      <c r="Q89" s="51" t="str">
        <f t="shared" si="437"/>
        <v>-</v>
      </c>
      <c r="R89" s="9">
        <f>IFERROR(__xludf.DUMMYFUNCTION("IFERROR(
  VLOOKUP(
    A89,
    IMPORTRANGE(
      ""1ZHMy3vVUd_0MrSduXTe1etBb1HNpAlGwQr006ljwMiM"",
      ""GSC最新!A:R""
    ),
    8,
    FALSE
  ),
  0
)
"),0.0)</f>
        <v>0</v>
      </c>
      <c r="S89" s="9">
        <f>IFERROR(__xludf.DUMMYFUNCTION("IFERROR(
  VLOOKUP(
    A89,
    IMPORTRANGE(
      ""1ZHMy3vVUd_0MrSduXTe1etBb1HNpAlGwQr006ljwMiM"",
      ""GSC最新!A:R""
    ),
    11,
    FALSE
  ),
  0
)
"),0.01834862385321101)</f>
        <v>0.01834862385</v>
      </c>
      <c r="T89" s="9">
        <f>IFERROR(__xludf.DUMMYFUNCTION("IFERROR(
  VLOOKUP(
    A89,
    IMPORTRANGE(
      ""1ZHMy3vVUd_0MrSduXTe1etBb1HNpAlGwQr006ljwMiM"",
      ""GSC最新!A:R""
    ),
    14,
    FALSE
  ),
  0
)
"),0.0)</f>
        <v>0</v>
      </c>
      <c r="U89" s="9">
        <f>IFERROR(__xludf.DUMMYFUNCTION("IFERROR(
  VLOOKUP(
    A89,
    IMPORTRANGE(
      ""1ZHMy3vVUd_0MrSduXTe1etBb1HNpAlGwQr006ljwMiM"",
      ""GSC最新!A:R""
    ),
    17,
    FALSE
  ),
  0
)
"),0.0)</f>
        <v>0</v>
      </c>
      <c r="V89" s="9">
        <f t="shared" ref="V89:W89" si="438">IFERROR(R89-T89,"-")</f>
        <v>0</v>
      </c>
      <c r="W89" s="9">
        <f t="shared" si="438"/>
        <v>0.01834862385</v>
      </c>
      <c r="X89" s="65">
        <f>IFERROR(__xludf.DUMMYFUNCTION("IFERROR(
  VLOOKUP(
    A89,
    IMPORTRANGE(
      ""1ZHMy3vVUd_0MrSduXTe1etBb1HNpAlGwQr006ljwMiM"",
      ""GSC最新!A:R""
    ),
    9,
    FALSE
  ),
  0
)
"),3.2142857142857144)</f>
        <v>3.214285714</v>
      </c>
      <c r="Y89" s="65">
        <f>IFERROR(__xludf.DUMMYFUNCTION("IFERROR(
  VLOOKUP(
    A89,
    IMPORTRANGE(
      ""1ZHMy3vVUd_0MrSduXTe1etBb1HNpAlGwQr006ljwMiM"",
      ""GSC最新!A:R""
    ),
    12,
    FALSE
  ),
  0
)
"),4.091743119266055)</f>
        <v>4.091743119</v>
      </c>
      <c r="Z89" s="65" t="str">
        <f>IFERROR(__xludf.DUMMYFUNCTION("IFERROR(
  VLOOKUP(
    A89,
    IMPORTRANGE(
      ""1ZHMy3vVUd_0MrSduXTe1etBb1HNpAlGwQr006ljwMiM"",
      ""GSC最新!A:R""
    ),
    15,
    FALSE
  ),
  0
)
"),"")</f>
        <v/>
      </c>
      <c r="AA89" s="65" t="str">
        <f>IFERROR(__xludf.DUMMYFUNCTION("IFERROR(
  VLOOKUP(
    A89,
    IMPORTRANGE(
      ""1ZHMy3vVUd_0MrSduXTe1etBb1HNpAlGwQr006ljwMiM"",
      ""GSC最新!A:R""
    ),
    18,
    FALSE
  ),
  0
)
"),"")</f>
        <v/>
      </c>
      <c r="AB89" s="65">
        <f t="shared" ref="AB89:AC89" si="439">X89-Z89</f>
        <v>3.214285714</v>
      </c>
      <c r="AC89" s="65">
        <f t="shared" si="439"/>
        <v>4.091743119</v>
      </c>
      <c r="AD89" s="53">
        <f>IFERROR(__xludf.DUMMYFUNCTION("IFERROR(
  VLOOKUP(
    A89,
    IMPORTRANGE(
      ""1ZHMy3vVUd_0MrSduXTe1etBb1HNpAlGwQr006ljwMiM"",
      ""GSC最新!A:F""
    ),
    6,
    FALSE
  ),
  0
)
"),46081.0)</f>
        <v>46081</v>
      </c>
      <c r="AE89" s="54">
        <f>IFERROR(__xludf.DUMMYFUNCTION("IFERROR(
  VLOOKUP(
    A89,
    IMPORTRANGE(
      ""1SCYQd7_cobOYqT0r_F0IqD4tE4rYn5y8Eup4PJTH8es"",
      ""Snapshot!A:M""
    ),
    5,
    FALSE
  ),
  ""-""
)
"),12.0)</f>
        <v>12</v>
      </c>
      <c r="AF89" s="54">
        <f>IFERROR(__xludf.DUMMYFUNCTION("IFERROR(
  VLOOKUP(
    A89,
    IMPORTRANGE(
      ""1SCYQd7_cobOYqT0r_F0IqD4tE4rYn5y8Eup4PJTH8es"",
      ""Snapshot!A:M""
    ),
    6,
    FALSE
  ),
  0
)
"),3.0)</f>
        <v>3</v>
      </c>
      <c r="AG89" s="54">
        <f>IFERROR(__xludf.DUMMYFUNCTION("IFERROR(
  VLOOKUP(
    A89,
    IMPORTRANGE(
      ""1SCYQd7_cobOYqT0r_F0IqD4tE4rYn5y8Eup4PJTH8es"",
      ""Snapshot!A:M""
    ),
    7,
    FALSE
  ),
  0
)
"),5414.0)</f>
        <v>5414</v>
      </c>
      <c r="AH89" s="54">
        <f>IFERROR(__xludf.DUMMYFUNCTION("IFERROR(
  VLOOKUP(
    A89,
    IMPORTRANGE(
      ""1SCYQd7_cobOYqT0r_F0IqD4tE4rYn5y8Eup4PJTH8es"",
      ""Snapshot!A:M""
    ),
    8,
    FALSE
  ),
  0
)
"),3.0)</f>
        <v>3</v>
      </c>
      <c r="AI89" s="54">
        <f>IFERROR(__xludf.DUMMYFUNCTION("IFERROR(
  VLOOKUP(
    A89,
    IMPORTRANGE(
      ""1SCYQd7_cobOYqT0r_F0IqD4tE4rYn5y8Eup4PJTH8es"",
      ""Snapshot!A:M""
    ),
    9,
    FALSE
  ),
  0
)
"),4.0)</f>
        <v>4</v>
      </c>
      <c r="AJ89" s="54">
        <f>IFERROR(__xludf.DUMMYFUNCTION("IFERROR(
  VLOOKUP(
    A89,
    IMPORTRANGE(
      ""1SCYQd7_cobOYqT0r_F0IqD4tE4rYn5y8Eup4PJTH8es"",
      ""Snapshot!A:M""
    ),
    13,
    FALSE
  ),
  0
)
"),3.0)</f>
        <v>3</v>
      </c>
      <c r="AK89" s="49">
        <f t="shared" ref="AK89:AL89" si="440">LEN(C89)</f>
        <v>26</v>
      </c>
      <c r="AL89" s="49">
        <f t="shared" si="440"/>
        <v>74</v>
      </c>
    </row>
    <row r="90">
      <c r="A90" s="3" t="s">
        <v>591</v>
      </c>
      <c r="B90" s="1" t="str">
        <f>IFERROR(__xludf.DUMMYFUNCTION("IFERROR(
  VLOOKUP(
    A90,
    IMPORTRANGE(
      ""1ZygntHC1J6IxzKbTidmOyf5nUyW4GCLurHCjexrLm_o"",
      ""HTMLキャッシュ!A:F""
    ),
    2,
    FALSE
  ),
  0
)
"),"ST")</f>
        <v>ST</v>
      </c>
      <c r="C90" s="1" t="str">
        <f>IFERROR(__xludf.DUMMYFUNCTION("IFERROR(
  VLOOKUP(
    A90,
    IMPORTRANGE(
      ""1ZygntHC1J6IxzKbTidmOyf5nUyW4GCLurHCjexrLm_o"",
      ""HTMLキャッシュ!A:F""
    ),
    5,
    FALSE
  ),
  0
)
"),"会社概要 - 受験国語専門 読解ラボ東京 | 中学受験・大学受験対応の個別指導国語専門塾（オンライン・教室対応）")</f>
        <v>会社概要 - 受験国語専門 読解ラボ東京 | 中学受験・大学受験対応の個別指導国語専門塾（オンライン・教室対応）</v>
      </c>
      <c r="D90" s="1" t="str">
        <f>IFERROR(__xludf.DUMMYFUNCTION("IFERROR(
  VLOOKUP(
    A90,
    IMPORTRANGE(
      ""1ZygntHC1J6IxzKbTidmOyf5nUyW4GCLurHCjexrLm_o        "",
      ""HTMLキャッシュ!A:F""
    ),
    6,
    FALSE
  ),
  0
)
"),"「受験国語専門 読解ラボ東京」は、株式会社アリスメティカジャパンが運営しています。 会社概要 社名 株式会社ア")</f>
        <v>「受験国語専門 読解ラボ東京」は、株式会社アリスメティカジャパンが運営しています。 会社概要 社名 株式会社ア</v>
      </c>
      <c r="E90" s="32">
        <f>IFERROR(__xludf.DUMMYFUNCTION("IFERROR(
  VLOOKUP(
    A90,
    IMPORTRANGE(
      ""1ZygntHC1J6IxzKbTidmOyf5nUyW4GCLurHCjexrLm_o        "",
      ""HTMLキャッシュ!A:F""
    ),
    3,
    FALSE
  ),
  0
)
"),45970.57129629629)</f>
        <v>45970.5713</v>
      </c>
      <c r="F90" s="49">
        <f>IFERROR(__xludf.DUMMYFUNCTION("IFERROR(
  VLOOKUP(
    A90,
    IMPORTRANGE(
      ""1ZHMy3vVUd_0MrSduXTe1etBb1HNpAlGwQr006ljwMiM"",
      ""GSC最新!A:F""
    ),
    2,
    FALSE
  ),
  0
)
"),0.0)</f>
        <v>0</v>
      </c>
      <c r="G90" s="49">
        <f>IFERROR(__xludf.DUMMYFUNCTION("IFERROR(
  VLOOKUP(
    A90,
    IMPORTRANGE(
      ""1ZHMy3vVUd_0MrSduXTe1etBb1HNpAlGwQr006ljwMiM"",
      ""GSC最新!A:F""
    ),
    3,
    FALSE
  ),
  0
)
"),1.0)</f>
        <v>1</v>
      </c>
      <c r="H90" s="49">
        <f>IFERROR(__xludf.DUMMYFUNCTION("IFERROR(
  VLOOKUP(
    A90,
    IMPORTRANGE(
      ""1ZHMy3vVUd_0MrSduXTe1etBb1HNpAlGwQr006ljwMiM"",
      ""GSC最新!A:F""
    ),
    4,
    FALSE
  ),
  0
)
"),0.0)</f>
        <v>0</v>
      </c>
      <c r="I90" s="49">
        <f>IFERROR(__xludf.DUMMYFUNCTION("IFERROR(
  VLOOKUP(
    A90,
    IMPORTRANGE(
      ""1ZHMy3vVUd_0MrSduXTe1etBb1HNpAlGwQr006ljwMiM"",
      ""GSC最新!A:F""
    ),
    5,
    FALSE
  ),
  0
)
"),3.0)</f>
        <v>3</v>
      </c>
      <c r="J90" s="50" t="str">
        <f t="shared" ref="J90:K90" si="441">IFERROR(F90/H90,"-")</f>
        <v>-</v>
      </c>
      <c r="K90" s="50">
        <f t="shared" si="441"/>
        <v>0.3333333333</v>
      </c>
      <c r="L90" s="6">
        <f>IFERROR(__xludf.DUMMYFUNCTION("IFERROR(
  VLOOKUP(
    A90,
    IMPORTRANGE(
      ""1ZHMy3vVUd_0MrSduXTe1etBb1HNpAlGwQr006ljwMiM"",
      ""GSC最新!A:R""
    ),
    7,
    FALSE
  ),
  0
)
"),53.0)</f>
        <v>53</v>
      </c>
      <c r="M90" s="6">
        <f>IFERROR(__xludf.DUMMYFUNCTION("IFERROR(
  VLOOKUP(
    A90,
    IMPORTRANGE(
      ""1ZHMy3vVUd_0MrSduXTe1etBb1HNpAlGwQr006ljwMiM"",
      ""GSC最新!A:R""
    ),
    10,
    FALSE
  ),
  0
)
"),155.0)</f>
        <v>155</v>
      </c>
      <c r="N90" s="6">
        <f>IFERROR(__xludf.DUMMYFUNCTION("IFERROR(
  VLOOKUP(
    A90,
    IMPORTRANGE(
      ""1ZHMy3vVUd_0MrSduXTe1etBb1HNpAlGwQr006ljwMiM"",
      ""GSC最新!A:R""
    ),
    13,
    FALSE
  ),
  0
)
"),72.0)</f>
        <v>72</v>
      </c>
      <c r="O90" s="6">
        <f>IFERROR(__xludf.DUMMYFUNCTION("IFERROR(
  VLOOKUP(
    A90,
    IMPORTRANGE(
      ""1ZHMy3vVUd_0MrSduXTe1etBb1HNpAlGwQr006ljwMiM"",
      ""GSC最新!A:R""
    ),
    16,
    FALSE
  ),
  0
)
"),211.0)</f>
        <v>211</v>
      </c>
      <c r="P90" s="51">
        <f t="shared" ref="P90:Q90" si="442">IFERROR(L90/N90,"-")</f>
        <v>0.7361111111</v>
      </c>
      <c r="Q90" s="51">
        <f t="shared" si="442"/>
        <v>0.7345971564</v>
      </c>
      <c r="R90" s="9">
        <f>IFERROR(__xludf.DUMMYFUNCTION("IFERROR(
  VLOOKUP(
    A90,
    IMPORTRANGE(
      ""1ZHMy3vVUd_0MrSduXTe1etBb1HNpAlGwQr006ljwMiM"",
      ""GSC最新!A:R""
    ),
    8,
    FALSE
  ),
  0
)
"),0.0)</f>
        <v>0</v>
      </c>
      <c r="S90" s="9">
        <f>IFERROR(__xludf.DUMMYFUNCTION("IFERROR(
  VLOOKUP(
    A90,
    IMPORTRANGE(
      ""1ZHMy3vVUd_0MrSduXTe1etBb1HNpAlGwQr006ljwMiM"",
      ""GSC最新!A:R""
    ),
    11,
    FALSE
  ),
  0
)
"),0.0064516129032258064)</f>
        <v>0.006451612903</v>
      </c>
      <c r="T90" s="9">
        <f>IFERROR(__xludf.DUMMYFUNCTION("IFERROR(
  VLOOKUP(
    A90,
    IMPORTRANGE(
      ""1ZHMy3vVUd_0MrSduXTe1etBb1HNpAlGwQr006ljwMiM"",
      ""GSC最新!A:R""
    ),
    14,
    FALSE
  ),
  0
)
"),0.0)</f>
        <v>0</v>
      </c>
      <c r="U90" s="9">
        <f>IFERROR(__xludf.DUMMYFUNCTION("IFERROR(
  VLOOKUP(
    A90,
    IMPORTRANGE(
      ""1ZHMy3vVUd_0MrSduXTe1etBb1HNpAlGwQr006ljwMiM"",
      ""GSC最新!A:R""
    ),
    17,
    FALSE
  ),
  0
)
"),0.014218009478672985)</f>
        <v>0.01421800948</v>
      </c>
      <c r="V90" s="9">
        <f t="shared" ref="V90:W90" si="443">IFERROR(R90-T90,"-")</f>
        <v>0</v>
      </c>
      <c r="W90" s="9">
        <f t="shared" si="443"/>
        <v>-0.007766396575</v>
      </c>
      <c r="X90" s="65">
        <f>IFERROR(__xludf.DUMMYFUNCTION("IFERROR(
  VLOOKUP(
    A90,
    IMPORTRANGE(
      ""1ZHMy3vVUd_0MrSduXTe1etBb1HNpAlGwQr006ljwMiM"",
      ""GSC最新!A:R""
    ),
    9,
    FALSE
  ),
  0
)
"),4.886792452830189)</f>
        <v>4.886792453</v>
      </c>
      <c r="Y90" s="65">
        <f>IFERROR(__xludf.DUMMYFUNCTION("IFERROR(
  VLOOKUP(
    A90,
    IMPORTRANGE(
      ""1ZHMy3vVUd_0MrSduXTe1etBb1HNpAlGwQr006ljwMiM"",
      ""GSC最新!A:R""
    ),
    12,
    FALSE
  ),
  0
)
"),2.929032258064516)</f>
        <v>2.929032258</v>
      </c>
      <c r="Z90" s="65">
        <f>IFERROR(__xludf.DUMMYFUNCTION("IFERROR(
  VLOOKUP(
    A90,
    IMPORTRANGE(
      ""1ZHMy3vVUd_0MrSduXTe1etBb1HNpAlGwQr006ljwMiM"",
      ""GSC最新!A:R""
    ),
    15,
    FALSE
  ),
  0
)
"),5.694444444444445)</f>
        <v>5.694444444</v>
      </c>
      <c r="AA90" s="65">
        <f>IFERROR(__xludf.DUMMYFUNCTION("IFERROR(
  VLOOKUP(
    A90,
    IMPORTRANGE(
      ""1ZHMy3vVUd_0MrSduXTe1etBb1HNpAlGwQr006ljwMiM"",
      ""GSC最新!A:R""
    ),
    18,
    FALSE
  ),
  0
)
"),5.265402843601896)</f>
        <v>5.265402844</v>
      </c>
      <c r="AB90" s="65">
        <f t="shared" ref="AB90:AC90" si="444">X90-Z90</f>
        <v>-0.8076519916</v>
      </c>
      <c r="AC90" s="65">
        <f t="shared" si="444"/>
        <v>-2.336370586</v>
      </c>
      <c r="AD90" s="53">
        <f>IFERROR(__xludf.DUMMYFUNCTION("IFERROR(
  VLOOKUP(
    A90,
    IMPORTRANGE(
      ""1ZHMy3vVUd_0MrSduXTe1etBb1HNpAlGwQr006ljwMiM"",
      ""GSC最新!A:F""
    ),
    6,
    FALSE
  ),
  0
)
"),46081.0)</f>
        <v>46081</v>
      </c>
      <c r="AE90" s="54">
        <f>IFERROR(__xludf.DUMMYFUNCTION("IFERROR(
  VLOOKUP(
    A90,
    IMPORTRANGE(
      ""1SCYQd7_cobOYqT0r_F0IqD4tE4rYn5y8Eup4PJTH8es"",
      ""Snapshot!A:M""
    ),
    5,
    FALSE
  ),
  ""-""
)
"),1.0)</f>
        <v>1</v>
      </c>
      <c r="AF90" s="54">
        <f>IFERROR(__xludf.DUMMYFUNCTION("IFERROR(
  VLOOKUP(
    A90,
    IMPORTRANGE(
      ""1SCYQd7_cobOYqT0r_F0IqD4tE4rYn5y8Eup4PJTH8es"",
      ""Snapshot!A:M""
    ),
    6,
    FALSE
  ),
  0
)
"),6.0)</f>
        <v>6</v>
      </c>
      <c r="AG90" s="54">
        <f>IFERROR(__xludf.DUMMYFUNCTION("IFERROR(
  VLOOKUP(
    A90,
    IMPORTRANGE(
      ""1SCYQd7_cobOYqT0r_F0IqD4tE4rYn5y8Eup4PJTH8es"",
      ""Snapshot!A:M""
    ),
    7,
    FALSE
  ),
  0
)
"),669.0)</f>
        <v>669</v>
      </c>
      <c r="AH90" s="54">
        <f>IFERROR(__xludf.DUMMYFUNCTION("IFERROR(
  VLOOKUP(
    A90,
    IMPORTRANGE(
      ""1SCYQd7_cobOYqT0r_F0IqD4tE4rYn5y8Eup4PJTH8es"",
      ""Snapshot!A:M""
    ),
    8,
    FALSE
  ),
  0
)
"),1.0)</f>
        <v>1</v>
      </c>
      <c r="AI90" s="54">
        <f>IFERROR(__xludf.DUMMYFUNCTION("IFERROR(
  VLOOKUP(
    A90,
    IMPORTRANGE(
      ""1SCYQd7_cobOYqT0r_F0IqD4tE4rYn5y8Eup4PJTH8es"",
      ""Snapshot!A:M""
    ),
    9,
    FALSE
  ),
  0
)
"),1.0)</f>
        <v>1</v>
      </c>
      <c r="AJ90" s="54">
        <f>IFERROR(__xludf.DUMMYFUNCTION("IFERROR(
  VLOOKUP(
    A90,
    IMPORTRANGE(
      ""1SCYQd7_cobOYqT0r_F0IqD4tE4rYn5y8Eup4PJTH8es"",
      ""Snapshot!A:M""
    ),
    13,
    FALSE
  ),
  0
)
"),2.0)</f>
        <v>2</v>
      </c>
      <c r="AK90" s="49">
        <f t="shared" ref="AK90:AL90" si="445">LEN(C90)</f>
        <v>56</v>
      </c>
      <c r="AL90" s="49">
        <f t="shared" si="445"/>
        <v>55</v>
      </c>
    </row>
    <row r="91">
      <c r="A91" s="3" t="s">
        <v>592</v>
      </c>
      <c r="B91" s="1" t="str">
        <f>IFERROR(__xludf.DUMMYFUNCTION("IFERROR(
  VLOOKUP(
    A91,
    IMPORTRANGE(
      ""1ZygntHC1J6IxzKbTidmOyf5nUyW4GCLurHCjexrLm_o"",
      ""HTMLキャッシュ!A:F""
    ),
    2,
    FALSE
  ),
  0
)
"),"NW")</f>
        <v>NW</v>
      </c>
      <c r="C91" s="1" t="str">
        <f>IFERROR(__xludf.DUMMYFUNCTION("IFERROR(
  VLOOKUP(
    A91,
    IMPORTRANGE(
      ""1ZygntHC1J6IxzKbTidmOyf5nUyW4GCLurHCjexrLm_o"",
      ""HTMLキャッシュ!A:F""
    ),
    5,
    FALSE
  ),
  0
)
"),"四谷教室移転についてのお知らせ - 受験国語専門 読解ラボ東京 | 中学受験・大学受験対応の個別指導国語専門塾（オンライン・教室対応）")</f>
        <v>四谷教室移転についてのお知らせ - 受験国語専門 読解ラボ東京 | 中学受験・大学受験対応の個別指導国語専門塾（オンライン・教室対応）</v>
      </c>
      <c r="D91" s="1" t="str">
        <f>IFERROR(__xludf.DUMMYFUNCTION("IFERROR(
  VLOOKUP(
    A91,
    IMPORTRANGE(
      ""1ZygntHC1J6IxzKbTidmOyf5nUyW4GCLurHCjexrLm_o        "",
      ""HTMLキャッシュ!A:F""
    ),
    6,
    FALSE
  ),
  0
)
"),"本日は掲題の件についてお知らせさせて頂きます。 当塾四谷教室は、施設の老朽化に伴うビル取り壊しのため教室を移転")</f>
        <v>本日は掲題の件についてお知らせさせて頂きます。 当塾四谷教室は、施設の老朽化に伴うビル取り壊しのため教室を移転</v>
      </c>
      <c r="E91" s="32">
        <f>IFERROR(__xludf.DUMMYFUNCTION("IFERROR(
  VLOOKUP(
    A91,
    IMPORTRANGE(
      ""1ZygntHC1J6IxzKbTidmOyf5nUyW4GCLurHCjexrLm_o        "",
      ""HTMLキャッシュ!A:F""
    ),
    3,
    FALSE
  ),
  0
)
"),43312.45940972222)</f>
        <v>43312.45941</v>
      </c>
      <c r="F91" s="49">
        <f>IFERROR(__xludf.DUMMYFUNCTION("IFERROR(
  VLOOKUP(
    A91,
    IMPORTRANGE(
      ""1ZHMy3vVUd_0MrSduXTe1etBb1HNpAlGwQr006ljwMiM"",
      ""GSC最新!A:F""
    ),
    2,
    FALSE
  ),
  0
)
"),1.0)</f>
        <v>1</v>
      </c>
      <c r="G91" s="49">
        <f>IFERROR(__xludf.DUMMYFUNCTION("IFERROR(
  VLOOKUP(
    A91,
    IMPORTRANGE(
      ""1ZHMy3vVUd_0MrSduXTe1etBb1HNpAlGwQr006ljwMiM"",
      ""GSC最新!A:F""
    ),
    3,
    FALSE
  ),
  0
)
"),2.0)</f>
        <v>2</v>
      </c>
      <c r="H91" s="49">
        <f>IFERROR(__xludf.DUMMYFUNCTION("IFERROR(
  VLOOKUP(
    A91,
    IMPORTRANGE(
      ""1ZHMy3vVUd_0MrSduXTe1etBb1HNpAlGwQr006ljwMiM"",
      ""GSC最新!A:F""
    ),
    4,
    FALSE
  ),
  0
)
"),0.0)</f>
        <v>0</v>
      </c>
      <c r="I91" s="49">
        <f>IFERROR(__xludf.DUMMYFUNCTION("IFERROR(
  VLOOKUP(
    A91,
    IMPORTRANGE(
      ""1ZHMy3vVUd_0MrSduXTe1etBb1HNpAlGwQr006ljwMiM"",
      ""GSC最新!A:F""
    ),
    5,
    FALSE
  ),
  0
)
"),0.0)</f>
        <v>0</v>
      </c>
      <c r="J91" s="50" t="str">
        <f t="shared" ref="J91:K91" si="446">IFERROR(F91/H91,"-")</f>
        <v>-</v>
      </c>
      <c r="K91" s="50" t="str">
        <f t="shared" si="446"/>
        <v>-</v>
      </c>
      <c r="L91" s="6">
        <f>IFERROR(__xludf.DUMMYFUNCTION("IFERROR(
  VLOOKUP(
    A91,
    IMPORTRANGE(
      ""1ZHMy3vVUd_0MrSduXTe1etBb1HNpAlGwQr006ljwMiM"",
      ""GSC最新!A:R""
    ),
    7,
    FALSE
  ),
  0
)
"),11.0)</f>
        <v>11</v>
      </c>
      <c r="M91" s="6">
        <f>IFERROR(__xludf.DUMMYFUNCTION("IFERROR(
  VLOOKUP(
    A91,
    IMPORTRANGE(
      ""1ZHMy3vVUd_0MrSduXTe1etBb1HNpAlGwQr006ljwMiM"",
      ""GSC最新!A:R""
    ),
    10,
    FALSE
  ),
  0
)
"),25.0)</f>
        <v>25</v>
      </c>
      <c r="N91" s="6">
        <f>IFERROR(__xludf.DUMMYFUNCTION("IFERROR(
  VLOOKUP(
    A91,
    IMPORTRANGE(
      ""1ZHMy3vVUd_0MrSduXTe1etBb1HNpAlGwQr006ljwMiM"",
      ""GSC最新!A:R""
    ),
    13,
    FALSE
  ),
  0
)
"),1.0)</f>
        <v>1</v>
      </c>
      <c r="O91" s="6">
        <f>IFERROR(__xludf.DUMMYFUNCTION("IFERROR(
  VLOOKUP(
    A91,
    IMPORTRANGE(
      ""1ZHMy3vVUd_0MrSduXTe1etBb1HNpAlGwQr006ljwMiM"",
      ""GSC最新!A:R""
    ),
    16,
    FALSE
  ),
  0
)
"),2.0)</f>
        <v>2</v>
      </c>
      <c r="P91" s="51">
        <f t="shared" ref="P91:Q91" si="447">IFERROR(L91/N91,"-")</f>
        <v>11</v>
      </c>
      <c r="Q91" s="51">
        <f t="shared" si="447"/>
        <v>12.5</v>
      </c>
      <c r="R91" s="9">
        <f>IFERROR(__xludf.DUMMYFUNCTION("IFERROR(
  VLOOKUP(
    A91,
    IMPORTRANGE(
      ""1ZHMy3vVUd_0MrSduXTe1etBb1HNpAlGwQr006ljwMiM"",
      ""GSC最新!A:R""
    ),
    8,
    FALSE
  ),
  0
)
"),0.09090909090909091)</f>
        <v>0.09090909091</v>
      </c>
      <c r="S91" s="9">
        <f>IFERROR(__xludf.DUMMYFUNCTION("IFERROR(
  VLOOKUP(
    A91,
    IMPORTRANGE(
      ""1ZHMy3vVUd_0MrSduXTe1etBb1HNpAlGwQr006ljwMiM"",
      ""GSC最新!A:R""
    ),
    11,
    FALSE
  ),
  0
)
"),0.08)</f>
        <v>0.08</v>
      </c>
      <c r="T91" s="9">
        <f>IFERROR(__xludf.DUMMYFUNCTION("IFERROR(
  VLOOKUP(
    A91,
    IMPORTRANGE(
      ""1ZHMy3vVUd_0MrSduXTe1etBb1HNpAlGwQr006ljwMiM"",
      ""GSC最新!A:R""
    ),
    14,
    FALSE
  ),
  0
)
"),0.0)</f>
        <v>0</v>
      </c>
      <c r="U91" s="9">
        <f>IFERROR(__xludf.DUMMYFUNCTION("IFERROR(
  VLOOKUP(
    A91,
    IMPORTRANGE(
      ""1ZHMy3vVUd_0MrSduXTe1etBb1HNpAlGwQr006ljwMiM"",
      ""GSC最新!A:R""
    ),
    17,
    FALSE
  ),
  0
)
"),0.0)</f>
        <v>0</v>
      </c>
      <c r="V91" s="9">
        <f t="shared" ref="V91:W91" si="448">IFERROR(R91-T91,"-")</f>
        <v>0.09090909091</v>
      </c>
      <c r="W91" s="9">
        <f t="shared" si="448"/>
        <v>0.08</v>
      </c>
      <c r="X91" s="65">
        <f>IFERROR(__xludf.DUMMYFUNCTION("IFERROR(
  VLOOKUP(
    A91,
    IMPORTRANGE(
      ""1ZHMy3vVUd_0MrSduXTe1etBb1HNpAlGwQr006ljwMiM"",
      ""GSC最新!A:R""
    ),
    9,
    FALSE
  ),
  0
)
"),12.909090909090908)</f>
        <v>12.90909091</v>
      </c>
      <c r="Y91" s="65">
        <f>IFERROR(__xludf.DUMMYFUNCTION("IFERROR(
  VLOOKUP(
    A91,
    IMPORTRANGE(
      ""1ZHMy3vVUd_0MrSduXTe1etBb1HNpAlGwQr006ljwMiM"",
      ""GSC最新!A:R""
    ),
    12,
    FALSE
  ),
  0
)
"),8.440000000000001)</f>
        <v>8.44</v>
      </c>
      <c r="Z91" s="65">
        <f>IFERROR(__xludf.DUMMYFUNCTION("IFERROR(
  VLOOKUP(
    A91,
    IMPORTRANGE(
      ""1ZHMy3vVUd_0MrSduXTe1etBb1HNpAlGwQr006ljwMiM"",
      ""GSC最新!A:R""
    ),
    15,
    FALSE
  ),
  0
)
"),98.0)</f>
        <v>98</v>
      </c>
      <c r="AA91" s="65">
        <f>IFERROR(__xludf.DUMMYFUNCTION("IFERROR(
  VLOOKUP(
    A91,
    IMPORTRANGE(
      ""1ZHMy3vVUd_0MrSduXTe1etBb1HNpAlGwQr006ljwMiM"",
      ""GSC最新!A:R""
    ),
    18,
    FALSE
  ),
  0
)
"),49.5)</f>
        <v>49.5</v>
      </c>
      <c r="AB91" s="65">
        <f t="shared" ref="AB91:AC91" si="449">X91-Z91</f>
        <v>-85.09090909</v>
      </c>
      <c r="AC91" s="65">
        <f t="shared" si="449"/>
        <v>-41.06</v>
      </c>
      <c r="AD91" s="53">
        <f>IFERROR(__xludf.DUMMYFUNCTION("IFERROR(
  VLOOKUP(
    A91,
    IMPORTRANGE(
      ""1ZHMy3vVUd_0MrSduXTe1etBb1HNpAlGwQr006ljwMiM"",
      ""GSC最新!A:F""
    ),
    6,
    FALSE
  ),
  0
)
"),46081.0)</f>
        <v>46081</v>
      </c>
      <c r="AE91" s="54">
        <f>IFERROR(__xludf.DUMMYFUNCTION("IFERROR(
  VLOOKUP(
    A91,
    IMPORTRANGE(
      ""1SCYQd7_cobOYqT0r_F0IqD4tE4rYn5y8Eup4PJTH8es"",
      ""Snapshot!A:M""
    ),
    5,
    FALSE
  ),
  ""-""
)
"),0.0)</f>
        <v>0</v>
      </c>
      <c r="AF91" s="54">
        <f>IFERROR(__xludf.DUMMYFUNCTION("IFERROR(
  VLOOKUP(
    A91,
    IMPORTRANGE(
      ""1SCYQd7_cobOYqT0r_F0IqD4tE4rYn5y8Eup4PJTH8es"",
      ""Snapshot!A:M""
    ),
    6,
    FALSE
  ),
  0
)
"),2.0)</f>
        <v>2</v>
      </c>
      <c r="AG91" s="54">
        <f>IFERROR(__xludf.DUMMYFUNCTION("IFERROR(
  VLOOKUP(
    A91,
    IMPORTRANGE(
      ""1SCYQd7_cobOYqT0r_F0IqD4tE4rYn5y8Eup4PJTH8es"",
      ""Snapshot!A:M""
    ),
    7,
    FALSE
  ),
  0
)
"),206.0)</f>
        <v>206</v>
      </c>
      <c r="AH91" s="54">
        <f>IFERROR(__xludf.DUMMYFUNCTION("IFERROR(
  VLOOKUP(
    A91,
    IMPORTRANGE(
      ""1SCYQd7_cobOYqT0r_F0IqD4tE4rYn5y8Eup4PJTH8es"",
      ""Snapshot!A:M""
    ),
    8,
    FALSE
  ),
  0
)
"),0.0)</f>
        <v>0</v>
      </c>
      <c r="AI91" s="54">
        <f>IFERROR(__xludf.DUMMYFUNCTION("IFERROR(
  VLOOKUP(
    A91,
    IMPORTRANGE(
      ""1SCYQd7_cobOYqT0r_F0IqD4tE4rYn5y8Eup4PJTH8es"",
      ""Snapshot!A:M""
    ),
    9,
    FALSE
  ),
  0
)
"),1.0)</f>
        <v>1</v>
      </c>
      <c r="AJ91" s="54">
        <f>IFERROR(__xludf.DUMMYFUNCTION("IFERROR(
  VLOOKUP(
    A91,
    IMPORTRANGE(
      ""1SCYQd7_cobOYqT0r_F0IqD4tE4rYn5y8Eup4PJTH8es"",
      ""Snapshot!A:M""
    ),
    13,
    FALSE
  ),
  0
)
"),3.0)</f>
        <v>3</v>
      </c>
      <c r="AK91" s="49">
        <f t="shared" ref="AK91:AL91" si="450">LEN(C91)</f>
        <v>67</v>
      </c>
      <c r="AL91" s="49">
        <f t="shared" si="450"/>
        <v>55</v>
      </c>
    </row>
    <row r="92">
      <c r="A92" s="3" t="s">
        <v>593</v>
      </c>
      <c r="B92" s="1" t="str">
        <f>IFERROR(__xludf.DUMMYFUNCTION("IFERROR(
  VLOOKUP(
    A92,
    IMPORTRANGE(
      ""1ZygntHC1J6IxzKbTidmOyf5nUyW4GCLurHCjexrLm_o"",
      ""HTMLキャッシュ!A:F""
    ),
    2,
    FALSE
  ),
  0
)
"),"NW")</f>
        <v>NW</v>
      </c>
      <c r="C92" s="1" t="str">
        <f>IFERROR(__xludf.DUMMYFUNCTION("IFERROR(
  VLOOKUP(
    A92,
    IMPORTRANGE(
      ""1ZygntHC1J6IxzKbTidmOyf5nUyW4GCLurHCjexrLm_o"",
      ""HTMLキャッシュ!A:F""
    ),
    5,
    FALSE
  ),
  0
)
"),"「受験社会専門塾 令和」開校のお知らせ - 受験国語専門 読解ラボ東京 | 中学受験・大学受験対応の個別指導国語専門塾（オンライン・教室対応）")</f>
        <v>「受験社会専門塾 令和」開校のお知らせ - 受験国語専門 読解ラボ東京 | 中学受験・大学受験対応の個別指導国語専門塾（オンライン・教室対応）</v>
      </c>
      <c r="D92" s="1" t="str">
        <f>IFERROR(__xludf.DUMMYFUNCTION("IFERROR(
  VLOOKUP(
    A92,
    IMPORTRANGE(
      ""1ZygntHC1J6IxzKbTidmOyf5nUyW4GCLurHCjexrLm_o        "",
      ""HTMLキャッシュ!A:F""
    ),
    6,
    FALSE
  ),
  0
)
"),"本日は掲題の件につきましてお知らせさせて頂きます。 新塾「受験社会専門塾 令和」を開校致しました。 受験社会専")</f>
        <v>本日は掲題の件につきましてお知らせさせて頂きます。 新塾「受験社会専門塾 令和」を開校致しました。 受験社会専</v>
      </c>
      <c r="E92" s="32">
        <f>IFERROR(__xludf.DUMMYFUNCTION("IFERROR(
  VLOOKUP(
    A92,
    IMPORTRANGE(
      ""1ZygntHC1J6IxzKbTidmOyf5nUyW4GCLurHCjexrLm_o        "",
      ""HTMLキャッシュ!A:F""
    ),
    3,
    FALSE
  ),
  0
)
"),43592.67456018519)</f>
        <v>43592.67456</v>
      </c>
      <c r="F92" s="49">
        <f>IFERROR(__xludf.DUMMYFUNCTION("IFERROR(
  VLOOKUP(
    A92,
    IMPORTRANGE(
      ""1ZHMy3vVUd_0MrSduXTe1etBb1HNpAlGwQr006ljwMiM"",
      ""GSC最新!A:F""
    ),
    2,
    FALSE
  ),
  0
)
"),1.0)</f>
        <v>1</v>
      </c>
      <c r="G92" s="49">
        <f>IFERROR(__xludf.DUMMYFUNCTION("IFERROR(
  VLOOKUP(
    A92,
    IMPORTRANGE(
      ""1ZHMy3vVUd_0MrSduXTe1etBb1HNpAlGwQr006ljwMiM"",
      ""GSC最新!A:F""
    ),
    3,
    FALSE
  ),
  0
)
"),2.0)</f>
        <v>2</v>
      </c>
      <c r="H92" s="49">
        <f>IFERROR(__xludf.DUMMYFUNCTION("IFERROR(
  VLOOKUP(
    A92,
    IMPORTRANGE(
      ""1ZHMy3vVUd_0MrSduXTe1etBb1HNpAlGwQr006ljwMiM"",
      ""GSC最新!A:F""
    ),
    4,
    FALSE
  ),
  0
)
"),0.0)</f>
        <v>0</v>
      </c>
      <c r="I92" s="49">
        <f>IFERROR(__xludf.DUMMYFUNCTION("IFERROR(
  VLOOKUP(
    A92,
    IMPORTRANGE(
      ""1ZHMy3vVUd_0MrSduXTe1etBb1HNpAlGwQr006ljwMiM"",
      ""GSC最新!A:F""
    ),
    5,
    FALSE
  ),
  0
)
"),0.0)</f>
        <v>0</v>
      </c>
      <c r="J92" s="50" t="str">
        <f t="shared" ref="J92:K92" si="451">IFERROR(F92/H92,"-")</f>
        <v>-</v>
      </c>
      <c r="K92" s="50" t="str">
        <f t="shared" si="451"/>
        <v>-</v>
      </c>
      <c r="L92" s="6">
        <f>IFERROR(__xludf.DUMMYFUNCTION("IFERROR(
  VLOOKUP(
    A92,
    IMPORTRANGE(
      ""1ZHMy3vVUd_0MrSduXTe1etBb1HNpAlGwQr006ljwMiM"",
      ""GSC最新!A:R""
    ),
    7,
    FALSE
  ),
  0
)
"),9.0)</f>
        <v>9</v>
      </c>
      <c r="M92" s="6">
        <f>IFERROR(__xludf.DUMMYFUNCTION("IFERROR(
  VLOOKUP(
    A92,
    IMPORTRANGE(
      ""1ZHMy3vVUd_0MrSduXTe1etBb1HNpAlGwQr006ljwMiM"",
      ""GSC最新!A:R""
    ),
    10,
    FALSE
  ),
  0
)
"),21.0)</f>
        <v>21</v>
      </c>
      <c r="N92" s="6">
        <f>IFERROR(__xludf.DUMMYFUNCTION("IFERROR(
  VLOOKUP(
    A92,
    IMPORTRANGE(
      ""1ZHMy3vVUd_0MrSduXTe1etBb1HNpAlGwQr006ljwMiM"",
      ""GSC最新!A:R""
    ),
    13,
    FALSE
  ),
  0
)
"),1.0)</f>
        <v>1</v>
      </c>
      <c r="O92" s="6">
        <f>IFERROR(__xludf.DUMMYFUNCTION("IFERROR(
  VLOOKUP(
    A92,
    IMPORTRANGE(
      ""1ZHMy3vVUd_0MrSduXTe1etBb1HNpAlGwQr006ljwMiM"",
      ""GSC最新!A:R""
    ),
    16,
    FALSE
  ),
  0
)
"),3.0)</f>
        <v>3</v>
      </c>
      <c r="P92" s="51">
        <f t="shared" ref="P92:Q92" si="452">IFERROR(L92/N92,"-")</f>
        <v>9</v>
      </c>
      <c r="Q92" s="51">
        <f t="shared" si="452"/>
        <v>7</v>
      </c>
      <c r="R92" s="9">
        <f>IFERROR(__xludf.DUMMYFUNCTION("IFERROR(
  VLOOKUP(
    A92,
    IMPORTRANGE(
      ""1ZHMy3vVUd_0MrSduXTe1etBb1HNpAlGwQr006ljwMiM"",
      ""GSC最新!A:R""
    ),
    8,
    FALSE
  ),
  0
)
"),0.1111111111111111)</f>
        <v>0.1111111111</v>
      </c>
      <c r="S92" s="9">
        <f>IFERROR(__xludf.DUMMYFUNCTION("IFERROR(
  VLOOKUP(
    A92,
    IMPORTRANGE(
      ""1ZHMy3vVUd_0MrSduXTe1etBb1HNpAlGwQr006ljwMiM"",
      ""GSC最新!A:R""
    ),
    11,
    FALSE
  ),
  0
)
"),0.09523809523809523)</f>
        <v>0.09523809524</v>
      </c>
      <c r="T92" s="9">
        <f>IFERROR(__xludf.DUMMYFUNCTION("IFERROR(
  VLOOKUP(
    A92,
    IMPORTRANGE(
      ""1ZHMy3vVUd_0MrSduXTe1etBb1HNpAlGwQr006ljwMiM"",
      ""GSC最新!A:R""
    ),
    14,
    FALSE
  ),
  0
)
"),0.0)</f>
        <v>0</v>
      </c>
      <c r="U92" s="9">
        <f>IFERROR(__xludf.DUMMYFUNCTION("IFERROR(
  VLOOKUP(
    A92,
    IMPORTRANGE(
      ""1ZHMy3vVUd_0MrSduXTe1etBb1HNpAlGwQr006ljwMiM"",
      ""GSC最新!A:R""
    ),
    17,
    FALSE
  ),
  0
)
"),0.0)</f>
        <v>0</v>
      </c>
      <c r="V92" s="9">
        <f t="shared" ref="V92:W92" si="453">IFERROR(R92-T92,"-")</f>
        <v>0.1111111111</v>
      </c>
      <c r="W92" s="9">
        <f t="shared" si="453"/>
        <v>0.09523809524</v>
      </c>
      <c r="X92" s="65">
        <f>IFERROR(__xludf.DUMMYFUNCTION("IFERROR(
  VLOOKUP(
    A92,
    IMPORTRANGE(
      ""1ZHMy3vVUd_0MrSduXTe1etBb1HNpAlGwQr006ljwMiM"",
      ""GSC最新!A:R""
    ),
    9,
    FALSE
  ),
  0
)
"),5.666666666666667)</f>
        <v>5.666666667</v>
      </c>
      <c r="Y92" s="65">
        <f>IFERROR(__xludf.DUMMYFUNCTION("IFERROR(
  VLOOKUP(
    A92,
    IMPORTRANGE(
      ""1ZHMy3vVUd_0MrSduXTe1etBb1HNpAlGwQr006ljwMiM"",
      ""GSC最新!A:R""
    ),
    12,
    FALSE
  ),
  0
)
"),6.428571428571429)</f>
        <v>6.428571429</v>
      </c>
      <c r="Z92" s="65">
        <f>IFERROR(__xludf.DUMMYFUNCTION("IFERROR(
  VLOOKUP(
    A92,
    IMPORTRANGE(
      ""1ZHMy3vVUd_0MrSduXTe1etBb1HNpAlGwQr006ljwMiM"",
      ""GSC最新!A:R""
    ),
    15,
    FALSE
  ),
  0
)
"),10.0)</f>
        <v>10</v>
      </c>
      <c r="AA92" s="65">
        <f>IFERROR(__xludf.DUMMYFUNCTION("IFERROR(
  VLOOKUP(
    A92,
    IMPORTRANGE(
      ""1ZHMy3vVUd_0MrSduXTe1etBb1HNpAlGwQr006ljwMiM"",
      ""GSC最新!A:R""
    ),
    18,
    FALSE
  ),
  0
)
"),27.0)</f>
        <v>27</v>
      </c>
      <c r="AB92" s="65">
        <f t="shared" ref="AB92:AC92" si="454">X92-Z92</f>
        <v>-4.333333333</v>
      </c>
      <c r="AC92" s="65">
        <f t="shared" si="454"/>
        <v>-20.57142857</v>
      </c>
      <c r="AD92" s="53">
        <f>IFERROR(__xludf.DUMMYFUNCTION("IFERROR(
  VLOOKUP(
    A92,
    IMPORTRANGE(
      ""1ZHMy3vVUd_0MrSduXTe1etBb1HNpAlGwQr006ljwMiM"",
      ""GSC最新!A:F""
    ),
    6,
    FALSE
  ),
  0
)
"),46081.0)</f>
        <v>46081</v>
      </c>
      <c r="AE92" s="54">
        <f>IFERROR(__xludf.DUMMYFUNCTION("IFERROR(
  VLOOKUP(
    A92,
    IMPORTRANGE(
      ""1SCYQd7_cobOYqT0r_F0IqD4tE4rYn5y8Eup4PJTH8es"",
      ""Snapshot!A:M""
    ),
    5,
    FALSE
  ),
  ""-""
)
"),0.0)</f>
        <v>0</v>
      </c>
      <c r="AF92" s="54">
        <f>IFERROR(__xludf.DUMMYFUNCTION("IFERROR(
  VLOOKUP(
    A92,
    IMPORTRANGE(
      ""1SCYQd7_cobOYqT0r_F0IqD4tE4rYn5y8Eup4PJTH8es"",
      ""Snapshot!A:M""
    ),
    6,
    FALSE
  ),
  0
)
"),0.0)</f>
        <v>0</v>
      </c>
      <c r="AG92" s="54">
        <f>IFERROR(__xludf.DUMMYFUNCTION("IFERROR(
  VLOOKUP(
    A92,
    IMPORTRANGE(
      ""1SCYQd7_cobOYqT0r_F0IqD4tE4rYn5y8Eup4PJTH8es"",
      ""Snapshot!A:M""
    ),
    7,
    FALSE
  ),
  0
)
"),129.0)</f>
        <v>129</v>
      </c>
      <c r="AH92" s="54">
        <f>IFERROR(__xludf.DUMMYFUNCTION("IFERROR(
  VLOOKUP(
    A92,
    IMPORTRANGE(
      ""1SCYQd7_cobOYqT0r_F0IqD4tE4rYn5y8Eup4PJTH8es"",
      ""Snapshot!A:M""
    ),
    8,
    FALSE
  ),
  0
)
"),0.0)</f>
        <v>0</v>
      </c>
      <c r="AI92" s="54">
        <f>IFERROR(__xludf.DUMMYFUNCTION("IFERROR(
  VLOOKUP(
    A92,
    IMPORTRANGE(
      ""1SCYQd7_cobOYqT0r_F0IqD4tE4rYn5y8Eup4PJTH8es"",
      ""Snapshot!A:M""
    ),
    9,
    FALSE
  ),
  0
)
"),1.0)</f>
        <v>1</v>
      </c>
      <c r="AJ92" s="54">
        <f>IFERROR(__xludf.DUMMYFUNCTION("IFERROR(
  VLOOKUP(
    A92,
    IMPORTRANGE(
      ""1SCYQd7_cobOYqT0r_F0IqD4tE4rYn5y8Eup4PJTH8es"",
      ""Snapshot!A:M""
    ),
    13,
    FALSE
  ),
  0
)
"),3.0)</f>
        <v>3</v>
      </c>
      <c r="AK92" s="49">
        <f t="shared" ref="AK92:AL92" si="455">LEN(C92)</f>
        <v>71</v>
      </c>
      <c r="AL92" s="49">
        <f t="shared" si="455"/>
        <v>55</v>
      </c>
    </row>
    <row r="93">
      <c r="A93" s="3" t="s">
        <v>594</v>
      </c>
      <c r="B93" s="1" t="str">
        <f>IFERROR(__xludf.DUMMYFUNCTION("IFERROR(
  VLOOKUP(
    A93,
    IMPORTRANGE(
      ""1ZygntHC1J6IxzKbTidmOyf5nUyW4GCLurHCjexrLm_o"",
      ""HTMLキャッシュ!A:F""
    ),
    2,
    FALSE
  ),
  0
)
"),"NW")</f>
        <v>NW</v>
      </c>
      <c r="C93" s="1" t="str">
        <f>IFERROR(__xludf.DUMMYFUNCTION("IFERROR(
  VLOOKUP(
    A93,
    IMPORTRANGE(
      ""1ZygntHC1J6IxzKbTidmOyf5nUyW4GCLurHCjexrLm_o"",
      ""HTMLキャッシュ!A:F""
    ),
    5,
    FALSE
  ),
  0
)
"),"「古典専門塾 かきつばた」開校のお知らせ - 受験国語専門 読解ラボ東京 | 中学受験・大学受験対応の個別指導国語専門塾（オンライン・教室対応）")</f>
        <v>「古典専門塾 かきつばた」開校のお知らせ - 受験国語専門 読解ラボ東京 | 中学受験・大学受験対応の個別指導国語専門塾（オンライン・教室対応）</v>
      </c>
      <c r="D93" s="1" t="str">
        <f>IFERROR(__xludf.DUMMYFUNCTION("IFERROR(
  VLOOKUP(
    A93,
    IMPORTRANGE(
      ""1ZygntHC1J6IxzKbTidmOyf5nUyW4GCLurHCjexrLm_o        "",
      ""HTMLキャッシュ!A:F""
    ),
    6,
    FALSE
  ),
  0
)
"),"本日は掲題の件につきましてお知らせさせて頂きます。 新塾「古典専門塾 かきつばた」を開校致しました。 古典専門")</f>
        <v>本日は掲題の件につきましてお知らせさせて頂きます。 新塾「古典専門塾 かきつばた」を開校致しました。 古典専門</v>
      </c>
      <c r="E93" s="32">
        <f>IFERROR(__xludf.DUMMYFUNCTION("IFERROR(
  VLOOKUP(
    A93,
    IMPORTRANGE(
      ""1ZygntHC1J6IxzKbTidmOyf5nUyW4GCLurHCjexrLm_o        "",
      ""HTMLキャッシュ!A:F""
    ),
    3,
    FALSE
  ),
  0
)
"),43873.65356481481)</f>
        <v>43873.65356</v>
      </c>
      <c r="F93" s="49">
        <f>IFERROR(__xludf.DUMMYFUNCTION("IFERROR(
  VLOOKUP(
    A93,
    IMPORTRANGE(
      ""1ZHMy3vVUd_0MrSduXTe1etBb1HNpAlGwQr006ljwMiM"",
      ""GSC最新!A:F""
    ),
    2,
    FALSE
  ),
  0
)
"),1.0)</f>
        <v>1</v>
      </c>
      <c r="G93" s="49">
        <f>IFERROR(__xludf.DUMMYFUNCTION("IFERROR(
  VLOOKUP(
    A93,
    IMPORTRANGE(
      ""1ZHMy3vVUd_0MrSduXTe1etBb1HNpAlGwQr006ljwMiM"",
      ""GSC最新!A:F""
    ),
    3,
    FALSE
  ),
  0
)
"),2.0)</f>
        <v>2</v>
      </c>
      <c r="H93" s="49">
        <f>IFERROR(__xludf.DUMMYFUNCTION("IFERROR(
  VLOOKUP(
    A93,
    IMPORTRANGE(
      ""1ZHMy3vVUd_0MrSduXTe1etBb1HNpAlGwQr006ljwMiM"",
      ""GSC最新!A:F""
    ),
    4,
    FALSE
  ),
  0
)
"),0.0)</f>
        <v>0</v>
      </c>
      <c r="I93" s="49">
        <f>IFERROR(__xludf.DUMMYFUNCTION("IFERROR(
  VLOOKUP(
    A93,
    IMPORTRANGE(
      ""1ZHMy3vVUd_0MrSduXTe1etBb1HNpAlGwQr006ljwMiM"",
      ""GSC最新!A:F""
    ),
    5,
    FALSE
  ),
  0
)
"),0.0)</f>
        <v>0</v>
      </c>
      <c r="J93" s="50" t="str">
        <f t="shared" ref="J93:K93" si="456">IFERROR(F93/H93,"-")</f>
        <v>-</v>
      </c>
      <c r="K93" s="50" t="str">
        <f t="shared" si="456"/>
        <v>-</v>
      </c>
      <c r="L93" s="6">
        <f>IFERROR(__xludf.DUMMYFUNCTION("IFERROR(
  VLOOKUP(
    A93,
    IMPORTRANGE(
      ""1ZHMy3vVUd_0MrSduXTe1etBb1HNpAlGwQr006ljwMiM"",
      ""GSC最新!A:R""
    ),
    7,
    FALSE
  ),
  0
)
"),10.0)</f>
        <v>10</v>
      </c>
      <c r="M93" s="6">
        <f>IFERROR(__xludf.DUMMYFUNCTION("IFERROR(
  VLOOKUP(
    A93,
    IMPORTRANGE(
      ""1ZHMy3vVUd_0MrSduXTe1etBb1HNpAlGwQr006ljwMiM"",
      ""GSC最新!A:R""
    ),
    10,
    FALSE
  ),
  0
)
"),28.0)</f>
        <v>28</v>
      </c>
      <c r="N93" s="6">
        <f>IFERROR(__xludf.DUMMYFUNCTION("IFERROR(
  VLOOKUP(
    A93,
    IMPORTRANGE(
      ""1ZHMy3vVUd_0MrSduXTe1etBb1HNpAlGwQr006ljwMiM"",
      ""GSC最新!A:R""
    ),
    13,
    FALSE
  ),
  0
)
"),18.0)</f>
        <v>18</v>
      </c>
      <c r="O93" s="6">
        <f>IFERROR(__xludf.DUMMYFUNCTION("IFERROR(
  VLOOKUP(
    A93,
    IMPORTRANGE(
      ""1ZHMy3vVUd_0MrSduXTe1etBb1HNpAlGwQr006ljwMiM"",
      ""GSC最新!A:R""
    ),
    16,
    FALSE
  ),
  0
)
"),55.0)</f>
        <v>55</v>
      </c>
      <c r="P93" s="51">
        <f t="shared" ref="P93:Q93" si="457">IFERROR(L93/N93,"-")</f>
        <v>0.5555555556</v>
      </c>
      <c r="Q93" s="51">
        <f t="shared" si="457"/>
        <v>0.5090909091</v>
      </c>
      <c r="R93" s="9">
        <f>IFERROR(__xludf.DUMMYFUNCTION("IFERROR(
  VLOOKUP(
    A93,
    IMPORTRANGE(
      ""1ZHMy3vVUd_0MrSduXTe1etBb1HNpAlGwQr006ljwMiM"",
      ""GSC最新!A:R""
    ),
    8,
    FALSE
  ),
  0
)
"),0.1)</f>
        <v>0.1</v>
      </c>
      <c r="S93" s="9">
        <f>IFERROR(__xludf.DUMMYFUNCTION("IFERROR(
  VLOOKUP(
    A93,
    IMPORTRANGE(
      ""1ZHMy3vVUd_0MrSduXTe1etBb1HNpAlGwQr006ljwMiM"",
      ""GSC最新!A:R""
    ),
    11,
    FALSE
  ),
  0
)
"),0.07142857142857142)</f>
        <v>0.07142857143</v>
      </c>
      <c r="T93" s="9">
        <f>IFERROR(__xludf.DUMMYFUNCTION("IFERROR(
  VLOOKUP(
    A93,
    IMPORTRANGE(
      ""1ZHMy3vVUd_0MrSduXTe1etBb1HNpAlGwQr006ljwMiM"",
      ""GSC最新!A:R""
    ),
    14,
    FALSE
  ),
  0
)
"),0.0)</f>
        <v>0</v>
      </c>
      <c r="U93" s="9">
        <f>IFERROR(__xludf.DUMMYFUNCTION("IFERROR(
  VLOOKUP(
    A93,
    IMPORTRANGE(
      ""1ZHMy3vVUd_0MrSduXTe1etBb1HNpAlGwQr006ljwMiM"",
      ""GSC最新!A:R""
    ),
    17,
    FALSE
  ),
  0
)
"),0.0)</f>
        <v>0</v>
      </c>
      <c r="V93" s="9">
        <f t="shared" ref="V93:W93" si="458">IFERROR(R93-T93,"-")</f>
        <v>0.1</v>
      </c>
      <c r="W93" s="9">
        <f t="shared" si="458"/>
        <v>0.07142857143</v>
      </c>
      <c r="X93" s="65">
        <f>IFERROR(__xludf.DUMMYFUNCTION("IFERROR(
  VLOOKUP(
    A93,
    IMPORTRANGE(
      ""1ZHMy3vVUd_0MrSduXTe1etBb1HNpAlGwQr006ljwMiM"",
      ""GSC最新!A:R""
    ),
    9,
    FALSE
  ),
  0
)
"),8.4)</f>
        <v>8.4</v>
      </c>
      <c r="Y93" s="65">
        <f>IFERROR(__xludf.DUMMYFUNCTION("IFERROR(
  VLOOKUP(
    A93,
    IMPORTRANGE(
      ""1ZHMy3vVUd_0MrSduXTe1etBb1HNpAlGwQr006ljwMiM"",
      ""GSC最新!A:R""
    ),
    12,
    FALSE
  ),
  0
)
"),9.107142857142858)</f>
        <v>9.107142857</v>
      </c>
      <c r="Z93" s="65">
        <f>IFERROR(__xludf.DUMMYFUNCTION("IFERROR(
  VLOOKUP(
    A93,
    IMPORTRANGE(
      ""1ZHMy3vVUd_0MrSduXTe1etBb1HNpAlGwQr006ljwMiM"",
      ""GSC最新!A:R""
    ),
    15,
    FALSE
  ),
  0
)
"),19.5)</f>
        <v>19.5</v>
      </c>
      <c r="AA93" s="65">
        <f>IFERROR(__xludf.DUMMYFUNCTION("IFERROR(
  VLOOKUP(
    A93,
    IMPORTRANGE(
      ""1ZHMy3vVUd_0MrSduXTe1etBb1HNpAlGwQr006ljwMiM"",
      ""GSC最新!A:R""
    ),
    18,
    FALSE
  ),
  0
)
"),23.636363636363637)</f>
        <v>23.63636364</v>
      </c>
      <c r="AB93" s="65">
        <f t="shared" ref="AB93:AC93" si="459">X93-Z93</f>
        <v>-11.1</v>
      </c>
      <c r="AC93" s="65">
        <f t="shared" si="459"/>
        <v>-14.52922078</v>
      </c>
      <c r="AD93" s="53">
        <f>IFERROR(__xludf.DUMMYFUNCTION("IFERROR(
  VLOOKUP(
    A93,
    IMPORTRANGE(
      ""1ZHMy3vVUd_0MrSduXTe1etBb1HNpAlGwQr006ljwMiM"",
      ""GSC最新!A:F""
    ),
    6,
    FALSE
  ),
  0
)
"),46081.0)</f>
        <v>46081</v>
      </c>
      <c r="AE93" s="54">
        <f>IFERROR(__xludf.DUMMYFUNCTION("IFERROR(
  VLOOKUP(
    A93,
    IMPORTRANGE(
      ""1SCYQd7_cobOYqT0r_F0IqD4tE4rYn5y8Eup4PJTH8es"",
      ""Snapshot!A:M""
    ),
    5,
    FALSE
  ),
  ""-""
)
"),0.0)</f>
        <v>0</v>
      </c>
      <c r="AF93" s="54">
        <f>IFERROR(__xludf.DUMMYFUNCTION("IFERROR(
  VLOOKUP(
    A93,
    IMPORTRANGE(
      ""1SCYQd7_cobOYqT0r_F0IqD4tE4rYn5y8Eup4PJTH8es"",
      ""Snapshot!A:M""
    ),
    6,
    FALSE
  ),
  0
)
"),0.0)</f>
        <v>0</v>
      </c>
      <c r="AG93" s="54">
        <f>IFERROR(__xludf.DUMMYFUNCTION("IFERROR(
  VLOOKUP(
    A93,
    IMPORTRANGE(
      ""1SCYQd7_cobOYqT0r_F0IqD4tE4rYn5y8Eup4PJTH8es"",
      ""Snapshot!A:M""
    ),
    7,
    FALSE
  ),
  0
)
"),130.0)</f>
        <v>130</v>
      </c>
      <c r="AH93" s="54">
        <f>IFERROR(__xludf.DUMMYFUNCTION("IFERROR(
  VLOOKUP(
    A93,
    IMPORTRANGE(
      ""1SCYQd7_cobOYqT0r_F0IqD4tE4rYn5y8Eup4PJTH8es"",
      ""Snapshot!A:M""
    ),
    8,
    FALSE
  ),
  0
)
"),0.0)</f>
        <v>0</v>
      </c>
      <c r="AI93" s="54">
        <f>IFERROR(__xludf.DUMMYFUNCTION("IFERROR(
  VLOOKUP(
    A93,
    IMPORTRANGE(
      ""1SCYQd7_cobOYqT0r_F0IqD4tE4rYn5y8Eup4PJTH8es"",
      ""Snapshot!A:M""
    ),
    9,
    FALSE
  ),
  0
)
"),1.0)</f>
        <v>1</v>
      </c>
      <c r="AJ93" s="54">
        <f>IFERROR(__xludf.DUMMYFUNCTION("IFERROR(
  VLOOKUP(
    A93,
    IMPORTRANGE(
      ""1SCYQd7_cobOYqT0r_F0IqD4tE4rYn5y8Eup4PJTH8es"",
      ""Snapshot!A:M""
    ),
    13,
    FALSE
  ),
  0
)
"),3.0)</f>
        <v>3</v>
      </c>
      <c r="AK93" s="49">
        <f t="shared" ref="AK93:AL93" si="460">LEN(C93)</f>
        <v>72</v>
      </c>
      <c r="AL93" s="49">
        <f t="shared" si="460"/>
        <v>55</v>
      </c>
    </row>
    <row r="94">
      <c r="A94" s="1" t="s">
        <v>595</v>
      </c>
      <c r="B94" s="1" t="str">
        <f>IFERROR(__xludf.DUMMYFUNCTION("IFERROR(
  VLOOKUP(
    A94,
    IMPORTRANGE(
      ""1ZygntHC1J6IxzKbTidmOyf5nUyW4GCLurHCjexrLm_o"",
      ""HTMLキャッシュ!A:F""
    ),
    2,
    FALSE
  ),
  0
)
"),"NW")</f>
        <v>NW</v>
      </c>
      <c r="C94" s="1" t="str">
        <f>IFERROR(__xludf.DUMMYFUNCTION("IFERROR(
  VLOOKUP(
    A94,
    IMPORTRANGE(
      ""1ZygntHC1J6IxzKbTidmOyf5nUyW4GCLurHCjexrLm_o"",
      ""HTMLキャッシュ!A:F""
    ),
    5,
    FALSE
  ),
  0
)
"),"2025年度冬期講習開講のお知らせ - 受験国語専門 読解ラボ東京 | 中学受験・大学受験対応の個別指導国語専門塾（オンライン・教室対応）")</f>
        <v>2025年度冬期講習開講のお知らせ - 受験国語専門 読解ラボ東京 | 中学受験・大学受験対応の個別指導国語専門塾（オンライン・教室対応）</v>
      </c>
      <c r="D94" s="1" t="str">
        <f>IFERROR(__xludf.DUMMYFUNCTION("IFERROR(
  VLOOKUP(
    A94,
    IMPORTRANGE(
      ""1ZygntHC1J6IxzKbTidmOyf5nUyW4GCLurHCjexrLm_o        "",
      ""HTMLキャッシュ!A:F""
    ),
    6,
    FALSE
  ),
  0
)
"),"読解ラボ東京では、2025年度冬期講習会を開催します！ 塾生の皆さんはもちろん、他塾に通っている生徒さんも大歓")</f>
        <v>読解ラボ東京では、2025年度冬期講習会を開催します！ 塾生の皆さんはもちろん、他塾に通っている生徒さんも大歓</v>
      </c>
      <c r="E94" s="32">
        <f>IFERROR(__xludf.DUMMYFUNCTION("IFERROR(
  VLOOKUP(
    A94,
    IMPORTRANGE(
      ""1ZygntHC1J6IxzKbTidmOyf5nUyW4GCLurHCjexrLm_o        "",
      ""HTMLキャッシュ!A:F""
    ),
    3,
    FALSE
  ),
  0
)
"),45986.864895833336)</f>
        <v>45986.8649</v>
      </c>
      <c r="F94" s="49">
        <f>IFERROR(__xludf.DUMMYFUNCTION("IFERROR(
  VLOOKUP(
    A94,
    IMPORTRANGE(
      ""1ZHMy3vVUd_0MrSduXTe1etBb1HNpAlGwQr006ljwMiM"",
      ""GSC最新!A:F""
    ),
    2,
    FALSE
  ),
  0
)
"),0.0)</f>
        <v>0</v>
      </c>
      <c r="G94" s="49">
        <f>IFERROR(__xludf.DUMMYFUNCTION("IFERROR(
  VLOOKUP(
    A94,
    IMPORTRANGE(
      ""1ZHMy3vVUd_0MrSduXTe1etBb1HNpAlGwQr006ljwMiM"",
      ""GSC最新!A:F""
    ),
    3,
    FALSE
  ),
  0
)
"),2.0)</f>
        <v>2</v>
      </c>
      <c r="H94" s="49">
        <f>IFERROR(__xludf.DUMMYFUNCTION("IFERROR(
  VLOOKUP(
    A94,
    IMPORTRANGE(
      ""1ZHMy3vVUd_0MrSduXTe1etBb1HNpAlGwQr006ljwMiM"",
      ""GSC最新!A:F""
    ),
    4,
    FALSE
  ),
  0
)
"),0.0)</f>
        <v>0</v>
      </c>
      <c r="I94" s="49">
        <f>IFERROR(__xludf.DUMMYFUNCTION("IFERROR(
  VLOOKUP(
    A94,
    IMPORTRANGE(
      ""1ZHMy3vVUd_0MrSduXTe1etBb1HNpAlGwQr006ljwMiM"",
      ""GSC最新!A:F""
    ),
    5,
    FALSE
  ),
  0
)
"),0.0)</f>
        <v>0</v>
      </c>
      <c r="J94" s="50" t="str">
        <f t="shared" ref="J94:K94" si="461">IFERROR(F94/H94,"-")</f>
        <v>-</v>
      </c>
      <c r="K94" s="50" t="str">
        <f t="shared" si="461"/>
        <v>-</v>
      </c>
      <c r="L94" s="6">
        <f>IFERROR(__xludf.DUMMYFUNCTION("IFERROR(
  VLOOKUP(
    A94,
    IMPORTRANGE(
      ""1ZHMy3vVUd_0MrSduXTe1etBb1HNpAlGwQr006ljwMiM"",
      ""GSC最新!A:R""
    ),
    7,
    FALSE
  ),
  0
)
"),5.0)</f>
        <v>5</v>
      </c>
      <c r="M94" s="6">
        <f>IFERROR(__xludf.DUMMYFUNCTION("IFERROR(
  VLOOKUP(
    A94,
    IMPORTRANGE(
      ""1ZHMy3vVUd_0MrSduXTe1etBb1HNpAlGwQr006ljwMiM"",
      ""GSC最新!A:R""
    ),
    10,
    FALSE
  ),
  0
)
"),13.0)</f>
        <v>13</v>
      </c>
      <c r="N94" s="6">
        <f>IFERROR(__xludf.DUMMYFUNCTION("IFERROR(
  VLOOKUP(
    A94,
    IMPORTRANGE(
      ""1ZHMy3vVUd_0MrSduXTe1etBb1HNpAlGwQr006ljwMiM"",
      ""GSC最新!A:R""
    ),
    13,
    FALSE
  ),
  0
)
"),0.0)</f>
        <v>0</v>
      </c>
      <c r="O94" s="6">
        <f>IFERROR(__xludf.DUMMYFUNCTION("IFERROR(
  VLOOKUP(
    A94,
    IMPORTRANGE(
      ""1ZHMy3vVUd_0MrSduXTe1etBb1HNpAlGwQr006ljwMiM"",
      ""GSC最新!A:R""
    ),
    16,
    FALSE
  ),
  0
)
"),0.0)</f>
        <v>0</v>
      </c>
      <c r="P94" s="51" t="str">
        <f t="shared" ref="P94:Q94" si="462">IFERROR(L94/N94,"-")</f>
        <v>-</v>
      </c>
      <c r="Q94" s="51" t="str">
        <f t="shared" si="462"/>
        <v>-</v>
      </c>
      <c r="R94" s="9">
        <f>IFERROR(__xludf.DUMMYFUNCTION("IFERROR(
  VLOOKUP(
    A94,
    IMPORTRANGE(
      ""1ZHMy3vVUd_0MrSduXTe1etBb1HNpAlGwQr006ljwMiM"",
      ""GSC最新!A:R""
    ),
    8,
    FALSE
  ),
  0
)
"),0.0)</f>
        <v>0</v>
      </c>
      <c r="S94" s="9">
        <f>IFERROR(__xludf.DUMMYFUNCTION("IFERROR(
  VLOOKUP(
    A94,
    IMPORTRANGE(
      ""1ZHMy3vVUd_0MrSduXTe1etBb1HNpAlGwQr006ljwMiM"",
      ""GSC最新!A:R""
    ),
    11,
    FALSE
  ),
  0
)
"),0.15384615384615385)</f>
        <v>0.1538461538</v>
      </c>
      <c r="T94" s="9">
        <f>IFERROR(__xludf.DUMMYFUNCTION("IFERROR(
  VLOOKUP(
    A94,
    IMPORTRANGE(
      ""1ZHMy3vVUd_0MrSduXTe1etBb1HNpAlGwQr006ljwMiM"",
      ""GSC最新!A:R""
    ),
    14,
    FALSE
  ),
  0
)
"),0.0)</f>
        <v>0</v>
      </c>
      <c r="U94" s="9">
        <f>IFERROR(__xludf.DUMMYFUNCTION("IFERROR(
  VLOOKUP(
    A94,
    IMPORTRANGE(
      ""1ZHMy3vVUd_0MrSduXTe1etBb1HNpAlGwQr006ljwMiM"",
      ""GSC最新!A:R""
    ),
    17,
    FALSE
  ),
  0
)
"),0.0)</f>
        <v>0</v>
      </c>
      <c r="V94" s="9">
        <f t="shared" ref="V94:W94" si="463">IFERROR(R94-T94,"-")</f>
        <v>0</v>
      </c>
      <c r="W94" s="9">
        <f t="shared" si="463"/>
        <v>0.1538461538</v>
      </c>
      <c r="X94" s="65">
        <f>IFERROR(__xludf.DUMMYFUNCTION("IFERROR(
  VLOOKUP(
    A94,
    IMPORTRANGE(
      ""1ZHMy3vVUd_0MrSduXTe1etBb1HNpAlGwQr006ljwMiM"",
      ""GSC最新!A:R""
    ),
    9,
    FALSE
  ),
  0
)
"),6.8)</f>
        <v>6.8</v>
      </c>
      <c r="Y94" s="65">
        <f>IFERROR(__xludf.DUMMYFUNCTION("IFERROR(
  VLOOKUP(
    A94,
    IMPORTRANGE(
      ""1ZHMy3vVUd_0MrSduXTe1etBb1HNpAlGwQr006ljwMiM"",
      ""GSC最新!A:R""
    ),
    12,
    FALSE
  ),
  0
)
"),6.384615384615385)</f>
        <v>6.384615385</v>
      </c>
      <c r="Z94" s="65" t="str">
        <f>IFERROR(__xludf.DUMMYFUNCTION("IFERROR(
  VLOOKUP(
    A94,
    IMPORTRANGE(
      ""1ZHMy3vVUd_0MrSduXTe1etBb1HNpAlGwQr006ljwMiM"",
      ""GSC最新!A:R""
    ),
    15,
    FALSE
  ),
  0
)
"),"")</f>
        <v/>
      </c>
      <c r="AA94" s="65" t="str">
        <f>IFERROR(__xludf.DUMMYFUNCTION("IFERROR(
  VLOOKUP(
    A94,
    IMPORTRANGE(
      ""1ZHMy3vVUd_0MrSduXTe1etBb1HNpAlGwQr006ljwMiM"",
      ""GSC最新!A:R""
    ),
    18,
    FALSE
  ),
  0
)
"),"")</f>
        <v/>
      </c>
      <c r="AB94" s="65">
        <f t="shared" ref="AB94:AC94" si="464">X94-Z94</f>
        <v>6.8</v>
      </c>
      <c r="AC94" s="65">
        <f t="shared" si="464"/>
        <v>6.384615385</v>
      </c>
      <c r="AD94" s="53">
        <f>IFERROR(__xludf.DUMMYFUNCTION("IFERROR(
  VLOOKUP(
    A94,
    IMPORTRANGE(
      ""1ZHMy3vVUd_0MrSduXTe1etBb1HNpAlGwQr006ljwMiM"",
      ""GSC最新!A:F""
    ),
    6,
    FALSE
  ),
  0
)
"),46081.0)</f>
        <v>46081</v>
      </c>
      <c r="AE94" s="54">
        <f>IFERROR(__xludf.DUMMYFUNCTION("IFERROR(
  VLOOKUP(
    A94,
    IMPORTRANGE(
      ""1SCYQd7_cobOYqT0r_F0IqD4tE4rYn5y8Eup4PJTH8es"",
      ""Snapshot!A:M""
    ),
    5,
    FALSE
  ),
  ""-""
)
"),0.0)</f>
        <v>0</v>
      </c>
      <c r="AF94" s="54">
        <f>IFERROR(__xludf.DUMMYFUNCTION("IFERROR(
  VLOOKUP(
    A94,
    IMPORTRANGE(
      ""1SCYQd7_cobOYqT0r_F0IqD4tE4rYn5y8Eup4PJTH8es"",
      ""Snapshot!A:M""
    ),
    6,
    FALSE
  ),
  0
)
"),0.0)</f>
        <v>0</v>
      </c>
      <c r="AG94" s="54">
        <f>IFERROR(__xludf.DUMMYFUNCTION("IFERROR(
  VLOOKUP(
    A94,
    IMPORTRANGE(
      ""1SCYQd7_cobOYqT0r_F0IqD4tE4rYn5y8Eup4PJTH8es"",
      ""Snapshot!A:M""
    ),
    7,
    FALSE
  ),
  0
)
"),603.0)</f>
        <v>603</v>
      </c>
      <c r="AH94" s="54">
        <f>IFERROR(__xludf.DUMMYFUNCTION("IFERROR(
  VLOOKUP(
    A94,
    IMPORTRANGE(
      ""1SCYQd7_cobOYqT0r_F0IqD4tE4rYn5y8Eup4PJTH8es"",
      ""Snapshot!A:M""
    ),
    8,
    FALSE
  ),
  0
)
"),3.0)</f>
        <v>3</v>
      </c>
      <c r="AI94" s="54">
        <f>IFERROR(__xludf.DUMMYFUNCTION("IFERROR(
  VLOOKUP(
    A94,
    IMPORTRANGE(
      ""1SCYQd7_cobOYqT0r_F0IqD4tE4rYn5y8Eup4PJTH8es"",
      ""Snapshot!A:M""
    ),
    9,
    FALSE
  ),
  0
)
"),1.0)</f>
        <v>1</v>
      </c>
      <c r="AJ94" s="54">
        <f>IFERROR(__xludf.DUMMYFUNCTION("IFERROR(
  VLOOKUP(
    A94,
    IMPORTRANGE(
      ""1SCYQd7_cobOYqT0r_F0IqD4tE4rYn5y8Eup4PJTH8es"",
      ""Snapshot!A:M""
    ),
    13,
    FALSE
  ),
  0
)
"),3.0)</f>
        <v>3</v>
      </c>
      <c r="AK94" s="49">
        <f t="shared" ref="AK94:AL94" si="465">LEN(C94)</f>
        <v>69</v>
      </c>
      <c r="AL94" s="49">
        <f t="shared" si="465"/>
        <v>55</v>
      </c>
    </row>
    <row r="95">
      <c r="A95" s="3" t="s">
        <v>306</v>
      </c>
      <c r="B95" s="1" t="str">
        <f>IFERROR(__xludf.DUMMYFUNCTION("IFERROR(
  VLOOKUP(
    A95,
    IMPORTRANGE(
      ""1ZygntHC1J6IxzKbTidmOyf5nUyW4GCLurHCjexrLm_o"",
      ""HTMLキャッシュ!A:F""
    ),
    2,
    FALSE
  ),
  0
)
"),"SP")</f>
        <v>SP</v>
      </c>
      <c r="C95" s="1" t="str">
        <f>IFERROR(__xludf.DUMMYFUNCTION("IFERROR(
  VLOOKUP(
    A95,
    IMPORTRANGE(
      ""1ZygntHC1J6IxzKbTidmOyf5nUyW4GCLurHCjexrLm_o"",
      ""HTMLキャッシュ!A:F""
    ),
    5,
    FALSE
  ),
  0
)
"),"中学受験小6国語記述添削個別指導講座｜採点基準対応オンライン")</f>
        <v>中学受験小6国語記述添削個別指導講座｜採点基準対応オンライン</v>
      </c>
      <c r="D95" s="1" t="str">
        <f>IFERROR(__xludf.DUMMYFUNCTION("IFERROR(
  VLOOKUP(
    A95,
    IMPORTRANGE(
      ""1ZygntHC1J6IxzKbTidmOyf5nUyW4GCLurHCjexrLm_o        "",
      ""HTMLキャッシュ!A:F""
    ),
    6,
    FALSE
  ),
  0
)
"),"記述で何を書けばいいか分からない小6向け。採点基準に沿った個別添削で失点を防止。動画復習対応、オンライン相談受付中")</f>
        <v>記述で何を書けばいいか分からない小6向け。採点基準に沿った個別添削で失点を防止。動画復習対応、オンライン相談受付中</v>
      </c>
      <c r="E95" s="32">
        <f>IFERROR(__xludf.DUMMYFUNCTION("IFERROR(
  VLOOKUP(
    A95,
    IMPORTRANGE(
      ""1ZygntHC1J6IxzKbTidmOyf5nUyW4GCLurHCjexrLm_o        "",
      ""HTMLキャッシュ!A:F""
    ),
    3,
    FALSE
  ),
  0
)
"),46078.87899305556)</f>
        <v>46078.87899</v>
      </c>
      <c r="F95" s="49">
        <f>IFERROR(__xludf.DUMMYFUNCTION("IFERROR(
  VLOOKUP(
    A95,
    IMPORTRANGE(
      ""1ZHMy3vVUd_0MrSduXTe1etBb1HNpAlGwQr006ljwMiM"",
      ""GSC最新!A:F""
    ),
    2,
    FALSE
  ),
  0
)
"),1.0)</f>
        <v>1</v>
      </c>
      <c r="G95" s="49">
        <f>IFERROR(__xludf.DUMMYFUNCTION("IFERROR(
  VLOOKUP(
    A95,
    IMPORTRANGE(
      ""1ZHMy3vVUd_0MrSduXTe1etBb1HNpAlGwQr006ljwMiM"",
      ""GSC最新!A:F""
    ),
    3,
    FALSE
  ),
  0
)
"),2.0)</f>
        <v>2</v>
      </c>
      <c r="H95" s="49">
        <f>IFERROR(__xludf.DUMMYFUNCTION("IFERROR(
  VLOOKUP(
    A95,
    IMPORTRANGE(
      ""1ZHMy3vVUd_0MrSduXTe1etBb1HNpAlGwQr006ljwMiM"",
      ""GSC最新!A:F""
    ),
    4,
    FALSE
  ),
  0
)
"),0.0)</f>
        <v>0</v>
      </c>
      <c r="I95" s="49">
        <f>IFERROR(__xludf.DUMMYFUNCTION("IFERROR(
  VLOOKUP(
    A95,
    IMPORTRANGE(
      ""1ZHMy3vVUd_0MrSduXTe1etBb1HNpAlGwQr006ljwMiM"",
      ""GSC最新!A:F""
    ),
    5,
    FALSE
  ),
  0
)
"),7.0)</f>
        <v>7</v>
      </c>
      <c r="J95" s="50" t="str">
        <f t="shared" ref="J95:K95" si="466">IFERROR(F95/H95,"-")</f>
        <v>-</v>
      </c>
      <c r="K95" s="50">
        <f t="shared" si="466"/>
        <v>0.2857142857</v>
      </c>
      <c r="L95" s="6">
        <f>IFERROR(__xludf.DUMMYFUNCTION("IFERROR(
  VLOOKUP(
    A95,
    IMPORTRANGE(
      ""1ZHMy3vVUd_0MrSduXTe1etBb1HNpAlGwQr006ljwMiM"",
      ""GSC最新!A:R""
    ),
    7,
    FALSE
  ),
  0
)
"),88.0)</f>
        <v>88</v>
      </c>
      <c r="M95" s="6">
        <f>IFERROR(__xludf.DUMMYFUNCTION("IFERROR(
  VLOOKUP(
    A95,
    IMPORTRANGE(
      ""1ZHMy3vVUd_0MrSduXTe1etBb1HNpAlGwQr006ljwMiM"",
      ""GSC最新!A:R""
    ),
    10,
    FALSE
  ),
  0
)
"),135.0)</f>
        <v>135</v>
      </c>
      <c r="N95" s="6">
        <f>IFERROR(__xludf.DUMMYFUNCTION("IFERROR(
  VLOOKUP(
    A95,
    IMPORTRANGE(
      ""1ZHMy3vVUd_0MrSduXTe1etBb1HNpAlGwQr006ljwMiM"",
      ""GSC最新!A:R""
    ),
    13,
    FALSE
  ),
  0
)
"),6.0)</f>
        <v>6</v>
      </c>
      <c r="O95" s="6">
        <f>IFERROR(__xludf.DUMMYFUNCTION("IFERROR(
  VLOOKUP(
    A95,
    IMPORTRANGE(
      ""1ZHMy3vVUd_0MrSduXTe1etBb1HNpAlGwQr006ljwMiM"",
      ""GSC最新!A:R""
    ),
    16,
    FALSE
  ),
  0
)
"),34.0)</f>
        <v>34</v>
      </c>
      <c r="P95" s="51">
        <f t="shared" ref="P95:Q95" si="467">IFERROR(L95/N95,"-")</f>
        <v>14.66666667</v>
      </c>
      <c r="Q95" s="51">
        <f t="shared" si="467"/>
        <v>3.970588235</v>
      </c>
      <c r="R95" s="9">
        <f>IFERROR(__xludf.DUMMYFUNCTION("IFERROR(
  VLOOKUP(
    A95,
    IMPORTRANGE(
      ""1ZHMy3vVUd_0MrSduXTe1etBb1HNpAlGwQr006ljwMiM"",
      ""GSC最新!A:R""
    ),
    8,
    FALSE
  ),
  0
)
"),0.011363636363636364)</f>
        <v>0.01136363636</v>
      </c>
      <c r="S95" s="9">
        <f>IFERROR(__xludf.DUMMYFUNCTION("IFERROR(
  VLOOKUP(
    A95,
    IMPORTRANGE(
      ""1ZHMy3vVUd_0MrSduXTe1etBb1HNpAlGwQr006ljwMiM"",
      ""GSC最新!A:R""
    ),
    11,
    FALSE
  ),
  0
)
"),0.014814814814814815)</f>
        <v>0.01481481481</v>
      </c>
      <c r="T95" s="9">
        <f>IFERROR(__xludf.DUMMYFUNCTION("IFERROR(
  VLOOKUP(
    A95,
    IMPORTRANGE(
      ""1ZHMy3vVUd_0MrSduXTe1etBb1HNpAlGwQr006ljwMiM"",
      ""GSC最新!A:R""
    ),
    14,
    FALSE
  ),
  0
)
"),0.0)</f>
        <v>0</v>
      </c>
      <c r="U95" s="9">
        <f>IFERROR(__xludf.DUMMYFUNCTION("IFERROR(
  VLOOKUP(
    A95,
    IMPORTRANGE(
      ""1ZHMy3vVUd_0MrSduXTe1etBb1HNpAlGwQr006ljwMiM"",
      ""GSC最新!A:R""
    ),
    17,
    FALSE
  ),
  0
)
"),0.20588235294117646)</f>
        <v>0.2058823529</v>
      </c>
      <c r="V95" s="9">
        <f t="shared" ref="V95:W95" si="468">IFERROR(R95-T95,"-")</f>
        <v>0.01136363636</v>
      </c>
      <c r="W95" s="9">
        <f t="shared" si="468"/>
        <v>-0.1910675381</v>
      </c>
      <c r="X95" s="65">
        <f>IFERROR(__xludf.DUMMYFUNCTION("IFERROR(
  VLOOKUP(
    A95,
    IMPORTRANGE(
      ""1ZHMy3vVUd_0MrSduXTe1etBb1HNpAlGwQr006ljwMiM"",
      ""GSC最新!A:R""
    ),
    9,
    FALSE
  ),
  0
)
"),29.59090909090909)</f>
        <v>29.59090909</v>
      </c>
      <c r="Y95" s="65">
        <f>IFERROR(__xludf.DUMMYFUNCTION("IFERROR(
  VLOOKUP(
    A95,
    IMPORTRANGE(
      ""1ZHMy3vVUd_0MrSduXTe1etBb1HNpAlGwQr006ljwMiM"",
      ""GSC最新!A:R""
    ),
    12,
    FALSE
  ),
  0
)
"),28.503703703703703)</f>
        <v>28.5037037</v>
      </c>
      <c r="Z95" s="65">
        <f>IFERROR(__xludf.DUMMYFUNCTION("IFERROR(
  VLOOKUP(
    A95,
    IMPORTRANGE(
      ""1ZHMy3vVUd_0MrSduXTe1etBb1HNpAlGwQr006ljwMiM"",
      ""GSC最新!A:R""
    ),
    15,
    FALSE
  ),
  0
)
"),17.833333333333332)</f>
        <v>17.83333333</v>
      </c>
      <c r="AA95" s="65">
        <f>IFERROR(__xludf.DUMMYFUNCTION("IFERROR(
  VLOOKUP(
    A95,
    IMPORTRANGE(
      ""1ZHMy3vVUd_0MrSduXTe1etBb1HNpAlGwQr006ljwMiM"",
      ""GSC最新!A:R""
    ),
    18,
    FALSE
  ),
  0
)
"),9.088235294117647)</f>
        <v>9.088235294</v>
      </c>
      <c r="AB95" s="65">
        <f t="shared" ref="AB95:AC95" si="469">X95-Z95</f>
        <v>11.75757576</v>
      </c>
      <c r="AC95" s="65">
        <f t="shared" si="469"/>
        <v>19.41546841</v>
      </c>
      <c r="AD95" s="53">
        <f>IFERROR(__xludf.DUMMYFUNCTION("IFERROR(
  VLOOKUP(
    A95,
    IMPORTRANGE(
      ""1ZHMy3vVUd_0MrSduXTe1etBb1HNpAlGwQr006ljwMiM"",
      ""GSC最新!A:F""
    ),
    6,
    FALSE
  ),
  0
)
"),46081.0)</f>
        <v>46081</v>
      </c>
      <c r="AE95" s="54">
        <f>IFERROR(__xludf.DUMMYFUNCTION("IFERROR(
  VLOOKUP(
    A95,
    IMPORTRANGE(
      ""1SCYQd7_cobOYqT0r_F0IqD4tE4rYn5y8Eup4PJTH8es"",
      ""Snapshot!A:M""
    ),
    5,
    FALSE
  ),
  ""-""
)
"),6.0)</f>
        <v>6</v>
      </c>
      <c r="AF95" s="54">
        <f>IFERROR(__xludf.DUMMYFUNCTION("IFERROR(
  VLOOKUP(
    A95,
    IMPORTRANGE(
      ""1SCYQd7_cobOYqT0r_F0IqD4tE4rYn5y8Eup4PJTH8es"",
      ""Snapshot!A:M""
    ),
    6,
    FALSE
  ),
  0
)
"),4.0)</f>
        <v>4</v>
      </c>
      <c r="AG95" s="54">
        <f>IFERROR(__xludf.DUMMYFUNCTION("IFERROR(
  VLOOKUP(
    A95,
    IMPORTRANGE(
      ""1SCYQd7_cobOYqT0r_F0IqD4tE4rYn5y8Eup4PJTH8es"",
      ""Snapshot!A:M""
    ),
    7,
    FALSE
  ),
  0
)
"),1996.0)</f>
        <v>1996</v>
      </c>
      <c r="AH95" s="54">
        <f>IFERROR(__xludf.DUMMYFUNCTION("IFERROR(
  VLOOKUP(
    A95,
    IMPORTRANGE(
      ""1SCYQd7_cobOYqT0r_F0IqD4tE4rYn5y8Eup4PJTH8es"",
      ""Snapshot!A:M""
    ),
    8,
    FALSE
  ),
  0
)
"),4.0)</f>
        <v>4</v>
      </c>
      <c r="AI95" s="54">
        <f>IFERROR(__xludf.DUMMYFUNCTION("IFERROR(
  VLOOKUP(
    A95,
    IMPORTRANGE(
      ""1SCYQd7_cobOYqT0r_F0IqD4tE4rYn5y8Eup4PJTH8es"",
      ""Snapshot!A:M""
    ),
    9,
    FALSE
  ),
  0
)
"),1.0)</f>
        <v>1</v>
      </c>
      <c r="AJ95" s="54">
        <f>IFERROR(__xludf.DUMMYFUNCTION("IFERROR(
  VLOOKUP(
    A95,
    IMPORTRANGE(
      ""1SCYQd7_cobOYqT0r_F0IqD4tE4rYn5y8Eup4PJTH8es"",
      ""Snapshot!A:M""
    ),
    13,
    FALSE
  ),
  0
)
"),2.0)</f>
        <v>2</v>
      </c>
      <c r="AK95" s="49">
        <f t="shared" ref="AK95:AL95" si="470">LEN(C95)</f>
        <v>30</v>
      </c>
      <c r="AL95" s="49">
        <f t="shared" si="470"/>
        <v>57</v>
      </c>
    </row>
    <row r="96">
      <c r="A96" s="3" t="s">
        <v>596</v>
      </c>
      <c r="B96" s="1" t="str">
        <f>IFERROR(__xludf.DUMMYFUNCTION("IFERROR(
  VLOOKUP(
    A96,
    IMPORTRANGE(
      ""1ZygntHC1J6IxzKbTidmOyf5nUyW4GCLurHCjexrLm_o"",
      ""HTMLキャッシュ!A:F""
    ),
    2,
    FALSE
  ),
  0
)
"),"MC")</f>
        <v>MC</v>
      </c>
      <c r="C96" s="1" t="str">
        <f>IFERROR(__xludf.DUMMYFUNCTION("IFERROR(
  VLOOKUP(
    A96,
    IMPORTRANGE(
      ""1ZygntHC1J6IxzKbTidmOyf5nUyW4GCLurHCjexrLm_o"",
      ""HTMLキャッシュ!A:F""
    ),
    5,
    FALSE
  ),
  0
)
"),"記述力とは何か｜説明はイコール内容＋理由で字数調整・心情は背景→出来事→心情｜中学受験国語（小5〜小6）")</f>
        <v>記述力とは何か｜説明はイコール内容＋理由で字数調整・心情は背景→出来事→心情｜中学受験国語（小5〜小6）</v>
      </c>
      <c r="D96" s="1" t="str">
        <f>IFERROR(__xludf.DUMMYFUNCTION("IFERROR(
  VLOOKUP(
    A96,
    IMPORTRANGE(
      ""1ZygntHC1J6IxzKbTidmOyf5nUyW4GCLurHCjexrLm_o        "",
      ""HTMLキャッシュ!A:F""
    ),
    6,
    FALSE
  ),
  0
)
"),"記述力とは「本文根拠を拾い、同内容（イコール）でまとめる力」。説明記述は傍線部＝内容＋理由（別根拠）で字数を整え、心情記述は背景→出来事→心情の順で組み立てます。中学受験国語（小5〜小6）向け。")</f>
        <v>記述力とは「本文根拠を拾い、同内容（イコール）でまとめる力」。説明記述は傍線部＝内容＋理由（別根拠）で字数を整え、心情記述は背景→出来事→心情の順で組み立てます。中学受験国語（小5〜小6）向け。</v>
      </c>
      <c r="E96" s="32">
        <f>IFERROR(__xludf.DUMMYFUNCTION("IFERROR(
  VLOOKUP(
    A96,
    IMPORTRANGE(
      ""1ZygntHC1J6IxzKbTidmOyf5nUyW4GCLurHCjexrLm_o        "",
      ""HTMLキャッシュ!A:F""
    ),
    3,
    FALSE
  ),
  0
)
"),46069.80637731482)</f>
        <v>46069.80638</v>
      </c>
      <c r="F96" s="49">
        <f>IFERROR(__xludf.DUMMYFUNCTION("IFERROR(
  VLOOKUP(
    A96,
    IMPORTRANGE(
      ""1ZHMy3vVUd_0MrSduXTe1etBb1HNpAlGwQr006ljwMiM"",
      ""GSC最新!A:F""
    ),
    2,
    FALSE
  ),
  0
)
"),1.0)</f>
        <v>1</v>
      </c>
      <c r="G96" s="49">
        <f>IFERROR(__xludf.DUMMYFUNCTION("IFERROR(
  VLOOKUP(
    A96,
    IMPORTRANGE(
      ""1ZHMy3vVUd_0MrSduXTe1etBb1HNpAlGwQr006ljwMiM"",
      ""GSC最新!A:F""
    ),
    3,
    FALSE
  ),
  0
)
"),1.0)</f>
        <v>1</v>
      </c>
      <c r="H96" s="49">
        <f>IFERROR(__xludf.DUMMYFUNCTION("IFERROR(
  VLOOKUP(
    A96,
    IMPORTRANGE(
      ""1ZHMy3vVUd_0MrSduXTe1etBb1HNpAlGwQr006ljwMiM"",
      ""GSC最新!A:F""
    ),
    4,
    FALSE
  ),
  0
)
"),0.0)</f>
        <v>0</v>
      </c>
      <c r="I96" s="49">
        <f>IFERROR(__xludf.DUMMYFUNCTION("IFERROR(
  VLOOKUP(
    A96,
    IMPORTRANGE(
      ""1ZHMy3vVUd_0MrSduXTe1etBb1HNpAlGwQr006ljwMiM"",
      ""GSC最新!A:F""
    ),
    5,
    FALSE
  ),
  0
)
"),1.0)</f>
        <v>1</v>
      </c>
      <c r="J96" s="50" t="str">
        <f t="shared" ref="J96:K96" si="471">IFERROR(F96/H96,"-")</f>
        <v>-</v>
      </c>
      <c r="K96" s="50">
        <f t="shared" si="471"/>
        <v>1</v>
      </c>
      <c r="L96" s="6">
        <f>IFERROR(__xludf.DUMMYFUNCTION("IFERROR(
  VLOOKUP(
    A96,
    IMPORTRANGE(
      ""1ZHMy3vVUd_0MrSduXTe1etBb1HNpAlGwQr006ljwMiM"",
      ""GSC最新!A:R""
    ),
    7,
    FALSE
  ),
  0
)
"),335.0)</f>
        <v>335</v>
      </c>
      <c r="M96" s="6">
        <f>IFERROR(__xludf.DUMMYFUNCTION("IFERROR(
  VLOOKUP(
    A96,
    IMPORTRANGE(
      ""1ZHMy3vVUd_0MrSduXTe1etBb1HNpAlGwQr006ljwMiM"",
      ""GSC最新!A:R""
    ),
    10,
    FALSE
  ),
  0
)
"),440.0)</f>
        <v>440</v>
      </c>
      <c r="N96" s="6">
        <f>IFERROR(__xludf.DUMMYFUNCTION("IFERROR(
  VLOOKUP(
    A96,
    IMPORTRANGE(
      ""1ZHMy3vVUd_0MrSduXTe1etBb1HNpAlGwQr006ljwMiM"",
      ""GSC最新!A:R""
    ),
    13,
    FALSE
  ),
  0
)
"),38.0)</f>
        <v>38</v>
      </c>
      <c r="O96" s="6">
        <f>IFERROR(__xludf.DUMMYFUNCTION("IFERROR(
  VLOOKUP(
    A96,
    IMPORTRANGE(
      ""1ZHMy3vVUd_0MrSduXTe1etBb1HNpAlGwQr006ljwMiM"",
      ""GSC最新!A:R""
    ),
    16,
    FALSE
  ),
  0
)
"),56.0)</f>
        <v>56</v>
      </c>
      <c r="P96" s="51">
        <f t="shared" ref="P96:Q96" si="472">IFERROR(L96/N96,"-")</f>
        <v>8.815789474</v>
      </c>
      <c r="Q96" s="51">
        <f t="shared" si="472"/>
        <v>7.857142857</v>
      </c>
      <c r="R96" s="9">
        <f>IFERROR(__xludf.DUMMYFUNCTION("IFERROR(
  VLOOKUP(
    A96,
    IMPORTRANGE(
      ""1ZHMy3vVUd_0MrSduXTe1etBb1HNpAlGwQr006ljwMiM"",
      ""GSC最新!A:R""
    ),
    8,
    FALSE
  ),
  0
)
"),0.0029850746268656717)</f>
        <v>0.002985074627</v>
      </c>
      <c r="S96" s="9">
        <f>IFERROR(__xludf.DUMMYFUNCTION("IFERROR(
  VLOOKUP(
    A96,
    IMPORTRANGE(
      ""1ZHMy3vVUd_0MrSduXTe1etBb1HNpAlGwQr006ljwMiM"",
      ""GSC最新!A:R""
    ),
    11,
    FALSE
  ),
  0
)
"),0.0022727272727272726)</f>
        <v>0.002272727273</v>
      </c>
      <c r="T96" s="9">
        <f>IFERROR(__xludf.DUMMYFUNCTION("IFERROR(
  VLOOKUP(
    A96,
    IMPORTRANGE(
      ""1ZHMy3vVUd_0MrSduXTe1etBb1HNpAlGwQr006ljwMiM"",
      ""GSC最新!A:R""
    ),
    14,
    FALSE
  ),
  0
)
"),0.0)</f>
        <v>0</v>
      </c>
      <c r="U96" s="9">
        <f>IFERROR(__xludf.DUMMYFUNCTION("IFERROR(
  VLOOKUP(
    A96,
    IMPORTRANGE(
      ""1ZHMy3vVUd_0MrSduXTe1etBb1HNpAlGwQr006ljwMiM"",
      ""GSC最新!A:R""
    ),
    17,
    FALSE
  ),
  0
)
"),0.017857142857142856)</f>
        <v>0.01785714286</v>
      </c>
      <c r="V96" s="9">
        <f t="shared" ref="V96:W96" si="473">IFERROR(R96-T96,"-")</f>
        <v>0.002985074627</v>
      </c>
      <c r="W96" s="9">
        <f t="shared" si="473"/>
        <v>-0.01558441558</v>
      </c>
      <c r="X96" s="65">
        <f>IFERROR(__xludf.DUMMYFUNCTION("IFERROR(
  VLOOKUP(
    A96,
    IMPORTRANGE(
      ""1ZHMy3vVUd_0MrSduXTe1etBb1HNpAlGwQr006ljwMiM"",
      ""GSC最新!A:R""
    ),
    9,
    FALSE
  ),
  0
)
"),4.2298507462686565)</f>
        <v>4.229850746</v>
      </c>
      <c r="Y96" s="65">
        <f>IFERROR(__xludf.DUMMYFUNCTION("IFERROR(
  VLOOKUP(
    A96,
    IMPORTRANGE(
      ""1ZHMy3vVUd_0MrSduXTe1etBb1HNpAlGwQr006ljwMiM"",
      ""GSC最新!A:R""
    ),
    12,
    FALSE
  ),
  0
)
"),4.897727272727273)</f>
        <v>4.897727273</v>
      </c>
      <c r="Z96" s="65">
        <f>IFERROR(__xludf.DUMMYFUNCTION("IFERROR(
  VLOOKUP(
    A96,
    IMPORTRANGE(
      ""1ZHMy3vVUd_0MrSduXTe1etBb1HNpAlGwQr006ljwMiM"",
      ""GSC最新!A:R""
    ),
    15,
    FALSE
  ),
  0
)
"),10.68421052631579)</f>
        <v>10.68421053</v>
      </c>
      <c r="AA96" s="65">
        <f>IFERROR(__xludf.DUMMYFUNCTION("IFERROR(
  VLOOKUP(
    A96,
    IMPORTRANGE(
      ""1ZHMy3vVUd_0MrSduXTe1etBb1HNpAlGwQr006ljwMiM"",
      ""GSC最新!A:R""
    ),
    18,
    FALSE
  ),
  0
)
"),12.821428571428571)</f>
        <v>12.82142857</v>
      </c>
      <c r="AB96" s="65">
        <f t="shared" ref="AB96:AC96" si="474">X96-Z96</f>
        <v>-6.45435978</v>
      </c>
      <c r="AC96" s="65">
        <f t="shared" si="474"/>
        <v>-7.923701299</v>
      </c>
      <c r="AD96" s="53">
        <f>IFERROR(__xludf.DUMMYFUNCTION("IFERROR(
  VLOOKUP(
    A96,
    IMPORTRANGE(
      ""1ZHMy3vVUd_0MrSduXTe1etBb1HNpAlGwQr006ljwMiM"",
      ""GSC最新!A:F""
    ),
    6,
    FALSE
  ),
  0
)
"),46081.0)</f>
        <v>46081</v>
      </c>
      <c r="AE96" s="54">
        <f>IFERROR(__xludf.DUMMYFUNCTION("IFERROR(
  VLOOKUP(
    A96,
    IMPORTRANGE(
      ""1SCYQd7_cobOYqT0r_F0IqD4tE4rYn5y8Eup4PJTH8es"",
      ""Snapshot!A:M""
    ),
    5,
    FALSE
  ),
  ""-""
)
"),3.0)</f>
        <v>3</v>
      </c>
      <c r="AF96" s="54">
        <f>IFERROR(__xludf.DUMMYFUNCTION("IFERROR(
  VLOOKUP(
    A96,
    IMPORTRANGE(
      ""1SCYQd7_cobOYqT0r_F0IqD4tE4rYn5y8Eup4PJTH8es"",
      ""Snapshot!A:M""
    ),
    6,
    FALSE
  ),
  0
)
"),12.0)</f>
        <v>12</v>
      </c>
      <c r="AG96" s="54">
        <f>IFERROR(__xludf.DUMMYFUNCTION("IFERROR(
  VLOOKUP(
    A96,
    IMPORTRANGE(
      ""1SCYQd7_cobOYqT0r_F0IqD4tE4rYn5y8Eup4PJTH8es"",
      ""Snapshot!A:M""
    ),
    7,
    FALSE
  ),
  0
)
"),4325.0)</f>
        <v>4325</v>
      </c>
      <c r="AH96" s="54">
        <f>IFERROR(__xludf.DUMMYFUNCTION("IFERROR(
  VLOOKUP(
    A96,
    IMPORTRANGE(
      ""1SCYQd7_cobOYqT0r_F0IqD4tE4rYn5y8Eup4PJTH8es"",
      ""Snapshot!A:M""
    ),
    8,
    FALSE
  ),
  0
)
"),11.0)</f>
        <v>11</v>
      </c>
      <c r="AI96" s="54">
        <f>IFERROR(__xludf.DUMMYFUNCTION("IFERROR(
  VLOOKUP(
    A96,
    IMPORTRANGE(
      ""1SCYQd7_cobOYqT0r_F0IqD4tE4rYn5y8Eup4PJTH8es"",
      ""Snapshot!A:M""
    ),
    9,
    FALSE
  ),
  0
)
"),3.0)</f>
        <v>3</v>
      </c>
      <c r="AJ96" s="54">
        <f>IFERROR(__xludf.DUMMYFUNCTION("IFERROR(
  VLOOKUP(
    A96,
    IMPORTRANGE(
      ""1SCYQd7_cobOYqT0r_F0IqD4tE4rYn5y8Eup4PJTH8es"",
      ""Snapshot!A:M""
    ),
    13,
    FALSE
  ),
  0
)
"),3.0)</f>
        <v>3</v>
      </c>
      <c r="AK96" s="49">
        <f t="shared" ref="AK96:AL96" si="475">LEN(C96)</f>
        <v>52</v>
      </c>
      <c r="AL96" s="49">
        <f t="shared" si="475"/>
        <v>97</v>
      </c>
    </row>
    <row r="97">
      <c r="A97" s="3" t="s">
        <v>597</v>
      </c>
      <c r="B97" s="1" t="str">
        <f>IFERROR(__xludf.DUMMYFUNCTION("IFERROR(
  VLOOKUP(
    A97,
    IMPORTRANGE(
      ""1ZygntHC1J6IxzKbTidmOyf5nUyW4GCLurHCjexrLm_o"",
      ""HTMLキャッシュ!A:F""
    ),
    2,
    FALSE
  ),
  0
)
"),"MC")</f>
        <v>MC</v>
      </c>
      <c r="C97" s="1" t="str">
        <f>IFERROR(__xludf.DUMMYFUNCTION("IFERROR(
  VLOOKUP(
    A97,
    IMPORTRANGE(
      ""1ZygntHC1J6IxzKbTidmOyf5nUyW4GCLurHCjexrLm_o"",
      ""HTMLキャッシュ!A:F""
    ),
    5,
    FALSE
  ),
  0
)
"),"中学受験 国語の過去問はどう解く？──年数・順番・時間配分の考え方ガイド - 受験国語専門 読解ラボ東京 | 中学受験・大学受験対応の個別指導国語専門塾（オンライン・教室対応）")</f>
        <v>中学受験 国語の過去問はどう解く？──年数・順番・時間配分の考え方ガイド - 受験国語専門 読解ラボ東京 | 中学受験・大学受験対応の個別指導国語専門塾（オンライン・教室対応）</v>
      </c>
      <c r="D97" s="1" t="str">
        <f>IFERROR(__xludf.DUMMYFUNCTION("IFERROR(
  VLOOKUP(
    A97,
    IMPORTRANGE(
      ""1ZygntHC1J6IxzKbTidmOyf5nUyW4GCLurHCjexrLm_o        "",
      ""HTMLキャッシュ!A:F""
    ),
    6,
    FALSE
  ),
  0
)
"),"「過去問は何年分・どのくらいやればいい？」「時間が足りない…」という小6向けに、国語の過去問に取り組む順番、第一志望・第二志望のバランス、1回分にかける時間と復習のコツを具体的に整理します。")</f>
        <v>「過去問は何年分・どのくらいやればいい？」「時間が足りない…」という小6向けに、国語の過去問に取り組む順番、第一志望・第二志望のバランス、1回分にかける時間と復習のコツを具体的に整理します。</v>
      </c>
      <c r="E97" s="32">
        <f>IFERROR(__xludf.DUMMYFUNCTION("IFERROR(
  VLOOKUP(
    A97,
    IMPORTRANGE(
      ""1ZygntHC1J6IxzKbTidmOyf5nUyW4GCLurHCjexrLm_o        "",
      ""HTMLキャッシュ!A:F""
    ),
    3,
    FALSE
  ),
  0
)
"),46052.70738425926)</f>
        <v>46052.70738</v>
      </c>
      <c r="F97" s="49">
        <f>IFERROR(__xludf.DUMMYFUNCTION("IFERROR(
  VLOOKUP(
    A97,
    IMPORTRANGE(
      ""1ZHMy3vVUd_0MrSduXTe1etBb1HNpAlGwQr006ljwMiM"",
      ""GSC最新!A:F""
    ),
    2,
    FALSE
  ),
  0
)
"),1.0)</f>
        <v>1</v>
      </c>
      <c r="G97" s="49">
        <f>IFERROR(__xludf.DUMMYFUNCTION("IFERROR(
  VLOOKUP(
    A97,
    IMPORTRANGE(
      ""1ZHMy3vVUd_0MrSduXTe1etBb1HNpAlGwQr006ljwMiM"",
      ""GSC最新!A:F""
    ),
    3,
    FALSE
  ),
  0
)
"),1.0)</f>
        <v>1</v>
      </c>
      <c r="H97" s="49">
        <f>IFERROR(__xludf.DUMMYFUNCTION("IFERROR(
  VLOOKUP(
    A97,
    IMPORTRANGE(
      ""1ZHMy3vVUd_0MrSduXTe1etBb1HNpAlGwQr006ljwMiM"",
      ""GSC最新!A:F""
    ),
    4,
    FALSE
  ),
  0
)
"),0.0)</f>
        <v>0</v>
      </c>
      <c r="I97" s="49">
        <f>IFERROR(__xludf.DUMMYFUNCTION("IFERROR(
  VLOOKUP(
    A97,
    IMPORTRANGE(
      ""1ZHMy3vVUd_0MrSduXTe1etBb1HNpAlGwQr006ljwMiM"",
      ""GSC最新!A:F""
    ),
    5,
    FALSE
  ),
  0
)
"),2.0)</f>
        <v>2</v>
      </c>
      <c r="J97" s="50" t="str">
        <f t="shared" ref="J97:K97" si="476">IFERROR(F97/H97,"-")</f>
        <v>-</v>
      </c>
      <c r="K97" s="50">
        <f t="shared" si="476"/>
        <v>0.5</v>
      </c>
      <c r="L97" s="6">
        <f>IFERROR(__xludf.DUMMYFUNCTION("IFERROR(
  VLOOKUP(
    A97,
    IMPORTRANGE(
      ""1ZHMy3vVUd_0MrSduXTe1etBb1HNpAlGwQr006ljwMiM"",
      ""GSC最新!A:R""
    ),
    7,
    FALSE
  ),
  0
)
"),132.0)</f>
        <v>132</v>
      </c>
      <c r="M97" s="6">
        <f>IFERROR(__xludf.DUMMYFUNCTION("IFERROR(
  VLOOKUP(
    A97,
    IMPORTRANGE(
      ""1ZHMy3vVUd_0MrSduXTe1etBb1HNpAlGwQr006ljwMiM"",
      ""GSC最新!A:R""
    ),
    10,
    FALSE
  ),
  0
)
"),144.0)</f>
        <v>144</v>
      </c>
      <c r="N97" s="6">
        <f>IFERROR(__xludf.DUMMYFUNCTION("IFERROR(
  VLOOKUP(
    A97,
    IMPORTRANGE(
      ""1ZHMy3vVUd_0MrSduXTe1etBb1HNpAlGwQr006ljwMiM"",
      ""GSC最新!A:R""
    ),
    13,
    FALSE
  ),
  0
)
"),4.0)</f>
        <v>4</v>
      </c>
      <c r="O97" s="6">
        <f>IFERROR(__xludf.DUMMYFUNCTION("IFERROR(
  VLOOKUP(
    A97,
    IMPORTRANGE(
      ""1ZHMy3vVUd_0MrSduXTe1etBb1HNpAlGwQr006ljwMiM"",
      ""GSC最新!A:R""
    ),
    16,
    FALSE
  ),
  0
)
"),369.0)</f>
        <v>369</v>
      </c>
      <c r="P97" s="51">
        <f t="shared" ref="P97:Q97" si="477">IFERROR(L97/N97,"-")</f>
        <v>33</v>
      </c>
      <c r="Q97" s="51">
        <f t="shared" si="477"/>
        <v>0.3902439024</v>
      </c>
      <c r="R97" s="9">
        <f>IFERROR(__xludf.DUMMYFUNCTION("IFERROR(
  VLOOKUP(
    A97,
    IMPORTRANGE(
      ""1ZHMy3vVUd_0MrSduXTe1etBb1HNpAlGwQr006ljwMiM"",
      ""GSC最新!A:R""
    ),
    8,
    FALSE
  ),
  0
)
"),0.007575757575757576)</f>
        <v>0.007575757576</v>
      </c>
      <c r="S97" s="9">
        <f>IFERROR(__xludf.DUMMYFUNCTION("IFERROR(
  VLOOKUP(
    A97,
    IMPORTRANGE(
      ""1ZHMy3vVUd_0MrSduXTe1etBb1HNpAlGwQr006ljwMiM"",
      ""GSC最新!A:R""
    ),
    11,
    FALSE
  ),
  0
)
"),0.006944444444444444)</f>
        <v>0.006944444444</v>
      </c>
      <c r="T97" s="9">
        <f>IFERROR(__xludf.DUMMYFUNCTION("IFERROR(
  VLOOKUP(
    A97,
    IMPORTRANGE(
      ""1ZHMy3vVUd_0MrSduXTe1etBb1HNpAlGwQr006ljwMiM"",
      ""GSC最新!A:R""
    ),
    14,
    FALSE
  ),
  0
)
"),0.0)</f>
        <v>0</v>
      </c>
      <c r="U97" s="9">
        <f>IFERROR(__xludf.DUMMYFUNCTION("IFERROR(
  VLOOKUP(
    A97,
    IMPORTRANGE(
      ""1ZHMy3vVUd_0MrSduXTe1etBb1HNpAlGwQr006ljwMiM"",
      ""GSC最新!A:R""
    ),
    17,
    FALSE
  ),
  0
)
"),0.005420054200542005)</f>
        <v>0.005420054201</v>
      </c>
      <c r="V97" s="9">
        <f t="shared" ref="V97:W97" si="478">IFERROR(R97-T97,"-")</f>
        <v>0.007575757576</v>
      </c>
      <c r="W97" s="9">
        <f t="shared" si="478"/>
        <v>0.001524390244</v>
      </c>
      <c r="X97" s="65">
        <f>IFERROR(__xludf.DUMMYFUNCTION("IFERROR(
  VLOOKUP(
    A97,
    IMPORTRANGE(
      ""1ZHMy3vVUd_0MrSduXTe1etBb1HNpAlGwQr006ljwMiM"",
      ""GSC最新!A:R""
    ),
    9,
    FALSE
  ),
  0
)
"),9.984848484848484)</f>
        <v>9.984848485</v>
      </c>
      <c r="Y97" s="65">
        <f>IFERROR(__xludf.DUMMYFUNCTION("IFERROR(
  VLOOKUP(
    A97,
    IMPORTRANGE(
      ""1ZHMy3vVUd_0MrSduXTe1etBb1HNpAlGwQr006ljwMiM"",
      ""GSC最新!A:R""
    ),
    12,
    FALSE
  ),
  0
)
"),13.243055555555555)</f>
        <v>13.24305556</v>
      </c>
      <c r="Z97" s="65">
        <f>IFERROR(__xludf.DUMMYFUNCTION("IFERROR(
  VLOOKUP(
    A97,
    IMPORTRANGE(
      ""1ZHMy3vVUd_0MrSduXTe1etBb1HNpAlGwQr006ljwMiM"",
      ""GSC最新!A:R""
    ),
    15,
    FALSE
  ),
  0
)
"),60.5)</f>
        <v>60.5</v>
      </c>
      <c r="AA97" s="65">
        <f>IFERROR(__xludf.DUMMYFUNCTION("IFERROR(
  VLOOKUP(
    A97,
    IMPORTRANGE(
      ""1ZHMy3vVUd_0MrSduXTe1etBb1HNpAlGwQr006ljwMiM"",
      ""GSC最新!A:R""
    ),
    18,
    FALSE
  ),
  0
)
"),65.26287262872629)</f>
        <v>65.26287263</v>
      </c>
      <c r="AB97" s="65">
        <f t="shared" ref="AB97:AC97" si="479">X97-Z97</f>
        <v>-50.51515152</v>
      </c>
      <c r="AC97" s="65">
        <f t="shared" si="479"/>
        <v>-52.01981707</v>
      </c>
      <c r="AD97" s="53">
        <f>IFERROR(__xludf.DUMMYFUNCTION("IFERROR(
  VLOOKUP(
    A97,
    IMPORTRANGE(
      ""1ZHMy3vVUd_0MrSduXTe1etBb1HNpAlGwQr006ljwMiM"",
      ""GSC最新!A:F""
    ),
    6,
    FALSE
  ),
  0
)
"),46081.0)</f>
        <v>46081</v>
      </c>
      <c r="AE97" s="54">
        <f>IFERROR(__xludf.DUMMYFUNCTION("IFERROR(
  VLOOKUP(
    A97,
    IMPORTRANGE(
      ""1SCYQd7_cobOYqT0r_F0IqD4tE4rYn5y8Eup4PJTH8es"",
      ""Snapshot!A:M""
    ),
    5,
    FALSE
  ),
  ""-""
)
"),1.0)</f>
        <v>1</v>
      </c>
      <c r="AF97" s="54">
        <f>IFERROR(__xludf.DUMMYFUNCTION("IFERROR(
  VLOOKUP(
    A97,
    IMPORTRANGE(
      ""1SCYQd7_cobOYqT0r_F0IqD4tE4rYn5y8Eup4PJTH8es"",
      ""Snapshot!A:M""
    ),
    6,
    FALSE
  ),
  0
)
"),6.0)</f>
        <v>6</v>
      </c>
      <c r="AG97" s="54">
        <f>IFERROR(__xludf.DUMMYFUNCTION("IFERROR(
  VLOOKUP(
    A97,
    IMPORTRANGE(
      ""1SCYQd7_cobOYqT0r_F0IqD4tE4rYn5y8Eup4PJTH8es"",
      ""Snapshot!A:M""
    ),
    7,
    FALSE
  ),
  0
)
"),4028.0)</f>
        <v>4028</v>
      </c>
      <c r="AH97" s="54">
        <f>IFERROR(__xludf.DUMMYFUNCTION("IFERROR(
  VLOOKUP(
    A97,
    IMPORTRANGE(
      ""1SCYQd7_cobOYqT0r_F0IqD4tE4rYn5y8Eup4PJTH8es"",
      ""Snapshot!A:M""
    ),
    8,
    FALSE
  ),
  0
)
"),6.0)</f>
        <v>6</v>
      </c>
      <c r="AI97" s="54">
        <f>IFERROR(__xludf.DUMMYFUNCTION("IFERROR(
  VLOOKUP(
    A97,
    IMPORTRANGE(
      ""1SCYQd7_cobOYqT0r_F0IqD4tE4rYn5y8Eup4PJTH8es"",
      ""Snapshot!A:M""
    ),
    9,
    FALSE
  ),
  0
)
"),2.0)</f>
        <v>2</v>
      </c>
      <c r="AJ97" s="54">
        <f>IFERROR(__xludf.DUMMYFUNCTION("IFERROR(
  VLOOKUP(
    A97,
    IMPORTRANGE(
      ""1SCYQd7_cobOYqT0r_F0IqD4tE4rYn5y8Eup4PJTH8es"",
      ""Snapshot!A:M""
    ),
    13,
    FALSE
  ),
  0
)
"),3.0)</f>
        <v>3</v>
      </c>
      <c r="AK97" s="49">
        <f t="shared" ref="AK97:AL97" si="480">LEN(C97)</f>
        <v>88</v>
      </c>
      <c r="AL97" s="49">
        <f t="shared" si="480"/>
        <v>95</v>
      </c>
    </row>
    <row r="98">
      <c r="A98" s="3" t="s">
        <v>598</v>
      </c>
      <c r="B98" s="1" t="str">
        <f>IFERROR(__xludf.DUMMYFUNCTION("IFERROR(
  VLOOKUP(
    A98,
    IMPORTRANGE(
      ""1ZygntHC1J6IxzKbTidmOyf5nUyW4GCLurHCjexrLm_o"",
      ""HTMLキャッシュ!A:F""
    ),
    2,
    FALSE
  ),
  0
)
"),"MC")</f>
        <v>MC</v>
      </c>
      <c r="C98" s="1" t="str">
        <f>IFERROR(__xludf.DUMMYFUNCTION("IFERROR(
  VLOOKUP(
    A98,
    IMPORTRANGE(
      ""1ZygntHC1J6IxzKbTidmOyf5nUyW4GCLurHCjexrLm_o"",
      ""HTMLキャッシュ!A:F""
    ),
    5,
    FALSE
  ),
  0
)
"),"■難しい問題に時間を取られるのはとてもイヤだ！【大学入試共通テスト(国語)考察②】 - 受験国語専門 読解ラボ東京 | 中学受験・大学受験対応の個別指導国語専門塾（オンライン・教室対応）")</f>
        <v>■難しい問題に時間を取られるのはとてもイヤだ！【大学入試共通テスト(国語)考察②】 - 受験国語専門 読解ラボ東京 | 中学受験・大学受験対応の個別指導国語専門塾（オンライン・教室対応）</v>
      </c>
      <c r="D98" s="1" t="str">
        <f>IFERROR(__xludf.DUMMYFUNCTION("IFERROR(
  VLOOKUP(
    A98,
    IMPORTRANGE(
      ""1ZygntHC1J6IxzKbTidmOyf5nUyW4GCLurHCjexrLm_o        "",
      ""HTMLキャッシュ!A:F""
    ),
    6,
    FALSE
  ),
  0
)
"),"本考察は、大学入試共通テスト（国語）の全体的な出題傾向を踏まえた続編です。全体像の整理については、全体像はこち")</f>
        <v>本考察は、大学入試共通テスト（国語）の全体的な出題傾向を踏まえた続編です。全体像の整理については、全体像はこち</v>
      </c>
      <c r="E98" s="32">
        <f>IFERROR(__xludf.DUMMYFUNCTION("IFERROR(
  VLOOKUP(
    A98,
    IMPORTRANGE(
      ""1ZygntHC1J6IxzKbTidmOyf5nUyW4GCLurHCjexrLm_o        "",
      ""HTMLキャッシュ!A:F""
    ),
    3,
    FALSE
  ),
  0
)
"),46067.6987037037)</f>
        <v>46067.6987</v>
      </c>
      <c r="F98" s="49">
        <f>IFERROR(__xludf.DUMMYFUNCTION("IFERROR(
  VLOOKUP(
    A98,
    IMPORTRANGE(
      ""1ZHMy3vVUd_0MrSduXTe1etBb1HNpAlGwQr006ljwMiM"",
      ""GSC最新!A:F""
    ),
    2,
    FALSE
  ),
  0
)
"),0.0)</f>
        <v>0</v>
      </c>
      <c r="G98" s="49">
        <f>IFERROR(__xludf.DUMMYFUNCTION("IFERROR(
  VLOOKUP(
    A98,
    IMPORTRANGE(
      ""1ZHMy3vVUd_0MrSduXTe1etBb1HNpAlGwQr006ljwMiM"",
      ""GSC最新!A:F""
    ),
    3,
    FALSE
  ),
  0
)
"),1.0)</f>
        <v>1</v>
      </c>
      <c r="H98" s="49">
        <f>IFERROR(__xludf.DUMMYFUNCTION("IFERROR(
  VLOOKUP(
    A98,
    IMPORTRANGE(
      ""1ZHMy3vVUd_0MrSduXTe1etBb1HNpAlGwQr006ljwMiM"",
      ""GSC最新!A:F""
    ),
    4,
    FALSE
  ),
  0
)
"),0.0)</f>
        <v>0</v>
      </c>
      <c r="I98" s="49">
        <f>IFERROR(__xludf.DUMMYFUNCTION("IFERROR(
  VLOOKUP(
    A98,
    IMPORTRANGE(
      ""1ZHMy3vVUd_0MrSduXTe1etBb1HNpAlGwQr006ljwMiM"",
      ""GSC最新!A:F""
    ),
    5,
    FALSE
  ),
  0
)
"),0.0)</f>
        <v>0</v>
      </c>
      <c r="J98" s="50" t="str">
        <f t="shared" ref="J98:K98" si="481">IFERROR(F98/H98,"-")</f>
        <v>-</v>
      </c>
      <c r="K98" s="50" t="str">
        <f t="shared" si="481"/>
        <v>-</v>
      </c>
      <c r="L98" s="6">
        <f>IFERROR(__xludf.DUMMYFUNCTION("IFERROR(
  VLOOKUP(
    A98,
    IMPORTRANGE(
      ""1ZHMy3vVUd_0MrSduXTe1etBb1HNpAlGwQr006ljwMiM"",
      ""GSC最新!A:R""
    ),
    7,
    FALSE
  ),
  0
)
"),15.0)</f>
        <v>15</v>
      </c>
      <c r="M98" s="6">
        <f>IFERROR(__xludf.DUMMYFUNCTION("IFERROR(
  VLOOKUP(
    A98,
    IMPORTRANGE(
      ""1ZHMy3vVUd_0MrSduXTe1etBb1HNpAlGwQr006ljwMiM"",
      ""GSC最新!A:R""
    ),
    10,
    FALSE
  ),
  0
)
"),46.0)</f>
        <v>46</v>
      </c>
      <c r="N98" s="6">
        <f>IFERROR(__xludf.DUMMYFUNCTION("IFERROR(
  VLOOKUP(
    A98,
    IMPORTRANGE(
      ""1ZHMy3vVUd_0MrSduXTe1etBb1HNpAlGwQr006ljwMiM"",
      ""GSC最新!A:R""
    ),
    13,
    FALSE
  ),
  0
)
"),24.0)</f>
        <v>24</v>
      </c>
      <c r="O98" s="6">
        <f>IFERROR(__xludf.DUMMYFUNCTION("IFERROR(
  VLOOKUP(
    A98,
    IMPORTRANGE(
      ""1ZHMy3vVUd_0MrSduXTe1etBb1HNpAlGwQr006ljwMiM"",
      ""GSC最新!A:R""
    ),
    16,
    FALSE
  ),
  0
)
"),111.0)</f>
        <v>111</v>
      </c>
      <c r="P98" s="51">
        <f t="shared" ref="P98:Q98" si="482">IFERROR(L98/N98,"-")</f>
        <v>0.625</v>
      </c>
      <c r="Q98" s="51">
        <f t="shared" si="482"/>
        <v>0.4144144144</v>
      </c>
      <c r="R98" s="9">
        <f>IFERROR(__xludf.DUMMYFUNCTION("IFERROR(
  VLOOKUP(
    A98,
    IMPORTRANGE(
      ""1ZHMy3vVUd_0MrSduXTe1etBb1HNpAlGwQr006ljwMiM"",
      ""GSC最新!A:R""
    ),
    8,
    FALSE
  ),
  0
)
"),0.0)</f>
        <v>0</v>
      </c>
      <c r="S98" s="9">
        <f>IFERROR(__xludf.DUMMYFUNCTION("IFERROR(
  VLOOKUP(
    A98,
    IMPORTRANGE(
      ""1ZHMy3vVUd_0MrSduXTe1etBb1HNpAlGwQr006ljwMiM"",
      ""GSC最新!A:R""
    ),
    11,
    FALSE
  ),
  0
)
"),0.021739130434782608)</f>
        <v>0.02173913043</v>
      </c>
      <c r="T98" s="9">
        <f>IFERROR(__xludf.DUMMYFUNCTION("IFERROR(
  VLOOKUP(
    A98,
    IMPORTRANGE(
      ""1ZHMy3vVUd_0MrSduXTe1etBb1HNpAlGwQr006ljwMiM"",
      ""GSC最新!A:R""
    ),
    14,
    FALSE
  ),
  0
)
"),0.0)</f>
        <v>0</v>
      </c>
      <c r="U98" s="9">
        <f>IFERROR(__xludf.DUMMYFUNCTION("IFERROR(
  VLOOKUP(
    A98,
    IMPORTRANGE(
      ""1ZHMy3vVUd_0MrSduXTe1etBb1HNpAlGwQr006ljwMiM"",
      ""GSC最新!A:R""
    ),
    17,
    FALSE
  ),
  0
)
"),0.0)</f>
        <v>0</v>
      </c>
      <c r="V98" s="9">
        <f t="shared" ref="V98:W98" si="483">IFERROR(R98-T98,"-")</f>
        <v>0</v>
      </c>
      <c r="W98" s="9">
        <f t="shared" si="483"/>
        <v>0.02173913043</v>
      </c>
      <c r="X98" s="65">
        <f>IFERROR(__xludf.DUMMYFUNCTION("IFERROR(
  VLOOKUP(
    A98,
    IMPORTRANGE(
      ""1ZHMy3vVUd_0MrSduXTe1etBb1HNpAlGwQr006ljwMiM"",
      ""GSC最新!A:R""
    ),
    9,
    FALSE
  ),
  0
)
"),8.933333333333334)</f>
        <v>8.933333333</v>
      </c>
      <c r="Y98" s="65">
        <f>IFERROR(__xludf.DUMMYFUNCTION("IFERROR(
  VLOOKUP(
    A98,
    IMPORTRANGE(
      ""1ZHMy3vVUd_0MrSduXTe1etBb1HNpAlGwQr006ljwMiM"",
      ""GSC最新!A:R""
    ),
    12,
    FALSE
  ),
  0
)
"),8.173913043478262)</f>
        <v>8.173913043</v>
      </c>
      <c r="Z98" s="65">
        <f>IFERROR(__xludf.DUMMYFUNCTION("IFERROR(
  VLOOKUP(
    A98,
    IMPORTRANGE(
      ""1ZHMy3vVUd_0MrSduXTe1etBb1HNpAlGwQr006ljwMiM"",
      ""GSC最新!A:R""
    ),
    15,
    FALSE
  ),
  0
)
"),7.791666666666667)</f>
        <v>7.791666667</v>
      </c>
      <c r="AA98" s="65">
        <f>IFERROR(__xludf.DUMMYFUNCTION("IFERROR(
  VLOOKUP(
    A98,
    IMPORTRANGE(
      ""1ZHMy3vVUd_0MrSduXTe1etBb1HNpAlGwQr006ljwMiM"",
      ""GSC最新!A:R""
    ),
    18,
    FALSE
  ),
  0
)
"),13.621621621621621)</f>
        <v>13.62162162</v>
      </c>
      <c r="AB98" s="65">
        <f t="shared" ref="AB98:AC98" si="484">X98-Z98</f>
        <v>1.141666667</v>
      </c>
      <c r="AC98" s="65">
        <f t="shared" si="484"/>
        <v>-5.447708578</v>
      </c>
      <c r="AD98" s="53">
        <f>IFERROR(__xludf.DUMMYFUNCTION("IFERROR(
  VLOOKUP(
    A98,
    IMPORTRANGE(
      ""1ZHMy3vVUd_0MrSduXTe1etBb1HNpAlGwQr006ljwMiM"",
      ""GSC最新!A:F""
    ),
    6,
    FALSE
  ),
  0
)
"),46081.0)</f>
        <v>46081</v>
      </c>
      <c r="AE98" s="54">
        <f>IFERROR(__xludf.DUMMYFUNCTION("IFERROR(
  VLOOKUP(
    A98,
    IMPORTRANGE(
      ""1SCYQd7_cobOYqT0r_F0IqD4tE4rYn5y8Eup4PJTH8es"",
      ""Snapshot!A:M""
    ),
    5,
    FALSE
  ),
  ""-""
)
"),4.0)</f>
        <v>4</v>
      </c>
      <c r="AF98" s="54">
        <f>IFERROR(__xludf.DUMMYFUNCTION("IFERROR(
  VLOOKUP(
    A98,
    IMPORTRANGE(
      ""1SCYQd7_cobOYqT0r_F0IqD4tE4rYn5y8Eup4PJTH8es"",
      ""Snapshot!A:M""
    ),
    6,
    FALSE
  ),
  0
)
"),2.0)</f>
        <v>2</v>
      </c>
      <c r="AG98" s="54">
        <f>IFERROR(__xludf.DUMMYFUNCTION("IFERROR(
  VLOOKUP(
    A98,
    IMPORTRANGE(
      ""1SCYQd7_cobOYqT0r_F0IqD4tE4rYn5y8Eup4PJTH8es"",
      ""Snapshot!A:M""
    ),
    7,
    FALSE
  ),
  0
)
"),2912.0)</f>
        <v>2912</v>
      </c>
      <c r="AH98" s="54">
        <f>IFERROR(__xludf.DUMMYFUNCTION("IFERROR(
  VLOOKUP(
    A98,
    IMPORTRANGE(
      ""1SCYQd7_cobOYqT0r_F0IqD4tE4rYn5y8Eup4PJTH8es"",
      ""Snapshot!A:M""
    ),
    8,
    FALSE
  ),
  0
)
"),1.0)</f>
        <v>1</v>
      </c>
      <c r="AI98" s="54">
        <f>IFERROR(__xludf.DUMMYFUNCTION("IFERROR(
  VLOOKUP(
    A98,
    IMPORTRANGE(
      ""1SCYQd7_cobOYqT0r_F0IqD4tE4rYn5y8Eup4PJTH8es"",
      ""Snapshot!A:M""
    ),
    9,
    FALSE
  ),
  0
)
"),3.0)</f>
        <v>3</v>
      </c>
      <c r="AJ98" s="54">
        <f>IFERROR(__xludf.DUMMYFUNCTION("IFERROR(
  VLOOKUP(
    A98,
    IMPORTRANGE(
      ""1SCYQd7_cobOYqT0r_F0IqD4tE4rYn5y8Eup4PJTH8es"",
      ""Snapshot!A:M""
    ),
    13,
    FALSE
  ),
  0
)
"),3.0)</f>
        <v>3</v>
      </c>
      <c r="AK98" s="49">
        <f t="shared" ref="AK98:AL98" si="485">LEN(C98)</f>
        <v>93</v>
      </c>
      <c r="AL98" s="49">
        <f t="shared" si="485"/>
        <v>55</v>
      </c>
    </row>
    <row r="99">
      <c r="A99" s="3" t="s">
        <v>599</v>
      </c>
      <c r="B99" s="1" t="str">
        <f>IFERROR(__xludf.DUMMYFUNCTION("IFERROR(
  VLOOKUP(
    A99,
    IMPORTRANGE(
      ""1ZygntHC1J6IxzKbTidmOyf5nUyW4GCLurHCjexrLm_o"",
      ""HTMLキャッシュ!A:F""
    ),
    2,
    FALSE
  ),
  0
)
"),"MC")</f>
        <v>MC</v>
      </c>
      <c r="C99" s="1" t="str">
        <f>IFERROR(__xludf.DUMMYFUNCTION("IFERROR(
  VLOOKUP(
    A99,
    IMPORTRANGE(
      ""1ZygntHC1J6IxzKbTidmOyf5nUyW4GCLurHCjexrLm_o"",
      ""HTMLキャッシュ!A:F""
    ),
    5,
    FALSE
  ),
  0
)
"),"受験国語(現代文)指導「欺瞞」について～その指導で本当に学力は伸びますか？～ - 受験国語専門 読解ラボ東京 | 中学受験・大学受験対応の個別指導国語専門塾（オンライン・教室対応）")</f>
        <v>受験国語(現代文)指導「欺瞞」について～その指導で本当に学力は伸びますか？～ - 受験国語専門 読解ラボ東京 | 中学受験・大学受験対応の個別指導国語専門塾（オンライン・教室対応）</v>
      </c>
      <c r="D99" s="1" t="str">
        <f>IFERROR(__xludf.DUMMYFUNCTION("IFERROR(
  VLOOKUP(
    A99,
    IMPORTRANGE(
      ""1ZygntHC1J6IxzKbTidmOyf5nUyW4GCLurHCjexrLm_o        "",
      ""HTMLキャッシュ!A:F""
    ),
    6,
    FALSE
  ),
  0
)
"),"受験国語（現代文）指導における「主張把握」重視の問題点 「本文の主張をつかめ」という指導は本当に正しいのか 受")</f>
        <v>受験国語（現代文）指導における「主張把握」重視の問題点 「本文の主張をつかめ」という指導は本当に正しいのか 受</v>
      </c>
      <c r="E99" s="32">
        <f>IFERROR(__xludf.DUMMYFUNCTION("IFERROR(
  VLOOKUP(
    A99,
    IMPORTRANGE(
      ""1ZygntHC1J6IxzKbTidmOyf5nUyW4GCLurHCjexrLm_o        "",
      ""HTMLキャッシュ!A:F""
    ),
    3,
    FALSE
  ),
  0
)
"),46043.82466435185)</f>
        <v>46043.82466</v>
      </c>
      <c r="F99" s="49">
        <f>IFERROR(__xludf.DUMMYFUNCTION("IFERROR(
  VLOOKUP(
    A99,
    IMPORTRANGE(
      ""1ZHMy3vVUd_0MrSduXTe1etBb1HNpAlGwQr006ljwMiM"",
      ""GSC最新!A:F""
    ),
    2,
    FALSE
  ),
  0
)
"),1.0)</f>
        <v>1</v>
      </c>
      <c r="G99" s="49">
        <f>IFERROR(__xludf.DUMMYFUNCTION("IFERROR(
  VLOOKUP(
    A99,
    IMPORTRANGE(
      ""1ZHMy3vVUd_0MrSduXTe1etBb1HNpAlGwQr006ljwMiM"",
      ""GSC最新!A:F""
    ),
    3,
    FALSE
  ),
  0
)
"),1.0)</f>
        <v>1</v>
      </c>
      <c r="H99" s="49">
        <f>IFERROR(__xludf.DUMMYFUNCTION("IFERROR(
  VLOOKUP(
    A99,
    IMPORTRANGE(
      ""1ZHMy3vVUd_0MrSduXTe1etBb1HNpAlGwQr006ljwMiM"",
      ""GSC最新!A:F""
    ),
    4,
    FALSE
  ),
  0
)
"),0.0)</f>
        <v>0</v>
      </c>
      <c r="I99" s="49">
        <f>IFERROR(__xludf.DUMMYFUNCTION("IFERROR(
  VLOOKUP(
    A99,
    IMPORTRANGE(
      ""1ZHMy3vVUd_0MrSduXTe1etBb1HNpAlGwQr006ljwMiM"",
      ""GSC最新!A:F""
    ),
    5,
    FALSE
  ),
  0
)
"),0.0)</f>
        <v>0</v>
      </c>
      <c r="J99" s="50" t="str">
        <f t="shared" ref="J99:K99" si="486">IFERROR(F99/H99,"-")</f>
        <v>-</v>
      </c>
      <c r="K99" s="50" t="str">
        <f t="shared" si="486"/>
        <v>-</v>
      </c>
      <c r="L99" s="6">
        <f>IFERROR(__xludf.DUMMYFUNCTION("IFERROR(
  VLOOKUP(
    A99,
    IMPORTRANGE(
      ""1ZHMy3vVUd_0MrSduXTe1etBb1HNpAlGwQr006ljwMiM"",
      ""GSC最新!A:R""
    ),
    7,
    FALSE
  ),
  0
)
"),10.0)</f>
        <v>10</v>
      </c>
      <c r="M99" s="6">
        <f>IFERROR(__xludf.DUMMYFUNCTION("IFERROR(
  VLOOKUP(
    A99,
    IMPORTRANGE(
      ""1ZHMy3vVUd_0MrSduXTe1etBb1HNpAlGwQr006ljwMiM"",
      ""GSC最新!A:R""
    ),
    10,
    FALSE
  ),
  0
)
"),16.0)</f>
        <v>16</v>
      </c>
      <c r="N99" s="6">
        <f>IFERROR(__xludf.DUMMYFUNCTION("IFERROR(
  VLOOKUP(
    A99,
    IMPORTRANGE(
      ""1ZHMy3vVUd_0MrSduXTe1etBb1HNpAlGwQr006ljwMiM"",
      ""GSC最新!A:R""
    ),
    13,
    FALSE
  ),
  0
)
"),3.0)</f>
        <v>3</v>
      </c>
      <c r="O99" s="6">
        <f>IFERROR(__xludf.DUMMYFUNCTION("IFERROR(
  VLOOKUP(
    A99,
    IMPORTRANGE(
      ""1ZHMy3vVUd_0MrSduXTe1etBb1HNpAlGwQr006ljwMiM"",
      ""GSC最新!A:R""
    ),
    16,
    FALSE
  ),
  0
)
"),7.0)</f>
        <v>7</v>
      </c>
      <c r="P99" s="51">
        <f t="shared" ref="P99:Q99" si="487">IFERROR(L99/N99,"-")</f>
        <v>3.333333333</v>
      </c>
      <c r="Q99" s="51">
        <f t="shared" si="487"/>
        <v>2.285714286</v>
      </c>
      <c r="R99" s="9">
        <f>IFERROR(__xludf.DUMMYFUNCTION("IFERROR(
  VLOOKUP(
    A99,
    IMPORTRANGE(
      ""1ZHMy3vVUd_0MrSduXTe1etBb1HNpAlGwQr006ljwMiM"",
      ""GSC最新!A:R""
    ),
    8,
    FALSE
  ),
  0
)
"),0.1)</f>
        <v>0.1</v>
      </c>
      <c r="S99" s="9">
        <f>IFERROR(__xludf.DUMMYFUNCTION("IFERROR(
  VLOOKUP(
    A99,
    IMPORTRANGE(
      ""1ZHMy3vVUd_0MrSduXTe1etBb1HNpAlGwQr006ljwMiM"",
      ""GSC最新!A:R""
    ),
    11,
    FALSE
  ),
  0
)
"),0.0625)</f>
        <v>0.0625</v>
      </c>
      <c r="T99" s="9">
        <f>IFERROR(__xludf.DUMMYFUNCTION("IFERROR(
  VLOOKUP(
    A99,
    IMPORTRANGE(
      ""1ZHMy3vVUd_0MrSduXTe1etBb1HNpAlGwQr006ljwMiM"",
      ""GSC最新!A:R""
    ),
    14,
    FALSE
  ),
  0
)
"),0.0)</f>
        <v>0</v>
      </c>
      <c r="U99" s="9">
        <f>IFERROR(__xludf.DUMMYFUNCTION("IFERROR(
  VLOOKUP(
    A99,
    IMPORTRANGE(
      ""1ZHMy3vVUd_0MrSduXTe1etBb1HNpAlGwQr006ljwMiM"",
      ""GSC最新!A:R""
    ),
    17,
    FALSE
  ),
  0
)
"),0.0)</f>
        <v>0</v>
      </c>
      <c r="V99" s="9">
        <f t="shared" ref="V99:W99" si="488">IFERROR(R99-T99,"-")</f>
        <v>0.1</v>
      </c>
      <c r="W99" s="9">
        <f t="shared" si="488"/>
        <v>0.0625</v>
      </c>
      <c r="X99" s="65">
        <f>IFERROR(__xludf.DUMMYFUNCTION("IFERROR(
  VLOOKUP(
    A99,
    IMPORTRANGE(
      ""1ZHMy3vVUd_0MrSduXTe1etBb1HNpAlGwQr006ljwMiM"",
      ""GSC最新!A:R""
    ),
    9,
    FALSE
  ),
  0
)
"),6.1)</f>
        <v>6.1</v>
      </c>
      <c r="Y99" s="65">
        <f>IFERROR(__xludf.DUMMYFUNCTION("IFERROR(
  VLOOKUP(
    A99,
    IMPORTRANGE(
      ""1ZHMy3vVUd_0MrSduXTe1etBb1HNpAlGwQr006ljwMiM"",
      ""GSC最新!A:R""
    ),
    12,
    FALSE
  ),
  0
)
"),8.875)</f>
        <v>8.875</v>
      </c>
      <c r="Z99" s="65">
        <f>IFERROR(__xludf.DUMMYFUNCTION("IFERROR(
  VLOOKUP(
    A99,
    IMPORTRANGE(
      ""1ZHMy3vVUd_0MrSduXTe1etBb1HNpAlGwQr006ljwMiM"",
      ""GSC最新!A:R""
    ),
    15,
    FALSE
  ),
  0
)
"),15.0)</f>
        <v>15</v>
      </c>
      <c r="AA99" s="65">
        <f>IFERROR(__xludf.DUMMYFUNCTION("IFERROR(
  VLOOKUP(
    A99,
    IMPORTRANGE(
      ""1ZHMy3vVUd_0MrSduXTe1etBb1HNpAlGwQr006ljwMiM"",
      ""GSC最新!A:R""
    ),
    18,
    FALSE
  ),
  0
)
"),14.0)</f>
        <v>14</v>
      </c>
      <c r="AB99" s="65">
        <f t="shared" ref="AB99:AC99" si="489">X99-Z99</f>
        <v>-8.9</v>
      </c>
      <c r="AC99" s="65">
        <f t="shared" si="489"/>
        <v>-5.125</v>
      </c>
      <c r="AD99" s="53">
        <f>IFERROR(__xludf.DUMMYFUNCTION("IFERROR(
  VLOOKUP(
    A99,
    IMPORTRANGE(
      ""1ZHMy3vVUd_0MrSduXTe1etBb1HNpAlGwQr006ljwMiM"",
      ""GSC最新!A:F""
    ),
    6,
    FALSE
  ),
  0
)
"),46081.0)</f>
        <v>46081</v>
      </c>
      <c r="AE99" s="54">
        <f>IFERROR(__xludf.DUMMYFUNCTION("IFERROR(
  VLOOKUP(
    A99,
    IMPORTRANGE(
      ""1SCYQd7_cobOYqT0r_F0IqD4tE4rYn5y8Eup4PJTH8es"",
      ""Snapshot!A:M""
    ),
    5,
    FALSE
  ),
  ""-""
)
"),4.0)</f>
        <v>4</v>
      </c>
      <c r="AF99" s="54">
        <f>IFERROR(__xludf.DUMMYFUNCTION("IFERROR(
  VLOOKUP(
    A99,
    IMPORTRANGE(
      ""1SCYQd7_cobOYqT0r_F0IqD4tE4rYn5y8Eup4PJTH8es"",
      ""Snapshot!A:M""
    ),
    6,
    FALSE
  ),
  0
)
"),7.0)</f>
        <v>7</v>
      </c>
      <c r="AG99" s="54">
        <f>IFERROR(__xludf.DUMMYFUNCTION("IFERROR(
  VLOOKUP(
    A99,
    IMPORTRANGE(
      ""1SCYQd7_cobOYqT0r_F0IqD4tE4rYn5y8Eup4PJTH8es"",
      ""Snapshot!A:M""
    ),
    7,
    FALSE
  ),
  0
)
"),1163.0)</f>
        <v>1163</v>
      </c>
      <c r="AH99" s="54">
        <f>IFERROR(__xludf.DUMMYFUNCTION("IFERROR(
  VLOOKUP(
    A99,
    IMPORTRANGE(
      ""1SCYQd7_cobOYqT0r_F0IqD4tE4rYn5y8Eup4PJTH8es"",
      ""Snapshot!A:M""
    ),
    8,
    FALSE
  ),
  0
)
"),4.0)</f>
        <v>4</v>
      </c>
      <c r="AI99" s="54">
        <f>IFERROR(__xludf.DUMMYFUNCTION("IFERROR(
  VLOOKUP(
    A99,
    IMPORTRANGE(
      ""1SCYQd7_cobOYqT0r_F0IqD4tE4rYn5y8Eup4PJTH8es"",
      ""Snapshot!A:M""
    ),
    9,
    FALSE
  ),
  0
)
"),1.0)</f>
        <v>1</v>
      </c>
      <c r="AJ99" s="54">
        <f>IFERROR(__xludf.DUMMYFUNCTION("IFERROR(
  VLOOKUP(
    A99,
    IMPORTRANGE(
      ""1SCYQd7_cobOYqT0r_F0IqD4tE4rYn5y8Eup4PJTH8es"",
      ""Snapshot!A:M""
    ),
    13,
    FALSE
  ),
  0
)
"),3.0)</f>
        <v>3</v>
      </c>
      <c r="AK99" s="49">
        <f t="shared" ref="AK99:AL99" si="490">LEN(C99)</f>
        <v>90</v>
      </c>
      <c r="AL99" s="49">
        <f t="shared" si="490"/>
        <v>55</v>
      </c>
    </row>
    <row r="100">
      <c r="A100" s="3" t="s">
        <v>600</v>
      </c>
      <c r="B100" s="1" t="str">
        <f>IFERROR(__xludf.DUMMYFUNCTION("IFERROR(
  VLOOKUP(
    A100,
    IMPORTRANGE(
      ""1ZygntHC1J6IxzKbTidmOyf5nUyW4GCLurHCjexrLm_o"",
      ""HTMLキャッシュ!A:F""
    ),
    2,
    FALSE
  ),
  0
)
"),"MC")</f>
        <v>MC</v>
      </c>
      <c r="C100" s="1" t="str">
        <f>IFERROR(__xludf.DUMMYFUNCTION("IFERROR(
  VLOOKUP(
    A100,
    IMPORTRANGE(
      ""1ZygntHC1J6IxzKbTidmOyf5nUyW4GCLurHCjexrLm_o"",
      ""HTMLキャッシュ!A:F""
    ),
    5,
    FALSE
  ),
  0
)
"),"サピックス・小５国語の要点(52B-01) - 受験国語専門 読解ラボ東京 | 中学受験・大学受験対応の個別指導国語専門塾（オンライン・教室対応）")</f>
        <v>サピックス・小５国語の要点(52B-01) - 受験国語専門 読解ラボ東京 | 中学受験・大学受験対応の個別指導国語専門塾（オンライン・教室対応）</v>
      </c>
      <c r="D100" s="1" t="str">
        <f>IFERROR(__xludf.DUMMYFUNCTION("IFERROR(
  VLOOKUP(
    A100,
    IMPORTRANGE(
      ""1ZygntHC1J6IxzKbTidmOyf5nUyW4GCLurHCjexrLm_o        "",
      ""HTMLキャッシュ!A:F""
    ),
    6,
    FALSE
  ),
  0
)
"),"動画を見たあと、下の順番で見直すと、家での復習がスムーズになります。 SAPIX 国語 小5 Bテキスト 52")</f>
        <v>動画を見たあと、下の順番で見直すと、家での復習がスムーズになります。 SAPIX 国語 小5 Bテキスト 52</v>
      </c>
      <c r="E100" s="32">
        <f>IFERROR(__xludf.DUMMYFUNCTION("IFERROR(
  VLOOKUP(
    A100,
    IMPORTRANGE(
      ""1ZygntHC1J6IxzKbTidmOyf5nUyW4GCLurHCjexrLm_o        "",
      ""HTMLキャッシュ!A:F""
    ),
    3,
    FALSE
  ),
  0
)
"),46080.731354166666)</f>
        <v>46080.73135</v>
      </c>
      <c r="F100" s="49">
        <f>IFERROR(__xludf.DUMMYFUNCTION("IFERROR(
  VLOOKUP(
    A100,
    IMPORTRANGE(
      ""1ZHMy3vVUd_0MrSduXTe1etBb1HNpAlGwQr006ljwMiM"",
      ""GSC最新!A:F""
    ),
    2,
    FALSE
  ),
  0
)
"),0.0)</f>
        <v>0</v>
      </c>
      <c r="G100" s="49">
        <f>IFERROR(__xludf.DUMMYFUNCTION("IFERROR(
  VLOOKUP(
    A100,
    IMPORTRANGE(
      ""1ZHMy3vVUd_0MrSduXTe1etBb1HNpAlGwQr006ljwMiM"",
      ""GSC最新!A:F""
    ),
    3,
    FALSE
  ),
  0
)
"),1.0)</f>
        <v>1</v>
      </c>
      <c r="H100" s="49">
        <f>IFERROR(__xludf.DUMMYFUNCTION("IFERROR(
  VLOOKUP(
    A100,
    IMPORTRANGE(
      ""1ZHMy3vVUd_0MrSduXTe1etBb1HNpAlGwQr006ljwMiM"",
      ""GSC最新!A:F""
    ),
    4,
    FALSE
  ),
  0
)
"),0.0)</f>
        <v>0</v>
      </c>
      <c r="I100" s="49">
        <f>IFERROR(__xludf.DUMMYFUNCTION("IFERROR(
  VLOOKUP(
    A100,
    IMPORTRANGE(
      ""1ZHMy3vVUd_0MrSduXTe1etBb1HNpAlGwQr006ljwMiM"",
      ""GSC最新!A:F""
    ),
    5,
    FALSE
  ),
  0
)
"),0.0)</f>
        <v>0</v>
      </c>
      <c r="J100" s="50" t="str">
        <f t="shared" ref="J100:K100" si="491">IFERROR(F100/H100,"-")</f>
        <v>-</v>
      </c>
      <c r="K100" s="50" t="str">
        <f t="shared" si="491"/>
        <v>-</v>
      </c>
      <c r="L100" s="6">
        <f>IFERROR(__xludf.DUMMYFUNCTION("IFERROR(
  VLOOKUP(
    A100,
    IMPORTRANGE(
      ""1ZHMy3vVUd_0MrSduXTe1etBb1HNpAlGwQr006ljwMiM"",
      ""GSC最新!A:R""
    ),
    7,
    FALSE
  ),
  0
)
"),1.0)</f>
        <v>1</v>
      </c>
      <c r="M100" s="6">
        <f>IFERROR(__xludf.DUMMYFUNCTION("IFERROR(
  VLOOKUP(
    A100,
    IMPORTRANGE(
      ""1ZHMy3vVUd_0MrSduXTe1etBb1HNpAlGwQr006ljwMiM"",
      ""GSC最新!A:R""
    ),
    10,
    FALSE
  ),
  0
)
"),9.0)</f>
        <v>9</v>
      </c>
      <c r="N100" s="6">
        <f>IFERROR(__xludf.DUMMYFUNCTION("IFERROR(
  VLOOKUP(
    A100,
    IMPORTRANGE(
      ""1ZHMy3vVUd_0MrSduXTe1etBb1HNpAlGwQr006ljwMiM"",
      ""GSC最新!A:R""
    ),
    13,
    FALSE
  ),
  0
)
"),0.0)</f>
        <v>0</v>
      </c>
      <c r="O100" s="6">
        <f>IFERROR(__xludf.DUMMYFUNCTION("IFERROR(
  VLOOKUP(
    A100,
    IMPORTRANGE(
      ""1ZHMy3vVUd_0MrSduXTe1etBb1HNpAlGwQr006ljwMiM"",
      ""GSC最新!A:R""
    ),
    16,
    FALSE
  ),
  0
)
"),0.0)</f>
        <v>0</v>
      </c>
      <c r="P100" s="51" t="str">
        <f t="shared" ref="P100:Q100" si="492">IFERROR(L100/N100,"-")</f>
        <v>-</v>
      </c>
      <c r="Q100" s="51" t="str">
        <f t="shared" si="492"/>
        <v>-</v>
      </c>
      <c r="R100" s="9">
        <f>IFERROR(__xludf.DUMMYFUNCTION("IFERROR(
  VLOOKUP(
    A100,
    IMPORTRANGE(
      ""1ZHMy3vVUd_0MrSduXTe1etBb1HNpAlGwQr006ljwMiM"",
      ""GSC最新!A:R""
    ),
    8,
    FALSE
  ),
  0
)
"),0.0)</f>
        <v>0</v>
      </c>
      <c r="S100" s="9">
        <f>IFERROR(__xludf.DUMMYFUNCTION("IFERROR(
  VLOOKUP(
    A100,
    IMPORTRANGE(
      ""1ZHMy3vVUd_0MrSduXTe1etBb1HNpAlGwQr006ljwMiM"",
      ""GSC最新!A:R""
    ),
    11,
    FALSE
  ),
  0
)
"),0.1111111111111111)</f>
        <v>0.1111111111</v>
      </c>
      <c r="T100" s="9">
        <f>IFERROR(__xludf.DUMMYFUNCTION("IFERROR(
  VLOOKUP(
    A100,
    IMPORTRANGE(
      ""1ZHMy3vVUd_0MrSduXTe1etBb1HNpAlGwQr006ljwMiM"",
      ""GSC最新!A:R""
    ),
    14,
    FALSE
  ),
  0
)
"),0.0)</f>
        <v>0</v>
      </c>
      <c r="U100" s="9">
        <f>IFERROR(__xludf.DUMMYFUNCTION("IFERROR(
  VLOOKUP(
    A100,
    IMPORTRANGE(
      ""1ZHMy3vVUd_0MrSduXTe1etBb1HNpAlGwQr006ljwMiM"",
      ""GSC最新!A:R""
    ),
    17,
    FALSE
  ),
  0
)
"),0.0)</f>
        <v>0</v>
      </c>
      <c r="V100" s="9">
        <f t="shared" ref="V100:W100" si="493">IFERROR(R100-T100,"-")</f>
        <v>0</v>
      </c>
      <c r="W100" s="9">
        <f t="shared" si="493"/>
        <v>0.1111111111</v>
      </c>
      <c r="X100" s="65">
        <f>IFERROR(__xludf.DUMMYFUNCTION("IFERROR(
  VLOOKUP(
    A100,
    IMPORTRANGE(
      ""1ZHMy3vVUd_0MrSduXTe1etBb1HNpAlGwQr006ljwMiM"",
      ""GSC最新!A:R""
    ),
    9,
    FALSE
  ),
  0
)
"),2.0)</f>
        <v>2</v>
      </c>
      <c r="Y100" s="65">
        <f>IFERROR(__xludf.DUMMYFUNCTION("IFERROR(
  VLOOKUP(
    A100,
    IMPORTRANGE(
      ""1ZHMy3vVUd_0MrSduXTe1etBb1HNpAlGwQr006ljwMiM"",
      ""GSC最新!A:R""
    ),
    12,
    FALSE
  ),
  0
)
"),6.222222222222222)</f>
        <v>6.222222222</v>
      </c>
      <c r="Z100" s="65" t="str">
        <f>IFERROR(__xludf.DUMMYFUNCTION("IFERROR(
  VLOOKUP(
    A100,
    IMPORTRANGE(
      ""1ZHMy3vVUd_0MrSduXTe1etBb1HNpAlGwQr006ljwMiM"",
      ""GSC最新!A:R""
    ),
    15,
    FALSE
  ),
  0
)
"),"")</f>
        <v/>
      </c>
      <c r="AA100" s="65" t="str">
        <f>IFERROR(__xludf.DUMMYFUNCTION("IFERROR(
  VLOOKUP(
    A100,
    IMPORTRANGE(
      ""1ZHMy3vVUd_0MrSduXTe1etBb1HNpAlGwQr006ljwMiM"",
      ""GSC最新!A:R""
    ),
    18,
    FALSE
  ),
  0
)
"),"")</f>
        <v/>
      </c>
      <c r="AB100" s="65">
        <f t="shared" ref="AB100:AC100" si="494">X100-Z100</f>
        <v>2</v>
      </c>
      <c r="AC100" s="65">
        <f t="shared" si="494"/>
        <v>6.222222222</v>
      </c>
      <c r="AD100" s="53">
        <f>IFERROR(__xludf.DUMMYFUNCTION("IFERROR(
  VLOOKUP(
    A100,
    IMPORTRANGE(
      ""1ZHMy3vVUd_0MrSduXTe1etBb1HNpAlGwQr006ljwMiM"",
      ""GSC最新!A:F""
    ),
    6,
    FALSE
  ),
  0
)
"),46081.0)</f>
        <v>46081</v>
      </c>
      <c r="AE100" s="54">
        <f>IFERROR(__xludf.DUMMYFUNCTION("IFERROR(
  VLOOKUP(
    A100,
    IMPORTRANGE(
      ""1SCYQd7_cobOYqT0r_F0IqD4tE4rYn5y8Eup4PJTH8es"",
      ""Snapshot!A:M""
    ),
    5,
    FALSE
  ),
  ""-""
)
"),6.0)</f>
        <v>6</v>
      </c>
      <c r="AF100" s="54">
        <f>IFERROR(__xludf.DUMMYFUNCTION("IFERROR(
  VLOOKUP(
    A100,
    IMPORTRANGE(
      ""1SCYQd7_cobOYqT0r_F0IqD4tE4rYn5y8Eup4PJTH8es"",
      ""Snapshot!A:M""
    ),
    6,
    FALSE
  ),
  0
)
"),10.0)</f>
        <v>10</v>
      </c>
      <c r="AG100" s="54">
        <f>IFERROR(__xludf.DUMMYFUNCTION("IFERROR(
  VLOOKUP(
    A100,
    IMPORTRANGE(
      ""1SCYQd7_cobOYqT0r_F0IqD4tE4rYn5y8Eup4PJTH8es"",
      ""Snapshot!A:M""
    ),
    7,
    FALSE
  ),
  0
)
"),1952.0)</f>
        <v>1952</v>
      </c>
      <c r="AH100" s="54">
        <f>IFERROR(__xludf.DUMMYFUNCTION("IFERROR(
  VLOOKUP(
    A100,
    IMPORTRANGE(
      ""1SCYQd7_cobOYqT0r_F0IqD4tE4rYn5y8Eup4PJTH8es"",
      ""Snapshot!A:M""
    ),
    8,
    FALSE
  ),
  0
)
"),3.0)</f>
        <v>3</v>
      </c>
      <c r="AI100" s="54">
        <f>IFERROR(__xludf.DUMMYFUNCTION("IFERROR(
  VLOOKUP(
    A100,
    IMPORTRANGE(
      ""1SCYQd7_cobOYqT0r_F0IqD4tE4rYn5y8Eup4PJTH8es"",
      ""Snapshot!A:M""
    ),
    9,
    FALSE
  ),
  0
)
"),3.0)</f>
        <v>3</v>
      </c>
      <c r="AJ100" s="54">
        <f>IFERROR(__xludf.DUMMYFUNCTION("IFERROR(
  VLOOKUP(
    A100,
    IMPORTRANGE(
      ""1SCYQd7_cobOYqT0r_F0IqD4tE4rYn5y8Eup4PJTH8es"",
      ""Snapshot!A:M""
    ),
    13,
    FALSE
  ),
  0
)
"),3.0)</f>
        <v>3</v>
      </c>
      <c r="AK100" s="49">
        <f t="shared" ref="AK100:AL100" si="495">LEN(C100)</f>
        <v>73</v>
      </c>
      <c r="AL100" s="49">
        <f t="shared" si="495"/>
        <v>55</v>
      </c>
    </row>
    <row r="101">
      <c r="A101" s="56" t="s">
        <v>601</v>
      </c>
      <c r="B101" s="1" t="str">
        <f>IFERROR(__xludf.DUMMYFUNCTION("IFERROR(
  VLOOKUP(
    A101,
    IMPORTRANGE(
      ""1ZygntHC1J6IxzKbTidmOyf5nUyW4GCLurHCjexrLm_o"",
      ""HTMLキャッシュ!A:F""
    ),
    2,
    FALSE
  ),
  0
)
"),"MC")</f>
        <v>MC</v>
      </c>
      <c r="C101" s="1" t="str">
        <f>IFERROR(__xludf.DUMMYFUNCTION("IFERROR(
  VLOOKUP(
    A101,
    IMPORTRANGE(
      ""1ZygntHC1J6IxzKbTidmOyf5nUyW4GCLurHCjexrLm_o"",
      ""HTMLキャッシュ!A:F""
    ),
    5,
    FALSE
  ),
  0
)
"),"予習シリーズ小５上巻 第１２回の要点解説 - 受験国語専門 読解ラボ東京 | 中学受験・大学受験対応の個別指導国語専門塾（オンライン・教室対応）")</f>
        <v>予習シリーズ小５上巻 第１２回の要点解説 - 受験国語専門 読解ラボ東京 | 中学受験・大学受験対応の個別指導国語専門塾（オンライン・教室対応）</v>
      </c>
      <c r="D101" s="1" t="str">
        <f>IFERROR(__xludf.DUMMYFUNCTION("IFERROR(
  VLOOKUP(
    A101,
    IMPORTRANGE(
      ""1ZygntHC1J6IxzKbTidmOyf5nUyW4GCLurHCjexrLm_o        "",
      ""HTMLキャッシュ!A:F""
    ),
    6,
    FALSE
  ),
  0
)
"),"予習シリーズ 小5 上巻 第12回・発展問題 論説文・随筆 【解説まとめ】読書とは自分を映す「鏡」である 受験")</f>
        <v>予習シリーズ 小5 上巻 第12回・発展問題 論説文・随筆 【解説まとめ】読書とは自分を映す「鏡」である 受験</v>
      </c>
      <c r="E101" s="32">
        <f>IFERROR(__xludf.DUMMYFUNCTION("IFERROR(
  VLOOKUP(
    A101,
    IMPORTRANGE(
      ""1ZygntHC1J6IxzKbTidmOyf5nUyW4GCLurHCjexrLm_o        "",
      ""HTMLキャッシュ!A:F""
    ),
    3,
    FALSE
  ),
  0
)
"),46051.57802083333)</f>
        <v>46051.57802</v>
      </c>
      <c r="F101" s="49">
        <f>IFERROR(__xludf.DUMMYFUNCTION("IFERROR(
  VLOOKUP(
    A101,
    IMPORTRANGE(
      ""1ZHMy3vVUd_0MrSduXTe1etBb1HNpAlGwQr006ljwMiM"",
      ""GSC最新!A:F""
    ),
    2,
    FALSE
  ),
  0
)
"),1.0)</f>
        <v>1</v>
      </c>
      <c r="G101" s="49">
        <f>IFERROR(__xludf.DUMMYFUNCTION("IFERROR(
  VLOOKUP(
    A101,
    IMPORTRANGE(
      ""1ZHMy3vVUd_0MrSduXTe1etBb1HNpAlGwQr006ljwMiM"",
      ""GSC最新!A:F""
    ),
    3,
    FALSE
  ),
  0
)
"),1.0)</f>
        <v>1</v>
      </c>
      <c r="H101" s="49">
        <f>IFERROR(__xludf.DUMMYFUNCTION("IFERROR(
  VLOOKUP(
    A101,
    IMPORTRANGE(
      ""1ZHMy3vVUd_0MrSduXTe1etBb1HNpAlGwQr006ljwMiM"",
      ""GSC最新!A:F""
    ),
    4,
    FALSE
  ),
  0
)
"),0.0)</f>
        <v>0</v>
      </c>
      <c r="I101" s="49">
        <f>IFERROR(__xludf.DUMMYFUNCTION("IFERROR(
  VLOOKUP(
    A101,
    IMPORTRANGE(
      ""1ZHMy3vVUd_0MrSduXTe1etBb1HNpAlGwQr006ljwMiM"",
      ""GSC最新!A:F""
    ),
    5,
    FALSE
  ),
  0
)
"),0.0)</f>
        <v>0</v>
      </c>
      <c r="J101" s="50" t="str">
        <f t="shared" ref="J101:K101" si="496">IFERROR(F101/H101,"-")</f>
        <v>-</v>
      </c>
      <c r="K101" s="50" t="str">
        <f t="shared" si="496"/>
        <v>-</v>
      </c>
      <c r="L101" s="6">
        <f>IFERROR(__xludf.DUMMYFUNCTION("IFERROR(
  VLOOKUP(
    A101,
    IMPORTRANGE(
      ""1ZHMy3vVUd_0MrSduXTe1etBb1HNpAlGwQr006ljwMiM"",
      ""GSC最新!A:R""
    ),
    7,
    FALSE
  ),
  0
)
"),21.0)</f>
        <v>21</v>
      </c>
      <c r="M101" s="6">
        <f>IFERROR(__xludf.DUMMYFUNCTION("IFERROR(
  VLOOKUP(
    A101,
    IMPORTRANGE(
      ""1ZHMy3vVUd_0MrSduXTe1etBb1HNpAlGwQr006ljwMiM"",
      ""GSC最新!A:R""
    ),
    10,
    FALSE
  ),
  0
)
"),21.0)</f>
        <v>21</v>
      </c>
      <c r="N101" s="6">
        <f>IFERROR(__xludf.DUMMYFUNCTION("IFERROR(
  VLOOKUP(
    A101,
    IMPORTRANGE(
      ""1ZHMy3vVUd_0MrSduXTe1etBb1HNpAlGwQr006ljwMiM"",
      ""GSC最新!A:R""
    ),
    13,
    FALSE
  ),
  0
)
"),0.0)</f>
        <v>0</v>
      </c>
      <c r="O101" s="6">
        <f>IFERROR(__xludf.DUMMYFUNCTION("IFERROR(
  VLOOKUP(
    A101,
    IMPORTRANGE(
      ""1ZHMy3vVUd_0MrSduXTe1etBb1HNpAlGwQr006ljwMiM"",
      ""GSC最新!A:R""
    ),
    16,
    FALSE
  ),
  0
)
"),0.0)</f>
        <v>0</v>
      </c>
      <c r="P101" s="51" t="str">
        <f t="shared" ref="P101:Q101" si="497">IFERROR(L101/N101,"-")</f>
        <v>-</v>
      </c>
      <c r="Q101" s="51" t="str">
        <f t="shared" si="497"/>
        <v>-</v>
      </c>
      <c r="R101" s="9">
        <f>IFERROR(__xludf.DUMMYFUNCTION("IFERROR(
  VLOOKUP(
    A101,
    IMPORTRANGE(
      ""1ZHMy3vVUd_0MrSduXTe1etBb1HNpAlGwQr006ljwMiM"",
      ""GSC最新!A:R""
    ),
    8,
    FALSE
  ),
  0
)
"),0.047619047619047616)</f>
        <v>0.04761904762</v>
      </c>
      <c r="S101" s="9">
        <f>IFERROR(__xludf.DUMMYFUNCTION("IFERROR(
  VLOOKUP(
    A101,
    IMPORTRANGE(
      ""1ZHMy3vVUd_0MrSduXTe1etBb1HNpAlGwQr006ljwMiM"",
      ""GSC最新!A:R""
    ),
    11,
    FALSE
  ),
  0
)
"),0.047619047619047616)</f>
        <v>0.04761904762</v>
      </c>
      <c r="T101" s="9">
        <f>IFERROR(__xludf.DUMMYFUNCTION("IFERROR(
  VLOOKUP(
    A101,
    IMPORTRANGE(
      ""1ZHMy3vVUd_0MrSduXTe1etBb1HNpAlGwQr006ljwMiM"",
      ""GSC最新!A:R""
    ),
    14,
    FALSE
  ),
  0
)
"),0.0)</f>
        <v>0</v>
      </c>
      <c r="U101" s="9">
        <f>IFERROR(__xludf.DUMMYFUNCTION("IFERROR(
  VLOOKUP(
    A101,
    IMPORTRANGE(
      ""1ZHMy3vVUd_0MrSduXTe1etBb1HNpAlGwQr006ljwMiM"",
      ""GSC最新!A:R""
    ),
    17,
    FALSE
  ),
  0
)
"),0.0)</f>
        <v>0</v>
      </c>
      <c r="V101" s="9">
        <f t="shared" ref="V101:W101" si="498">IFERROR(R101-T101,"-")</f>
        <v>0.04761904762</v>
      </c>
      <c r="W101" s="9">
        <f t="shared" si="498"/>
        <v>0.04761904762</v>
      </c>
      <c r="X101" s="65">
        <f>IFERROR(__xludf.DUMMYFUNCTION("IFERROR(
  VLOOKUP(
    A101,
    IMPORTRANGE(
      ""1ZHMy3vVUd_0MrSduXTe1etBb1HNpAlGwQr006ljwMiM"",
      ""GSC最新!A:R""
    ),
    9,
    FALSE
  ),
  0
)
"),7.238095238095238)</f>
        <v>7.238095238</v>
      </c>
      <c r="Y101" s="65">
        <f>IFERROR(__xludf.DUMMYFUNCTION("IFERROR(
  VLOOKUP(
    A101,
    IMPORTRANGE(
      ""1ZHMy3vVUd_0MrSduXTe1etBb1HNpAlGwQr006ljwMiM"",
      ""GSC最新!A:R""
    ),
    12,
    FALSE
  ),
  0
)
"),7.238095238095238)</f>
        <v>7.238095238</v>
      </c>
      <c r="Z101" s="65" t="str">
        <f>IFERROR(__xludf.DUMMYFUNCTION("IFERROR(
  VLOOKUP(
    A101,
    IMPORTRANGE(
      ""1ZHMy3vVUd_0MrSduXTe1etBb1HNpAlGwQr006ljwMiM"",
      ""GSC最新!A:R""
    ),
    15,
    FALSE
  ),
  0
)
"),"")</f>
        <v/>
      </c>
      <c r="AA101" s="65" t="str">
        <f>IFERROR(__xludf.DUMMYFUNCTION("IFERROR(
  VLOOKUP(
    A101,
    IMPORTRANGE(
      ""1ZHMy3vVUd_0MrSduXTe1etBb1HNpAlGwQr006ljwMiM"",
      ""GSC最新!A:R""
    ),
    18,
    FALSE
  ),
  0
)
"),"")</f>
        <v/>
      </c>
      <c r="AB101" s="65">
        <f t="shared" ref="AB101:AC101" si="499">X101-Z101</f>
        <v>7.238095238</v>
      </c>
      <c r="AC101" s="65">
        <f t="shared" si="499"/>
        <v>7.238095238</v>
      </c>
      <c r="AD101" s="53">
        <f>IFERROR(__xludf.DUMMYFUNCTION("IFERROR(
  VLOOKUP(
    A101,
    IMPORTRANGE(
      ""1ZHMy3vVUd_0MrSduXTe1etBb1HNpAlGwQr006ljwMiM"",
      ""GSC最新!A:F""
    ),
    6,
    FALSE
  ),
  0
)
"),46081.0)</f>
        <v>46081</v>
      </c>
      <c r="AE101" s="54">
        <f>IFERROR(__xludf.DUMMYFUNCTION("IFERROR(
  VLOOKUP(
    A101,
    IMPORTRANGE(
      ""1SCYQd7_cobOYqT0r_F0IqD4tE4rYn5y8Eup4PJTH8es"",
      ""Snapshot!A:M""
    ),
    5,
    FALSE
  ),
  ""-""
)
"),7.0)</f>
        <v>7</v>
      </c>
      <c r="AF101" s="54">
        <f>IFERROR(__xludf.DUMMYFUNCTION("IFERROR(
  VLOOKUP(
    A101,
    IMPORTRANGE(
      ""1SCYQd7_cobOYqT0r_F0IqD4tE4rYn5y8Eup4PJTH8es"",
      ""Snapshot!A:M""
    ),
    6,
    FALSE
  ),
  0
)
"),10.0)</f>
        <v>10</v>
      </c>
      <c r="AG101" s="54">
        <f>IFERROR(__xludf.DUMMYFUNCTION("IFERROR(
  VLOOKUP(
    A101,
    IMPORTRANGE(
      ""1SCYQd7_cobOYqT0r_F0IqD4tE4rYn5y8Eup4PJTH8es"",
      ""Snapshot!A:M""
    ),
    7,
    FALSE
  ),
  0
)
"),1694.0)</f>
        <v>1694</v>
      </c>
      <c r="AH101" s="54">
        <f>IFERROR(__xludf.DUMMYFUNCTION("IFERROR(
  VLOOKUP(
    A101,
    IMPORTRANGE(
      ""1SCYQd7_cobOYqT0r_F0IqD4tE4rYn5y8Eup4PJTH8es"",
      ""Snapshot!A:M""
    ),
    8,
    FALSE
  ),
  0
)
"),1.0)</f>
        <v>1</v>
      </c>
      <c r="AI101" s="54">
        <f>IFERROR(__xludf.DUMMYFUNCTION("IFERROR(
  VLOOKUP(
    A101,
    IMPORTRANGE(
      ""1SCYQd7_cobOYqT0r_F0IqD4tE4rYn5y8Eup4PJTH8es"",
      ""Snapshot!A:M""
    ),
    9,
    FALSE
  ),
  0
)
"),2.0)</f>
        <v>2</v>
      </c>
      <c r="AJ101" s="54">
        <f>IFERROR(__xludf.DUMMYFUNCTION("IFERROR(
  VLOOKUP(
    A101,
    IMPORTRANGE(
      ""1SCYQd7_cobOYqT0r_F0IqD4tE4rYn5y8Eup4PJTH8es"",
      ""Snapshot!A:M""
    ),
    13,
    FALSE
  ),
  0
)
"),3.0)</f>
        <v>3</v>
      </c>
      <c r="AK101" s="49">
        <f t="shared" ref="AK101:AL101" si="500">LEN(C101)</f>
        <v>72</v>
      </c>
      <c r="AL101" s="49">
        <f t="shared" si="500"/>
        <v>55</v>
      </c>
    </row>
    <row r="102">
      <c r="A102" s="56" t="s">
        <v>602</v>
      </c>
      <c r="B102" s="1" t="str">
        <f>IFERROR(__xludf.DUMMYFUNCTION("IFERROR(
  VLOOKUP(
    A102,
    IMPORTRANGE(
      ""1ZygntHC1J6IxzKbTidmOyf5nUyW4GCLurHCjexrLm_o"",
      ""HTMLキャッシュ!A:F""
    ),
    2,
    FALSE
  ),
  0
)
"),"MC")</f>
        <v>MC</v>
      </c>
      <c r="C102" s="1" t="str">
        <f>IFERROR(__xludf.DUMMYFUNCTION("IFERROR(
  VLOOKUP(
    A102,
    IMPORTRANGE(
      ""1ZygntHC1J6IxzKbTidmOyf5nUyW4GCLurHCjexrLm_o"",
      ""HTMLキャッシュ!A:F""
    ),
    5,
    FALSE
  ),
  0
)
"),"予習シリーズ小５上巻 第２回の要点解説 - 受験国語専門 読解ラボ東京 | 中学受験・大学受験対応の個別指導国語専門塾（オンライン・教室対応）")</f>
        <v>予習シリーズ小５上巻 第２回の要点解説 - 受験国語専門 読解ラボ東京 | 中学受験・大学受験対応の個別指導国語専門塾（オンライン・教室対応）</v>
      </c>
      <c r="D102" s="1" t="str">
        <f>IFERROR(__xludf.DUMMYFUNCTION("IFERROR(
  VLOOKUP(
    A102,
    IMPORTRANGE(
      ""1ZygntHC1J6IxzKbTidmOyf5nUyW4GCLurHCjexrLm_o        "",
      ""HTMLキャッシュ!A:F""
    ),
    6,
    FALSE
  ),
  0
)
"),"予習シリーズ 小5 上巻 第2回 物語文 【解説まとめ】心情問題は「背景 × 出来事」で決める 受験国語専門「")</f>
        <v>予習シリーズ 小5 上巻 第2回 物語文 【解説まとめ】心情問題は「背景 × 出来事」で決める 受験国語専門「</v>
      </c>
      <c r="E102" s="32">
        <f>IFERROR(__xludf.DUMMYFUNCTION("IFERROR(
  VLOOKUP(
    A102,
    IMPORTRANGE(
      ""1ZygntHC1J6IxzKbTidmOyf5nUyW4GCLurHCjexrLm_o        "",
      ""HTMLキャッシュ!A:F""
    ),
    3,
    FALSE
  ),
  0
)
"),46081.512777777774)</f>
        <v>46081.51278</v>
      </c>
      <c r="F102" s="49">
        <f>IFERROR(__xludf.DUMMYFUNCTION("IFERROR(
  VLOOKUP(
    A102,
    IMPORTRANGE(
      ""1ZHMy3vVUd_0MrSduXTe1etBb1HNpAlGwQr006ljwMiM"",
      ""GSC最新!A:F""
    ),
    2,
    FALSE
  ),
  0
)
"),1.0)</f>
        <v>1</v>
      </c>
      <c r="G102" s="49">
        <f>IFERROR(__xludf.DUMMYFUNCTION("IFERROR(
  VLOOKUP(
    A102,
    IMPORTRANGE(
      ""1ZHMy3vVUd_0MrSduXTe1etBb1HNpAlGwQr006ljwMiM"",
      ""GSC最新!A:F""
    ),
    3,
    FALSE
  ),
  0
)
"),1.0)</f>
        <v>1</v>
      </c>
      <c r="H102" s="49">
        <f>IFERROR(__xludf.DUMMYFUNCTION("IFERROR(
  VLOOKUP(
    A102,
    IMPORTRANGE(
      ""1ZHMy3vVUd_0MrSduXTe1etBb1HNpAlGwQr006ljwMiM"",
      ""GSC最新!A:F""
    ),
    4,
    FALSE
  ),
  0
)
"),0.0)</f>
        <v>0</v>
      </c>
      <c r="I102" s="49">
        <f>IFERROR(__xludf.DUMMYFUNCTION("IFERROR(
  VLOOKUP(
    A102,
    IMPORTRANGE(
      ""1ZHMy3vVUd_0MrSduXTe1etBb1HNpAlGwQr006ljwMiM"",
      ""GSC最新!A:F""
    ),
    5,
    FALSE
  ),
  0
)
"),0.0)</f>
        <v>0</v>
      </c>
      <c r="J102" s="50" t="str">
        <f t="shared" ref="J102:K102" si="501">IFERROR(F102/H102,"-")</f>
        <v>-</v>
      </c>
      <c r="K102" s="50" t="str">
        <f t="shared" si="501"/>
        <v>-</v>
      </c>
      <c r="L102" s="6">
        <f>IFERROR(__xludf.DUMMYFUNCTION("IFERROR(
  VLOOKUP(
    A102,
    IMPORTRANGE(
      ""1ZHMy3vVUd_0MrSduXTe1etBb1HNpAlGwQr006ljwMiM"",
      ""GSC最新!A:R""
    ),
    7,
    FALSE
  ),
  0
)
"),4.0)</f>
        <v>4</v>
      </c>
      <c r="M102" s="6">
        <f>IFERROR(__xludf.DUMMYFUNCTION("IFERROR(
  VLOOKUP(
    A102,
    IMPORTRANGE(
      ""1ZHMy3vVUd_0MrSduXTe1etBb1HNpAlGwQr006ljwMiM"",
      ""GSC最新!A:R""
    ),
    10,
    FALSE
  ),
  0
)
"),4.0)</f>
        <v>4</v>
      </c>
      <c r="N102" s="6">
        <f>IFERROR(__xludf.DUMMYFUNCTION("IFERROR(
  VLOOKUP(
    A102,
    IMPORTRANGE(
      ""1ZHMy3vVUd_0MrSduXTe1etBb1HNpAlGwQr006ljwMiM"",
      ""GSC最新!A:R""
    ),
    13,
    FALSE
  ),
  0
)
"),0.0)</f>
        <v>0</v>
      </c>
      <c r="O102" s="6">
        <f>IFERROR(__xludf.DUMMYFUNCTION("IFERROR(
  VLOOKUP(
    A102,
    IMPORTRANGE(
      ""1ZHMy3vVUd_0MrSduXTe1etBb1HNpAlGwQr006ljwMiM"",
      ""GSC最新!A:R""
    ),
    16,
    FALSE
  ),
  0
)
"),0.0)</f>
        <v>0</v>
      </c>
      <c r="P102" s="51" t="str">
        <f t="shared" ref="P102:Q102" si="502">IFERROR(L102/N102,"-")</f>
        <v>-</v>
      </c>
      <c r="Q102" s="51" t="str">
        <f t="shared" si="502"/>
        <v>-</v>
      </c>
      <c r="R102" s="9">
        <f>IFERROR(__xludf.DUMMYFUNCTION("IFERROR(
  VLOOKUP(
    A102,
    IMPORTRANGE(
      ""1ZHMy3vVUd_0MrSduXTe1etBb1HNpAlGwQr006ljwMiM"",
      ""GSC最新!A:R""
    ),
    8,
    FALSE
  ),
  0
)
"),0.25)</f>
        <v>0.25</v>
      </c>
      <c r="S102" s="9">
        <f>IFERROR(__xludf.DUMMYFUNCTION("IFERROR(
  VLOOKUP(
    A102,
    IMPORTRANGE(
      ""1ZHMy3vVUd_0MrSduXTe1etBb1HNpAlGwQr006ljwMiM"",
      ""GSC最新!A:R""
    ),
    11,
    FALSE
  ),
  0
)
"),0.25)</f>
        <v>0.25</v>
      </c>
      <c r="T102" s="9">
        <f>IFERROR(__xludf.DUMMYFUNCTION("IFERROR(
  VLOOKUP(
    A102,
    IMPORTRANGE(
      ""1ZHMy3vVUd_0MrSduXTe1etBb1HNpAlGwQr006ljwMiM"",
      ""GSC最新!A:R""
    ),
    14,
    FALSE
  ),
  0
)
"),0.0)</f>
        <v>0</v>
      </c>
      <c r="U102" s="9">
        <f>IFERROR(__xludf.DUMMYFUNCTION("IFERROR(
  VLOOKUP(
    A102,
    IMPORTRANGE(
      ""1ZHMy3vVUd_0MrSduXTe1etBb1HNpAlGwQr006ljwMiM"",
      ""GSC最新!A:R""
    ),
    17,
    FALSE
  ),
  0
)
"),0.0)</f>
        <v>0</v>
      </c>
      <c r="V102" s="9">
        <f t="shared" ref="V102:W102" si="503">IFERROR(R102-T102,"-")</f>
        <v>0.25</v>
      </c>
      <c r="W102" s="9">
        <f t="shared" si="503"/>
        <v>0.25</v>
      </c>
      <c r="X102" s="65">
        <f>IFERROR(__xludf.DUMMYFUNCTION("IFERROR(
  VLOOKUP(
    A102,
    IMPORTRANGE(
      ""1ZHMy3vVUd_0MrSduXTe1etBb1HNpAlGwQr006ljwMiM"",
      ""GSC最新!A:R""
    ),
    9,
    FALSE
  ),
  0
)
"),6.75)</f>
        <v>6.75</v>
      </c>
      <c r="Y102" s="65">
        <f>IFERROR(__xludf.DUMMYFUNCTION("IFERROR(
  VLOOKUP(
    A102,
    IMPORTRANGE(
      ""1ZHMy3vVUd_0MrSduXTe1etBb1HNpAlGwQr006ljwMiM"",
      ""GSC最新!A:R""
    ),
    12,
    FALSE
  ),
  0
)
"),6.75)</f>
        <v>6.75</v>
      </c>
      <c r="Z102" s="65" t="str">
        <f>IFERROR(__xludf.DUMMYFUNCTION("IFERROR(
  VLOOKUP(
    A102,
    IMPORTRANGE(
      ""1ZHMy3vVUd_0MrSduXTe1etBb1HNpAlGwQr006ljwMiM"",
      ""GSC最新!A:R""
    ),
    15,
    FALSE
  ),
  0
)
"),"")</f>
        <v/>
      </c>
      <c r="AA102" s="65" t="str">
        <f>IFERROR(__xludf.DUMMYFUNCTION("IFERROR(
  VLOOKUP(
    A102,
    IMPORTRANGE(
      ""1ZHMy3vVUd_0MrSduXTe1etBb1HNpAlGwQr006ljwMiM"",
      ""GSC最新!A:R""
    ),
    18,
    FALSE
  ),
  0
)
"),"")</f>
        <v/>
      </c>
      <c r="AB102" s="65">
        <f t="shared" ref="AB102:AC102" si="504">X102-Z102</f>
        <v>6.75</v>
      </c>
      <c r="AC102" s="65">
        <f t="shared" si="504"/>
        <v>6.75</v>
      </c>
      <c r="AD102" s="53">
        <f>IFERROR(__xludf.DUMMYFUNCTION("IFERROR(
  VLOOKUP(
    A102,
    IMPORTRANGE(
      ""1ZHMy3vVUd_0MrSduXTe1etBb1HNpAlGwQr006ljwMiM"",
      ""GSC最新!A:F""
    ),
    6,
    FALSE
  ),
  0
)
"),46081.0)</f>
        <v>46081</v>
      </c>
      <c r="AE102" s="54">
        <f>IFERROR(__xludf.DUMMYFUNCTION("IFERROR(
  VLOOKUP(
    A102,
    IMPORTRANGE(
      ""1SCYQd7_cobOYqT0r_F0IqD4tE4rYn5y8Eup4PJTH8es"",
      ""Snapshot!A:M""
    ),
    5,
    FALSE
  ),
  ""-""
)
"),1.0)</f>
        <v>1</v>
      </c>
      <c r="AF102" s="54">
        <f>IFERROR(__xludf.DUMMYFUNCTION("IFERROR(
  VLOOKUP(
    A102,
    IMPORTRANGE(
      ""1SCYQd7_cobOYqT0r_F0IqD4tE4rYn5y8Eup4PJTH8es"",
      ""Snapshot!A:M""
    ),
    6,
    FALSE
  ),
  0
)
"),8.0)</f>
        <v>8</v>
      </c>
      <c r="AG102" s="54">
        <f>IFERROR(__xludf.DUMMYFUNCTION("IFERROR(
  VLOOKUP(
    A102,
    IMPORTRANGE(
      ""1SCYQd7_cobOYqT0r_F0IqD4tE4rYn5y8Eup4PJTH8es"",
      ""Snapshot!A:M""
    ),
    7,
    FALSE
  ),
  0
)
"),2203.0)</f>
        <v>2203</v>
      </c>
      <c r="AH102" s="54">
        <f>IFERROR(__xludf.DUMMYFUNCTION("IFERROR(
  VLOOKUP(
    A102,
    IMPORTRANGE(
      ""1SCYQd7_cobOYqT0r_F0IqD4tE4rYn5y8Eup4PJTH8es"",
      ""Snapshot!A:M""
    ),
    8,
    FALSE
  ),
  0
)
"),2.0)</f>
        <v>2</v>
      </c>
      <c r="AI102" s="54">
        <f>IFERROR(__xludf.DUMMYFUNCTION("IFERROR(
  VLOOKUP(
    A102,
    IMPORTRANGE(
      ""1SCYQd7_cobOYqT0r_F0IqD4tE4rYn5y8Eup4PJTH8es"",
      ""Snapshot!A:M""
    ),
    9,
    FALSE
  ),
  0
)
"),3.0)</f>
        <v>3</v>
      </c>
      <c r="AJ102" s="54">
        <f>IFERROR(__xludf.DUMMYFUNCTION("IFERROR(
  VLOOKUP(
    A102,
    IMPORTRANGE(
      ""1SCYQd7_cobOYqT0r_F0IqD4tE4rYn5y8Eup4PJTH8es"",
      ""Snapshot!A:M""
    ),
    13,
    FALSE
  ),
  0
)
"),3.0)</f>
        <v>3</v>
      </c>
      <c r="AK102" s="49">
        <f t="shared" ref="AK102:AL102" si="505">LEN(C102)</f>
        <v>71</v>
      </c>
      <c r="AL102" s="49">
        <f t="shared" si="505"/>
        <v>55</v>
      </c>
    </row>
    <row r="103">
      <c r="A103" s="56" t="s">
        <v>603</v>
      </c>
      <c r="B103" s="1" t="str">
        <f>IFERROR(__xludf.DUMMYFUNCTION("IFERROR(
  VLOOKUP(
    A103,
    IMPORTRANGE(
      ""1ZygntHC1J6IxzKbTidmOyf5nUyW4GCLurHCjexrLm_o"",
      ""HTMLキャッシュ!A:F""
    ),
    2,
    FALSE
  ),
  0
)
"),"SC")</f>
        <v>SC</v>
      </c>
      <c r="C103" s="1" t="str">
        <f>IFERROR(__xludf.DUMMYFUNCTION("IFERROR(
  VLOOKUP(
    A103,
    IMPORTRANGE(
      ""1ZygntHC1J6IxzKbTidmOyf5nUyW4GCLurHCjexrLm_o"",
      ""HTMLキャッシュ!A:F""
    ),
    5,
    FALSE
  ),
  0
)
"),"正答に“近いのに落とす”子のための根拠精度の鍛え方 - 受験国語専門 読解ラボ東京 | 中学受験・大学受験対応の個別指導国語専門塾（オンライン・教室対応）")</f>
        <v>正答に“近いのに落とす”子のための根拠精度の鍛え方 - 受験国語専門 読解ラボ東京 | 中学受験・大学受験対応の個別指導国語専門塾（オンライン・教室対応）</v>
      </c>
      <c r="D103" s="1" t="str">
        <f>IFERROR(__xludf.DUMMYFUNCTION("IFERROR(
  VLOOKUP(
    A103,
    IMPORTRANGE(
      ""1ZygntHC1J6IxzKbTidmOyf5nUyW4GCLurHCjexrLm_o        "",
      ""HTMLキャッシュ!A:F""
    ),
    6,
    FALSE
  ),
  0
)
"),"国語で惜しい誤答が多い子は、読解力不足ではなく本文根拠との照合精度が甘いことが原因です。根拠を一文に固定し、条件語・否定・程度語まで一致させるオンライン国語個別の改善手順を解説します。")</f>
        <v>国語で惜しい誤答が多い子は、読解力不足ではなく本文根拠との照合精度が甘いことが原因です。根拠を一文に固定し、条件語・否定・程度語まで一致させるオンライン国語個別の改善手順を解説します。</v>
      </c>
      <c r="E103" s="32">
        <f>IFERROR(__xludf.DUMMYFUNCTION("IFERROR(
  VLOOKUP(
    A103,
    IMPORTRANGE(
      ""1ZygntHC1J6IxzKbTidmOyf5nUyW4GCLurHCjexrLm_o        "",
      ""HTMLキャッシュ!A:F""
    ),
    3,
    FALSE
  ),
  0
)
"),46059.802939814814)</f>
        <v>46059.80294</v>
      </c>
      <c r="F103" s="49">
        <f>IFERROR(__xludf.DUMMYFUNCTION("IFERROR(
  VLOOKUP(
    A103,
    IMPORTRANGE(
      ""1ZHMy3vVUd_0MrSduXTe1etBb1HNpAlGwQr006ljwMiM"",
      ""GSC最新!A:F""
    ),
    2,
    FALSE
  ),
  0
)
"),0.0)</f>
        <v>0</v>
      </c>
      <c r="G103" s="49">
        <f>IFERROR(__xludf.DUMMYFUNCTION("IFERROR(
  VLOOKUP(
    A103,
    IMPORTRANGE(
      ""1ZHMy3vVUd_0MrSduXTe1etBb1HNpAlGwQr006ljwMiM"",
      ""GSC最新!A:F""
    ),
    3,
    FALSE
  ),
  0
)
"),1.0)</f>
        <v>1</v>
      </c>
      <c r="H103" s="49">
        <f>IFERROR(__xludf.DUMMYFUNCTION("IFERROR(
  VLOOKUP(
    A103,
    IMPORTRANGE(
      ""1ZHMy3vVUd_0MrSduXTe1etBb1HNpAlGwQr006ljwMiM"",
      ""GSC最新!A:F""
    ),
    4,
    FALSE
  ),
  0
)
"),0.0)</f>
        <v>0</v>
      </c>
      <c r="I103" s="49">
        <f>IFERROR(__xludf.DUMMYFUNCTION("IFERROR(
  VLOOKUP(
    A103,
    IMPORTRANGE(
      ""1ZHMy3vVUd_0MrSduXTe1etBb1HNpAlGwQr006ljwMiM"",
      ""GSC最新!A:F""
    ),
    5,
    FALSE
  ),
  0
)
"),0.0)</f>
        <v>0</v>
      </c>
      <c r="J103" s="50" t="str">
        <f t="shared" ref="J103:K103" si="506">IFERROR(F103/H103,"-")</f>
        <v>-</v>
      </c>
      <c r="K103" s="50" t="str">
        <f t="shared" si="506"/>
        <v>-</v>
      </c>
      <c r="L103" s="6">
        <f>IFERROR(__xludf.DUMMYFUNCTION("IFERROR(
  VLOOKUP(
    A103,
    IMPORTRANGE(
      ""1ZHMy3vVUd_0MrSduXTe1etBb1HNpAlGwQr006ljwMiM"",
      ""GSC最新!A:R""
    ),
    7,
    FALSE
  ),
  0
)
"),29.0)</f>
        <v>29</v>
      </c>
      <c r="M103" s="6">
        <f>IFERROR(__xludf.DUMMYFUNCTION("IFERROR(
  VLOOKUP(
    A103,
    IMPORTRANGE(
      ""1ZHMy3vVUd_0MrSduXTe1etBb1HNpAlGwQr006ljwMiM"",
      ""GSC最新!A:R""
    ),
    10,
    FALSE
  ),
  0
)
"),45.0)</f>
        <v>45</v>
      </c>
      <c r="N103" s="6">
        <f>IFERROR(__xludf.DUMMYFUNCTION("IFERROR(
  VLOOKUP(
    A103,
    IMPORTRANGE(
      ""1ZHMy3vVUd_0MrSduXTe1etBb1HNpAlGwQr006ljwMiM"",
      ""GSC最新!A:R""
    ),
    13,
    FALSE
  ),
  0
)
"),0.0)</f>
        <v>0</v>
      </c>
      <c r="O103" s="6">
        <f>IFERROR(__xludf.DUMMYFUNCTION("IFERROR(
  VLOOKUP(
    A103,
    IMPORTRANGE(
      ""1ZHMy3vVUd_0MrSduXTe1etBb1HNpAlGwQr006ljwMiM"",
      ""GSC最新!A:R""
    ),
    16,
    FALSE
  ),
  0
)
"),0.0)</f>
        <v>0</v>
      </c>
      <c r="P103" s="51" t="str">
        <f t="shared" ref="P103:Q103" si="507">IFERROR(L103/N103,"-")</f>
        <v>-</v>
      </c>
      <c r="Q103" s="51" t="str">
        <f t="shared" si="507"/>
        <v>-</v>
      </c>
      <c r="R103" s="9">
        <f>IFERROR(__xludf.DUMMYFUNCTION("IFERROR(
  VLOOKUP(
    A103,
    IMPORTRANGE(
      ""1ZHMy3vVUd_0MrSduXTe1etBb1HNpAlGwQr006ljwMiM"",
      ""GSC最新!A:R""
    ),
    8,
    FALSE
  ),
  0
)
"),0.0)</f>
        <v>0</v>
      </c>
      <c r="S103" s="9">
        <f>IFERROR(__xludf.DUMMYFUNCTION("IFERROR(
  VLOOKUP(
    A103,
    IMPORTRANGE(
      ""1ZHMy3vVUd_0MrSduXTe1etBb1HNpAlGwQr006ljwMiM"",
      ""GSC最新!A:R""
    ),
    11,
    FALSE
  ),
  0
)
"),0.022222222222222223)</f>
        <v>0.02222222222</v>
      </c>
      <c r="T103" s="9">
        <f>IFERROR(__xludf.DUMMYFUNCTION("IFERROR(
  VLOOKUP(
    A103,
    IMPORTRANGE(
      ""1ZHMy3vVUd_0MrSduXTe1etBb1HNpAlGwQr006ljwMiM"",
      ""GSC最新!A:R""
    ),
    14,
    FALSE
  ),
  0
)
"),0.0)</f>
        <v>0</v>
      </c>
      <c r="U103" s="9">
        <f>IFERROR(__xludf.DUMMYFUNCTION("IFERROR(
  VLOOKUP(
    A103,
    IMPORTRANGE(
      ""1ZHMy3vVUd_0MrSduXTe1etBb1HNpAlGwQr006ljwMiM"",
      ""GSC最新!A:R""
    ),
    17,
    FALSE
  ),
  0
)
"),0.0)</f>
        <v>0</v>
      </c>
      <c r="V103" s="9">
        <f t="shared" ref="V103:W103" si="508">IFERROR(R103-T103,"-")</f>
        <v>0</v>
      </c>
      <c r="W103" s="9">
        <f t="shared" si="508"/>
        <v>0.02222222222</v>
      </c>
      <c r="X103" s="65">
        <f>IFERROR(__xludf.DUMMYFUNCTION("IFERROR(
  VLOOKUP(
    A103,
    IMPORTRANGE(
      ""1ZHMy3vVUd_0MrSduXTe1etBb1HNpAlGwQr006ljwMiM"",
      ""GSC最新!A:R""
    ),
    9,
    FALSE
  ),
  0
)
"),6.310344827586207)</f>
        <v>6.310344828</v>
      </c>
      <c r="Y103" s="65">
        <f>IFERROR(__xludf.DUMMYFUNCTION("IFERROR(
  VLOOKUP(
    A103,
    IMPORTRANGE(
      ""1ZHMy3vVUd_0MrSduXTe1etBb1HNpAlGwQr006ljwMiM"",
      ""GSC最新!A:R""
    ),
    12,
    FALSE
  ),
  0
)
"),6.222222222222222)</f>
        <v>6.222222222</v>
      </c>
      <c r="Z103" s="65" t="str">
        <f>IFERROR(__xludf.DUMMYFUNCTION("IFERROR(
  VLOOKUP(
    A103,
    IMPORTRANGE(
      ""1ZHMy3vVUd_0MrSduXTe1etBb1HNpAlGwQr006ljwMiM"",
      ""GSC最新!A:R""
    ),
    15,
    FALSE
  ),
  0
)
"),"")</f>
        <v/>
      </c>
      <c r="AA103" s="65" t="str">
        <f>IFERROR(__xludf.DUMMYFUNCTION("IFERROR(
  VLOOKUP(
    A103,
    IMPORTRANGE(
      ""1ZHMy3vVUd_0MrSduXTe1etBb1HNpAlGwQr006ljwMiM"",
      ""GSC最新!A:R""
    ),
    18,
    FALSE
  ),
  0
)
"),"")</f>
        <v/>
      </c>
      <c r="AB103" s="65">
        <f t="shared" ref="AB103:AC103" si="509">X103-Z103</f>
        <v>6.310344828</v>
      </c>
      <c r="AC103" s="65">
        <f t="shared" si="509"/>
        <v>6.222222222</v>
      </c>
      <c r="AD103" s="53">
        <f>IFERROR(__xludf.DUMMYFUNCTION("IFERROR(
  VLOOKUP(
    A103,
    IMPORTRANGE(
      ""1ZHMy3vVUd_0MrSduXTe1etBb1HNpAlGwQr006ljwMiM"",
      ""GSC最新!A:F""
    ),
    6,
    FALSE
  ),
  0
)
"),46081.0)</f>
        <v>46081</v>
      </c>
      <c r="AE103" s="54">
        <f>IFERROR(__xludf.DUMMYFUNCTION("IFERROR(
  VLOOKUP(
    A103,
    IMPORTRANGE(
      ""1SCYQd7_cobOYqT0r_F0IqD4tE4rYn5y8Eup4PJTH8es"",
      ""Snapshot!A:M""
    ),
    5,
    FALSE
  ),
  ""-""
)
"),10.0)</f>
        <v>10</v>
      </c>
      <c r="AF103" s="54">
        <f>IFERROR(__xludf.DUMMYFUNCTION("IFERROR(
  VLOOKUP(
    A103,
    IMPORTRANGE(
      ""1SCYQd7_cobOYqT0r_F0IqD4tE4rYn5y8Eup4PJTH8es"",
      ""Snapshot!A:M""
    ),
    6,
    FALSE
  ),
  0
)
"),3.0)</f>
        <v>3</v>
      </c>
      <c r="AG103" s="54">
        <f>IFERROR(__xludf.DUMMYFUNCTION("IFERROR(
  VLOOKUP(
    A103,
    IMPORTRANGE(
      ""1SCYQd7_cobOYqT0r_F0IqD4tE4rYn5y8Eup4PJTH8es"",
      ""Snapshot!A:M""
    ),
    7,
    FALSE
  ),
  0
)
"),4411.0)</f>
        <v>4411</v>
      </c>
      <c r="AH103" s="54">
        <f>IFERROR(__xludf.DUMMYFUNCTION("IFERROR(
  VLOOKUP(
    A103,
    IMPORTRANGE(
      ""1SCYQd7_cobOYqT0r_F0IqD4tE4rYn5y8Eup4PJTH8es"",
      ""Snapshot!A:M""
    ),
    8,
    FALSE
  ),
  0
)
"),3.0)</f>
        <v>3</v>
      </c>
      <c r="AI103" s="54">
        <f>IFERROR(__xludf.DUMMYFUNCTION("IFERROR(
  VLOOKUP(
    A103,
    IMPORTRANGE(
      ""1SCYQd7_cobOYqT0r_F0IqD4tE4rYn5y8Eup4PJTH8es"",
      ""Snapshot!A:M""
    ),
    9,
    FALSE
  ),
  0
)
"),6.0)</f>
        <v>6</v>
      </c>
      <c r="AJ103" s="54">
        <f>IFERROR(__xludf.DUMMYFUNCTION("IFERROR(
  VLOOKUP(
    A103,
    IMPORTRANGE(
      ""1SCYQd7_cobOYqT0r_F0IqD4tE4rYn5y8Eup4PJTH8es"",
      ""Snapshot!A:M""
    ),
    13,
    FALSE
  ),
  0
)
"),3.0)</f>
        <v>3</v>
      </c>
      <c r="AK103" s="49">
        <f t="shared" ref="AK103:AL103" si="510">LEN(C103)</f>
        <v>77</v>
      </c>
      <c r="AL103" s="49">
        <f t="shared" si="510"/>
        <v>92</v>
      </c>
    </row>
    <row r="104">
      <c r="A104" s="56" t="s">
        <v>604</v>
      </c>
      <c r="B104" s="1" t="str">
        <f>IFERROR(__xludf.DUMMYFUNCTION("IFERROR(
  VLOOKUP(
    A104,
    IMPORTRANGE(
      ""1ZygntHC1J6IxzKbTidmOyf5nUyW4GCLurHCjexrLm_o"",
      ""HTMLキャッシュ!A:F""
    ),
    2,
    FALSE
  ),
  0
)
"),"SC")</f>
        <v>SC</v>
      </c>
      <c r="C104" s="1" t="str">
        <f>IFERROR(__xludf.DUMMYFUNCTION("IFERROR(
  VLOOKUP(
    A104,
    IMPORTRANGE(
      ""1ZygntHC1J6IxzKbTidmOyf5nUyW4GCLurHCjexrLm_o"",
      ""HTMLキャッシュ!A:F""
    ),
    5,
    FALSE
  ),
  0
)
"),"過去問が解けない理由をオンライン個別で見抜く - 受験国語専門 読解ラボ東京 | 中学受験・大学受験対応の個別指導国語専門塾（オンライン・教室対応）")</f>
        <v>過去問が解けない理由をオンライン個別で見抜く - 受験国語専門 読解ラボ東京 | 中学受験・大学受験対応の個別指導国語専門塾（オンライン・教室対応）</v>
      </c>
      <c r="D104" s="1" t="str">
        <f>IFERROR(__xludf.DUMMYFUNCTION("IFERROR(
  VLOOKUP(
    A104,
    IMPORTRANGE(
      ""1ZygntHC1J6IxzKbTidmOyf5nUyW4GCLurHCjexrLm_o        "",
      ""HTMLキャッシュ!A:F""
    ),
    6,
    FALSE
  ),
  0
)
"),"中学受験国語で「過去問に入った途端に点が取れない」原因は、本文処理・設問条件・選択肢吟味・記述・語彙のズレが混在するためです。失点理由を分類し、オンライン国語の個別指導でつまずき地点を特定して改善する手順、過去問の段階的な進め方と家庭の管理法まで解説します。")</f>
        <v>中学受験国語で「過去問に入った途端に点が取れない」原因は、本文処理・設問条件・選択肢吟味・記述・語彙のズレが混在するためです。失点理由を分類し、オンライン国語の個別指導でつまずき地点を特定して改善する手順、過去問の段階的な進め方と家庭の管理法まで解説します。</v>
      </c>
      <c r="E104" s="32">
        <f>IFERROR(__xludf.DUMMYFUNCTION("IFERROR(
  VLOOKUP(
    A104,
    IMPORTRANGE(
      ""1ZygntHC1J6IxzKbTidmOyf5nUyW4GCLurHCjexrLm_o        "",
      ""HTMLキャッシュ!A:F""
    ),
    3,
    FALSE
  ),
  0
)
"),46080.80857638889)</f>
        <v>46080.80858</v>
      </c>
      <c r="F104" s="49">
        <f>IFERROR(__xludf.DUMMYFUNCTION("IFERROR(
  VLOOKUP(
    A104,
    IMPORTRANGE(
      ""1ZHMy3vVUd_0MrSduXTe1etBb1HNpAlGwQr006ljwMiM"",
      ""GSC最新!A:F""
    ),
    2,
    FALSE
  ),
  0
)
"),1.0)</f>
        <v>1</v>
      </c>
      <c r="G104" s="49">
        <f>IFERROR(__xludf.DUMMYFUNCTION("IFERROR(
  VLOOKUP(
    A104,
    IMPORTRANGE(
      ""1ZHMy3vVUd_0MrSduXTe1etBb1HNpAlGwQr006ljwMiM"",
      ""GSC最新!A:F""
    ),
    3,
    FALSE
  ),
  0
)
"),1.0)</f>
        <v>1</v>
      </c>
      <c r="H104" s="49">
        <f>IFERROR(__xludf.DUMMYFUNCTION("IFERROR(
  VLOOKUP(
    A104,
    IMPORTRANGE(
      ""1ZHMy3vVUd_0MrSduXTe1etBb1HNpAlGwQr006ljwMiM"",
      ""GSC最新!A:F""
    ),
    4,
    FALSE
  ),
  0
)
"),0.0)</f>
        <v>0</v>
      </c>
      <c r="I104" s="49">
        <f>IFERROR(__xludf.DUMMYFUNCTION("IFERROR(
  VLOOKUP(
    A104,
    IMPORTRANGE(
      ""1ZHMy3vVUd_0MrSduXTe1etBb1HNpAlGwQr006ljwMiM"",
      ""GSC最新!A:F""
    ),
    5,
    FALSE
  ),
  0
)
"),0.0)</f>
        <v>0</v>
      </c>
      <c r="J104" s="50" t="str">
        <f t="shared" ref="J104:K104" si="511">IFERROR(F104/H104,"-")</f>
        <v>-</v>
      </c>
      <c r="K104" s="50" t="str">
        <f t="shared" si="511"/>
        <v>-</v>
      </c>
      <c r="L104" s="6">
        <f>IFERROR(__xludf.DUMMYFUNCTION("IFERROR(
  VLOOKUP(
    A104,
    IMPORTRANGE(
      ""1ZHMy3vVUd_0MrSduXTe1etBb1HNpAlGwQr006ljwMiM"",
      ""GSC最新!A:R""
    ),
    7,
    FALSE
  ),
  0
)
"),65.0)</f>
        <v>65</v>
      </c>
      <c r="M104" s="6">
        <f>IFERROR(__xludf.DUMMYFUNCTION("IFERROR(
  VLOOKUP(
    A104,
    IMPORTRANGE(
      ""1ZHMy3vVUd_0MrSduXTe1etBb1HNpAlGwQr006ljwMiM"",
      ""GSC最新!A:R""
    ),
    10,
    FALSE
  ),
  0
)
"),122.0)</f>
        <v>122</v>
      </c>
      <c r="N104" s="6">
        <f>IFERROR(__xludf.DUMMYFUNCTION("IFERROR(
  VLOOKUP(
    A104,
    IMPORTRANGE(
      ""1ZHMy3vVUd_0MrSduXTe1etBb1HNpAlGwQr006ljwMiM"",
      ""GSC最新!A:R""
    ),
    13,
    FALSE
  ),
  0
)
"),0.0)</f>
        <v>0</v>
      </c>
      <c r="O104" s="6">
        <f>IFERROR(__xludf.DUMMYFUNCTION("IFERROR(
  VLOOKUP(
    A104,
    IMPORTRANGE(
      ""1ZHMy3vVUd_0MrSduXTe1etBb1HNpAlGwQr006ljwMiM"",
      ""GSC最新!A:R""
    ),
    16,
    FALSE
  ),
  0
)
"),0.0)</f>
        <v>0</v>
      </c>
      <c r="P104" s="51" t="str">
        <f t="shared" ref="P104:Q104" si="512">IFERROR(L104/N104,"-")</f>
        <v>-</v>
      </c>
      <c r="Q104" s="51" t="str">
        <f t="shared" si="512"/>
        <v>-</v>
      </c>
      <c r="R104" s="9">
        <f>IFERROR(__xludf.DUMMYFUNCTION("IFERROR(
  VLOOKUP(
    A104,
    IMPORTRANGE(
      ""1ZHMy3vVUd_0MrSduXTe1etBb1HNpAlGwQr006ljwMiM"",
      ""GSC最新!A:R""
    ),
    8,
    FALSE
  ),
  0
)
"),0.015384615384615385)</f>
        <v>0.01538461538</v>
      </c>
      <c r="S104" s="9">
        <f>IFERROR(__xludf.DUMMYFUNCTION("IFERROR(
  VLOOKUP(
    A104,
    IMPORTRANGE(
      ""1ZHMy3vVUd_0MrSduXTe1etBb1HNpAlGwQr006ljwMiM"",
      ""GSC最新!A:R""
    ),
    11,
    FALSE
  ),
  0
)
"),0.00819672131147541)</f>
        <v>0.008196721311</v>
      </c>
      <c r="T104" s="9">
        <f>IFERROR(__xludf.DUMMYFUNCTION("IFERROR(
  VLOOKUP(
    A104,
    IMPORTRANGE(
      ""1ZHMy3vVUd_0MrSduXTe1etBb1HNpAlGwQr006ljwMiM"",
      ""GSC最新!A:R""
    ),
    14,
    FALSE
  ),
  0
)
"),0.0)</f>
        <v>0</v>
      </c>
      <c r="U104" s="9">
        <f>IFERROR(__xludf.DUMMYFUNCTION("IFERROR(
  VLOOKUP(
    A104,
    IMPORTRANGE(
      ""1ZHMy3vVUd_0MrSduXTe1etBb1HNpAlGwQr006ljwMiM"",
      ""GSC最新!A:R""
    ),
    17,
    FALSE
  ),
  0
)
"),0.0)</f>
        <v>0</v>
      </c>
      <c r="V104" s="9">
        <f t="shared" ref="V104:W104" si="513">IFERROR(R104-T104,"-")</f>
        <v>0.01538461538</v>
      </c>
      <c r="W104" s="9">
        <f t="shared" si="513"/>
        <v>0.008196721311</v>
      </c>
      <c r="X104" s="65">
        <f>IFERROR(__xludf.DUMMYFUNCTION("IFERROR(
  VLOOKUP(
    A104,
    IMPORTRANGE(
      ""1ZHMy3vVUd_0MrSduXTe1etBb1HNpAlGwQr006ljwMiM"",
      ""GSC最新!A:R""
    ),
    9,
    FALSE
  ),
  0
)
"),6.8307692307692305)</f>
        <v>6.830769231</v>
      </c>
      <c r="Y104" s="65">
        <f>IFERROR(__xludf.DUMMYFUNCTION("IFERROR(
  VLOOKUP(
    A104,
    IMPORTRANGE(
      ""1ZHMy3vVUd_0MrSduXTe1etBb1HNpAlGwQr006ljwMiM"",
      ""GSC最新!A:R""
    ),
    12,
    FALSE
  ),
  0
)
"),6.434426229508197)</f>
        <v>6.43442623</v>
      </c>
      <c r="Z104" s="65" t="str">
        <f>IFERROR(__xludf.DUMMYFUNCTION("IFERROR(
  VLOOKUP(
    A104,
    IMPORTRANGE(
      ""1ZHMy3vVUd_0MrSduXTe1etBb1HNpAlGwQr006ljwMiM"",
      ""GSC最新!A:R""
    ),
    15,
    FALSE
  ),
  0
)
"),"")</f>
        <v/>
      </c>
      <c r="AA104" s="65" t="str">
        <f>IFERROR(__xludf.DUMMYFUNCTION("IFERROR(
  VLOOKUP(
    A104,
    IMPORTRANGE(
      ""1ZHMy3vVUd_0MrSduXTe1etBb1HNpAlGwQr006ljwMiM"",
      ""GSC最新!A:R""
    ),
    18,
    FALSE
  ),
  0
)
"),"")</f>
        <v/>
      </c>
      <c r="AB104" s="65">
        <f t="shared" ref="AB104:AC104" si="514">X104-Z104</f>
        <v>6.830769231</v>
      </c>
      <c r="AC104" s="65">
        <f t="shared" si="514"/>
        <v>6.43442623</v>
      </c>
      <c r="AD104" s="53">
        <f>IFERROR(__xludf.DUMMYFUNCTION("IFERROR(
  VLOOKUP(
    A104,
    IMPORTRANGE(
      ""1ZHMy3vVUd_0MrSduXTe1etBb1HNpAlGwQr006ljwMiM"",
      ""GSC最新!A:F""
    ),
    6,
    FALSE
  ),
  0
)
"),46081.0)</f>
        <v>46081</v>
      </c>
      <c r="AE104" s="54">
        <f>IFERROR(__xludf.DUMMYFUNCTION("IFERROR(
  VLOOKUP(
    A104,
    IMPORTRANGE(
      ""1SCYQd7_cobOYqT0r_F0IqD4tE4rYn5y8Eup4PJTH8es"",
      ""Snapshot!A:M""
    ),
    5,
    FALSE
  ),
  ""-""
)
"),7.0)</f>
        <v>7</v>
      </c>
      <c r="AF104" s="54">
        <f>IFERROR(__xludf.DUMMYFUNCTION("IFERROR(
  VLOOKUP(
    A104,
    IMPORTRANGE(
      ""1SCYQd7_cobOYqT0r_F0IqD4tE4rYn5y8Eup4PJTH8es"",
      ""Snapshot!A:M""
    ),
    6,
    FALSE
  ),
  0
)
"),2.0)</f>
        <v>2</v>
      </c>
      <c r="AG104" s="54">
        <f>IFERROR(__xludf.DUMMYFUNCTION("IFERROR(
  VLOOKUP(
    A104,
    IMPORTRANGE(
      ""1SCYQd7_cobOYqT0r_F0IqD4tE4rYn5y8Eup4PJTH8es"",
      ""Snapshot!A:M""
    ),
    7,
    FALSE
  ),
  0
)
"),4446.0)</f>
        <v>4446</v>
      </c>
      <c r="AH104" s="54">
        <f>IFERROR(__xludf.DUMMYFUNCTION("IFERROR(
  VLOOKUP(
    A104,
    IMPORTRANGE(
      ""1SCYQd7_cobOYqT0r_F0IqD4tE4rYn5y8Eup4PJTH8es"",
      ""Snapshot!A:M""
    ),
    8,
    FALSE
  ),
  0
)
"),3.0)</f>
        <v>3</v>
      </c>
      <c r="AI104" s="54">
        <f>IFERROR(__xludf.DUMMYFUNCTION("IFERROR(
  VLOOKUP(
    A104,
    IMPORTRANGE(
      ""1SCYQd7_cobOYqT0r_F0IqD4tE4rYn5y8Eup4PJTH8es"",
      ""Snapshot!A:M""
    ),
    9,
    FALSE
  ),
  0
)
"),4.0)</f>
        <v>4</v>
      </c>
      <c r="AJ104" s="54">
        <f>IFERROR(__xludf.DUMMYFUNCTION("IFERROR(
  VLOOKUP(
    A104,
    IMPORTRANGE(
      ""1SCYQd7_cobOYqT0r_F0IqD4tE4rYn5y8Eup4PJTH8es"",
      ""Snapshot!A:M""
    ),
    13,
    FALSE
  ),
  0
)
"),3.0)</f>
        <v>3</v>
      </c>
      <c r="AK104" s="49">
        <f t="shared" ref="AK104:AL104" si="515">LEN(C104)</f>
        <v>74</v>
      </c>
      <c r="AL104" s="49">
        <f t="shared" si="515"/>
        <v>129</v>
      </c>
    </row>
    <row r="105">
      <c r="A105" s="56" t="s">
        <v>605</v>
      </c>
      <c r="B105" s="1" t="str">
        <f>IFERROR(__xludf.DUMMYFUNCTION("IFERROR(
  VLOOKUP(
    A105,
    IMPORTRANGE(
      ""1ZygntHC1J6IxzKbTidmOyf5nUyW4GCLurHCjexrLm_o"",
      ""HTMLキャッシュ!A:F""
    ),
    2,
    FALSE
  ),
  0
)
"),"SC")</f>
        <v>SC</v>
      </c>
      <c r="C105" s="1" t="str">
        <f>IFERROR(__xludf.DUMMYFUNCTION("IFERROR(
  VLOOKUP(
    A105,
    IMPORTRANGE(
      ""1ZygntHC1J6IxzKbTidmOyf5nUyW4GCLurHCjexrLm_o"",
      ""HTMLキャッシュ!A:F""
    ),
    5,
    FALSE
  ),
  0
)
"),"記述が書けないのは才能ではない？原因タイプ別に改善する方法 - 受験国語専門 読解ラボ東京 | 中学受験・大学受験対応の個別指導国語専門塾（オンライン・教室対応）")</f>
        <v>記述が書けないのは才能ではない？原因タイプ別に改善する方法 - 受験国語専門 読解ラボ東京 | 中学受験・大学受験対応の個別指導国語専門塾（オンライン・教室対応）</v>
      </c>
      <c r="D105" s="1" t="str">
        <f>IFERROR(__xludf.DUMMYFUNCTION("IFERROR(
  VLOOKUP(
    A105,
    IMPORTRANGE(
      ""1ZygntHC1J6IxzKbTidmOyf5nUyW4GCLurHCjexrLm_o        "",
      ""HTMLキャッシュ!A:F""
    ),
    6,
    FALSE
  ),
  0
)
"),"中学受験国語の記述が書けない原因は才能ではなく、本文根拠・条件読み・要約のどこかの処理ミス。タイプ別に原因を見分け、オンライン国語の個別指導で書く手順を可視化して改善する方法を具体例と手順で解説。過去問対策にも対応。")</f>
        <v>中学受験国語の記述が書けない原因は才能ではなく、本文根拠・条件読み・要約のどこかの処理ミス。タイプ別に原因を見分け、オンライン国語の個別指導で書く手順を可視化して改善する方法を具体例と手順で解説。過去問対策にも対応。</v>
      </c>
      <c r="E105" s="32">
        <f>IFERROR(__xludf.DUMMYFUNCTION("IFERROR(
  VLOOKUP(
    A105,
    IMPORTRANGE(
      ""1ZygntHC1J6IxzKbTidmOyf5nUyW4GCLurHCjexrLm_o        "",
      ""HTMLキャッシュ!A:F""
    ),
    3,
    FALSE
  ),
  0
)
"),46080.64363425926)</f>
        <v>46080.64363</v>
      </c>
      <c r="F105" s="49">
        <f>IFERROR(__xludf.DUMMYFUNCTION("IFERROR(
  VLOOKUP(
    A105,
    IMPORTRANGE(
      ""1ZHMy3vVUd_0MrSduXTe1etBb1HNpAlGwQr006ljwMiM"",
      ""GSC最新!A:F""
    ),
    2,
    FALSE
  ),
  0
)
"),0.0)</f>
        <v>0</v>
      </c>
      <c r="G105" s="49">
        <f>IFERROR(__xludf.DUMMYFUNCTION("IFERROR(
  VLOOKUP(
    A105,
    IMPORTRANGE(
      ""1ZHMy3vVUd_0MrSduXTe1etBb1HNpAlGwQr006ljwMiM"",
      ""GSC最新!A:F""
    ),
    3,
    FALSE
  ),
  0
)
"),1.0)</f>
        <v>1</v>
      </c>
      <c r="H105" s="49">
        <f>IFERROR(__xludf.DUMMYFUNCTION("IFERROR(
  VLOOKUP(
    A105,
    IMPORTRANGE(
      ""1ZHMy3vVUd_0MrSduXTe1etBb1HNpAlGwQr006ljwMiM"",
      ""GSC最新!A:F""
    ),
    4,
    FALSE
  ),
  0
)
"),0.0)</f>
        <v>0</v>
      </c>
      <c r="I105" s="49">
        <f>IFERROR(__xludf.DUMMYFUNCTION("IFERROR(
  VLOOKUP(
    A105,
    IMPORTRANGE(
      ""1ZHMy3vVUd_0MrSduXTe1etBb1HNpAlGwQr006ljwMiM"",
      ""GSC最新!A:F""
    ),
    5,
    FALSE
  ),
  0
)
"),0.0)</f>
        <v>0</v>
      </c>
      <c r="J105" s="50" t="str">
        <f t="shared" ref="J105:K105" si="516">IFERROR(F105/H105,"-")</f>
        <v>-</v>
      </c>
      <c r="K105" s="50" t="str">
        <f t="shared" si="516"/>
        <v>-</v>
      </c>
      <c r="L105" s="6">
        <f>IFERROR(__xludf.DUMMYFUNCTION("IFERROR(
  VLOOKUP(
    A105,
    IMPORTRANGE(
      ""1ZHMy3vVUd_0MrSduXTe1etBb1HNpAlGwQr006ljwMiM"",
      ""GSC最新!A:R""
    ),
    7,
    FALSE
  ),
  0
)
"),16.0)</f>
        <v>16</v>
      </c>
      <c r="M105" s="6">
        <f>IFERROR(__xludf.DUMMYFUNCTION("IFERROR(
  VLOOKUP(
    A105,
    IMPORTRANGE(
      ""1ZHMy3vVUd_0MrSduXTe1etBb1HNpAlGwQr006ljwMiM"",
      ""GSC最新!A:R""
    ),
    10,
    FALSE
  ),
  0
)
"),33.0)</f>
        <v>33</v>
      </c>
      <c r="N105" s="6">
        <f>IFERROR(__xludf.DUMMYFUNCTION("IFERROR(
  VLOOKUP(
    A105,
    IMPORTRANGE(
      ""1ZHMy3vVUd_0MrSduXTe1etBb1HNpAlGwQr006ljwMiM"",
      ""GSC最新!A:R""
    ),
    13,
    FALSE
  ),
  0
)
"),0.0)</f>
        <v>0</v>
      </c>
      <c r="O105" s="6">
        <f>IFERROR(__xludf.DUMMYFUNCTION("IFERROR(
  VLOOKUP(
    A105,
    IMPORTRANGE(
      ""1ZHMy3vVUd_0MrSduXTe1etBb1HNpAlGwQr006ljwMiM"",
      ""GSC最新!A:R""
    ),
    16,
    FALSE
  ),
  0
)
"),0.0)</f>
        <v>0</v>
      </c>
      <c r="P105" s="51" t="str">
        <f t="shared" ref="P105:Q105" si="517">IFERROR(L105/N105,"-")</f>
        <v>-</v>
      </c>
      <c r="Q105" s="51" t="str">
        <f t="shared" si="517"/>
        <v>-</v>
      </c>
      <c r="R105" s="9">
        <f>IFERROR(__xludf.DUMMYFUNCTION("IFERROR(
  VLOOKUP(
    A105,
    IMPORTRANGE(
      ""1ZHMy3vVUd_0MrSduXTe1etBb1HNpAlGwQr006ljwMiM"",
      ""GSC最新!A:R""
    ),
    8,
    FALSE
  ),
  0
)
"),0.0)</f>
        <v>0</v>
      </c>
      <c r="S105" s="9">
        <f>IFERROR(__xludf.DUMMYFUNCTION("IFERROR(
  VLOOKUP(
    A105,
    IMPORTRANGE(
      ""1ZHMy3vVUd_0MrSduXTe1etBb1HNpAlGwQr006ljwMiM"",
      ""GSC最新!A:R""
    ),
    11,
    FALSE
  ),
  0
)
"),0.030303030303030304)</f>
        <v>0.0303030303</v>
      </c>
      <c r="T105" s="9">
        <f>IFERROR(__xludf.DUMMYFUNCTION("IFERROR(
  VLOOKUP(
    A105,
    IMPORTRANGE(
      ""1ZHMy3vVUd_0MrSduXTe1etBb1HNpAlGwQr006ljwMiM"",
      ""GSC最新!A:R""
    ),
    14,
    FALSE
  ),
  0
)
"),0.0)</f>
        <v>0</v>
      </c>
      <c r="U105" s="9">
        <f>IFERROR(__xludf.DUMMYFUNCTION("IFERROR(
  VLOOKUP(
    A105,
    IMPORTRANGE(
      ""1ZHMy3vVUd_0MrSduXTe1etBb1HNpAlGwQr006ljwMiM"",
      ""GSC最新!A:R""
    ),
    17,
    FALSE
  ),
  0
)
"),0.0)</f>
        <v>0</v>
      </c>
      <c r="V105" s="9">
        <f t="shared" ref="V105:W105" si="518">IFERROR(R105-T105,"-")</f>
        <v>0</v>
      </c>
      <c r="W105" s="9">
        <f t="shared" si="518"/>
        <v>0.0303030303</v>
      </c>
      <c r="X105" s="65">
        <f>IFERROR(__xludf.DUMMYFUNCTION("IFERROR(
  VLOOKUP(
    A105,
    IMPORTRANGE(
      ""1ZHMy3vVUd_0MrSduXTe1etBb1HNpAlGwQr006ljwMiM"",
      ""GSC最新!A:R""
    ),
    9,
    FALSE
  ),
  0
)
"),4.8125)</f>
        <v>4.8125</v>
      </c>
      <c r="Y105" s="65">
        <f>IFERROR(__xludf.DUMMYFUNCTION("IFERROR(
  VLOOKUP(
    A105,
    IMPORTRANGE(
      ""1ZHMy3vVUd_0MrSduXTe1etBb1HNpAlGwQr006ljwMiM"",
      ""GSC最新!A:R""
    ),
    12,
    FALSE
  ),
  0
)
"),5.606060606060606)</f>
        <v>5.606060606</v>
      </c>
      <c r="Z105" s="65" t="str">
        <f>IFERROR(__xludf.DUMMYFUNCTION("IFERROR(
  VLOOKUP(
    A105,
    IMPORTRANGE(
      ""1ZHMy3vVUd_0MrSduXTe1etBb1HNpAlGwQr006ljwMiM"",
      ""GSC最新!A:R""
    ),
    15,
    FALSE
  ),
  0
)
"),"")</f>
        <v/>
      </c>
      <c r="AA105" s="65" t="str">
        <f>IFERROR(__xludf.DUMMYFUNCTION("IFERROR(
  VLOOKUP(
    A105,
    IMPORTRANGE(
      ""1ZHMy3vVUd_0MrSduXTe1etBb1HNpAlGwQr006ljwMiM"",
      ""GSC最新!A:R""
    ),
    18,
    FALSE
  ),
  0
)
"),"")</f>
        <v/>
      </c>
      <c r="AB105" s="65">
        <f t="shared" ref="AB105:AC105" si="519">X105-Z105</f>
        <v>4.8125</v>
      </c>
      <c r="AC105" s="65">
        <f t="shared" si="519"/>
        <v>5.606060606</v>
      </c>
      <c r="AD105" s="53">
        <f>IFERROR(__xludf.DUMMYFUNCTION("IFERROR(
  VLOOKUP(
    A105,
    IMPORTRANGE(
      ""1ZHMy3vVUd_0MrSduXTe1etBb1HNpAlGwQr006ljwMiM"",
      ""GSC最新!A:F""
    ),
    6,
    FALSE
  ),
  0
)
"),46081.0)</f>
        <v>46081</v>
      </c>
      <c r="AE105" s="54">
        <f>IFERROR(__xludf.DUMMYFUNCTION("IFERROR(
  VLOOKUP(
    A105,
    IMPORTRANGE(
      ""1SCYQd7_cobOYqT0r_F0IqD4tE4rYn5y8Eup4PJTH8es"",
      ""Snapshot!A:M""
    ),
    5,
    FALSE
  ),
  ""-""
)
"),8.0)</f>
        <v>8</v>
      </c>
      <c r="AF105" s="54">
        <f>IFERROR(__xludf.DUMMYFUNCTION("IFERROR(
  VLOOKUP(
    A105,
    IMPORTRANGE(
      ""1SCYQd7_cobOYqT0r_F0IqD4tE4rYn5y8Eup4PJTH8es"",
      ""Snapshot!A:M""
    ),
    6,
    FALSE
  ),
  0
)
"),12.0)</f>
        <v>12</v>
      </c>
      <c r="AG105" s="54">
        <f>IFERROR(__xludf.DUMMYFUNCTION("IFERROR(
  VLOOKUP(
    A105,
    IMPORTRANGE(
      ""1SCYQd7_cobOYqT0r_F0IqD4tE4rYn5y8Eup4PJTH8es"",
      ""Snapshot!A:M""
    ),
    7,
    FALSE
  ),
  0
)
"),4902.0)</f>
        <v>4902</v>
      </c>
      <c r="AH105" s="54">
        <f>IFERROR(__xludf.DUMMYFUNCTION("IFERROR(
  VLOOKUP(
    A105,
    IMPORTRANGE(
      ""1SCYQd7_cobOYqT0r_F0IqD4tE4rYn5y8Eup4PJTH8es"",
      ""Snapshot!A:M""
    ),
    8,
    FALSE
  ),
  0
)
"),3.0)</f>
        <v>3</v>
      </c>
      <c r="AI105" s="54">
        <f>IFERROR(__xludf.DUMMYFUNCTION("IFERROR(
  VLOOKUP(
    A105,
    IMPORTRANGE(
      ""1SCYQd7_cobOYqT0r_F0IqD4tE4rYn5y8Eup4PJTH8es"",
      ""Snapshot!A:M""
    ),
    9,
    FALSE
  ),
  0
)
"),3.0)</f>
        <v>3</v>
      </c>
      <c r="AJ105" s="54">
        <f>IFERROR(__xludf.DUMMYFUNCTION("IFERROR(
  VLOOKUP(
    A105,
    IMPORTRANGE(
      ""1SCYQd7_cobOYqT0r_F0IqD4tE4rYn5y8Eup4PJTH8es"",
      ""Snapshot!A:M""
    ),
    13,
    FALSE
  ),
  0
)
"),3.0)</f>
        <v>3</v>
      </c>
      <c r="AK105" s="49">
        <f t="shared" ref="AK105:AL105" si="520">LEN(C105)</f>
        <v>81</v>
      </c>
      <c r="AL105" s="49">
        <f t="shared" si="520"/>
        <v>108</v>
      </c>
    </row>
    <row r="106">
      <c r="A106" s="56" t="s">
        <v>606</v>
      </c>
      <c r="B106" s="1" t="str">
        <f>IFERROR(__xludf.DUMMYFUNCTION("IFERROR(
  VLOOKUP(
    A106,
    IMPORTRANGE(
      ""1ZygntHC1J6IxzKbTidmOyf5nUyW4GCLurHCjexrLm_o"",
      ""HTMLキャッシュ!A:F""
    ),
    2,
    FALSE
  ),
  0
)
"),"SC")</f>
        <v>SC</v>
      </c>
      <c r="C106" s="1" t="str">
        <f>IFERROR(__xludf.DUMMYFUNCTION("IFERROR(
  VLOOKUP(
    A106,
    IMPORTRANGE(
      ""1ZygntHC1J6IxzKbTidmOyf5nUyW4GCLurHCjexrLm_o"",
      ""HTMLキャッシュ!A:F""
    ),
    5,
    FALSE
  ),
  0
)
"),"記述の型を理解しているのに書けない子の原因と改善法 - 受験国語専門 読解ラボ東京 | 中学受験・大学受験対応の個別指導国語専門塾（オンライン・教室対応）")</f>
        <v>記述の型を理解しているのに書けない子の原因と改善法 - 受験国語専門 読解ラボ東京 | 中学受験・大学受験対応の個別指導国語専門塾（オンライン・教室対応）</v>
      </c>
      <c r="D106" s="1" t="str">
        <f>IFERROR(__xludf.DUMMYFUNCTION("IFERROR(
  VLOOKUP(
    A106,
    IMPORTRANGE(
      ""1ZygntHC1J6IxzKbTidmOyf5nUyW4GCLurHCjexrLm_o        "",
      ""HTMLキャッシュ!A:F""
    ),
    6,
    FALSE
  ),
  0
)
"),"記述の型を理解しているのに書けない原因は、本文の材料を答案用の文脈に移し替える変換工程が弱いことにあります。材料の抜き出し・分解・並び替え・文章化を手順化し、添削を次の答案に再現する改善ステップをオンライン国語の個別指導の視点で解説。中学受験の過去問対策にも対応。")</f>
        <v>記述の型を理解しているのに書けない原因は、本文の材料を答案用の文脈に移し替える変換工程が弱いことにあります。材料の抜き出し・分解・並び替え・文章化を手順化し、添削を次の答案に再現する改善ステップをオンライン国語の個別指導の視点で解説。中学受験の過去問対策にも対応。</v>
      </c>
      <c r="E106" s="32">
        <f>IFERROR(__xludf.DUMMYFUNCTION("IFERROR(
  VLOOKUP(
    A106,
    IMPORTRANGE(
      ""1ZygntHC1J6IxzKbTidmOyf5nUyW4GCLurHCjexrLm_o        "",
      ""HTMLキャッシュ!A:F""
    ),
    3,
    FALSE
  ),
  0
)
"),46080.80446759259)</f>
        <v>46080.80447</v>
      </c>
      <c r="F106" s="49">
        <f>IFERROR(__xludf.DUMMYFUNCTION("IFERROR(
  VLOOKUP(
    A106,
    IMPORTRANGE(
      ""1ZHMy3vVUd_0MrSduXTe1etBb1HNpAlGwQr006ljwMiM"",
      ""GSC最新!A:F""
    ),
    2,
    FALSE
  ),
  0
)
"),0.0)</f>
        <v>0</v>
      </c>
      <c r="G106" s="49">
        <f>IFERROR(__xludf.DUMMYFUNCTION("IFERROR(
  VLOOKUP(
    A106,
    IMPORTRANGE(
      ""1ZHMy3vVUd_0MrSduXTe1etBb1HNpAlGwQr006ljwMiM"",
      ""GSC最新!A:F""
    ),
    3,
    FALSE
  ),
  0
)
"),1.0)</f>
        <v>1</v>
      </c>
      <c r="H106" s="49">
        <f>IFERROR(__xludf.DUMMYFUNCTION("IFERROR(
  VLOOKUP(
    A106,
    IMPORTRANGE(
      ""1ZHMy3vVUd_0MrSduXTe1etBb1HNpAlGwQr006ljwMiM"",
      ""GSC最新!A:F""
    ),
    4,
    FALSE
  ),
  0
)
"),0.0)</f>
        <v>0</v>
      </c>
      <c r="I106" s="49">
        <f>IFERROR(__xludf.DUMMYFUNCTION("IFERROR(
  VLOOKUP(
    A106,
    IMPORTRANGE(
      ""1ZHMy3vVUd_0MrSduXTe1etBb1HNpAlGwQr006ljwMiM"",
      ""GSC最新!A:F""
    ),
    5,
    FALSE
  ),
  0
)
"),0.0)</f>
        <v>0</v>
      </c>
      <c r="J106" s="50" t="str">
        <f t="shared" ref="J106:K106" si="521">IFERROR(F106/H106,"-")</f>
        <v>-</v>
      </c>
      <c r="K106" s="50" t="str">
        <f t="shared" si="521"/>
        <v>-</v>
      </c>
      <c r="L106" s="6">
        <f>IFERROR(__xludf.DUMMYFUNCTION("IFERROR(
  VLOOKUP(
    A106,
    IMPORTRANGE(
      ""1ZHMy3vVUd_0MrSduXTe1etBb1HNpAlGwQr006ljwMiM"",
      ""GSC最新!A:R""
    ),
    7,
    FALSE
  ),
  0
)
"),19.0)</f>
        <v>19</v>
      </c>
      <c r="M106" s="6">
        <f>IFERROR(__xludf.DUMMYFUNCTION("IFERROR(
  VLOOKUP(
    A106,
    IMPORTRANGE(
      ""1ZHMy3vVUd_0MrSduXTe1etBb1HNpAlGwQr006ljwMiM"",
      ""GSC最新!A:R""
    ),
    10,
    FALSE
  ),
  0
)
"),63.0)</f>
        <v>63</v>
      </c>
      <c r="N106" s="6">
        <f>IFERROR(__xludf.DUMMYFUNCTION("IFERROR(
  VLOOKUP(
    A106,
    IMPORTRANGE(
      ""1ZHMy3vVUd_0MrSduXTe1etBb1HNpAlGwQr006ljwMiM"",
      ""GSC最新!A:R""
    ),
    13,
    FALSE
  ),
  0
)
"),0.0)</f>
        <v>0</v>
      </c>
      <c r="O106" s="6">
        <f>IFERROR(__xludf.DUMMYFUNCTION("IFERROR(
  VLOOKUP(
    A106,
    IMPORTRANGE(
      ""1ZHMy3vVUd_0MrSduXTe1etBb1HNpAlGwQr006ljwMiM"",
      ""GSC最新!A:R""
    ),
    16,
    FALSE
  ),
  0
)
"),0.0)</f>
        <v>0</v>
      </c>
      <c r="P106" s="51" t="str">
        <f t="shared" ref="P106:Q106" si="522">IFERROR(L106/N106,"-")</f>
        <v>-</v>
      </c>
      <c r="Q106" s="51" t="str">
        <f t="shared" si="522"/>
        <v>-</v>
      </c>
      <c r="R106" s="9">
        <f>IFERROR(__xludf.DUMMYFUNCTION("IFERROR(
  VLOOKUP(
    A106,
    IMPORTRANGE(
      ""1ZHMy3vVUd_0MrSduXTe1etBb1HNpAlGwQr006ljwMiM"",
      ""GSC最新!A:R""
    ),
    8,
    FALSE
  ),
  0
)
"),0.0)</f>
        <v>0</v>
      </c>
      <c r="S106" s="9">
        <f>IFERROR(__xludf.DUMMYFUNCTION("IFERROR(
  VLOOKUP(
    A106,
    IMPORTRANGE(
      ""1ZHMy3vVUd_0MrSduXTe1etBb1HNpAlGwQr006ljwMiM"",
      ""GSC最新!A:R""
    ),
    11,
    FALSE
  ),
  0
)
"),0.015873015873015872)</f>
        <v>0.01587301587</v>
      </c>
      <c r="T106" s="9">
        <f>IFERROR(__xludf.DUMMYFUNCTION("IFERROR(
  VLOOKUP(
    A106,
    IMPORTRANGE(
      ""1ZHMy3vVUd_0MrSduXTe1etBb1HNpAlGwQr006ljwMiM"",
      ""GSC最新!A:R""
    ),
    14,
    FALSE
  ),
  0
)
"),0.0)</f>
        <v>0</v>
      </c>
      <c r="U106" s="9">
        <f>IFERROR(__xludf.DUMMYFUNCTION("IFERROR(
  VLOOKUP(
    A106,
    IMPORTRANGE(
      ""1ZHMy3vVUd_0MrSduXTe1etBb1HNpAlGwQr006ljwMiM"",
      ""GSC最新!A:R""
    ),
    17,
    FALSE
  ),
  0
)
"),0.0)</f>
        <v>0</v>
      </c>
      <c r="V106" s="9">
        <f t="shared" ref="V106:W106" si="523">IFERROR(R106-T106,"-")</f>
        <v>0</v>
      </c>
      <c r="W106" s="9">
        <f t="shared" si="523"/>
        <v>0.01587301587</v>
      </c>
      <c r="X106" s="65">
        <f>IFERROR(__xludf.DUMMYFUNCTION("IFERROR(
  VLOOKUP(
    A106,
    IMPORTRANGE(
      ""1ZHMy3vVUd_0MrSduXTe1etBb1HNpAlGwQr006ljwMiM"",
      ""GSC最新!A:R""
    ),
    9,
    FALSE
  ),
  0
)
"),5.7894736842105265)</f>
        <v>5.789473684</v>
      </c>
      <c r="Y106" s="65">
        <f>IFERROR(__xludf.DUMMYFUNCTION("IFERROR(
  VLOOKUP(
    A106,
    IMPORTRANGE(
      ""1ZHMy3vVUd_0MrSduXTe1etBb1HNpAlGwQr006ljwMiM"",
      ""GSC最新!A:R""
    ),
    12,
    FALSE
  ),
  0
)
"),5.444444444444445)</f>
        <v>5.444444444</v>
      </c>
      <c r="Z106" s="65" t="str">
        <f>IFERROR(__xludf.DUMMYFUNCTION("IFERROR(
  VLOOKUP(
    A106,
    IMPORTRANGE(
      ""1ZHMy3vVUd_0MrSduXTe1etBb1HNpAlGwQr006ljwMiM"",
      ""GSC最新!A:R""
    ),
    15,
    FALSE
  ),
  0
)
"),"")</f>
        <v/>
      </c>
      <c r="AA106" s="65" t="str">
        <f>IFERROR(__xludf.DUMMYFUNCTION("IFERROR(
  VLOOKUP(
    A106,
    IMPORTRANGE(
      ""1ZHMy3vVUd_0MrSduXTe1etBb1HNpAlGwQr006ljwMiM"",
      ""GSC最新!A:R""
    ),
    18,
    FALSE
  ),
  0
)
"),"")</f>
        <v/>
      </c>
      <c r="AB106" s="65">
        <f t="shared" ref="AB106:AC106" si="524">X106-Z106</f>
        <v>5.789473684</v>
      </c>
      <c r="AC106" s="65">
        <f t="shared" si="524"/>
        <v>5.444444444</v>
      </c>
      <c r="AD106" s="53">
        <f>IFERROR(__xludf.DUMMYFUNCTION("IFERROR(
  VLOOKUP(
    A106,
    IMPORTRANGE(
      ""1ZHMy3vVUd_0MrSduXTe1etBb1HNpAlGwQr006ljwMiM"",
      ""GSC最新!A:F""
    ),
    6,
    FALSE
  ),
  0
)
"),46081.0)</f>
        <v>46081</v>
      </c>
      <c r="AE106" s="54">
        <f>IFERROR(__xludf.DUMMYFUNCTION("IFERROR(
  VLOOKUP(
    A106,
    IMPORTRANGE(
      ""1SCYQd7_cobOYqT0r_F0IqD4tE4rYn5y8Eup4PJTH8es"",
      ""Snapshot!A:M""
    ),
    5,
    FALSE
  ),
  ""-""
)
"),9.0)</f>
        <v>9</v>
      </c>
      <c r="AF106" s="54">
        <f>IFERROR(__xludf.DUMMYFUNCTION("IFERROR(
  VLOOKUP(
    A106,
    IMPORTRANGE(
      ""1SCYQd7_cobOYqT0r_F0IqD4tE4rYn5y8Eup4PJTH8es"",
      ""Snapshot!A:M""
    ),
    6,
    FALSE
  ),
  0
)
"),5.0)</f>
        <v>5</v>
      </c>
      <c r="AG106" s="54">
        <f>IFERROR(__xludf.DUMMYFUNCTION("IFERROR(
  VLOOKUP(
    A106,
    IMPORTRANGE(
      ""1SCYQd7_cobOYqT0r_F0IqD4tE4rYn5y8Eup4PJTH8es"",
      ""Snapshot!A:M""
    ),
    7,
    FALSE
  ),
  0
)
"),4560.0)</f>
        <v>4560</v>
      </c>
      <c r="AH106" s="54">
        <f>IFERROR(__xludf.DUMMYFUNCTION("IFERROR(
  VLOOKUP(
    A106,
    IMPORTRANGE(
      ""1SCYQd7_cobOYqT0r_F0IqD4tE4rYn5y8Eup4PJTH8es"",
      ""Snapshot!A:M""
    ),
    8,
    FALSE
  ),
  0
)
"),2.0)</f>
        <v>2</v>
      </c>
      <c r="AI106" s="54">
        <f>IFERROR(__xludf.DUMMYFUNCTION("IFERROR(
  VLOOKUP(
    A106,
    IMPORTRANGE(
      ""1SCYQd7_cobOYqT0r_F0IqD4tE4rYn5y8Eup4PJTH8es"",
      ""Snapshot!A:M""
    ),
    9,
    FALSE
  ),
  0
)
"),3.0)</f>
        <v>3</v>
      </c>
      <c r="AJ106" s="54">
        <f>IFERROR(__xludf.DUMMYFUNCTION("IFERROR(
  VLOOKUP(
    A106,
    IMPORTRANGE(
      ""1SCYQd7_cobOYqT0r_F0IqD4tE4rYn5y8Eup4PJTH8es"",
      ""Snapshot!A:M""
    ),
    13,
    FALSE
  ),
  0
)
"),3.0)</f>
        <v>3</v>
      </c>
      <c r="AK106" s="49">
        <f t="shared" ref="AK106:AL106" si="525">LEN(C106)</f>
        <v>77</v>
      </c>
      <c r="AL106" s="49">
        <f t="shared" si="525"/>
        <v>132</v>
      </c>
    </row>
    <row r="107">
      <c r="A107" s="56" t="s">
        <v>607</v>
      </c>
      <c r="B107" s="1" t="str">
        <f>IFERROR(__xludf.DUMMYFUNCTION("IFERROR(
  VLOOKUP(
    A107,
    IMPORTRANGE(
      ""1ZygntHC1J6IxzKbTidmOyf5nUyW4GCLurHCjexrLm_o"",
      ""HTMLキャッシュ!A:F""
    ),
    2,
    FALSE
  ),
  0
)
"),"SC")</f>
        <v>SC</v>
      </c>
      <c r="C107" s="1" t="str">
        <f>IFERROR(__xludf.DUMMYFUNCTION("IFERROR(
  VLOOKUP(
    A107,
    IMPORTRANGE(
      ""1ZygntHC1J6IxzKbTidmOyf5nUyW4GCLurHCjexrLm_o"",
      ""HTMLキャッシュ!A:F""
    ),
    5,
    FALSE
  ),
  0
)
"),"書き散らしになる子の論理整理トレーニング - 受験国語専門 読解ラボ東京 | 中学受験・大学受験対応の個別指導国語専門塾（オンライン・教室対応）")</f>
        <v>書き散らしになる子の論理整理トレーニング - 受験国語専門 読解ラボ東京 | 中学受験・大学受験対応の個別指導国語専門塾（オンライン・教室対応）</v>
      </c>
      <c r="D107" s="1" t="str">
        <f>IFERROR(__xludf.DUMMYFUNCTION("IFERROR(
  VLOOKUP(
    A107,
    IMPORTRANGE(
      ""1ZygntHC1J6IxzKbTidmOyf5nUyW4GCLurHCjexrLm_o        "",
      ""HTMLキャッシュ!A:F""
    ),
    6,
    FALSE
  ),
  0
)
"),"記述が書き散らしになる子は、順序・因果・視点のどこかが乱れています。本記事では、材料を要素に分解し、線で因果を結び、番号で順番を整えてから文章化する論理整理トレーニングを具体例つきで解説。オンライン国語の個別指導で書き途中を確認し、過去問の記述を得点できる形に直す方法と家庭での支え方も紹介します。")</f>
        <v>記述が書き散らしになる子は、順序・因果・視点のどこかが乱れています。本記事では、材料を要素に分解し、線で因果を結び、番号で順番を整えてから文章化する論理整理トレーニングを具体例つきで解説。オンライン国語の個別指導で書き途中を確認し、過去問の記述を得点できる形に直す方法と家庭での支え方も紹介します。</v>
      </c>
      <c r="E107" s="32">
        <f>IFERROR(__xludf.DUMMYFUNCTION("IFERROR(
  VLOOKUP(
    A107,
    IMPORTRANGE(
      ""1ZygntHC1J6IxzKbTidmOyf5nUyW4GCLurHCjexrLm_o        "",
      ""HTMLキャッシュ!A:F""
    ),
    3,
    FALSE
  ),
  0
)
"),46080.80993055556)</f>
        <v>46080.80993</v>
      </c>
      <c r="F107" s="49">
        <f>IFERROR(__xludf.DUMMYFUNCTION("IFERROR(
  VLOOKUP(
    A107,
    IMPORTRANGE(
      ""1ZHMy3vVUd_0MrSduXTe1etBb1HNpAlGwQr006ljwMiM"",
      ""GSC最新!A:F""
    ),
    2,
    FALSE
  ),
  0
)
"),1.0)</f>
        <v>1</v>
      </c>
      <c r="G107" s="49">
        <f>IFERROR(__xludf.DUMMYFUNCTION("IFERROR(
  VLOOKUP(
    A107,
    IMPORTRANGE(
      ""1ZHMy3vVUd_0MrSduXTe1etBb1HNpAlGwQr006ljwMiM"",
      ""GSC最新!A:F""
    ),
    3,
    FALSE
  ),
  0
)
"),1.0)</f>
        <v>1</v>
      </c>
      <c r="H107" s="49">
        <f>IFERROR(__xludf.DUMMYFUNCTION("IFERROR(
  VLOOKUP(
    A107,
    IMPORTRANGE(
      ""1ZHMy3vVUd_0MrSduXTe1etBb1HNpAlGwQr006ljwMiM"",
      ""GSC最新!A:F""
    ),
    4,
    FALSE
  ),
  0
)
"),0.0)</f>
        <v>0</v>
      </c>
      <c r="I107" s="49">
        <f>IFERROR(__xludf.DUMMYFUNCTION("IFERROR(
  VLOOKUP(
    A107,
    IMPORTRANGE(
      ""1ZHMy3vVUd_0MrSduXTe1etBb1HNpAlGwQr006ljwMiM"",
      ""GSC最新!A:F""
    ),
    5,
    FALSE
  ),
  0
)
"),0.0)</f>
        <v>0</v>
      </c>
      <c r="J107" s="50" t="str">
        <f t="shared" ref="J107:K107" si="526">IFERROR(F107/H107,"-")</f>
        <v>-</v>
      </c>
      <c r="K107" s="50" t="str">
        <f t="shared" si="526"/>
        <v>-</v>
      </c>
      <c r="L107" s="6">
        <f>IFERROR(__xludf.DUMMYFUNCTION("IFERROR(
  VLOOKUP(
    A107,
    IMPORTRANGE(
      ""1ZHMy3vVUd_0MrSduXTe1etBb1HNpAlGwQr006ljwMiM"",
      ""GSC最新!A:R""
    ),
    7,
    FALSE
  ),
  0
)
"),9.0)</f>
        <v>9</v>
      </c>
      <c r="M107" s="6">
        <f>IFERROR(__xludf.DUMMYFUNCTION("IFERROR(
  VLOOKUP(
    A107,
    IMPORTRANGE(
      ""1ZHMy3vVUd_0MrSduXTe1etBb1HNpAlGwQr006ljwMiM"",
      ""GSC最新!A:R""
    ),
    10,
    FALSE
  ),
  0
)
"),29.0)</f>
        <v>29</v>
      </c>
      <c r="N107" s="6">
        <f>IFERROR(__xludf.DUMMYFUNCTION("IFERROR(
  VLOOKUP(
    A107,
    IMPORTRANGE(
      ""1ZHMy3vVUd_0MrSduXTe1etBb1HNpAlGwQr006ljwMiM"",
      ""GSC最新!A:R""
    ),
    13,
    FALSE
  ),
  0
)
"),0.0)</f>
        <v>0</v>
      </c>
      <c r="O107" s="6">
        <f>IFERROR(__xludf.DUMMYFUNCTION("IFERROR(
  VLOOKUP(
    A107,
    IMPORTRANGE(
      ""1ZHMy3vVUd_0MrSduXTe1etBb1HNpAlGwQr006ljwMiM"",
      ""GSC最新!A:R""
    ),
    16,
    FALSE
  ),
  0
)
"),0.0)</f>
        <v>0</v>
      </c>
      <c r="P107" s="51" t="str">
        <f t="shared" ref="P107:Q107" si="527">IFERROR(L107/N107,"-")</f>
        <v>-</v>
      </c>
      <c r="Q107" s="51" t="str">
        <f t="shared" si="527"/>
        <v>-</v>
      </c>
      <c r="R107" s="9">
        <f>IFERROR(__xludf.DUMMYFUNCTION("IFERROR(
  VLOOKUP(
    A107,
    IMPORTRANGE(
      ""1ZHMy3vVUd_0MrSduXTe1etBb1HNpAlGwQr006ljwMiM"",
      ""GSC最新!A:R""
    ),
    8,
    FALSE
  ),
  0
)
"),0.1111111111111111)</f>
        <v>0.1111111111</v>
      </c>
      <c r="S107" s="9">
        <f>IFERROR(__xludf.DUMMYFUNCTION("IFERROR(
  VLOOKUP(
    A107,
    IMPORTRANGE(
      ""1ZHMy3vVUd_0MrSduXTe1etBb1HNpAlGwQr006ljwMiM"",
      ""GSC最新!A:R""
    ),
    11,
    FALSE
  ),
  0
)
"),0.034482758620689655)</f>
        <v>0.03448275862</v>
      </c>
      <c r="T107" s="9">
        <f>IFERROR(__xludf.DUMMYFUNCTION("IFERROR(
  VLOOKUP(
    A107,
    IMPORTRANGE(
      ""1ZHMy3vVUd_0MrSduXTe1etBb1HNpAlGwQr006ljwMiM"",
      ""GSC最新!A:R""
    ),
    14,
    FALSE
  ),
  0
)
"),0.0)</f>
        <v>0</v>
      </c>
      <c r="U107" s="9">
        <f>IFERROR(__xludf.DUMMYFUNCTION("IFERROR(
  VLOOKUP(
    A107,
    IMPORTRANGE(
      ""1ZHMy3vVUd_0MrSduXTe1etBb1HNpAlGwQr006ljwMiM"",
      ""GSC最新!A:R""
    ),
    17,
    FALSE
  ),
  0
)
"),0.0)</f>
        <v>0</v>
      </c>
      <c r="V107" s="9">
        <f t="shared" ref="V107:W107" si="528">IFERROR(R107-T107,"-")</f>
        <v>0.1111111111</v>
      </c>
      <c r="W107" s="9">
        <f t="shared" si="528"/>
        <v>0.03448275862</v>
      </c>
      <c r="X107" s="65">
        <f>IFERROR(__xludf.DUMMYFUNCTION("IFERROR(
  VLOOKUP(
    A107,
    IMPORTRANGE(
      ""1ZHMy3vVUd_0MrSduXTe1etBb1HNpAlGwQr006ljwMiM"",
      ""GSC最新!A:R""
    ),
    9,
    FALSE
  ),
  0
)
"),7.444444444444445)</f>
        <v>7.444444444</v>
      </c>
      <c r="Y107" s="65">
        <f>IFERROR(__xludf.DUMMYFUNCTION("IFERROR(
  VLOOKUP(
    A107,
    IMPORTRANGE(
      ""1ZHMy3vVUd_0MrSduXTe1etBb1HNpAlGwQr006ljwMiM"",
      ""GSC最新!A:R""
    ),
    12,
    FALSE
  ),
  0
)
"),5.827586206896552)</f>
        <v>5.827586207</v>
      </c>
      <c r="Z107" s="65" t="str">
        <f>IFERROR(__xludf.DUMMYFUNCTION("IFERROR(
  VLOOKUP(
    A107,
    IMPORTRANGE(
      ""1ZHMy3vVUd_0MrSduXTe1etBb1HNpAlGwQr006ljwMiM"",
      ""GSC最新!A:R""
    ),
    15,
    FALSE
  ),
  0
)
"),"")</f>
        <v/>
      </c>
      <c r="AA107" s="65" t="str">
        <f>IFERROR(__xludf.DUMMYFUNCTION("IFERROR(
  VLOOKUP(
    A107,
    IMPORTRANGE(
      ""1ZHMy3vVUd_0MrSduXTe1etBb1HNpAlGwQr006ljwMiM"",
      ""GSC最新!A:R""
    ),
    18,
    FALSE
  ),
  0
)
"),"")</f>
        <v/>
      </c>
      <c r="AB107" s="65">
        <f t="shared" ref="AB107:AC107" si="529">X107-Z107</f>
        <v>7.444444444</v>
      </c>
      <c r="AC107" s="65">
        <f t="shared" si="529"/>
        <v>5.827586207</v>
      </c>
      <c r="AD107" s="53">
        <f>IFERROR(__xludf.DUMMYFUNCTION("IFERROR(
  VLOOKUP(
    A107,
    IMPORTRANGE(
      ""1ZHMy3vVUd_0MrSduXTe1etBb1HNpAlGwQr006ljwMiM"",
      ""GSC最新!A:F""
    ),
    6,
    FALSE
  ),
  0
)
"),46081.0)</f>
        <v>46081</v>
      </c>
      <c r="AE107" s="54">
        <f>IFERROR(__xludf.DUMMYFUNCTION("IFERROR(
  VLOOKUP(
    A107,
    IMPORTRANGE(
      ""1SCYQd7_cobOYqT0r_F0IqD4tE4rYn5y8Eup4PJTH8es"",
      ""Snapshot!A:M""
    ),
    5,
    FALSE
  ),
  ""-""
)
"),8.0)</f>
        <v>8</v>
      </c>
      <c r="AF107" s="54">
        <f>IFERROR(__xludf.DUMMYFUNCTION("IFERROR(
  VLOOKUP(
    A107,
    IMPORTRANGE(
      ""1SCYQd7_cobOYqT0r_F0IqD4tE4rYn5y8Eup4PJTH8es"",
      ""Snapshot!A:M""
    ),
    6,
    FALSE
  ),
  0
)
"),7.0)</f>
        <v>7</v>
      </c>
      <c r="AG107" s="54">
        <f>IFERROR(__xludf.DUMMYFUNCTION("IFERROR(
  VLOOKUP(
    A107,
    IMPORTRANGE(
      ""1SCYQd7_cobOYqT0r_F0IqD4tE4rYn5y8Eup4PJTH8es"",
      ""Snapshot!A:M""
    ),
    7,
    FALSE
  ),
  0
)
"),4671.0)</f>
        <v>4671</v>
      </c>
      <c r="AH107" s="54">
        <f>IFERROR(__xludf.DUMMYFUNCTION("IFERROR(
  VLOOKUP(
    A107,
    IMPORTRANGE(
      ""1SCYQd7_cobOYqT0r_F0IqD4tE4rYn5y8Eup4PJTH8es"",
      ""Snapshot!A:M""
    ),
    8,
    FALSE
  ),
  0
)
"),2.0)</f>
        <v>2</v>
      </c>
      <c r="AI107" s="54">
        <f>IFERROR(__xludf.DUMMYFUNCTION("IFERROR(
  VLOOKUP(
    A107,
    IMPORTRANGE(
      ""1SCYQd7_cobOYqT0r_F0IqD4tE4rYn5y8Eup4PJTH8es"",
      ""Snapshot!A:M""
    ),
    9,
    FALSE
  ),
  0
)
"),3.0)</f>
        <v>3</v>
      </c>
      <c r="AJ107" s="54">
        <f>IFERROR(__xludf.DUMMYFUNCTION("IFERROR(
  VLOOKUP(
    A107,
    IMPORTRANGE(
      ""1SCYQd7_cobOYqT0r_F0IqD4tE4rYn5y8Eup4PJTH8es"",
      ""Snapshot!A:M""
    ),
    13,
    FALSE
  ),
  0
)
"),3.0)</f>
        <v>3</v>
      </c>
      <c r="AK107" s="49">
        <f t="shared" ref="AK107:AL107" si="530">LEN(C107)</f>
        <v>72</v>
      </c>
      <c r="AL107" s="49">
        <f t="shared" si="530"/>
        <v>149</v>
      </c>
    </row>
    <row r="108">
      <c r="A108" s="3" t="s">
        <v>608</v>
      </c>
      <c r="B108" s="1" t="str">
        <f>IFERROR(__xludf.DUMMYFUNCTION("IFERROR(
  VLOOKUP(
    A108,
    IMPORTRANGE(
      ""1ZygntHC1J6IxzKbTidmOyf5nUyW4GCLurHCjexrLm_o"",
      ""HTMLキャッシュ!A:F""
    ),
    2,
    FALSE
  ),
  0
)
"),"SC")</f>
        <v>SC</v>
      </c>
      <c r="C108" s="1" t="str">
        <f>IFERROR(__xludf.DUMMYFUNCTION("IFERROR(
  VLOOKUP(
    A108,
    IMPORTRANGE(
      ""1ZygntHC1J6IxzKbTidmOyf5nUyW4GCLurHCjexrLm_o"",
      ""HTMLキャッシュ!A:F""
    ),
    5,
    FALSE
  ),
  0
)
"),"物語文の選択肢を制する 読解の鍵と正答獲得テクニック")</f>
        <v>物語文の選択肢を制する 読解の鍵と正答獲得テクニック</v>
      </c>
      <c r="D108" s="1" t="str">
        <f>IFERROR(__xludf.DUMMYFUNCTION("IFERROR(
  VLOOKUP(
    A108,
    IMPORTRANGE(
      ""1ZygntHC1J6IxzKbTidmOyf5nUyW4GCLurHCjexrLm_o        "",
      ""HTMLキャッシュ!A:F""
    ),
    6,
    FALSE
  ),
  0
)
"),"物語文で最後の二択を外す原因は、本文に戻らず語感で選ぶ・消去基準が曖昧なこと。根拠で絞る手順を整理。")</f>
        <v>物語文で最後の二択を外す原因は、本文に戻らず語感で選ぶ・消去基準が曖昧なこと。根拠で絞る手順を整理。</v>
      </c>
      <c r="E108" s="32">
        <f>IFERROR(__xludf.DUMMYFUNCTION("IFERROR(
  VLOOKUP(
    A108,
    IMPORTRANGE(
      ""1ZygntHC1J6IxzKbTidmOyf5nUyW4GCLurHCjexrLm_o        "",
      ""HTMLキャッシュ!A:F""
    ),
    3,
    FALSE
  ),
  0
)
"),46076.67721064815)</f>
        <v>46076.67721</v>
      </c>
      <c r="F108" s="49">
        <f>IFERROR(__xludf.DUMMYFUNCTION("IFERROR(
  VLOOKUP(
    A108,
    IMPORTRANGE(
      ""1ZHMy3vVUd_0MrSduXTe1etBb1HNpAlGwQr006ljwMiM"",
      ""GSC最新!A:F""
    ),
    2,
    FALSE
  ),
  0
)
"),1.0)</f>
        <v>1</v>
      </c>
      <c r="G108" s="49">
        <f>IFERROR(__xludf.DUMMYFUNCTION("IFERROR(
  VLOOKUP(
    A108,
    IMPORTRANGE(
      ""1ZHMy3vVUd_0MrSduXTe1etBb1HNpAlGwQr006ljwMiM"",
      ""GSC最新!A:F""
    ),
    3,
    FALSE
  ),
  0
)
"),1.0)</f>
        <v>1</v>
      </c>
      <c r="H108" s="49">
        <f>IFERROR(__xludf.DUMMYFUNCTION("IFERROR(
  VLOOKUP(
    A108,
    IMPORTRANGE(
      ""1ZHMy3vVUd_0MrSduXTe1etBb1HNpAlGwQr006ljwMiM"",
      ""GSC最新!A:F""
    ),
    4,
    FALSE
  ),
  0
)
"),0.0)</f>
        <v>0</v>
      </c>
      <c r="I108" s="49">
        <f>IFERROR(__xludf.DUMMYFUNCTION("IFERROR(
  VLOOKUP(
    A108,
    IMPORTRANGE(
      ""1ZHMy3vVUd_0MrSduXTe1etBb1HNpAlGwQr006ljwMiM"",
      ""GSC最新!A:F""
    ),
    5,
    FALSE
  ),
  0
)
"),0.0)</f>
        <v>0</v>
      </c>
      <c r="J108" s="50" t="str">
        <f t="shared" ref="J108:K108" si="531">IFERROR(F108/H108,"-")</f>
        <v>-</v>
      </c>
      <c r="K108" s="50" t="str">
        <f t="shared" si="531"/>
        <v>-</v>
      </c>
      <c r="L108" s="6">
        <f>IFERROR(__xludf.DUMMYFUNCTION("IFERROR(
  VLOOKUP(
    A108,
    IMPORTRANGE(
      ""1ZHMy3vVUd_0MrSduXTe1etBb1HNpAlGwQr006ljwMiM"",
      ""GSC最新!A:R""
    ),
    7,
    FALSE
  ),
  0
)
"),8.0)</f>
        <v>8</v>
      </c>
      <c r="M108" s="6">
        <f>IFERROR(__xludf.DUMMYFUNCTION("IFERROR(
  VLOOKUP(
    A108,
    IMPORTRANGE(
      ""1ZHMy3vVUd_0MrSduXTe1etBb1HNpAlGwQr006ljwMiM"",
      ""GSC最新!A:R""
    ),
    10,
    FALSE
  ),
  0
)
"),45.0)</f>
        <v>45</v>
      </c>
      <c r="N108" s="6">
        <f>IFERROR(__xludf.DUMMYFUNCTION("IFERROR(
  VLOOKUP(
    A108,
    IMPORTRANGE(
      ""1ZHMy3vVUd_0MrSduXTe1etBb1HNpAlGwQr006ljwMiM"",
      ""GSC最新!A:R""
    ),
    13,
    FALSE
  ),
  0
)
"),0.0)</f>
        <v>0</v>
      </c>
      <c r="O108" s="6">
        <f>IFERROR(__xludf.DUMMYFUNCTION("IFERROR(
  VLOOKUP(
    A108,
    IMPORTRANGE(
      ""1ZHMy3vVUd_0MrSduXTe1etBb1HNpAlGwQr006ljwMiM"",
      ""GSC最新!A:R""
    ),
    16,
    FALSE
  ),
  0
)
"),0.0)</f>
        <v>0</v>
      </c>
      <c r="P108" s="51" t="str">
        <f t="shared" ref="P108:Q108" si="532">IFERROR(L108/N108,"-")</f>
        <v>-</v>
      </c>
      <c r="Q108" s="51" t="str">
        <f t="shared" si="532"/>
        <v>-</v>
      </c>
      <c r="R108" s="9">
        <f>IFERROR(__xludf.DUMMYFUNCTION("IFERROR(
  VLOOKUP(
    A108,
    IMPORTRANGE(
      ""1ZHMy3vVUd_0MrSduXTe1etBb1HNpAlGwQr006ljwMiM"",
      ""GSC最新!A:R""
    ),
    8,
    FALSE
  ),
  0
)
"),0.125)</f>
        <v>0.125</v>
      </c>
      <c r="S108" s="9">
        <f>IFERROR(__xludf.DUMMYFUNCTION("IFERROR(
  VLOOKUP(
    A108,
    IMPORTRANGE(
      ""1ZHMy3vVUd_0MrSduXTe1etBb1HNpAlGwQr006ljwMiM"",
      ""GSC最新!A:R""
    ),
    11,
    FALSE
  ),
  0
)
"),0.022222222222222223)</f>
        <v>0.02222222222</v>
      </c>
      <c r="T108" s="9">
        <f>IFERROR(__xludf.DUMMYFUNCTION("IFERROR(
  VLOOKUP(
    A108,
    IMPORTRANGE(
      ""1ZHMy3vVUd_0MrSduXTe1etBb1HNpAlGwQr006ljwMiM"",
      ""GSC最新!A:R""
    ),
    14,
    FALSE
  ),
  0
)
"),0.0)</f>
        <v>0</v>
      </c>
      <c r="U108" s="9">
        <f>IFERROR(__xludf.DUMMYFUNCTION("IFERROR(
  VLOOKUP(
    A108,
    IMPORTRANGE(
      ""1ZHMy3vVUd_0MrSduXTe1etBb1HNpAlGwQr006ljwMiM"",
      ""GSC最新!A:R""
    ),
    17,
    FALSE
  ),
  0
)
"),0.0)</f>
        <v>0</v>
      </c>
      <c r="V108" s="9">
        <f t="shared" ref="V108:W108" si="533">IFERROR(R108-T108,"-")</f>
        <v>0.125</v>
      </c>
      <c r="W108" s="9">
        <f t="shared" si="533"/>
        <v>0.02222222222</v>
      </c>
      <c r="X108" s="65">
        <f>IFERROR(__xludf.DUMMYFUNCTION("IFERROR(
  VLOOKUP(
    A108,
    IMPORTRANGE(
      ""1ZHMy3vVUd_0MrSduXTe1etBb1HNpAlGwQr006ljwMiM"",
      ""GSC最新!A:R""
    ),
    9,
    FALSE
  ),
  0
)
"),3.0)</f>
        <v>3</v>
      </c>
      <c r="Y108" s="65">
        <f>IFERROR(__xludf.DUMMYFUNCTION("IFERROR(
  VLOOKUP(
    A108,
    IMPORTRANGE(
      ""1ZHMy3vVUd_0MrSduXTe1etBb1HNpAlGwQr006ljwMiM"",
      ""GSC最新!A:R""
    ),
    12,
    FALSE
  ),
  0
)
"),4.955555555555556)</f>
        <v>4.955555556</v>
      </c>
      <c r="Z108" s="65" t="str">
        <f>IFERROR(__xludf.DUMMYFUNCTION("IFERROR(
  VLOOKUP(
    A108,
    IMPORTRANGE(
      ""1ZHMy3vVUd_0MrSduXTe1etBb1HNpAlGwQr006ljwMiM"",
      ""GSC最新!A:R""
    ),
    15,
    FALSE
  ),
  0
)
"),"")</f>
        <v/>
      </c>
      <c r="AA108" s="65" t="str">
        <f>IFERROR(__xludf.DUMMYFUNCTION("IFERROR(
  VLOOKUP(
    A108,
    IMPORTRANGE(
      ""1ZHMy3vVUd_0MrSduXTe1etBb1HNpAlGwQr006ljwMiM"",
      ""GSC最新!A:R""
    ),
    18,
    FALSE
  ),
  0
)
"),"")</f>
        <v/>
      </c>
      <c r="AB108" s="65">
        <f t="shared" ref="AB108:AC108" si="534">X108-Z108</f>
        <v>3</v>
      </c>
      <c r="AC108" s="65">
        <f t="shared" si="534"/>
        <v>4.955555556</v>
      </c>
      <c r="AD108" s="53">
        <f>IFERROR(__xludf.DUMMYFUNCTION("IFERROR(
  VLOOKUP(
    A108,
    IMPORTRANGE(
      ""1ZHMy3vVUd_0MrSduXTe1etBb1HNpAlGwQr006ljwMiM"",
      ""GSC最新!A:F""
    ),
    6,
    FALSE
  ),
  0
)
"),46081.0)</f>
        <v>46081</v>
      </c>
      <c r="AE108" s="54">
        <f>IFERROR(__xludf.DUMMYFUNCTION("IFERROR(
  VLOOKUP(
    A108,
    IMPORTRANGE(
      ""1SCYQd7_cobOYqT0r_F0IqD4tE4rYn5y8Eup4PJTH8es"",
      ""Snapshot!A:M""
    ),
    5,
    FALSE
  ),
  ""-""
)
"),7.0)</f>
        <v>7</v>
      </c>
      <c r="AF108" s="54">
        <f>IFERROR(__xludf.DUMMYFUNCTION("IFERROR(
  VLOOKUP(
    A108,
    IMPORTRANGE(
      ""1SCYQd7_cobOYqT0r_F0IqD4tE4rYn5y8Eup4PJTH8es"",
      ""Snapshot!A:M""
    ),
    6,
    FALSE
  ),
  0
)
"),19.0)</f>
        <v>19</v>
      </c>
      <c r="AG108" s="54">
        <f>IFERROR(__xludf.DUMMYFUNCTION("IFERROR(
  VLOOKUP(
    A108,
    IMPORTRANGE(
      ""1SCYQd7_cobOYqT0r_F0IqD4tE4rYn5y8Eup4PJTH8es"",
      ""Snapshot!A:M""
    ),
    7,
    FALSE
  ),
  0
)
"),7237.0)</f>
        <v>7237</v>
      </c>
      <c r="AH108" s="54">
        <f>IFERROR(__xludf.DUMMYFUNCTION("IFERROR(
  VLOOKUP(
    A108,
    IMPORTRANGE(
      ""1SCYQd7_cobOYqT0r_F0IqD4tE4rYn5y8Eup4PJTH8es"",
      ""Snapshot!A:M""
    ),
    8,
    FALSE
  ),
  0
)
"),3.0)</f>
        <v>3</v>
      </c>
      <c r="AI108" s="54">
        <f>IFERROR(__xludf.DUMMYFUNCTION("IFERROR(
  VLOOKUP(
    A108,
    IMPORTRANGE(
      ""1SCYQd7_cobOYqT0r_F0IqD4tE4rYn5y8Eup4PJTH8es"",
      ""Snapshot!A:M""
    ),
    9,
    FALSE
  ),
  0
)
"),1.0)</f>
        <v>1</v>
      </c>
      <c r="AJ108" s="54">
        <f>IFERROR(__xludf.DUMMYFUNCTION("IFERROR(
  VLOOKUP(
    A108,
    IMPORTRANGE(
      ""1SCYQd7_cobOYqT0r_F0IqD4tE4rYn5y8Eup4PJTH8es"",
      ""Snapshot!A:M""
    ),
    13,
    FALSE
  ),
  0
)
"),3.0)</f>
        <v>3</v>
      </c>
      <c r="AK108" s="49">
        <f t="shared" ref="AK108:AL108" si="535">LEN(C108)</f>
        <v>26</v>
      </c>
      <c r="AL108" s="49">
        <f t="shared" si="535"/>
        <v>50</v>
      </c>
    </row>
    <row r="109">
      <c r="A109" s="3" t="s">
        <v>609</v>
      </c>
      <c r="B109" s="1" t="str">
        <f>IFERROR(__xludf.DUMMYFUNCTION("IFERROR(
  VLOOKUP(
    A109,
    IMPORTRANGE(
      ""1ZygntHC1J6IxzKbTidmOyf5nUyW4GCLurHCjexrLm_o"",
      ""HTMLキャッシュ!A:F""
    ),
    2,
    FALSE
  ),
  0
)
"),"SC")</f>
        <v>SC</v>
      </c>
      <c r="C109" s="1" t="str">
        <f>IFERROR(__xludf.DUMMYFUNCTION("IFERROR(
  VLOOKUP(
    A109,
    IMPORTRANGE(
      ""1ZygntHC1J6IxzKbTidmOyf5nUyW4GCLurHCjexrLm_o"",
      ""HTMLキャッシュ!A:F""
    ),
    5,
    FALSE
  ),
  0
)
"),"オンライン国語専門塾とは？ーーー中学受験の国語はオンラインでどこまで伸びるか - 受験国語専門 読解ラボ東京 | 中学受験・大学受験対応の個別指導国語専門塾（オンライン・教室対応）")</f>
        <v>オンライン国語専門塾とは？ーーー中学受験の国語はオンラインでどこまで伸びるか - 受験国語専門 読解ラボ東京 | 中学受験・大学受験対応の個別指導国語専門塾（オンライン・教室対応）</v>
      </c>
      <c r="D109" s="1" t="str">
        <f>IFERROR(__xludf.DUMMYFUNCTION("IFERROR(
  VLOOKUP(
    A109,
    IMPORTRANGE(
      ""1ZygntHC1J6IxzKbTidmOyf5nUyW4GCLurHCjexrLm_o        "",
      ""HTMLキャッシュ!A:F""
    ),
    6,
    FALSE
  ),
  0
)
"),"中学受験の国語はオンライン専門塾でどこまで伸びる？手元カメラと画面共有で読解と記述の弱点を可視化し、過去問まで一気に仕上げる方法を解説。")</f>
        <v>中学受験の国語はオンライン専門塾でどこまで伸びる？手元カメラと画面共有で読解と記述の弱点を可視化し、過去問まで一気に仕上げる方法を解説。</v>
      </c>
      <c r="E109" s="32">
        <f>IFERROR(__xludf.DUMMYFUNCTION("IFERROR(
  VLOOKUP(
    A109,
    IMPORTRANGE(
      ""1ZygntHC1J6IxzKbTidmOyf5nUyW4GCLurHCjexrLm_o        "",
      ""HTMLキャッシュ!A:F""
    ),
    3,
    FALSE
  ),
  0
)
"),46059.88068287037)</f>
        <v>46059.88068</v>
      </c>
      <c r="F109" s="49">
        <f>IFERROR(__xludf.DUMMYFUNCTION("IFERROR(
  VLOOKUP(
    A109,
    IMPORTRANGE(
      ""1ZHMy3vVUd_0MrSduXTe1etBb1HNpAlGwQr006ljwMiM"",
      ""GSC最新!A:F""
    ),
    2,
    FALSE
  ),
  0
)
"),0.0)</f>
        <v>0</v>
      </c>
      <c r="G109" s="49">
        <f>IFERROR(__xludf.DUMMYFUNCTION("IFERROR(
  VLOOKUP(
    A109,
    IMPORTRANGE(
      ""1ZHMy3vVUd_0MrSduXTe1etBb1HNpAlGwQr006ljwMiM"",
      ""GSC最新!A:F""
    ),
    3,
    FALSE
  ),
  0
)
"),1.0)</f>
        <v>1</v>
      </c>
      <c r="H109" s="49">
        <f>IFERROR(__xludf.DUMMYFUNCTION("IFERROR(
  VLOOKUP(
    A109,
    IMPORTRANGE(
      ""1ZHMy3vVUd_0MrSduXTe1etBb1HNpAlGwQr006ljwMiM"",
      ""GSC最新!A:F""
    ),
    4,
    FALSE
  ),
  0
)
"),0.0)</f>
        <v>0</v>
      </c>
      <c r="I109" s="49">
        <f>IFERROR(__xludf.DUMMYFUNCTION("IFERROR(
  VLOOKUP(
    A109,
    IMPORTRANGE(
      ""1ZHMy3vVUd_0MrSduXTe1etBb1HNpAlGwQr006ljwMiM"",
      ""GSC最新!A:F""
    ),
    5,
    FALSE
  ),
  0
)
"),0.0)</f>
        <v>0</v>
      </c>
      <c r="J109" s="50" t="str">
        <f t="shared" ref="J109:K109" si="536">IFERROR(F109/H109,"-")</f>
        <v>-</v>
      </c>
      <c r="K109" s="50" t="str">
        <f t="shared" si="536"/>
        <v>-</v>
      </c>
      <c r="L109" s="6">
        <f>IFERROR(__xludf.DUMMYFUNCTION("IFERROR(
  VLOOKUP(
    A109,
    IMPORTRANGE(
      ""1ZHMy3vVUd_0MrSduXTe1etBb1HNpAlGwQr006ljwMiM"",
      ""GSC最新!A:R""
    ),
    7,
    FALSE
  ),
  0
)
"),0.0)</f>
        <v>0</v>
      </c>
      <c r="M109" s="6">
        <f>IFERROR(__xludf.DUMMYFUNCTION("IFERROR(
  VLOOKUP(
    A109,
    IMPORTRANGE(
      ""1ZHMy3vVUd_0MrSduXTe1etBb1HNpAlGwQr006ljwMiM"",
      ""GSC最新!A:R""
    ),
    10,
    FALSE
  ),
  0
)
"),18.0)</f>
        <v>18</v>
      </c>
      <c r="N109" s="6">
        <f>IFERROR(__xludf.DUMMYFUNCTION("IFERROR(
  VLOOKUP(
    A109,
    IMPORTRANGE(
      ""1ZHMy3vVUd_0MrSduXTe1etBb1HNpAlGwQr006ljwMiM"",
      ""GSC最新!A:R""
    ),
    13,
    FALSE
  ),
  0
)
"),0.0)</f>
        <v>0</v>
      </c>
      <c r="O109" s="6">
        <f>IFERROR(__xludf.DUMMYFUNCTION("IFERROR(
  VLOOKUP(
    A109,
    IMPORTRANGE(
      ""1ZHMy3vVUd_0MrSduXTe1etBb1HNpAlGwQr006ljwMiM"",
      ""GSC最新!A:R""
    ),
    16,
    FALSE
  ),
  0
)
"),0.0)</f>
        <v>0</v>
      </c>
      <c r="P109" s="51" t="str">
        <f t="shared" ref="P109:Q109" si="537">IFERROR(L109/N109,"-")</f>
        <v>-</v>
      </c>
      <c r="Q109" s="51" t="str">
        <f t="shared" si="537"/>
        <v>-</v>
      </c>
      <c r="R109" s="9">
        <f>IFERROR(__xludf.DUMMYFUNCTION("IFERROR(
  VLOOKUP(
    A109,
    IMPORTRANGE(
      ""1ZHMy3vVUd_0MrSduXTe1etBb1HNpAlGwQr006ljwMiM"",
      ""GSC最新!A:R""
    ),
    8,
    FALSE
  ),
  0
)
"),0.0)</f>
        <v>0</v>
      </c>
      <c r="S109" s="9">
        <f>IFERROR(__xludf.DUMMYFUNCTION("IFERROR(
  VLOOKUP(
    A109,
    IMPORTRANGE(
      ""1ZHMy3vVUd_0MrSduXTe1etBb1HNpAlGwQr006ljwMiM"",
      ""GSC最新!A:R""
    ),
    11,
    FALSE
  ),
  0
)
"),0.05555555555555555)</f>
        <v>0.05555555556</v>
      </c>
      <c r="T109" s="9">
        <f>IFERROR(__xludf.DUMMYFUNCTION("IFERROR(
  VLOOKUP(
    A109,
    IMPORTRANGE(
      ""1ZHMy3vVUd_0MrSduXTe1etBb1HNpAlGwQr006ljwMiM"",
      ""GSC最新!A:R""
    ),
    14,
    FALSE
  ),
  0
)
"),0.0)</f>
        <v>0</v>
      </c>
      <c r="U109" s="9">
        <f>IFERROR(__xludf.DUMMYFUNCTION("IFERROR(
  VLOOKUP(
    A109,
    IMPORTRANGE(
      ""1ZHMy3vVUd_0MrSduXTe1etBb1HNpAlGwQr006ljwMiM"",
      ""GSC最新!A:R""
    ),
    17,
    FALSE
  ),
  0
)
"),0.0)</f>
        <v>0</v>
      </c>
      <c r="V109" s="9">
        <f t="shared" ref="V109:W109" si="538">IFERROR(R109-T109,"-")</f>
        <v>0</v>
      </c>
      <c r="W109" s="9">
        <f t="shared" si="538"/>
        <v>0.05555555556</v>
      </c>
      <c r="X109" s="65" t="str">
        <f>IFERROR(__xludf.DUMMYFUNCTION("IFERROR(
  VLOOKUP(
    A109,
    IMPORTRANGE(
      ""1ZHMy3vVUd_0MrSduXTe1etBb1HNpAlGwQr006ljwMiM"",
      ""GSC最新!A:R""
    ),
    9,
    FALSE
  ),
  0
)
"),"")</f>
        <v/>
      </c>
      <c r="Y109" s="65">
        <f>IFERROR(__xludf.DUMMYFUNCTION("IFERROR(
  VLOOKUP(
    A109,
    IMPORTRANGE(
      ""1ZHMy3vVUd_0MrSduXTe1etBb1HNpAlGwQr006ljwMiM"",
      ""GSC最新!A:R""
    ),
    12,
    FALSE
  ),
  0
)
"),20.61111111111111)</f>
        <v>20.61111111</v>
      </c>
      <c r="Z109" s="65" t="str">
        <f>IFERROR(__xludf.DUMMYFUNCTION("IFERROR(
  VLOOKUP(
    A109,
    IMPORTRANGE(
      ""1ZHMy3vVUd_0MrSduXTe1etBb1HNpAlGwQr006ljwMiM"",
      ""GSC最新!A:R""
    ),
    15,
    FALSE
  ),
  0
)
"),"")</f>
        <v/>
      </c>
      <c r="AA109" s="65" t="str">
        <f>IFERROR(__xludf.DUMMYFUNCTION("IFERROR(
  VLOOKUP(
    A109,
    IMPORTRANGE(
      ""1ZHMy3vVUd_0MrSduXTe1etBb1HNpAlGwQr006ljwMiM"",
      ""GSC最新!A:R""
    ),
    18,
    FALSE
  ),
  0
)
"),"")</f>
        <v/>
      </c>
      <c r="AB109" s="65">
        <f t="shared" ref="AB109:AC109" si="539">X109-Z109</f>
        <v>0</v>
      </c>
      <c r="AC109" s="65">
        <f t="shared" si="539"/>
        <v>20.61111111</v>
      </c>
      <c r="AD109" s="53">
        <f>IFERROR(__xludf.DUMMYFUNCTION("IFERROR(
  VLOOKUP(
    A109,
    IMPORTRANGE(
      ""1ZHMy3vVUd_0MrSduXTe1etBb1HNpAlGwQr006ljwMiM"",
      ""GSC最新!A:F""
    ),
    6,
    FALSE
  ),
  0
)
"),46081.0)</f>
        <v>46081</v>
      </c>
      <c r="AE109" s="54">
        <f>IFERROR(__xludf.DUMMYFUNCTION("IFERROR(
  VLOOKUP(
    A109,
    IMPORTRANGE(
      ""1SCYQd7_cobOYqT0r_F0IqD4tE4rYn5y8Eup4PJTH8es"",
      ""Snapshot!A:M""
    ),
    5,
    FALSE
  ),
  ""-""
)
"),18.0)</f>
        <v>18</v>
      </c>
      <c r="AF109" s="54">
        <f>IFERROR(__xludf.DUMMYFUNCTION("IFERROR(
  VLOOKUP(
    A109,
    IMPORTRANGE(
      ""1SCYQd7_cobOYqT0r_F0IqD4tE4rYn5y8Eup4PJTH8es"",
      ""Snapshot!A:M""
    ),
    6,
    FALSE
  ),
  0
)
"),34.0)</f>
        <v>34</v>
      </c>
      <c r="AG109" s="54">
        <f>IFERROR(__xludf.DUMMYFUNCTION("IFERROR(
  VLOOKUP(
    A109,
    IMPORTRANGE(
      ""1SCYQd7_cobOYqT0r_F0IqD4tE4rYn5y8Eup4PJTH8es"",
      ""Snapshot!A:M""
    ),
    7,
    FALSE
  ),
  0
)
"),11799.0)</f>
        <v>11799</v>
      </c>
      <c r="AH109" s="54">
        <f>IFERROR(__xludf.DUMMYFUNCTION("IFERROR(
  VLOOKUP(
    A109,
    IMPORTRANGE(
      ""1SCYQd7_cobOYqT0r_F0IqD4tE4rYn5y8Eup4PJTH8es"",
      ""Snapshot!A:M""
    ),
    8,
    FALSE
  ),
  0
)
"),2.0)</f>
        <v>2</v>
      </c>
      <c r="AI109" s="54">
        <f>IFERROR(__xludf.DUMMYFUNCTION("IFERROR(
  VLOOKUP(
    A109,
    IMPORTRANGE(
      ""1SCYQd7_cobOYqT0r_F0IqD4tE4rYn5y8Eup4PJTH8es"",
      ""Snapshot!A:M""
    ),
    9,
    FALSE
  ),
  0
)
"),2.0)</f>
        <v>2</v>
      </c>
      <c r="AJ109" s="54">
        <f>IFERROR(__xludf.DUMMYFUNCTION("IFERROR(
  VLOOKUP(
    A109,
    IMPORTRANGE(
      ""1SCYQd7_cobOYqT0r_F0IqD4tE4rYn5y8Eup4PJTH8es"",
      ""Snapshot!A:M""
    ),
    13,
    FALSE
  ),
  0
)
"),3.0)</f>
        <v>3</v>
      </c>
      <c r="AK109" s="49">
        <f t="shared" ref="AK109:AL109" si="540">LEN(C109)</f>
        <v>90</v>
      </c>
      <c r="AL109" s="49">
        <f t="shared" si="540"/>
        <v>68</v>
      </c>
    </row>
    <row r="110">
      <c r="A110" s="56" t="s">
        <v>610</v>
      </c>
      <c r="B110" s="1" t="str">
        <f>IFERROR(__xludf.DUMMYFUNCTION("IFERROR(
  VLOOKUP(
    A110,
    IMPORTRANGE(
      ""1ZygntHC1J6IxzKbTidmOyf5nUyW4GCLurHCjexrLm_o"",
      ""HTMLキャッシュ!A:F""
    ),
    2,
    FALSE
  ),
  0
)
"),"SC")</f>
        <v>SC</v>
      </c>
      <c r="C110" s="1" t="str">
        <f>IFERROR(__xludf.DUMMYFUNCTION("IFERROR(
  VLOOKUP(
    A110,
    IMPORTRANGE(
      ""1ZygntHC1J6IxzKbTidmOyf5nUyW4GCLurHCjexrLm_o"",
      ""HTMLキャッシュ!A:F""
    ),
    5,
    FALSE
  ),
  0
)
"),"記述式とは｜要素の抜き出しと文章化の型・最小チェック｜中学受験国語（選択肢から切り替え）")</f>
        <v>記述式とは｜要素の抜き出しと文章化の型・最小チェック｜中学受験国語（選択肢から切り替え）</v>
      </c>
      <c r="D110" s="1" t="str">
        <f>IFERROR(__xludf.DUMMYFUNCTION("IFERROR(
  VLOOKUP(
    A110,
    IMPORTRANGE(
      ""1ZygntHC1J6IxzKbTidmOyf5nUyW4GCLurHCjexrLm_o        "",
      ""HTMLキャッシュ!A:F""
    ),
    6,
    FALSE
  ),
  0
)
"),"記述式とは、本文根拠から必要要素を抜き、条件に合わせて文章化する解答形式です。中学受験国語で多い条件落ち・要素不足・因果ズレを整理し、要素抽出→並べ替え→文章化の3ステップと最小見直し（主語・因果・字数・条件語）を例イメージで解説します。")</f>
        <v>記述式とは、本文根拠から必要要素を抜き、条件に合わせて文章化する解答形式です。中学受験国語で多い条件落ち・要素不足・因果ズレを整理し、要素抽出→並べ替え→文章化の3ステップと最小見直し（主語・因果・字数・条件語）を例イメージで解説します。</v>
      </c>
      <c r="E110" s="32">
        <f>IFERROR(__xludf.DUMMYFUNCTION("IFERROR(
  VLOOKUP(
    A110,
    IMPORTRANGE(
      ""1ZygntHC1J6IxzKbTidmOyf5nUyW4GCLurHCjexrLm_o        "",
      ""HTMLキャッシュ!A:F""
    ),
    3,
    FALSE
  ),
  0
)
"),46052.520578703705)</f>
        <v>46052.52058</v>
      </c>
      <c r="F110" s="49">
        <f>IFERROR(__xludf.DUMMYFUNCTION("IFERROR(
  VLOOKUP(
    A110,
    IMPORTRANGE(
      ""1ZHMy3vVUd_0MrSduXTe1etBb1HNpAlGwQr006ljwMiM"",
      ""GSC最新!A:F""
    ),
    2,
    FALSE
  ),
  0
)
"),1.0)</f>
        <v>1</v>
      </c>
      <c r="G110" s="49">
        <f>IFERROR(__xludf.DUMMYFUNCTION("IFERROR(
  VLOOKUP(
    A110,
    IMPORTRANGE(
      ""1ZHMy3vVUd_0MrSduXTe1etBb1HNpAlGwQr006ljwMiM"",
      ""GSC最新!A:F""
    ),
    3,
    FALSE
  ),
  0
)
"),1.0)</f>
        <v>1</v>
      </c>
      <c r="H110" s="49">
        <f>IFERROR(__xludf.DUMMYFUNCTION("IFERROR(
  VLOOKUP(
    A110,
    IMPORTRANGE(
      ""1ZHMy3vVUd_0MrSduXTe1etBb1HNpAlGwQr006ljwMiM"",
      ""GSC最新!A:F""
    ),
    4,
    FALSE
  ),
  0
)
"),0.0)</f>
        <v>0</v>
      </c>
      <c r="I110" s="49">
        <f>IFERROR(__xludf.DUMMYFUNCTION("IFERROR(
  VLOOKUP(
    A110,
    IMPORTRANGE(
      ""1ZHMy3vVUd_0MrSduXTe1etBb1HNpAlGwQr006ljwMiM"",
      ""GSC最新!A:F""
    ),
    5,
    FALSE
  ),
  0
)
"),0.0)</f>
        <v>0</v>
      </c>
      <c r="J110" s="50" t="str">
        <f t="shared" ref="J110:K110" si="541">IFERROR(F110/H110,"-")</f>
        <v>-</v>
      </c>
      <c r="K110" s="50" t="str">
        <f t="shared" si="541"/>
        <v>-</v>
      </c>
      <c r="L110" s="6">
        <f>IFERROR(__xludf.DUMMYFUNCTION("IFERROR(
  VLOOKUP(
    A110,
    IMPORTRANGE(
      ""1ZHMy3vVUd_0MrSduXTe1etBb1HNpAlGwQr006ljwMiM"",
      ""GSC最新!A:R""
    ),
    7,
    FALSE
  ),
  0
)
"),16.0)</f>
        <v>16</v>
      </c>
      <c r="M110" s="6">
        <f>IFERROR(__xludf.DUMMYFUNCTION("IFERROR(
  VLOOKUP(
    A110,
    IMPORTRANGE(
      ""1ZHMy3vVUd_0MrSduXTe1etBb1HNpAlGwQr006ljwMiM"",
      ""GSC最新!A:R""
    ),
    10,
    FALSE
  ),
  0
)
"),107.0)</f>
        <v>107</v>
      </c>
      <c r="N110" s="6">
        <f>IFERROR(__xludf.DUMMYFUNCTION("IFERROR(
  VLOOKUP(
    A110,
    IMPORTRANGE(
      ""1ZHMy3vVUd_0MrSduXTe1etBb1HNpAlGwQr006ljwMiM"",
      ""GSC最新!A:R""
    ),
    13,
    FALSE
  ),
  0
)
"),0.0)</f>
        <v>0</v>
      </c>
      <c r="O110" s="6">
        <f>IFERROR(__xludf.DUMMYFUNCTION("IFERROR(
  VLOOKUP(
    A110,
    IMPORTRANGE(
      ""1ZHMy3vVUd_0MrSduXTe1etBb1HNpAlGwQr006ljwMiM"",
      ""GSC最新!A:R""
    ),
    16,
    FALSE
  ),
  0
)
"),0.0)</f>
        <v>0</v>
      </c>
      <c r="P110" s="51" t="str">
        <f t="shared" ref="P110:Q110" si="542">IFERROR(L110/N110,"-")</f>
        <v>-</v>
      </c>
      <c r="Q110" s="51" t="str">
        <f t="shared" si="542"/>
        <v>-</v>
      </c>
      <c r="R110" s="9">
        <f>IFERROR(__xludf.DUMMYFUNCTION("IFERROR(
  VLOOKUP(
    A110,
    IMPORTRANGE(
      ""1ZHMy3vVUd_0MrSduXTe1etBb1HNpAlGwQr006ljwMiM"",
      ""GSC最新!A:R""
    ),
    8,
    FALSE
  ),
  0
)
"),0.0625)</f>
        <v>0.0625</v>
      </c>
      <c r="S110" s="9">
        <f>IFERROR(__xludf.DUMMYFUNCTION("IFERROR(
  VLOOKUP(
    A110,
    IMPORTRANGE(
      ""1ZHMy3vVUd_0MrSduXTe1etBb1HNpAlGwQr006ljwMiM"",
      ""GSC最新!A:R""
    ),
    11,
    FALSE
  ),
  0
)
"),0.009345794392523364)</f>
        <v>0.009345794393</v>
      </c>
      <c r="T110" s="9">
        <f>IFERROR(__xludf.DUMMYFUNCTION("IFERROR(
  VLOOKUP(
    A110,
    IMPORTRANGE(
      ""1ZHMy3vVUd_0MrSduXTe1etBb1HNpAlGwQr006ljwMiM"",
      ""GSC最新!A:R""
    ),
    14,
    FALSE
  ),
  0
)
"),0.0)</f>
        <v>0</v>
      </c>
      <c r="U110" s="9">
        <f>IFERROR(__xludf.DUMMYFUNCTION("IFERROR(
  VLOOKUP(
    A110,
    IMPORTRANGE(
      ""1ZHMy3vVUd_0MrSduXTe1etBb1HNpAlGwQr006ljwMiM"",
      ""GSC最新!A:R""
    ),
    17,
    FALSE
  ),
  0
)
"),0.0)</f>
        <v>0</v>
      </c>
      <c r="V110" s="9">
        <f t="shared" ref="V110:W110" si="543">IFERROR(R110-T110,"-")</f>
        <v>0.0625</v>
      </c>
      <c r="W110" s="9">
        <f t="shared" si="543"/>
        <v>0.009345794393</v>
      </c>
      <c r="X110" s="65">
        <f>IFERROR(__xludf.DUMMYFUNCTION("IFERROR(
  VLOOKUP(
    A110,
    IMPORTRANGE(
      ""1ZHMy3vVUd_0MrSduXTe1etBb1HNpAlGwQr006ljwMiM"",
      ""GSC最新!A:R""
    ),
    9,
    FALSE
  ),
  0
)
"),5.4375)</f>
        <v>5.4375</v>
      </c>
      <c r="Y110" s="65">
        <f>IFERROR(__xludf.DUMMYFUNCTION("IFERROR(
  VLOOKUP(
    A110,
    IMPORTRANGE(
      ""1ZHMy3vVUd_0MrSduXTe1etBb1HNpAlGwQr006ljwMiM"",
      ""GSC最新!A:R""
    ),
    12,
    FALSE
  ),
  0
)
"),10.495327102803738)</f>
        <v>10.4953271</v>
      </c>
      <c r="Z110" s="65" t="str">
        <f>IFERROR(__xludf.DUMMYFUNCTION("IFERROR(
  VLOOKUP(
    A110,
    IMPORTRANGE(
      ""1ZHMy3vVUd_0MrSduXTe1etBb1HNpAlGwQr006ljwMiM"",
      ""GSC最新!A:R""
    ),
    15,
    FALSE
  ),
  0
)
"),"")</f>
        <v/>
      </c>
      <c r="AA110" s="65" t="str">
        <f>IFERROR(__xludf.DUMMYFUNCTION("IFERROR(
  VLOOKUP(
    A110,
    IMPORTRANGE(
      ""1ZHMy3vVUd_0MrSduXTe1etBb1HNpAlGwQr006ljwMiM"",
      ""GSC最新!A:R""
    ),
    18,
    FALSE
  ),
  0
)
"),"")</f>
        <v/>
      </c>
      <c r="AB110" s="65">
        <f t="shared" ref="AB110:AC110" si="544">X110-Z110</f>
        <v>5.4375</v>
      </c>
      <c r="AC110" s="65">
        <f t="shared" si="544"/>
        <v>10.4953271</v>
      </c>
      <c r="AD110" s="53">
        <f>IFERROR(__xludf.DUMMYFUNCTION("IFERROR(
  VLOOKUP(
    A110,
    IMPORTRANGE(
      ""1ZHMy3vVUd_0MrSduXTe1etBb1HNpAlGwQr006ljwMiM"",
      ""GSC最新!A:F""
    ),
    6,
    FALSE
  ),
  0
)
"),46081.0)</f>
        <v>46081</v>
      </c>
      <c r="AE110" s="54">
        <f>IFERROR(__xludf.DUMMYFUNCTION("IFERROR(
  VLOOKUP(
    A110,
    IMPORTRANGE(
      ""1SCYQd7_cobOYqT0r_F0IqD4tE4rYn5y8Eup4PJTH8es"",
      ""Snapshot!A:M""
    ),
    5,
    FALSE
  ),
  ""-""
)
"),10.0)</f>
        <v>10</v>
      </c>
      <c r="AF110" s="54">
        <f>IFERROR(__xludf.DUMMYFUNCTION("IFERROR(
  VLOOKUP(
    A110,
    IMPORTRANGE(
      ""1SCYQd7_cobOYqT0r_F0IqD4tE4rYn5y8Eup4PJTH8es"",
      ""Snapshot!A:M""
    ),
    6,
    FALSE
  ),
  0
)
"),5.0)</f>
        <v>5</v>
      </c>
      <c r="AG110" s="54">
        <f>IFERROR(__xludf.DUMMYFUNCTION("IFERROR(
  VLOOKUP(
    A110,
    IMPORTRANGE(
      ""1SCYQd7_cobOYqT0r_F0IqD4tE4rYn5y8Eup4PJTH8es"",
      ""Snapshot!A:M""
    ),
    7,
    FALSE
  ),
  0
)
"),4757.0)</f>
        <v>4757</v>
      </c>
      <c r="AH110" s="54">
        <f>IFERROR(__xludf.DUMMYFUNCTION("IFERROR(
  VLOOKUP(
    A110,
    IMPORTRANGE(
      ""1SCYQd7_cobOYqT0r_F0IqD4tE4rYn5y8Eup4PJTH8es"",
      ""Snapshot!A:M""
    ),
    8,
    FALSE
  ),
  0
)
"),3.0)</f>
        <v>3</v>
      </c>
      <c r="AI110" s="54">
        <f>IFERROR(__xludf.DUMMYFUNCTION("IFERROR(
  VLOOKUP(
    A110,
    IMPORTRANGE(
      ""1SCYQd7_cobOYqT0r_F0IqD4tE4rYn5y8Eup4PJTH8es"",
      ""Snapshot!A:M""
    ),
    9,
    FALSE
  ),
  0
)
"),5.0)</f>
        <v>5</v>
      </c>
      <c r="AJ110" s="54">
        <f>IFERROR(__xludf.DUMMYFUNCTION("IFERROR(
  VLOOKUP(
    A110,
    IMPORTRANGE(
      ""1SCYQd7_cobOYqT0r_F0IqD4tE4rYn5y8Eup4PJTH8es"",
      ""Snapshot!A:M""
    ),
    13,
    FALSE
  ),
  0
)
"),3.0)</f>
        <v>3</v>
      </c>
      <c r="AK110" s="49">
        <f t="shared" ref="AK110:AL110" si="545">LEN(C110)</f>
        <v>44</v>
      </c>
      <c r="AL110" s="49">
        <f t="shared" si="545"/>
        <v>119</v>
      </c>
    </row>
    <row r="111">
      <c r="A111" s="56" t="s">
        <v>611</v>
      </c>
      <c r="B111" s="1" t="str">
        <f>IFERROR(__xludf.DUMMYFUNCTION("IFERROR(
  VLOOKUP(
    A111,
    IMPORTRANGE(
      ""1ZygntHC1J6IxzKbTidmOyf5nUyW4GCLurHCjexrLm_o"",
      ""HTMLキャッシュ!A:F""
    ),
    2,
    FALSE
  ),
  0
)
"),"SC")</f>
        <v>SC</v>
      </c>
      <c r="C111" s="1" t="str">
        <f>IFERROR(__xludf.DUMMYFUNCTION("IFERROR(
  VLOOKUP(
    A111,
    IMPORTRANGE(
      ""1ZygntHC1J6IxzKbTidmOyf5nUyW4GCLurHCjexrLm_o"",
      ""HTMLキャッシュ!A:F""
    ),
    5,
    FALSE
  ),
  0
)
"),"添削の読み方が分からない家庭向けガイド 記述答案を“改善の材料”に変える方法 - 受験国語専門 読解ラボ東京 | 中学受験・大学受験対応の個別指導国語専門塾（オンライン・教室対応）")</f>
        <v>添削の読み方が分からない家庭向けガイド 記述答案を“改善の材料”に変える方法 - 受験国語専門 読解ラボ東京 | 中学受験・大学受験対応の個別指導国語専門塾（オンライン・教室対応）</v>
      </c>
      <c r="D111" s="1" t="str">
        <f>IFERROR(__xludf.DUMMYFUNCTION("IFERROR(
  VLOOKUP(
    A111,
    IMPORTRANGE(
      ""1ZygntHC1J6IxzKbTidmOyf5nUyW4GCLurHCjexrLm_o        "",
      ""HTMLキャッシュ!A:F""
    ),
    6,
    FALSE
  ),
  0
)
"),"記述の添削が返ってきても直し方が分からない家庭向けに、赤字を条件・根拠・構造・表現に分類し、次の答案で再現できる改善手順を解説。オンライン国語個別の活用法も紹介。")</f>
        <v>記述の添削が返ってきても直し方が分からない家庭向けに、赤字を条件・根拠・構造・表現に分類し、次の答案で再現できる改善手順を解説。オンライン国語個別の活用法も紹介。</v>
      </c>
      <c r="E111" s="32">
        <f>IFERROR(__xludf.DUMMYFUNCTION("IFERROR(
  VLOOKUP(
    A111,
    IMPORTRANGE(
      ""1ZygntHC1J6IxzKbTidmOyf5nUyW4GCLurHCjexrLm_o        "",
      ""HTMLキャッシュ!A:F""
    ),
    3,
    FALSE
  ),
  0
)
"),46080.794756944444)</f>
        <v>46080.79476</v>
      </c>
      <c r="F111" s="49">
        <f>IFERROR(__xludf.DUMMYFUNCTION("IFERROR(
  VLOOKUP(
    A111,
    IMPORTRANGE(
      ""1ZHMy3vVUd_0MrSduXTe1etBb1HNpAlGwQr006ljwMiM"",
      ""GSC最新!A:F""
    ),
    2,
    FALSE
  ),
  0
)
"),1.0)</f>
        <v>1</v>
      </c>
      <c r="G111" s="49">
        <f>IFERROR(__xludf.DUMMYFUNCTION("IFERROR(
  VLOOKUP(
    A111,
    IMPORTRANGE(
      ""1ZHMy3vVUd_0MrSduXTe1etBb1HNpAlGwQr006ljwMiM"",
      ""GSC最新!A:F""
    ),
    3,
    FALSE
  ),
  0
)
"),1.0)</f>
        <v>1</v>
      </c>
      <c r="H111" s="49">
        <f>IFERROR(__xludf.DUMMYFUNCTION("IFERROR(
  VLOOKUP(
    A111,
    IMPORTRANGE(
      ""1ZHMy3vVUd_0MrSduXTe1etBb1HNpAlGwQr006ljwMiM"",
      ""GSC最新!A:F""
    ),
    4,
    FALSE
  ),
  0
)
"),0.0)</f>
        <v>0</v>
      </c>
      <c r="I111" s="49">
        <f>IFERROR(__xludf.DUMMYFUNCTION("IFERROR(
  VLOOKUP(
    A111,
    IMPORTRANGE(
      ""1ZHMy3vVUd_0MrSduXTe1etBb1HNpAlGwQr006ljwMiM"",
      ""GSC最新!A:F""
    ),
    5,
    FALSE
  ),
  0
)
"),0.0)</f>
        <v>0</v>
      </c>
      <c r="J111" s="50" t="str">
        <f t="shared" ref="J111:K111" si="546">IFERROR(F111/H111,"-")</f>
        <v>-</v>
      </c>
      <c r="K111" s="50" t="str">
        <f t="shared" si="546"/>
        <v>-</v>
      </c>
      <c r="L111" s="6">
        <f>IFERROR(__xludf.DUMMYFUNCTION("IFERROR(
  VLOOKUP(
    A111,
    IMPORTRANGE(
      ""1ZHMy3vVUd_0MrSduXTe1etBb1HNpAlGwQr006ljwMiM"",
      ""GSC最新!A:R""
    ),
    7,
    FALSE
  ),
  0
)
"),24.0)</f>
        <v>24</v>
      </c>
      <c r="M111" s="6">
        <f>IFERROR(__xludf.DUMMYFUNCTION("IFERROR(
  VLOOKUP(
    A111,
    IMPORTRANGE(
      ""1ZHMy3vVUd_0MrSduXTe1etBb1HNpAlGwQr006ljwMiM"",
      ""GSC最新!A:R""
    ),
    10,
    FALSE
  ),
  0
)
"),66.0)</f>
        <v>66</v>
      </c>
      <c r="N111" s="6">
        <f>IFERROR(__xludf.DUMMYFUNCTION("IFERROR(
  VLOOKUP(
    A111,
    IMPORTRANGE(
      ""1ZHMy3vVUd_0MrSduXTe1etBb1HNpAlGwQr006ljwMiM"",
      ""GSC最新!A:R""
    ),
    13,
    FALSE
  ),
  0
)
"),0.0)</f>
        <v>0</v>
      </c>
      <c r="O111" s="6">
        <f>IFERROR(__xludf.DUMMYFUNCTION("IFERROR(
  VLOOKUP(
    A111,
    IMPORTRANGE(
      ""1ZHMy3vVUd_0MrSduXTe1etBb1HNpAlGwQr006ljwMiM"",
      ""GSC最新!A:R""
    ),
    16,
    FALSE
  ),
  0
)
"),0.0)</f>
        <v>0</v>
      </c>
      <c r="P111" s="51" t="str">
        <f t="shared" ref="P111:Q111" si="547">IFERROR(L111/N111,"-")</f>
        <v>-</v>
      </c>
      <c r="Q111" s="51" t="str">
        <f t="shared" si="547"/>
        <v>-</v>
      </c>
      <c r="R111" s="9">
        <f>IFERROR(__xludf.DUMMYFUNCTION("IFERROR(
  VLOOKUP(
    A111,
    IMPORTRANGE(
      ""1ZHMy3vVUd_0MrSduXTe1etBb1HNpAlGwQr006ljwMiM"",
      ""GSC最新!A:R""
    ),
    8,
    FALSE
  ),
  0
)
"),0.041666666666666664)</f>
        <v>0.04166666667</v>
      </c>
      <c r="S111" s="9">
        <f>IFERROR(__xludf.DUMMYFUNCTION("IFERROR(
  VLOOKUP(
    A111,
    IMPORTRANGE(
      ""1ZHMy3vVUd_0MrSduXTe1etBb1HNpAlGwQr006ljwMiM"",
      ""GSC最新!A:R""
    ),
    11,
    FALSE
  ),
  0
)
"),0.015151515151515152)</f>
        <v>0.01515151515</v>
      </c>
      <c r="T111" s="9">
        <f>IFERROR(__xludf.DUMMYFUNCTION("IFERROR(
  VLOOKUP(
    A111,
    IMPORTRANGE(
      ""1ZHMy3vVUd_0MrSduXTe1etBb1HNpAlGwQr006ljwMiM"",
      ""GSC最新!A:R""
    ),
    14,
    FALSE
  ),
  0
)
"),0.0)</f>
        <v>0</v>
      </c>
      <c r="U111" s="9">
        <f>IFERROR(__xludf.DUMMYFUNCTION("IFERROR(
  VLOOKUP(
    A111,
    IMPORTRANGE(
      ""1ZHMy3vVUd_0MrSduXTe1etBb1HNpAlGwQr006ljwMiM"",
      ""GSC最新!A:R""
    ),
    17,
    FALSE
  ),
  0
)
"),0.0)</f>
        <v>0</v>
      </c>
      <c r="V111" s="9">
        <f t="shared" ref="V111:W111" si="548">IFERROR(R111-T111,"-")</f>
        <v>0.04166666667</v>
      </c>
      <c r="W111" s="9">
        <f t="shared" si="548"/>
        <v>0.01515151515</v>
      </c>
      <c r="X111" s="65">
        <f>IFERROR(__xludf.DUMMYFUNCTION("IFERROR(
  VLOOKUP(
    A111,
    IMPORTRANGE(
      ""1ZHMy3vVUd_0MrSduXTe1etBb1HNpAlGwQr006ljwMiM"",
      ""GSC最新!A:R""
    ),
    9,
    FALSE
  ),
  0
)
"),5.958333333333333)</f>
        <v>5.958333333</v>
      </c>
      <c r="Y111" s="65">
        <f>IFERROR(__xludf.DUMMYFUNCTION("IFERROR(
  VLOOKUP(
    A111,
    IMPORTRANGE(
      ""1ZHMy3vVUd_0MrSduXTe1etBb1HNpAlGwQr006ljwMiM"",
      ""GSC最新!A:R""
    ),
    12,
    FALSE
  ),
  0
)
"),6.803030303030303)</f>
        <v>6.803030303</v>
      </c>
      <c r="Z111" s="65" t="str">
        <f>IFERROR(__xludf.DUMMYFUNCTION("IFERROR(
  VLOOKUP(
    A111,
    IMPORTRANGE(
      ""1ZHMy3vVUd_0MrSduXTe1etBb1HNpAlGwQr006ljwMiM"",
      ""GSC最新!A:R""
    ),
    15,
    FALSE
  ),
  0
)
"),"")</f>
        <v/>
      </c>
      <c r="AA111" s="65" t="str">
        <f>IFERROR(__xludf.DUMMYFUNCTION("IFERROR(
  VLOOKUP(
    A111,
    IMPORTRANGE(
      ""1ZHMy3vVUd_0MrSduXTe1etBb1HNpAlGwQr006ljwMiM"",
      ""GSC最新!A:R""
    ),
    18,
    FALSE
  ),
  0
)
"),"")</f>
        <v/>
      </c>
      <c r="AB111" s="65">
        <f t="shared" ref="AB111:AC111" si="549">X111-Z111</f>
        <v>5.958333333</v>
      </c>
      <c r="AC111" s="65">
        <f t="shared" si="549"/>
        <v>6.803030303</v>
      </c>
      <c r="AD111" s="53">
        <f>IFERROR(__xludf.DUMMYFUNCTION("IFERROR(
  VLOOKUP(
    A111,
    IMPORTRANGE(
      ""1ZHMy3vVUd_0MrSduXTe1etBb1HNpAlGwQr006ljwMiM"",
      ""GSC最新!A:F""
    ),
    6,
    FALSE
  ),
  0
)
"),46081.0)</f>
        <v>46081</v>
      </c>
      <c r="AE111" s="54">
        <f>IFERROR(__xludf.DUMMYFUNCTION("IFERROR(
  VLOOKUP(
    A111,
    IMPORTRANGE(
      ""1SCYQd7_cobOYqT0r_F0IqD4tE4rYn5y8Eup4PJTH8es"",
      ""Snapshot!A:M""
    ),
    5,
    FALSE
  ),
  ""-""
)
"),8.0)</f>
        <v>8</v>
      </c>
      <c r="AF111" s="54">
        <f>IFERROR(__xludf.DUMMYFUNCTION("IFERROR(
  VLOOKUP(
    A111,
    IMPORTRANGE(
      ""1SCYQd7_cobOYqT0r_F0IqD4tE4rYn5y8Eup4PJTH8es"",
      ""Snapshot!A:M""
    ),
    6,
    FALSE
  ),
  0
)
"),4.0)</f>
        <v>4</v>
      </c>
      <c r="AG111" s="54">
        <f>IFERROR(__xludf.DUMMYFUNCTION("IFERROR(
  VLOOKUP(
    A111,
    IMPORTRANGE(
      ""1SCYQd7_cobOYqT0r_F0IqD4tE4rYn5y8Eup4PJTH8es"",
      ""Snapshot!A:M""
    ),
    7,
    FALSE
  ),
  0
)
"),4890.0)</f>
        <v>4890</v>
      </c>
      <c r="AH111" s="54">
        <f>IFERROR(__xludf.DUMMYFUNCTION("IFERROR(
  VLOOKUP(
    A111,
    IMPORTRANGE(
      ""1SCYQd7_cobOYqT0r_F0IqD4tE4rYn5y8Eup4PJTH8es"",
      ""Snapshot!A:M""
    ),
    8,
    FALSE
  ),
  0
)
"),3.0)</f>
        <v>3</v>
      </c>
      <c r="AI111" s="54">
        <f>IFERROR(__xludf.DUMMYFUNCTION("IFERROR(
  VLOOKUP(
    A111,
    IMPORTRANGE(
      ""1SCYQd7_cobOYqT0r_F0IqD4tE4rYn5y8Eup4PJTH8es"",
      ""Snapshot!A:M""
    ),
    9,
    FALSE
  ),
  0
)
"),3.0)</f>
        <v>3</v>
      </c>
      <c r="AJ111" s="54">
        <f>IFERROR(__xludf.DUMMYFUNCTION("IFERROR(
  VLOOKUP(
    A111,
    IMPORTRANGE(
      ""1SCYQd7_cobOYqT0r_F0IqD4tE4rYn5y8Eup4PJTH8es"",
      ""Snapshot!A:M""
    ),
    13,
    FALSE
  ),
  0
)
"),3.0)</f>
        <v>3</v>
      </c>
      <c r="AK111" s="49">
        <f t="shared" ref="AK111:AL111" si="550">LEN(C111)</f>
        <v>90</v>
      </c>
      <c r="AL111" s="49">
        <f t="shared" si="550"/>
        <v>81</v>
      </c>
    </row>
    <row r="112">
      <c r="A112" s="3" t="s">
        <v>115</v>
      </c>
      <c r="B112" s="1" t="str">
        <f>IFERROR(__xludf.DUMMYFUNCTION("IFERROR(
  VLOOKUP(
    A112,
    IMPORTRANGE(
      ""1ZygntHC1J6IxzKbTidmOyf5nUyW4GCLurHCjexrLm_o"",
      ""HTMLキャッシュ!A:F""
    ),
    2,
    FALSE
  ),
  0
)
"),"-")</f>
        <v>-</v>
      </c>
      <c r="C112" s="1" t="str">
        <f>IFERROR(__xludf.DUMMYFUNCTION("IFERROR(
  VLOOKUP(
    A112,
    IMPORTRANGE(
      ""1ZygntHC1J6IxzKbTidmOyf5nUyW4GCLurHCjexrLm_o"",
      ""HTMLキャッシュ!A:F""
    ),
    5,
    FALSE
  ),
  0
)
"),"小４～小６ - 受験国語専門 読解ラボ東京 | 中学受験・大学受験対応の個別指導国語専門塾（オンライン・教室対応）")</f>
        <v>小４～小６ - 受験国語専門 読解ラボ東京 | 中学受験・大学受験対応の個別指導国語専門塾（オンライン・教室対応）</v>
      </c>
      <c r="D112" s="1" t="str">
        <f>IFERROR(__xludf.DUMMYFUNCTION("IFERROR(
  VLOOKUP(
    A112,
    IMPORTRANGE(
      ""1ZygntHC1J6IxzKbTidmOyf5nUyW4GCLurHCjexrLm_o        "",
      ""HTMLキャッシュ!A:F""
    ),
    6,
    FALSE
  ),
  0
)
"),"小４～小６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小４～小６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12" s="32">
        <f>IFERROR(__xludf.DUMMYFUNCTION("IFERROR(
  VLOOKUP(
    A112,
    IMPORTRANGE(
      ""1ZygntHC1J6IxzKbTidmOyf5nUyW4GCLurHCjexrLm_o        "",
      ""HTMLキャッシュ!A:F""
    ),
    3,
    FALSE
  ),
  0
)
"),25569.375)</f>
        <v>25569.375</v>
      </c>
      <c r="F112" s="49">
        <f>IFERROR(__xludf.DUMMYFUNCTION("IFERROR(
  VLOOKUP(
    A112,
    IMPORTRANGE(
      ""1ZHMy3vVUd_0MrSduXTe1etBb1HNpAlGwQr006ljwMiM"",
      ""GSC最新!A:F""
    ),
    2,
    FALSE
  ),
  0
)
"),1.0)</f>
        <v>1</v>
      </c>
      <c r="G112" s="49">
        <f>IFERROR(__xludf.DUMMYFUNCTION("IFERROR(
  VLOOKUP(
    A112,
    IMPORTRANGE(
      ""1ZHMy3vVUd_0MrSduXTe1etBb1HNpAlGwQr006ljwMiM"",
      ""GSC最新!A:F""
    ),
    3,
    FALSE
  ),
  0
)
"),1.0)</f>
        <v>1</v>
      </c>
      <c r="H112" s="49">
        <f>IFERROR(__xludf.DUMMYFUNCTION("IFERROR(
  VLOOKUP(
    A112,
    IMPORTRANGE(
      ""1ZHMy3vVUd_0MrSduXTe1etBb1HNpAlGwQr006ljwMiM"",
      ""GSC最新!A:F""
    ),
    4,
    FALSE
  ),
  0
)
"),0.0)</f>
        <v>0</v>
      </c>
      <c r="I112" s="49">
        <f>IFERROR(__xludf.DUMMYFUNCTION("IFERROR(
  VLOOKUP(
    A112,
    IMPORTRANGE(
      ""1ZHMy3vVUd_0MrSduXTe1etBb1HNpAlGwQr006ljwMiM"",
      ""GSC最新!A:F""
    ),
    5,
    FALSE
  ),
  0
)
"),0.0)</f>
        <v>0</v>
      </c>
      <c r="J112" s="50" t="str">
        <f t="shared" ref="J112:K112" si="551">IFERROR(F112/H112,"-")</f>
        <v>-</v>
      </c>
      <c r="K112" s="50" t="str">
        <f t="shared" si="551"/>
        <v>-</v>
      </c>
      <c r="L112" s="6">
        <f>IFERROR(__xludf.DUMMYFUNCTION("IFERROR(
  VLOOKUP(
    A112,
    IMPORTRANGE(
      ""1ZHMy3vVUd_0MrSduXTe1etBb1HNpAlGwQr006ljwMiM"",
      ""GSC最新!A:R""
    ),
    7,
    FALSE
  ),
  0
)
"),1.0)</f>
        <v>1</v>
      </c>
      <c r="M112" s="6">
        <f>IFERROR(__xludf.DUMMYFUNCTION("IFERROR(
  VLOOKUP(
    A112,
    IMPORTRANGE(
      ""1ZHMy3vVUd_0MrSduXTe1etBb1HNpAlGwQr006ljwMiM"",
      ""GSC最新!A:R""
    ),
    10,
    FALSE
  ),
  0
)
"),2.0)</f>
        <v>2</v>
      </c>
      <c r="N112" s="6">
        <f>IFERROR(__xludf.DUMMYFUNCTION("IFERROR(
  VLOOKUP(
    A112,
    IMPORTRANGE(
      ""1ZHMy3vVUd_0MrSduXTe1etBb1HNpAlGwQr006ljwMiM"",
      ""GSC最新!A:R""
    ),
    13,
    FALSE
  ),
  0
)
"),0.0)</f>
        <v>0</v>
      </c>
      <c r="O112" s="6">
        <f>IFERROR(__xludf.DUMMYFUNCTION("IFERROR(
  VLOOKUP(
    A112,
    IMPORTRANGE(
      ""1ZHMy3vVUd_0MrSduXTe1etBb1HNpAlGwQr006ljwMiM"",
      ""GSC最新!A:R""
    ),
    16,
    FALSE
  ),
  0
)
"),0.0)</f>
        <v>0</v>
      </c>
      <c r="P112" s="51" t="str">
        <f t="shared" ref="P112:Q112" si="552">IFERROR(L112/N112,"-")</f>
        <v>-</v>
      </c>
      <c r="Q112" s="51" t="str">
        <f t="shared" si="552"/>
        <v>-</v>
      </c>
      <c r="R112" s="9">
        <f>IFERROR(__xludf.DUMMYFUNCTION("IFERROR(
  VLOOKUP(
    A112,
    IMPORTRANGE(
      ""1ZHMy3vVUd_0MrSduXTe1etBb1HNpAlGwQr006ljwMiM"",
      ""GSC最新!A:R""
    ),
    8,
    FALSE
  ),
  0
)
"),1.0)</f>
        <v>1</v>
      </c>
      <c r="S112" s="9">
        <f>IFERROR(__xludf.DUMMYFUNCTION("IFERROR(
  VLOOKUP(
    A112,
    IMPORTRANGE(
      ""1ZHMy3vVUd_0MrSduXTe1etBb1HNpAlGwQr006ljwMiM"",
      ""GSC最新!A:R""
    ),
    11,
    FALSE
  ),
  0
)
"),0.5)</f>
        <v>0.5</v>
      </c>
      <c r="T112" s="9">
        <f>IFERROR(__xludf.DUMMYFUNCTION("IFERROR(
  VLOOKUP(
    A112,
    IMPORTRANGE(
      ""1ZHMy3vVUd_0MrSduXTe1etBb1HNpAlGwQr006ljwMiM"",
      ""GSC最新!A:R""
    ),
    14,
    FALSE
  ),
  0
)
"),0.0)</f>
        <v>0</v>
      </c>
      <c r="U112" s="9">
        <f>IFERROR(__xludf.DUMMYFUNCTION("IFERROR(
  VLOOKUP(
    A112,
    IMPORTRANGE(
      ""1ZHMy3vVUd_0MrSduXTe1etBb1HNpAlGwQr006ljwMiM"",
      ""GSC最新!A:R""
    ),
    17,
    FALSE
  ),
  0
)
"),0.0)</f>
        <v>0</v>
      </c>
      <c r="V112" s="9">
        <f t="shared" ref="V112:W112" si="553">IFERROR(R112-T112,"-")</f>
        <v>1</v>
      </c>
      <c r="W112" s="9">
        <f t="shared" si="553"/>
        <v>0.5</v>
      </c>
      <c r="X112" s="65">
        <f>IFERROR(__xludf.DUMMYFUNCTION("IFERROR(
  VLOOKUP(
    A112,
    IMPORTRANGE(
      ""1ZHMy3vVUd_0MrSduXTe1etBb1HNpAlGwQr006ljwMiM"",
      ""GSC最新!A:R""
    ),
    9,
    FALSE
  ),
  0
)
"),1.0)</f>
        <v>1</v>
      </c>
      <c r="Y112" s="65">
        <f>IFERROR(__xludf.DUMMYFUNCTION("IFERROR(
  VLOOKUP(
    A112,
    IMPORTRANGE(
      ""1ZHMy3vVUd_0MrSduXTe1etBb1HNpAlGwQr006ljwMiM"",
      ""GSC最新!A:R""
    ),
    12,
    FALSE
  ),
  0
)
"),1.5)</f>
        <v>1.5</v>
      </c>
      <c r="Z112" s="65" t="str">
        <f>IFERROR(__xludf.DUMMYFUNCTION("IFERROR(
  VLOOKUP(
    A112,
    IMPORTRANGE(
      ""1ZHMy3vVUd_0MrSduXTe1etBb1HNpAlGwQr006ljwMiM"",
      ""GSC最新!A:R""
    ),
    15,
    FALSE
  ),
  0
)
"),"")</f>
        <v/>
      </c>
      <c r="AA112" s="65" t="str">
        <f>IFERROR(__xludf.DUMMYFUNCTION("IFERROR(
  VLOOKUP(
    A112,
    IMPORTRANGE(
      ""1ZHMy3vVUd_0MrSduXTe1etBb1HNpAlGwQr006ljwMiM"",
      ""GSC最新!A:R""
    ),
    18,
    FALSE
  ),
  0
)
"),"")</f>
        <v/>
      </c>
      <c r="AB112" s="65">
        <f t="shared" ref="AB112:AC112" si="554">X112-Z112</f>
        <v>1</v>
      </c>
      <c r="AC112" s="65">
        <f t="shared" si="554"/>
        <v>1.5</v>
      </c>
      <c r="AD112" s="53">
        <f>IFERROR(__xludf.DUMMYFUNCTION("IFERROR(
  VLOOKUP(
    A112,
    IMPORTRANGE(
      ""1ZHMy3vVUd_0MrSduXTe1etBb1HNpAlGwQr006ljwMiM"",
      ""GSC最新!A:F""
    ),
    6,
    FALSE
  ),
  0
)
"),46081.0)</f>
        <v>46081</v>
      </c>
      <c r="AE112" s="54">
        <f>IFERROR(__xludf.DUMMYFUNCTION("IFERROR(
  VLOOKUP(
    A112,
    IMPORTRANGE(
      ""1SCYQd7_cobOYqT0r_F0IqD4tE4rYn5y8Eup4PJTH8es"",
      ""Snapshot!A:M""
    ),
    5,
    FALSE
  ),
  ""-""
)
"),0.0)</f>
        <v>0</v>
      </c>
      <c r="AF112" s="54">
        <f>IFERROR(__xludf.DUMMYFUNCTION("IFERROR(
  VLOOKUP(
    A112,
    IMPORTRANGE(
      ""1SCYQd7_cobOYqT0r_F0IqD4tE4rYn5y8Eup4PJTH8es"",
      ""Snapshot!A:M""
    ),
    6,
    FALSE
  ),
  0
)
"),0.0)</f>
        <v>0</v>
      </c>
      <c r="AG112" s="54">
        <f>IFERROR(__xludf.DUMMYFUNCTION("IFERROR(
  VLOOKUP(
    A112,
    IMPORTRANGE(
      ""1SCYQd7_cobOYqT0r_F0IqD4tE4rYn5y8Eup4PJTH8es"",
      ""Snapshot!A:M""
    ),
    7,
    FALSE
  ),
  0
)
"),0.0)</f>
        <v>0</v>
      </c>
      <c r="AH112" s="54">
        <f>IFERROR(__xludf.DUMMYFUNCTION("IFERROR(
  VLOOKUP(
    A112,
    IMPORTRANGE(
      ""1SCYQd7_cobOYqT0r_F0IqD4tE4rYn5y8Eup4PJTH8es"",
      ""Snapshot!A:M""
    ),
    8,
    FALSE
  ),
  0
)
"),0.0)</f>
        <v>0</v>
      </c>
      <c r="AI112" s="54">
        <f>IFERROR(__xludf.DUMMYFUNCTION("IFERROR(
  VLOOKUP(
    A112,
    IMPORTRANGE(
      ""1SCYQd7_cobOYqT0r_F0IqD4tE4rYn5y8Eup4PJTH8es"",
      ""Snapshot!A:M""
    ),
    9,
    FALSE
  ),
  0
)
"),0.0)</f>
        <v>0</v>
      </c>
      <c r="AJ112" s="54">
        <f>IFERROR(__xludf.DUMMYFUNCTION("IFERROR(
  VLOOKUP(
    A112,
    IMPORTRANGE(
      ""1SCYQd7_cobOYqT0r_F0IqD4tE4rYn5y8Eup4PJTH8es"",
      ""Snapshot!A:M""
    ),
    13,
    FALSE
  ),
  0
)
"),2.0)</f>
        <v>2</v>
      </c>
      <c r="AK112" s="49">
        <f t="shared" ref="AK112:AL112" si="555">LEN(C112)</f>
        <v>57</v>
      </c>
      <c r="AL112" s="49">
        <f t="shared" si="555"/>
        <v>135</v>
      </c>
    </row>
    <row r="113">
      <c r="A113" s="3" t="s">
        <v>336</v>
      </c>
      <c r="B113" s="1" t="str">
        <f>IFERROR(__xludf.DUMMYFUNCTION("IFERROR(
  VLOOKUP(
    A113,
    IMPORTRANGE(
      ""1ZygntHC1J6IxzKbTidmOyf5nUyW4GCLurHCjexrLm_o"",
      ""HTMLキャッシュ!A:F""
    ),
    2,
    FALSE
  ),
  0
)
"),"SP")</f>
        <v>SP</v>
      </c>
      <c r="C113" s="1" t="str">
        <f>IFERROR(__xludf.DUMMYFUNCTION("IFERROR(
  VLOOKUP(
    A113,
    IMPORTRANGE(
      ""1ZygntHC1J6IxzKbTidmOyf5nUyW4GCLurHCjexrLm_o"",
      ""HTMLキャッシュ!A:F""
    ),
    5,
    FALSE
  ),
  0
)
"),"国語文法を2回で整理する個別指導講座｜読解力強化オンライン塾")</f>
        <v>国語文法を2回で整理する個別指導講座｜読解力強化オンライン塾</v>
      </c>
      <c r="D113" s="1" t="str">
        <f>IFERROR(__xludf.DUMMYFUNCTION("IFERROR(
  VLOOKUP(
    A113,
    IMPORTRANGE(
      ""1ZygntHC1J6IxzKbTidmOyf5nUyW4GCLurHCjexrLm_o        "",
      ""HTMLキャッシュ!A:F""
    ),
    6,
    FALSE
  ),
  0
)
"),"主語述語や助動詞があいまいな子へ。90分×2回の個別指導で文法を整理し、読解の根拠把握力を強化。オンライン体験受付中")</f>
        <v>主語述語や助動詞があいまいな子へ。90分×2回の個別指導で文法を整理し、読解の根拠把握力を強化。オンライン体験受付中</v>
      </c>
      <c r="E113" s="32">
        <f>IFERROR(__xludf.DUMMYFUNCTION("IFERROR(
  VLOOKUP(
    A113,
    IMPORTRANGE(
      ""1ZygntHC1J6IxzKbTidmOyf5nUyW4GCLurHCjexrLm_o        "",
      ""HTMLキャッシュ!A:F""
    ),
    3,
    FALSE
  ),
  0
)
"),46076.83322916667)</f>
        <v>46076.83323</v>
      </c>
      <c r="F113" s="49">
        <f>IFERROR(__xludf.DUMMYFUNCTION("IFERROR(
  VLOOKUP(
    A113,
    IMPORTRANGE(
      ""1ZHMy3vVUd_0MrSduXTe1etBb1HNpAlGwQr006ljwMiM"",
      ""GSC最新!A:F""
    ),
    2,
    FALSE
  ),
  0
)
"),1.0)</f>
        <v>1</v>
      </c>
      <c r="G113" s="49">
        <f>IFERROR(__xludf.DUMMYFUNCTION("IFERROR(
  VLOOKUP(
    A113,
    IMPORTRANGE(
      ""1ZHMy3vVUd_0MrSduXTe1etBb1HNpAlGwQr006ljwMiM"",
      ""GSC最新!A:F""
    ),
    3,
    FALSE
  ),
  0
)
"),1.0)</f>
        <v>1</v>
      </c>
      <c r="H113" s="49">
        <f>IFERROR(__xludf.DUMMYFUNCTION("IFERROR(
  VLOOKUP(
    A113,
    IMPORTRANGE(
      ""1ZHMy3vVUd_0MrSduXTe1etBb1HNpAlGwQr006ljwMiM"",
      ""GSC最新!A:F""
    ),
    4,
    FALSE
  ),
  0
)
"),0.0)</f>
        <v>0</v>
      </c>
      <c r="I113" s="49">
        <f>IFERROR(__xludf.DUMMYFUNCTION("IFERROR(
  VLOOKUP(
    A113,
    IMPORTRANGE(
      ""1ZHMy3vVUd_0MrSduXTe1etBb1HNpAlGwQr006ljwMiM"",
      ""GSC最新!A:F""
    ),
    5,
    FALSE
  ),
  0
)
"),0.0)</f>
        <v>0</v>
      </c>
      <c r="J113" s="50" t="str">
        <f t="shared" ref="J113:K113" si="556">IFERROR(F113/H113,"-")</f>
        <v>-</v>
      </c>
      <c r="K113" s="50" t="str">
        <f t="shared" si="556"/>
        <v>-</v>
      </c>
      <c r="L113" s="6">
        <f>IFERROR(__xludf.DUMMYFUNCTION("IFERROR(
  VLOOKUP(
    A113,
    IMPORTRANGE(
      ""1ZHMy3vVUd_0MrSduXTe1etBb1HNpAlGwQr006ljwMiM"",
      ""GSC最新!A:R""
    ),
    7,
    FALSE
  ),
  0
)
"),8.0)</f>
        <v>8</v>
      </c>
      <c r="M113" s="6">
        <f>IFERROR(__xludf.DUMMYFUNCTION("IFERROR(
  VLOOKUP(
    A113,
    IMPORTRANGE(
      ""1ZHMy3vVUd_0MrSduXTe1etBb1HNpAlGwQr006ljwMiM"",
      ""GSC最新!A:R""
    ),
    10,
    FALSE
  ),
  0
)
"),16.0)</f>
        <v>16</v>
      </c>
      <c r="N113" s="6">
        <f>IFERROR(__xludf.DUMMYFUNCTION("IFERROR(
  VLOOKUP(
    A113,
    IMPORTRANGE(
      ""1ZHMy3vVUd_0MrSduXTe1etBb1HNpAlGwQr006ljwMiM"",
      ""GSC最新!A:R""
    ),
    13,
    FALSE
  ),
  0
)
"),4.0)</f>
        <v>4</v>
      </c>
      <c r="O113" s="6">
        <f>IFERROR(__xludf.DUMMYFUNCTION("IFERROR(
  VLOOKUP(
    A113,
    IMPORTRANGE(
      ""1ZHMy3vVUd_0MrSduXTe1etBb1HNpAlGwQr006ljwMiM"",
      ""GSC最新!A:R""
    ),
    16,
    FALSE
  ),
  0
)
"),44.0)</f>
        <v>44</v>
      </c>
      <c r="P113" s="51">
        <f t="shared" ref="P113:Q113" si="557">IFERROR(L113/N113,"-")</f>
        <v>2</v>
      </c>
      <c r="Q113" s="51">
        <f t="shared" si="557"/>
        <v>0.3636363636</v>
      </c>
      <c r="R113" s="9">
        <f>IFERROR(__xludf.DUMMYFUNCTION("IFERROR(
  VLOOKUP(
    A113,
    IMPORTRANGE(
      ""1ZHMy3vVUd_0MrSduXTe1etBb1HNpAlGwQr006ljwMiM"",
      ""GSC最新!A:R""
    ),
    8,
    FALSE
  ),
  0
)
"),0.125)</f>
        <v>0.125</v>
      </c>
      <c r="S113" s="9">
        <f>IFERROR(__xludf.DUMMYFUNCTION("IFERROR(
  VLOOKUP(
    A113,
    IMPORTRANGE(
      ""1ZHMy3vVUd_0MrSduXTe1etBb1HNpAlGwQr006ljwMiM"",
      ""GSC最新!A:R""
    ),
    11,
    FALSE
  ),
  0
)
"),0.0625)</f>
        <v>0.0625</v>
      </c>
      <c r="T113" s="9">
        <f>IFERROR(__xludf.DUMMYFUNCTION("IFERROR(
  VLOOKUP(
    A113,
    IMPORTRANGE(
      ""1ZHMy3vVUd_0MrSduXTe1etBb1HNpAlGwQr006ljwMiM"",
      ""GSC最新!A:R""
    ),
    14,
    FALSE
  ),
  0
)
"),0.0)</f>
        <v>0</v>
      </c>
      <c r="U113" s="9">
        <f>IFERROR(__xludf.DUMMYFUNCTION("IFERROR(
  VLOOKUP(
    A113,
    IMPORTRANGE(
      ""1ZHMy3vVUd_0MrSduXTe1etBb1HNpAlGwQr006ljwMiM"",
      ""GSC最新!A:R""
    ),
    17,
    FALSE
  ),
  0
)
"),0.0)</f>
        <v>0</v>
      </c>
      <c r="V113" s="9">
        <f t="shared" ref="V113:W113" si="558">IFERROR(R113-T113,"-")</f>
        <v>0.125</v>
      </c>
      <c r="W113" s="9">
        <f t="shared" si="558"/>
        <v>0.0625</v>
      </c>
      <c r="X113" s="65">
        <f>IFERROR(__xludf.DUMMYFUNCTION("IFERROR(
  VLOOKUP(
    A113,
    IMPORTRANGE(
      ""1ZHMy3vVUd_0MrSduXTe1etBb1HNpAlGwQr006ljwMiM"",
      ""GSC最新!A:R""
    ),
    9,
    FALSE
  ),
  0
)
"),10.5)</f>
        <v>10.5</v>
      </c>
      <c r="Y113" s="65">
        <f>IFERROR(__xludf.DUMMYFUNCTION("IFERROR(
  VLOOKUP(
    A113,
    IMPORTRANGE(
      ""1ZHMy3vVUd_0MrSduXTe1etBb1HNpAlGwQr006ljwMiM"",
      ""GSC最新!A:R""
    ),
    12,
    FALSE
  ),
  0
)
"),7.375)</f>
        <v>7.375</v>
      </c>
      <c r="Z113" s="65">
        <f>IFERROR(__xludf.DUMMYFUNCTION("IFERROR(
  VLOOKUP(
    A113,
    IMPORTRANGE(
      ""1ZHMy3vVUd_0MrSduXTe1etBb1HNpAlGwQr006ljwMiM"",
      ""GSC最新!A:R""
    ),
    15,
    FALSE
  ),
  0
)
"),9.25)</f>
        <v>9.25</v>
      </c>
      <c r="AA113" s="65">
        <f>IFERROR(__xludf.DUMMYFUNCTION("IFERROR(
  VLOOKUP(
    A113,
    IMPORTRANGE(
      ""1ZHMy3vVUd_0MrSduXTe1etBb1HNpAlGwQr006ljwMiM"",
      ""GSC最新!A:R""
    ),
    18,
    FALSE
  ),
  0
)
"),42.04545454545455)</f>
        <v>42.04545455</v>
      </c>
      <c r="AB113" s="65">
        <f t="shared" ref="AB113:AC113" si="559">X113-Z113</f>
        <v>1.25</v>
      </c>
      <c r="AC113" s="65">
        <f t="shared" si="559"/>
        <v>-34.67045455</v>
      </c>
      <c r="AD113" s="53">
        <f>IFERROR(__xludf.DUMMYFUNCTION("IFERROR(
  VLOOKUP(
    A113,
    IMPORTRANGE(
      ""1ZHMy3vVUd_0MrSduXTe1etBb1HNpAlGwQr006ljwMiM"",
      ""GSC最新!A:F""
    ),
    6,
    FALSE
  ),
  0
)
"),46081.0)</f>
        <v>46081</v>
      </c>
      <c r="AE113" s="54">
        <f>IFERROR(__xludf.DUMMYFUNCTION("IFERROR(
  VLOOKUP(
    A113,
    IMPORTRANGE(
      ""1SCYQd7_cobOYqT0r_F0IqD4tE4rYn5y8Eup4PJTH8es"",
      ""Snapshot!A:M""
    ),
    5,
    FALSE
  ),
  ""-""
)
"),9.0)</f>
        <v>9</v>
      </c>
      <c r="AF113" s="54">
        <f>IFERROR(__xludf.DUMMYFUNCTION("IFERROR(
  VLOOKUP(
    A113,
    IMPORTRANGE(
      ""1SCYQd7_cobOYqT0r_F0IqD4tE4rYn5y8Eup4PJTH8es"",
      ""Snapshot!A:M""
    ),
    6,
    FALSE
  ),
  0
)
"),0.0)</f>
        <v>0</v>
      </c>
      <c r="AG113" s="54">
        <f>IFERROR(__xludf.DUMMYFUNCTION("IFERROR(
  VLOOKUP(
    A113,
    IMPORTRANGE(
      ""1SCYQd7_cobOYqT0r_F0IqD4tE4rYn5y8Eup4PJTH8es"",
      ""Snapshot!A:M""
    ),
    7,
    FALSE
  ),
  0
)
"),1418.0)</f>
        <v>1418</v>
      </c>
      <c r="AH113" s="54">
        <f>IFERROR(__xludf.DUMMYFUNCTION("IFERROR(
  VLOOKUP(
    A113,
    IMPORTRANGE(
      ""1SCYQd7_cobOYqT0r_F0IqD4tE4rYn5y8Eup4PJTH8es"",
      ""Snapshot!A:M""
    ),
    8,
    FALSE
  ),
  0
)
"),1.0)</f>
        <v>1</v>
      </c>
      <c r="AI113" s="54">
        <f>IFERROR(__xludf.DUMMYFUNCTION("IFERROR(
  VLOOKUP(
    A113,
    IMPORTRANGE(
      ""1SCYQd7_cobOYqT0r_F0IqD4tE4rYn5y8Eup4PJTH8es"",
      ""Snapshot!A:M""
    ),
    9,
    FALSE
  ),
  0
)
"),1.0)</f>
        <v>1</v>
      </c>
      <c r="AJ113" s="54">
        <f>IFERROR(__xludf.DUMMYFUNCTION("IFERROR(
  VLOOKUP(
    A113,
    IMPORTRANGE(
      ""1SCYQd7_cobOYqT0r_F0IqD4tE4rYn5y8Eup4PJTH8es"",
      ""Snapshot!A:M""
    ),
    13,
    FALSE
  ),
  0
)
"),2.0)</f>
        <v>2</v>
      </c>
      <c r="AK113" s="49">
        <f t="shared" ref="AK113:AL113" si="560">LEN(C113)</f>
        <v>30</v>
      </c>
      <c r="AL113" s="49">
        <f t="shared" si="560"/>
        <v>58</v>
      </c>
    </row>
    <row r="114">
      <c r="A114" s="3" t="s">
        <v>612</v>
      </c>
      <c r="B114" s="1" t="str">
        <f>IFERROR(__xludf.DUMMYFUNCTION("IFERROR(
  VLOOKUP(
    A114,
    IMPORTRANGE(
      ""1ZygntHC1J6IxzKbTidmOyf5nUyW4GCLurHCjexrLm_o"",
      ""HTMLキャッシュ!A:F""
    ),
    2,
    FALSE
  ),
  0
)
"),"NW")</f>
        <v>NW</v>
      </c>
      <c r="C114" s="1" t="str">
        <f>IFERROR(__xludf.DUMMYFUNCTION("IFERROR(
  VLOOKUP(
    A114,
    IMPORTRANGE(
      ""1ZygntHC1J6IxzKbTidmOyf5nUyW4GCLurHCjexrLm_o"",
      ""HTMLキャッシュ!A:F""
    ),
    5,
    FALSE
  ),
  0
)
"),"中高一貫専門塾エスコット開校のお知らせ｜国語・英語・数学の個別指導塾 - 受験国語専門 読解ラボ東京 | 中学受験・大学受験対応の個別指導国語専門塾（オンライン・教室対応）")</f>
        <v>中高一貫専門塾エスコット開校のお知らせ｜国語・英語・数学の個別指導塾 - 受験国語専門 読解ラボ東京 | 中学受験・大学受験対応の個別指導国語専門塾（オンライン・教室対応）</v>
      </c>
      <c r="D114" s="1" t="str">
        <f>IFERROR(__xludf.DUMMYFUNCTION("IFERROR(
  VLOOKUP(
    A114,
    IMPORTRANGE(
      ""1ZygntHC1J6IxzKbTidmOyf5nUyW4GCLurHCjexrLm_o        "",
      ""HTMLキャッシュ!A:F""
    ),
    6,
    FALSE
  ),
  0
)
"),"読解ラボ東京が運営する「中高一貫専門塾エスコット」のご案内。中高一貫校の定期テスト対策から大学受験まで、国語・英語・数学を１対１個別指導でサポートします。")</f>
        <v>読解ラボ東京が運営する「中高一貫専門塾エスコット」のご案内。中高一貫校の定期テスト対策から大学受験まで、国語・英語・数学を１対１個別指導でサポートします。</v>
      </c>
      <c r="E114" s="32">
        <f>IFERROR(__xludf.DUMMYFUNCTION("IFERROR(
  VLOOKUP(
    A114,
    IMPORTRANGE(
      ""1ZygntHC1J6IxzKbTidmOyf5nUyW4GCLurHCjexrLm_o        "",
      ""HTMLキャッシュ!A:F""
    ),
    3,
    FALSE
  ),
  0
)
"),45990.83525462963)</f>
        <v>45990.83525</v>
      </c>
      <c r="F114" s="49">
        <f>IFERROR(__xludf.DUMMYFUNCTION("IFERROR(
  VLOOKUP(
    A114,
    IMPORTRANGE(
      ""1ZHMy3vVUd_0MrSduXTe1etBb1HNpAlGwQr006ljwMiM"",
      ""GSC最新!A:F""
    ),
    2,
    FALSE
  ),
  0
)
"),1.0)</f>
        <v>1</v>
      </c>
      <c r="G114" s="49">
        <f>IFERROR(__xludf.DUMMYFUNCTION("IFERROR(
  VLOOKUP(
    A114,
    IMPORTRANGE(
      ""1ZHMy3vVUd_0MrSduXTe1etBb1HNpAlGwQr006ljwMiM"",
      ""GSC最新!A:F""
    ),
    3,
    FALSE
  ),
  0
)
"),1.0)</f>
        <v>1</v>
      </c>
      <c r="H114" s="49">
        <f>IFERROR(__xludf.DUMMYFUNCTION("IFERROR(
  VLOOKUP(
    A114,
    IMPORTRANGE(
      ""1ZHMy3vVUd_0MrSduXTe1etBb1HNpAlGwQr006ljwMiM"",
      ""GSC最新!A:F""
    ),
    4,
    FALSE
  ),
  0
)
"),0.0)</f>
        <v>0</v>
      </c>
      <c r="I114" s="49">
        <f>IFERROR(__xludf.DUMMYFUNCTION("IFERROR(
  VLOOKUP(
    A114,
    IMPORTRANGE(
      ""1ZHMy3vVUd_0MrSduXTe1etBb1HNpAlGwQr006ljwMiM"",
      ""GSC最新!A:F""
    ),
    5,
    FALSE
  ),
  0
)
"),0.0)</f>
        <v>0</v>
      </c>
      <c r="J114" s="50" t="str">
        <f t="shared" ref="J114:K114" si="561">IFERROR(F114/H114,"-")</f>
        <v>-</v>
      </c>
      <c r="K114" s="50" t="str">
        <f t="shared" si="561"/>
        <v>-</v>
      </c>
      <c r="L114" s="6">
        <f>IFERROR(__xludf.DUMMYFUNCTION("IFERROR(
  VLOOKUP(
    A114,
    IMPORTRANGE(
      ""1ZHMy3vVUd_0MrSduXTe1etBb1HNpAlGwQr006ljwMiM"",
      ""GSC最新!A:R""
    ),
    7,
    FALSE
  ),
  0
)
"),31.0)</f>
        <v>31</v>
      </c>
      <c r="M114" s="6">
        <f>IFERROR(__xludf.DUMMYFUNCTION("IFERROR(
  VLOOKUP(
    A114,
    IMPORTRANGE(
      ""1ZHMy3vVUd_0MrSduXTe1etBb1HNpAlGwQr006ljwMiM"",
      ""GSC最新!A:R""
    ),
    10,
    FALSE
  ),
  0
)
"),47.0)</f>
        <v>47</v>
      </c>
      <c r="N114" s="6">
        <f>IFERROR(__xludf.DUMMYFUNCTION("IFERROR(
  VLOOKUP(
    A114,
    IMPORTRANGE(
      ""1ZHMy3vVUd_0MrSduXTe1etBb1HNpAlGwQr006ljwMiM"",
      ""GSC最新!A:R""
    ),
    13,
    FALSE
  ),
  0
)
"),5.0)</f>
        <v>5</v>
      </c>
      <c r="O114" s="6">
        <f>IFERROR(__xludf.DUMMYFUNCTION("IFERROR(
  VLOOKUP(
    A114,
    IMPORTRANGE(
      ""1ZHMy3vVUd_0MrSduXTe1etBb1HNpAlGwQr006ljwMiM"",
      ""GSC最新!A:R""
    ),
    16,
    FALSE
  ),
  0
)
"),20.0)</f>
        <v>20</v>
      </c>
      <c r="P114" s="51">
        <f t="shared" ref="P114:Q114" si="562">IFERROR(L114/N114,"-")</f>
        <v>6.2</v>
      </c>
      <c r="Q114" s="51">
        <f t="shared" si="562"/>
        <v>2.35</v>
      </c>
      <c r="R114" s="9">
        <f>IFERROR(__xludf.DUMMYFUNCTION("IFERROR(
  VLOOKUP(
    A114,
    IMPORTRANGE(
      ""1ZHMy3vVUd_0MrSduXTe1etBb1HNpAlGwQr006ljwMiM"",
      ""GSC最新!A:R""
    ),
    8,
    FALSE
  ),
  0
)
"),0.03225806451612903)</f>
        <v>0.03225806452</v>
      </c>
      <c r="S114" s="9">
        <f>IFERROR(__xludf.DUMMYFUNCTION("IFERROR(
  VLOOKUP(
    A114,
    IMPORTRANGE(
      ""1ZHMy3vVUd_0MrSduXTe1etBb1HNpAlGwQr006ljwMiM"",
      ""GSC最新!A:R""
    ),
    11,
    FALSE
  ),
  0
)
"),0.02127659574468085)</f>
        <v>0.02127659574</v>
      </c>
      <c r="T114" s="9">
        <f>IFERROR(__xludf.DUMMYFUNCTION("IFERROR(
  VLOOKUP(
    A114,
    IMPORTRANGE(
      ""1ZHMy3vVUd_0MrSduXTe1etBb1HNpAlGwQr006ljwMiM"",
      ""GSC最新!A:R""
    ),
    14,
    FALSE
  ),
  0
)
"),0.0)</f>
        <v>0</v>
      </c>
      <c r="U114" s="9">
        <f>IFERROR(__xludf.DUMMYFUNCTION("IFERROR(
  VLOOKUP(
    A114,
    IMPORTRANGE(
      ""1ZHMy3vVUd_0MrSduXTe1etBb1HNpAlGwQr006ljwMiM"",
      ""GSC最新!A:R""
    ),
    17,
    FALSE
  ),
  0
)
"),0.0)</f>
        <v>0</v>
      </c>
      <c r="V114" s="9">
        <f t="shared" ref="V114:W114" si="563">IFERROR(R114-T114,"-")</f>
        <v>0.03225806452</v>
      </c>
      <c r="W114" s="9">
        <f t="shared" si="563"/>
        <v>0.02127659574</v>
      </c>
      <c r="X114" s="65">
        <f>IFERROR(__xludf.DUMMYFUNCTION("IFERROR(
  VLOOKUP(
    A114,
    IMPORTRANGE(
      ""1ZHMy3vVUd_0MrSduXTe1etBb1HNpAlGwQr006ljwMiM"",
      ""GSC最新!A:R""
    ),
    9,
    FALSE
  ),
  0
)
"),8.548387096774194)</f>
        <v>8.548387097</v>
      </c>
      <c r="Y114" s="65">
        <f>IFERROR(__xludf.DUMMYFUNCTION("IFERROR(
  VLOOKUP(
    A114,
    IMPORTRANGE(
      ""1ZHMy3vVUd_0MrSduXTe1etBb1HNpAlGwQr006ljwMiM"",
      ""GSC最新!A:R""
    ),
    12,
    FALSE
  ),
  0
)
"),8.97872340425532)</f>
        <v>8.978723404</v>
      </c>
      <c r="Z114" s="65">
        <f>IFERROR(__xludf.DUMMYFUNCTION("IFERROR(
  VLOOKUP(
    A114,
    IMPORTRANGE(
      ""1ZHMy3vVUd_0MrSduXTe1etBb1HNpAlGwQr006ljwMiM"",
      ""GSC最新!A:R""
    ),
    15,
    FALSE
  ),
  0
)
"),9.4)</f>
        <v>9.4</v>
      </c>
      <c r="AA114" s="65">
        <f>IFERROR(__xludf.DUMMYFUNCTION("IFERROR(
  VLOOKUP(
    A114,
    IMPORTRANGE(
      ""1ZHMy3vVUd_0MrSduXTe1etBb1HNpAlGwQr006ljwMiM"",
      ""GSC最新!A:R""
    ),
    18,
    FALSE
  ),
  0
)
"),14.8)</f>
        <v>14.8</v>
      </c>
      <c r="AB114" s="65">
        <f t="shared" ref="AB114:AC114" si="564">X114-Z114</f>
        <v>-0.8516129032</v>
      </c>
      <c r="AC114" s="65">
        <f t="shared" si="564"/>
        <v>-5.821276596</v>
      </c>
      <c r="AD114" s="53">
        <f>IFERROR(__xludf.DUMMYFUNCTION("IFERROR(
  VLOOKUP(
    A114,
    IMPORTRANGE(
      ""1ZHMy3vVUd_0MrSduXTe1etBb1HNpAlGwQr006ljwMiM"",
      ""GSC最新!A:F""
    ),
    6,
    FALSE
  ),
  0
)
"),46081.0)</f>
        <v>46081</v>
      </c>
      <c r="AE114" s="54">
        <f>IFERROR(__xludf.DUMMYFUNCTION("IFERROR(
  VLOOKUP(
    A114,
    IMPORTRANGE(
      ""1SCYQd7_cobOYqT0r_F0IqD4tE4rYn5y8Eup4PJTH8es"",
      ""Snapshot!A:M""
    ),
    5,
    FALSE
  ),
  ""-""
)
"),0.0)</f>
        <v>0</v>
      </c>
      <c r="AF114" s="54">
        <f>IFERROR(__xludf.DUMMYFUNCTION("IFERROR(
  VLOOKUP(
    A114,
    IMPORTRANGE(
      ""1SCYQd7_cobOYqT0r_F0IqD4tE4rYn5y8Eup4PJTH8es"",
      ""Snapshot!A:M""
    ),
    6,
    FALSE
  ),
  0
)
"),0.0)</f>
        <v>0</v>
      </c>
      <c r="AG114" s="54">
        <f>IFERROR(__xludf.DUMMYFUNCTION("IFERROR(
  VLOOKUP(
    A114,
    IMPORTRANGE(
      ""1SCYQd7_cobOYqT0r_F0IqD4tE4rYn5y8Eup4PJTH8es"",
      ""Snapshot!A:M""
    ),
    7,
    FALSE
  ),
  0
)
"),207.0)</f>
        <v>207</v>
      </c>
      <c r="AH114" s="54">
        <f>IFERROR(__xludf.DUMMYFUNCTION("IFERROR(
  VLOOKUP(
    A114,
    IMPORTRANGE(
      ""1SCYQd7_cobOYqT0r_F0IqD4tE4rYn5y8Eup4PJTH8es"",
      ""Snapshot!A:M""
    ),
    8,
    FALSE
  ),
  0
)
"),0.0)</f>
        <v>0</v>
      </c>
      <c r="AI114" s="54">
        <f>IFERROR(__xludf.DUMMYFUNCTION("IFERROR(
  VLOOKUP(
    A114,
    IMPORTRANGE(
      ""1SCYQd7_cobOYqT0r_F0IqD4tE4rYn5y8Eup4PJTH8es"",
      ""Snapshot!A:M""
    ),
    9,
    FALSE
  ),
  0
)
"),1.0)</f>
        <v>1</v>
      </c>
      <c r="AJ114" s="54">
        <f>IFERROR(__xludf.DUMMYFUNCTION("IFERROR(
  VLOOKUP(
    A114,
    IMPORTRANGE(
      ""1SCYQd7_cobOYqT0r_F0IqD4tE4rYn5y8Eup4PJTH8es"",
      ""Snapshot!A:M""
    ),
    13,
    FALSE
  ),
  0
)
"),3.0)</f>
        <v>3</v>
      </c>
      <c r="AK114" s="49">
        <f t="shared" ref="AK114:AL114" si="565">LEN(C114)</f>
        <v>86</v>
      </c>
      <c r="AL114" s="49">
        <f t="shared" si="565"/>
        <v>77</v>
      </c>
    </row>
    <row r="115">
      <c r="A115" s="3" t="s">
        <v>613</v>
      </c>
      <c r="B115" s="1" t="str">
        <f>IFERROR(__xludf.DUMMYFUNCTION("IFERROR(
  VLOOKUP(
    A115,
    IMPORTRANGE(
      ""1ZygntHC1J6IxzKbTidmOyf5nUyW4GCLurHCjexrLm_o"",
      ""HTMLキャッシュ!A:F""
    ),
    2,
    FALSE
  ),
  0
)
"),"NW")</f>
        <v>NW</v>
      </c>
      <c r="C115" s="1" t="str">
        <f>IFERROR(__xludf.DUMMYFUNCTION("IFERROR(
  VLOOKUP(
    A115,
    IMPORTRANGE(
      ""1ZygntHC1J6IxzKbTidmOyf5nUyW4GCLurHCjexrLm_o"",
      ""HTMLキャッシュ!A:F""
    ),
    5,
    FALSE
  ),
  0
)
"),"受験理科専門塾「しゅん吉クエスト」開校のお知らせ - 受験国語専門 読解ラボ東京 | 中学受験・大学受験対応の個別指導国語専門塾（オンライン・教室対応）")</f>
        <v>受験理科専門塾「しゅん吉クエスト」開校のお知らせ - 受験国語専門 読解ラボ東京 | 中学受験・大学受験対応の個別指導国語専門塾（オンライン・教室対応）</v>
      </c>
      <c r="D115" s="1" t="str">
        <f>IFERROR(__xludf.DUMMYFUNCTION("IFERROR(
  VLOOKUP(
    A115,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115" s="32">
        <f>IFERROR(__xludf.DUMMYFUNCTION("IFERROR(
  VLOOKUP(
    A115,
    IMPORTRANGE(
      ""1ZygntHC1J6IxzKbTidmOyf5nUyW4GCLurHCjexrLm_o        "",
      ""HTMLキャッシュ!A:F""
    ),
    3,
    FALSE
  ),
  0
)
"),44400.6772337963)</f>
        <v>44400.67723</v>
      </c>
      <c r="F115" s="49">
        <f>IFERROR(__xludf.DUMMYFUNCTION("IFERROR(
  VLOOKUP(
    A115,
    IMPORTRANGE(
      ""1ZHMy3vVUd_0MrSduXTe1etBb1HNpAlGwQr006ljwMiM"",
      ""GSC最新!A:F""
    ),
    2,
    FALSE
  ),
  0
)
"),1.0)</f>
        <v>1</v>
      </c>
      <c r="G115" s="49">
        <f>IFERROR(__xludf.DUMMYFUNCTION("IFERROR(
  VLOOKUP(
    A115,
    IMPORTRANGE(
      ""1ZHMy3vVUd_0MrSduXTe1etBb1HNpAlGwQr006ljwMiM"",
      ""GSC最新!A:F""
    ),
    3,
    FALSE
  ),
  0
)
"),2.0)</f>
        <v>2</v>
      </c>
      <c r="H115" s="49">
        <f>IFERROR(__xludf.DUMMYFUNCTION("IFERROR(
  VLOOKUP(
    A115,
    IMPORTRANGE(
      ""1ZHMy3vVUd_0MrSduXTe1etBb1HNpAlGwQr006ljwMiM"",
      ""GSC最新!A:F""
    ),
    4,
    FALSE
  ),
  0
)
"),1.0)</f>
        <v>1</v>
      </c>
      <c r="I115" s="49">
        <f>IFERROR(__xludf.DUMMYFUNCTION("IFERROR(
  VLOOKUP(
    A115,
    IMPORTRANGE(
      ""1ZHMy3vVUd_0MrSduXTe1etBb1HNpAlGwQr006ljwMiM"",
      ""GSC最新!A:F""
    ),
    5,
    FALSE
  ),
  0
)
"),4.0)</f>
        <v>4</v>
      </c>
      <c r="J115" s="50">
        <f t="shared" ref="J115:K115" si="566">IFERROR(F115/H115,"-")</f>
        <v>1</v>
      </c>
      <c r="K115" s="50">
        <f t="shared" si="566"/>
        <v>0.5</v>
      </c>
      <c r="L115" s="6">
        <f>IFERROR(__xludf.DUMMYFUNCTION("IFERROR(
  VLOOKUP(
    A115,
    IMPORTRANGE(
      ""1ZHMy3vVUd_0MrSduXTe1etBb1HNpAlGwQr006ljwMiM"",
      ""GSC最新!A:R""
    ),
    7,
    FALSE
  ),
  0
)
"),20.0)</f>
        <v>20</v>
      </c>
      <c r="M115" s="6">
        <f>IFERROR(__xludf.DUMMYFUNCTION("IFERROR(
  VLOOKUP(
    A115,
    IMPORTRANGE(
      ""1ZHMy3vVUd_0MrSduXTe1etBb1HNpAlGwQr006ljwMiM"",
      ""GSC最新!A:R""
    ),
    10,
    FALSE
  ),
  0
)
"),35.0)</f>
        <v>35</v>
      </c>
      <c r="N115" s="6">
        <f>IFERROR(__xludf.DUMMYFUNCTION("IFERROR(
  VLOOKUP(
    A115,
    IMPORTRANGE(
      ""1ZHMy3vVUd_0MrSduXTe1etBb1HNpAlGwQr006ljwMiM"",
      ""GSC最新!A:R""
    ),
    13,
    FALSE
  ),
  0
)
"),5.0)</f>
        <v>5</v>
      </c>
      <c r="O115" s="6">
        <f>IFERROR(__xludf.DUMMYFUNCTION("IFERROR(
  VLOOKUP(
    A115,
    IMPORTRANGE(
      ""1ZHMy3vVUd_0MrSduXTe1etBb1HNpAlGwQr006ljwMiM"",
      ""GSC最新!A:R""
    ),
    16,
    FALSE
  ),
  0
)
"),41.0)</f>
        <v>41</v>
      </c>
      <c r="P115" s="51">
        <f t="shared" ref="P115:Q115" si="567">IFERROR(L115/N115,"-")</f>
        <v>4</v>
      </c>
      <c r="Q115" s="51">
        <f t="shared" si="567"/>
        <v>0.8536585366</v>
      </c>
      <c r="R115" s="9">
        <f>IFERROR(__xludf.DUMMYFUNCTION("IFERROR(
  VLOOKUP(
    A115,
    IMPORTRANGE(
      ""1ZHMy3vVUd_0MrSduXTe1etBb1HNpAlGwQr006ljwMiM"",
      ""GSC最新!A:R""
    ),
    8,
    FALSE
  ),
  0
)
"),0.05)</f>
        <v>0.05</v>
      </c>
      <c r="S115" s="9">
        <f>IFERROR(__xludf.DUMMYFUNCTION("IFERROR(
  VLOOKUP(
    A115,
    IMPORTRANGE(
      ""1ZHMy3vVUd_0MrSduXTe1etBb1HNpAlGwQr006ljwMiM"",
      ""GSC最新!A:R""
    ),
    11,
    FALSE
  ),
  0
)
"),0.05714285714285714)</f>
        <v>0.05714285714</v>
      </c>
      <c r="T115" s="9">
        <f>IFERROR(__xludf.DUMMYFUNCTION("IFERROR(
  VLOOKUP(
    A115,
    IMPORTRANGE(
      ""1ZHMy3vVUd_0MrSduXTe1etBb1HNpAlGwQr006ljwMiM"",
      ""GSC最新!A:R""
    ),
    14,
    FALSE
  ),
  0
)
"),0.2)</f>
        <v>0.2</v>
      </c>
      <c r="U115" s="9">
        <f>IFERROR(__xludf.DUMMYFUNCTION("IFERROR(
  VLOOKUP(
    A115,
    IMPORTRANGE(
      ""1ZHMy3vVUd_0MrSduXTe1etBb1HNpAlGwQr006ljwMiM"",
      ""GSC最新!A:R""
    ),
    17,
    FALSE
  ),
  0
)
"),0.0975609756097561)</f>
        <v>0.09756097561</v>
      </c>
      <c r="V115" s="9">
        <f t="shared" ref="V115:W115" si="568">IFERROR(R115-T115,"-")</f>
        <v>-0.15</v>
      </c>
      <c r="W115" s="9">
        <f t="shared" si="568"/>
        <v>-0.04041811847</v>
      </c>
      <c r="X115" s="65">
        <f>IFERROR(__xludf.DUMMYFUNCTION("IFERROR(
  VLOOKUP(
    A115,
    IMPORTRANGE(
      ""1ZHMy3vVUd_0MrSduXTe1etBb1HNpAlGwQr006ljwMiM"",
      ""GSC最新!A:R""
    ),
    9,
    FALSE
  ),
  0
)
"),8.2)</f>
        <v>8.2</v>
      </c>
      <c r="Y115" s="65">
        <f>IFERROR(__xludf.DUMMYFUNCTION("IFERROR(
  VLOOKUP(
    A115,
    IMPORTRANGE(
      ""1ZHMy3vVUd_0MrSduXTe1etBb1HNpAlGwQr006ljwMiM"",
      ""GSC最新!A:R""
    ),
    12,
    FALSE
  ),
  0
)
"),10.257142857142858)</f>
        <v>10.25714286</v>
      </c>
      <c r="Z115" s="65">
        <f>IFERROR(__xludf.DUMMYFUNCTION("IFERROR(
  VLOOKUP(
    A115,
    IMPORTRANGE(
      ""1ZHMy3vVUd_0MrSduXTe1etBb1HNpAlGwQr006ljwMiM"",
      ""GSC最新!A:R""
    ),
    15,
    FALSE
  ),
  0
)
"),25.0)</f>
        <v>25</v>
      </c>
      <c r="AA115" s="65">
        <f>IFERROR(__xludf.DUMMYFUNCTION("IFERROR(
  VLOOKUP(
    A115,
    IMPORTRANGE(
      ""1ZHMy3vVUd_0MrSduXTe1etBb1HNpAlGwQr006ljwMiM"",
      ""GSC最新!A:R""
    ),
    18,
    FALSE
  ),
  0
)
"),63.90243902439025)</f>
        <v>63.90243902</v>
      </c>
      <c r="AB115" s="65">
        <f t="shared" ref="AB115:AC115" si="569">X115-Z115</f>
        <v>-16.8</v>
      </c>
      <c r="AC115" s="65">
        <f t="shared" si="569"/>
        <v>-53.64529617</v>
      </c>
      <c r="AD115" s="53">
        <f>IFERROR(__xludf.DUMMYFUNCTION("IFERROR(
  VLOOKUP(
    A115,
    IMPORTRANGE(
      ""1ZHMy3vVUd_0MrSduXTe1etBb1HNpAlGwQr006ljwMiM"",
      ""GSC最新!A:F""
    ),
    6,
    FALSE
  ),
  0
)
"),46081.0)</f>
        <v>46081</v>
      </c>
      <c r="AE115" s="54">
        <f>IFERROR(__xludf.DUMMYFUNCTION("IFERROR(
  VLOOKUP(
    A115,
    IMPORTRANGE(
      ""1SCYQd7_cobOYqT0r_F0IqD4tE4rYn5y8Eup4PJTH8es"",
      ""Snapshot!A:M""
    ),
    5,
    FALSE
  ),
  ""-""
)
"),0.0)</f>
        <v>0</v>
      </c>
      <c r="AF115" s="54">
        <f>IFERROR(__xludf.DUMMYFUNCTION("IFERROR(
  VLOOKUP(
    A115,
    IMPORTRANGE(
      ""1SCYQd7_cobOYqT0r_F0IqD4tE4rYn5y8Eup4PJTH8es"",
      ""Snapshot!A:M""
    ),
    6,
    FALSE
  ),
  0
)
"),0.0)</f>
        <v>0</v>
      </c>
      <c r="AG115" s="54">
        <f>IFERROR(__xludf.DUMMYFUNCTION("IFERROR(
  VLOOKUP(
    A115,
    IMPORTRANGE(
      ""1SCYQd7_cobOYqT0r_F0IqD4tE4rYn5y8Eup4PJTH8es"",
      ""Snapshot!A:M""
    ),
    7,
    FALSE
  ),
  0
)
"),127.0)</f>
        <v>127</v>
      </c>
      <c r="AH115" s="54">
        <f>IFERROR(__xludf.DUMMYFUNCTION("IFERROR(
  VLOOKUP(
    A115,
    IMPORTRANGE(
      ""1SCYQd7_cobOYqT0r_F0IqD4tE4rYn5y8Eup4PJTH8es"",
      ""Snapshot!A:M""
    ),
    8,
    FALSE
  ),
  0
)
"),0.0)</f>
        <v>0</v>
      </c>
      <c r="AI115" s="54">
        <f>IFERROR(__xludf.DUMMYFUNCTION("IFERROR(
  VLOOKUP(
    A115,
    IMPORTRANGE(
      ""1SCYQd7_cobOYqT0r_F0IqD4tE4rYn5y8Eup4PJTH8es"",
      ""Snapshot!A:M""
    ),
    9,
    FALSE
  ),
  0
)
"),1.0)</f>
        <v>1</v>
      </c>
      <c r="AJ115" s="54">
        <f>IFERROR(__xludf.DUMMYFUNCTION("IFERROR(
  VLOOKUP(
    A115,
    IMPORTRANGE(
      ""1SCYQd7_cobOYqT0r_F0IqD4tE4rYn5y8Eup4PJTH8es"",
      ""Snapshot!A:M""
    ),
    13,
    FALSE
  ),
  0
)
"),3.0)</f>
        <v>3</v>
      </c>
      <c r="AK115" s="49">
        <f t="shared" ref="AK115:AL115" si="570">LEN(C115)</f>
        <v>76</v>
      </c>
      <c r="AL115" s="49">
        <f t="shared" si="570"/>
        <v>55</v>
      </c>
    </row>
    <row r="116">
      <c r="A116" s="1" t="s">
        <v>614</v>
      </c>
      <c r="B116" s="1" t="str">
        <f>IFERROR(__xludf.DUMMYFUNCTION("IFERROR(
  VLOOKUP(
    A116,
    IMPORTRANGE(
      ""1ZygntHC1J6IxzKbTidmOyf5nUyW4GCLurHCjexrLm_o"",
      ""HTMLキャッシュ!A:F""
    ),
    2,
    FALSE
  ),
  0
)
"),"NW")</f>
        <v>NW</v>
      </c>
      <c r="C116" s="1" t="str">
        <f>IFERROR(__xludf.DUMMYFUNCTION("IFERROR(
  VLOOKUP(
    A116,
    IMPORTRANGE(
      ""1ZygntHC1J6IxzKbTidmOyf5nUyW4GCLurHCjexrLm_o"",
      ""HTMLキャッシュ!A:F""
    ),
    5,
    FALSE
  ),
  0
)
"),"2022年度冬期講習会のご案内｜完全1対1個別指導・長島式読解講座Basis｜対象・日程・料金｜読解ラボ東京")</f>
        <v>2022年度冬期講習会のご案内｜完全1対1個別指導・長島式読解講座Basis｜対象・日程・料金｜読解ラボ東京</v>
      </c>
      <c r="D116" s="1" t="str">
        <f>IFERROR(__xludf.DUMMYFUNCTION("IFERROR(
  VLOOKUP(
    A116,
    IMPORTRANGE(
      ""1ZygntHC1J6IxzKbTidmOyf5nUyW4GCLurHCjexrLm_o        "",
      ""HTMLキャッシュ!A:F""
    ),
    6,
    FALSE
  ),
  0
)
"),"読解ラボ東京の2022年度冬期講習会のご案内。塾生以外の方も受講可。対象は中学受験（新小3〜小6）／大学受験（高1〜高3：完全1対1のみ）。12/23(金)〜1/6(金) 9:00〜21:20、四谷教室。料金：1対1は110分18,150円、Basisは80分7,920円（入塾金不要）。")</f>
        <v>読解ラボ東京の2022年度冬期講習会のご案内。塾生以外の方も受講可。対象は中学受験（新小3〜小6）／大学受験（高1〜高3：完全1対1のみ）。12/23(金)〜1/6(金) 9:00〜21:20、四谷教室。料金：1対1は110分18,150円、Basisは80分7,920円（入塾金不要）。</v>
      </c>
      <c r="E116" s="32">
        <f>IFERROR(__xludf.DUMMYFUNCTION("IFERROR(
  VLOOKUP(
    A116,
    IMPORTRANGE(
      ""1ZygntHC1J6IxzKbTidmOyf5nUyW4GCLurHCjexrLm_o        "",
      ""HTMLキャッシュ!A:F""
    ),
    3,
    FALSE
  ),
  0
)
"),46026.649050925924)</f>
        <v>46026.64905</v>
      </c>
      <c r="F116" s="49">
        <f>IFERROR(__xludf.DUMMYFUNCTION("IFERROR(
  VLOOKUP(
    A116,
    IMPORTRANGE(
      ""1ZHMy3vVUd_0MrSduXTe1etBb1HNpAlGwQr006ljwMiM"",
      ""GSC最新!A:F""
    ),
    2,
    FALSE
  ),
  0
)
"),0.0)</f>
        <v>0</v>
      </c>
      <c r="G116" s="49">
        <f>IFERROR(__xludf.DUMMYFUNCTION("IFERROR(
  VLOOKUP(
    A116,
    IMPORTRANGE(
      ""1ZHMy3vVUd_0MrSduXTe1etBb1HNpAlGwQr006ljwMiM"",
      ""GSC最新!A:F""
    ),
    3,
    FALSE
  ),
  0
)
"),1.0)</f>
        <v>1</v>
      </c>
      <c r="H116" s="49">
        <f>IFERROR(__xludf.DUMMYFUNCTION("IFERROR(
  VLOOKUP(
    A116,
    IMPORTRANGE(
      ""1ZHMy3vVUd_0MrSduXTe1etBb1HNpAlGwQr006ljwMiM"",
      ""GSC最新!A:F""
    ),
    4,
    FALSE
  ),
  0
)
"),0.0)</f>
        <v>0</v>
      </c>
      <c r="I116" s="49">
        <f>IFERROR(__xludf.DUMMYFUNCTION("IFERROR(
  VLOOKUP(
    A116,
    IMPORTRANGE(
      ""1ZHMy3vVUd_0MrSduXTe1etBb1HNpAlGwQr006ljwMiM"",
      ""GSC最新!A:F""
    ),
    5,
    FALSE
  ),
  0
)
"),0.0)</f>
        <v>0</v>
      </c>
      <c r="J116" s="50" t="str">
        <f t="shared" ref="J116:K116" si="571">IFERROR(F116/H116,"-")</f>
        <v>-</v>
      </c>
      <c r="K116" s="50" t="str">
        <f t="shared" si="571"/>
        <v>-</v>
      </c>
      <c r="L116" s="6">
        <f>IFERROR(__xludf.DUMMYFUNCTION("IFERROR(
  VLOOKUP(
    A116,
    IMPORTRANGE(
      ""1ZHMy3vVUd_0MrSduXTe1etBb1HNpAlGwQr006ljwMiM"",
      ""GSC最新!A:R""
    ),
    7,
    FALSE
  ),
  0
)
"),1.0)</f>
        <v>1</v>
      </c>
      <c r="M116" s="6">
        <f>IFERROR(__xludf.DUMMYFUNCTION("IFERROR(
  VLOOKUP(
    A116,
    IMPORTRANGE(
      ""1ZHMy3vVUd_0MrSduXTe1etBb1HNpAlGwQr006ljwMiM"",
      ""GSC最新!A:R""
    ),
    10,
    FALSE
  ),
  0
)
"),3.0)</f>
        <v>3</v>
      </c>
      <c r="N116" s="6">
        <f>IFERROR(__xludf.DUMMYFUNCTION("IFERROR(
  VLOOKUP(
    A116,
    IMPORTRANGE(
      ""1ZHMy3vVUd_0MrSduXTe1etBb1HNpAlGwQr006ljwMiM"",
      ""GSC最新!A:R""
    ),
    13,
    FALSE
  ),
  0
)
"),0.0)</f>
        <v>0</v>
      </c>
      <c r="O116" s="6">
        <f>IFERROR(__xludf.DUMMYFUNCTION("IFERROR(
  VLOOKUP(
    A116,
    IMPORTRANGE(
      ""1ZHMy3vVUd_0MrSduXTe1etBb1HNpAlGwQr006ljwMiM"",
      ""GSC最新!A:R""
    ),
    16,
    FALSE
  ),
  0
)
"),0.0)</f>
        <v>0</v>
      </c>
      <c r="P116" s="51" t="str">
        <f t="shared" ref="P116:Q116" si="572">IFERROR(L116/N116,"-")</f>
        <v>-</v>
      </c>
      <c r="Q116" s="51" t="str">
        <f t="shared" si="572"/>
        <v>-</v>
      </c>
      <c r="R116" s="9">
        <f>IFERROR(__xludf.DUMMYFUNCTION("IFERROR(
  VLOOKUP(
    A116,
    IMPORTRANGE(
      ""1ZHMy3vVUd_0MrSduXTe1etBb1HNpAlGwQr006ljwMiM"",
      ""GSC最新!A:R""
    ),
    8,
    FALSE
  ),
  0
)
"),0.0)</f>
        <v>0</v>
      </c>
      <c r="S116" s="9">
        <f>IFERROR(__xludf.DUMMYFUNCTION("IFERROR(
  VLOOKUP(
    A116,
    IMPORTRANGE(
      ""1ZHMy3vVUd_0MrSduXTe1etBb1HNpAlGwQr006ljwMiM"",
      ""GSC最新!A:R""
    ),
    11,
    FALSE
  ),
  0
)
"),0.3333333333333333)</f>
        <v>0.3333333333</v>
      </c>
      <c r="T116" s="9">
        <f>IFERROR(__xludf.DUMMYFUNCTION("IFERROR(
  VLOOKUP(
    A116,
    IMPORTRANGE(
      ""1ZHMy3vVUd_0MrSduXTe1etBb1HNpAlGwQr006ljwMiM"",
      ""GSC最新!A:R""
    ),
    14,
    FALSE
  ),
  0
)
"),0.0)</f>
        <v>0</v>
      </c>
      <c r="U116" s="9">
        <f>IFERROR(__xludf.DUMMYFUNCTION("IFERROR(
  VLOOKUP(
    A116,
    IMPORTRANGE(
      ""1ZHMy3vVUd_0MrSduXTe1etBb1HNpAlGwQr006ljwMiM"",
      ""GSC最新!A:R""
    ),
    17,
    FALSE
  ),
  0
)
"),0.0)</f>
        <v>0</v>
      </c>
      <c r="V116" s="9">
        <f t="shared" ref="V116:W116" si="573">IFERROR(R116-T116,"-")</f>
        <v>0</v>
      </c>
      <c r="W116" s="9">
        <f t="shared" si="573"/>
        <v>0.3333333333</v>
      </c>
      <c r="X116" s="65">
        <f>IFERROR(__xludf.DUMMYFUNCTION("IFERROR(
  VLOOKUP(
    A116,
    IMPORTRANGE(
      ""1ZHMy3vVUd_0MrSduXTe1etBb1HNpAlGwQr006ljwMiM"",
      ""GSC最新!A:R""
    ),
    9,
    FALSE
  ),
  0
)
"),11.0)</f>
        <v>11</v>
      </c>
      <c r="Y116" s="65">
        <f>IFERROR(__xludf.DUMMYFUNCTION("IFERROR(
  VLOOKUP(
    A116,
    IMPORTRANGE(
      ""1ZHMy3vVUd_0MrSduXTe1etBb1HNpAlGwQr006ljwMiM"",
      ""GSC最新!A:R""
    ),
    12,
    FALSE
  ),
  0
)
"),5.0)</f>
        <v>5</v>
      </c>
      <c r="Z116" s="65" t="str">
        <f>IFERROR(__xludf.DUMMYFUNCTION("IFERROR(
  VLOOKUP(
    A116,
    IMPORTRANGE(
      ""1ZHMy3vVUd_0MrSduXTe1etBb1HNpAlGwQr006ljwMiM"",
      ""GSC最新!A:R""
    ),
    15,
    FALSE
  ),
  0
)
"),"")</f>
        <v/>
      </c>
      <c r="AA116" s="65" t="str">
        <f>IFERROR(__xludf.DUMMYFUNCTION("IFERROR(
  VLOOKUP(
    A116,
    IMPORTRANGE(
      ""1ZHMy3vVUd_0MrSduXTe1etBb1HNpAlGwQr006ljwMiM"",
      ""GSC最新!A:R""
    ),
    18,
    FALSE
  ),
  0
)
"),"")</f>
        <v/>
      </c>
      <c r="AB116" s="65">
        <f t="shared" ref="AB116:AC116" si="574">X116-Z116</f>
        <v>11</v>
      </c>
      <c r="AC116" s="65">
        <f t="shared" si="574"/>
        <v>5</v>
      </c>
      <c r="AD116" s="53">
        <f>IFERROR(__xludf.DUMMYFUNCTION("IFERROR(
  VLOOKUP(
    A116,
    IMPORTRANGE(
      ""1ZHMy3vVUd_0MrSduXTe1etBb1HNpAlGwQr006ljwMiM"",
      ""GSC最新!A:F""
    ),
    6,
    FALSE
  ),
  0
)
"),46081.0)</f>
        <v>46081</v>
      </c>
      <c r="AE116" s="54">
        <f>IFERROR(__xludf.DUMMYFUNCTION("IFERROR(
  VLOOKUP(
    A116,
    IMPORTRANGE(
      ""1SCYQd7_cobOYqT0r_F0IqD4tE4rYn5y8Eup4PJTH8es"",
      ""Snapshot!A:M""
    ),
    5,
    FALSE
  ),
  ""-""
)
"),0.0)</f>
        <v>0</v>
      </c>
      <c r="AF116" s="54">
        <f>IFERROR(__xludf.DUMMYFUNCTION("IFERROR(
  VLOOKUP(
    A116,
    IMPORTRANGE(
      ""1SCYQd7_cobOYqT0r_F0IqD4tE4rYn5y8Eup4PJTH8es"",
      ""Snapshot!A:M""
    ),
    6,
    FALSE
  ),
  0
)
"),0.0)</f>
        <v>0</v>
      </c>
      <c r="AG116" s="54">
        <f>IFERROR(__xludf.DUMMYFUNCTION("IFERROR(
  VLOOKUP(
    A116,
    IMPORTRANGE(
      ""1SCYQd7_cobOYqT0r_F0IqD4tE4rYn5y8Eup4PJTH8es"",
      ""Snapshot!A:M""
    ),
    7,
    FALSE
  ),
  0
)
"),586.0)</f>
        <v>586</v>
      </c>
      <c r="AH116" s="54">
        <f>IFERROR(__xludf.DUMMYFUNCTION("IFERROR(
  VLOOKUP(
    A116,
    IMPORTRANGE(
      ""1SCYQd7_cobOYqT0r_F0IqD4tE4rYn5y8Eup4PJTH8es"",
      ""Snapshot!A:M""
    ),
    8,
    FALSE
  ),
  0
)
"),3.0)</f>
        <v>3</v>
      </c>
      <c r="AI116" s="54">
        <f>IFERROR(__xludf.DUMMYFUNCTION("IFERROR(
  VLOOKUP(
    A116,
    IMPORTRANGE(
      ""1SCYQd7_cobOYqT0r_F0IqD4tE4rYn5y8Eup4PJTH8es"",
      ""Snapshot!A:M""
    ),
    9,
    FALSE
  ),
  0
)
"),1.0)</f>
        <v>1</v>
      </c>
      <c r="AJ116" s="54">
        <f>IFERROR(__xludf.DUMMYFUNCTION("IFERROR(
  VLOOKUP(
    A116,
    IMPORTRANGE(
      ""1SCYQd7_cobOYqT0r_F0IqD4tE4rYn5y8Eup4PJTH8es"",
      ""Snapshot!A:M""
    ),
    13,
    FALSE
  ),
  0
)
"),3.0)</f>
        <v>3</v>
      </c>
      <c r="AK116" s="49">
        <f t="shared" ref="AK116:AL116" si="575">LEN(C116)</f>
        <v>54</v>
      </c>
      <c r="AL116" s="49">
        <f t="shared" si="575"/>
        <v>144</v>
      </c>
    </row>
    <row r="117">
      <c r="A117" s="1" t="s">
        <v>615</v>
      </c>
      <c r="B117" s="1" t="str">
        <f>IFERROR(__xludf.DUMMYFUNCTION("IFERROR(
  VLOOKUP(
    A117,
    IMPORTRANGE(
      ""1ZygntHC1J6IxzKbTidmOyf5nUyW4GCLurHCjexrLm_o"",
      ""HTMLキャッシュ!A:F""
    ),
    2,
    FALSE
  ),
  0
)
"),"NW")</f>
        <v>NW</v>
      </c>
      <c r="C117" s="1" t="str">
        <f>IFERROR(__xludf.DUMMYFUNCTION("IFERROR(
  VLOOKUP(
    A117,
    IMPORTRANGE(
      ""1ZygntHC1J6IxzKbTidmOyf5nUyW4GCLurHCjexrLm_o"",
      ""HTMLキャッシュ!A:F""
    ),
    5,
    FALSE
  ),
  0
)
"),"2024年度冬期講習開講のお知らせ - 受験国語専門 読解ラボ東京 | 中学受験・大学受験対応の個別指導国語専門塾（オンライン・教室対応）")</f>
        <v>2024年度冬期講習開講のお知らせ - 受験国語専門 読解ラボ東京 | 中学受験・大学受験対応の個別指導国語専門塾（オンライン・教室対応）</v>
      </c>
      <c r="D117" s="1" t="str">
        <f>IFERROR(__xludf.DUMMYFUNCTION("IFERROR(
  VLOOKUP(
    A117,
    IMPORTRANGE(
      ""1ZygntHC1J6IxzKbTidmOyf5nUyW4GCLurHCjexrLm_o        "",
      ""HTMLキャッシュ!A:F""
    ),
    6,
    FALSE
  ),
  0
)
"),"読解ラボ東京では、2024年度冬期講習会を開催します！ 塾生の皆さんはもちろん、他塾に通っている生徒さんも大歓")</f>
        <v>読解ラボ東京では、2024年度冬期講習会を開催します！ 塾生の皆さんはもちろん、他塾に通っている生徒さんも大歓</v>
      </c>
      <c r="E117" s="32">
        <f>IFERROR(__xludf.DUMMYFUNCTION("IFERROR(
  VLOOKUP(
    A117,
    IMPORTRANGE(
      ""1ZygntHC1J6IxzKbTidmOyf5nUyW4GCLurHCjexrLm_o        "",
      ""HTMLキャッシュ!A:F""
    ),
    3,
    FALSE
  ),
  0
)
"),45643.38291666667)</f>
        <v>45643.38292</v>
      </c>
      <c r="F117" s="49">
        <f>IFERROR(__xludf.DUMMYFUNCTION("IFERROR(
  VLOOKUP(
    A117,
    IMPORTRANGE(
      ""1ZHMy3vVUd_0MrSduXTe1etBb1HNpAlGwQr006ljwMiM"",
      ""GSC最新!A:F""
    ),
    2,
    FALSE
  ),
  0
)
"),0.0)</f>
        <v>0</v>
      </c>
      <c r="G117" s="49">
        <f>IFERROR(__xludf.DUMMYFUNCTION("IFERROR(
  VLOOKUP(
    A117,
    IMPORTRANGE(
      ""1ZHMy3vVUd_0MrSduXTe1etBb1HNpAlGwQr006ljwMiM"",
      ""GSC最新!A:F""
    ),
    3,
    FALSE
  ),
  0
)
"),1.0)</f>
        <v>1</v>
      </c>
      <c r="H117" s="49">
        <f>IFERROR(__xludf.DUMMYFUNCTION("IFERROR(
  VLOOKUP(
    A117,
    IMPORTRANGE(
      ""1ZHMy3vVUd_0MrSduXTe1etBb1HNpAlGwQr006ljwMiM"",
      ""GSC最新!A:F""
    ),
    4,
    FALSE
  ),
  0
)
"),0.0)</f>
        <v>0</v>
      </c>
      <c r="I117" s="49">
        <f>IFERROR(__xludf.DUMMYFUNCTION("IFERROR(
  VLOOKUP(
    A117,
    IMPORTRANGE(
      ""1ZHMy3vVUd_0MrSduXTe1etBb1HNpAlGwQr006ljwMiM"",
      ""GSC最新!A:F""
    ),
    5,
    FALSE
  ),
  0
)
"),0.0)</f>
        <v>0</v>
      </c>
      <c r="J117" s="50" t="str">
        <f t="shared" ref="J117:K117" si="576">IFERROR(F117/H117,"-")</f>
        <v>-</v>
      </c>
      <c r="K117" s="50" t="str">
        <f t="shared" si="576"/>
        <v>-</v>
      </c>
      <c r="L117" s="6">
        <f>IFERROR(__xludf.DUMMYFUNCTION("IFERROR(
  VLOOKUP(
    A117,
    IMPORTRANGE(
      ""1ZHMy3vVUd_0MrSduXTe1etBb1HNpAlGwQr006ljwMiM"",
      ""GSC最新!A:R""
    ),
    7,
    FALSE
  ),
  0
)
"),0.0)</f>
        <v>0</v>
      </c>
      <c r="M117" s="6">
        <f>IFERROR(__xludf.DUMMYFUNCTION("IFERROR(
  VLOOKUP(
    A117,
    IMPORTRANGE(
      ""1ZHMy3vVUd_0MrSduXTe1etBb1HNpAlGwQr006ljwMiM"",
      ""GSC最新!A:R""
    ),
    10,
    FALSE
  ),
  0
)
"),5.0)</f>
        <v>5</v>
      </c>
      <c r="N117" s="6">
        <f>IFERROR(__xludf.DUMMYFUNCTION("IFERROR(
  VLOOKUP(
    A117,
    IMPORTRANGE(
      ""1ZHMy3vVUd_0MrSduXTe1etBb1HNpAlGwQr006ljwMiM"",
      ""GSC最新!A:R""
    ),
    13,
    FALSE
  ),
  0
)
"),0.0)</f>
        <v>0</v>
      </c>
      <c r="O117" s="6">
        <f>IFERROR(__xludf.DUMMYFUNCTION("IFERROR(
  VLOOKUP(
    A117,
    IMPORTRANGE(
      ""1ZHMy3vVUd_0MrSduXTe1etBb1HNpAlGwQr006ljwMiM"",
      ""GSC最新!A:R""
    ),
    16,
    FALSE
  ),
  0
)
"),0.0)</f>
        <v>0</v>
      </c>
      <c r="P117" s="51" t="str">
        <f t="shared" ref="P117:Q117" si="577">IFERROR(L117/N117,"-")</f>
        <v>-</v>
      </c>
      <c r="Q117" s="51" t="str">
        <f t="shared" si="577"/>
        <v>-</v>
      </c>
      <c r="R117" s="9">
        <f>IFERROR(__xludf.DUMMYFUNCTION("IFERROR(
  VLOOKUP(
    A117,
    IMPORTRANGE(
      ""1ZHMy3vVUd_0MrSduXTe1etBb1HNpAlGwQr006ljwMiM"",
      ""GSC最新!A:R""
    ),
    8,
    FALSE
  ),
  0
)
"),0.0)</f>
        <v>0</v>
      </c>
      <c r="S117" s="9">
        <f>IFERROR(__xludf.DUMMYFUNCTION("IFERROR(
  VLOOKUP(
    A117,
    IMPORTRANGE(
      ""1ZHMy3vVUd_0MrSduXTe1etBb1HNpAlGwQr006ljwMiM"",
      ""GSC最新!A:R""
    ),
    11,
    FALSE
  ),
  0
)
"),0.2)</f>
        <v>0.2</v>
      </c>
      <c r="T117" s="9">
        <f>IFERROR(__xludf.DUMMYFUNCTION("IFERROR(
  VLOOKUP(
    A117,
    IMPORTRANGE(
      ""1ZHMy3vVUd_0MrSduXTe1etBb1HNpAlGwQr006ljwMiM"",
      ""GSC最新!A:R""
    ),
    14,
    FALSE
  ),
  0
)
"),0.0)</f>
        <v>0</v>
      </c>
      <c r="U117" s="9">
        <f>IFERROR(__xludf.DUMMYFUNCTION("IFERROR(
  VLOOKUP(
    A117,
    IMPORTRANGE(
      ""1ZHMy3vVUd_0MrSduXTe1etBb1HNpAlGwQr006ljwMiM"",
      ""GSC最新!A:R""
    ),
    17,
    FALSE
  ),
  0
)
"),0.0)</f>
        <v>0</v>
      </c>
      <c r="V117" s="9">
        <f t="shared" ref="V117:W117" si="578">IFERROR(R117-T117,"-")</f>
        <v>0</v>
      </c>
      <c r="W117" s="9">
        <f t="shared" si="578"/>
        <v>0.2</v>
      </c>
      <c r="X117" s="65" t="str">
        <f>IFERROR(__xludf.DUMMYFUNCTION("IFERROR(
  VLOOKUP(
    A117,
    IMPORTRANGE(
      ""1ZHMy3vVUd_0MrSduXTe1etBb1HNpAlGwQr006ljwMiM"",
      ""GSC最新!A:R""
    ),
    9,
    FALSE
  ),
  0
)
"),"")</f>
        <v/>
      </c>
      <c r="Y117" s="65">
        <f>IFERROR(__xludf.DUMMYFUNCTION("IFERROR(
  VLOOKUP(
    A117,
    IMPORTRANGE(
      ""1ZHMy3vVUd_0MrSduXTe1etBb1HNpAlGwQr006ljwMiM"",
      ""GSC最新!A:R""
    ),
    12,
    FALSE
  ),
  0
)
"),20.2)</f>
        <v>20.2</v>
      </c>
      <c r="Z117" s="65" t="str">
        <f>IFERROR(__xludf.DUMMYFUNCTION("IFERROR(
  VLOOKUP(
    A117,
    IMPORTRANGE(
      ""1ZHMy3vVUd_0MrSduXTe1etBb1HNpAlGwQr006ljwMiM"",
      ""GSC最新!A:R""
    ),
    15,
    FALSE
  ),
  0
)
"),"")</f>
        <v/>
      </c>
      <c r="AA117" s="65" t="str">
        <f>IFERROR(__xludf.DUMMYFUNCTION("IFERROR(
  VLOOKUP(
    A117,
    IMPORTRANGE(
      ""1ZHMy3vVUd_0MrSduXTe1etBb1HNpAlGwQr006ljwMiM"",
      ""GSC最新!A:R""
    ),
    18,
    FALSE
  ),
  0
)
"),"")</f>
        <v/>
      </c>
      <c r="AB117" s="65">
        <f t="shared" ref="AB117:AC117" si="579">X117-Z117</f>
        <v>0</v>
      </c>
      <c r="AC117" s="65">
        <f t="shared" si="579"/>
        <v>20.2</v>
      </c>
      <c r="AD117" s="53">
        <f>IFERROR(__xludf.DUMMYFUNCTION("IFERROR(
  VLOOKUP(
    A117,
    IMPORTRANGE(
      ""1ZHMy3vVUd_0MrSduXTe1etBb1HNpAlGwQr006ljwMiM"",
      ""GSC最新!A:F""
    ),
    6,
    FALSE
  ),
  0
)
"),46081.0)</f>
        <v>46081</v>
      </c>
      <c r="AE117" s="54">
        <f>IFERROR(__xludf.DUMMYFUNCTION("IFERROR(
  VLOOKUP(
    A117,
    IMPORTRANGE(
      ""1SCYQd7_cobOYqT0r_F0IqD4tE4rYn5y8Eup4PJTH8es"",
      ""Snapshot!A:M""
    ),
    5,
    FALSE
  ),
  ""-""
)
"),0.0)</f>
        <v>0</v>
      </c>
      <c r="AF117" s="54">
        <f>IFERROR(__xludf.DUMMYFUNCTION("IFERROR(
  VLOOKUP(
    A117,
    IMPORTRANGE(
      ""1SCYQd7_cobOYqT0r_F0IqD4tE4rYn5y8Eup4PJTH8es"",
      ""Snapshot!A:M""
    ),
    6,
    FALSE
  ),
  0
)
"),0.0)</f>
        <v>0</v>
      </c>
      <c r="AG117" s="54">
        <f>IFERROR(__xludf.DUMMYFUNCTION("IFERROR(
  VLOOKUP(
    A117,
    IMPORTRANGE(
      ""1SCYQd7_cobOYqT0r_F0IqD4tE4rYn5y8Eup4PJTH8es"",
      ""Snapshot!A:M""
    ),
    7,
    FALSE
  ),
  0
)
"),603.0)</f>
        <v>603</v>
      </c>
      <c r="AH117" s="54">
        <f>IFERROR(__xludf.DUMMYFUNCTION("IFERROR(
  VLOOKUP(
    A117,
    IMPORTRANGE(
      ""1SCYQd7_cobOYqT0r_F0IqD4tE4rYn5y8Eup4PJTH8es"",
      ""Snapshot!A:M""
    ),
    8,
    FALSE
  ),
  0
)
"),3.0)</f>
        <v>3</v>
      </c>
      <c r="AI117" s="54">
        <f>IFERROR(__xludf.DUMMYFUNCTION("IFERROR(
  VLOOKUP(
    A117,
    IMPORTRANGE(
      ""1SCYQd7_cobOYqT0r_F0IqD4tE4rYn5y8Eup4PJTH8es"",
      ""Snapshot!A:M""
    ),
    9,
    FALSE
  ),
  0
)
"),1.0)</f>
        <v>1</v>
      </c>
      <c r="AJ117" s="54">
        <f>IFERROR(__xludf.DUMMYFUNCTION("IFERROR(
  VLOOKUP(
    A117,
    IMPORTRANGE(
      ""1SCYQd7_cobOYqT0r_F0IqD4tE4rYn5y8Eup4PJTH8es"",
      ""Snapshot!A:M""
    ),
    13,
    FALSE
  ),
  0
)
"),3.0)</f>
        <v>3</v>
      </c>
      <c r="AK117" s="49">
        <f t="shared" ref="AK117:AL117" si="580">LEN(C117)</f>
        <v>69</v>
      </c>
      <c r="AL117" s="49">
        <f t="shared" si="580"/>
        <v>55</v>
      </c>
    </row>
    <row r="118">
      <c r="A118" s="3" t="s">
        <v>117</v>
      </c>
      <c r="B118" s="1" t="str">
        <f>IFERROR(__xludf.DUMMYFUNCTION("IFERROR(
  VLOOKUP(
    A118,
    IMPORTRANGE(
      ""1ZygntHC1J6IxzKbTidmOyf5nUyW4GCLurHCjexrLm_o"",
      ""HTMLキャッシュ!A:F""
    ),
    2,
    FALSE
  ),
  0
)
"),"-")</f>
        <v>-</v>
      </c>
      <c r="C118" s="1" t="str">
        <f>IFERROR(__xludf.DUMMYFUNCTION("IFERROR(
  VLOOKUP(
    A118,
    IMPORTRANGE(
      ""1ZygntHC1J6IxzKbTidmOyf5nUyW4GCLurHCjexrLm_o"",
      ""HTMLキャッシュ!A:F""
    ),
    5,
    FALSE
  ),
  0
)
"),"講義 - 受験国語専門 読解ラボ東京 | 中学受験・大学受験対応の個別指導国語専門塾（オンライン・教室対応）")</f>
        <v>講義 - 受験国語専門 読解ラボ東京 | 中学受験・大学受験対応の個別指導国語専門塾（オンライン・教室対応）</v>
      </c>
      <c r="D118" s="1" t="str">
        <f>IFERROR(__xludf.DUMMYFUNCTION("IFERROR(
  VLOOKUP(
    A118,
    IMPORTRANGE(
      ""1ZygntHC1J6IxzKbTidmOyf5nUyW4GCLurHCjexrLm_o        "",
      ""HTMLキャッシュ!A:F""
    ),
    6,
    FALSE
  ),
  0
)
"),"講義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講義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18" s="32">
        <f>IFERROR(__xludf.DUMMYFUNCTION("IFERROR(
  VLOOKUP(
    A118,
    IMPORTRANGE(
      ""1ZygntHC1J6IxzKbTidmOyf5nUyW4GCLurHCjexrLm_o        "",
      ""HTMLキャッシュ!A:F""
    ),
    3,
    FALSE
  ),
  0
)
"),25569.375)</f>
        <v>25569.375</v>
      </c>
      <c r="F118" s="49">
        <f>IFERROR(__xludf.DUMMYFUNCTION("IFERROR(
  VLOOKUP(
    A118,
    IMPORTRANGE(
      ""1ZHMy3vVUd_0MrSduXTe1etBb1HNpAlGwQr006ljwMiM"",
      ""GSC最新!A:F""
    ),
    2,
    FALSE
  ),
  0
)
"),1.0)</f>
        <v>1</v>
      </c>
      <c r="G118" s="49">
        <f>IFERROR(__xludf.DUMMYFUNCTION("IFERROR(
  VLOOKUP(
    A118,
    IMPORTRANGE(
      ""1ZHMy3vVUd_0MrSduXTe1etBb1HNpAlGwQr006ljwMiM"",
      ""GSC最新!A:F""
    ),
    3,
    FALSE
  ),
  0
)
"),1.0)</f>
        <v>1</v>
      </c>
      <c r="H118" s="49">
        <f>IFERROR(__xludf.DUMMYFUNCTION("IFERROR(
  VLOOKUP(
    A118,
    IMPORTRANGE(
      ""1ZHMy3vVUd_0MrSduXTe1etBb1HNpAlGwQr006ljwMiM"",
      ""GSC最新!A:F""
    ),
    4,
    FALSE
  ),
  0
)
"),0.0)</f>
        <v>0</v>
      </c>
      <c r="I118" s="49">
        <f>IFERROR(__xludf.DUMMYFUNCTION("IFERROR(
  VLOOKUP(
    A118,
    IMPORTRANGE(
      ""1ZHMy3vVUd_0MrSduXTe1etBb1HNpAlGwQr006ljwMiM"",
      ""GSC最新!A:F""
    ),
    5,
    FALSE
  ),
  0
)
"),0.0)</f>
        <v>0</v>
      </c>
      <c r="J118" s="50" t="str">
        <f t="shared" ref="J118:K118" si="581">IFERROR(F118/H118,"-")</f>
        <v>-</v>
      </c>
      <c r="K118" s="50" t="str">
        <f t="shared" si="581"/>
        <v>-</v>
      </c>
      <c r="L118" s="6">
        <f>IFERROR(__xludf.DUMMYFUNCTION("IFERROR(
  VLOOKUP(
    A118,
    IMPORTRANGE(
      ""1ZHMy3vVUd_0MrSduXTe1etBb1HNpAlGwQr006ljwMiM"",
      ""GSC最新!A:R""
    ),
    7,
    FALSE
  ),
  0
)
"),4.0)</f>
        <v>4</v>
      </c>
      <c r="M118" s="6">
        <f>IFERROR(__xludf.DUMMYFUNCTION("IFERROR(
  VLOOKUP(
    A118,
    IMPORTRANGE(
      ""1ZHMy3vVUd_0MrSduXTe1etBb1HNpAlGwQr006ljwMiM"",
      ""GSC最新!A:R""
    ),
    10,
    FALSE
  ),
  0
)
"),10.0)</f>
        <v>10</v>
      </c>
      <c r="N118" s="6">
        <f>IFERROR(__xludf.DUMMYFUNCTION("IFERROR(
  VLOOKUP(
    A118,
    IMPORTRANGE(
      ""1ZHMy3vVUd_0MrSduXTe1etBb1HNpAlGwQr006ljwMiM"",
      ""GSC最新!A:R""
    ),
    13,
    FALSE
  ),
  0
)
"),0.0)</f>
        <v>0</v>
      </c>
      <c r="O118" s="6">
        <f>IFERROR(__xludf.DUMMYFUNCTION("IFERROR(
  VLOOKUP(
    A118,
    IMPORTRANGE(
      ""1ZHMy3vVUd_0MrSduXTe1etBb1HNpAlGwQr006ljwMiM"",
      ""GSC最新!A:R""
    ),
    16,
    FALSE
  ),
  0
)
"),0.0)</f>
        <v>0</v>
      </c>
      <c r="P118" s="51" t="str">
        <f t="shared" ref="P118:Q118" si="582">IFERROR(L118/N118,"-")</f>
        <v>-</v>
      </c>
      <c r="Q118" s="51" t="str">
        <f t="shared" si="582"/>
        <v>-</v>
      </c>
      <c r="R118" s="9">
        <f>IFERROR(__xludf.DUMMYFUNCTION("IFERROR(
  VLOOKUP(
    A118,
    IMPORTRANGE(
      ""1ZHMy3vVUd_0MrSduXTe1etBb1HNpAlGwQr006ljwMiM"",
      ""GSC最新!A:R""
    ),
    8,
    FALSE
  ),
  0
)
"),0.25)</f>
        <v>0.25</v>
      </c>
      <c r="S118" s="9">
        <f>IFERROR(__xludf.DUMMYFUNCTION("IFERROR(
  VLOOKUP(
    A118,
    IMPORTRANGE(
      ""1ZHMy3vVUd_0MrSduXTe1etBb1HNpAlGwQr006ljwMiM"",
      ""GSC最新!A:R""
    ),
    11,
    FALSE
  ),
  0
)
"),0.1)</f>
        <v>0.1</v>
      </c>
      <c r="T118" s="9">
        <f>IFERROR(__xludf.DUMMYFUNCTION("IFERROR(
  VLOOKUP(
    A118,
    IMPORTRANGE(
      ""1ZHMy3vVUd_0MrSduXTe1etBb1HNpAlGwQr006ljwMiM"",
      ""GSC最新!A:R""
    ),
    14,
    FALSE
  ),
  0
)
"),0.0)</f>
        <v>0</v>
      </c>
      <c r="U118" s="9">
        <f>IFERROR(__xludf.DUMMYFUNCTION("IFERROR(
  VLOOKUP(
    A118,
    IMPORTRANGE(
      ""1ZHMy3vVUd_0MrSduXTe1etBb1HNpAlGwQr006ljwMiM"",
      ""GSC最新!A:R""
    ),
    17,
    FALSE
  ),
  0
)
"),0.0)</f>
        <v>0</v>
      </c>
      <c r="V118" s="9">
        <f t="shared" ref="V118:W118" si="583">IFERROR(R118-T118,"-")</f>
        <v>0.25</v>
      </c>
      <c r="W118" s="9">
        <f t="shared" si="583"/>
        <v>0.1</v>
      </c>
      <c r="X118" s="65">
        <f>IFERROR(__xludf.DUMMYFUNCTION("IFERROR(
  VLOOKUP(
    A118,
    IMPORTRANGE(
      ""1ZHMy3vVUd_0MrSduXTe1etBb1HNpAlGwQr006ljwMiM"",
      ""GSC最新!A:R""
    ),
    9,
    FALSE
  ),
  0
)
"),14.5)</f>
        <v>14.5</v>
      </c>
      <c r="Y118" s="65">
        <f>IFERROR(__xludf.DUMMYFUNCTION("IFERROR(
  VLOOKUP(
    A118,
    IMPORTRANGE(
      ""1ZHMy3vVUd_0MrSduXTe1etBb1HNpAlGwQr006ljwMiM"",
      ""GSC最新!A:R""
    ),
    12,
    FALSE
  ),
  0
)
"),8.9)</f>
        <v>8.9</v>
      </c>
      <c r="Z118" s="65" t="str">
        <f>IFERROR(__xludf.DUMMYFUNCTION("IFERROR(
  VLOOKUP(
    A118,
    IMPORTRANGE(
      ""1ZHMy3vVUd_0MrSduXTe1etBb1HNpAlGwQr006ljwMiM"",
      ""GSC最新!A:R""
    ),
    15,
    FALSE
  ),
  0
)
"),"")</f>
        <v/>
      </c>
      <c r="AA118" s="65" t="str">
        <f>IFERROR(__xludf.DUMMYFUNCTION("IFERROR(
  VLOOKUP(
    A118,
    IMPORTRANGE(
      ""1ZHMy3vVUd_0MrSduXTe1etBb1HNpAlGwQr006ljwMiM"",
      ""GSC最新!A:R""
    ),
    18,
    FALSE
  ),
  0
)
"),"")</f>
        <v/>
      </c>
      <c r="AB118" s="65">
        <f t="shared" ref="AB118:AC118" si="584">X118-Z118</f>
        <v>14.5</v>
      </c>
      <c r="AC118" s="65">
        <f t="shared" si="584"/>
        <v>8.9</v>
      </c>
      <c r="AD118" s="53">
        <f>IFERROR(__xludf.DUMMYFUNCTION("IFERROR(
  VLOOKUP(
    A118,
    IMPORTRANGE(
      ""1ZHMy3vVUd_0MrSduXTe1etBb1HNpAlGwQr006ljwMiM"",
      ""GSC最新!A:F""
    ),
    6,
    FALSE
  ),
  0
)
"),46081.0)</f>
        <v>46081</v>
      </c>
      <c r="AE118" s="54">
        <f>IFERROR(__xludf.DUMMYFUNCTION("IFERROR(
  VLOOKUP(
    A118,
    IMPORTRANGE(
      ""1SCYQd7_cobOYqT0r_F0IqD4tE4rYn5y8Eup4PJTH8es"",
      ""Snapshot!A:M""
    ),
    5,
    FALSE
  ),
  ""-""
)
"),0.0)</f>
        <v>0</v>
      </c>
      <c r="AF118" s="54">
        <f>IFERROR(__xludf.DUMMYFUNCTION("IFERROR(
  VLOOKUP(
    A118,
    IMPORTRANGE(
      ""1SCYQd7_cobOYqT0r_F0IqD4tE4rYn5y8Eup4PJTH8es"",
      ""Snapshot!A:M""
    ),
    6,
    FALSE
  ),
  0
)
"),0.0)</f>
        <v>0</v>
      </c>
      <c r="AG118" s="54">
        <f>IFERROR(__xludf.DUMMYFUNCTION("IFERROR(
  VLOOKUP(
    A118,
    IMPORTRANGE(
      ""1SCYQd7_cobOYqT0r_F0IqD4tE4rYn5y8Eup4PJTH8es"",
      ""Snapshot!A:M""
    ),
    7,
    FALSE
  ),
  0
)
"),0.0)</f>
        <v>0</v>
      </c>
      <c r="AH118" s="54">
        <f>IFERROR(__xludf.DUMMYFUNCTION("IFERROR(
  VLOOKUP(
    A118,
    IMPORTRANGE(
      ""1SCYQd7_cobOYqT0r_F0IqD4tE4rYn5y8Eup4PJTH8es"",
      ""Snapshot!A:M""
    ),
    8,
    FALSE
  ),
  0
)
"),0.0)</f>
        <v>0</v>
      </c>
      <c r="AI118" s="54">
        <f>IFERROR(__xludf.DUMMYFUNCTION("IFERROR(
  VLOOKUP(
    A118,
    IMPORTRANGE(
      ""1SCYQd7_cobOYqT0r_F0IqD4tE4rYn5y8Eup4PJTH8es"",
      ""Snapshot!A:M""
    ),
    9,
    FALSE
  ),
  0
)
"),0.0)</f>
        <v>0</v>
      </c>
      <c r="AJ118" s="54">
        <f>IFERROR(__xludf.DUMMYFUNCTION("IFERROR(
  VLOOKUP(
    A118,
    IMPORTRANGE(
      ""1SCYQd7_cobOYqT0r_F0IqD4tE4rYn5y8Eup4PJTH8es"",
      ""Snapshot!A:M""
    ),
    13,
    FALSE
  ),
  0
)
"),2.0)</f>
        <v>2</v>
      </c>
      <c r="AK118" s="49">
        <f t="shared" ref="AK118:AL118" si="585">LEN(C118)</f>
        <v>54</v>
      </c>
      <c r="AL118" s="49">
        <f t="shared" si="585"/>
        <v>132</v>
      </c>
    </row>
    <row r="119">
      <c r="A119" s="3" t="s">
        <v>338</v>
      </c>
      <c r="B119" s="1" t="str">
        <f>IFERROR(__xludf.DUMMYFUNCTION("IFERROR(
  VLOOKUP(
    A119,
    IMPORTRANGE(
      ""1ZygntHC1J6IxzKbTidmOyf5nUyW4GCLurHCjexrLm_o"",
      ""HTMLキャッシュ!A:F""
    ),
    2,
    FALSE
  ),
  0
)
"),"SP")</f>
        <v>SP</v>
      </c>
      <c r="C119" s="1" t="str">
        <f>IFERROR(__xludf.DUMMYFUNCTION("IFERROR(
  VLOOKUP(
    A119,
    IMPORTRANGE(
      ""1ZygntHC1J6IxzKbTidmOyf5nUyW4GCLurHCjexrLm_o"",
      ""HTMLキャッシュ!A:F""
    ),
    5,
    FALSE
  ),
  0
)
"),"小5英語国語夏期体験個別指導講座｜記述と根拠強化オンライン塾")</f>
        <v>小5英語国語夏期体験個別指導講座｜記述と根拠強化オンライン塾</v>
      </c>
      <c r="D119" s="1" t="str">
        <f>IFERROR(__xludf.DUMMYFUNCTION("IFERROR(
  VLOOKUP(
    A119,
    IMPORTRANGE(
      ""1ZygntHC1J6IxzKbTidmOyf5nUyW4GCLurHCjexrLm_o        "",
      ""HTMLキャッシュ!A:F""
    ),
    6,
    FALSE
  ),
  0
)
"),"夏休みの小5向けに根拠発見と記述整理力を伸ばす個別指導。教室・オンライン両対応で体験受付中、成果を感じる学習へ導く")</f>
        <v>夏休みの小5向けに根拠発見と記述整理力を伸ばす個別指導。教室・オンライン両対応で体験受付中、成果を感じる学習へ導く</v>
      </c>
      <c r="E119" s="32">
        <f>IFERROR(__xludf.DUMMYFUNCTION("IFERROR(
  VLOOKUP(
    A119,
    IMPORTRANGE(
      ""1ZygntHC1J6IxzKbTidmOyf5nUyW4GCLurHCjexrLm_o        "",
      ""HTMLキャッシュ!A:F""
    ),
    3,
    FALSE
  ),
  0
)
"),46076.86078703704)</f>
        <v>46076.86079</v>
      </c>
      <c r="F119" s="49">
        <f>IFERROR(__xludf.DUMMYFUNCTION("IFERROR(
  VLOOKUP(
    A119,
    IMPORTRANGE(
      ""1ZHMy3vVUd_0MrSduXTe1etBb1HNpAlGwQr006ljwMiM"",
      ""GSC最新!A:F""
    ),
    2,
    FALSE
  ),
  0
)
"),1.0)</f>
        <v>1</v>
      </c>
      <c r="G119" s="49">
        <f>IFERROR(__xludf.DUMMYFUNCTION("IFERROR(
  VLOOKUP(
    A119,
    IMPORTRANGE(
      ""1ZHMy3vVUd_0MrSduXTe1etBb1HNpAlGwQr006ljwMiM"",
      ""GSC最新!A:F""
    ),
    3,
    FALSE
  ),
  0
)
"),1.0)</f>
        <v>1</v>
      </c>
      <c r="H119" s="49">
        <f>IFERROR(__xludf.DUMMYFUNCTION("IFERROR(
  VLOOKUP(
    A119,
    IMPORTRANGE(
      ""1ZHMy3vVUd_0MrSduXTe1etBb1HNpAlGwQr006ljwMiM"",
      ""GSC最新!A:F""
    ),
    4,
    FALSE
  ),
  0
)
"),0.0)</f>
        <v>0</v>
      </c>
      <c r="I119" s="49">
        <f>IFERROR(__xludf.DUMMYFUNCTION("IFERROR(
  VLOOKUP(
    A119,
    IMPORTRANGE(
      ""1ZHMy3vVUd_0MrSduXTe1etBb1HNpAlGwQr006ljwMiM"",
      ""GSC最新!A:F""
    ),
    5,
    FALSE
  ),
  0
)
"),1.0)</f>
        <v>1</v>
      </c>
      <c r="J119" s="50" t="str">
        <f t="shared" ref="J119:K119" si="586">IFERROR(F119/H119,"-")</f>
        <v>-</v>
      </c>
      <c r="K119" s="50">
        <f t="shared" si="586"/>
        <v>1</v>
      </c>
      <c r="L119" s="6">
        <f>IFERROR(__xludf.DUMMYFUNCTION("IFERROR(
  VLOOKUP(
    A119,
    IMPORTRANGE(
      ""1ZHMy3vVUd_0MrSduXTe1etBb1HNpAlGwQr006ljwMiM"",
      ""GSC最新!A:R""
    ),
    7,
    FALSE
  ),
  0
)
"),2.0)</f>
        <v>2</v>
      </c>
      <c r="M119" s="6">
        <f>IFERROR(__xludf.DUMMYFUNCTION("IFERROR(
  VLOOKUP(
    A119,
    IMPORTRANGE(
      ""1ZHMy3vVUd_0MrSduXTe1etBb1HNpAlGwQr006ljwMiM"",
      ""GSC最新!A:R""
    ),
    10,
    FALSE
  ),
  0
)
"),12.0)</f>
        <v>12</v>
      </c>
      <c r="N119" s="6">
        <f>IFERROR(__xludf.DUMMYFUNCTION("IFERROR(
  VLOOKUP(
    A119,
    IMPORTRANGE(
      ""1ZHMy3vVUd_0MrSduXTe1etBb1HNpAlGwQr006ljwMiM"",
      ""GSC最新!A:R""
    ),
    13,
    FALSE
  ),
  0
)
"),2.0)</f>
        <v>2</v>
      </c>
      <c r="O119" s="6">
        <f>IFERROR(__xludf.DUMMYFUNCTION("IFERROR(
  VLOOKUP(
    A119,
    IMPORTRANGE(
      ""1ZHMy3vVUd_0MrSduXTe1etBb1HNpAlGwQr006ljwMiM"",
      ""GSC最新!A:R""
    ),
    16,
    FALSE
  ),
  0
)
"),22.0)</f>
        <v>22</v>
      </c>
      <c r="P119" s="51">
        <f t="shared" ref="P119:Q119" si="587">IFERROR(L119/N119,"-")</f>
        <v>1</v>
      </c>
      <c r="Q119" s="51">
        <f t="shared" si="587"/>
        <v>0.5454545455</v>
      </c>
      <c r="R119" s="9">
        <f>IFERROR(__xludf.DUMMYFUNCTION("IFERROR(
  VLOOKUP(
    A119,
    IMPORTRANGE(
      ""1ZHMy3vVUd_0MrSduXTe1etBb1HNpAlGwQr006ljwMiM"",
      ""GSC最新!A:R""
    ),
    8,
    FALSE
  ),
  0
)
"),0.5)</f>
        <v>0.5</v>
      </c>
      <c r="S119" s="9">
        <f>IFERROR(__xludf.DUMMYFUNCTION("IFERROR(
  VLOOKUP(
    A119,
    IMPORTRANGE(
      ""1ZHMy3vVUd_0MrSduXTe1etBb1HNpAlGwQr006ljwMiM"",
      ""GSC最新!A:R""
    ),
    11,
    FALSE
  ),
  0
)
"),0.08333333333333333)</f>
        <v>0.08333333333</v>
      </c>
      <c r="T119" s="9">
        <f>IFERROR(__xludf.DUMMYFUNCTION("IFERROR(
  VLOOKUP(
    A119,
    IMPORTRANGE(
      ""1ZHMy3vVUd_0MrSduXTe1etBb1HNpAlGwQr006ljwMiM"",
      ""GSC最新!A:R""
    ),
    14,
    FALSE
  ),
  0
)
"),0.0)</f>
        <v>0</v>
      </c>
      <c r="U119" s="9">
        <f>IFERROR(__xludf.DUMMYFUNCTION("IFERROR(
  VLOOKUP(
    A119,
    IMPORTRANGE(
      ""1ZHMy3vVUd_0MrSduXTe1etBb1HNpAlGwQr006ljwMiM"",
      ""GSC最新!A:R""
    ),
    17,
    FALSE
  ),
  0
)
"),0.045454545454545456)</f>
        <v>0.04545454545</v>
      </c>
      <c r="V119" s="9">
        <f t="shared" ref="V119:W119" si="588">IFERROR(R119-T119,"-")</f>
        <v>0.5</v>
      </c>
      <c r="W119" s="9">
        <f t="shared" si="588"/>
        <v>0.03787878788</v>
      </c>
      <c r="X119" s="65">
        <f>IFERROR(__xludf.DUMMYFUNCTION("IFERROR(
  VLOOKUP(
    A119,
    IMPORTRANGE(
      ""1ZHMy3vVUd_0MrSduXTe1etBb1HNpAlGwQr006ljwMiM"",
      ""GSC最新!A:R""
    ),
    9,
    FALSE
  ),
  0
)
"),7.5)</f>
        <v>7.5</v>
      </c>
      <c r="Y119" s="65">
        <f>IFERROR(__xludf.DUMMYFUNCTION("IFERROR(
  VLOOKUP(
    A119,
    IMPORTRANGE(
      ""1ZHMy3vVUd_0MrSduXTe1etBb1HNpAlGwQr006ljwMiM"",
      ""GSC最新!A:R""
    ),
    12,
    FALSE
  ),
  0
)
"),6.666666666666667)</f>
        <v>6.666666667</v>
      </c>
      <c r="Z119" s="65">
        <f>IFERROR(__xludf.DUMMYFUNCTION("IFERROR(
  VLOOKUP(
    A119,
    IMPORTRANGE(
      ""1ZHMy3vVUd_0MrSduXTe1etBb1HNpAlGwQr006ljwMiM"",
      ""GSC最新!A:R""
    ),
    15,
    FALSE
  ),
  0
)
"),8.0)</f>
        <v>8</v>
      </c>
      <c r="AA119" s="65">
        <f>IFERROR(__xludf.DUMMYFUNCTION("IFERROR(
  VLOOKUP(
    A119,
    IMPORTRANGE(
      ""1ZHMy3vVUd_0MrSduXTe1etBb1HNpAlGwQr006ljwMiM"",
      ""GSC最新!A:R""
    ),
    18,
    FALSE
  ),
  0
)
"),26.454545454545453)</f>
        <v>26.45454545</v>
      </c>
      <c r="AB119" s="65">
        <f t="shared" ref="AB119:AC119" si="589">X119-Z119</f>
        <v>-0.5</v>
      </c>
      <c r="AC119" s="65">
        <f t="shared" si="589"/>
        <v>-19.78787879</v>
      </c>
      <c r="AD119" s="53">
        <f>IFERROR(__xludf.DUMMYFUNCTION("IFERROR(
  VLOOKUP(
    A119,
    IMPORTRANGE(
      ""1ZHMy3vVUd_0MrSduXTe1etBb1HNpAlGwQr006ljwMiM"",
      ""GSC最新!A:F""
    ),
    6,
    FALSE
  ),
  0
)
"),46081.0)</f>
        <v>46081</v>
      </c>
      <c r="AE119" s="54">
        <f>IFERROR(__xludf.DUMMYFUNCTION("IFERROR(
  VLOOKUP(
    A119,
    IMPORTRANGE(
      ""1SCYQd7_cobOYqT0r_F0IqD4tE4rYn5y8Eup4PJTH8es"",
      ""Snapshot!A:M""
    ),
    5,
    FALSE
  ),
  ""-""
)
"),5.0)</f>
        <v>5</v>
      </c>
      <c r="AF119" s="54">
        <f>IFERROR(__xludf.DUMMYFUNCTION("IFERROR(
  VLOOKUP(
    A119,
    IMPORTRANGE(
      ""1SCYQd7_cobOYqT0r_F0IqD4tE4rYn5y8Eup4PJTH8es"",
      ""Snapshot!A:M""
    ),
    6,
    FALSE
  ),
  0
)
"),6.0)</f>
        <v>6</v>
      </c>
      <c r="AG119" s="54">
        <f>IFERROR(__xludf.DUMMYFUNCTION("IFERROR(
  VLOOKUP(
    A119,
    IMPORTRANGE(
      ""1SCYQd7_cobOYqT0r_F0IqD4tE4rYn5y8Eup4PJTH8es"",
      ""Snapshot!A:M""
    ),
    7,
    FALSE
  ),
  0
)
"),2497.0)</f>
        <v>2497</v>
      </c>
      <c r="AH119" s="54">
        <f>IFERROR(__xludf.DUMMYFUNCTION("IFERROR(
  VLOOKUP(
    A119,
    IMPORTRANGE(
      ""1SCYQd7_cobOYqT0r_F0IqD4tE4rYn5y8Eup4PJTH8es"",
      ""Snapshot!A:M""
    ),
    8,
    FALSE
  ),
  0
)
"),2.0)</f>
        <v>2</v>
      </c>
      <c r="AI119" s="54">
        <f>IFERROR(__xludf.DUMMYFUNCTION("IFERROR(
  VLOOKUP(
    A119,
    IMPORTRANGE(
      ""1SCYQd7_cobOYqT0r_F0IqD4tE4rYn5y8Eup4PJTH8es"",
      ""Snapshot!A:M""
    ),
    9,
    FALSE
  ),
  0
)
"),2.0)</f>
        <v>2</v>
      </c>
      <c r="AJ119" s="54">
        <f>IFERROR(__xludf.DUMMYFUNCTION("IFERROR(
  VLOOKUP(
    A119,
    IMPORTRANGE(
      ""1SCYQd7_cobOYqT0r_F0IqD4tE4rYn5y8Eup4PJTH8es"",
      ""Snapshot!A:M""
    ),
    13,
    FALSE
  ),
  0
)
"),2.0)</f>
        <v>2</v>
      </c>
      <c r="AK119" s="49">
        <f t="shared" ref="AK119:AL119" si="590">LEN(C119)</f>
        <v>30</v>
      </c>
      <c r="AL119" s="49">
        <f t="shared" si="590"/>
        <v>57</v>
      </c>
    </row>
    <row r="120">
      <c r="A120" s="3" t="s">
        <v>616</v>
      </c>
      <c r="B120" s="1" t="str">
        <f>IFERROR(__xludf.DUMMYFUNCTION("IFERROR(
  VLOOKUP(
    A120,
    IMPORTRANGE(
      ""1ZygntHC1J6IxzKbTidmOyf5nUyW4GCLurHCjexrLm_o"",
      ""HTMLキャッシュ!A:F""
    ),
    2,
    FALSE
  ),
  0
)
"),"ST")</f>
        <v>ST</v>
      </c>
      <c r="C120" s="1" t="str">
        <f>IFERROR(__xludf.DUMMYFUNCTION("IFERROR(
  VLOOKUP(
    A120,
    IMPORTRANGE(
      ""1ZygntHC1J6IxzKbTidmOyf5nUyW4GCLurHCjexrLm_o"",
      ""HTMLキャッシュ!A:F""
    ),
    5,
    FALSE
  ),
  0
)
"),"時間割 - 受験国語専門 読解ラボ東京 | 中学受験・大学受験対応の個別指導国語専門塾（オンライン・教室対応）")</f>
        <v>時間割 - 受験国語専門 読解ラボ東京 | 中学受験・大学受験対応の個別指導国語専門塾（オンライン・教室対応）</v>
      </c>
      <c r="D120" s="1" t="str">
        <f>IFERROR(__xludf.DUMMYFUNCTION("IFERROR(
  VLOOKUP(
    A120,
    IMPORTRANGE(
      ""1ZygntHC1J6IxzKbTidmOyf5nUyW4GCLurHCjexrLm_o        "",
      ""HTMLキャッシュ!A:F""
    ),
    6,
    FALSE
  ),
  0
)
"),"時間割 １対１個別指導の空きコマ状況です。(2019/1/26更新) 日 月 火 水 木 金 土 Ａ限 × ○")</f>
        <v>時間割 １対１個別指導の空きコマ状況です。(2019/1/26更新) 日 月 火 水 木 金 土 Ａ限 × ○</v>
      </c>
      <c r="E120" s="32">
        <f>IFERROR(__xludf.DUMMYFUNCTION("IFERROR(
  VLOOKUP(
    A120,
    IMPORTRANGE(
      ""1ZygntHC1J6IxzKbTidmOyf5nUyW4GCLurHCjexrLm_o        "",
      ""HTMLキャッシュ!A:F""
    ),
    3,
    FALSE
  ),
  0
)
"),43592.62957175926)</f>
        <v>43592.62957</v>
      </c>
      <c r="F120" s="49">
        <f>IFERROR(__xludf.DUMMYFUNCTION("IFERROR(
  VLOOKUP(
    A120,
    IMPORTRANGE(
      ""1ZHMy3vVUd_0MrSduXTe1etBb1HNpAlGwQr006ljwMiM"",
      ""GSC最新!A:F""
    ),
    2,
    FALSE
  ),
  0
)
"),1.0)</f>
        <v>1</v>
      </c>
      <c r="G120" s="49">
        <f>IFERROR(__xludf.DUMMYFUNCTION("IFERROR(
  VLOOKUP(
    A120,
    IMPORTRANGE(
      ""1ZHMy3vVUd_0MrSduXTe1etBb1HNpAlGwQr006ljwMiM"",
      ""GSC最新!A:F""
    ),
    3,
    FALSE
  ),
  0
)
"),1.0)</f>
        <v>1</v>
      </c>
      <c r="H120" s="49">
        <f>IFERROR(__xludf.DUMMYFUNCTION("IFERROR(
  VLOOKUP(
    A120,
    IMPORTRANGE(
      ""1ZHMy3vVUd_0MrSduXTe1etBb1HNpAlGwQr006ljwMiM"",
      ""GSC最新!A:F""
    ),
    4,
    FALSE
  ),
  0
)
"),0.0)</f>
        <v>0</v>
      </c>
      <c r="I120" s="49">
        <f>IFERROR(__xludf.DUMMYFUNCTION("IFERROR(
  VLOOKUP(
    A120,
    IMPORTRANGE(
      ""1ZHMy3vVUd_0MrSduXTe1etBb1HNpAlGwQr006ljwMiM"",
      ""GSC最新!A:F""
    ),
    5,
    FALSE
  ),
  0
)
"),0.0)</f>
        <v>0</v>
      </c>
      <c r="J120" s="50" t="str">
        <f t="shared" ref="J120:K120" si="591">IFERROR(F120/H120,"-")</f>
        <v>-</v>
      </c>
      <c r="K120" s="50" t="str">
        <f t="shared" si="591"/>
        <v>-</v>
      </c>
      <c r="L120" s="6">
        <f>IFERROR(__xludf.DUMMYFUNCTION("IFERROR(
  VLOOKUP(
    A120,
    IMPORTRANGE(
      ""1ZHMy3vVUd_0MrSduXTe1etBb1HNpAlGwQr006ljwMiM"",
      ""GSC最新!A:R""
    ),
    7,
    FALSE
  ),
  0
)
"),5.0)</f>
        <v>5</v>
      </c>
      <c r="M120" s="6">
        <f>IFERROR(__xludf.DUMMYFUNCTION("IFERROR(
  VLOOKUP(
    A120,
    IMPORTRANGE(
      ""1ZHMy3vVUd_0MrSduXTe1etBb1HNpAlGwQr006ljwMiM"",
      ""GSC最新!A:R""
    ),
    10,
    FALSE
  ),
  0
)
"),18.0)</f>
        <v>18</v>
      </c>
      <c r="N120" s="6">
        <f>IFERROR(__xludf.DUMMYFUNCTION("IFERROR(
  VLOOKUP(
    A120,
    IMPORTRANGE(
      ""1ZHMy3vVUd_0MrSduXTe1etBb1HNpAlGwQr006ljwMiM"",
      ""GSC最新!A:R""
    ),
    13,
    FALSE
  ),
  0
)
"),2.0)</f>
        <v>2</v>
      </c>
      <c r="O120" s="6">
        <f>IFERROR(__xludf.DUMMYFUNCTION("IFERROR(
  VLOOKUP(
    A120,
    IMPORTRANGE(
      ""1ZHMy3vVUd_0MrSduXTe1etBb1HNpAlGwQr006ljwMiM"",
      ""GSC最新!A:R""
    ),
    16,
    FALSE
  ),
  0
)
"),2.0)</f>
        <v>2</v>
      </c>
      <c r="P120" s="51">
        <f t="shared" ref="P120:Q120" si="592">IFERROR(L120/N120,"-")</f>
        <v>2.5</v>
      </c>
      <c r="Q120" s="51">
        <f t="shared" si="592"/>
        <v>9</v>
      </c>
      <c r="R120" s="9">
        <f>IFERROR(__xludf.DUMMYFUNCTION("IFERROR(
  VLOOKUP(
    A120,
    IMPORTRANGE(
      ""1ZHMy3vVUd_0MrSduXTe1etBb1HNpAlGwQr006ljwMiM"",
      ""GSC最新!A:R""
    ),
    8,
    FALSE
  ),
  0
)
"),0.2)</f>
        <v>0.2</v>
      </c>
      <c r="S120" s="9">
        <f>IFERROR(__xludf.DUMMYFUNCTION("IFERROR(
  VLOOKUP(
    A120,
    IMPORTRANGE(
      ""1ZHMy3vVUd_0MrSduXTe1etBb1HNpAlGwQr006ljwMiM"",
      ""GSC最新!A:R""
    ),
    11,
    FALSE
  ),
  0
)
"),0.05555555555555555)</f>
        <v>0.05555555556</v>
      </c>
      <c r="T120" s="9">
        <f>IFERROR(__xludf.DUMMYFUNCTION("IFERROR(
  VLOOKUP(
    A120,
    IMPORTRANGE(
      ""1ZHMy3vVUd_0MrSduXTe1etBb1HNpAlGwQr006ljwMiM"",
      ""GSC最新!A:R""
    ),
    14,
    FALSE
  ),
  0
)
"),0.0)</f>
        <v>0</v>
      </c>
      <c r="U120" s="9">
        <f>IFERROR(__xludf.DUMMYFUNCTION("IFERROR(
  VLOOKUP(
    A120,
    IMPORTRANGE(
      ""1ZHMy3vVUd_0MrSduXTe1etBb1HNpAlGwQr006ljwMiM"",
      ""GSC最新!A:R""
    ),
    17,
    FALSE
  ),
  0
)
"),0.0)</f>
        <v>0</v>
      </c>
      <c r="V120" s="9">
        <f t="shared" ref="V120:W120" si="593">IFERROR(R120-T120,"-")</f>
        <v>0.2</v>
      </c>
      <c r="W120" s="9">
        <f t="shared" si="593"/>
        <v>0.05555555556</v>
      </c>
      <c r="X120" s="65">
        <f>IFERROR(__xludf.DUMMYFUNCTION("IFERROR(
  VLOOKUP(
    A120,
    IMPORTRANGE(
      ""1ZHMy3vVUd_0MrSduXTe1etBb1HNpAlGwQr006ljwMiM"",
      ""GSC最新!A:R""
    ),
    9,
    FALSE
  ),
  0
)
"),6.4)</f>
        <v>6.4</v>
      </c>
      <c r="Y120" s="65">
        <f>IFERROR(__xludf.DUMMYFUNCTION("IFERROR(
  VLOOKUP(
    A120,
    IMPORTRANGE(
      ""1ZHMy3vVUd_0MrSduXTe1etBb1HNpAlGwQr006ljwMiM"",
      ""GSC最新!A:R""
    ),
    12,
    FALSE
  ),
  0
)
"),4.555555555555555)</f>
        <v>4.555555556</v>
      </c>
      <c r="Z120" s="65">
        <f>IFERROR(__xludf.DUMMYFUNCTION("IFERROR(
  VLOOKUP(
    A120,
    IMPORTRANGE(
      ""1ZHMy3vVUd_0MrSduXTe1etBb1HNpAlGwQr006ljwMiM"",
      ""GSC最新!A:R""
    ),
    15,
    FALSE
  ),
  0
)
"),2.0)</f>
        <v>2</v>
      </c>
      <c r="AA120" s="65">
        <f>IFERROR(__xludf.DUMMYFUNCTION("IFERROR(
  VLOOKUP(
    A120,
    IMPORTRANGE(
      ""1ZHMy3vVUd_0MrSduXTe1etBb1HNpAlGwQr006ljwMiM"",
      ""GSC最新!A:R""
    ),
    18,
    FALSE
  ),
  0
)
"),2.0)</f>
        <v>2</v>
      </c>
      <c r="AB120" s="65">
        <f t="shared" ref="AB120:AC120" si="594">X120-Z120</f>
        <v>4.4</v>
      </c>
      <c r="AC120" s="65">
        <f t="shared" si="594"/>
        <v>2.555555556</v>
      </c>
      <c r="AD120" s="53">
        <f>IFERROR(__xludf.DUMMYFUNCTION("IFERROR(
  VLOOKUP(
    A120,
    IMPORTRANGE(
      ""1ZHMy3vVUd_0MrSduXTe1etBb1HNpAlGwQr006ljwMiM"",
      ""GSC最新!A:F""
    ),
    6,
    FALSE
  ),
  0
)
"),46081.0)</f>
        <v>46081</v>
      </c>
      <c r="AE120" s="54">
        <f>IFERROR(__xludf.DUMMYFUNCTION("IFERROR(
  VLOOKUP(
    A120,
    IMPORTRANGE(
      ""1SCYQd7_cobOYqT0r_F0IqD4tE4rYn5y8Eup4PJTH8es"",
      ""Snapshot!A:M""
    ),
    5,
    FALSE
  ),
  ""-""
)
"),1.0)</f>
        <v>1</v>
      </c>
      <c r="AF120" s="54">
        <f>IFERROR(__xludf.DUMMYFUNCTION("IFERROR(
  VLOOKUP(
    A120,
    IMPORTRANGE(
      ""1SCYQd7_cobOYqT0r_F0IqD4tE4rYn5y8Eup4PJTH8es"",
      ""Snapshot!A:M""
    ),
    6,
    FALSE
  ),
  0
)
"),0.0)</f>
        <v>0</v>
      </c>
      <c r="AG120" s="54">
        <f>IFERROR(__xludf.DUMMYFUNCTION("IFERROR(
  VLOOKUP(
    A120,
    IMPORTRANGE(
      ""1SCYQd7_cobOYqT0r_F0IqD4tE4rYn5y8Eup4PJTH8es"",
      ""Snapshot!A:M""
    ),
    7,
    FALSE
  ),
  0
)
"),318.0)</f>
        <v>318</v>
      </c>
      <c r="AH120" s="54">
        <f>IFERROR(__xludf.DUMMYFUNCTION("IFERROR(
  VLOOKUP(
    A120,
    IMPORTRANGE(
      ""1SCYQd7_cobOYqT0r_F0IqD4tE4rYn5y8Eup4PJTH8es"",
      ""Snapshot!A:M""
    ),
    8,
    FALSE
  ),
  0
)
"),0.0)</f>
        <v>0</v>
      </c>
      <c r="AI120" s="54">
        <f>IFERROR(__xludf.DUMMYFUNCTION("IFERROR(
  VLOOKUP(
    A120,
    IMPORTRANGE(
      ""1SCYQd7_cobOYqT0r_F0IqD4tE4rYn5y8Eup4PJTH8es"",
      ""Snapshot!A:M""
    ),
    9,
    FALSE
  ),
  0
)
"),1.0)</f>
        <v>1</v>
      </c>
      <c r="AJ120" s="54">
        <f>IFERROR(__xludf.DUMMYFUNCTION("IFERROR(
  VLOOKUP(
    A120,
    IMPORTRANGE(
      ""1SCYQd7_cobOYqT0r_F0IqD4tE4rYn5y8Eup4PJTH8es"",
      ""Snapshot!A:M""
    ),
    13,
    FALSE
  ),
  0
)
"),2.0)</f>
        <v>2</v>
      </c>
      <c r="AK120" s="49">
        <f t="shared" ref="AK120:AL120" si="595">LEN(C120)</f>
        <v>55</v>
      </c>
      <c r="AL120" s="49">
        <f t="shared" si="595"/>
        <v>55</v>
      </c>
    </row>
    <row r="121">
      <c r="A121" s="3" t="s">
        <v>332</v>
      </c>
      <c r="B121" s="1" t="str">
        <f>IFERROR(__xludf.DUMMYFUNCTION("IFERROR(
  VLOOKUP(
    A121,
    IMPORTRANGE(
      ""1ZygntHC1J6IxzKbTidmOyf5nUyW4GCLurHCjexrLm_o"",
      ""HTMLキャッシュ!A:F""
    ),
    2,
    FALSE
  ),
  0
)
"),"SP")</f>
        <v>SP</v>
      </c>
      <c r="C121" s="1" t="str">
        <f>IFERROR(__xludf.DUMMYFUNCTION("IFERROR(
  VLOOKUP(
    A121,
    IMPORTRANGE(
      ""1ZygntHC1J6IxzKbTidmOyf5nUyW4GCLurHCjexrLm_o"",
      ""HTMLキャッシュ!A:F""
    ),
    5,
    FALSE
  ),
  0
)
"),"中学受験国語得点力強化の個別指導講座｜記述添削オンライン塾")</f>
        <v>中学受験国語得点力強化の個別指導講座｜記述添削オンライン塾</v>
      </c>
      <c r="D121" s="1" t="str">
        <f>IFERROR(__xludf.DUMMYFUNCTION("IFERROR(
  VLOOKUP(
    A121,
    IMPORTRANGE(
      ""1ZygntHC1J6IxzKbTidmOyf5nUyW4GCLurHCjexrLm_o        "",
      ""HTMLキャッシュ!A:F""
    ),
    6,
    FALSE
  ),
  0
)
"),"根拠発見と記述添削で小6国語の失点を防止。１５０分少人数個別指導で選択肢判断力も定着。動画復習付き、オンライン体験受付中")</f>
        <v>根拠発見と記述添削で小6国語の失点を防止。１５０分少人数個別指導で選択肢判断力も定着。動画復習付き、オンライン体験受付中</v>
      </c>
      <c r="E121" s="32">
        <f>IFERROR(__xludf.DUMMYFUNCTION("IFERROR(
  VLOOKUP(
    A121,
    IMPORTRANGE(
      ""1ZygntHC1J6IxzKbTidmOyf5nUyW4GCLurHCjexrLm_o        "",
      ""HTMLキャッシュ!A:F""
    ),
    3,
    FALSE
  ),
  0
)
"),46076.832037037035)</f>
        <v>46076.83204</v>
      </c>
      <c r="F121" s="49">
        <f>IFERROR(__xludf.DUMMYFUNCTION("IFERROR(
  VLOOKUP(
    A121,
    IMPORTRANGE(
      ""1ZHMy3vVUd_0MrSduXTe1etBb1HNpAlGwQr006ljwMiM"",
      ""GSC最新!A:F""
    ),
    2,
    FALSE
  ),
  0
)
"),1.0)</f>
        <v>1</v>
      </c>
      <c r="G121" s="49">
        <f>IFERROR(__xludf.DUMMYFUNCTION("IFERROR(
  VLOOKUP(
    A121,
    IMPORTRANGE(
      ""1ZHMy3vVUd_0MrSduXTe1etBb1HNpAlGwQr006ljwMiM"",
      ""GSC最新!A:F""
    ),
    3,
    FALSE
  ),
  0
)
"),1.0)</f>
        <v>1</v>
      </c>
      <c r="H121" s="49">
        <f>IFERROR(__xludf.DUMMYFUNCTION("IFERROR(
  VLOOKUP(
    A121,
    IMPORTRANGE(
      ""1ZHMy3vVUd_0MrSduXTe1etBb1HNpAlGwQr006ljwMiM"",
      ""GSC最新!A:F""
    ),
    4,
    FALSE
  ),
  0
)
"),0.0)</f>
        <v>0</v>
      </c>
      <c r="I121" s="49">
        <f>IFERROR(__xludf.DUMMYFUNCTION("IFERROR(
  VLOOKUP(
    A121,
    IMPORTRANGE(
      ""1ZHMy3vVUd_0MrSduXTe1etBb1HNpAlGwQr006ljwMiM"",
      ""GSC最新!A:F""
    ),
    5,
    FALSE
  ),
  0
)
"),3.0)</f>
        <v>3</v>
      </c>
      <c r="J121" s="50" t="str">
        <f t="shared" ref="J121:K121" si="596">IFERROR(F121/H121,"-")</f>
        <v>-</v>
      </c>
      <c r="K121" s="50">
        <f t="shared" si="596"/>
        <v>0.3333333333</v>
      </c>
      <c r="L121" s="6">
        <f>IFERROR(__xludf.DUMMYFUNCTION("IFERROR(
  VLOOKUP(
    A121,
    IMPORTRANGE(
      ""1ZHMy3vVUd_0MrSduXTe1etBb1HNpAlGwQr006ljwMiM"",
      ""GSC最新!A:R""
    ),
    7,
    FALSE
  ),
  0
)
"),19.0)</f>
        <v>19</v>
      </c>
      <c r="M121" s="6">
        <f>IFERROR(__xludf.DUMMYFUNCTION("IFERROR(
  VLOOKUP(
    A121,
    IMPORTRANGE(
      ""1ZHMy3vVUd_0MrSduXTe1etBb1HNpAlGwQr006ljwMiM"",
      ""GSC最新!A:R""
    ),
    10,
    FALSE
  ),
  0
)
"),33.0)</f>
        <v>33</v>
      </c>
      <c r="N121" s="6">
        <f>IFERROR(__xludf.DUMMYFUNCTION("IFERROR(
  VLOOKUP(
    A121,
    IMPORTRANGE(
      ""1ZHMy3vVUd_0MrSduXTe1etBb1HNpAlGwQr006ljwMiM"",
      ""GSC最新!A:R""
    ),
    13,
    FALSE
  ),
  0
)
"),13.0)</f>
        <v>13</v>
      </c>
      <c r="O121" s="6">
        <f>IFERROR(__xludf.DUMMYFUNCTION("IFERROR(
  VLOOKUP(
    A121,
    IMPORTRANGE(
      ""1ZHMy3vVUd_0MrSduXTe1etBb1HNpAlGwQr006ljwMiM"",
      ""GSC最新!A:R""
    ),
    16,
    FALSE
  ),
  0
)
"),144.0)</f>
        <v>144</v>
      </c>
      <c r="P121" s="51">
        <f t="shared" ref="P121:Q121" si="597">IFERROR(L121/N121,"-")</f>
        <v>1.461538462</v>
      </c>
      <c r="Q121" s="51">
        <f t="shared" si="597"/>
        <v>0.2291666667</v>
      </c>
      <c r="R121" s="9">
        <f>IFERROR(__xludf.DUMMYFUNCTION("IFERROR(
  VLOOKUP(
    A121,
    IMPORTRANGE(
      ""1ZHMy3vVUd_0MrSduXTe1etBb1HNpAlGwQr006ljwMiM"",
      ""GSC最新!A:R""
    ),
    8,
    FALSE
  ),
  0
)
"),0.05263157894736842)</f>
        <v>0.05263157895</v>
      </c>
      <c r="S121" s="9">
        <f>IFERROR(__xludf.DUMMYFUNCTION("IFERROR(
  VLOOKUP(
    A121,
    IMPORTRANGE(
      ""1ZHMy3vVUd_0MrSduXTe1etBb1HNpAlGwQr006ljwMiM"",
      ""GSC最新!A:R""
    ),
    11,
    FALSE
  ),
  0
)
"),0.030303030303030304)</f>
        <v>0.0303030303</v>
      </c>
      <c r="T121" s="9">
        <f>IFERROR(__xludf.DUMMYFUNCTION("IFERROR(
  VLOOKUP(
    A121,
    IMPORTRANGE(
      ""1ZHMy3vVUd_0MrSduXTe1etBb1HNpAlGwQr006ljwMiM"",
      ""GSC最新!A:R""
    ),
    14,
    FALSE
  ),
  0
)
"),0.0)</f>
        <v>0</v>
      </c>
      <c r="U121" s="9">
        <f>IFERROR(__xludf.DUMMYFUNCTION("IFERROR(
  VLOOKUP(
    A121,
    IMPORTRANGE(
      ""1ZHMy3vVUd_0MrSduXTe1etBb1HNpAlGwQr006ljwMiM"",
      ""GSC最新!A:R""
    ),
    17,
    FALSE
  ),
  0
)
"),0.020833333333333332)</f>
        <v>0.02083333333</v>
      </c>
      <c r="V121" s="9">
        <f t="shared" ref="V121:W121" si="598">IFERROR(R121-T121,"-")</f>
        <v>0.05263157895</v>
      </c>
      <c r="W121" s="9">
        <f t="shared" si="598"/>
        <v>0.00946969697</v>
      </c>
      <c r="X121" s="65">
        <f>IFERROR(__xludf.DUMMYFUNCTION("IFERROR(
  VLOOKUP(
    A121,
    IMPORTRANGE(
      ""1ZHMy3vVUd_0MrSduXTe1etBb1HNpAlGwQr006ljwMiM"",
      ""GSC最新!A:R""
    ),
    9,
    FALSE
  ),
  0
)
"),14.0)</f>
        <v>14</v>
      </c>
      <c r="Y121" s="65">
        <f>IFERROR(__xludf.DUMMYFUNCTION("IFERROR(
  VLOOKUP(
    A121,
    IMPORTRANGE(
      ""1ZHMy3vVUd_0MrSduXTe1etBb1HNpAlGwQr006ljwMiM"",
      ""GSC最新!A:R""
    ),
    12,
    FALSE
  ),
  0
)
"),11.484848484848484)</f>
        <v>11.48484848</v>
      </c>
      <c r="Z121" s="65">
        <f>IFERROR(__xludf.DUMMYFUNCTION("IFERROR(
  VLOOKUP(
    A121,
    IMPORTRANGE(
      ""1ZHMy3vVUd_0MrSduXTe1etBb1HNpAlGwQr006ljwMiM"",
      ""GSC最新!A:R""
    ),
    15,
    FALSE
  ),
  0
)
"),22.76923076923077)</f>
        <v>22.76923077</v>
      </c>
      <c r="AA121" s="65">
        <f>IFERROR(__xludf.DUMMYFUNCTION("IFERROR(
  VLOOKUP(
    A121,
    IMPORTRANGE(
      ""1ZHMy3vVUd_0MrSduXTe1etBb1HNpAlGwQr006ljwMiM"",
      ""GSC最新!A:R""
    ),
    18,
    FALSE
  ),
  0
)
"),35.298611111111114)</f>
        <v>35.29861111</v>
      </c>
      <c r="AB121" s="65">
        <f t="shared" ref="AB121:AC121" si="599">X121-Z121</f>
        <v>-8.769230769</v>
      </c>
      <c r="AC121" s="65">
        <f t="shared" si="599"/>
        <v>-23.81376263</v>
      </c>
      <c r="AD121" s="53">
        <f>IFERROR(__xludf.DUMMYFUNCTION("IFERROR(
  VLOOKUP(
    A121,
    IMPORTRANGE(
      ""1ZHMy3vVUd_0MrSduXTe1etBb1HNpAlGwQr006ljwMiM"",
      ""GSC最新!A:F""
    ),
    6,
    FALSE
  ),
  0
)
"),46081.0)</f>
        <v>46081</v>
      </c>
      <c r="AE121" s="54">
        <f>IFERROR(__xludf.DUMMYFUNCTION("IFERROR(
  VLOOKUP(
    A121,
    IMPORTRANGE(
      ""1SCYQd7_cobOYqT0r_F0IqD4tE4rYn5y8Eup4PJTH8es"",
      ""Snapshot!A:M""
    ),
    5,
    FALSE
  ),
  ""-""
)
"),1.0)</f>
        <v>1</v>
      </c>
      <c r="AF121" s="54">
        <f>IFERROR(__xludf.DUMMYFUNCTION("IFERROR(
  VLOOKUP(
    A121,
    IMPORTRANGE(
      ""1SCYQd7_cobOYqT0r_F0IqD4tE4rYn5y8Eup4PJTH8es"",
      ""Snapshot!A:M""
    ),
    6,
    FALSE
  ),
  0
)
"),15.0)</f>
        <v>15</v>
      </c>
      <c r="AG121" s="54">
        <f>IFERROR(__xludf.DUMMYFUNCTION("IFERROR(
  VLOOKUP(
    A121,
    IMPORTRANGE(
      ""1SCYQd7_cobOYqT0r_F0IqD4tE4rYn5y8Eup4PJTH8es"",
      ""Snapshot!A:M""
    ),
    7,
    FALSE
  ),
  0
)
"),3053.0)</f>
        <v>3053</v>
      </c>
      <c r="AH121" s="54">
        <f>IFERROR(__xludf.DUMMYFUNCTION("IFERROR(
  VLOOKUP(
    A121,
    IMPORTRANGE(
      ""1SCYQd7_cobOYqT0r_F0IqD4tE4rYn5y8Eup4PJTH8es"",
      ""Snapshot!A:M""
    ),
    8,
    FALSE
  ),
  0
)
"),2.0)</f>
        <v>2</v>
      </c>
      <c r="AI121" s="54">
        <f>IFERROR(__xludf.DUMMYFUNCTION("IFERROR(
  VLOOKUP(
    A121,
    IMPORTRANGE(
      ""1SCYQd7_cobOYqT0r_F0IqD4tE4rYn5y8Eup4PJTH8es"",
      ""Snapshot!A:M""
    ),
    9,
    FALSE
  ),
  0
)
"),2.0)</f>
        <v>2</v>
      </c>
      <c r="AJ121" s="54">
        <f>IFERROR(__xludf.DUMMYFUNCTION("IFERROR(
  VLOOKUP(
    A121,
    IMPORTRANGE(
      ""1SCYQd7_cobOYqT0r_F0IqD4tE4rYn5y8Eup4PJTH8es"",
      ""Snapshot!A:M""
    ),
    13,
    FALSE
  ),
  0
)
"),2.0)</f>
        <v>2</v>
      </c>
      <c r="AK121" s="49">
        <f t="shared" ref="AK121:AL121" si="600">LEN(C121)</f>
        <v>29</v>
      </c>
      <c r="AL121" s="49">
        <f t="shared" si="600"/>
        <v>60</v>
      </c>
    </row>
    <row r="122">
      <c r="A122" s="3" t="s">
        <v>310</v>
      </c>
      <c r="B122" s="1" t="str">
        <f>IFERROR(__xludf.DUMMYFUNCTION("IFERROR(
  VLOOKUP(
    A122,
    IMPORTRANGE(
      ""1ZygntHC1J6IxzKbTidmOyf5nUyW4GCLurHCjexrLm_o"",
      ""HTMLキャッシュ!A:F""
    ),
    2,
    FALSE
  ),
  0
)
"),"SP")</f>
        <v>SP</v>
      </c>
      <c r="C122" s="1" t="str">
        <f>IFERROR(__xludf.DUMMYFUNCTION("IFERROR(
  VLOOKUP(
    A122,
    IMPORTRANGE(
      ""1ZygntHC1J6IxzKbTidmOyf5nUyW4GCLurHCjexrLm_o"",
      ""HTMLキャッシュ!A:F""
    ),
    5,
    FALSE
  ),
  0
)
"),"国公立大現代文記述強化の個別指導講座｜添削オンライン塾")</f>
        <v>国公立大現代文記述強化の個別指導講座｜添削オンライン塾</v>
      </c>
      <c r="D122" s="1" t="str">
        <f>IFERROR(__xludf.DUMMYFUNCTION("IFERROR(
  VLOOKUP(
    A122,
    IMPORTRANGE(
      ""1ZygntHC1J6IxzKbTidmOyf5nUyW4GCLurHCjexrLm_o        "",
      ""HTMLキャッシュ!A:F""
    ),
    6,
    FALSE
  ),
  0
)
"),"記述答案が伸びない受験生へ。1対1個別指導で現代文の解法と添削力を定着し難関国公立合格へ導く。オンライン体験受付中")</f>
        <v>記述答案が伸びない受験生へ。1対1個別指導で現代文の解法と添削力を定着し難関国公立合格へ導く。オンライン体験受付中</v>
      </c>
      <c r="E122" s="32">
        <f>IFERROR(__xludf.DUMMYFUNCTION("IFERROR(
  VLOOKUP(
    A122,
    IMPORTRANGE(
      ""1ZygntHC1J6IxzKbTidmOyf5nUyW4GCLurHCjexrLm_o        "",
      ""HTMLキャッシュ!A:F""
    ),
    3,
    FALSE
  ),
  0
)
"),46081.80222222222)</f>
        <v>46081.80222</v>
      </c>
      <c r="F122" s="49">
        <f>IFERROR(__xludf.DUMMYFUNCTION("IFERROR(
  VLOOKUP(
    A122,
    IMPORTRANGE(
      ""1ZHMy3vVUd_0MrSduXTe1etBb1HNpAlGwQr006ljwMiM"",
      ""GSC最新!A:F""
    ),
    2,
    FALSE
  ),
  0
)
"),1.0)</f>
        <v>1</v>
      </c>
      <c r="G122" s="49">
        <f>IFERROR(__xludf.DUMMYFUNCTION("IFERROR(
  VLOOKUP(
    A122,
    IMPORTRANGE(
      ""1ZHMy3vVUd_0MrSduXTe1etBb1HNpAlGwQr006ljwMiM"",
      ""GSC最新!A:F""
    ),
    3,
    FALSE
  ),
  0
)
"),1.0)</f>
        <v>1</v>
      </c>
      <c r="H122" s="49">
        <f>IFERROR(__xludf.DUMMYFUNCTION("IFERROR(
  VLOOKUP(
    A122,
    IMPORTRANGE(
      ""1ZHMy3vVUd_0MrSduXTe1etBb1HNpAlGwQr006ljwMiM"",
      ""GSC最新!A:F""
    ),
    4,
    FALSE
  ),
  0
)
"),0.0)</f>
        <v>0</v>
      </c>
      <c r="I122" s="49">
        <f>IFERROR(__xludf.DUMMYFUNCTION("IFERROR(
  VLOOKUP(
    A122,
    IMPORTRANGE(
      ""1ZHMy3vVUd_0MrSduXTe1etBb1HNpAlGwQr006ljwMiM"",
      ""GSC最新!A:F""
    ),
    5,
    FALSE
  ),
  0
)
"),0.0)</f>
        <v>0</v>
      </c>
      <c r="J122" s="50" t="str">
        <f t="shared" ref="J122:K122" si="601">IFERROR(F122/H122,"-")</f>
        <v>-</v>
      </c>
      <c r="K122" s="50" t="str">
        <f t="shared" si="601"/>
        <v>-</v>
      </c>
      <c r="L122" s="6">
        <f>IFERROR(__xludf.DUMMYFUNCTION("IFERROR(
  VLOOKUP(
    A122,
    IMPORTRANGE(
      ""1ZHMy3vVUd_0MrSduXTe1etBb1HNpAlGwQr006ljwMiM"",
      ""GSC最新!A:R""
    ),
    7,
    FALSE
  ),
  0
)
"),83.0)</f>
        <v>83</v>
      </c>
      <c r="M122" s="6">
        <f>IFERROR(__xludf.DUMMYFUNCTION("IFERROR(
  VLOOKUP(
    A122,
    IMPORTRANGE(
      ""1ZHMy3vVUd_0MrSduXTe1etBb1HNpAlGwQr006ljwMiM"",
      ""GSC最新!A:R""
    ),
    10,
    FALSE
  ),
  0
)
"),116.0)</f>
        <v>116</v>
      </c>
      <c r="N122" s="6">
        <f>IFERROR(__xludf.DUMMYFUNCTION("IFERROR(
  VLOOKUP(
    A122,
    IMPORTRANGE(
      ""1ZHMy3vVUd_0MrSduXTe1etBb1HNpAlGwQr006ljwMiM"",
      ""GSC最新!A:R""
    ),
    13,
    FALSE
  ),
  0
)
"),5.0)</f>
        <v>5</v>
      </c>
      <c r="O122" s="6">
        <f>IFERROR(__xludf.DUMMYFUNCTION("IFERROR(
  VLOOKUP(
    A122,
    IMPORTRANGE(
      ""1ZHMy3vVUd_0MrSduXTe1etBb1HNpAlGwQr006ljwMiM"",
      ""GSC最新!A:R""
    ),
    16,
    FALSE
  ),
  0
)
"),39.0)</f>
        <v>39</v>
      </c>
      <c r="P122" s="51">
        <f t="shared" ref="P122:Q122" si="602">IFERROR(L122/N122,"-")</f>
        <v>16.6</v>
      </c>
      <c r="Q122" s="51">
        <f t="shared" si="602"/>
        <v>2.974358974</v>
      </c>
      <c r="R122" s="9">
        <f>IFERROR(__xludf.DUMMYFUNCTION("IFERROR(
  VLOOKUP(
    A122,
    IMPORTRANGE(
      ""1ZHMy3vVUd_0MrSduXTe1etBb1HNpAlGwQr006ljwMiM"",
      ""GSC最新!A:R""
    ),
    8,
    FALSE
  ),
  0
)
"),0.012048192771084338)</f>
        <v>0.01204819277</v>
      </c>
      <c r="S122" s="9">
        <f>IFERROR(__xludf.DUMMYFUNCTION("IFERROR(
  VLOOKUP(
    A122,
    IMPORTRANGE(
      ""1ZHMy3vVUd_0MrSduXTe1etBb1HNpAlGwQr006ljwMiM"",
      ""GSC最新!A:R""
    ),
    11,
    FALSE
  ),
  0
)
"),0.008620689655172414)</f>
        <v>0.008620689655</v>
      </c>
      <c r="T122" s="9">
        <f>IFERROR(__xludf.DUMMYFUNCTION("IFERROR(
  VLOOKUP(
    A122,
    IMPORTRANGE(
      ""1ZHMy3vVUd_0MrSduXTe1etBb1HNpAlGwQr006ljwMiM"",
      ""GSC最新!A:R""
    ),
    14,
    FALSE
  ),
  0
)
"),0.0)</f>
        <v>0</v>
      </c>
      <c r="U122" s="9">
        <f>IFERROR(__xludf.DUMMYFUNCTION("IFERROR(
  VLOOKUP(
    A122,
    IMPORTRANGE(
      ""1ZHMy3vVUd_0MrSduXTe1etBb1HNpAlGwQr006ljwMiM"",
      ""GSC最新!A:R""
    ),
    17,
    FALSE
  ),
  0
)
"),0.0)</f>
        <v>0</v>
      </c>
      <c r="V122" s="9">
        <f t="shared" ref="V122:W122" si="603">IFERROR(R122-T122,"-")</f>
        <v>0.01204819277</v>
      </c>
      <c r="W122" s="9">
        <f t="shared" si="603"/>
        <v>0.008620689655</v>
      </c>
      <c r="X122" s="65">
        <f>IFERROR(__xludf.DUMMYFUNCTION("IFERROR(
  VLOOKUP(
    A122,
    IMPORTRANGE(
      ""1ZHMy3vVUd_0MrSduXTe1etBb1HNpAlGwQr006ljwMiM"",
      ""GSC最新!A:R""
    ),
    9,
    FALSE
  ),
  0
)
"),9.265060240963855)</f>
        <v>9.265060241</v>
      </c>
      <c r="Y122" s="65">
        <f>IFERROR(__xludf.DUMMYFUNCTION("IFERROR(
  VLOOKUP(
    A122,
    IMPORTRANGE(
      ""1ZHMy3vVUd_0MrSduXTe1etBb1HNpAlGwQr006ljwMiM"",
      ""GSC最新!A:R""
    ),
    12,
    FALSE
  ),
  0
)
"),10.85344827586207)</f>
        <v>10.85344828</v>
      </c>
      <c r="Z122" s="65">
        <f>IFERROR(__xludf.DUMMYFUNCTION("IFERROR(
  VLOOKUP(
    A122,
    IMPORTRANGE(
      ""1ZHMy3vVUd_0MrSduXTe1etBb1HNpAlGwQr006ljwMiM"",
      ""GSC最新!A:R""
    ),
    15,
    FALSE
  ),
  0
)
"),7.4)</f>
        <v>7.4</v>
      </c>
      <c r="AA122" s="65">
        <f>IFERROR(__xludf.DUMMYFUNCTION("IFERROR(
  VLOOKUP(
    A122,
    IMPORTRANGE(
      ""1ZHMy3vVUd_0MrSduXTe1etBb1HNpAlGwQr006ljwMiM"",
      ""GSC最新!A:R""
    ),
    18,
    FALSE
  ),
  0
)
"),17.794871794871796)</f>
        <v>17.79487179</v>
      </c>
      <c r="AB122" s="65">
        <f t="shared" ref="AB122:AC122" si="604">X122-Z122</f>
        <v>1.865060241</v>
      </c>
      <c r="AC122" s="65">
        <f t="shared" si="604"/>
        <v>-6.941423519</v>
      </c>
      <c r="AD122" s="53">
        <f>IFERROR(__xludf.DUMMYFUNCTION("IFERROR(
  VLOOKUP(
    A122,
    IMPORTRANGE(
      ""1ZHMy3vVUd_0MrSduXTe1etBb1HNpAlGwQr006ljwMiM"",
      ""GSC最新!A:F""
    ),
    6,
    FALSE
  ),
  0
)
"),46081.0)</f>
        <v>46081</v>
      </c>
      <c r="AE122" s="54">
        <f>IFERROR(__xludf.DUMMYFUNCTION("IFERROR(
  VLOOKUP(
    A122,
    IMPORTRANGE(
      ""1SCYQd7_cobOYqT0r_F0IqD4tE4rYn5y8Eup4PJTH8es"",
      ""Snapshot!A:M""
    ),
    5,
    FALSE
  ),
  ""-""
)
"),9.0)</f>
        <v>9</v>
      </c>
      <c r="AF122" s="54">
        <f>IFERROR(__xludf.DUMMYFUNCTION("IFERROR(
  VLOOKUP(
    A122,
    IMPORTRANGE(
      ""1SCYQd7_cobOYqT0r_F0IqD4tE4rYn5y8Eup4PJTH8es"",
      ""Snapshot!A:M""
    ),
    6,
    FALSE
  ),
  0
)
"),14.0)</f>
        <v>14</v>
      </c>
      <c r="AG122" s="54">
        <f>IFERROR(__xludf.DUMMYFUNCTION("IFERROR(
  VLOOKUP(
    A122,
    IMPORTRANGE(
      ""1SCYQd7_cobOYqT0r_F0IqD4tE4rYn5y8Eup4PJTH8es"",
      ""Snapshot!A:M""
    ),
    7,
    FALSE
  ),
  0
)
"),1664.0)</f>
        <v>1664</v>
      </c>
      <c r="AH122" s="54">
        <f>IFERROR(__xludf.DUMMYFUNCTION("IFERROR(
  VLOOKUP(
    A122,
    IMPORTRANGE(
      ""1SCYQd7_cobOYqT0r_F0IqD4tE4rYn5y8Eup4PJTH8es"",
      ""Snapshot!A:M""
    ),
    8,
    FALSE
  ),
  0
)
"),1.0)</f>
        <v>1</v>
      </c>
      <c r="AI122" s="54">
        <f>IFERROR(__xludf.DUMMYFUNCTION("IFERROR(
  VLOOKUP(
    A122,
    IMPORTRANGE(
      ""1SCYQd7_cobOYqT0r_F0IqD4tE4rYn5y8Eup4PJTH8es"",
      ""Snapshot!A:M""
    ),
    9,
    FALSE
  ),
  0
)
"),1.0)</f>
        <v>1</v>
      </c>
      <c r="AJ122" s="54">
        <f>IFERROR(__xludf.DUMMYFUNCTION("IFERROR(
  VLOOKUP(
    A122,
    IMPORTRANGE(
      ""1SCYQd7_cobOYqT0r_F0IqD4tE4rYn5y8Eup4PJTH8es"",
      ""Snapshot!A:M""
    ),
    13,
    FALSE
  ),
  0
)
"),2.0)</f>
        <v>2</v>
      </c>
      <c r="AK122" s="49">
        <f t="shared" ref="AK122:AL122" si="605">LEN(C122)</f>
        <v>27</v>
      </c>
      <c r="AL122" s="49">
        <f t="shared" si="605"/>
        <v>57</v>
      </c>
    </row>
    <row r="123">
      <c r="A123" s="3" t="s">
        <v>316</v>
      </c>
      <c r="B123" s="1" t="str">
        <f>IFERROR(__xludf.DUMMYFUNCTION("IFERROR(
  VLOOKUP(
    A123,
    IMPORTRANGE(
      ""1ZygntHC1J6IxzKbTidmOyf5nUyW4GCLurHCjexrLm_o"",
      ""HTMLキャッシュ!A:F""
    ),
    2,
    FALSE
  ),
  0
)
"),"SP")</f>
        <v>SP</v>
      </c>
      <c r="C123" s="1" t="str">
        <f>IFERROR(__xludf.DUMMYFUNCTION("IFERROR(
  VLOOKUP(
    A123,
    IMPORTRANGE(
      ""1ZygntHC1J6IxzKbTidmOyf5nUyW4GCLurHCjexrLm_o"",
      ""HTMLキャッシュ!A:F""
    ),
    5,
    FALSE
  ),
  0
)
"),"大学受験私立大対策の国語個別指導講座｜得点力強化オンライン塾")</f>
        <v>大学受験私立大対策の国語個別指導講座｜得点力強化オンライン塾</v>
      </c>
      <c r="D123" s="1" t="str">
        <f>IFERROR(__xludf.DUMMYFUNCTION("IFERROR(
  VLOOKUP(
    A123,
    IMPORTRANGE(
      ""1ZygntHC1J6IxzKbTidmOyf5nUyW4GCLurHCjexrLm_o        "",
      ""HTMLキャッシュ!A:F""
    ),
    6,
    FALSE
  ),
  0
)
"),"私立大志望で国語が伸び悩む受験生へ。志望校別の個別指導で記述と読解を強化し合格点を安定。オンライン体験受付中")</f>
        <v>私立大志望で国語が伸び悩む受験生へ。志望校別の個別指導で記述と読解を強化し合格点を安定。オンライン体験受付中</v>
      </c>
      <c r="E123" s="32">
        <f>IFERROR(__xludf.DUMMYFUNCTION("IFERROR(
  VLOOKUP(
    A123,
    IMPORTRANGE(
      ""1ZygntHC1J6IxzKbTidmOyf5nUyW4GCLurHCjexrLm_o        "",
      ""HTMLキャッシュ!A:F""
    ),
    3,
    FALSE
  ),
  0
)
"),46081.81190972222)</f>
        <v>46081.81191</v>
      </c>
      <c r="F123" s="49">
        <f>IFERROR(__xludf.DUMMYFUNCTION("IFERROR(
  VLOOKUP(
    A123,
    IMPORTRANGE(
      ""1ZHMy3vVUd_0MrSduXTe1etBb1HNpAlGwQr006ljwMiM"",
      ""GSC最新!A:F""
    ),
    2,
    FALSE
  ),
  0
)
"),1.0)</f>
        <v>1</v>
      </c>
      <c r="G123" s="49">
        <f>IFERROR(__xludf.DUMMYFUNCTION("IFERROR(
  VLOOKUP(
    A123,
    IMPORTRANGE(
      ""1ZHMy3vVUd_0MrSduXTe1etBb1HNpAlGwQr006ljwMiM"",
      ""GSC最新!A:F""
    ),
    3,
    FALSE
  ),
  0
)
"),1.0)</f>
        <v>1</v>
      </c>
      <c r="H123" s="49">
        <f>IFERROR(__xludf.DUMMYFUNCTION("IFERROR(
  VLOOKUP(
    A123,
    IMPORTRANGE(
      ""1ZHMy3vVUd_0MrSduXTe1etBb1HNpAlGwQr006ljwMiM"",
      ""GSC最新!A:F""
    ),
    4,
    FALSE
  ),
  0
)
"),1.0)</f>
        <v>1</v>
      </c>
      <c r="I123" s="49">
        <f>IFERROR(__xludf.DUMMYFUNCTION("IFERROR(
  VLOOKUP(
    A123,
    IMPORTRANGE(
      ""1ZHMy3vVUd_0MrSduXTe1etBb1HNpAlGwQr006ljwMiM"",
      ""GSC最新!A:F""
    ),
    5,
    FALSE
  ),
  0
)
"),1.0)</f>
        <v>1</v>
      </c>
      <c r="J123" s="50">
        <f t="shared" ref="J123:K123" si="606">IFERROR(F123/H123,"-")</f>
        <v>1</v>
      </c>
      <c r="K123" s="50">
        <f t="shared" si="606"/>
        <v>1</v>
      </c>
      <c r="L123" s="6">
        <f>IFERROR(__xludf.DUMMYFUNCTION("IFERROR(
  VLOOKUP(
    A123,
    IMPORTRANGE(
      ""1ZHMy3vVUd_0MrSduXTe1etBb1HNpAlGwQr006ljwMiM"",
      ""GSC最新!A:R""
    ),
    7,
    FALSE
  ),
  0
)
"),43.0)</f>
        <v>43</v>
      </c>
      <c r="M123" s="6">
        <f>IFERROR(__xludf.DUMMYFUNCTION("IFERROR(
  VLOOKUP(
    A123,
    IMPORTRANGE(
      ""1ZHMy3vVUd_0MrSduXTe1etBb1HNpAlGwQr006ljwMiM"",
      ""GSC最新!A:R""
    ),
    10,
    FALSE
  ),
  0
)
"),74.0)</f>
        <v>74</v>
      </c>
      <c r="N123" s="6">
        <f>IFERROR(__xludf.DUMMYFUNCTION("IFERROR(
  VLOOKUP(
    A123,
    IMPORTRANGE(
      ""1ZHMy3vVUd_0MrSduXTe1etBb1HNpAlGwQr006ljwMiM"",
      ""GSC最新!A:R""
    ),
    13,
    FALSE
  ),
  0
)
"),5.0)</f>
        <v>5</v>
      </c>
      <c r="O123" s="6">
        <f>IFERROR(__xludf.DUMMYFUNCTION("IFERROR(
  VLOOKUP(
    A123,
    IMPORTRANGE(
      ""1ZHMy3vVUd_0MrSduXTe1etBb1HNpAlGwQr006ljwMiM"",
      ""GSC最新!A:R""
    ),
    16,
    FALSE
  ),
  0
)
"),15.0)</f>
        <v>15</v>
      </c>
      <c r="P123" s="51">
        <f t="shared" ref="P123:Q123" si="607">IFERROR(L123/N123,"-")</f>
        <v>8.6</v>
      </c>
      <c r="Q123" s="51">
        <f t="shared" si="607"/>
        <v>4.933333333</v>
      </c>
      <c r="R123" s="9">
        <f>IFERROR(__xludf.DUMMYFUNCTION("IFERROR(
  VLOOKUP(
    A123,
    IMPORTRANGE(
      ""1ZHMy3vVUd_0MrSduXTe1etBb1HNpAlGwQr006ljwMiM"",
      ""GSC最新!A:R""
    ),
    8,
    FALSE
  ),
  0
)
"),0.023255813953488372)</f>
        <v>0.02325581395</v>
      </c>
      <c r="S123" s="9">
        <f>IFERROR(__xludf.DUMMYFUNCTION("IFERROR(
  VLOOKUP(
    A123,
    IMPORTRANGE(
      ""1ZHMy3vVUd_0MrSduXTe1etBb1HNpAlGwQr006ljwMiM"",
      ""GSC最新!A:R""
    ),
    11,
    FALSE
  ),
  0
)
"),0.013513513513513514)</f>
        <v>0.01351351351</v>
      </c>
      <c r="T123" s="9">
        <f>IFERROR(__xludf.DUMMYFUNCTION("IFERROR(
  VLOOKUP(
    A123,
    IMPORTRANGE(
      ""1ZHMy3vVUd_0MrSduXTe1etBb1HNpAlGwQr006ljwMiM"",
      ""GSC最新!A:R""
    ),
    14,
    FALSE
  ),
  0
)
"),0.2)</f>
        <v>0.2</v>
      </c>
      <c r="U123" s="9">
        <f>IFERROR(__xludf.DUMMYFUNCTION("IFERROR(
  VLOOKUP(
    A123,
    IMPORTRANGE(
      ""1ZHMy3vVUd_0MrSduXTe1etBb1HNpAlGwQr006ljwMiM"",
      ""GSC最新!A:R""
    ),
    17,
    FALSE
  ),
  0
)
"),0.06666666666666667)</f>
        <v>0.06666666667</v>
      </c>
      <c r="V123" s="9">
        <f t="shared" ref="V123:W123" si="608">IFERROR(R123-T123,"-")</f>
        <v>-0.176744186</v>
      </c>
      <c r="W123" s="9">
        <f t="shared" si="608"/>
        <v>-0.05315315315</v>
      </c>
      <c r="X123" s="65">
        <f>IFERROR(__xludf.DUMMYFUNCTION("IFERROR(
  VLOOKUP(
    A123,
    IMPORTRANGE(
      ""1ZHMy3vVUd_0MrSduXTe1etBb1HNpAlGwQr006ljwMiM"",
      ""GSC最新!A:R""
    ),
    9,
    FALSE
  ),
  0
)
"),17.441860465116278)</f>
        <v>17.44186047</v>
      </c>
      <c r="Y123" s="65">
        <f>IFERROR(__xludf.DUMMYFUNCTION("IFERROR(
  VLOOKUP(
    A123,
    IMPORTRANGE(
      ""1ZHMy3vVUd_0MrSduXTe1etBb1HNpAlGwQr006ljwMiM"",
      ""GSC最新!A:R""
    ),
    12,
    FALSE
  ),
  0
)
"),14.405405405405405)</f>
        <v>14.40540541</v>
      </c>
      <c r="Z123" s="65">
        <f>IFERROR(__xludf.DUMMYFUNCTION("IFERROR(
  VLOOKUP(
    A123,
    IMPORTRANGE(
      ""1ZHMy3vVUd_0MrSduXTe1etBb1HNpAlGwQr006ljwMiM"",
      ""GSC最新!A:R""
    ),
    15,
    FALSE
  ),
  0
)
"),9.2)</f>
        <v>9.2</v>
      </c>
      <c r="AA123" s="65">
        <f>IFERROR(__xludf.DUMMYFUNCTION("IFERROR(
  VLOOKUP(
    A123,
    IMPORTRANGE(
      ""1ZHMy3vVUd_0MrSduXTe1etBb1HNpAlGwQr006ljwMiM"",
      ""GSC最新!A:R""
    ),
    18,
    FALSE
  ),
  0
)
"),12.133333333333333)</f>
        <v>12.13333333</v>
      </c>
      <c r="AB123" s="65">
        <f t="shared" ref="AB123:AC123" si="609">X123-Z123</f>
        <v>8.241860465</v>
      </c>
      <c r="AC123" s="65">
        <f t="shared" si="609"/>
        <v>2.272072072</v>
      </c>
      <c r="AD123" s="53">
        <f>IFERROR(__xludf.DUMMYFUNCTION("IFERROR(
  VLOOKUP(
    A123,
    IMPORTRANGE(
      ""1ZHMy3vVUd_0MrSduXTe1etBb1HNpAlGwQr006ljwMiM"",
      ""GSC最新!A:F""
    ),
    6,
    FALSE
  ),
  0
)
"),46081.0)</f>
        <v>46081</v>
      </c>
      <c r="AE123" s="54">
        <f>IFERROR(__xludf.DUMMYFUNCTION("IFERROR(
  VLOOKUP(
    A123,
    IMPORTRANGE(
      ""1SCYQd7_cobOYqT0r_F0IqD4tE4rYn5y8Eup4PJTH8es"",
      ""Snapshot!A:M""
    ),
    5,
    FALSE
  ),
  ""-""
)
"),9.0)</f>
        <v>9</v>
      </c>
      <c r="AF123" s="54">
        <f>IFERROR(__xludf.DUMMYFUNCTION("IFERROR(
  VLOOKUP(
    A123,
    IMPORTRANGE(
      ""1SCYQd7_cobOYqT0r_F0IqD4tE4rYn5y8Eup4PJTH8es"",
      ""Snapshot!A:M""
    ),
    6,
    FALSE
  ),
  0
)
"),10.0)</f>
        <v>10</v>
      </c>
      <c r="AG123" s="54">
        <f>IFERROR(__xludf.DUMMYFUNCTION("IFERROR(
  VLOOKUP(
    A123,
    IMPORTRANGE(
      ""1SCYQd7_cobOYqT0r_F0IqD4tE4rYn5y8Eup4PJTH8es"",
      ""Snapshot!A:M""
    ),
    7,
    FALSE
  ),
  0
)
"),1857.0)</f>
        <v>1857</v>
      </c>
      <c r="AH123" s="54">
        <f>IFERROR(__xludf.DUMMYFUNCTION("IFERROR(
  VLOOKUP(
    A123,
    IMPORTRANGE(
      ""1SCYQd7_cobOYqT0r_F0IqD4tE4rYn5y8Eup4PJTH8es"",
      ""Snapshot!A:M""
    ),
    8,
    FALSE
  ),
  0
)
"),1.0)</f>
        <v>1</v>
      </c>
      <c r="AI123" s="54">
        <f>IFERROR(__xludf.DUMMYFUNCTION("IFERROR(
  VLOOKUP(
    A123,
    IMPORTRANGE(
      ""1SCYQd7_cobOYqT0r_F0IqD4tE4rYn5y8Eup4PJTH8es"",
      ""Snapshot!A:M""
    ),
    9,
    FALSE
  ),
  0
)
"),1.0)</f>
        <v>1</v>
      </c>
      <c r="AJ123" s="54">
        <f>IFERROR(__xludf.DUMMYFUNCTION("IFERROR(
  VLOOKUP(
    A123,
    IMPORTRANGE(
      ""1SCYQd7_cobOYqT0r_F0IqD4tE4rYn5y8Eup4PJTH8es"",
      ""Snapshot!A:M""
    ),
    13,
    FALSE
  ),
  0
)
"),2.0)</f>
        <v>2</v>
      </c>
      <c r="AK123" s="49">
        <f t="shared" ref="AK123:AL123" si="610">LEN(C123)</f>
        <v>30</v>
      </c>
      <c r="AL123" s="49">
        <f t="shared" si="610"/>
        <v>54</v>
      </c>
    </row>
    <row r="124">
      <c r="A124" s="3" t="s">
        <v>617</v>
      </c>
      <c r="B124" s="1" t="str">
        <f>IFERROR(__xludf.DUMMYFUNCTION("IFERROR(
  VLOOKUP(
    A124,
    IMPORTRANGE(
      ""1ZygntHC1J6IxzKbTidmOyf5nUyW4GCLurHCjexrLm_o"",
      ""HTMLキャッシュ!A:F""
    ),
    2,
    FALSE
  ),
  0
)
"),"MC")</f>
        <v>MC</v>
      </c>
      <c r="C124" s="1" t="str">
        <f>IFERROR(__xludf.DUMMYFUNCTION("IFERROR(
  VLOOKUP(
    A124,
    IMPORTRANGE(
      ""1ZygntHC1J6IxzKbTidmOyf5nUyW4GCLurHCjexrLm_o"",
      ""HTMLキャッシュ!A:F""
    ),
    5,
    FALSE
  ),
  0
)
"),"読解ラボ東京の考える受験国語対策とは？ - 受験国語専門 読解ラボ東京 | 中学受験・大学受験対応の個別指導国語専門塾（オンライン・教室対応）")</f>
        <v>読解ラボ東京の考える受験国語対策とは？ - 受験国語専門 読解ラボ東京 | 中学受験・大学受験対応の個別指導国語専門塾（オンライン・教室対応）</v>
      </c>
      <c r="D124" s="1" t="str">
        <f>IFERROR(__xludf.DUMMYFUNCTION("IFERROR(
  VLOOKUP(
    A124,
    IMPORTRANGE(
      ""1ZygntHC1J6IxzKbTidmOyf5nUyW4GCLurHCjexrLm_o        "",
      ""HTMLキャッシュ!A:F""
    ),
    6,
    FALSE
  ),
  0
)
"),"国語には才能が必要？ 中学受験の国語・大学受験の現代文について、皆様はどのような印象をお持ちでしょうか。「勉強")</f>
        <v>国語には才能が必要？ 中学受験の国語・大学受験の現代文について、皆様はどのような印象をお持ちでしょうか。「勉強</v>
      </c>
      <c r="E124" s="32">
        <f>IFERROR(__xludf.DUMMYFUNCTION("IFERROR(
  VLOOKUP(
    A124,
    IMPORTRANGE(
      ""1ZygntHC1J6IxzKbTidmOyf5nUyW4GCLurHCjexrLm_o        "",
      ""HTMLキャッシュ!A:F""
    ),
    3,
    FALSE
  ),
  0
)
"),46060.420381944445)</f>
        <v>46060.42038</v>
      </c>
      <c r="F124" s="49">
        <f>IFERROR(__xludf.DUMMYFUNCTION("IFERROR(
  VLOOKUP(
    A124,
    IMPORTRANGE(
      ""1ZHMy3vVUd_0MrSduXTe1etBb1HNpAlGwQr006ljwMiM"",
      ""GSC最新!A:F""
    ),
    2,
    FALSE
  ),
  0
)
"),0.0)</f>
        <v>0</v>
      </c>
      <c r="G124" s="49">
        <f>IFERROR(__xludf.DUMMYFUNCTION("IFERROR(
  VLOOKUP(
    A124,
    IMPORTRANGE(
      ""1ZHMy3vVUd_0MrSduXTe1etBb1HNpAlGwQr006ljwMiM"",
      ""GSC最新!A:F""
    ),
    3,
    FALSE
  ),
  0
)
"),0.0)</f>
        <v>0</v>
      </c>
      <c r="H124" s="49">
        <f>IFERROR(__xludf.DUMMYFUNCTION("IFERROR(
  VLOOKUP(
    A124,
    IMPORTRANGE(
      ""1ZHMy3vVUd_0MrSduXTe1etBb1HNpAlGwQr006ljwMiM"",
      ""GSC最新!A:F""
    ),
    4,
    FALSE
  ),
  0
)
"),0.0)</f>
        <v>0</v>
      </c>
      <c r="I124" s="49">
        <f>IFERROR(__xludf.DUMMYFUNCTION("IFERROR(
  VLOOKUP(
    A124,
    IMPORTRANGE(
      ""1ZHMy3vVUd_0MrSduXTe1etBb1HNpAlGwQr006ljwMiM"",
      ""GSC最新!A:F""
    ),
    5,
    FALSE
  ),
  0
)
"),0.0)</f>
        <v>0</v>
      </c>
      <c r="J124" s="50" t="str">
        <f t="shared" ref="J124:K124" si="611">IFERROR(F124/H124,"-")</f>
        <v>-</v>
      </c>
      <c r="K124" s="50" t="str">
        <f t="shared" si="611"/>
        <v>-</v>
      </c>
      <c r="L124" s="6">
        <f>IFERROR(__xludf.DUMMYFUNCTION("IFERROR(
  VLOOKUP(
    A124,
    IMPORTRANGE(
      ""1ZHMy3vVUd_0MrSduXTe1etBb1HNpAlGwQr006ljwMiM"",
      ""GSC最新!A:R""
    ),
    7,
    FALSE
  ),
  0
)
"),0.0)</f>
        <v>0</v>
      </c>
      <c r="M124" s="6">
        <f>IFERROR(__xludf.DUMMYFUNCTION("IFERROR(
  VLOOKUP(
    A124,
    IMPORTRANGE(
      ""1ZHMy3vVUd_0MrSduXTe1etBb1HNpAlGwQr006ljwMiM"",
      ""GSC最新!A:R""
    ),
    10,
    FALSE
  ),
  0
)
"),1.0)</f>
        <v>1</v>
      </c>
      <c r="N124" s="6">
        <f>IFERROR(__xludf.DUMMYFUNCTION("IFERROR(
  VLOOKUP(
    A124,
    IMPORTRANGE(
      ""1ZHMy3vVUd_0MrSduXTe1etBb1HNpAlGwQr006ljwMiM"",
      ""GSC最新!A:R""
    ),
    13,
    FALSE
  ),
  0
)
"),0.0)</f>
        <v>0</v>
      </c>
      <c r="O124" s="6">
        <f>IFERROR(__xludf.DUMMYFUNCTION("IFERROR(
  VLOOKUP(
    A124,
    IMPORTRANGE(
      ""1ZHMy3vVUd_0MrSduXTe1etBb1HNpAlGwQr006ljwMiM"",
      ""GSC最新!A:R""
    ),
    16,
    FALSE
  ),
  0
)
"),6.0)</f>
        <v>6</v>
      </c>
      <c r="P124" s="51" t="str">
        <f t="shared" ref="P124:Q124" si="612">IFERROR(L124/N124,"-")</f>
        <v>-</v>
      </c>
      <c r="Q124" s="51">
        <f t="shared" si="612"/>
        <v>0.1666666667</v>
      </c>
      <c r="R124" s="9">
        <f>IFERROR(__xludf.DUMMYFUNCTION("IFERROR(
  VLOOKUP(
    A124,
    IMPORTRANGE(
      ""1ZHMy3vVUd_0MrSduXTe1etBb1HNpAlGwQr006ljwMiM"",
      ""GSC最新!A:R""
    ),
    8,
    FALSE
  ),
  0
)
"),0.0)</f>
        <v>0</v>
      </c>
      <c r="S124" s="9">
        <f>IFERROR(__xludf.DUMMYFUNCTION("IFERROR(
  VLOOKUP(
    A124,
    IMPORTRANGE(
      ""1ZHMy3vVUd_0MrSduXTe1etBb1HNpAlGwQr006ljwMiM"",
      ""GSC最新!A:R""
    ),
    11,
    FALSE
  ),
  0
)
"),0.0)</f>
        <v>0</v>
      </c>
      <c r="T124" s="9">
        <f>IFERROR(__xludf.DUMMYFUNCTION("IFERROR(
  VLOOKUP(
    A124,
    IMPORTRANGE(
      ""1ZHMy3vVUd_0MrSduXTe1etBb1HNpAlGwQr006ljwMiM"",
      ""GSC最新!A:R""
    ),
    14,
    FALSE
  ),
  0
)
"),0.0)</f>
        <v>0</v>
      </c>
      <c r="U124" s="9">
        <f>IFERROR(__xludf.DUMMYFUNCTION("IFERROR(
  VLOOKUP(
    A124,
    IMPORTRANGE(
      ""1ZHMy3vVUd_0MrSduXTe1etBb1HNpAlGwQr006ljwMiM"",
      ""GSC最新!A:R""
    ),
    17,
    FALSE
  ),
  0
)
"),0.0)</f>
        <v>0</v>
      </c>
      <c r="V124" s="9">
        <f t="shared" ref="V124:W124" si="613">IFERROR(R124-T124,"-")</f>
        <v>0</v>
      </c>
      <c r="W124" s="9">
        <f t="shared" si="613"/>
        <v>0</v>
      </c>
      <c r="X124" s="65" t="str">
        <f>IFERROR(__xludf.DUMMYFUNCTION("IFERROR(
  VLOOKUP(
    A124,
    IMPORTRANGE(
      ""1ZHMy3vVUd_0MrSduXTe1etBb1HNpAlGwQr006ljwMiM"",
      ""GSC最新!A:R""
    ),
    9,
    FALSE
  ),
  0
)
"),"")</f>
        <v/>
      </c>
      <c r="Y124" s="65">
        <f>IFERROR(__xludf.DUMMYFUNCTION("IFERROR(
  VLOOKUP(
    A124,
    IMPORTRANGE(
      ""1ZHMy3vVUd_0MrSduXTe1etBb1HNpAlGwQr006ljwMiM"",
      ""GSC最新!A:R""
    ),
    12,
    FALSE
  ),
  0
)
"),6.0)</f>
        <v>6</v>
      </c>
      <c r="Z124" s="65" t="str">
        <f>IFERROR(__xludf.DUMMYFUNCTION("IFERROR(
  VLOOKUP(
    A124,
    IMPORTRANGE(
      ""1ZHMy3vVUd_0MrSduXTe1etBb1HNpAlGwQr006ljwMiM"",
      ""GSC最新!A:R""
    ),
    15,
    FALSE
  ),
  0
)
"),"")</f>
        <v/>
      </c>
      <c r="AA124" s="65">
        <f>IFERROR(__xludf.DUMMYFUNCTION("IFERROR(
  VLOOKUP(
    A124,
    IMPORTRANGE(
      ""1ZHMy3vVUd_0MrSduXTe1etBb1HNpAlGwQr006ljwMiM"",
      ""GSC最新!A:R""
    ),
    18,
    FALSE
  ),
  0
)
"),63.0)</f>
        <v>63</v>
      </c>
      <c r="AB124" s="65">
        <f t="shared" ref="AB124:AC124" si="614">X124-Z124</f>
        <v>0</v>
      </c>
      <c r="AC124" s="65">
        <f t="shared" si="614"/>
        <v>-57</v>
      </c>
      <c r="AD124" s="53">
        <f>IFERROR(__xludf.DUMMYFUNCTION("IFERROR(
  VLOOKUP(
    A124,
    IMPORTRANGE(
      ""1ZHMy3vVUd_0MrSduXTe1etBb1HNpAlGwQr006ljwMiM"",
      ""GSC最新!A:F""
    ),
    6,
    FALSE
  ),
  0
)
"),46081.0)</f>
        <v>46081</v>
      </c>
      <c r="AE124" s="54">
        <f>IFERROR(__xludf.DUMMYFUNCTION("IFERROR(
  VLOOKUP(
    A124,
    IMPORTRANGE(
      ""1SCYQd7_cobOYqT0r_F0IqD4tE4rYn5y8Eup4PJTH8es"",
      ""Snapshot!A:M""
    ),
    5,
    FALSE
  ),
  ""-""
)
"),8.0)</f>
        <v>8</v>
      </c>
      <c r="AF124" s="54">
        <f>IFERROR(__xludf.DUMMYFUNCTION("IFERROR(
  VLOOKUP(
    A124,
    IMPORTRANGE(
      ""1SCYQd7_cobOYqT0r_F0IqD4tE4rYn5y8Eup4PJTH8es"",
      ""Snapshot!A:M""
    ),
    6,
    FALSE
  ),
  0
)
"),0.0)</f>
        <v>0</v>
      </c>
      <c r="AG124" s="54">
        <f>IFERROR(__xludf.DUMMYFUNCTION("IFERROR(
  VLOOKUP(
    A124,
    IMPORTRANGE(
      ""1SCYQd7_cobOYqT0r_F0IqD4tE4rYn5y8Eup4PJTH8es"",
      ""Snapshot!A:M""
    ),
    7,
    FALSE
  ),
  0
)
"),1981.0)</f>
        <v>1981</v>
      </c>
      <c r="AH124" s="54">
        <f>IFERROR(__xludf.DUMMYFUNCTION("IFERROR(
  VLOOKUP(
    A124,
    IMPORTRANGE(
      ""1SCYQd7_cobOYqT0r_F0IqD4tE4rYn5y8Eup4PJTH8es"",
      ""Snapshot!A:M""
    ),
    8,
    FALSE
  ),
  0
)
"),2.0)</f>
        <v>2</v>
      </c>
      <c r="AI124" s="54">
        <f>IFERROR(__xludf.DUMMYFUNCTION("IFERROR(
  VLOOKUP(
    A124,
    IMPORTRANGE(
      ""1SCYQd7_cobOYqT0r_F0IqD4tE4rYn5y8Eup4PJTH8es"",
      ""Snapshot!A:M""
    ),
    9,
    FALSE
  ),
  0
)
"),1.0)</f>
        <v>1</v>
      </c>
      <c r="AJ124" s="54">
        <f>IFERROR(__xludf.DUMMYFUNCTION("IFERROR(
  VLOOKUP(
    A124,
    IMPORTRANGE(
      ""1SCYQd7_cobOYqT0r_F0IqD4tE4rYn5y8Eup4PJTH8es"",
      ""Snapshot!A:M""
    ),
    13,
    FALSE
  ),
  0
)
"),3.0)</f>
        <v>3</v>
      </c>
      <c r="AK124" s="49">
        <f t="shared" ref="AK124:AL124" si="615">LEN(C124)</f>
        <v>71</v>
      </c>
      <c r="AL124" s="49">
        <f t="shared" si="615"/>
        <v>55</v>
      </c>
    </row>
    <row r="125">
      <c r="A125" s="3" t="s">
        <v>618</v>
      </c>
      <c r="B125" s="1" t="str">
        <f>IFERROR(__xludf.DUMMYFUNCTION("IFERROR(
  VLOOKUP(
    A125,
    IMPORTRANGE(
      ""1ZygntHC1J6IxzKbTidmOyf5nUyW4GCLurHCjexrLm_o"",
      ""HTMLキャッシュ!A:F""
    ),
    2,
    FALSE
  ),
  0
)
"),"MC")</f>
        <v>MC</v>
      </c>
      <c r="C125" s="1" t="str">
        <f>IFERROR(__xludf.DUMMYFUNCTION("IFERROR(
  VLOOKUP(
    A125,
    IMPORTRANGE(
      ""1ZygntHC1J6IxzKbTidmOyf5nUyW4GCLurHCjexrLm_o"",
      ""HTMLキャッシュ!A:F""
    ),
    5,
    FALSE
  ),
  0
)
"),"大学入試 現代文 - 受験国語専門 読解ラボ東京 | 中学受験・大学受験対応の個別指導国語専門塾（オンライン・教室対応）")</f>
        <v>大学入試 現代文 - 受験国語専門 読解ラボ東京 | 中学受験・大学受験対応の個別指導国語専門塾（オンライン・教室対応）</v>
      </c>
      <c r="D125" s="1" t="str">
        <f>IFERROR(__xludf.DUMMYFUNCTION("IFERROR(
  VLOOKUP(
    A125,
    IMPORTRANGE(
      ""1ZygntHC1J6IxzKbTidmOyf5nUyW4GCLurHCjexrLm_o        "",
      ""HTMLキャッシュ!A:F""
    ),
    6,
    FALSE
  ),
  0
)
"),"大学入試 現代文 2018年2月3日 初版第1刷発行 著者 長島康二 発行者 池田雅行 発行所 株式会社ごま書")</f>
        <v>大学入試 現代文 2018年2月3日 初版第1刷発行 著者 長島康二 発行者 池田雅行 発行所 株式会社ごま書</v>
      </c>
      <c r="E125" s="32">
        <f>IFERROR(__xludf.DUMMYFUNCTION("IFERROR(
  VLOOKUP(
    A125,
    IMPORTRANGE(
      ""1ZygntHC1J6IxzKbTidmOyf5nUyW4GCLurHCjexrLm_o        "",
      ""HTMLキャッシュ!A:F""
    ),
    3,
    FALSE
  ),
  0
)
"),46033.62351851852)</f>
        <v>46033.62352</v>
      </c>
      <c r="F125" s="49">
        <f>IFERROR(__xludf.DUMMYFUNCTION("IFERROR(
  VLOOKUP(
    A125,
    IMPORTRANGE(
      ""1ZHMy3vVUd_0MrSduXTe1etBb1HNpAlGwQr006ljwMiM"",
      ""GSC最新!A:F""
    ),
    2,
    FALSE
  ),
  0
)
"),0.0)</f>
        <v>0</v>
      </c>
      <c r="G125" s="49">
        <f>IFERROR(__xludf.DUMMYFUNCTION("IFERROR(
  VLOOKUP(
    A125,
    IMPORTRANGE(
      ""1ZHMy3vVUd_0MrSduXTe1etBb1HNpAlGwQr006ljwMiM"",
      ""GSC最新!A:F""
    ),
    3,
    FALSE
  ),
  0
)
"),0.0)</f>
        <v>0</v>
      </c>
      <c r="H125" s="49">
        <f>IFERROR(__xludf.DUMMYFUNCTION("IFERROR(
  VLOOKUP(
    A125,
    IMPORTRANGE(
      ""1ZHMy3vVUd_0MrSduXTe1etBb1HNpAlGwQr006ljwMiM"",
      ""GSC最新!A:F""
    ),
    4,
    FALSE
  ),
  0
)
"),0.0)</f>
        <v>0</v>
      </c>
      <c r="I125" s="49">
        <f>IFERROR(__xludf.DUMMYFUNCTION("IFERROR(
  VLOOKUP(
    A125,
    IMPORTRANGE(
      ""1ZHMy3vVUd_0MrSduXTe1etBb1HNpAlGwQr006ljwMiM"",
      ""GSC最新!A:F""
    ),
    5,
    FALSE
  ),
  0
)
"),0.0)</f>
        <v>0</v>
      </c>
      <c r="J125" s="50" t="str">
        <f t="shared" ref="J125:K125" si="616">IFERROR(F125/H125,"-")</f>
        <v>-</v>
      </c>
      <c r="K125" s="50" t="str">
        <f t="shared" si="616"/>
        <v>-</v>
      </c>
      <c r="L125" s="6">
        <f>IFERROR(__xludf.DUMMYFUNCTION("IFERROR(
  VLOOKUP(
    A125,
    IMPORTRANGE(
      ""1ZHMy3vVUd_0MrSduXTe1etBb1HNpAlGwQr006ljwMiM"",
      ""GSC最新!A:R""
    ),
    7,
    FALSE
  ),
  0
)
"),1.0)</f>
        <v>1</v>
      </c>
      <c r="M125" s="6">
        <f>IFERROR(__xludf.DUMMYFUNCTION("IFERROR(
  VLOOKUP(
    A125,
    IMPORTRANGE(
      ""1ZHMy3vVUd_0MrSduXTe1etBb1HNpAlGwQr006ljwMiM"",
      ""GSC最新!A:R""
    ),
    10,
    FALSE
  ),
  0
)
"),6.0)</f>
        <v>6</v>
      </c>
      <c r="N125" s="6">
        <f>IFERROR(__xludf.DUMMYFUNCTION("IFERROR(
  VLOOKUP(
    A125,
    IMPORTRANGE(
      ""1ZHMy3vVUd_0MrSduXTe1etBb1HNpAlGwQr006ljwMiM"",
      ""GSC最新!A:R""
    ),
    13,
    FALSE
  ),
  0
)
"),1.0)</f>
        <v>1</v>
      </c>
      <c r="O125" s="6">
        <f>IFERROR(__xludf.DUMMYFUNCTION("IFERROR(
  VLOOKUP(
    A125,
    IMPORTRANGE(
      ""1ZHMy3vVUd_0MrSduXTe1etBb1HNpAlGwQr006ljwMiM"",
      ""GSC最新!A:R""
    ),
    16,
    FALSE
  ),
  0
)
"),2.0)</f>
        <v>2</v>
      </c>
      <c r="P125" s="51">
        <f t="shared" ref="P125:Q125" si="617">IFERROR(L125/N125,"-")</f>
        <v>1</v>
      </c>
      <c r="Q125" s="51">
        <f t="shared" si="617"/>
        <v>3</v>
      </c>
      <c r="R125" s="9">
        <f>IFERROR(__xludf.DUMMYFUNCTION("IFERROR(
  VLOOKUP(
    A125,
    IMPORTRANGE(
      ""1ZHMy3vVUd_0MrSduXTe1etBb1HNpAlGwQr006ljwMiM"",
      ""GSC最新!A:R""
    ),
    8,
    FALSE
  ),
  0
)
"),0.0)</f>
        <v>0</v>
      </c>
      <c r="S125" s="9">
        <f>IFERROR(__xludf.DUMMYFUNCTION("IFERROR(
  VLOOKUP(
    A125,
    IMPORTRANGE(
      ""1ZHMy3vVUd_0MrSduXTe1etBb1HNpAlGwQr006ljwMiM"",
      ""GSC最新!A:R""
    ),
    11,
    FALSE
  ),
  0
)
"),0.0)</f>
        <v>0</v>
      </c>
      <c r="T125" s="9">
        <f>IFERROR(__xludf.DUMMYFUNCTION("IFERROR(
  VLOOKUP(
    A125,
    IMPORTRANGE(
      ""1ZHMy3vVUd_0MrSduXTe1etBb1HNpAlGwQr006ljwMiM"",
      ""GSC最新!A:R""
    ),
    14,
    FALSE
  ),
  0
)
"),0.0)</f>
        <v>0</v>
      </c>
      <c r="U125" s="9">
        <f>IFERROR(__xludf.DUMMYFUNCTION("IFERROR(
  VLOOKUP(
    A125,
    IMPORTRANGE(
      ""1ZHMy3vVUd_0MrSduXTe1etBb1HNpAlGwQr006ljwMiM"",
      ""GSC最新!A:R""
    ),
    17,
    FALSE
  ),
  0
)
"),0.0)</f>
        <v>0</v>
      </c>
      <c r="V125" s="9">
        <f t="shared" ref="V125:W125" si="618">IFERROR(R125-T125,"-")</f>
        <v>0</v>
      </c>
      <c r="W125" s="9">
        <f t="shared" si="618"/>
        <v>0</v>
      </c>
      <c r="X125" s="65">
        <f>IFERROR(__xludf.DUMMYFUNCTION("IFERROR(
  VLOOKUP(
    A125,
    IMPORTRANGE(
      ""1ZHMy3vVUd_0MrSduXTe1etBb1HNpAlGwQr006ljwMiM"",
      ""GSC最新!A:R""
    ),
    9,
    FALSE
  ),
  0
)
"),11.0)</f>
        <v>11</v>
      </c>
      <c r="Y125" s="65">
        <f>IFERROR(__xludf.DUMMYFUNCTION("IFERROR(
  VLOOKUP(
    A125,
    IMPORTRANGE(
      ""1ZHMy3vVUd_0MrSduXTe1etBb1HNpAlGwQr006ljwMiM"",
      ""GSC最新!A:R""
    ),
    12,
    FALSE
  ),
  0
)
"),3.5)</f>
        <v>3.5</v>
      </c>
      <c r="Z125" s="65">
        <f>IFERROR(__xludf.DUMMYFUNCTION("IFERROR(
  VLOOKUP(
    A125,
    IMPORTRANGE(
      ""1ZHMy3vVUd_0MrSduXTe1etBb1HNpAlGwQr006ljwMiM"",
      ""GSC最新!A:R""
    ),
    15,
    FALSE
  ),
  0
)
"),5.0)</f>
        <v>5</v>
      </c>
      <c r="AA125" s="65">
        <f>IFERROR(__xludf.DUMMYFUNCTION("IFERROR(
  VLOOKUP(
    A125,
    IMPORTRANGE(
      ""1ZHMy3vVUd_0MrSduXTe1etBb1HNpAlGwQr006ljwMiM"",
      ""GSC最新!A:R""
    ),
    18,
    FALSE
  ),
  0
)
"),10.0)</f>
        <v>10</v>
      </c>
      <c r="AB125" s="65">
        <f t="shared" ref="AB125:AC125" si="619">X125-Z125</f>
        <v>6</v>
      </c>
      <c r="AC125" s="65">
        <f t="shared" si="619"/>
        <v>-6.5</v>
      </c>
      <c r="AD125" s="53">
        <f>IFERROR(__xludf.DUMMYFUNCTION("IFERROR(
  VLOOKUP(
    A125,
    IMPORTRANGE(
      ""1ZHMy3vVUd_0MrSduXTe1etBb1HNpAlGwQr006ljwMiM"",
      ""GSC最新!A:F""
    ),
    6,
    FALSE
  ),
  0
)
"),46081.0)</f>
        <v>46081</v>
      </c>
      <c r="AE125" s="54">
        <f>IFERROR(__xludf.DUMMYFUNCTION("IFERROR(
  VLOOKUP(
    A125,
    IMPORTRANGE(
      ""1SCYQd7_cobOYqT0r_F0IqD4tE4rYn5y8Eup4PJTH8es"",
      ""Snapshot!A:M""
    ),
    5,
    FALSE
  ),
  ""-""
)
"),1.0)</f>
        <v>1</v>
      </c>
      <c r="AF125" s="54">
        <f>IFERROR(__xludf.DUMMYFUNCTION("IFERROR(
  VLOOKUP(
    A125,
    IMPORTRANGE(
      ""1SCYQd7_cobOYqT0r_F0IqD4tE4rYn5y8Eup4PJTH8es"",
      ""Snapshot!A:M""
    ),
    6,
    FALSE
  ),
  0
)
"),0.0)</f>
        <v>0</v>
      </c>
      <c r="AG125" s="54">
        <f>IFERROR(__xludf.DUMMYFUNCTION("IFERROR(
  VLOOKUP(
    A125,
    IMPORTRANGE(
      ""1SCYQd7_cobOYqT0r_F0IqD4tE4rYn5y8Eup4PJTH8es"",
      ""Snapshot!A:M""
    ),
    7,
    FALSE
  ),
  0
)
"),435.0)</f>
        <v>435</v>
      </c>
      <c r="AH125" s="54">
        <f>IFERROR(__xludf.DUMMYFUNCTION("IFERROR(
  VLOOKUP(
    A125,
    IMPORTRANGE(
      ""1SCYQd7_cobOYqT0r_F0IqD4tE4rYn5y8Eup4PJTH8es"",
      ""Snapshot!A:M""
    ),
    8,
    FALSE
  ),
  0
)
"),1.0)</f>
        <v>1</v>
      </c>
      <c r="AI125" s="54">
        <f>IFERROR(__xludf.DUMMYFUNCTION("IFERROR(
  VLOOKUP(
    A125,
    IMPORTRANGE(
      ""1SCYQd7_cobOYqT0r_F0IqD4tE4rYn5y8Eup4PJTH8es"",
      ""Snapshot!A:M""
    ),
    9,
    FALSE
  ),
  0
)
"),1.0)</f>
        <v>1</v>
      </c>
      <c r="AJ125" s="54">
        <f>IFERROR(__xludf.DUMMYFUNCTION("IFERROR(
  VLOOKUP(
    A125,
    IMPORTRANGE(
      ""1SCYQd7_cobOYqT0r_F0IqD4tE4rYn5y8Eup4PJTH8es"",
      ""Snapshot!A:M""
    ),
    13,
    FALSE
  ),
  0
)
"),3.0)</f>
        <v>3</v>
      </c>
      <c r="AK125" s="49">
        <f t="shared" ref="AK125:AL125" si="620">LEN(C125)</f>
        <v>60</v>
      </c>
      <c r="AL125" s="49">
        <f t="shared" si="620"/>
        <v>55</v>
      </c>
    </row>
    <row r="126">
      <c r="A126" s="3" t="s">
        <v>619</v>
      </c>
      <c r="B126" s="1" t="str">
        <f>IFERROR(__xludf.DUMMYFUNCTION("IFERROR(
  VLOOKUP(
    A126,
    IMPORTRANGE(
      ""1ZygntHC1J6IxzKbTidmOyf5nUyW4GCLurHCjexrLm_o"",
      ""HTMLキャッシュ!A:F""
    ),
    2,
    FALSE
  ),
  0
)
"),"MC")</f>
        <v>MC</v>
      </c>
      <c r="C126" s="1" t="str">
        <f>IFERROR(__xludf.DUMMYFUNCTION("IFERROR(
  VLOOKUP(
    A126,
    IMPORTRANGE(
      ""1ZygntHC1J6IxzKbTidmOyf5nUyW4GCLurHCjexrLm_o"",
      ""HTMLキャッシュ!A:F""
    ),
    5,
    FALSE
  ),
  0
)
"),"国公立大学 現代文攻略 - 受験国語専門 読解ラボ東京 | 中学受験・大学受験対応の個別指導国語専門塾（オンライン・教室対応）")</f>
        <v>国公立大学 現代文攻略 - 受験国語専門 読解ラボ東京 | 中学受験・大学受験対応の個別指導国語専門塾（オンライン・教室対応）</v>
      </c>
      <c r="D126" s="1" t="str">
        <f>IFERROR(__xludf.DUMMYFUNCTION("IFERROR(
  VLOOKUP(
    A126,
    IMPORTRANGE(
      ""1ZygntHC1J6IxzKbTidmOyf5nUyW4GCLurHCjexrLm_o        "",
      ""HTMLキャッシュ!A:F""
    ),
    6,
    FALSE
  ),
  0
)
"),"国公立大学現代文攻略 2019年1月4日 初版第1刷発行 著者 長島康二 出版社 株式会社ごま書房新社 出版の")</f>
        <v>国公立大学現代文攻略 2019年1月4日 初版第1刷発行 著者 長島康二 出版社 株式会社ごま書房新社 出版の</v>
      </c>
      <c r="E126" s="32">
        <f>IFERROR(__xludf.DUMMYFUNCTION("IFERROR(
  VLOOKUP(
    A126,
    IMPORTRANGE(
      ""1ZygntHC1J6IxzKbTidmOyf5nUyW4GCLurHCjexrLm_o        "",
      ""HTMLキャッシュ!A:F""
    ),
    3,
    FALSE
  ),
  0
)
"),46052.756215277775)</f>
        <v>46052.75622</v>
      </c>
      <c r="F126" s="49">
        <f>IFERROR(__xludf.DUMMYFUNCTION("IFERROR(
  VLOOKUP(
    A126,
    IMPORTRANGE(
      ""1ZHMy3vVUd_0MrSduXTe1etBb1HNpAlGwQr006ljwMiM"",
      ""GSC最新!A:F""
    ),
    2,
    FALSE
  ),
  0
)
"),0.0)</f>
        <v>0</v>
      </c>
      <c r="G126" s="49">
        <f>IFERROR(__xludf.DUMMYFUNCTION("IFERROR(
  VLOOKUP(
    A126,
    IMPORTRANGE(
      ""1ZHMy3vVUd_0MrSduXTe1etBb1HNpAlGwQr006ljwMiM"",
      ""GSC最新!A:F""
    ),
    3,
    FALSE
  ),
  0
)
"),0.0)</f>
        <v>0</v>
      </c>
      <c r="H126" s="49">
        <f>IFERROR(__xludf.DUMMYFUNCTION("IFERROR(
  VLOOKUP(
    A126,
    IMPORTRANGE(
      ""1ZHMy3vVUd_0MrSduXTe1etBb1HNpAlGwQr006ljwMiM"",
      ""GSC最新!A:F""
    ),
    4,
    FALSE
  ),
  0
)
"),0.0)</f>
        <v>0</v>
      </c>
      <c r="I126" s="49">
        <f>IFERROR(__xludf.DUMMYFUNCTION("IFERROR(
  VLOOKUP(
    A126,
    IMPORTRANGE(
      ""1ZHMy3vVUd_0MrSduXTe1etBb1HNpAlGwQr006ljwMiM"",
      ""GSC最新!A:F""
    ),
    5,
    FALSE
  ),
  0
)
"),0.0)</f>
        <v>0</v>
      </c>
      <c r="J126" s="50" t="str">
        <f t="shared" ref="J126:K126" si="621">IFERROR(F126/H126,"-")</f>
        <v>-</v>
      </c>
      <c r="K126" s="50" t="str">
        <f t="shared" si="621"/>
        <v>-</v>
      </c>
      <c r="L126" s="6">
        <f>IFERROR(__xludf.DUMMYFUNCTION("IFERROR(
  VLOOKUP(
    A126,
    IMPORTRANGE(
      ""1ZHMy3vVUd_0MrSduXTe1etBb1HNpAlGwQr006ljwMiM"",
      ""GSC最新!A:R""
    ),
    7,
    FALSE
  ),
  0
)
"),0.0)</f>
        <v>0</v>
      </c>
      <c r="M126" s="6">
        <f>IFERROR(__xludf.DUMMYFUNCTION("IFERROR(
  VLOOKUP(
    A126,
    IMPORTRANGE(
      ""1ZHMy3vVUd_0MrSduXTe1etBb1HNpAlGwQr006ljwMiM"",
      ""GSC最新!A:R""
    ),
    10,
    FALSE
  ),
  0
)
"),2.0)</f>
        <v>2</v>
      </c>
      <c r="N126" s="6">
        <f>IFERROR(__xludf.DUMMYFUNCTION("IFERROR(
  VLOOKUP(
    A126,
    IMPORTRANGE(
      ""1ZHMy3vVUd_0MrSduXTe1etBb1HNpAlGwQr006ljwMiM"",
      ""GSC最新!A:R""
    ),
    13,
    FALSE
  ),
  0
)
"),1.0)</f>
        <v>1</v>
      </c>
      <c r="O126" s="6">
        <f>IFERROR(__xludf.DUMMYFUNCTION("IFERROR(
  VLOOKUP(
    A126,
    IMPORTRANGE(
      ""1ZHMy3vVUd_0MrSduXTe1etBb1HNpAlGwQr006ljwMiM"",
      ""GSC最新!A:R""
    ),
    16,
    FALSE
  ),
  0
)
"),8.0)</f>
        <v>8</v>
      </c>
      <c r="P126" s="51">
        <f t="shared" ref="P126:Q126" si="622">IFERROR(L126/N126,"-")</f>
        <v>0</v>
      </c>
      <c r="Q126" s="51">
        <f t="shared" si="622"/>
        <v>0.25</v>
      </c>
      <c r="R126" s="9">
        <f>IFERROR(__xludf.DUMMYFUNCTION("IFERROR(
  VLOOKUP(
    A126,
    IMPORTRANGE(
      ""1ZHMy3vVUd_0MrSduXTe1etBb1HNpAlGwQr006ljwMiM"",
      ""GSC最新!A:R""
    ),
    8,
    FALSE
  ),
  0
)
"),0.0)</f>
        <v>0</v>
      </c>
      <c r="S126" s="9">
        <f>IFERROR(__xludf.DUMMYFUNCTION("IFERROR(
  VLOOKUP(
    A126,
    IMPORTRANGE(
      ""1ZHMy3vVUd_0MrSduXTe1etBb1HNpAlGwQr006ljwMiM"",
      ""GSC最新!A:R""
    ),
    11,
    FALSE
  ),
  0
)
"),0.0)</f>
        <v>0</v>
      </c>
      <c r="T126" s="9">
        <f>IFERROR(__xludf.DUMMYFUNCTION("IFERROR(
  VLOOKUP(
    A126,
    IMPORTRANGE(
      ""1ZHMy3vVUd_0MrSduXTe1etBb1HNpAlGwQr006ljwMiM"",
      ""GSC最新!A:R""
    ),
    14,
    FALSE
  ),
  0
)
"),0.0)</f>
        <v>0</v>
      </c>
      <c r="U126" s="9">
        <f>IFERROR(__xludf.DUMMYFUNCTION("IFERROR(
  VLOOKUP(
    A126,
    IMPORTRANGE(
      ""1ZHMy3vVUd_0MrSduXTe1etBb1HNpAlGwQr006ljwMiM"",
      ""GSC最新!A:R""
    ),
    17,
    FALSE
  ),
  0
)
"),0.0)</f>
        <v>0</v>
      </c>
      <c r="V126" s="9">
        <f t="shared" ref="V126:W126" si="623">IFERROR(R126-T126,"-")</f>
        <v>0</v>
      </c>
      <c r="W126" s="9">
        <f t="shared" si="623"/>
        <v>0</v>
      </c>
      <c r="X126" s="65" t="str">
        <f>IFERROR(__xludf.DUMMYFUNCTION("IFERROR(
  VLOOKUP(
    A126,
    IMPORTRANGE(
      ""1ZHMy3vVUd_0MrSduXTe1etBb1HNpAlGwQr006ljwMiM"",
      ""GSC最新!A:R""
    ),
    9,
    FALSE
  ),
  0
)
"),"")</f>
        <v/>
      </c>
      <c r="Y126" s="65">
        <f>IFERROR(__xludf.DUMMYFUNCTION("IFERROR(
  VLOOKUP(
    A126,
    IMPORTRANGE(
      ""1ZHMy3vVUd_0MrSduXTe1etBb1HNpAlGwQr006ljwMiM"",
      ""GSC最新!A:R""
    ),
    12,
    FALSE
  ),
  0
)
"),4.0)</f>
        <v>4</v>
      </c>
      <c r="Z126" s="65">
        <f>IFERROR(__xludf.DUMMYFUNCTION("IFERROR(
  VLOOKUP(
    A126,
    IMPORTRANGE(
      ""1ZHMy3vVUd_0MrSduXTe1etBb1HNpAlGwQr006ljwMiM"",
      ""GSC最新!A:R""
    ),
    15,
    FALSE
  ),
  0
)
"),15.0)</f>
        <v>15</v>
      </c>
      <c r="AA126" s="65">
        <f>IFERROR(__xludf.DUMMYFUNCTION("IFERROR(
  VLOOKUP(
    A126,
    IMPORTRANGE(
      ""1ZHMy3vVUd_0MrSduXTe1etBb1HNpAlGwQr006ljwMiM"",
      ""GSC最新!A:R""
    ),
    18,
    FALSE
  ),
  0
)
"),43.625)</f>
        <v>43.625</v>
      </c>
      <c r="AB126" s="65">
        <f t="shared" ref="AB126:AC126" si="624">X126-Z126</f>
        <v>-15</v>
      </c>
      <c r="AC126" s="65">
        <f t="shared" si="624"/>
        <v>-39.625</v>
      </c>
      <c r="AD126" s="53">
        <f>IFERROR(__xludf.DUMMYFUNCTION("IFERROR(
  VLOOKUP(
    A126,
    IMPORTRANGE(
      ""1ZHMy3vVUd_0MrSduXTe1etBb1HNpAlGwQr006ljwMiM"",
      ""GSC最新!A:F""
    ),
    6,
    FALSE
  ),
  0
)
"),46081.0)</f>
        <v>46081</v>
      </c>
      <c r="AE126" s="54">
        <f>IFERROR(__xludf.DUMMYFUNCTION("IFERROR(
  VLOOKUP(
    A126,
    IMPORTRANGE(
      ""1SCYQd7_cobOYqT0r_F0IqD4tE4rYn5y8Eup4PJTH8es"",
      ""Snapshot!A:M""
    ),
    5,
    FALSE
  ),
  ""-""
)
"),5.0)</f>
        <v>5</v>
      </c>
      <c r="AF126" s="54">
        <f>IFERROR(__xludf.DUMMYFUNCTION("IFERROR(
  VLOOKUP(
    A126,
    IMPORTRANGE(
      ""1SCYQd7_cobOYqT0r_F0IqD4tE4rYn5y8Eup4PJTH8es"",
      ""Snapshot!A:M""
    ),
    6,
    FALSE
  ),
  0
)
"),4.0)</f>
        <v>4</v>
      </c>
      <c r="AG126" s="54">
        <f>IFERROR(__xludf.DUMMYFUNCTION("IFERROR(
  VLOOKUP(
    A126,
    IMPORTRANGE(
      ""1SCYQd7_cobOYqT0r_F0IqD4tE4rYn5y8Eup4PJTH8es"",
      ""Snapshot!A:M""
    ),
    7,
    FALSE
  ),
  0
)
"),1478.0)</f>
        <v>1478</v>
      </c>
      <c r="AH126" s="54">
        <f>IFERROR(__xludf.DUMMYFUNCTION("IFERROR(
  VLOOKUP(
    A126,
    IMPORTRANGE(
      ""1SCYQd7_cobOYqT0r_F0IqD4tE4rYn5y8Eup4PJTH8es"",
      ""Snapshot!A:M""
    ),
    8,
    FALSE
  ),
  0
)
"),2.0)</f>
        <v>2</v>
      </c>
      <c r="AI126" s="54">
        <f>IFERROR(__xludf.DUMMYFUNCTION("IFERROR(
  VLOOKUP(
    A126,
    IMPORTRANGE(
      ""1SCYQd7_cobOYqT0r_F0IqD4tE4rYn5y8Eup4PJTH8es"",
      ""Snapshot!A:M""
    ),
    9,
    FALSE
  ),
  0
)
"),2.0)</f>
        <v>2</v>
      </c>
      <c r="AJ126" s="54">
        <f>IFERROR(__xludf.DUMMYFUNCTION("IFERROR(
  VLOOKUP(
    A126,
    IMPORTRANGE(
      ""1SCYQd7_cobOYqT0r_F0IqD4tE4rYn5y8Eup4PJTH8es"",
      ""Snapshot!A:M""
    ),
    13,
    FALSE
  ),
  0
)
"),3.0)</f>
        <v>3</v>
      </c>
      <c r="AK126" s="49">
        <f t="shared" ref="AK126:AL126" si="625">LEN(C126)</f>
        <v>63</v>
      </c>
      <c r="AL126" s="49">
        <f t="shared" si="625"/>
        <v>55</v>
      </c>
    </row>
    <row r="127">
      <c r="A127" s="3" t="s">
        <v>620</v>
      </c>
      <c r="B127" s="1" t="str">
        <f>IFERROR(__xludf.DUMMYFUNCTION("IFERROR(
  VLOOKUP(
    A127,
    IMPORTRANGE(
      ""1ZygntHC1J6IxzKbTidmOyf5nUyW4GCLurHCjexrLm_o"",
      ""HTMLキャッシュ!A:F""
    ),
    2,
    FALSE
  ),
  0
)
"),"MC")</f>
        <v>MC</v>
      </c>
      <c r="C127" s="1" t="str">
        <f>IFERROR(__xludf.DUMMYFUNCTION("IFERROR(
  VLOOKUP(
    A127,
    IMPORTRANGE(
      ""1ZygntHC1J6IxzKbTidmOyf5nUyW4GCLurHCjexrLm_o"",
      ""HTMLキャッシュ!A:F""
    ),
    5,
    FALSE
  ),
  0
)
"),"私立大現代文の解き方｜選択肢の見分け方｜大学受験動画")</f>
        <v>私立大現代文の解き方｜選択肢の見分け方｜大学受験動画</v>
      </c>
      <c r="D127" s="1" t="str">
        <f>IFERROR(__xludf.DUMMYFUNCTION("IFERROR(
  VLOOKUP(
    A127,
    IMPORTRANGE(
      ""1ZygntHC1J6IxzKbTidmOyf5nUyW4GCLurHCjexrLm_o        "",
      ""HTMLキャッシュ!A:F""
    ),
    6,
    FALSE
  ),
  0
)
"),"私立大の現代文を動画で学べる解説ページ。設問で何を問うかをつかみ、根拠の場所と言い換えを拾い、選択肢の言い過ぎ・抜け・ズレを見分ける考え方を確認できます。")</f>
        <v>私立大の現代文を動画で学べる解説ページ。設問で何を問うかをつかみ、根拠の場所と言い換えを拾い、選択肢の言い過ぎ・抜け・ズレを見分ける考え方を確認できます。</v>
      </c>
      <c r="E127" s="32">
        <f>IFERROR(__xludf.DUMMYFUNCTION("IFERROR(
  VLOOKUP(
    A127,
    IMPORTRANGE(
      ""1ZygntHC1J6IxzKbTidmOyf5nUyW4GCLurHCjexrLm_o        "",
      ""HTMLキャッシュ!A:F""
    ),
    3,
    FALSE
  ),
  0
)
"),46078.71895833333)</f>
        <v>46078.71896</v>
      </c>
      <c r="F127" s="49">
        <f>IFERROR(__xludf.DUMMYFUNCTION("IFERROR(
  VLOOKUP(
    A127,
    IMPORTRANGE(
      ""1ZHMy3vVUd_0MrSduXTe1etBb1HNpAlGwQr006ljwMiM"",
      ""GSC最新!A:F""
    ),
    2,
    FALSE
  ),
  0
)
"),0.0)</f>
        <v>0</v>
      </c>
      <c r="G127" s="49">
        <f>IFERROR(__xludf.DUMMYFUNCTION("IFERROR(
  VLOOKUP(
    A127,
    IMPORTRANGE(
      ""1ZHMy3vVUd_0MrSduXTe1etBb1HNpAlGwQr006ljwMiM"",
      ""GSC最新!A:F""
    ),
    3,
    FALSE
  ),
  0
)
"),0.0)</f>
        <v>0</v>
      </c>
      <c r="H127" s="49">
        <f>IFERROR(__xludf.DUMMYFUNCTION("IFERROR(
  VLOOKUP(
    A127,
    IMPORTRANGE(
      ""1ZHMy3vVUd_0MrSduXTe1etBb1HNpAlGwQr006ljwMiM"",
      ""GSC最新!A:F""
    ),
    4,
    FALSE
  ),
  0
)
"),0.0)</f>
        <v>0</v>
      </c>
      <c r="I127" s="49">
        <f>IFERROR(__xludf.DUMMYFUNCTION("IFERROR(
  VLOOKUP(
    A127,
    IMPORTRANGE(
      ""1ZHMy3vVUd_0MrSduXTe1etBb1HNpAlGwQr006ljwMiM"",
      ""GSC最新!A:F""
    ),
    5,
    FALSE
  ),
  0
)
"),1.0)</f>
        <v>1</v>
      </c>
      <c r="J127" s="50" t="str">
        <f t="shared" ref="J127:K127" si="626">IFERROR(F127/H127,"-")</f>
        <v>-</v>
      </c>
      <c r="K127" s="50">
        <f t="shared" si="626"/>
        <v>0</v>
      </c>
      <c r="L127" s="6">
        <f>IFERROR(__xludf.DUMMYFUNCTION("IFERROR(
  VLOOKUP(
    A127,
    IMPORTRANGE(
      ""1ZHMy3vVUd_0MrSduXTe1etBb1HNpAlGwQr006ljwMiM"",
      ""GSC最新!A:R""
    ),
    7,
    FALSE
  ),
  0
)
"),20.0)</f>
        <v>20</v>
      </c>
      <c r="M127" s="6">
        <f>IFERROR(__xludf.DUMMYFUNCTION("IFERROR(
  VLOOKUP(
    A127,
    IMPORTRANGE(
      ""1ZHMy3vVUd_0MrSduXTe1etBb1HNpAlGwQr006ljwMiM"",
      ""GSC最新!A:R""
    ),
    10,
    FALSE
  ),
  0
)
"),25.0)</f>
        <v>25</v>
      </c>
      <c r="N127" s="6">
        <f>IFERROR(__xludf.DUMMYFUNCTION("IFERROR(
  VLOOKUP(
    A127,
    IMPORTRANGE(
      ""1ZHMy3vVUd_0MrSduXTe1etBb1HNpAlGwQr006ljwMiM"",
      ""GSC最新!A:R""
    ),
    13,
    FALSE
  ),
  0
)
"),2.0)</f>
        <v>2</v>
      </c>
      <c r="O127" s="6">
        <f>IFERROR(__xludf.DUMMYFUNCTION("IFERROR(
  VLOOKUP(
    A127,
    IMPORTRANGE(
      ""1ZHMy3vVUd_0MrSduXTe1etBb1HNpAlGwQr006ljwMiM"",
      ""GSC最新!A:R""
    ),
    16,
    FALSE
  ),
  0
)
"),8.0)</f>
        <v>8</v>
      </c>
      <c r="P127" s="51">
        <f t="shared" ref="P127:Q127" si="627">IFERROR(L127/N127,"-")</f>
        <v>10</v>
      </c>
      <c r="Q127" s="51">
        <f t="shared" si="627"/>
        <v>3.125</v>
      </c>
      <c r="R127" s="9">
        <f>IFERROR(__xludf.DUMMYFUNCTION("IFERROR(
  VLOOKUP(
    A127,
    IMPORTRANGE(
      ""1ZHMy3vVUd_0MrSduXTe1etBb1HNpAlGwQr006ljwMiM"",
      ""GSC最新!A:R""
    ),
    8,
    FALSE
  ),
  0
)
"),0.0)</f>
        <v>0</v>
      </c>
      <c r="S127" s="9">
        <f>IFERROR(__xludf.DUMMYFUNCTION("IFERROR(
  VLOOKUP(
    A127,
    IMPORTRANGE(
      ""1ZHMy3vVUd_0MrSduXTe1etBb1HNpAlGwQr006ljwMiM"",
      ""GSC最新!A:R""
    ),
    11,
    FALSE
  ),
  0
)
"),0.0)</f>
        <v>0</v>
      </c>
      <c r="T127" s="9">
        <f>IFERROR(__xludf.DUMMYFUNCTION("IFERROR(
  VLOOKUP(
    A127,
    IMPORTRANGE(
      ""1ZHMy3vVUd_0MrSduXTe1etBb1HNpAlGwQr006ljwMiM"",
      ""GSC最新!A:R""
    ),
    14,
    FALSE
  ),
  0
)
"),0.0)</f>
        <v>0</v>
      </c>
      <c r="U127" s="9">
        <f>IFERROR(__xludf.DUMMYFUNCTION("IFERROR(
  VLOOKUP(
    A127,
    IMPORTRANGE(
      ""1ZHMy3vVUd_0MrSduXTe1etBb1HNpAlGwQr006ljwMiM"",
      ""GSC最新!A:R""
    ),
    17,
    FALSE
  ),
  0
)
"),0.125)</f>
        <v>0.125</v>
      </c>
      <c r="V127" s="9">
        <f t="shared" ref="V127:W127" si="628">IFERROR(R127-T127,"-")</f>
        <v>0</v>
      </c>
      <c r="W127" s="9">
        <f t="shared" si="628"/>
        <v>-0.125</v>
      </c>
      <c r="X127" s="65">
        <f>IFERROR(__xludf.DUMMYFUNCTION("IFERROR(
  VLOOKUP(
    A127,
    IMPORTRANGE(
      ""1ZHMy3vVUd_0MrSduXTe1etBb1HNpAlGwQr006ljwMiM"",
      ""GSC最新!A:R""
    ),
    9,
    FALSE
  ),
  0
)
"),8.15)</f>
        <v>8.15</v>
      </c>
      <c r="Y127" s="65">
        <f>IFERROR(__xludf.DUMMYFUNCTION("IFERROR(
  VLOOKUP(
    A127,
    IMPORTRANGE(
      ""1ZHMy3vVUd_0MrSduXTe1etBb1HNpAlGwQr006ljwMiM"",
      ""GSC最新!A:R""
    ),
    12,
    FALSE
  ),
  0
)
"),7.96)</f>
        <v>7.96</v>
      </c>
      <c r="Z127" s="65">
        <f>IFERROR(__xludf.DUMMYFUNCTION("IFERROR(
  VLOOKUP(
    A127,
    IMPORTRANGE(
      ""1ZHMy3vVUd_0MrSduXTe1etBb1HNpAlGwQr006ljwMiM"",
      ""GSC最新!A:R""
    ),
    15,
    FALSE
  ),
  0
)
"),56.5)</f>
        <v>56.5</v>
      </c>
      <c r="AA127" s="65">
        <f>IFERROR(__xludf.DUMMYFUNCTION("IFERROR(
  VLOOKUP(
    A127,
    IMPORTRANGE(
      ""1ZHMy3vVUd_0MrSduXTe1etBb1HNpAlGwQr006ljwMiM"",
      ""GSC最新!A:R""
    ),
    18,
    FALSE
  ),
  0
)
"),22.5)</f>
        <v>22.5</v>
      </c>
      <c r="AB127" s="65">
        <f t="shared" ref="AB127:AC127" si="629">X127-Z127</f>
        <v>-48.35</v>
      </c>
      <c r="AC127" s="65">
        <f t="shared" si="629"/>
        <v>-14.54</v>
      </c>
      <c r="AD127" s="53">
        <f>IFERROR(__xludf.DUMMYFUNCTION("IFERROR(
  VLOOKUP(
    A127,
    IMPORTRANGE(
      ""1ZHMy3vVUd_0MrSduXTe1etBb1HNpAlGwQr006ljwMiM"",
      ""GSC最新!A:F""
    ),
    6,
    FALSE
  ),
  0
)
"),46081.0)</f>
        <v>46081</v>
      </c>
      <c r="AE127" s="54">
        <f>IFERROR(__xludf.DUMMYFUNCTION("IFERROR(
  VLOOKUP(
    A127,
    IMPORTRANGE(
      ""1SCYQd7_cobOYqT0r_F0IqD4tE4rYn5y8Eup4PJTH8es"",
      ""Snapshot!A:M""
    ),
    5,
    FALSE
  ),
  ""-""
)
"),10.0)</f>
        <v>10</v>
      </c>
      <c r="AF127" s="54">
        <f>IFERROR(__xludf.DUMMYFUNCTION("IFERROR(
  VLOOKUP(
    A127,
    IMPORTRANGE(
      ""1SCYQd7_cobOYqT0r_F0IqD4tE4rYn5y8Eup4PJTH8es"",
      ""Snapshot!A:M""
    ),
    6,
    FALSE
  ),
  0
)
"),6.0)</f>
        <v>6</v>
      </c>
      <c r="AG127" s="54">
        <f>IFERROR(__xludf.DUMMYFUNCTION("IFERROR(
  VLOOKUP(
    A127,
    IMPORTRANGE(
      ""1SCYQd7_cobOYqT0r_F0IqD4tE4rYn5y8Eup4PJTH8es"",
      ""Snapshot!A:M""
    ),
    7,
    FALSE
  ),
  0
)
"),3096.0)</f>
        <v>3096</v>
      </c>
      <c r="AH127" s="54">
        <f>IFERROR(__xludf.DUMMYFUNCTION("IFERROR(
  VLOOKUP(
    A127,
    IMPORTRANGE(
      ""1SCYQd7_cobOYqT0r_F0IqD4tE4rYn5y8Eup4PJTH8es"",
      ""Snapshot!A:M""
    ),
    8,
    FALSE
  ),
  0
)
"),1.0)</f>
        <v>1</v>
      </c>
      <c r="AI127" s="54">
        <f>IFERROR(__xludf.DUMMYFUNCTION("IFERROR(
  VLOOKUP(
    A127,
    IMPORTRANGE(
      ""1SCYQd7_cobOYqT0r_F0IqD4tE4rYn5y8Eup4PJTH8es"",
      ""Snapshot!A:M""
    ),
    9,
    FALSE
  ),
  0
)
"),2.0)</f>
        <v>2</v>
      </c>
      <c r="AJ127" s="54">
        <f>IFERROR(__xludf.DUMMYFUNCTION("IFERROR(
  VLOOKUP(
    A127,
    IMPORTRANGE(
      ""1SCYQd7_cobOYqT0r_F0IqD4tE4rYn5y8Eup4PJTH8es"",
      ""Snapshot!A:M""
    ),
    13,
    FALSE
  ),
  0
)
"),3.0)</f>
        <v>3</v>
      </c>
      <c r="AK127" s="49">
        <f t="shared" ref="AK127:AL127" si="630">LEN(C127)</f>
        <v>26</v>
      </c>
      <c r="AL127" s="49">
        <f t="shared" si="630"/>
        <v>77</v>
      </c>
    </row>
    <row r="128">
      <c r="A128" s="3" t="s">
        <v>621</v>
      </c>
      <c r="B128" s="1" t="str">
        <f>IFERROR(__xludf.DUMMYFUNCTION("IFERROR(
  VLOOKUP(
    A128,
    IMPORTRANGE(
      ""1ZygntHC1J6IxzKbTidmOyf5nUyW4GCLurHCjexrLm_o"",
      ""HTMLキャッシュ!A:F""
    ),
    2,
    FALSE
  ),
  0
)
"),"MC")</f>
        <v>MC</v>
      </c>
      <c r="C128" s="1" t="str">
        <f>IFERROR(__xludf.DUMMYFUNCTION("IFERROR(
  VLOOKUP(
    A128,
    IMPORTRANGE(
      ""1ZygntHC1J6IxzKbTidmOyf5nUyW4GCLurHCjexrLm_o"",
      ""HTMLキャッシュ!A:F""
    ),
    5,
    FALSE
  ),
  0
)
"),"大学入試現代文・入門 書込み式学習で偏差値アップ！ - 受験国語専門 読解ラボ東京 | 中学受験・大学受験対応の個別指導国語専門塾（オンライン・教室対応）")</f>
        <v>大学入試現代文・入門 書込み式学習で偏差値アップ！ - 受験国語専門 読解ラボ東京 | 中学受験・大学受験対応の個別指導国語専門塾（オンライン・教室対応）</v>
      </c>
      <c r="D128" s="1" t="str">
        <f>IFERROR(__xludf.DUMMYFUNCTION("IFERROR(
  VLOOKUP(
    A128,
    IMPORTRANGE(
      ""1ZygntHC1J6IxzKbTidmOyf5nUyW4GCLurHCjexrLm_o        "",
      ""HTMLキャッシュ!A:F""
    ),
    6,
    FALSE
  ),
  0
)
"),"いつも当塾のホームページをご覧いただき、ありがとうございます。代表の長島です。本日は、表題の件につきましてご案")</f>
        <v>いつも当塾のホームページをご覧いただき、ありがとうございます。代表の長島です。本日は、表題の件につきましてご案</v>
      </c>
      <c r="E128" s="32">
        <f>IFERROR(__xludf.DUMMYFUNCTION("IFERROR(
  VLOOKUP(
    A128,
    IMPORTRANGE(
      ""1ZygntHC1J6IxzKbTidmOyf5nUyW4GCLurHCjexrLm_o        "",
      ""HTMLキャッシュ!A:F""
    ),
    3,
    FALSE
  ),
  0
)
"),46043.78396990741)</f>
        <v>46043.78397</v>
      </c>
      <c r="F128" s="49">
        <f>IFERROR(__xludf.DUMMYFUNCTION("IFERROR(
  VLOOKUP(
    A128,
    IMPORTRANGE(
      ""1ZHMy3vVUd_0MrSduXTe1etBb1HNpAlGwQr006ljwMiM"",
      ""GSC最新!A:F""
    ),
    2,
    FALSE
  ),
  0
)
"),0.0)</f>
        <v>0</v>
      </c>
      <c r="G128" s="49">
        <f>IFERROR(__xludf.DUMMYFUNCTION("IFERROR(
  VLOOKUP(
    A128,
    IMPORTRANGE(
      ""1ZHMy3vVUd_0MrSduXTe1etBb1HNpAlGwQr006ljwMiM"",
      ""GSC最新!A:F""
    ),
    3,
    FALSE
  ),
  0
)
"),0.0)</f>
        <v>0</v>
      </c>
      <c r="H128" s="49">
        <f>IFERROR(__xludf.DUMMYFUNCTION("IFERROR(
  VLOOKUP(
    A128,
    IMPORTRANGE(
      ""1ZHMy3vVUd_0MrSduXTe1etBb1HNpAlGwQr006ljwMiM"",
      ""GSC最新!A:F""
    ),
    4,
    FALSE
  ),
  0
)
"),0.0)</f>
        <v>0</v>
      </c>
      <c r="I128" s="49">
        <f>IFERROR(__xludf.DUMMYFUNCTION("IFERROR(
  VLOOKUP(
    A128,
    IMPORTRANGE(
      ""1ZHMy3vVUd_0MrSduXTe1etBb1HNpAlGwQr006ljwMiM"",
      ""GSC最新!A:F""
    ),
    5,
    FALSE
  ),
  0
)
"),0.0)</f>
        <v>0</v>
      </c>
      <c r="J128" s="50" t="str">
        <f t="shared" ref="J128:K128" si="631">IFERROR(F128/H128,"-")</f>
        <v>-</v>
      </c>
      <c r="K128" s="50" t="str">
        <f t="shared" si="631"/>
        <v>-</v>
      </c>
      <c r="L128" s="6">
        <f>IFERROR(__xludf.DUMMYFUNCTION("IFERROR(
  VLOOKUP(
    A128,
    IMPORTRANGE(
      ""1ZHMy3vVUd_0MrSduXTe1etBb1HNpAlGwQr006ljwMiM"",
      ""GSC最新!A:R""
    ),
    7,
    FALSE
  ),
  0
)
"),0.0)</f>
        <v>0</v>
      </c>
      <c r="M128" s="6">
        <f>IFERROR(__xludf.DUMMYFUNCTION("IFERROR(
  VLOOKUP(
    A128,
    IMPORTRANGE(
      ""1ZHMy3vVUd_0MrSduXTe1etBb1HNpAlGwQr006ljwMiM"",
      ""GSC最新!A:R""
    ),
    10,
    FALSE
  ),
  0
)
"),8.0)</f>
        <v>8</v>
      </c>
      <c r="N128" s="6">
        <f>IFERROR(__xludf.DUMMYFUNCTION("IFERROR(
  VLOOKUP(
    A128,
    IMPORTRANGE(
      ""1ZHMy3vVUd_0MrSduXTe1etBb1HNpAlGwQr006ljwMiM"",
      ""GSC最新!A:R""
    ),
    13,
    FALSE
  ),
  0
)
"),2.0)</f>
        <v>2</v>
      </c>
      <c r="O128" s="6">
        <f>IFERROR(__xludf.DUMMYFUNCTION("IFERROR(
  VLOOKUP(
    A128,
    IMPORTRANGE(
      ""1ZHMy3vVUd_0MrSduXTe1etBb1HNpAlGwQr006ljwMiM"",
      ""GSC最新!A:R""
    ),
    16,
    FALSE
  ),
  0
)
"),4.0)</f>
        <v>4</v>
      </c>
      <c r="P128" s="51">
        <f t="shared" ref="P128:Q128" si="632">IFERROR(L128/N128,"-")</f>
        <v>0</v>
      </c>
      <c r="Q128" s="51">
        <f t="shared" si="632"/>
        <v>2</v>
      </c>
      <c r="R128" s="9">
        <f>IFERROR(__xludf.DUMMYFUNCTION("IFERROR(
  VLOOKUP(
    A128,
    IMPORTRANGE(
      ""1ZHMy3vVUd_0MrSduXTe1etBb1HNpAlGwQr006ljwMiM"",
      ""GSC最新!A:R""
    ),
    8,
    FALSE
  ),
  0
)
"),0.0)</f>
        <v>0</v>
      </c>
      <c r="S128" s="9">
        <f>IFERROR(__xludf.DUMMYFUNCTION("IFERROR(
  VLOOKUP(
    A128,
    IMPORTRANGE(
      ""1ZHMy3vVUd_0MrSduXTe1etBb1HNpAlGwQr006ljwMiM"",
      ""GSC最新!A:R""
    ),
    11,
    FALSE
  ),
  0
)
"),0.0)</f>
        <v>0</v>
      </c>
      <c r="T128" s="9">
        <f>IFERROR(__xludf.DUMMYFUNCTION("IFERROR(
  VLOOKUP(
    A128,
    IMPORTRANGE(
      ""1ZHMy3vVUd_0MrSduXTe1etBb1HNpAlGwQr006ljwMiM"",
      ""GSC最新!A:R""
    ),
    14,
    FALSE
  ),
  0
)
"),0.0)</f>
        <v>0</v>
      </c>
      <c r="U128" s="9">
        <f>IFERROR(__xludf.DUMMYFUNCTION("IFERROR(
  VLOOKUP(
    A128,
    IMPORTRANGE(
      ""1ZHMy3vVUd_0MrSduXTe1etBb1HNpAlGwQr006ljwMiM"",
      ""GSC最新!A:R""
    ),
    17,
    FALSE
  ),
  0
)
"),0.0)</f>
        <v>0</v>
      </c>
      <c r="V128" s="9">
        <f t="shared" ref="V128:W128" si="633">IFERROR(R128-T128,"-")</f>
        <v>0</v>
      </c>
      <c r="W128" s="9">
        <f t="shared" si="633"/>
        <v>0</v>
      </c>
      <c r="X128" s="65" t="str">
        <f>IFERROR(__xludf.DUMMYFUNCTION("IFERROR(
  VLOOKUP(
    A128,
    IMPORTRANGE(
      ""1ZHMy3vVUd_0MrSduXTe1etBb1HNpAlGwQr006ljwMiM"",
      ""GSC最新!A:R""
    ),
    9,
    FALSE
  ),
  0
)
"),"")</f>
        <v/>
      </c>
      <c r="Y128" s="65">
        <f>IFERROR(__xludf.DUMMYFUNCTION("IFERROR(
  VLOOKUP(
    A128,
    IMPORTRANGE(
      ""1ZHMy3vVUd_0MrSduXTe1etBb1HNpAlGwQr006ljwMiM"",
      ""GSC最新!A:R""
    ),
    12,
    FALSE
  ),
  0
)
"),9.75)</f>
        <v>9.75</v>
      </c>
      <c r="Z128" s="65">
        <f>IFERROR(__xludf.DUMMYFUNCTION("IFERROR(
  VLOOKUP(
    A128,
    IMPORTRANGE(
      ""1ZHMy3vVUd_0MrSduXTe1etBb1HNpAlGwQr006ljwMiM"",
      ""GSC最新!A:R""
    ),
    15,
    FALSE
  ),
  0
)
"),9.5)</f>
        <v>9.5</v>
      </c>
      <c r="AA128" s="65">
        <f>IFERROR(__xludf.DUMMYFUNCTION("IFERROR(
  VLOOKUP(
    A128,
    IMPORTRANGE(
      ""1ZHMy3vVUd_0MrSduXTe1etBb1HNpAlGwQr006ljwMiM"",
      ""GSC最新!A:R""
    ),
    18,
    FALSE
  ),
  0
)
"),16.25)</f>
        <v>16.25</v>
      </c>
      <c r="AB128" s="65">
        <f t="shared" ref="AB128:AC128" si="634">X128-Z128</f>
        <v>-9.5</v>
      </c>
      <c r="AC128" s="65">
        <f t="shared" si="634"/>
        <v>-6.5</v>
      </c>
      <c r="AD128" s="53">
        <f>IFERROR(__xludf.DUMMYFUNCTION("IFERROR(
  VLOOKUP(
    A128,
    IMPORTRANGE(
      ""1ZHMy3vVUd_0MrSduXTe1etBb1HNpAlGwQr006ljwMiM"",
      ""GSC最新!A:F""
    ),
    6,
    FALSE
  ),
  0
)
"),46081.0)</f>
        <v>46081</v>
      </c>
      <c r="AE128" s="54">
        <f>IFERROR(__xludf.DUMMYFUNCTION("IFERROR(
  VLOOKUP(
    A128,
    IMPORTRANGE(
      ""1SCYQd7_cobOYqT0r_F0IqD4tE4rYn5y8Eup4PJTH8es"",
      ""Snapshot!A:M""
    ),
    5,
    FALSE
  ),
  ""-""
)
"),0.0)</f>
        <v>0</v>
      </c>
      <c r="AF128" s="54">
        <f>IFERROR(__xludf.DUMMYFUNCTION("IFERROR(
  VLOOKUP(
    A128,
    IMPORTRANGE(
      ""1SCYQd7_cobOYqT0r_F0IqD4tE4rYn5y8Eup4PJTH8es"",
      ""Snapshot!A:M""
    ),
    6,
    FALSE
  ),
  0
)
"),2.0)</f>
        <v>2</v>
      </c>
      <c r="AG128" s="54">
        <f>IFERROR(__xludf.DUMMYFUNCTION("IFERROR(
  VLOOKUP(
    A128,
    IMPORTRANGE(
      ""1SCYQd7_cobOYqT0r_F0IqD4tE4rYn5y8Eup4PJTH8es"",
      ""Snapshot!A:M""
    ),
    7,
    FALSE
  ),
  0
)
"),1387.0)</f>
        <v>1387</v>
      </c>
      <c r="AH128" s="54">
        <f>IFERROR(__xludf.DUMMYFUNCTION("IFERROR(
  VLOOKUP(
    A128,
    IMPORTRANGE(
      ""1SCYQd7_cobOYqT0r_F0IqD4tE4rYn5y8Eup4PJTH8es"",
      ""Snapshot!A:M""
    ),
    8,
    FALSE
  ),
  0
)
"),2.0)</f>
        <v>2</v>
      </c>
      <c r="AI128" s="54">
        <f>IFERROR(__xludf.DUMMYFUNCTION("IFERROR(
  VLOOKUP(
    A128,
    IMPORTRANGE(
      ""1SCYQd7_cobOYqT0r_F0IqD4tE4rYn5y8Eup4PJTH8es"",
      ""Snapshot!A:M""
    ),
    9,
    FALSE
  ),
  0
)
"),1.0)</f>
        <v>1</v>
      </c>
      <c r="AJ128" s="54">
        <f>IFERROR(__xludf.DUMMYFUNCTION("IFERROR(
  VLOOKUP(
    A128,
    IMPORTRANGE(
      ""1SCYQd7_cobOYqT0r_F0IqD4tE4rYn5y8Eup4PJTH8es"",
      ""Snapshot!A:M""
    ),
    13,
    FALSE
  ),
  0
)
"),3.0)</f>
        <v>3</v>
      </c>
      <c r="AK128" s="49">
        <f t="shared" ref="AK128:AL128" si="635">LEN(C128)</f>
        <v>77</v>
      </c>
      <c r="AL128" s="49">
        <f t="shared" si="635"/>
        <v>55</v>
      </c>
    </row>
    <row r="129">
      <c r="A129" s="3" t="s">
        <v>622</v>
      </c>
      <c r="B129" s="1" t="str">
        <f>IFERROR(__xludf.DUMMYFUNCTION("IFERROR(
  VLOOKUP(
    A129,
    IMPORTRANGE(
      ""1ZygntHC1J6IxzKbTidmOyf5nUyW4GCLurHCjexrLm_o"",
      ""HTMLキャッシュ!A:F""
    ),
    2,
    FALSE
  ),
  0
)
"),"MC")</f>
        <v>MC</v>
      </c>
      <c r="C129" s="1" t="str">
        <f>IFERROR(__xludf.DUMMYFUNCTION("IFERROR(
  VLOOKUP(
    A129,
    IMPORTRANGE(
      ""1ZygntHC1J6IxzKbTidmOyf5nUyW4GCLurHCjexrLm_o"",
      ""HTMLキャッシュ!A:F""
    ),
    5,
    FALSE
  ),
  0
)
"),"中学入試を目指すための国語勉強法 - 受験国語専門 読解ラボ東京 | 中学受験・大学受験対応の個別指導国語専門塾（オンライン・教室対応）")</f>
        <v>中学入試を目指すための国語勉強法 - 受験国語専門 読解ラボ東京 | 中学受験・大学受験対応の個別指導国語専門塾（オンライン・教室対応）</v>
      </c>
      <c r="D129" s="1" t="str">
        <f>IFERROR(__xludf.DUMMYFUNCTION("IFERROR(
  VLOOKUP(
    A129,
    IMPORTRANGE(
      ""1ZygntHC1J6IxzKbTidmOyf5nUyW4GCLurHCjexrLm_o        "",
      ""HTMLキャッシュ!A:F""
    ),
    6,
    FALSE
  ),
  0
)
"),"中学入試を目指すための国語勉強法 中学入試に向けて、国語の勉強はどのように進めれば良いのでしょうか。出題される")</f>
        <v>中学入試を目指すための国語勉強法 中学入試に向けて、国語の勉強はどのように進めれば良いのでしょうか。出題される</v>
      </c>
      <c r="E129" s="32">
        <f>IFERROR(__xludf.DUMMYFUNCTION("IFERROR(
  VLOOKUP(
    A129,
    IMPORTRANGE(
      ""1ZygntHC1J6IxzKbTidmOyf5nUyW4GCLurHCjexrLm_o        "",
      ""HTMLキャッシュ!A:F""
    ),
    3,
    FALSE
  ),
  0
)
"),46033.68635416667)</f>
        <v>46033.68635</v>
      </c>
      <c r="F129" s="49">
        <f>IFERROR(__xludf.DUMMYFUNCTION("IFERROR(
  VLOOKUP(
    A129,
    IMPORTRANGE(
      ""1ZHMy3vVUd_0MrSduXTe1etBb1HNpAlGwQr006ljwMiM"",
      ""GSC最新!A:F""
    ),
    2,
    FALSE
  ),
  0
)
"),0.0)</f>
        <v>0</v>
      </c>
      <c r="G129" s="49">
        <f>IFERROR(__xludf.DUMMYFUNCTION("IFERROR(
  VLOOKUP(
    A129,
    IMPORTRANGE(
      ""1ZHMy3vVUd_0MrSduXTe1etBb1HNpAlGwQr006ljwMiM"",
      ""GSC最新!A:F""
    ),
    3,
    FALSE
  ),
  0
)
"),0.0)</f>
        <v>0</v>
      </c>
      <c r="H129" s="49">
        <f>IFERROR(__xludf.DUMMYFUNCTION("IFERROR(
  VLOOKUP(
    A129,
    IMPORTRANGE(
      ""1ZHMy3vVUd_0MrSduXTe1etBb1HNpAlGwQr006ljwMiM"",
      ""GSC最新!A:F""
    ),
    4,
    FALSE
  ),
  0
)
"),0.0)</f>
        <v>0</v>
      </c>
      <c r="I129" s="49">
        <f>IFERROR(__xludf.DUMMYFUNCTION("IFERROR(
  VLOOKUP(
    A129,
    IMPORTRANGE(
      ""1ZHMy3vVUd_0MrSduXTe1etBb1HNpAlGwQr006ljwMiM"",
      ""GSC最新!A:F""
    ),
    5,
    FALSE
  ),
  0
)
"),0.0)</f>
        <v>0</v>
      </c>
      <c r="J129" s="50" t="str">
        <f t="shared" ref="J129:K129" si="636">IFERROR(F129/H129,"-")</f>
        <v>-</v>
      </c>
      <c r="K129" s="50" t="str">
        <f t="shared" si="636"/>
        <v>-</v>
      </c>
      <c r="L129" s="6">
        <f>IFERROR(__xludf.DUMMYFUNCTION("IFERROR(
  VLOOKUP(
    A129,
    IMPORTRANGE(
      ""1ZHMy3vVUd_0MrSduXTe1etBb1HNpAlGwQr006ljwMiM"",
      ""GSC最新!A:R""
    ),
    7,
    FALSE
  ),
  0
)
"),0.0)</f>
        <v>0</v>
      </c>
      <c r="M129" s="6">
        <f>IFERROR(__xludf.DUMMYFUNCTION("IFERROR(
  VLOOKUP(
    A129,
    IMPORTRANGE(
      ""1ZHMy3vVUd_0MrSduXTe1etBb1HNpAlGwQr006ljwMiM"",
      ""GSC最新!A:R""
    ),
    10,
    FALSE
  ),
  0
)
"),1.0)</f>
        <v>1</v>
      </c>
      <c r="N129" s="6">
        <f>IFERROR(__xludf.DUMMYFUNCTION("IFERROR(
  VLOOKUP(
    A129,
    IMPORTRANGE(
      ""1ZHMy3vVUd_0MrSduXTe1etBb1HNpAlGwQr006ljwMiM"",
      ""GSC最新!A:R""
    ),
    13,
    FALSE
  ),
  0
)
"),0.0)</f>
        <v>0</v>
      </c>
      <c r="O129" s="6">
        <f>IFERROR(__xludf.DUMMYFUNCTION("IFERROR(
  VLOOKUP(
    A129,
    IMPORTRANGE(
      ""1ZHMy3vVUd_0MrSduXTe1etBb1HNpAlGwQr006ljwMiM"",
      ""GSC最新!A:R""
    ),
    16,
    FALSE
  ),
  0
)
"),2.0)</f>
        <v>2</v>
      </c>
      <c r="P129" s="51" t="str">
        <f t="shared" ref="P129:Q129" si="637">IFERROR(L129/N129,"-")</f>
        <v>-</v>
      </c>
      <c r="Q129" s="51">
        <f t="shared" si="637"/>
        <v>0.5</v>
      </c>
      <c r="R129" s="9">
        <f>IFERROR(__xludf.DUMMYFUNCTION("IFERROR(
  VLOOKUP(
    A129,
    IMPORTRANGE(
      ""1ZHMy3vVUd_0MrSduXTe1etBb1HNpAlGwQr006ljwMiM"",
      ""GSC最新!A:R""
    ),
    8,
    FALSE
  ),
  0
)
"),0.0)</f>
        <v>0</v>
      </c>
      <c r="S129" s="9">
        <f>IFERROR(__xludf.DUMMYFUNCTION("IFERROR(
  VLOOKUP(
    A129,
    IMPORTRANGE(
      ""1ZHMy3vVUd_0MrSduXTe1etBb1HNpAlGwQr006ljwMiM"",
      ""GSC最新!A:R""
    ),
    11,
    FALSE
  ),
  0
)
"),0.0)</f>
        <v>0</v>
      </c>
      <c r="T129" s="9">
        <f>IFERROR(__xludf.DUMMYFUNCTION("IFERROR(
  VLOOKUP(
    A129,
    IMPORTRANGE(
      ""1ZHMy3vVUd_0MrSduXTe1etBb1HNpAlGwQr006ljwMiM"",
      ""GSC最新!A:R""
    ),
    14,
    FALSE
  ),
  0
)
"),0.0)</f>
        <v>0</v>
      </c>
      <c r="U129" s="9">
        <f>IFERROR(__xludf.DUMMYFUNCTION("IFERROR(
  VLOOKUP(
    A129,
    IMPORTRANGE(
      ""1ZHMy3vVUd_0MrSduXTe1etBb1HNpAlGwQr006ljwMiM"",
      ""GSC最新!A:R""
    ),
    17,
    FALSE
  ),
  0
)
"),0.0)</f>
        <v>0</v>
      </c>
      <c r="V129" s="9">
        <f t="shared" ref="V129:W129" si="638">IFERROR(R129-T129,"-")</f>
        <v>0</v>
      </c>
      <c r="W129" s="9">
        <f t="shared" si="638"/>
        <v>0</v>
      </c>
      <c r="X129" s="65" t="str">
        <f>IFERROR(__xludf.DUMMYFUNCTION("IFERROR(
  VLOOKUP(
    A129,
    IMPORTRANGE(
      ""1ZHMy3vVUd_0MrSduXTe1etBb1HNpAlGwQr006ljwMiM"",
      ""GSC最新!A:R""
    ),
    9,
    FALSE
  ),
  0
)
"),"")</f>
        <v/>
      </c>
      <c r="Y129" s="65">
        <f>IFERROR(__xludf.DUMMYFUNCTION("IFERROR(
  VLOOKUP(
    A129,
    IMPORTRANGE(
      ""1ZHMy3vVUd_0MrSduXTe1etBb1HNpAlGwQr006ljwMiM"",
      ""GSC最新!A:R""
    ),
    12,
    FALSE
  ),
  0
)
"),35.0)</f>
        <v>35</v>
      </c>
      <c r="Z129" s="65" t="str">
        <f>IFERROR(__xludf.DUMMYFUNCTION("IFERROR(
  VLOOKUP(
    A129,
    IMPORTRANGE(
      ""1ZHMy3vVUd_0MrSduXTe1etBb1HNpAlGwQr006ljwMiM"",
      ""GSC最新!A:R""
    ),
    15,
    FALSE
  ),
  0
)
"),"")</f>
        <v/>
      </c>
      <c r="AA129" s="65">
        <f>IFERROR(__xludf.DUMMYFUNCTION("IFERROR(
  VLOOKUP(
    A129,
    IMPORTRANGE(
      ""1ZHMy3vVUd_0MrSduXTe1etBb1HNpAlGwQr006ljwMiM"",
      ""GSC最新!A:R""
    ),
    18,
    FALSE
  ),
  0
)
"),3.0)</f>
        <v>3</v>
      </c>
      <c r="AB129" s="65">
        <f t="shared" ref="AB129:AC129" si="639">X129-Z129</f>
        <v>0</v>
      </c>
      <c r="AC129" s="65">
        <f t="shared" si="639"/>
        <v>32</v>
      </c>
      <c r="AD129" s="53">
        <f>IFERROR(__xludf.DUMMYFUNCTION("IFERROR(
  VLOOKUP(
    A129,
    IMPORTRANGE(
      ""1ZHMy3vVUd_0MrSduXTe1etBb1HNpAlGwQr006ljwMiM"",
      ""GSC最新!A:F""
    ),
    6,
    FALSE
  ),
  0
)
"),46081.0)</f>
        <v>46081</v>
      </c>
      <c r="AE129" s="54">
        <f>IFERROR(__xludf.DUMMYFUNCTION("IFERROR(
  VLOOKUP(
    A129,
    IMPORTRANGE(
      ""1SCYQd7_cobOYqT0r_F0IqD4tE4rYn5y8Eup4PJTH8es"",
      ""Snapshot!A:M""
    ),
    5,
    FALSE
  ),
  ""-""
)
"),1.0)</f>
        <v>1</v>
      </c>
      <c r="AF129" s="54">
        <f>IFERROR(__xludf.DUMMYFUNCTION("IFERROR(
  VLOOKUP(
    A129,
    IMPORTRANGE(
      ""1SCYQd7_cobOYqT0r_F0IqD4tE4rYn5y8Eup4PJTH8es"",
      ""Snapshot!A:M""
    ),
    6,
    FALSE
  ),
  0
)
"),0.0)</f>
        <v>0</v>
      </c>
      <c r="AG129" s="54">
        <f>IFERROR(__xludf.DUMMYFUNCTION("IFERROR(
  VLOOKUP(
    A129,
    IMPORTRANGE(
      ""1SCYQd7_cobOYqT0r_F0IqD4tE4rYn5y8Eup4PJTH8es"",
      ""Snapshot!A:M""
    ),
    7,
    FALSE
  ),
  0
)
"),1172.0)</f>
        <v>1172</v>
      </c>
      <c r="AH129" s="54">
        <f>IFERROR(__xludf.DUMMYFUNCTION("IFERROR(
  VLOOKUP(
    A129,
    IMPORTRANGE(
      ""1SCYQd7_cobOYqT0r_F0IqD4tE4rYn5y8Eup4PJTH8es"",
      ""Snapshot!A:M""
    ),
    8,
    FALSE
  ),
  0
)
"),2.0)</f>
        <v>2</v>
      </c>
      <c r="AI129" s="54">
        <f>IFERROR(__xludf.DUMMYFUNCTION("IFERROR(
  VLOOKUP(
    A129,
    IMPORTRANGE(
      ""1SCYQd7_cobOYqT0r_F0IqD4tE4rYn5y8Eup4PJTH8es"",
      ""Snapshot!A:M""
    ),
    9,
    FALSE
  ),
  0
)
"),1.0)</f>
        <v>1</v>
      </c>
      <c r="AJ129" s="54">
        <f>IFERROR(__xludf.DUMMYFUNCTION("IFERROR(
  VLOOKUP(
    A129,
    IMPORTRANGE(
      ""1SCYQd7_cobOYqT0r_F0IqD4tE4rYn5y8Eup4PJTH8es"",
      ""Snapshot!A:M""
    ),
    13,
    FALSE
  ),
  0
)
"),3.0)</f>
        <v>3</v>
      </c>
      <c r="AK129" s="49">
        <f t="shared" ref="AK129:AL129" si="640">LEN(C129)</f>
        <v>68</v>
      </c>
      <c r="AL129" s="49">
        <f t="shared" si="640"/>
        <v>55</v>
      </c>
    </row>
    <row r="130">
      <c r="A130" s="3" t="s">
        <v>623</v>
      </c>
      <c r="B130" s="1" t="str">
        <f>IFERROR(__xludf.DUMMYFUNCTION("IFERROR(
  VLOOKUP(
    A130,
    IMPORTRANGE(
      ""1ZygntHC1J6IxzKbTidmOyf5nUyW4GCLurHCjexrLm_o"",
      ""HTMLキャッシュ!A:F""
    ),
    2,
    FALSE
  ),
  0
)
"),"MC")</f>
        <v>MC</v>
      </c>
      <c r="C130" s="1" t="str">
        <f>IFERROR(__xludf.DUMMYFUNCTION("IFERROR(
  VLOOKUP(
    A130,
    IMPORTRANGE(
      ""1ZygntHC1J6IxzKbTidmOyf5nUyW4GCLurHCjexrLm_o"",
      ""HTMLキャッシュ!A:F""
    ),
    5,
    FALSE
  ),
  0
)
"),"中学受験のトリセツ - 受験国語専門 読解ラボ東京 | 中学受験・大学受験対応の個別指導国語専門塾（オンライン・教室対応）")</f>
        <v>中学受験のトリセツ - 受験国語専門 読解ラボ東京 | 中学受験・大学受験対応の個別指導国語専門塾（オンライン・教室対応）</v>
      </c>
      <c r="D130" s="1" t="str">
        <f>IFERROR(__xludf.DUMMYFUNCTION("IFERROR(
  VLOOKUP(
    A130,
    IMPORTRANGE(
      ""1ZygntHC1J6IxzKbTidmOyf5nUyW4GCLurHCjexrLm_o        "",
      ""HTMLキャッシュ!A:F""
    ),
    6,
    FALSE
  ),
  0
)
"),"いつも当塾ホームページをご覧いただき、ありがとうございます。代表の長島です。本日は、表題の件につきましてお知ら")</f>
        <v>いつも当塾ホームページをご覧いただき、ありがとうございます。代表の長島です。本日は、表題の件につきましてお知ら</v>
      </c>
      <c r="E130" s="32">
        <f>IFERROR(__xludf.DUMMYFUNCTION("IFERROR(
  VLOOKUP(
    A130,
    IMPORTRANGE(
      ""1ZygntHC1J6IxzKbTidmOyf5nUyW4GCLurHCjexrLm_o        "",
      ""HTMLキャッシュ!A:F""
    ),
    3,
    FALSE
  ),
  0
)
"),46033.6268287037)</f>
        <v>46033.62683</v>
      </c>
      <c r="F130" s="49">
        <f>IFERROR(__xludf.DUMMYFUNCTION("IFERROR(
  VLOOKUP(
    A130,
    IMPORTRANGE(
      ""1ZHMy3vVUd_0MrSduXTe1etBb1HNpAlGwQr006ljwMiM"",
      ""GSC最新!A:F""
    ),
    2,
    FALSE
  ),
  0
)
"),0.0)</f>
        <v>0</v>
      </c>
      <c r="G130" s="49">
        <f>IFERROR(__xludf.DUMMYFUNCTION("IFERROR(
  VLOOKUP(
    A130,
    IMPORTRANGE(
      ""1ZHMy3vVUd_0MrSduXTe1etBb1HNpAlGwQr006ljwMiM"",
      ""GSC最新!A:F""
    ),
    3,
    FALSE
  ),
  0
)
"),0.0)</f>
        <v>0</v>
      </c>
      <c r="H130" s="49">
        <f>IFERROR(__xludf.DUMMYFUNCTION("IFERROR(
  VLOOKUP(
    A130,
    IMPORTRANGE(
      ""1ZHMy3vVUd_0MrSduXTe1etBb1HNpAlGwQr006ljwMiM"",
      ""GSC最新!A:F""
    ),
    4,
    FALSE
  ),
  0
)
"),0.0)</f>
        <v>0</v>
      </c>
      <c r="I130" s="49">
        <f>IFERROR(__xludf.DUMMYFUNCTION("IFERROR(
  VLOOKUP(
    A130,
    IMPORTRANGE(
      ""1ZHMy3vVUd_0MrSduXTe1etBb1HNpAlGwQr006ljwMiM"",
      ""GSC最新!A:F""
    ),
    5,
    FALSE
  ),
  0
)
"),0.0)</f>
        <v>0</v>
      </c>
      <c r="J130" s="50" t="str">
        <f t="shared" ref="J130:K130" si="641">IFERROR(F130/H130,"-")</f>
        <v>-</v>
      </c>
      <c r="K130" s="50" t="str">
        <f t="shared" si="641"/>
        <v>-</v>
      </c>
      <c r="L130" s="6">
        <f>IFERROR(__xludf.DUMMYFUNCTION("IFERROR(
  VLOOKUP(
    A130,
    IMPORTRANGE(
      ""1ZHMy3vVUd_0MrSduXTe1etBb1HNpAlGwQr006ljwMiM"",
      ""GSC最新!A:R""
    ),
    7,
    FALSE
  ),
  0
)
"),12.0)</f>
        <v>12</v>
      </c>
      <c r="M130" s="6">
        <f>IFERROR(__xludf.DUMMYFUNCTION("IFERROR(
  VLOOKUP(
    A130,
    IMPORTRANGE(
      ""1ZHMy3vVUd_0MrSduXTe1etBb1HNpAlGwQr006ljwMiM"",
      ""GSC最新!A:R""
    ),
    10,
    FALSE
  ),
  0
)
"),13.0)</f>
        <v>13</v>
      </c>
      <c r="N130" s="6">
        <f>IFERROR(__xludf.DUMMYFUNCTION("IFERROR(
  VLOOKUP(
    A130,
    IMPORTRANGE(
      ""1ZHMy3vVUd_0MrSduXTe1etBb1HNpAlGwQr006ljwMiM"",
      ""GSC最新!A:R""
    ),
    13,
    FALSE
  ),
  0
)
"),2.0)</f>
        <v>2</v>
      </c>
      <c r="O130" s="6">
        <f>IFERROR(__xludf.DUMMYFUNCTION("IFERROR(
  VLOOKUP(
    A130,
    IMPORTRANGE(
      ""1ZHMy3vVUd_0MrSduXTe1etBb1HNpAlGwQr006ljwMiM"",
      ""GSC最新!A:R""
    ),
    16,
    FALSE
  ),
  0
)
"),3.0)</f>
        <v>3</v>
      </c>
      <c r="P130" s="51">
        <f t="shared" ref="P130:Q130" si="642">IFERROR(L130/N130,"-")</f>
        <v>6</v>
      </c>
      <c r="Q130" s="51">
        <f t="shared" si="642"/>
        <v>4.333333333</v>
      </c>
      <c r="R130" s="9">
        <f>IFERROR(__xludf.DUMMYFUNCTION("IFERROR(
  VLOOKUP(
    A130,
    IMPORTRANGE(
      ""1ZHMy3vVUd_0MrSduXTe1etBb1HNpAlGwQr006ljwMiM"",
      ""GSC最新!A:R""
    ),
    8,
    FALSE
  ),
  0
)
"),0.0)</f>
        <v>0</v>
      </c>
      <c r="S130" s="9">
        <f>IFERROR(__xludf.DUMMYFUNCTION("IFERROR(
  VLOOKUP(
    A130,
    IMPORTRANGE(
      ""1ZHMy3vVUd_0MrSduXTe1etBb1HNpAlGwQr006ljwMiM"",
      ""GSC最新!A:R""
    ),
    11,
    FALSE
  ),
  0
)
"),0.0)</f>
        <v>0</v>
      </c>
      <c r="T130" s="9">
        <f>IFERROR(__xludf.DUMMYFUNCTION("IFERROR(
  VLOOKUP(
    A130,
    IMPORTRANGE(
      ""1ZHMy3vVUd_0MrSduXTe1etBb1HNpAlGwQr006ljwMiM"",
      ""GSC最新!A:R""
    ),
    14,
    FALSE
  ),
  0
)
"),0.0)</f>
        <v>0</v>
      </c>
      <c r="U130" s="9">
        <f>IFERROR(__xludf.DUMMYFUNCTION("IFERROR(
  VLOOKUP(
    A130,
    IMPORTRANGE(
      ""1ZHMy3vVUd_0MrSduXTe1etBb1HNpAlGwQr006ljwMiM"",
      ""GSC最新!A:R""
    ),
    17,
    FALSE
  ),
  0
)
"),0.0)</f>
        <v>0</v>
      </c>
      <c r="V130" s="9">
        <f t="shared" ref="V130:W130" si="643">IFERROR(R130-T130,"-")</f>
        <v>0</v>
      </c>
      <c r="W130" s="9">
        <f t="shared" si="643"/>
        <v>0</v>
      </c>
      <c r="X130" s="65">
        <f>IFERROR(__xludf.DUMMYFUNCTION("IFERROR(
  VLOOKUP(
    A130,
    IMPORTRANGE(
      ""1ZHMy3vVUd_0MrSduXTe1etBb1HNpAlGwQr006ljwMiM"",
      ""GSC最新!A:R""
    ),
    9,
    FALSE
  ),
  0
)
"),8.25)</f>
        <v>8.25</v>
      </c>
      <c r="Y130" s="65">
        <f>IFERROR(__xludf.DUMMYFUNCTION("IFERROR(
  VLOOKUP(
    A130,
    IMPORTRANGE(
      ""1ZHMy3vVUd_0MrSduXTe1etBb1HNpAlGwQr006ljwMiM"",
      ""GSC最新!A:R""
    ),
    12,
    FALSE
  ),
  0
)
"),8.384615384615385)</f>
        <v>8.384615385</v>
      </c>
      <c r="Z130" s="65">
        <f>IFERROR(__xludf.DUMMYFUNCTION("IFERROR(
  VLOOKUP(
    A130,
    IMPORTRANGE(
      ""1ZHMy3vVUd_0MrSduXTe1etBb1HNpAlGwQr006ljwMiM"",
      ""GSC最新!A:R""
    ),
    15,
    FALSE
  ),
  0
)
"),33.0)</f>
        <v>33</v>
      </c>
      <c r="AA130" s="65">
        <f>IFERROR(__xludf.DUMMYFUNCTION("IFERROR(
  VLOOKUP(
    A130,
    IMPORTRANGE(
      ""1ZHMy3vVUd_0MrSduXTe1etBb1HNpAlGwQr006ljwMiM"",
      ""GSC最新!A:R""
    ),
    18,
    FALSE
  ),
  0
)
"),26.333333333333332)</f>
        <v>26.33333333</v>
      </c>
      <c r="AB130" s="65">
        <f t="shared" ref="AB130:AC130" si="644">X130-Z130</f>
        <v>-24.75</v>
      </c>
      <c r="AC130" s="65">
        <f t="shared" si="644"/>
        <v>-17.94871795</v>
      </c>
      <c r="AD130" s="53">
        <f>IFERROR(__xludf.DUMMYFUNCTION("IFERROR(
  VLOOKUP(
    A130,
    IMPORTRANGE(
      ""1ZHMy3vVUd_0MrSduXTe1etBb1HNpAlGwQr006ljwMiM"",
      ""GSC最新!A:F""
    ),
    6,
    FALSE
  ),
  0
)
"),46081.0)</f>
        <v>46081</v>
      </c>
      <c r="AE130" s="54">
        <f>IFERROR(__xludf.DUMMYFUNCTION("IFERROR(
  VLOOKUP(
    A130,
    IMPORTRANGE(
      ""1SCYQd7_cobOYqT0r_F0IqD4tE4rYn5y8Eup4PJTH8es"",
      ""Snapshot!A:M""
    ),
    5,
    FALSE
  ),
  ""-""
)
"),13.0)</f>
        <v>13</v>
      </c>
      <c r="AF130" s="54">
        <f>IFERROR(__xludf.DUMMYFUNCTION("IFERROR(
  VLOOKUP(
    A130,
    IMPORTRANGE(
      ""1SCYQd7_cobOYqT0r_F0IqD4tE4rYn5y8Eup4PJTH8es"",
      ""Snapshot!A:M""
    ),
    6,
    FALSE
  ),
  0
)
"),0.0)</f>
        <v>0</v>
      </c>
      <c r="AG130" s="54">
        <f>IFERROR(__xludf.DUMMYFUNCTION("IFERROR(
  VLOOKUP(
    A130,
    IMPORTRANGE(
      ""1SCYQd7_cobOYqT0r_F0IqD4tE4rYn5y8Eup4PJTH8es"",
      ""Snapshot!A:M""
    ),
    7,
    FALSE
  ),
  0
)
"),504.0)</f>
        <v>504</v>
      </c>
      <c r="AH130" s="54">
        <f>IFERROR(__xludf.DUMMYFUNCTION("IFERROR(
  VLOOKUP(
    A130,
    IMPORTRANGE(
      ""1SCYQd7_cobOYqT0r_F0IqD4tE4rYn5y8Eup4PJTH8es"",
      ""Snapshot!A:M""
    ),
    8,
    FALSE
  ),
  0
)
"),1.0)</f>
        <v>1</v>
      </c>
      <c r="AI130" s="54">
        <f>IFERROR(__xludf.DUMMYFUNCTION("IFERROR(
  VLOOKUP(
    A130,
    IMPORTRANGE(
      ""1SCYQd7_cobOYqT0r_F0IqD4tE4rYn5y8Eup4PJTH8es"",
      ""Snapshot!A:M""
    ),
    9,
    FALSE
  ),
  0
)
"),1.0)</f>
        <v>1</v>
      </c>
      <c r="AJ130" s="54">
        <f>IFERROR(__xludf.DUMMYFUNCTION("IFERROR(
  VLOOKUP(
    A130,
    IMPORTRANGE(
      ""1SCYQd7_cobOYqT0r_F0IqD4tE4rYn5y8Eup4PJTH8es"",
      ""Snapshot!A:M""
    ),
    13,
    FALSE
  ),
  0
)
"),3.0)</f>
        <v>3</v>
      </c>
      <c r="AK130" s="49">
        <f t="shared" ref="AK130:AL130" si="645">LEN(C130)</f>
        <v>61</v>
      </c>
      <c r="AL130" s="49">
        <f t="shared" si="645"/>
        <v>55</v>
      </c>
    </row>
    <row r="131">
      <c r="A131" s="3" t="s">
        <v>624</v>
      </c>
      <c r="B131" s="1" t="str">
        <f>IFERROR(__xludf.DUMMYFUNCTION("IFERROR(
  VLOOKUP(
    A131,
    IMPORTRANGE(
      ""1ZygntHC1J6IxzKbTidmOyf5nUyW4GCLurHCjexrLm_o"",
      ""HTMLキャッシュ!A:F""
    ),
    2,
    FALSE
  ),
  0
)
"),"MC")</f>
        <v>MC</v>
      </c>
      <c r="C131" s="1" t="str">
        <f>IFERROR(__xludf.DUMMYFUNCTION("IFERROR(
  VLOOKUP(
    A131,
    IMPORTRANGE(
      ""1ZygntHC1J6IxzKbTidmOyf5nUyW4GCLurHCjexrLm_o"",
      ""HTMLキャッシュ!A:F""
    ),
    5,
    FALSE
  ),
  0
)
"),"慶應義塾中等部・令和３(2021)年度の過去問解説 - 受験国語専門 読解ラボ東京 | 中学受験・大学受験対応の個別指導国語専門塾（オンライン・教室対応）")</f>
        <v>慶應義塾中等部・令和３(2021)年度の過去問解説 - 受験国語専門 読解ラボ東京 | 中学受験・大学受験対応の個別指導国語専門塾（オンライン・教室対応）</v>
      </c>
      <c r="D131" s="1" t="str">
        <f>IFERROR(__xludf.DUMMYFUNCTION("IFERROR(
  VLOOKUP(
    A131,
    IMPORTRANGE(
      ""1ZygntHC1J6IxzKbTidmOyf5nUyW4GCLurHCjexrLm_o        "",
      ""HTMLキャッシュ!A:F""
    ),
    6,
    FALSE
  ),
  0
)
"),"慶應義塾中等部2021 国語の解説動画 令和３年度 慶應義塾中等部の入試より、厳選した問題とその解説をお届けし")</f>
        <v>慶應義塾中等部2021 国語の解説動画 令和３年度 慶應義塾中等部の入試より、厳選した問題とその解説をお届けし</v>
      </c>
      <c r="E131" s="32">
        <f>IFERROR(__xludf.DUMMYFUNCTION("IFERROR(
  VLOOKUP(
    A131,
    IMPORTRANGE(
      ""1ZygntHC1J6IxzKbTidmOyf5nUyW4GCLurHCjexrLm_o        "",
      ""HTMLキャッシュ!A:F""
    ),
    3,
    FALSE
  ),
  0
)
"),46069.717002314814)</f>
        <v>46069.717</v>
      </c>
      <c r="F131" s="49">
        <f>IFERROR(__xludf.DUMMYFUNCTION("IFERROR(
  VLOOKUP(
    A131,
    IMPORTRANGE(
      ""1ZHMy3vVUd_0MrSduXTe1etBb1HNpAlGwQr006ljwMiM"",
      ""GSC最新!A:F""
    ),
    2,
    FALSE
  ),
  0
)
"),0.0)</f>
        <v>0</v>
      </c>
      <c r="G131" s="49">
        <f>IFERROR(__xludf.DUMMYFUNCTION("IFERROR(
  VLOOKUP(
    A131,
    IMPORTRANGE(
      ""1ZHMy3vVUd_0MrSduXTe1etBb1HNpAlGwQr006ljwMiM"",
      ""GSC最新!A:F""
    ),
    3,
    FALSE
  ),
  0
)
"),0.0)</f>
        <v>0</v>
      </c>
      <c r="H131" s="49">
        <f>IFERROR(__xludf.DUMMYFUNCTION("IFERROR(
  VLOOKUP(
    A131,
    IMPORTRANGE(
      ""1ZHMy3vVUd_0MrSduXTe1etBb1HNpAlGwQr006ljwMiM"",
      ""GSC最新!A:F""
    ),
    4,
    FALSE
  ),
  0
)
"),1.0)</f>
        <v>1</v>
      </c>
      <c r="I131" s="49">
        <f>IFERROR(__xludf.DUMMYFUNCTION("IFERROR(
  VLOOKUP(
    A131,
    IMPORTRANGE(
      ""1ZHMy3vVUd_0MrSduXTe1etBb1HNpAlGwQr006ljwMiM"",
      ""GSC最新!A:F""
    ),
    5,
    FALSE
  ),
  0
)
"),3.0)</f>
        <v>3</v>
      </c>
      <c r="J131" s="50">
        <f t="shared" ref="J131:K131" si="646">IFERROR(F131/H131,"-")</f>
        <v>0</v>
      </c>
      <c r="K131" s="50">
        <f t="shared" si="646"/>
        <v>0</v>
      </c>
      <c r="L131" s="6">
        <f>IFERROR(__xludf.DUMMYFUNCTION("IFERROR(
  VLOOKUP(
    A131,
    IMPORTRANGE(
      ""1ZHMy3vVUd_0MrSduXTe1etBb1HNpAlGwQr006ljwMiM"",
      ""GSC最新!A:R""
    ),
    7,
    FALSE
  ),
  0
)
"),18.0)</f>
        <v>18</v>
      </c>
      <c r="M131" s="6">
        <f>IFERROR(__xludf.DUMMYFUNCTION("IFERROR(
  VLOOKUP(
    A131,
    IMPORTRANGE(
      ""1ZHMy3vVUd_0MrSduXTe1etBb1HNpAlGwQr006ljwMiM"",
      ""GSC最新!A:R""
    ),
    10,
    FALSE
  ),
  0
)
"),47.0)</f>
        <v>47</v>
      </c>
      <c r="N131" s="6">
        <f>IFERROR(__xludf.DUMMYFUNCTION("IFERROR(
  VLOOKUP(
    A131,
    IMPORTRANGE(
      ""1ZHMy3vVUd_0MrSduXTe1etBb1HNpAlGwQr006ljwMiM"",
      ""GSC最新!A:R""
    ),
    13,
    FALSE
  ),
  0
)
"),13.0)</f>
        <v>13</v>
      </c>
      <c r="O131" s="6">
        <f>IFERROR(__xludf.DUMMYFUNCTION("IFERROR(
  VLOOKUP(
    A131,
    IMPORTRANGE(
      ""1ZHMy3vVUd_0MrSduXTe1etBb1HNpAlGwQr006ljwMiM"",
      ""GSC最新!A:R""
    ),
    16,
    FALSE
  ),
  0
)
"),93.0)</f>
        <v>93</v>
      </c>
      <c r="P131" s="51">
        <f t="shared" ref="P131:Q131" si="647">IFERROR(L131/N131,"-")</f>
        <v>1.384615385</v>
      </c>
      <c r="Q131" s="51">
        <f t="shared" si="647"/>
        <v>0.5053763441</v>
      </c>
      <c r="R131" s="9">
        <f>IFERROR(__xludf.DUMMYFUNCTION("IFERROR(
  VLOOKUP(
    A131,
    IMPORTRANGE(
      ""1ZHMy3vVUd_0MrSduXTe1etBb1HNpAlGwQr006ljwMiM"",
      ""GSC最新!A:R""
    ),
    8,
    FALSE
  ),
  0
)
"),0.0)</f>
        <v>0</v>
      </c>
      <c r="S131" s="9">
        <f>IFERROR(__xludf.DUMMYFUNCTION("IFERROR(
  VLOOKUP(
    A131,
    IMPORTRANGE(
      ""1ZHMy3vVUd_0MrSduXTe1etBb1HNpAlGwQr006ljwMiM"",
      ""GSC最新!A:R""
    ),
    11,
    FALSE
  ),
  0
)
"),0.0)</f>
        <v>0</v>
      </c>
      <c r="T131" s="9">
        <f>IFERROR(__xludf.DUMMYFUNCTION("IFERROR(
  VLOOKUP(
    A131,
    IMPORTRANGE(
      ""1ZHMy3vVUd_0MrSduXTe1etBb1HNpAlGwQr006ljwMiM"",
      ""GSC最新!A:R""
    ),
    14,
    FALSE
  ),
  0
)
"),0.07692307692307693)</f>
        <v>0.07692307692</v>
      </c>
      <c r="U131" s="9">
        <f>IFERROR(__xludf.DUMMYFUNCTION("IFERROR(
  VLOOKUP(
    A131,
    IMPORTRANGE(
      ""1ZHMy3vVUd_0MrSduXTe1etBb1HNpAlGwQr006ljwMiM"",
      ""GSC最新!A:R""
    ),
    17,
    FALSE
  ),
  0
)
"),0.03225806451612903)</f>
        <v>0.03225806452</v>
      </c>
      <c r="V131" s="9">
        <f t="shared" ref="V131:W131" si="648">IFERROR(R131-T131,"-")</f>
        <v>-0.07692307692</v>
      </c>
      <c r="W131" s="9">
        <f t="shared" si="648"/>
        <v>-0.03225806452</v>
      </c>
      <c r="X131" s="65">
        <f>IFERROR(__xludf.DUMMYFUNCTION("IFERROR(
  VLOOKUP(
    A131,
    IMPORTRANGE(
      ""1ZHMy3vVUd_0MrSduXTe1etBb1HNpAlGwQr006ljwMiM"",
      ""GSC最新!A:R""
    ),
    9,
    FALSE
  ),
  0
)
"),15.944444444444445)</f>
        <v>15.94444444</v>
      </c>
      <c r="Y131" s="65">
        <f>IFERROR(__xludf.DUMMYFUNCTION("IFERROR(
  VLOOKUP(
    A131,
    IMPORTRANGE(
      ""1ZHMy3vVUd_0MrSduXTe1etBb1HNpAlGwQr006ljwMiM"",
      ""GSC最新!A:R""
    ),
    12,
    FALSE
  ),
  0
)
"),11.191489361702128)</f>
        <v>11.19148936</v>
      </c>
      <c r="Z131" s="65">
        <f>IFERROR(__xludf.DUMMYFUNCTION("IFERROR(
  VLOOKUP(
    A131,
    IMPORTRANGE(
      ""1ZHMy3vVUd_0MrSduXTe1etBb1HNpAlGwQr006ljwMiM"",
      ""GSC最新!A:R""
    ),
    15,
    FALSE
  ),
  0
)
"),37.92307692307692)</f>
        <v>37.92307692</v>
      </c>
      <c r="AA131" s="65">
        <f>IFERROR(__xludf.DUMMYFUNCTION("IFERROR(
  VLOOKUP(
    A131,
    IMPORTRANGE(
      ""1ZHMy3vVUd_0MrSduXTe1etBb1HNpAlGwQr006ljwMiM"",
      ""GSC最新!A:R""
    ),
    18,
    FALSE
  ),
  0
)
"),49.46236559139785)</f>
        <v>49.46236559</v>
      </c>
      <c r="AB131" s="65">
        <f t="shared" ref="AB131:AC131" si="649">X131-Z131</f>
        <v>-21.97863248</v>
      </c>
      <c r="AC131" s="65">
        <f t="shared" si="649"/>
        <v>-38.27087623</v>
      </c>
      <c r="AD131" s="53">
        <f>IFERROR(__xludf.DUMMYFUNCTION("IFERROR(
  VLOOKUP(
    A131,
    IMPORTRANGE(
      ""1ZHMy3vVUd_0MrSduXTe1etBb1HNpAlGwQr006ljwMiM"",
      ""GSC最新!A:F""
    ),
    6,
    FALSE
  ),
  0
)
"),46081.0)</f>
        <v>46081</v>
      </c>
      <c r="AE131" s="54">
        <f>IFERROR(__xludf.DUMMYFUNCTION("IFERROR(
  VLOOKUP(
    A131,
    IMPORTRANGE(
      ""1SCYQd7_cobOYqT0r_F0IqD4tE4rYn5y8Eup4PJTH8es"",
      ""Snapshot!A:M""
    ),
    5,
    FALSE
  ),
  ""-""
)
"),8.0)</f>
        <v>8</v>
      </c>
      <c r="AF131" s="54">
        <f>IFERROR(__xludf.DUMMYFUNCTION("IFERROR(
  VLOOKUP(
    A131,
    IMPORTRANGE(
      ""1SCYQd7_cobOYqT0r_F0IqD4tE4rYn5y8Eup4PJTH8es"",
      ""Snapshot!A:M""
    ),
    6,
    FALSE
  ),
  0
)
"),2.0)</f>
        <v>2</v>
      </c>
      <c r="AG131" s="54">
        <f>IFERROR(__xludf.DUMMYFUNCTION("IFERROR(
  VLOOKUP(
    A131,
    IMPORTRANGE(
      ""1SCYQd7_cobOYqT0r_F0IqD4tE4rYn5y8Eup4PJTH8es"",
      ""Snapshot!A:M""
    ),
    7,
    FALSE
  ),
  0
)
"),1508.0)</f>
        <v>1508</v>
      </c>
      <c r="AH131" s="54">
        <f>IFERROR(__xludf.DUMMYFUNCTION("IFERROR(
  VLOOKUP(
    A131,
    IMPORTRANGE(
      ""1SCYQd7_cobOYqT0r_F0IqD4tE4rYn5y8Eup4PJTH8es"",
      ""Snapshot!A:M""
    ),
    8,
    FALSE
  ),
  0
)
"),1.0)</f>
        <v>1</v>
      </c>
      <c r="AI131" s="54">
        <f>IFERROR(__xludf.DUMMYFUNCTION("IFERROR(
  VLOOKUP(
    A131,
    IMPORTRANGE(
      ""1SCYQd7_cobOYqT0r_F0IqD4tE4rYn5y8Eup4PJTH8es"",
      ""Snapshot!A:M""
    ),
    9,
    FALSE
  ),
  0
)
"),2.0)</f>
        <v>2</v>
      </c>
      <c r="AJ131" s="54">
        <f>IFERROR(__xludf.DUMMYFUNCTION("IFERROR(
  VLOOKUP(
    A131,
    IMPORTRANGE(
      ""1SCYQd7_cobOYqT0r_F0IqD4tE4rYn5y8Eup4PJTH8es"",
      ""Snapshot!A:M""
    ),
    13,
    FALSE
  ),
  0
)
"),3.0)</f>
        <v>3</v>
      </c>
      <c r="AK131" s="49">
        <f t="shared" ref="AK131:AL131" si="650">LEN(C131)</f>
        <v>77</v>
      </c>
      <c r="AL131" s="49">
        <f t="shared" si="650"/>
        <v>55</v>
      </c>
    </row>
    <row r="132">
      <c r="A132" s="3" t="s">
        <v>625</v>
      </c>
      <c r="B132" s="1" t="str">
        <f>IFERROR(__xludf.DUMMYFUNCTION("IFERROR(
  VLOOKUP(
    A132,
    IMPORTRANGE(
      ""1ZygntHC1J6IxzKbTidmOyf5nUyW4GCLurHCjexrLm_o"",
      ""HTMLキャッシュ!A:F""
    ),
    2,
    FALSE
  ),
  0
)
"),"MC")</f>
        <v>MC</v>
      </c>
      <c r="C132" s="1" t="str">
        <f>IFERROR(__xludf.DUMMYFUNCTION("IFERROR(
  VLOOKUP(
    A132,
    IMPORTRANGE(
      ""1ZygntHC1J6IxzKbTidmOyf5nUyW4GCLurHCjexrLm_o"",
      ""HTMLキャッシュ!A:F""
    ),
    5,
    FALSE
  ),
  0
)
"),"国語の記述答案ビフォーアフター集──NG答案がこう変わる！ - 受験国語専門 読解ラボ東京 | 中学受験・大学受験対応の個別指導国語専門塾（オンライン・教室対応）")</f>
        <v>国語の記述答案ビフォーアフター集──NG答案がこう変わる！ - 受験国語専門 読解ラボ東京 | 中学受験・大学受験対応の個別指導国語専門塾（オンライン・教室対応）</v>
      </c>
      <c r="D132" s="1" t="str">
        <f>IFERROR(__xludf.DUMMYFUNCTION("IFERROR(
  VLOOKUP(
    A132,
    IMPORTRANGE(
      ""1ZygntHC1J6IxzKbTidmOyf5nUyW4GCLurHCjexrLm_o        "",
      ""HTMLキャッシュ!A:F""
    ),
    6,
    FALSE
  ),
  0
)
"),"小5〜小6国語／記述対策 読み時間目安：10〜15分 「どこを直せば良い答案になるのか分からない」「なんとなく 小5〜小6国語の記述力を伸ばしたいご家庭向けビフォーアフター特集。NG答案と改善答案を比較しながら「どこを直せば点が伸びるか」を具体的に解説し、家庭で使えるマイルール採点表や読解ラボ東京のオンライン指導も紹介します。")</f>
        <v>小5〜小6国語／記述対策 読み時間目安：10〜15分 「どこを直せば良い答案になるのか分からない」「なんとなく 小5〜小6国語の記述力を伸ばしたいご家庭向けビフォーアフター特集。NG答案と改善答案を比較しながら「どこを直せば点が伸びるか」を具体的に解説し、家庭で使えるマイルール採点表や読解ラボ東京のオンライン指導も紹介します。</v>
      </c>
      <c r="E132" s="32">
        <f>IFERROR(__xludf.DUMMYFUNCTION("IFERROR(
  VLOOKUP(
    A132,
    IMPORTRANGE(
      ""1ZygntHC1J6IxzKbTidmOyf5nUyW4GCLurHCjexrLm_o        "",
      ""HTMLキャッシュ!A:F""
    ),
    3,
    FALSE
  ),
  0
)
"),46052.786527777775)</f>
        <v>46052.78653</v>
      </c>
      <c r="F132" s="49">
        <f>IFERROR(__xludf.DUMMYFUNCTION("IFERROR(
  VLOOKUP(
    A132,
    IMPORTRANGE(
      ""1ZHMy3vVUd_0MrSduXTe1etBb1HNpAlGwQr006ljwMiM"",
      ""GSC最新!A:F""
    ),
    2,
    FALSE
  ),
  0
)
"),0.0)</f>
        <v>0</v>
      </c>
      <c r="G132" s="49">
        <f>IFERROR(__xludf.DUMMYFUNCTION("IFERROR(
  VLOOKUP(
    A132,
    IMPORTRANGE(
      ""1ZHMy3vVUd_0MrSduXTe1etBb1HNpAlGwQr006ljwMiM"",
      ""GSC最新!A:F""
    ),
    3,
    FALSE
  ),
  0
)
"),0.0)</f>
        <v>0</v>
      </c>
      <c r="H132" s="49">
        <f>IFERROR(__xludf.DUMMYFUNCTION("IFERROR(
  VLOOKUP(
    A132,
    IMPORTRANGE(
      ""1ZHMy3vVUd_0MrSduXTe1etBb1HNpAlGwQr006ljwMiM"",
      ""GSC最新!A:F""
    ),
    4,
    FALSE
  ),
  0
)
"),0.0)</f>
        <v>0</v>
      </c>
      <c r="I132" s="49">
        <f>IFERROR(__xludf.DUMMYFUNCTION("IFERROR(
  VLOOKUP(
    A132,
    IMPORTRANGE(
      ""1ZHMy3vVUd_0MrSduXTe1etBb1HNpAlGwQr006ljwMiM"",
      ""GSC最新!A:F""
    ),
    5,
    FALSE
  ),
  0
)
"),0.0)</f>
        <v>0</v>
      </c>
      <c r="J132" s="50" t="str">
        <f t="shared" ref="J132:K132" si="651">IFERROR(F132/H132,"-")</f>
        <v>-</v>
      </c>
      <c r="K132" s="50" t="str">
        <f t="shared" si="651"/>
        <v>-</v>
      </c>
      <c r="L132" s="6">
        <f>IFERROR(__xludf.DUMMYFUNCTION("IFERROR(
  VLOOKUP(
    A132,
    IMPORTRANGE(
      ""1ZHMy3vVUd_0MrSduXTe1etBb1HNpAlGwQr006ljwMiM"",
      ""GSC最新!A:R""
    ),
    7,
    FALSE
  ),
  0
)
"),3.0)</f>
        <v>3</v>
      </c>
      <c r="M132" s="6">
        <f>IFERROR(__xludf.DUMMYFUNCTION("IFERROR(
  VLOOKUP(
    A132,
    IMPORTRANGE(
      ""1ZHMy3vVUd_0MrSduXTe1etBb1HNpAlGwQr006ljwMiM"",
      ""GSC最新!A:R""
    ),
    10,
    FALSE
  ),
  0
)
"),13.0)</f>
        <v>13</v>
      </c>
      <c r="N132" s="6">
        <f>IFERROR(__xludf.DUMMYFUNCTION("IFERROR(
  VLOOKUP(
    A132,
    IMPORTRANGE(
      ""1ZHMy3vVUd_0MrSduXTe1etBb1HNpAlGwQr006ljwMiM"",
      ""GSC最新!A:R""
    ),
    13,
    FALSE
  ),
  0
)
"),0.0)</f>
        <v>0</v>
      </c>
      <c r="O132" s="6">
        <f>IFERROR(__xludf.DUMMYFUNCTION("IFERROR(
  VLOOKUP(
    A132,
    IMPORTRANGE(
      ""1ZHMy3vVUd_0MrSduXTe1etBb1HNpAlGwQr006ljwMiM"",
      ""GSC最新!A:R""
    ),
    16,
    FALSE
  ),
  0
)
"),0.0)</f>
        <v>0</v>
      </c>
      <c r="P132" s="51" t="str">
        <f t="shared" ref="P132:Q132" si="652">IFERROR(L132/N132,"-")</f>
        <v>-</v>
      </c>
      <c r="Q132" s="51" t="str">
        <f t="shared" si="652"/>
        <v>-</v>
      </c>
      <c r="R132" s="9">
        <f>IFERROR(__xludf.DUMMYFUNCTION("IFERROR(
  VLOOKUP(
    A132,
    IMPORTRANGE(
      ""1ZHMy3vVUd_0MrSduXTe1etBb1HNpAlGwQr006ljwMiM"",
      ""GSC最新!A:R""
    ),
    8,
    FALSE
  ),
  0
)
"),0.0)</f>
        <v>0</v>
      </c>
      <c r="S132" s="9">
        <f>IFERROR(__xludf.DUMMYFUNCTION("IFERROR(
  VLOOKUP(
    A132,
    IMPORTRANGE(
      ""1ZHMy3vVUd_0MrSduXTe1etBb1HNpAlGwQr006ljwMiM"",
      ""GSC最新!A:R""
    ),
    11,
    FALSE
  ),
  0
)
"),0.0)</f>
        <v>0</v>
      </c>
      <c r="T132" s="9">
        <f>IFERROR(__xludf.DUMMYFUNCTION("IFERROR(
  VLOOKUP(
    A132,
    IMPORTRANGE(
      ""1ZHMy3vVUd_0MrSduXTe1etBb1HNpAlGwQr006ljwMiM"",
      ""GSC最新!A:R""
    ),
    14,
    FALSE
  ),
  0
)
"),0.0)</f>
        <v>0</v>
      </c>
      <c r="U132" s="9">
        <f>IFERROR(__xludf.DUMMYFUNCTION("IFERROR(
  VLOOKUP(
    A132,
    IMPORTRANGE(
      ""1ZHMy3vVUd_0MrSduXTe1etBb1HNpAlGwQr006ljwMiM"",
      ""GSC最新!A:R""
    ),
    17,
    FALSE
  ),
  0
)
"),0.0)</f>
        <v>0</v>
      </c>
      <c r="V132" s="9">
        <f t="shared" ref="V132:W132" si="653">IFERROR(R132-T132,"-")</f>
        <v>0</v>
      </c>
      <c r="W132" s="9">
        <f t="shared" si="653"/>
        <v>0</v>
      </c>
      <c r="X132" s="65">
        <f>IFERROR(__xludf.DUMMYFUNCTION("IFERROR(
  VLOOKUP(
    A132,
    IMPORTRANGE(
      ""1ZHMy3vVUd_0MrSduXTe1etBb1HNpAlGwQr006ljwMiM"",
      ""GSC最新!A:R""
    ),
    9,
    FALSE
  ),
  0
)
"),6.0)</f>
        <v>6</v>
      </c>
      <c r="Y132" s="65">
        <f>IFERROR(__xludf.DUMMYFUNCTION("IFERROR(
  VLOOKUP(
    A132,
    IMPORTRANGE(
      ""1ZHMy3vVUd_0MrSduXTe1etBb1HNpAlGwQr006ljwMiM"",
      ""GSC最新!A:R""
    ),
    12,
    FALSE
  ),
  0
)
"),5.846153846153846)</f>
        <v>5.846153846</v>
      </c>
      <c r="Z132" s="65" t="str">
        <f>IFERROR(__xludf.DUMMYFUNCTION("IFERROR(
  VLOOKUP(
    A132,
    IMPORTRANGE(
      ""1ZHMy3vVUd_0MrSduXTe1etBb1HNpAlGwQr006ljwMiM"",
      ""GSC最新!A:R""
    ),
    15,
    FALSE
  ),
  0
)
"),"")</f>
        <v/>
      </c>
      <c r="AA132" s="65" t="str">
        <f>IFERROR(__xludf.DUMMYFUNCTION("IFERROR(
  VLOOKUP(
    A132,
    IMPORTRANGE(
      ""1ZHMy3vVUd_0MrSduXTe1etBb1HNpAlGwQr006ljwMiM"",
      ""GSC最新!A:R""
    ),
    18,
    FALSE
  ),
  0
)
"),"")</f>
        <v/>
      </c>
      <c r="AB132" s="65">
        <f t="shared" ref="AB132:AC132" si="654">X132-Z132</f>
        <v>6</v>
      </c>
      <c r="AC132" s="65">
        <f t="shared" si="654"/>
        <v>5.846153846</v>
      </c>
      <c r="AD132" s="53">
        <f>IFERROR(__xludf.DUMMYFUNCTION("IFERROR(
  VLOOKUP(
    A132,
    IMPORTRANGE(
      ""1ZHMy3vVUd_0MrSduXTe1etBb1HNpAlGwQr006ljwMiM"",
      ""GSC最新!A:F""
    ),
    6,
    FALSE
  ),
  0
)
"),46081.0)</f>
        <v>46081</v>
      </c>
      <c r="AE132" s="54">
        <f>IFERROR(__xludf.DUMMYFUNCTION("IFERROR(
  VLOOKUP(
    A132,
    IMPORTRANGE(
      ""1SCYQd7_cobOYqT0r_F0IqD4tE4rYn5y8Eup4PJTH8es"",
      ""Snapshot!A:M""
    ),
    5,
    FALSE
  ),
  ""-""
)
"),7.0)</f>
        <v>7</v>
      </c>
      <c r="AF132" s="54">
        <f>IFERROR(__xludf.DUMMYFUNCTION("IFERROR(
  VLOOKUP(
    A132,
    IMPORTRANGE(
      ""1SCYQd7_cobOYqT0r_F0IqD4tE4rYn5y8Eup4PJTH8es"",
      ""Snapshot!A:M""
    ),
    6,
    FALSE
  ),
  0
)
"),11.0)</f>
        <v>11</v>
      </c>
      <c r="AG132" s="54">
        <f>IFERROR(__xludf.DUMMYFUNCTION("IFERROR(
  VLOOKUP(
    A132,
    IMPORTRANGE(
      ""1SCYQd7_cobOYqT0r_F0IqD4tE4rYn5y8Eup4PJTH8es"",
      ""Snapshot!A:M""
    ),
    7,
    FALSE
  ),
  0
)
"),5044.0)</f>
        <v>5044</v>
      </c>
      <c r="AH132" s="54">
        <f>IFERROR(__xludf.DUMMYFUNCTION("IFERROR(
  VLOOKUP(
    A132,
    IMPORTRANGE(
      ""1SCYQd7_cobOYqT0r_F0IqD4tE4rYn5y8Eup4PJTH8es"",
      ""Snapshot!A:M""
    ),
    8,
    FALSE
  ),
  0
)
"),3.0)</f>
        <v>3</v>
      </c>
      <c r="AI132" s="54">
        <f>IFERROR(__xludf.DUMMYFUNCTION("IFERROR(
  VLOOKUP(
    A132,
    IMPORTRANGE(
      ""1SCYQd7_cobOYqT0r_F0IqD4tE4rYn5y8Eup4PJTH8es"",
      ""Snapshot!A:M""
    ),
    9,
    FALSE
  ),
  0
)
"),3.0)</f>
        <v>3</v>
      </c>
      <c r="AJ132" s="54">
        <f>IFERROR(__xludf.DUMMYFUNCTION("IFERROR(
  VLOOKUP(
    A132,
    IMPORTRANGE(
      ""1SCYQd7_cobOYqT0r_F0IqD4tE4rYn5y8Eup4PJTH8es"",
      ""Snapshot!A:M""
    ),
    13,
    FALSE
  ),
  0
)
"),3.0)</f>
        <v>3</v>
      </c>
      <c r="AK132" s="49">
        <f t="shared" ref="AK132:AL132" si="655">LEN(C132)</f>
        <v>81</v>
      </c>
      <c r="AL132" s="49">
        <f t="shared" si="655"/>
        <v>164</v>
      </c>
    </row>
    <row r="133">
      <c r="A133" s="3" t="s">
        <v>626</v>
      </c>
      <c r="B133" s="1" t="str">
        <f>IFERROR(__xludf.DUMMYFUNCTION("IFERROR(
  VLOOKUP(
    A133,
    IMPORTRANGE(
      ""1ZygntHC1J6IxzKbTidmOyf5nUyW4GCLurHCjexrLm_o"",
      ""HTMLキャッシュ!A:F""
    ),
    2,
    FALSE
  ),
  0
)
"),"MC")</f>
        <v>MC</v>
      </c>
      <c r="C133" s="1" t="str">
        <f>IFERROR(__xludf.DUMMYFUNCTION("IFERROR(
  VLOOKUP(
    A133,
    IMPORTRANGE(
      ""1ZygntHC1J6IxzKbTidmOyf5nUyW4GCLurHCjexrLm_o"",
      ""HTMLキャッシュ!A:F""
    ),
    5,
    FALSE
  ),
  0
)
"),"中学受験国語の家庭学習｜読解量の増やし方・漢字週3テスト")</f>
        <v>中学受験国語の家庭学習｜読解量の増やし方・漢字週3テスト</v>
      </c>
      <c r="D133" s="1" t="str">
        <f>IFERROR(__xludf.DUMMYFUNCTION("IFERROR(
  VLOOKUP(
    A133,
    IMPORTRANGE(
      ""1ZygntHC1J6IxzKbTidmOyf5nUyW4GCLurHCjexrLm_o        "",
      ""HTMLキャッシュ!A:F""
    ),
    6,
    FALSE
  ),
  0
)
"),"中学受験国語の家庭学習を週単位で進める考え方を解説。読解量の増やし方、漢字の週3回テスト、記述の書き写し復習、保護者が見る点、オンライン相談の使い方も紹介。")</f>
        <v>中学受験国語の家庭学習を週単位で進める考え方を解説。読解量の増やし方、漢字の週3回テスト、記述の書き写し復習、保護者が見る点、オンライン相談の使い方も紹介。</v>
      </c>
      <c r="E133" s="32">
        <f>IFERROR(__xludf.DUMMYFUNCTION("IFERROR(
  VLOOKUP(
    A133,
    IMPORTRANGE(
      ""1ZygntHC1J6IxzKbTidmOyf5nUyW4GCLurHCjexrLm_o        "",
      ""HTMLキャッシュ!A:F""
    ),
    3,
    FALSE
  ),
  0
)
"),46078.72101851852)</f>
        <v>46078.72102</v>
      </c>
      <c r="F133" s="49">
        <f>IFERROR(__xludf.DUMMYFUNCTION("IFERROR(
  VLOOKUP(
    A133,
    IMPORTRANGE(
      ""1ZHMy3vVUd_0MrSduXTe1etBb1HNpAlGwQr006ljwMiM"",
      ""GSC最新!A:F""
    ),
    2,
    FALSE
  ),
  0
)
"),0.0)</f>
        <v>0</v>
      </c>
      <c r="G133" s="49">
        <f>IFERROR(__xludf.DUMMYFUNCTION("IFERROR(
  VLOOKUP(
    A133,
    IMPORTRANGE(
      ""1ZHMy3vVUd_0MrSduXTe1etBb1HNpAlGwQr006ljwMiM"",
      ""GSC最新!A:F""
    ),
    3,
    FALSE
  ),
  0
)
"),0.0)</f>
        <v>0</v>
      </c>
      <c r="H133" s="49">
        <f>IFERROR(__xludf.DUMMYFUNCTION("IFERROR(
  VLOOKUP(
    A133,
    IMPORTRANGE(
      ""1ZHMy3vVUd_0MrSduXTe1etBb1HNpAlGwQr006ljwMiM"",
      ""GSC最新!A:F""
    ),
    4,
    FALSE
  ),
  0
)
"),1.0)</f>
        <v>1</v>
      </c>
      <c r="I133" s="49">
        <f>IFERROR(__xludf.DUMMYFUNCTION("IFERROR(
  VLOOKUP(
    A133,
    IMPORTRANGE(
      ""1ZHMy3vVUd_0MrSduXTe1etBb1HNpAlGwQr006ljwMiM"",
      ""GSC最新!A:F""
    ),
    5,
    FALSE
  ),
  0
)
"),2.0)</f>
        <v>2</v>
      </c>
      <c r="J133" s="50">
        <f t="shared" ref="J133:K133" si="656">IFERROR(F133/H133,"-")</f>
        <v>0</v>
      </c>
      <c r="K133" s="50">
        <f t="shared" si="656"/>
        <v>0</v>
      </c>
      <c r="L133" s="6">
        <f>IFERROR(__xludf.DUMMYFUNCTION("IFERROR(
  VLOOKUP(
    A133,
    IMPORTRANGE(
      ""1ZHMy3vVUd_0MrSduXTe1etBb1HNpAlGwQr006ljwMiM"",
      ""GSC最新!A:R""
    ),
    7,
    FALSE
  ),
  0
)
"),36.0)</f>
        <v>36</v>
      </c>
      <c r="M133" s="6">
        <f>IFERROR(__xludf.DUMMYFUNCTION("IFERROR(
  VLOOKUP(
    A133,
    IMPORTRANGE(
      ""1ZHMy3vVUd_0MrSduXTe1etBb1HNpAlGwQr006ljwMiM"",
      ""GSC最新!A:R""
    ),
    10,
    FALSE
  ),
  0
)
"),57.0)</f>
        <v>57</v>
      </c>
      <c r="N133" s="6">
        <f>IFERROR(__xludf.DUMMYFUNCTION("IFERROR(
  VLOOKUP(
    A133,
    IMPORTRANGE(
      ""1ZHMy3vVUd_0MrSduXTe1etBb1HNpAlGwQr006ljwMiM"",
      ""GSC最新!A:R""
    ),
    13,
    FALSE
  ),
  0
)
"),4.0)</f>
        <v>4</v>
      </c>
      <c r="O133" s="6">
        <f>IFERROR(__xludf.DUMMYFUNCTION("IFERROR(
  VLOOKUP(
    A133,
    IMPORTRANGE(
      ""1ZHMy3vVUd_0MrSduXTe1etBb1HNpAlGwQr006ljwMiM"",
      ""GSC最新!A:R""
    ),
    16,
    FALSE
  ),
  0
)
"),6.0)</f>
        <v>6</v>
      </c>
      <c r="P133" s="51">
        <f t="shared" ref="P133:Q133" si="657">IFERROR(L133/N133,"-")</f>
        <v>9</v>
      </c>
      <c r="Q133" s="51">
        <f t="shared" si="657"/>
        <v>9.5</v>
      </c>
      <c r="R133" s="9">
        <f>IFERROR(__xludf.DUMMYFUNCTION("IFERROR(
  VLOOKUP(
    A133,
    IMPORTRANGE(
      ""1ZHMy3vVUd_0MrSduXTe1etBb1HNpAlGwQr006ljwMiM"",
      ""GSC最新!A:R""
    ),
    8,
    FALSE
  ),
  0
)
"),0.0)</f>
        <v>0</v>
      </c>
      <c r="S133" s="9">
        <f>IFERROR(__xludf.DUMMYFUNCTION("IFERROR(
  VLOOKUP(
    A133,
    IMPORTRANGE(
      ""1ZHMy3vVUd_0MrSduXTe1etBb1HNpAlGwQr006ljwMiM"",
      ""GSC最新!A:R""
    ),
    11,
    FALSE
  ),
  0
)
"),0.0)</f>
        <v>0</v>
      </c>
      <c r="T133" s="9">
        <f>IFERROR(__xludf.DUMMYFUNCTION("IFERROR(
  VLOOKUP(
    A133,
    IMPORTRANGE(
      ""1ZHMy3vVUd_0MrSduXTe1etBb1HNpAlGwQr006ljwMiM"",
      ""GSC最新!A:R""
    ),
    14,
    FALSE
  ),
  0
)
"),0.25)</f>
        <v>0.25</v>
      </c>
      <c r="U133" s="9">
        <f>IFERROR(__xludf.DUMMYFUNCTION("IFERROR(
  VLOOKUP(
    A133,
    IMPORTRANGE(
      ""1ZHMy3vVUd_0MrSduXTe1etBb1HNpAlGwQr006ljwMiM"",
      ""GSC最新!A:R""
    ),
    17,
    FALSE
  ),
  0
)
"),0.3333333333333333)</f>
        <v>0.3333333333</v>
      </c>
      <c r="V133" s="9">
        <f t="shared" ref="V133:W133" si="658">IFERROR(R133-T133,"-")</f>
        <v>-0.25</v>
      </c>
      <c r="W133" s="9">
        <f t="shared" si="658"/>
        <v>-0.3333333333</v>
      </c>
      <c r="X133" s="65">
        <f>IFERROR(__xludf.DUMMYFUNCTION("IFERROR(
  VLOOKUP(
    A133,
    IMPORTRANGE(
      ""1ZHMy3vVUd_0MrSduXTe1etBb1HNpAlGwQr006ljwMiM"",
      ""GSC最新!A:R""
    ),
    9,
    FALSE
  ),
  0
)
"),22.166666666666668)</f>
        <v>22.16666667</v>
      </c>
      <c r="Y133" s="65">
        <f>IFERROR(__xludf.DUMMYFUNCTION("IFERROR(
  VLOOKUP(
    A133,
    IMPORTRANGE(
      ""1ZHMy3vVUd_0MrSduXTe1etBb1HNpAlGwQr006ljwMiM"",
      ""GSC最新!A:R""
    ),
    12,
    FALSE
  ),
  0
)
"),20.403508771929825)</f>
        <v>20.40350877</v>
      </c>
      <c r="Z133" s="65">
        <f>IFERROR(__xludf.DUMMYFUNCTION("IFERROR(
  VLOOKUP(
    A133,
    IMPORTRANGE(
      ""1ZHMy3vVUd_0MrSduXTe1etBb1HNpAlGwQr006ljwMiM"",
      ""GSC最新!A:R""
    ),
    15,
    FALSE
  ),
  0
)
"),5.5)</f>
        <v>5.5</v>
      </c>
      <c r="AA133" s="65">
        <f>IFERROR(__xludf.DUMMYFUNCTION("IFERROR(
  VLOOKUP(
    A133,
    IMPORTRANGE(
      ""1ZHMy3vVUd_0MrSduXTe1etBb1HNpAlGwQr006ljwMiM"",
      ""GSC最新!A:R""
    ),
    18,
    FALSE
  ),
  0
)
"),6.333333333333333)</f>
        <v>6.333333333</v>
      </c>
      <c r="AB133" s="65">
        <f t="shared" ref="AB133:AC133" si="659">X133-Z133</f>
        <v>16.66666667</v>
      </c>
      <c r="AC133" s="65">
        <f t="shared" si="659"/>
        <v>14.07017544</v>
      </c>
      <c r="AD133" s="53">
        <f>IFERROR(__xludf.DUMMYFUNCTION("IFERROR(
  VLOOKUP(
    A133,
    IMPORTRANGE(
      ""1ZHMy3vVUd_0MrSduXTe1etBb1HNpAlGwQr006ljwMiM"",
      ""GSC最新!A:F""
    ),
    6,
    FALSE
  ),
  0
)
"),46081.0)</f>
        <v>46081</v>
      </c>
      <c r="AE133" s="54">
        <f>IFERROR(__xludf.DUMMYFUNCTION("IFERROR(
  VLOOKUP(
    A133,
    IMPORTRANGE(
      ""1SCYQd7_cobOYqT0r_F0IqD4tE4rYn5y8Eup4PJTH8es"",
      ""Snapshot!A:M""
    ),
    5,
    FALSE
  ),
  ""-""
)
"),7.0)</f>
        <v>7</v>
      </c>
      <c r="AF133" s="54">
        <f>IFERROR(__xludf.DUMMYFUNCTION("IFERROR(
  VLOOKUP(
    A133,
    IMPORTRANGE(
      ""1SCYQd7_cobOYqT0r_F0IqD4tE4rYn5y8Eup4PJTH8es"",
      ""Snapshot!A:M""
    ),
    6,
    FALSE
  ),
  0
)
"),12.0)</f>
        <v>12</v>
      </c>
      <c r="AG133" s="54">
        <f>IFERROR(__xludf.DUMMYFUNCTION("IFERROR(
  VLOOKUP(
    A133,
    IMPORTRANGE(
      ""1SCYQd7_cobOYqT0r_F0IqD4tE4rYn5y8Eup4PJTH8es"",
      ""Snapshot!A:M""
    ),
    7,
    FALSE
  ),
  0
)
"),2969.0)</f>
        <v>2969</v>
      </c>
      <c r="AH133" s="54">
        <f>IFERROR(__xludf.DUMMYFUNCTION("IFERROR(
  VLOOKUP(
    A133,
    IMPORTRANGE(
      ""1SCYQd7_cobOYqT0r_F0IqD4tE4rYn5y8Eup4PJTH8es"",
      ""Snapshot!A:M""
    ),
    8,
    FALSE
  ),
  0
)
"),5.0)</f>
        <v>5</v>
      </c>
      <c r="AI133" s="54">
        <f>IFERROR(__xludf.DUMMYFUNCTION("IFERROR(
  VLOOKUP(
    A133,
    IMPORTRANGE(
      ""1SCYQd7_cobOYqT0r_F0IqD4tE4rYn5y8Eup4PJTH8es"",
      ""Snapshot!A:M""
    ),
    9,
    FALSE
  ),
  0
)
"),1.0)</f>
        <v>1</v>
      </c>
      <c r="AJ133" s="54">
        <f>IFERROR(__xludf.DUMMYFUNCTION("IFERROR(
  VLOOKUP(
    A133,
    IMPORTRANGE(
      ""1SCYQd7_cobOYqT0r_F0IqD4tE4rYn5y8Eup4PJTH8es"",
      ""Snapshot!A:M""
    ),
    13,
    FALSE
  ),
  0
)
"),3.0)</f>
        <v>3</v>
      </c>
      <c r="AK133" s="49">
        <f t="shared" ref="AK133:AL133" si="660">LEN(C133)</f>
        <v>28</v>
      </c>
      <c r="AL133" s="49">
        <f t="shared" si="660"/>
        <v>78</v>
      </c>
    </row>
    <row r="134">
      <c r="A134" s="56" t="s">
        <v>627</v>
      </c>
      <c r="B134" s="1" t="s">
        <v>32</v>
      </c>
      <c r="C134" s="1" t="str">
        <f>IFERROR(__xludf.DUMMYFUNCTION("IFERROR(
  VLOOKUP(
    A134,
    IMPORTRANGE(
      ""1ZygntHC1J6IxzKbTidmOyf5nUyW4GCLurHCjexrLm_o"",
      ""HTMLキャッシュ!A:F""
    ),
    5,
    FALSE
  ),
  0
)
"),"サピックス・小５国語の要点(52B-03) - 受験国語専門 読解ラボ東京 | 中学受験・大学受験対応の個別指導国語専門塾（オンライン・教室対応）")</f>
        <v>サピックス・小５国語の要点(52B-03) - 受験国語専門 読解ラボ東京 | 中学受験・大学受験対応の個別指導国語専門塾（オンライン・教室対応）</v>
      </c>
      <c r="D134" s="1" t="str">
        <f>IFERROR(__xludf.DUMMYFUNCTION("IFERROR(
  VLOOKUP(
    A134,
    IMPORTRANGE(
      ""1ZygntHC1J6IxzKbTidmOyf5nUyW4GCLurHCjexrLm_o        "",
      ""HTMLキャッシュ!A:F""
    ),
    6,
    FALSE
  ),
  0
)
"),"SAPIX国語（小5） 52B-03 SAPIX国語授業の活用法：52B-03「田村さんのはくしゅ」 ──授業")</f>
        <v>SAPIX国語（小5） 52B-03 SAPIX国語授業の活用法：52B-03「田村さんのはくしゅ」 ──授業</v>
      </c>
      <c r="E134" s="32">
        <f>IFERROR(__xludf.DUMMYFUNCTION("IFERROR(
  VLOOKUP(
    A134,
    IMPORTRANGE(
      ""1ZygntHC1J6IxzKbTidmOyf5nUyW4GCLurHCjexrLm_o        "",
      ""HTMLキャッシュ!A:F""
    ),
    3,
    FALSE
  ),
  0
)
"),46059.863229166665)</f>
        <v>46059.86323</v>
      </c>
      <c r="F134" s="49">
        <f>IFERROR(__xludf.DUMMYFUNCTION("IFERROR(
  VLOOKUP(
    A134,
    IMPORTRANGE(
      ""1ZHMy3vVUd_0MrSduXTe1etBb1HNpAlGwQr006ljwMiM"",
      ""GSC最新!A:F""
    ),
    2,
    FALSE
  ),
  0
)
"),0.0)</f>
        <v>0</v>
      </c>
      <c r="G134" s="49">
        <f>IFERROR(__xludf.DUMMYFUNCTION("IFERROR(
  VLOOKUP(
    A134,
    IMPORTRANGE(
      ""1ZHMy3vVUd_0MrSduXTe1etBb1HNpAlGwQr006ljwMiM"",
      ""GSC最新!A:F""
    ),
    3,
    FALSE
  ),
  0
)
"),0.0)</f>
        <v>0</v>
      </c>
      <c r="H134" s="49">
        <f>IFERROR(__xludf.DUMMYFUNCTION("IFERROR(
  VLOOKUP(
    A134,
    IMPORTRANGE(
      ""1ZHMy3vVUd_0MrSduXTe1etBb1HNpAlGwQr006ljwMiM"",
      ""GSC最新!A:F""
    ),
    4,
    FALSE
  ),
  0
)
"),0.0)</f>
        <v>0</v>
      </c>
      <c r="I134" s="49">
        <f>IFERROR(__xludf.DUMMYFUNCTION("IFERROR(
  VLOOKUP(
    A134,
    IMPORTRANGE(
      ""1ZHMy3vVUd_0MrSduXTe1etBb1HNpAlGwQr006ljwMiM"",
      ""GSC最新!A:F""
    ),
    5,
    FALSE
  ),
  0
)
"),0.0)</f>
        <v>0</v>
      </c>
      <c r="J134" s="50" t="str">
        <f t="shared" ref="J134:K134" si="661">IFERROR(F134/H134,"-")</f>
        <v>-</v>
      </c>
      <c r="K134" s="50" t="str">
        <f t="shared" si="661"/>
        <v>-</v>
      </c>
      <c r="L134" s="6">
        <f>IFERROR(__xludf.DUMMYFUNCTION("IFERROR(
  VLOOKUP(
    A134,
    IMPORTRANGE(
      ""1ZHMy3vVUd_0MrSduXTe1etBb1HNpAlGwQr006ljwMiM"",
      ""GSC最新!A:R""
    ),
    7,
    FALSE
  ),
  0
)
"),6.0)</f>
        <v>6</v>
      </c>
      <c r="M134" s="6">
        <f>IFERROR(__xludf.DUMMYFUNCTION("IFERROR(
  VLOOKUP(
    A134,
    IMPORTRANGE(
      ""1ZHMy3vVUd_0MrSduXTe1etBb1HNpAlGwQr006ljwMiM"",
      ""GSC最新!A:R""
    ),
    10,
    FALSE
  ),
  0
)
"),21.0)</f>
        <v>21</v>
      </c>
      <c r="N134" s="6">
        <f>IFERROR(__xludf.DUMMYFUNCTION("IFERROR(
  VLOOKUP(
    A134,
    IMPORTRANGE(
      ""1ZHMy3vVUd_0MrSduXTe1etBb1HNpAlGwQr006ljwMiM"",
      ""GSC最新!A:R""
    ),
    13,
    FALSE
  ),
  0
)
"),0.0)</f>
        <v>0</v>
      </c>
      <c r="O134" s="6">
        <f>IFERROR(__xludf.DUMMYFUNCTION("IFERROR(
  VLOOKUP(
    A134,
    IMPORTRANGE(
      ""1ZHMy3vVUd_0MrSduXTe1etBb1HNpAlGwQr006ljwMiM"",
      ""GSC最新!A:R""
    ),
    16,
    FALSE
  ),
  0
)
"),0.0)</f>
        <v>0</v>
      </c>
      <c r="P134" s="51" t="str">
        <f t="shared" ref="P134:Q134" si="662">IFERROR(L134/N134,"-")</f>
        <v>-</v>
      </c>
      <c r="Q134" s="51" t="str">
        <f t="shared" si="662"/>
        <v>-</v>
      </c>
      <c r="R134" s="9">
        <f>IFERROR(__xludf.DUMMYFUNCTION("IFERROR(
  VLOOKUP(
    A134,
    IMPORTRANGE(
      ""1ZHMy3vVUd_0MrSduXTe1etBb1HNpAlGwQr006ljwMiM"",
      ""GSC最新!A:R""
    ),
    8,
    FALSE
  ),
  0
)
"),0.0)</f>
        <v>0</v>
      </c>
      <c r="S134" s="9">
        <f>IFERROR(__xludf.DUMMYFUNCTION("IFERROR(
  VLOOKUP(
    A134,
    IMPORTRANGE(
      ""1ZHMy3vVUd_0MrSduXTe1etBb1HNpAlGwQr006ljwMiM"",
      ""GSC最新!A:R""
    ),
    11,
    FALSE
  ),
  0
)
"),0.0)</f>
        <v>0</v>
      </c>
      <c r="T134" s="9">
        <f>IFERROR(__xludf.DUMMYFUNCTION("IFERROR(
  VLOOKUP(
    A134,
    IMPORTRANGE(
      ""1ZHMy3vVUd_0MrSduXTe1etBb1HNpAlGwQr006ljwMiM"",
      ""GSC最新!A:R""
    ),
    14,
    FALSE
  ),
  0
)
"),0.0)</f>
        <v>0</v>
      </c>
      <c r="U134" s="9">
        <f>IFERROR(__xludf.DUMMYFUNCTION("IFERROR(
  VLOOKUP(
    A134,
    IMPORTRANGE(
      ""1ZHMy3vVUd_0MrSduXTe1etBb1HNpAlGwQr006ljwMiM"",
      ""GSC最新!A:R""
    ),
    17,
    FALSE
  ),
  0
)
"),0.0)</f>
        <v>0</v>
      </c>
      <c r="V134" s="9">
        <f t="shared" ref="V134:W134" si="663">IFERROR(R134-T134,"-")</f>
        <v>0</v>
      </c>
      <c r="W134" s="9">
        <f t="shared" si="663"/>
        <v>0</v>
      </c>
      <c r="X134" s="65">
        <f>IFERROR(__xludf.DUMMYFUNCTION("IFERROR(
  VLOOKUP(
    A134,
    IMPORTRANGE(
      ""1ZHMy3vVUd_0MrSduXTe1etBb1HNpAlGwQr006ljwMiM"",
      ""GSC最新!A:R""
    ),
    9,
    FALSE
  ),
  0
)
"),2.666666666666667)</f>
        <v>2.666666667</v>
      </c>
      <c r="Y134" s="65">
        <f>IFERROR(__xludf.DUMMYFUNCTION("IFERROR(
  VLOOKUP(
    A134,
    IMPORTRANGE(
      ""1ZHMy3vVUd_0MrSduXTe1etBb1HNpAlGwQr006ljwMiM"",
      ""GSC最新!A:R""
    ),
    12,
    FALSE
  ),
  0
)
"),4.476190476190476)</f>
        <v>4.476190476</v>
      </c>
      <c r="Z134" s="65" t="str">
        <f>IFERROR(__xludf.DUMMYFUNCTION("IFERROR(
  VLOOKUP(
    A134,
    IMPORTRANGE(
      ""1ZHMy3vVUd_0MrSduXTe1etBb1HNpAlGwQr006ljwMiM"",
      ""GSC最新!A:R""
    ),
    15,
    FALSE
  ),
  0
)
"),"")</f>
        <v/>
      </c>
      <c r="AA134" s="65" t="str">
        <f>IFERROR(__xludf.DUMMYFUNCTION("IFERROR(
  VLOOKUP(
    A134,
    IMPORTRANGE(
      ""1ZHMy3vVUd_0MrSduXTe1etBb1HNpAlGwQr006ljwMiM"",
      ""GSC最新!A:R""
    ),
    18,
    FALSE
  ),
  0
)
"),"")</f>
        <v/>
      </c>
      <c r="AB134" s="65">
        <f t="shared" ref="AB134:AC134" si="664">X134-Z134</f>
        <v>2.666666667</v>
      </c>
      <c r="AC134" s="65">
        <f t="shared" si="664"/>
        <v>4.476190476</v>
      </c>
      <c r="AD134" s="53">
        <f>IFERROR(__xludf.DUMMYFUNCTION("IFERROR(
  VLOOKUP(
    A134,
    IMPORTRANGE(
      ""1ZHMy3vVUd_0MrSduXTe1etBb1HNpAlGwQr006ljwMiM"",
      ""GSC最新!A:F""
    ),
    6,
    FALSE
  ),
  0
)
"),46081.0)</f>
        <v>46081</v>
      </c>
      <c r="AE134" s="54">
        <f>IFERROR(__xludf.DUMMYFUNCTION("IFERROR(
  VLOOKUP(
    A134,
    IMPORTRANGE(
      ""1SCYQd7_cobOYqT0r_F0IqD4tE4rYn5y8Eup4PJTH8es"",
      ""Snapshot!A:M""
    ),
    5,
    FALSE
  ),
  ""-""
)
"),8.0)</f>
        <v>8</v>
      </c>
      <c r="AF134" s="54">
        <f>IFERROR(__xludf.DUMMYFUNCTION("IFERROR(
  VLOOKUP(
    A134,
    IMPORTRANGE(
      ""1SCYQd7_cobOYqT0r_F0IqD4tE4rYn5y8Eup4PJTH8es"",
      ""Snapshot!A:M""
    ),
    6,
    FALSE
  ),
  0
)
"),13.0)</f>
        <v>13</v>
      </c>
      <c r="AG134" s="54">
        <f>IFERROR(__xludf.DUMMYFUNCTION("IFERROR(
  VLOOKUP(
    A134,
    IMPORTRANGE(
      ""1SCYQd7_cobOYqT0r_F0IqD4tE4rYn5y8Eup4PJTH8es"",
      ""Snapshot!A:M""
    ),
    7,
    FALSE
  ),
  0
)
"),2684.0)</f>
        <v>2684</v>
      </c>
      <c r="AH134" s="54">
        <f>IFERROR(__xludf.DUMMYFUNCTION("IFERROR(
  VLOOKUP(
    A134,
    IMPORTRANGE(
      ""1SCYQd7_cobOYqT0r_F0IqD4tE4rYn5y8Eup4PJTH8es"",
      ""Snapshot!A:M""
    ),
    8,
    FALSE
  ),
  0
)
"),3.0)</f>
        <v>3</v>
      </c>
      <c r="AI134" s="54">
        <f>IFERROR(__xludf.DUMMYFUNCTION("IFERROR(
  VLOOKUP(
    A134,
    IMPORTRANGE(
      ""1SCYQd7_cobOYqT0r_F0IqD4tE4rYn5y8Eup4PJTH8es"",
      ""Snapshot!A:M""
    ),
    9,
    FALSE
  ),
  0
)
"),4.0)</f>
        <v>4</v>
      </c>
      <c r="AJ134" s="54">
        <f>IFERROR(__xludf.DUMMYFUNCTION("IFERROR(
  VLOOKUP(
    A134,
    IMPORTRANGE(
      ""1SCYQd7_cobOYqT0r_F0IqD4tE4rYn5y8Eup4PJTH8es"",
      ""Snapshot!A:M""
    ),
    13,
    FALSE
  ),
  0
)
"),3.0)</f>
        <v>3</v>
      </c>
      <c r="AK134" s="49">
        <f t="shared" ref="AK134:AL134" si="665">LEN(C134)</f>
        <v>73</v>
      </c>
      <c r="AL134" s="49">
        <f t="shared" si="665"/>
        <v>55</v>
      </c>
    </row>
    <row r="135">
      <c r="A135" s="56" t="s">
        <v>628</v>
      </c>
      <c r="B135" s="1" t="s">
        <v>32</v>
      </c>
      <c r="C135" s="1" t="str">
        <f>IFERROR(__xludf.DUMMYFUNCTION("IFERROR(
  VLOOKUP(
    A135,
    IMPORTRANGE(
      ""1ZygntHC1J6IxzKbTidmOyf5nUyW4GCLurHCjexrLm_o"",
      ""HTMLキャッシュ!A:F""
    ),
    5,
    FALSE
  ),
  0
)
"),"サピックス・小５国語の要点(52B-04) - 受験国語専門 読解ラボ東京 | 中学受験・大学受験対応の個別指導国語専門塾（オンライン・教室対応）")</f>
        <v>サピックス・小５国語の要点(52B-04) - 受験国語専門 読解ラボ東京 | 中学受験・大学受験対応の個別指導国語専門塾（オンライン・教室対応）</v>
      </c>
      <c r="D135" s="1" t="str">
        <f>IFERROR(__xludf.DUMMYFUNCTION("IFERROR(
  VLOOKUP(
    A135,
    IMPORTRANGE(
      ""1ZygntHC1J6IxzKbTidmOyf5nUyW4GCLurHCjexrLm_o        "",
      ""HTMLキャッシュ!A:F""
    ),
    6,
    FALSE
  ),
  0
)
"),"SAPIX国語（小5） 52B-04 SAPIX国語授業の活用法：52B-04「病原菌を溶かす謎の物質」 ──")</f>
        <v>SAPIX国語（小5） 52B-04 SAPIX国語授業の活用法：52B-04「病原菌を溶かす謎の物質」 ──</v>
      </c>
      <c r="E135" s="32">
        <f>IFERROR(__xludf.DUMMYFUNCTION("IFERROR(
  VLOOKUP(
    A135,
    IMPORTRANGE(
      ""1ZygntHC1J6IxzKbTidmOyf5nUyW4GCLurHCjexrLm_o        "",
      ""HTMLキャッシュ!A:F""
    ),
    3,
    FALSE
  ),
  0
)
"),46069.63182870371)</f>
        <v>46069.63183</v>
      </c>
      <c r="F135" s="49">
        <f>IFERROR(__xludf.DUMMYFUNCTION("IFERROR(
  VLOOKUP(
    A135,
    IMPORTRANGE(
      ""1ZHMy3vVUd_0MrSduXTe1etBb1HNpAlGwQr006ljwMiM"",
      ""GSC最新!A:F""
    ),
    2,
    FALSE
  ),
  0
)
"),0.0)</f>
        <v>0</v>
      </c>
      <c r="G135" s="49">
        <f>IFERROR(__xludf.DUMMYFUNCTION("IFERROR(
  VLOOKUP(
    A135,
    IMPORTRANGE(
      ""1ZHMy3vVUd_0MrSduXTe1etBb1HNpAlGwQr006ljwMiM"",
      ""GSC最新!A:F""
    ),
    3,
    FALSE
  ),
  0
)
"),0.0)</f>
        <v>0</v>
      </c>
      <c r="H135" s="49">
        <f>IFERROR(__xludf.DUMMYFUNCTION("IFERROR(
  VLOOKUP(
    A135,
    IMPORTRANGE(
      ""1ZHMy3vVUd_0MrSduXTe1etBb1HNpAlGwQr006ljwMiM"",
      ""GSC最新!A:F""
    ),
    4,
    FALSE
  ),
  0
)
"),0.0)</f>
        <v>0</v>
      </c>
      <c r="I135" s="49">
        <f>IFERROR(__xludf.DUMMYFUNCTION("IFERROR(
  VLOOKUP(
    A135,
    IMPORTRANGE(
      ""1ZHMy3vVUd_0MrSduXTe1etBb1HNpAlGwQr006ljwMiM"",
      ""GSC最新!A:F""
    ),
    5,
    FALSE
  ),
  0
)
"),0.0)</f>
        <v>0</v>
      </c>
      <c r="J135" s="50" t="str">
        <f t="shared" ref="J135:K135" si="666">IFERROR(F135/H135,"-")</f>
        <v>-</v>
      </c>
      <c r="K135" s="50" t="str">
        <f t="shared" si="666"/>
        <v>-</v>
      </c>
      <c r="L135" s="6">
        <f>IFERROR(__xludf.DUMMYFUNCTION("IFERROR(
  VLOOKUP(
    A135,
    IMPORTRANGE(
      ""1ZHMy3vVUd_0MrSduXTe1etBb1HNpAlGwQr006ljwMiM"",
      ""GSC最新!A:R""
    ),
    7,
    FALSE
  ),
  0
)
"),1.0)</f>
        <v>1</v>
      </c>
      <c r="M135" s="6">
        <f>IFERROR(__xludf.DUMMYFUNCTION("IFERROR(
  VLOOKUP(
    A135,
    IMPORTRANGE(
      ""1ZHMy3vVUd_0MrSduXTe1etBb1HNpAlGwQr006ljwMiM"",
      ""GSC最新!A:R""
    ),
    10,
    FALSE
  ),
  0
)
"),3.0)</f>
        <v>3</v>
      </c>
      <c r="N135" s="6">
        <f>IFERROR(__xludf.DUMMYFUNCTION("IFERROR(
  VLOOKUP(
    A135,
    IMPORTRANGE(
      ""1ZHMy3vVUd_0MrSduXTe1etBb1HNpAlGwQr006ljwMiM"",
      ""GSC最新!A:R""
    ),
    13,
    FALSE
  ),
  0
)
"),0.0)</f>
        <v>0</v>
      </c>
      <c r="O135" s="6">
        <f>IFERROR(__xludf.DUMMYFUNCTION("IFERROR(
  VLOOKUP(
    A135,
    IMPORTRANGE(
      ""1ZHMy3vVUd_0MrSduXTe1etBb1HNpAlGwQr006ljwMiM"",
      ""GSC最新!A:R""
    ),
    16,
    FALSE
  ),
  0
)
"),0.0)</f>
        <v>0</v>
      </c>
      <c r="P135" s="51" t="str">
        <f t="shared" ref="P135:Q135" si="667">IFERROR(L135/N135,"-")</f>
        <v>-</v>
      </c>
      <c r="Q135" s="51" t="str">
        <f t="shared" si="667"/>
        <v>-</v>
      </c>
      <c r="R135" s="9">
        <f>IFERROR(__xludf.DUMMYFUNCTION("IFERROR(
  VLOOKUP(
    A135,
    IMPORTRANGE(
      ""1ZHMy3vVUd_0MrSduXTe1etBb1HNpAlGwQr006ljwMiM"",
      ""GSC最新!A:R""
    ),
    8,
    FALSE
  ),
  0
)
"),0.0)</f>
        <v>0</v>
      </c>
      <c r="S135" s="9">
        <f>IFERROR(__xludf.DUMMYFUNCTION("IFERROR(
  VLOOKUP(
    A135,
    IMPORTRANGE(
      ""1ZHMy3vVUd_0MrSduXTe1etBb1HNpAlGwQr006ljwMiM"",
      ""GSC最新!A:R""
    ),
    11,
    FALSE
  ),
  0
)
"),0.0)</f>
        <v>0</v>
      </c>
      <c r="T135" s="9">
        <f>IFERROR(__xludf.DUMMYFUNCTION("IFERROR(
  VLOOKUP(
    A135,
    IMPORTRANGE(
      ""1ZHMy3vVUd_0MrSduXTe1etBb1HNpAlGwQr006ljwMiM"",
      ""GSC最新!A:R""
    ),
    14,
    FALSE
  ),
  0
)
"),0.0)</f>
        <v>0</v>
      </c>
      <c r="U135" s="9">
        <f>IFERROR(__xludf.DUMMYFUNCTION("IFERROR(
  VLOOKUP(
    A135,
    IMPORTRANGE(
      ""1ZHMy3vVUd_0MrSduXTe1etBb1HNpAlGwQr006ljwMiM"",
      ""GSC最新!A:R""
    ),
    17,
    FALSE
  ),
  0
)
"),0.0)</f>
        <v>0</v>
      </c>
      <c r="V135" s="9">
        <f t="shared" ref="V135:W135" si="668">IFERROR(R135-T135,"-")</f>
        <v>0</v>
      </c>
      <c r="W135" s="9">
        <f t="shared" si="668"/>
        <v>0</v>
      </c>
      <c r="X135" s="65">
        <f>IFERROR(__xludf.DUMMYFUNCTION("IFERROR(
  VLOOKUP(
    A135,
    IMPORTRANGE(
      ""1ZHMy3vVUd_0MrSduXTe1etBb1HNpAlGwQr006ljwMiM"",
      ""GSC最新!A:R""
    ),
    9,
    FALSE
  ),
  0
)
"),7.0)</f>
        <v>7</v>
      </c>
      <c r="Y135" s="65">
        <f>IFERROR(__xludf.DUMMYFUNCTION("IFERROR(
  VLOOKUP(
    A135,
    IMPORTRANGE(
      ""1ZHMy3vVUd_0MrSduXTe1etBb1HNpAlGwQr006ljwMiM"",
      ""GSC最新!A:R""
    ),
    12,
    FALSE
  ),
  0
)
"),8.333333333333332)</f>
        <v>8.333333333</v>
      </c>
      <c r="Z135" s="65" t="str">
        <f>IFERROR(__xludf.DUMMYFUNCTION("IFERROR(
  VLOOKUP(
    A135,
    IMPORTRANGE(
      ""1ZHMy3vVUd_0MrSduXTe1etBb1HNpAlGwQr006ljwMiM"",
      ""GSC最新!A:R""
    ),
    15,
    FALSE
  ),
  0
)
"),"")</f>
        <v/>
      </c>
      <c r="AA135" s="65" t="str">
        <f>IFERROR(__xludf.DUMMYFUNCTION("IFERROR(
  VLOOKUP(
    A135,
    IMPORTRANGE(
      ""1ZHMy3vVUd_0MrSduXTe1etBb1HNpAlGwQr006ljwMiM"",
      ""GSC最新!A:R""
    ),
    18,
    FALSE
  ),
  0
)
"),"")</f>
        <v/>
      </c>
      <c r="AB135" s="65">
        <f t="shared" ref="AB135:AC135" si="669">X135-Z135</f>
        <v>7</v>
      </c>
      <c r="AC135" s="65">
        <f t="shared" si="669"/>
        <v>8.333333333</v>
      </c>
      <c r="AD135" s="53">
        <f>IFERROR(__xludf.DUMMYFUNCTION("IFERROR(
  VLOOKUP(
    A135,
    IMPORTRANGE(
      ""1ZHMy3vVUd_0MrSduXTe1etBb1HNpAlGwQr006ljwMiM"",
      ""GSC最新!A:F""
    ),
    6,
    FALSE
  ),
  0
)
"),46081.0)</f>
        <v>46081</v>
      </c>
      <c r="AE135" s="54">
        <f>IFERROR(__xludf.DUMMYFUNCTION("IFERROR(
  VLOOKUP(
    A135,
    IMPORTRANGE(
      ""1SCYQd7_cobOYqT0r_F0IqD4tE4rYn5y8Eup4PJTH8es"",
      ""Snapshot!A:M""
    ),
    5,
    FALSE
  ),
  ""-""
)
"),6.0)</f>
        <v>6</v>
      </c>
      <c r="AF135" s="54">
        <f>IFERROR(__xludf.DUMMYFUNCTION("IFERROR(
  VLOOKUP(
    A135,
    IMPORTRANGE(
      ""1SCYQd7_cobOYqT0r_F0IqD4tE4rYn5y8Eup4PJTH8es"",
      ""Snapshot!A:M""
    ),
    6,
    FALSE
  ),
  0
)
"),10.0)</f>
        <v>10</v>
      </c>
      <c r="AG135" s="54">
        <f>IFERROR(__xludf.DUMMYFUNCTION("IFERROR(
  VLOOKUP(
    A135,
    IMPORTRANGE(
      ""1SCYQd7_cobOYqT0r_F0IqD4tE4rYn5y8Eup4PJTH8es"",
      ""Snapshot!A:M""
    ),
    7,
    FALSE
  ),
  0
)
"),2066.0)</f>
        <v>2066</v>
      </c>
      <c r="AH135" s="54">
        <f>IFERROR(__xludf.DUMMYFUNCTION("IFERROR(
  VLOOKUP(
    A135,
    IMPORTRANGE(
      ""1SCYQd7_cobOYqT0r_F0IqD4tE4rYn5y8Eup4PJTH8es"",
      ""Snapshot!A:M""
    ),
    8,
    FALSE
  ),
  0
)
"),3.0)</f>
        <v>3</v>
      </c>
      <c r="AI135" s="54">
        <f>IFERROR(__xludf.DUMMYFUNCTION("IFERROR(
  VLOOKUP(
    A135,
    IMPORTRANGE(
      ""1SCYQd7_cobOYqT0r_F0IqD4tE4rYn5y8Eup4PJTH8es"",
      ""Snapshot!A:M""
    ),
    9,
    FALSE
  ),
  0
)
"),4.0)</f>
        <v>4</v>
      </c>
      <c r="AJ135" s="54">
        <f>IFERROR(__xludf.DUMMYFUNCTION("IFERROR(
  VLOOKUP(
    A135,
    IMPORTRANGE(
      ""1SCYQd7_cobOYqT0r_F0IqD4tE4rYn5y8Eup4PJTH8es"",
      ""Snapshot!A:M""
    ),
    13,
    FALSE
  ),
  0
)
"),3.0)</f>
        <v>3</v>
      </c>
      <c r="AK135" s="49">
        <f t="shared" ref="AK135:AL135" si="670">LEN(C135)</f>
        <v>73</v>
      </c>
      <c r="AL135" s="49">
        <f t="shared" si="670"/>
        <v>55</v>
      </c>
    </row>
    <row r="136">
      <c r="A136" s="56" t="s">
        <v>629</v>
      </c>
      <c r="B136" s="1" t="s">
        <v>32</v>
      </c>
      <c r="C136" s="1" t="str">
        <f>IFERROR(__xludf.DUMMYFUNCTION("IFERROR(
  VLOOKUP(
    A136,
    IMPORTRANGE(
      ""1ZygntHC1J6IxzKbTidmOyf5nUyW4GCLurHCjexrLm_o"",
      ""HTMLキャッシュ!A:F""
    ),
    5,
    FALSE
  ),
  0
)
"),"サピックス・小５国語の要点(52B-05) - 受験国語専門 読解ラボ東京 | 中学受験・大学受験対応の個別指導国語専門塾（オンライン・教室対応）")</f>
        <v>サピックス・小５国語の要点(52B-05) - 受験国語専門 読解ラボ東京 | 中学受験・大学受験対応の個別指導国語専門塾（オンライン・教室対応）</v>
      </c>
      <c r="D136" s="1" t="str">
        <f>IFERROR(__xludf.DUMMYFUNCTION("IFERROR(
  VLOOKUP(
    A136,
    IMPORTRANGE(
      ""1ZygntHC1J6IxzKbTidmOyf5nUyW4GCLurHCjexrLm_o        "",
      ""HTMLキャッシュ!A:F""
    ),
    6,
    FALSE
  ),
  0
)
"),"SAPIX国語（小5） 52B-05 SAPIX国語授業の活用法：52B-05「心は何でできている」 ──授業")</f>
        <v>SAPIX国語（小5） 52B-05 SAPIX国語授業の活用法：52B-05「心は何でできている」 ──授業</v>
      </c>
      <c r="E136" s="32">
        <f>IFERROR(__xludf.DUMMYFUNCTION("IFERROR(
  VLOOKUP(
    A136,
    IMPORTRANGE(
      ""1ZygntHC1J6IxzKbTidmOyf5nUyW4GCLurHCjexrLm_o        "",
      ""HTMLキャッシュ!A:F""
    ),
    3,
    FALSE
  ),
  0
)
"),46052.74471064815)</f>
        <v>46052.74471</v>
      </c>
      <c r="F136" s="49">
        <f>IFERROR(__xludf.DUMMYFUNCTION("IFERROR(
  VLOOKUP(
    A136,
    IMPORTRANGE(
      ""1ZHMy3vVUd_0MrSduXTe1etBb1HNpAlGwQr006ljwMiM"",
      ""GSC最新!A:F""
    ),
    2,
    FALSE
  ),
  0
)
"),0.0)</f>
        <v>0</v>
      </c>
      <c r="G136" s="49">
        <f>IFERROR(__xludf.DUMMYFUNCTION("IFERROR(
  VLOOKUP(
    A136,
    IMPORTRANGE(
      ""1ZHMy3vVUd_0MrSduXTe1etBb1HNpAlGwQr006ljwMiM"",
      ""GSC最新!A:F""
    ),
    3,
    FALSE
  ),
  0
)
"),0.0)</f>
        <v>0</v>
      </c>
      <c r="H136" s="49">
        <f>IFERROR(__xludf.DUMMYFUNCTION("IFERROR(
  VLOOKUP(
    A136,
    IMPORTRANGE(
      ""1ZHMy3vVUd_0MrSduXTe1etBb1HNpAlGwQr006ljwMiM"",
      ""GSC最新!A:F""
    ),
    4,
    FALSE
  ),
  0
)
"),0.0)</f>
        <v>0</v>
      </c>
      <c r="I136" s="49">
        <f>IFERROR(__xludf.DUMMYFUNCTION("IFERROR(
  VLOOKUP(
    A136,
    IMPORTRANGE(
      ""1ZHMy3vVUd_0MrSduXTe1etBb1HNpAlGwQr006ljwMiM"",
      ""GSC最新!A:F""
    ),
    5,
    FALSE
  ),
  0
)
"),0.0)</f>
        <v>0</v>
      </c>
      <c r="J136" s="50" t="str">
        <f t="shared" ref="J136:K136" si="671">IFERROR(F136/H136,"-")</f>
        <v>-</v>
      </c>
      <c r="K136" s="50" t="str">
        <f t="shared" si="671"/>
        <v>-</v>
      </c>
      <c r="L136" s="6">
        <f>IFERROR(__xludf.DUMMYFUNCTION("IFERROR(
  VLOOKUP(
    A136,
    IMPORTRANGE(
      ""1ZHMy3vVUd_0MrSduXTe1etBb1HNpAlGwQr006ljwMiM"",
      ""GSC最新!A:R""
    ),
    7,
    FALSE
  ),
  0
)
"),3.0)</f>
        <v>3</v>
      </c>
      <c r="M136" s="6">
        <f>IFERROR(__xludf.DUMMYFUNCTION("IFERROR(
  VLOOKUP(
    A136,
    IMPORTRANGE(
      ""1ZHMy3vVUd_0MrSduXTe1etBb1HNpAlGwQr006ljwMiM"",
      ""GSC最新!A:R""
    ),
    10,
    FALSE
  ),
  0
)
"),7.0)</f>
        <v>7</v>
      </c>
      <c r="N136" s="6">
        <f>IFERROR(__xludf.DUMMYFUNCTION("IFERROR(
  VLOOKUP(
    A136,
    IMPORTRANGE(
      ""1ZHMy3vVUd_0MrSduXTe1etBb1HNpAlGwQr006ljwMiM"",
      ""GSC最新!A:R""
    ),
    13,
    FALSE
  ),
  0
)
"),0.0)</f>
        <v>0</v>
      </c>
      <c r="O136" s="6">
        <f>IFERROR(__xludf.DUMMYFUNCTION("IFERROR(
  VLOOKUP(
    A136,
    IMPORTRANGE(
      ""1ZHMy3vVUd_0MrSduXTe1etBb1HNpAlGwQr006ljwMiM"",
      ""GSC最新!A:R""
    ),
    16,
    FALSE
  ),
  0
)
"),0.0)</f>
        <v>0</v>
      </c>
      <c r="P136" s="51" t="str">
        <f t="shared" ref="P136:Q136" si="672">IFERROR(L136/N136,"-")</f>
        <v>-</v>
      </c>
      <c r="Q136" s="51" t="str">
        <f t="shared" si="672"/>
        <v>-</v>
      </c>
      <c r="R136" s="9">
        <f>IFERROR(__xludf.DUMMYFUNCTION("IFERROR(
  VLOOKUP(
    A136,
    IMPORTRANGE(
      ""1ZHMy3vVUd_0MrSduXTe1etBb1HNpAlGwQr006ljwMiM"",
      ""GSC最新!A:R""
    ),
    8,
    FALSE
  ),
  0
)
"),0.0)</f>
        <v>0</v>
      </c>
      <c r="S136" s="9">
        <f>IFERROR(__xludf.DUMMYFUNCTION("IFERROR(
  VLOOKUP(
    A136,
    IMPORTRANGE(
      ""1ZHMy3vVUd_0MrSduXTe1etBb1HNpAlGwQr006ljwMiM"",
      ""GSC最新!A:R""
    ),
    11,
    FALSE
  ),
  0
)
"),0.0)</f>
        <v>0</v>
      </c>
      <c r="T136" s="9">
        <f>IFERROR(__xludf.DUMMYFUNCTION("IFERROR(
  VLOOKUP(
    A136,
    IMPORTRANGE(
      ""1ZHMy3vVUd_0MrSduXTe1etBb1HNpAlGwQr006ljwMiM"",
      ""GSC最新!A:R""
    ),
    14,
    FALSE
  ),
  0
)
"),0.0)</f>
        <v>0</v>
      </c>
      <c r="U136" s="9">
        <f>IFERROR(__xludf.DUMMYFUNCTION("IFERROR(
  VLOOKUP(
    A136,
    IMPORTRANGE(
      ""1ZHMy3vVUd_0MrSduXTe1etBb1HNpAlGwQr006ljwMiM"",
      ""GSC最新!A:R""
    ),
    17,
    FALSE
  ),
  0
)
"),0.0)</f>
        <v>0</v>
      </c>
      <c r="V136" s="9">
        <f t="shared" ref="V136:W136" si="673">IFERROR(R136-T136,"-")</f>
        <v>0</v>
      </c>
      <c r="W136" s="9">
        <f t="shared" si="673"/>
        <v>0</v>
      </c>
      <c r="X136" s="65">
        <f>IFERROR(__xludf.DUMMYFUNCTION("IFERROR(
  VLOOKUP(
    A136,
    IMPORTRANGE(
      ""1ZHMy3vVUd_0MrSduXTe1etBb1HNpAlGwQr006ljwMiM"",
      ""GSC最新!A:R""
    ),
    9,
    FALSE
  ),
  0
)
"),5.666666666666667)</f>
        <v>5.666666667</v>
      </c>
      <c r="Y136" s="65">
        <f>IFERROR(__xludf.DUMMYFUNCTION("IFERROR(
  VLOOKUP(
    A136,
    IMPORTRANGE(
      ""1ZHMy3vVUd_0MrSduXTe1etBb1HNpAlGwQr006ljwMiM"",
      ""GSC最新!A:R""
    ),
    12,
    FALSE
  ),
  0
)
"),6.428571428571429)</f>
        <v>6.428571429</v>
      </c>
      <c r="Z136" s="65" t="str">
        <f>IFERROR(__xludf.DUMMYFUNCTION("IFERROR(
  VLOOKUP(
    A136,
    IMPORTRANGE(
      ""1ZHMy3vVUd_0MrSduXTe1etBb1HNpAlGwQr006ljwMiM"",
      ""GSC最新!A:R""
    ),
    15,
    FALSE
  ),
  0
)
"),"")</f>
        <v/>
      </c>
      <c r="AA136" s="65" t="str">
        <f>IFERROR(__xludf.DUMMYFUNCTION("IFERROR(
  VLOOKUP(
    A136,
    IMPORTRANGE(
      ""1ZHMy3vVUd_0MrSduXTe1etBb1HNpAlGwQr006ljwMiM"",
      ""GSC最新!A:R""
    ),
    18,
    FALSE
  ),
  0
)
"),"")</f>
        <v/>
      </c>
      <c r="AB136" s="65">
        <f t="shared" ref="AB136:AC136" si="674">X136-Z136</f>
        <v>5.666666667</v>
      </c>
      <c r="AC136" s="65">
        <f t="shared" si="674"/>
        <v>6.428571429</v>
      </c>
      <c r="AD136" s="53">
        <f>IFERROR(__xludf.DUMMYFUNCTION("IFERROR(
  VLOOKUP(
    A136,
    IMPORTRANGE(
      ""1ZHMy3vVUd_0MrSduXTe1etBb1HNpAlGwQr006ljwMiM"",
      ""GSC最新!A:F""
    ),
    6,
    FALSE
  ),
  0
)
"),46081.0)</f>
        <v>46081</v>
      </c>
      <c r="AE136" s="54">
        <f>IFERROR(__xludf.DUMMYFUNCTION("IFERROR(
  VLOOKUP(
    A136,
    IMPORTRANGE(
      ""1SCYQd7_cobOYqT0r_F0IqD4tE4rYn5y8Eup4PJTH8es"",
      ""Snapshot!A:M""
    ),
    5,
    FALSE
  ),
  ""-""
)
"),11.0)</f>
        <v>11</v>
      </c>
      <c r="AF136" s="54">
        <f>IFERROR(__xludf.DUMMYFUNCTION("IFERROR(
  VLOOKUP(
    A136,
    IMPORTRANGE(
      ""1SCYQd7_cobOYqT0r_F0IqD4tE4rYn5y8Eup4PJTH8es"",
      ""Snapshot!A:M""
    ),
    6,
    FALSE
  ),
  0
)
"),19.0)</f>
        <v>19</v>
      </c>
      <c r="AG136" s="54">
        <f>IFERROR(__xludf.DUMMYFUNCTION("IFERROR(
  VLOOKUP(
    A136,
    IMPORTRANGE(
      ""1SCYQd7_cobOYqT0r_F0IqD4tE4rYn5y8Eup4PJTH8es"",
      ""Snapshot!A:M""
    ),
    7,
    FALSE
  ),
  0
)
"),3876.0)</f>
        <v>3876</v>
      </c>
      <c r="AH136" s="54">
        <f>IFERROR(__xludf.DUMMYFUNCTION("IFERROR(
  VLOOKUP(
    A136,
    IMPORTRANGE(
      ""1SCYQd7_cobOYqT0r_F0IqD4tE4rYn5y8Eup4PJTH8es"",
      ""Snapshot!A:M""
    ),
    8,
    FALSE
  ),
  0
)
"),4.0)</f>
        <v>4</v>
      </c>
      <c r="AI136" s="54">
        <f>IFERROR(__xludf.DUMMYFUNCTION("IFERROR(
  VLOOKUP(
    A136,
    IMPORTRANGE(
      ""1SCYQd7_cobOYqT0r_F0IqD4tE4rYn5y8Eup4PJTH8es"",
      ""Snapshot!A:M""
    ),
    9,
    FALSE
  ),
  0
)
"),4.0)</f>
        <v>4</v>
      </c>
      <c r="AJ136" s="54">
        <f>IFERROR(__xludf.DUMMYFUNCTION("IFERROR(
  VLOOKUP(
    A136,
    IMPORTRANGE(
      ""1SCYQd7_cobOYqT0r_F0IqD4tE4rYn5y8Eup4PJTH8es"",
      ""Snapshot!A:M""
    ),
    13,
    FALSE
  ),
  0
)
"),3.0)</f>
        <v>3</v>
      </c>
      <c r="AK136" s="49">
        <f t="shared" ref="AK136:AL136" si="675">LEN(C136)</f>
        <v>73</v>
      </c>
      <c r="AL136" s="49">
        <f t="shared" si="675"/>
        <v>55</v>
      </c>
    </row>
    <row r="137">
      <c r="A137" s="56" t="s">
        <v>630</v>
      </c>
      <c r="B137" s="1" t="s">
        <v>32</v>
      </c>
      <c r="C137" s="1" t="str">
        <f>IFERROR(__xludf.DUMMYFUNCTION("IFERROR(
  VLOOKUP(
    A137,
    IMPORTRANGE(
      ""1ZygntHC1J6IxzKbTidmOyf5nUyW4GCLurHCjexrLm_o"",
      ""HTMLキャッシュ!A:F""
    ),
    5,
    FALSE
  ),
  0
)
"),"サピックス・小５国語の要点(52B-06) - 受験国語専門 読解ラボ東京 | 中学受験・大学受験対応の個別指導国語専門塾（オンライン・教室対応）")</f>
        <v>サピックス・小５国語の要点(52B-06) - 受験国語専門 読解ラボ東京 | 中学受験・大学受験対応の個別指導国語専門塾（オンライン・教室対応）</v>
      </c>
      <c r="D137" s="1" t="str">
        <f>IFERROR(__xludf.DUMMYFUNCTION("IFERROR(
  VLOOKUP(
    A137,
    IMPORTRANGE(
      ""1ZygntHC1J6IxzKbTidmOyf5nUyW4GCLurHCjexrLm_o        "",
      ""HTMLキャッシュ!A:F""
    ),
    6,
    FALSE
  ),
  0
)
"),"SAPIX国語（小5） 52B-06 SAPIX国語 52B-06 詩＋解説文（紙風船 他）｜4問のつなげ方と")</f>
        <v>SAPIX国語（小5） 52B-06 SAPIX国語 52B-06 詩＋解説文（紙風船 他）｜4問のつなげ方と</v>
      </c>
      <c r="E137" s="32">
        <f>IFERROR(__xludf.DUMMYFUNCTION("IFERROR(
  VLOOKUP(
    A137,
    IMPORTRANGE(
      ""1ZygntHC1J6IxzKbTidmOyf5nUyW4GCLurHCjexrLm_o        "",
      ""HTMLキャッシュ!A:F""
    ),
    3,
    FALSE
  ),
  0
)
"),46059.73304398148)</f>
        <v>46059.73304</v>
      </c>
      <c r="F137" s="49">
        <f>IFERROR(__xludf.DUMMYFUNCTION("IFERROR(
  VLOOKUP(
    A137,
    IMPORTRANGE(
      ""1ZHMy3vVUd_0MrSduXTe1etBb1HNpAlGwQr006ljwMiM"",
      ""GSC最新!A:F""
    ),
    2,
    FALSE
  ),
  0
)
"),0.0)</f>
        <v>0</v>
      </c>
      <c r="G137" s="49">
        <f>IFERROR(__xludf.DUMMYFUNCTION("IFERROR(
  VLOOKUP(
    A137,
    IMPORTRANGE(
      ""1ZHMy3vVUd_0MrSduXTe1etBb1HNpAlGwQr006ljwMiM"",
      ""GSC最新!A:F""
    ),
    3,
    FALSE
  ),
  0
)
"),0.0)</f>
        <v>0</v>
      </c>
      <c r="H137" s="49">
        <f>IFERROR(__xludf.DUMMYFUNCTION("IFERROR(
  VLOOKUP(
    A137,
    IMPORTRANGE(
      ""1ZHMy3vVUd_0MrSduXTe1etBb1HNpAlGwQr006ljwMiM"",
      ""GSC最新!A:F""
    ),
    4,
    FALSE
  ),
  0
)
"),0.0)</f>
        <v>0</v>
      </c>
      <c r="I137" s="49">
        <f>IFERROR(__xludf.DUMMYFUNCTION("IFERROR(
  VLOOKUP(
    A137,
    IMPORTRANGE(
      ""1ZHMy3vVUd_0MrSduXTe1etBb1HNpAlGwQr006ljwMiM"",
      ""GSC最新!A:F""
    ),
    5,
    FALSE
  ),
  0
)
"),0.0)</f>
        <v>0</v>
      </c>
      <c r="J137" s="50" t="str">
        <f t="shared" ref="J137:K137" si="676">IFERROR(F137/H137,"-")</f>
        <v>-</v>
      </c>
      <c r="K137" s="50" t="str">
        <f t="shared" si="676"/>
        <v>-</v>
      </c>
      <c r="L137" s="6">
        <f>IFERROR(__xludf.DUMMYFUNCTION("IFERROR(
  VLOOKUP(
    A137,
    IMPORTRANGE(
      ""1ZHMy3vVUd_0MrSduXTe1etBb1HNpAlGwQr006ljwMiM"",
      ""GSC最新!A:R""
    ),
    7,
    FALSE
  ),
  0
)
"),2.0)</f>
        <v>2</v>
      </c>
      <c r="M137" s="6">
        <f>IFERROR(__xludf.DUMMYFUNCTION("IFERROR(
  VLOOKUP(
    A137,
    IMPORTRANGE(
      ""1ZHMy3vVUd_0MrSduXTe1etBb1HNpAlGwQr006ljwMiM"",
      ""GSC最新!A:R""
    ),
    10,
    FALSE
  ),
  0
)
"),8.0)</f>
        <v>8</v>
      </c>
      <c r="N137" s="6">
        <f>IFERROR(__xludf.DUMMYFUNCTION("IFERROR(
  VLOOKUP(
    A137,
    IMPORTRANGE(
      ""1ZHMy3vVUd_0MrSduXTe1etBb1HNpAlGwQr006ljwMiM"",
      ""GSC最新!A:R""
    ),
    13,
    FALSE
  ),
  0
)
"),0.0)</f>
        <v>0</v>
      </c>
      <c r="O137" s="6">
        <f>IFERROR(__xludf.DUMMYFUNCTION("IFERROR(
  VLOOKUP(
    A137,
    IMPORTRANGE(
      ""1ZHMy3vVUd_0MrSduXTe1etBb1HNpAlGwQr006ljwMiM"",
      ""GSC最新!A:R""
    ),
    16,
    FALSE
  ),
  0
)
"),0.0)</f>
        <v>0</v>
      </c>
      <c r="P137" s="51" t="str">
        <f t="shared" ref="P137:Q137" si="677">IFERROR(L137/N137,"-")</f>
        <v>-</v>
      </c>
      <c r="Q137" s="51" t="str">
        <f t="shared" si="677"/>
        <v>-</v>
      </c>
      <c r="R137" s="9">
        <f>IFERROR(__xludf.DUMMYFUNCTION("IFERROR(
  VLOOKUP(
    A137,
    IMPORTRANGE(
      ""1ZHMy3vVUd_0MrSduXTe1etBb1HNpAlGwQr006ljwMiM"",
      ""GSC最新!A:R""
    ),
    8,
    FALSE
  ),
  0
)
"),0.0)</f>
        <v>0</v>
      </c>
      <c r="S137" s="9">
        <f>IFERROR(__xludf.DUMMYFUNCTION("IFERROR(
  VLOOKUP(
    A137,
    IMPORTRANGE(
      ""1ZHMy3vVUd_0MrSduXTe1etBb1HNpAlGwQr006ljwMiM"",
      ""GSC最新!A:R""
    ),
    11,
    FALSE
  ),
  0
)
"),0.0)</f>
        <v>0</v>
      </c>
      <c r="T137" s="9">
        <f>IFERROR(__xludf.DUMMYFUNCTION("IFERROR(
  VLOOKUP(
    A137,
    IMPORTRANGE(
      ""1ZHMy3vVUd_0MrSduXTe1etBb1HNpAlGwQr006ljwMiM"",
      ""GSC最新!A:R""
    ),
    14,
    FALSE
  ),
  0
)
"),0.0)</f>
        <v>0</v>
      </c>
      <c r="U137" s="9">
        <f>IFERROR(__xludf.DUMMYFUNCTION("IFERROR(
  VLOOKUP(
    A137,
    IMPORTRANGE(
      ""1ZHMy3vVUd_0MrSduXTe1etBb1HNpAlGwQr006ljwMiM"",
      ""GSC最新!A:R""
    ),
    17,
    FALSE
  ),
  0
)
"),0.0)</f>
        <v>0</v>
      </c>
      <c r="V137" s="9">
        <f t="shared" ref="V137:W137" si="678">IFERROR(R137-T137,"-")</f>
        <v>0</v>
      </c>
      <c r="W137" s="9">
        <f t="shared" si="678"/>
        <v>0</v>
      </c>
      <c r="X137" s="65">
        <f>IFERROR(__xludf.DUMMYFUNCTION("IFERROR(
  VLOOKUP(
    A137,
    IMPORTRANGE(
      ""1ZHMy3vVUd_0MrSduXTe1etBb1HNpAlGwQr006ljwMiM"",
      ""GSC最新!A:R""
    ),
    9,
    FALSE
  ),
  0
)
"),6.5)</f>
        <v>6.5</v>
      </c>
      <c r="Y137" s="65">
        <f>IFERROR(__xludf.DUMMYFUNCTION("IFERROR(
  VLOOKUP(
    A137,
    IMPORTRANGE(
      ""1ZHMy3vVUd_0MrSduXTe1etBb1HNpAlGwQr006ljwMiM"",
      ""GSC最新!A:R""
    ),
    12,
    FALSE
  ),
  0
)
"),10.5)</f>
        <v>10.5</v>
      </c>
      <c r="Z137" s="65" t="str">
        <f>IFERROR(__xludf.DUMMYFUNCTION("IFERROR(
  VLOOKUP(
    A137,
    IMPORTRANGE(
      ""1ZHMy3vVUd_0MrSduXTe1etBb1HNpAlGwQr006ljwMiM"",
      ""GSC最新!A:R""
    ),
    15,
    FALSE
  ),
  0
)
"),"")</f>
        <v/>
      </c>
      <c r="AA137" s="65" t="str">
        <f>IFERROR(__xludf.DUMMYFUNCTION("IFERROR(
  VLOOKUP(
    A137,
    IMPORTRANGE(
      ""1ZHMy3vVUd_0MrSduXTe1etBb1HNpAlGwQr006ljwMiM"",
      ""GSC最新!A:R""
    ),
    18,
    FALSE
  ),
  0
)
"),"")</f>
        <v/>
      </c>
      <c r="AB137" s="65">
        <f t="shared" ref="AB137:AC137" si="679">X137-Z137</f>
        <v>6.5</v>
      </c>
      <c r="AC137" s="65">
        <f t="shared" si="679"/>
        <v>10.5</v>
      </c>
      <c r="AD137" s="53">
        <f>IFERROR(__xludf.DUMMYFUNCTION("IFERROR(
  VLOOKUP(
    A137,
    IMPORTRANGE(
      ""1ZHMy3vVUd_0MrSduXTe1etBb1HNpAlGwQr006ljwMiM"",
      ""GSC最新!A:F""
    ),
    6,
    FALSE
  ),
  0
)
"),46081.0)</f>
        <v>46081</v>
      </c>
      <c r="AE137" s="54">
        <f>IFERROR(__xludf.DUMMYFUNCTION("IFERROR(
  VLOOKUP(
    A137,
    IMPORTRANGE(
      ""1SCYQd7_cobOYqT0r_F0IqD4tE4rYn5y8Eup4PJTH8es"",
      ""Snapshot!A:M""
    ),
    5,
    FALSE
  ),
  ""-""
)
"),9.0)</f>
        <v>9</v>
      </c>
      <c r="AF137" s="54">
        <f>IFERROR(__xludf.DUMMYFUNCTION("IFERROR(
  VLOOKUP(
    A137,
    IMPORTRANGE(
      ""1SCYQd7_cobOYqT0r_F0IqD4tE4rYn5y8Eup4PJTH8es"",
      ""Snapshot!A:M""
    ),
    6,
    FALSE
  ),
  0
)
"),11.0)</f>
        <v>11</v>
      </c>
      <c r="AG137" s="54">
        <f>IFERROR(__xludf.DUMMYFUNCTION("IFERROR(
  VLOOKUP(
    A137,
    IMPORTRANGE(
      ""1SCYQd7_cobOYqT0r_F0IqD4tE4rYn5y8Eup4PJTH8es"",
      ""Snapshot!A:M""
    ),
    7,
    FALSE
  ),
  0
)
"),1727.0)</f>
        <v>1727</v>
      </c>
      <c r="AH137" s="54">
        <f>IFERROR(__xludf.DUMMYFUNCTION("IFERROR(
  VLOOKUP(
    A137,
    IMPORTRANGE(
      ""1SCYQd7_cobOYqT0r_F0IqD4tE4rYn5y8Eup4PJTH8es"",
      ""Snapshot!A:M""
    ),
    8,
    FALSE
  ),
  0
)
"),4.0)</f>
        <v>4</v>
      </c>
      <c r="AI137" s="54">
        <f>IFERROR(__xludf.DUMMYFUNCTION("IFERROR(
  VLOOKUP(
    A137,
    IMPORTRANGE(
      ""1SCYQd7_cobOYqT0r_F0IqD4tE4rYn5y8Eup4PJTH8es"",
      ""Snapshot!A:M""
    ),
    9,
    FALSE
  ),
  0
)
"),4.0)</f>
        <v>4</v>
      </c>
      <c r="AJ137" s="54">
        <f>IFERROR(__xludf.DUMMYFUNCTION("IFERROR(
  VLOOKUP(
    A137,
    IMPORTRANGE(
      ""1SCYQd7_cobOYqT0r_F0IqD4tE4rYn5y8Eup4PJTH8es"",
      ""Snapshot!A:M""
    ),
    13,
    FALSE
  ),
  0
)
"),3.0)</f>
        <v>3</v>
      </c>
      <c r="AK137" s="49">
        <f t="shared" ref="AK137:AL137" si="680">LEN(C137)</f>
        <v>73</v>
      </c>
      <c r="AL137" s="49">
        <f t="shared" si="680"/>
        <v>55</v>
      </c>
    </row>
    <row r="138">
      <c r="A138" s="3" t="s">
        <v>631</v>
      </c>
      <c r="B138" s="1" t="str">
        <f>IFERROR(__xludf.DUMMYFUNCTION("IFERROR(
  VLOOKUP(
    A138,
    IMPORTRANGE(
      ""1ZygntHC1J6IxzKbTidmOyf5nUyW4GCLurHCjexrLm_o"",
      ""HTMLキャッシュ!A:F""
    ),
    2,
    FALSE
  ),
  0
)
"),"MC")</f>
        <v>MC</v>
      </c>
      <c r="C138" s="1" t="str">
        <f>IFERROR(__xludf.DUMMYFUNCTION("IFERROR(
  VLOOKUP(
    A138,
    IMPORTRANGE(
      ""1ZygntHC1J6IxzKbTidmOyf5nUyW4GCLurHCjexrLm_o"",
      ""HTMLキャッシュ!A:F""
    ),
    5,
    FALSE
  ),
  0
)
"),"小学生の読解力をどう伸ばす？「なんとなく読む」から論理的に考える読み方へ - 受験国語専門 読解ラボ東京 | 中学受験・大学受験対応の個別指導国語専門塾（オンライン・教室対応）")</f>
        <v>小学生の読解力をどう伸ばす？「なんとなく読む」から論理的に考える読み方へ - 受験国語専門 読解ラボ東京 | 中学受験・大学受験対応の個別指導国語専門塾（オンライン・教室対応）</v>
      </c>
      <c r="D138" s="1" t="str">
        <f>IFERROR(__xludf.DUMMYFUNCTION("IFERROR(
  VLOOKUP(
    A138,
    IMPORTRANGE(
      ""1ZygntHC1J6IxzKbTidmOyf5nUyW4GCLurHCjexrLm_o        "",
      ""HTMLキャッシュ!A:F""
    ),
    6,
    FALSE
  ),
  0
)
"),"小学生の読解力を伸ばしたい保護者向けに、「なんとなく読む」状態から、理由を言葉で説明できる論理的な読み方へのステップを解説。『理論をとく』レベルの考え方を、家庭での声かけ・質問の仕方・簡単なトレーニング法まで具体例つきで紹介します。")</f>
        <v>小学生の読解力を伸ばしたい保護者向けに、「なんとなく読む」状態から、理由を言葉で説明できる論理的な読み方へのステップを解説。『理論をとく』レベルの考え方を、家庭での声かけ・質問の仕方・簡単なトレーニング法まで具体例つきで紹介します。</v>
      </c>
      <c r="E138" s="32">
        <f>IFERROR(__xludf.DUMMYFUNCTION("IFERROR(
  VLOOKUP(
    A138,
    IMPORTRANGE(
      ""1ZygntHC1J6IxzKbTidmOyf5nUyW4GCLurHCjexrLm_o        "",
      ""HTMLキャッシュ!A:F""
    ),
    3,
    FALSE
  ),
  0
)
"),46059.79824074074)</f>
        <v>46059.79824</v>
      </c>
      <c r="F138" s="49">
        <f>IFERROR(__xludf.DUMMYFUNCTION("IFERROR(
  VLOOKUP(
    A138,
    IMPORTRANGE(
      ""1ZHMy3vVUd_0MrSduXTe1etBb1HNpAlGwQr006ljwMiM"",
      ""GSC最新!A:F""
    ),
    2,
    FALSE
  ),
  0
)
"),0.0)</f>
        <v>0</v>
      </c>
      <c r="G138" s="49">
        <f>IFERROR(__xludf.DUMMYFUNCTION("IFERROR(
  VLOOKUP(
    A138,
    IMPORTRANGE(
      ""1ZHMy3vVUd_0MrSduXTe1etBb1HNpAlGwQr006ljwMiM"",
      ""GSC最新!A:F""
    ),
    3,
    FALSE
  ),
  0
)
"),0.0)</f>
        <v>0</v>
      </c>
      <c r="H138" s="49">
        <f>IFERROR(__xludf.DUMMYFUNCTION("IFERROR(
  VLOOKUP(
    A138,
    IMPORTRANGE(
      ""1ZHMy3vVUd_0MrSduXTe1etBb1HNpAlGwQr006ljwMiM"",
      ""GSC最新!A:F""
    ),
    4,
    FALSE
  ),
  0
)
"),3.0)</f>
        <v>3</v>
      </c>
      <c r="I138" s="49">
        <f>IFERROR(__xludf.DUMMYFUNCTION("IFERROR(
  VLOOKUP(
    A138,
    IMPORTRANGE(
      ""1ZHMy3vVUd_0MrSduXTe1etBb1HNpAlGwQr006ljwMiM"",
      ""GSC最新!A:F""
    ),
    5,
    FALSE
  ),
  0
)
"),4.0)</f>
        <v>4</v>
      </c>
      <c r="J138" s="50">
        <f t="shared" ref="J138:K138" si="681">IFERROR(F138/H138,"-")</f>
        <v>0</v>
      </c>
      <c r="K138" s="50">
        <f t="shared" si="681"/>
        <v>0</v>
      </c>
      <c r="L138" s="6">
        <f>IFERROR(__xludf.DUMMYFUNCTION("IFERROR(
  VLOOKUP(
    A138,
    IMPORTRANGE(
      ""1ZHMy3vVUd_0MrSduXTe1etBb1HNpAlGwQr006ljwMiM"",
      ""GSC最新!A:R""
    ),
    7,
    FALSE
  ),
  0
)
"),78.0)</f>
        <v>78</v>
      </c>
      <c r="M138" s="6">
        <f>IFERROR(__xludf.DUMMYFUNCTION("IFERROR(
  VLOOKUP(
    A138,
    IMPORTRANGE(
      ""1ZHMy3vVUd_0MrSduXTe1etBb1HNpAlGwQr006ljwMiM"",
      ""GSC最新!A:R""
    ),
    10,
    FALSE
  ),
  0
)
"),104.0)</f>
        <v>104</v>
      </c>
      <c r="N138" s="6">
        <f>IFERROR(__xludf.DUMMYFUNCTION("IFERROR(
  VLOOKUP(
    A138,
    IMPORTRANGE(
      ""1ZHMy3vVUd_0MrSduXTe1etBb1HNpAlGwQr006ljwMiM"",
      ""GSC最新!A:R""
    ),
    13,
    FALSE
  ),
  0
)
"),52.0)</f>
        <v>52</v>
      </c>
      <c r="O138" s="6">
        <f>IFERROR(__xludf.DUMMYFUNCTION("IFERROR(
  VLOOKUP(
    A138,
    IMPORTRANGE(
      ""1ZHMy3vVUd_0MrSduXTe1etBb1HNpAlGwQr006ljwMiM"",
      ""GSC最新!A:R""
    ),
    16,
    FALSE
  ),
  0
)
"),117.0)</f>
        <v>117</v>
      </c>
      <c r="P138" s="51">
        <f t="shared" ref="P138:Q138" si="682">IFERROR(L138/N138,"-")</f>
        <v>1.5</v>
      </c>
      <c r="Q138" s="51">
        <f t="shared" si="682"/>
        <v>0.8888888889</v>
      </c>
      <c r="R138" s="9">
        <f>IFERROR(__xludf.DUMMYFUNCTION("IFERROR(
  VLOOKUP(
    A138,
    IMPORTRANGE(
      ""1ZHMy3vVUd_0MrSduXTe1etBb1HNpAlGwQr006ljwMiM"",
      ""GSC最新!A:R""
    ),
    8,
    FALSE
  ),
  0
)
"),0.0)</f>
        <v>0</v>
      </c>
      <c r="S138" s="9">
        <f>IFERROR(__xludf.DUMMYFUNCTION("IFERROR(
  VLOOKUP(
    A138,
    IMPORTRANGE(
      ""1ZHMy3vVUd_0MrSduXTe1etBb1HNpAlGwQr006ljwMiM"",
      ""GSC最新!A:R""
    ),
    11,
    FALSE
  ),
  0
)
"),0.0)</f>
        <v>0</v>
      </c>
      <c r="T138" s="9">
        <f>IFERROR(__xludf.DUMMYFUNCTION("IFERROR(
  VLOOKUP(
    A138,
    IMPORTRANGE(
      ""1ZHMy3vVUd_0MrSduXTe1etBb1HNpAlGwQr006ljwMiM"",
      ""GSC最新!A:R""
    ),
    14,
    FALSE
  ),
  0
)
"),0.057692307692307696)</f>
        <v>0.05769230769</v>
      </c>
      <c r="U138" s="9">
        <f>IFERROR(__xludf.DUMMYFUNCTION("IFERROR(
  VLOOKUP(
    A138,
    IMPORTRANGE(
      ""1ZHMy3vVUd_0MrSduXTe1etBb1HNpAlGwQr006ljwMiM"",
      ""GSC最新!A:R""
    ),
    17,
    FALSE
  ),
  0
)
"),0.03418803418803419)</f>
        <v>0.03418803419</v>
      </c>
      <c r="V138" s="9">
        <f t="shared" ref="V138:W138" si="683">IFERROR(R138-T138,"-")</f>
        <v>-0.05769230769</v>
      </c>
      <c r="W138" s="9">
        <f t="shared" si="683"/>
        <v>-0.03418803419</v>
      </c>
      <c r="X138" s="65">
        <f>IFERROR(__xludf.DUMMYFUNCTION("IFERROR(
  VLOOKUP(
    A138,
    IMPORTRANGE(
      ""1ZHMy3vVUd_0MrSduXTe1etBb1HNpAlGwQr006ljwMiM"",
      ""GSC最新!A:R""
    ),
    9,
    FALSE
  ),
  0
)
"),4.487179487179487)</f>
        <v>4.487179487</v>
      </c>
      <c r="Y138" s="65">
        <f>IFERROR(__xludf.DUMMYFUNCTION("IFERROR(
  VLOOKUP(
    A138,
    IMPORTRANGE(
      ""1ZHMy3vVUd_0MrSduXTe1etBb1HNpAlGwQr006ljwMiM"",
      ""GSC最新!A:R""
    ),
    12,
    FALSE
  ),
  0
)
"),4.240384615384615)</f>
        <v>4.240384615</v>
      </c>
      <c r="Z138" s="65">
        <f>IFERROR(__xludf.DUMMYFUNCTION("IFERROR(
  VLOOKUP(
    A138,
    IMPORTRANGE(
      ""1ZHMy3vVUd_0MrSduXTe1etBb1HNpAlGwQr006ljwMiM"",
      ""GSC最新!A:R""
    ),
    15,
    FALSE
  ),
  0
)
"),15.153846153846153)</f>
        <v>15.15384615</v>
      </c>
      <c r="AA138" s="65">
        <f>IFERROR(__xludf.DUMMYFUNCTION("IFERROR(
  VLOOKUP(
    A138,
    IMPORTRANGE(
      ""1ZHMy3vVUd_0MrSduXTe1etBb1HNpAlGwQr006ljwMiM"",
      ""GSC最新!A:R""
    ),
    18,
    FALSE
  ),
  0
)
"),20.863247863247864)</f>
        <v>20.86324786</v>
      </c>
      <c r="AB138" s="65">
        <f t="shared" ref="AB138:AC138" si="684">X138-Z138</f>
        <v>-10.66666667</v>
      </c>
      <c r="AC138" s="65">
        <f t="shared" si="684"/>
        <v>-16.62286325</v>
      </c>
      <c r="AD138" s="53">
        <f>IFERROR(__xludf.DUMMYFUNCTION("IFERROR(
  VLOOKUP(
    A138,
    IMPORTRANGE(
      ""1ZHMy3vVUd_0MrSduXTe1etBb1HNpAlGwQr006ljwMiM"",
      ""GSC最新!A:F""
    ),
    6,
    FALSE
  ),
  0
)
"),46081.0)</f>
        <v>46081</v>
      </c>
      <c r="AE138" s="54">
        <f>IFERROR(__xludf.DUMMYFUNCTION("IFERROR(
  VLOOKUP(
    A138,
    IMPORTRANGE(
      ""1SCYQd7_cobOYqT0r_F0IqD4tE4rYn5y8Eup4PJTH8es"",
      ""Snapshot!A:M""
    ),
    5,
    FALSE
  ),
  ""-""
)
"),1.0)</f>
        <v>1</v>
      </c>
      <c r="AF138" s="54">
        <f>IFERROR(__xludf.DUMMYFUNCTION("IFERROR(
  VLOOKUP(
    A138,
    IMPORTRANGE(
      ""1SCYQd7_cobOYqT0r_F0IqD4tE4rYn5y8Eup4PJTH8es"",
      ""Snapshot!A:M""
    ),
    6,
    FALSE
  ),
  0
)
"),5.0)</f>
        <v>5</v>
      </c>
      <c r="AG138" s="54">
        <f>IFERROR(__xludf.DUMMYFUNCTION("IFERROR(
  VLOOKUP(
    A138,
    IMPORTRANGE(
      ""1SCYQd7_cobOYqT0r_F0IqD4tE4rYn5y8Eup4PJTH8es"",
      ""Snapshot!A:M""
    ),
    7,
    FALSE
  ),
  0
)
"),3080.0)</f>
        <v>3080</v>
      </c>
      <c r="AH138" s="54">
        <f>IFERROR(__xludf.DUMMYFUNCTION("IFERROR(
  VLOOKUP(
    A138,
    IMPORTRANGE(
      ""1SCYQd7_cobOYqT0r_F0IqD4tE4rYn5y8Eup4PJTH8es"",
      ""Snapshot!A:M""
    ),
    8,
    FALSE
  ),
  0
)
"),7.0)</f>
        <v>7</v>
      </c>
      <c r="AI138" s="54">
        <f>IFERROR(__xludf.DUMMYFUNCTION("IFERROR(
  VLOOKUP(
    A138,
    IMPORTRANGE(
      ""1SCYQd7_cobOYqT0r_F0IqD4tE4rYn5y8Eup4PJTH8es"",
      ""Snapshot!A:M""
    ),
    9,
    FALSE
  ),
  0
)
"),3.0)</f>
        <v>3</v>
      </c>
      <c r="AJ138" s="54">
        <f>IFERROR(__xludf.DUMMYFUNCTION("IFERROR(
  VLOOKUP(
    A138,
    IMPORTRANGE(
      ""1SCYQd7_cobOYqT0r_F0IqD4tE4rYn5y8Eup4PJTH8es"",
      ""Snapshot!A:M""
    ),
    13,
    FALSE
  ),
  0
)
"),3.0)</f>
        <v>3</v>
      </c>
      <c r="AK138" s="49">
        <f t="shared" ref="AK138:AL138" si="685">LEN(C138)</f>
        <v>88</v>
      </c>
      <c r="AL138" s="49">
        <f t="shared" si="685"/>
        <v>116</v>
      </c>
    </row>
    <row r="139">
      <c r="A139" s="3" t="s">
        <v>632</v>
      </c>
      <c r="B139" s="1" t="str">
        <f>IFERROR(__xludf.DUMMYFUNCTION("IFERROR(
  VLOOKUP(
    A139,
    IMPORTRANGE(
      ""1ZygntHC1J6IxzKbTidmOyf5nUyW4GCLurHCjexrLm_o"",
      ""HTMLキャッシュ!A:F""
    ),
    2,
    FALSE
  ),
  0
)
"),"MC")</f>
        <v>MC</v>
      </c>
      <c r="C139" s="1" t="str">
        <f>IFERROR(__xludf.DUMMYFUNCTION("IFERROR(
  VLOOKUP(
    A139,
    IMPORTRANGE(
      ""1ZygntHC1J6IxzKbTidmOyf5nUyW4GCLurHCjexrLm_o"",
      ""HTMLキャッシュ!A:F""
    ),
    5,
    FALSE
  ),
  0
)
"),"■大学入試共通テストの大まかな傾向を把握しよう！【大学入試共通テスト(国語)考察①】 - 受験国語専門 読解ラボ東京 | 中学受験・大学受験対応の個別指導国語専門塾（オンライン・教室対応）")</f>
        <v>■大学入試共通テストの大まかな傾向を把握しよう！【大学入試共通テスト(国語)考察①】 - 受験国語専門 読解ラボ東京 | 中学受験・大学受験対応の個別指導国語専門塾（オンライン・教室対応）</v>
      </c>
      <c r="D139" s="1" t="str">
        <f>IFERROR(__xludf.DUMMYFUNCTION("IFERROR(
  VLOOKUP(
    A139,
    IMPORTRANGE(
      ""1ZygntHC1J6IxzKbTidmOyf5nUyW4GCLurHCjexrLm_o        "",
      ""HTMLキャッシュ!A:F""
    ),
    6,
    FALSE
  ),
  0
)
"),"大学入試共通テスト国語の最新傾向と向き合い方 国公立大学向け現代文対策の全体像は、全体像はこちらで整理していま")</f>
        <v>大学入試共通テスト国語の最新傾向と向き合い方 国公立大学向け現代文対策の全体像は、全体像はこちらで整理していま</v>
      </c>
      <c r="E139" s="32">
        <f>IFERROR(__xludf.DUMMYFUNCTION("IFERROR(
  VLOOKUP(
    A139,
    IMPORTRANGE(
      ""1ZygntHC1J6IxzKbTidmOyf5nUyW4GCLurHCjexrLm_o        "",
      ""HTMLキャッシュ!A:F""
    ),
    3,
    FALSE
  ),
  0
)
"),46043.806180555555)</f>
        <v>46043.80618</v>
      </c>
      <c r="F139" s="49">
        <f>IFERROR(__xludf.DUMMYFUNCTION("IFERROR(
  VLOOKUP(
    A139,
    IMPORTRANGE(
      ""1ZHMy3vVUd_0MrSduXTe1etBb1HNpAlGwQr006ljwMiM"",
      ""GSC最新!A:F""
    ),
    2,
    FALSE
  ),
  0
)
"),0.0)</f>
        <v>0</v>
      </c>
      <c r="G139" s="49">
        <f>IFERROR(__xludf.DUMMYFUNCTION("IFERROR(
  VLOOKUP(
    A139,
    IMPORTRANGE(
      ""1ZHMy3vVUd_0MrSduXTe1etBb1HNpAlGwQr006ljwMiM"",
      ""GSC最新!A:F""
    ),
    3,
    FALSE
  ),
  0
)
"),0.0)</f>
        <v>0</v>
      </c>
      <c r="H139" s="49">
        <f>IFERROR(__xludf.DUMMYFUNCTION("IFERROR(
  VLOOKUP(
    A139,
    IMPORTRANGE(
      ""1ZHMy3vVUd_0MrSduXTe1etBb1HNpAlGwQr006ljwMiM"",
      ""GSC最新!A:F""
    ),
    4,
    FALSE
  ),
  0
)
"),0.0)</f>
        <v>0</v>
      </c>
      <c r="I139" s="49">
        <f>IFERROR(__xludf.DUMMYFUNCTION("IFERROR(
  VLOOKUP(
    A139,
    IMPORTRANGE(
      ""1ZHMy3vVUd_0MrSduXTe1etBb1HNpAlGwQr006ljwMiM"",
      ""GSC最新!A:F""
    ),
    5,
    FALSE
  ),
  0
)
"),0.0)</f>
        <v>0</v>
      </c>
      <c r="J139" s="50" t="str">
        <f t="shared" ref="J139:K139" si="686">IFERROR(F139/H139,"-")</f>
        <v>-</v>
      </c>
      <c r="K139" s="50" t="str">
        <f t="shared" si="686"/>
        <v>-</v>
      </c>
      <c r="L139" s="6">
        <f>IFERROR(__xludf.DUMMYFUNCTION("IFERROR(
  VLOOKUP(
    A139,
    IMPORTRANGE(
      ""1ZHMy3vVUd_0MrSduXTe1etBb1HNpAlGwQr006ljwMiM"",
      ""GSC最新!A:R""
    ),
    7,
    FALSE
  ),
  0
)
"),28.0)</f>
        <v>28</v>
      </c>
      <c r="M139" s="6">
        <f>IFERROR(__xludf.DUMMYFUNCTION("IFERROR(
  VLOOKUP(
    A139,
    IMPORTRANGE(
      ""1ZHMy3vVUd_0MrSduXTe1etBb1HNpAlGwQr006ljwMiM"",
      ""GSC最新!A:R""
    ),
    10,
    FALSE
  ),
  0
)
"),45.0)</f>
        <v>45</v>
      </c>
      <c r="N139" s="6">
        <f>IFERROR(__xludf.DUMMYFUNCTION("IFERROR(
  VLOOKUP(
    A139,
    IMPORTRANGE(
      ""1ZHMy3vVUd_0MrSduXTe1etBb1HNpAlGwQr006ljwMiM"",
      ""GSC最新!A:R""
    ),
    13,
    FALSE
  ),
  0
)
"),1.0)</f>
        <v>1</v>
      </c>
      <c r="O139" s="6">
        <f>IFERROR(__xludf.DUMMYFUNCTION("IFERROR(
  VLOOKUP(
    A139,
    IMPORTRANGE(
      ""1ZHMy3vVUd_0MrSduXTe1etBb1HNpAlGwQr006ljwMiM"",
      ""GSC最新!A:R""
    ),
    16,
    FALSE
  ),
  0
)
"),9.0)</f>
        <v>9</v>
      </c>
      <c r="P139" s="51">
        <f t="shared" ref="P139:Q139" si="687">IFERROR(L139/N139,"-")</f>
        <v>28</v>
      </c>
      <c r="Q139" s="51">
        <f t="shared" si="687"/>
        <v>5</v>
      </c>
      <c r="R139" s="9">
        <f>IFERROR(__xludf.DUMMYFUNCTION("IFERROR(
  VLOOKUP(
    A139,
    IMPORTRANGE(
      ""1ZHMy3vVUd_0MrSduXTe1etBb1HNpAlGwQr006ljwMiM"",
      ""GSC最新!A:R""
    ),
    8,
    FALSE
  ),
  0
)
"),0.0)</f>
        <v>0</v>
      </c>
      <c r="S139" s="9">
        <f>IFERROR(__xludf.DUMMYFUNCTION("IFERROR(
  VLOOKUP(
    A139,
    IMPORTRANGE(
      ""1ZHMy3vVUd_0MrSduXTe1etBb1HNpAlGwQr006ljwMiM"",
      ""GSC最新!A:R""
    ),
    11,
    FALSE
  ),
  0
)
"),0.0)</f>
        <v>0</v>
      </c>
      <c r="T139" s="9">
        <f>IFERROR(__xludf.DUMMYFUNCTION("IFERROR(
  VLOOKUP(
    A139,
    IMPORTRANGE(
      ""1ZHMy3vVUd_0MrSduXTe1etBb1HNpAlGwQr006ljwMiM"",
      ""GSC最新!A:R""
    ),
    14,
    FALSE
  ),
  0
)
"),0.0)</f>
        <v>0</v>
      </c>
      <c r="U139" s="9">
        <f>IFERROR(__xludf.DUMMYFUNCTION("IFERROR(
  VLOOKUP(
    A139,
    IMPORTRANGE(
      ""1ZHMy3vVUd_0MrSduXTe1etBb1HNpAlGwQr006ljwMiM"",
      ""GSC最新!A:R""
    ),
    17,
    FALSE
  ),
  0
)
"),0.0)</f>
        <v>0</v>
      </c>
      <c r="V139" s="9">
        <f t="shared" ref="V139:W139" si="688">IFERROR(R139-T139,"-")</f>
        <v>0</v>
      </c>
      <c r="W139" s="9">
        <f t="shared" si="688"/>
        <v>0</v>
      </c>
      <c r="X139" s="65">
        <f>IFERROR(__xludf.DUMMYFUNCTION("IFERROR(
  VLOOKUP(
    A139,
    IMPORTRANGE(
      ""1ZHMy3vVUd_0MrSduXTe1etBb1HNpAlGwQr006ljwMiM"",
      ""GSC最新!A:R""
    ),
    9,
    FALSE
  ),
  0
)
"),10.892857142857142)</f>
        <v>10.89285714</v>
      </c>
      <c r="Y139" s="65">
        <f>IFERROR(__xludf.DUMMYFUNCTION("IFERROR(
  VLOOKUP(
    A139,
    IMPORTRANGE(
      ""1ZHMy3vVUd_0MrSduXTe1etBb1HNpAlGwQr006ljwMiM"",
      ""GSC最新!A:R""
    ),
    12,
    FALSE
  ),
  0
)
"),10.666666666666666)</f>
        <v>10.66666667</v>
      </c>
      <c r="Z139" s="65">
        <f>IFERROR(__xludf.DUMMYFUNCTION("IFERROR(
  VLOOKUP(
    A139,
    IMPORTRANGE(
      ""1ZHMy3vVUd_0MrSduXTe1etBb1HNpAlGwQr006ljwMiM"",
      ""GSC最新!A:R""
    ),
    15,
    FALSE
  ),
  0
)
"),4.0)</f>
        <v>4</v>
      </c>
      <c r="AA139" s="65">
        <f>IFERROR(__xludf.DUMMYFUNCTION("IFERROR(
  VLOOKUP(
    A139,
    IMPORTRANGE(
      ""1ZHMy3vVUd_0MrSduXTe1etBb1HNpAlGwQr006ljwMiM"",
      ""GSC最新!A:R""
    ),
    18,
    FALSE
  ),
  0
)
"),6.222222222222222)</f>
        <v>6.222222222</v>
      </c>
      <c r="AB139" s="65">
        <f t="shared" ref="AB139:AC139" si="689">X139-Z139</f>
        <v>6.892857143</v>
      </c>
      <c r="AC139" s="65">
        <f t="shared" si="689"/>
        <v>4.444444444</v>
      </c>
      <c r="AD139" s="53">
        <f>IFERROR(__xludf.DUMMYFUNCTION("IFERROR(
  VLOOKUP(
    A139,
    IMPORTRANGE(
      ""1ZHMy3vVUd_0MrSduXTe1etBb1HNpAlGwQr006ljwMiM"",
      ""GSC最新!A:F""
    ),
    6,
    FALSE
  ),
  0
)
"),46081.0)</f>
        <v>46081</v>
      </c>
      <c r="AE139" s="54">
        <f>IFERROR(__xludf.DUMMYFUNCTION("IFERROR(
  VLOOKUP(
    A139,
    IMPORTRANGE(
      ""1SCYQd7_cobOYqT0r_F0IqD4tE4rYn5y8Eup4PJTH8es"",
      ""Snapshot!A:M""
    ),
    5,
    FALSE
  ),
  ""-""
)
"),2.0)</f>
        <v>2</v>
      </c>
      <c r="AF139" s="54">
        <f>IFERROR(__xludf.DUMMYFUNCTION("IFERROR(
  VLOOKUP(
    A139,
    IMPORTRANGE(
      ""1SCYQd7_cobOYqT0r_F0IqD4tE4rYn5y8Eup4PJTH8es"",
      ""Snapshot!A:M""
    ),
    6,
    FALSE
  ),
  0
)
"),4.0)</f>
        <v>4</v>
      </c>
      <c r="AG139" s="54">
        <f>IFERROR(__xludf.DUMMYFUNCTION("IFERROR(
  VLOOKUP(
    A139,
    IMPORTRANGE(
      ""1SCYQd7_cobOYqT0r_F0IqD4tE4rYn5y8Eup4PJTH8es"",
      ""Snapshot!A:M""
    ),
    7,
    FALSE
  ),
  0
)
"),2220.0)</f>
        <v>2220</v>
      </c>
      <c r="AH139" s="54">
        <f>IFERROR(__xludf.DUMMYFUNCTION("IFERROR(
  VLOOKUP(
    A139,
    IMPORTRANGE(
      ""1SCYQd7_cobOYqT0r_F0IqD4tE4rYn5y8Eup4PJTH8es"",
      ""Snapshot!A:M""
    ),
    8,
    FALSE
  ),
  0
)
"),2.0)</f>
        <v>2</v>
      </c>
      <c r="AI139" s="54">
        <f>IFERROR(__xludf.DUMMYFUNCTION("IFERROR(
  VLOOKUP(
    A139,
    IMPORTRANGE(
      ""1SCYQd7_cobOYqT0r_F0IqD4tE4rYn5y8Eup4PJTH8es"",
      ""Snapshot!A:M""
    ),
    9,
    FALSE
  ),
  0
)
"),1.0)</f>
        <v>1</v>
      </c>
      <c r="AJ139" s="54">
        <f>IFERROR(__xludf.DUMMYFUNCTION("IFERROR(
  VLOOKUP(
    A139,
    IMPORTRANGE(
      ""1SCYQd7_cobOYqT0r_F0IqD4tE4rYn5y8Eup4PJTH8es"",
      ""Snapshot!A:M""
    ),
    13,
    FALSE
  ),
  0
)
"),3.0)</f>
        <v>3</v>
      </c>
      <c r="AK139" s="49">
        <f t="shared" ref="AK139:AL139" si="690">LEN(C139)</f>
        <v>94</v>
      </c>
      <c r="AL139" s="49">
        <f t="shared" si="690"/>
        <v>55</v>
      </c>
    </row>
    <row r="140">
      <c r="A140" s="3" t="s">
        <v>633</v>
      </c>
      <c r="B140" s="1" t="str">
        <f>IFERROR(__xludf.DUMMYFUNCTION("IFERROR(
  VLOOKUP(
    A140,
    IMPORTRANGE(
      ""1ZygntHC1J6IxzKbTidmOyf5nUyW4GCLurHCjexrLm_o"",
      ""HTMLキャッシュ!A:F""
    ),
    2,
    FALSE
  ),
  0
)
"),"MC")</f>
        <v>MC</v>
      </c>
      <c r="C140" s="1" t="str">
        <f>IFERROR(__xludf.DUMMYFUNCTION("IFERROR(
  VLOOKUP(
    A140,
    IMPORTRANGE(
      ""1ZygntHC1J6IxzKbTidmOyf5nUyW4GCLurHCjexrLm_o"",
      ""HTMLキャッシュ!A:F""
    ),
    5,
    FALSE
  ),
  0
)
"),"予習シリーズ小５上巻 第１回の要点解説 - 受験国語専門 読解ラボ東京 | 中学受験・大学受験対応の個別指導国語専門塾（オンライン・教室対応）")</f>
        <v>予習シリーズ小５上巻 第１回の要点解説 - 受験国語専門 読解ラボ東京 | 中学受験・大学受験対応の個別指導国語専門塾（オンライン・教室対応）</v>
      </c>
      <c r="D140" s="1" t="str">
        <f>IFERROR(__xludf.DUMMYFUNCTION("IFERROR(
  VLOOKUP(
    A140,
    IMPORTRANGE(
      ""1ZygntHC1J6IxzKbTidmOyf5nUyW4GCLurHCjexrLm_o        "",
      ""HTMLキャッシュ!A:F""
    ),
    6,
    FALSE
  ),
  0
)
"),"予習シリーズ 小5 上巻 第1回・発展問題 物語文 【解説まとめ】物語文の心情読解は「背景 × 出来事」で整理")</f>
        <v>予習シリーズ 小5 上巻 第1回・発展問題 物語文 【解説まとめ】物語文の心情読解は「背景 × 出来事」で整理</v>
      </c>
      <c r="E140" s="32">
        <f>IFERROR(__xludf.DUMMYFUNCTION("IFERROR(
  VLOOKUP(
    A140,
    IMPORTRANGE(
      ""1ZygntHC1J6IxzKbTidmOyf5nUyW4GCLurHCjexrLm_o        "",
      ""HTMLキャッシュ!A:F""
    ),
    3,
    FALSE
  ),
  0
)
"),46069.64407407407)</f>
        <v>46069.64407</v>
      </c>
      <c r="F140" s="49">
        <f>IFERROR(__xludf.DUMMYFUNCTION("IFERROR(
  VLOOKUP(
    A140,
    IMPORTRANGE(
      ""1ZHMy3vVUd_0MrSduXTe1etBb1HNpAlGwQr006ljwMiM"",
      ""GSC最新!A:F""
    ),
    2,
    FALSE
  ),
  0
)
"),0.0)</f>
        <v>0</v>
      </c>
      <c r="G140" s="49">
        <f>IFERROR(__xludf.DUMMYFUNCTION("IFERROR(
  VLOOKUP(
    A140,
    IMPORTRANGE(
      ""1ZHMy3vVUd_0MrSduXTe1etBb1HNpAlGwQr006ljwMiM"",
      ""GSC最新!A:F""
    ),
    3,
    FALSE
  ),
  0
)
"),0.0)</f>
        <v>0</v>
      </c>
      <c r="H140" s="49">
        <f>IFERROR(__xludf.DUMMYFUNCTION("IFERROR(
  VLOOKUP(
    A140,
    IMPORTRANGE(
      ""1ZHMy3vVUd_0MrSduXTe1etBb1HNpAlGwQr006ljwMiM"",
      ""GSC最新!A:F""
    ),
    4,
    FALSE
  ),
  0
)
"),0.0)</f>
        <v>0</v>
      </c>
      <c r="I140" s="49">
        <f>IFERROR(__xludf.DUMMYFUNCTION("IFERROR(
  VLOOKUP(
    A140,
    IMPORTRANGE(
      ""1ZHMy3vVUd_0MrSduXTe1etBb1HNpAlGwQr006ljwMiM"",
      ""GSC最新!A:F""
    ),
    5,
    FALSE
  ),
  0
)
"),0.0)</f>
        <v>0</v>
      </c>
      <c r="J140" s="50" t="str">
        <f t="shared" ref="J140:K140" si="691">IFERROR(F140/H140,"-")</f>
        <v>-</v>
      </c>
      <c r="K140" s="50" t="str">
        <f t="shared" si="691"/>
        <v>-</v>
      </c>
      <c r="L140" s="6">
        <f>IFERROR(__xludf.DUMMYFUNCTION("IFERROR(
  VLOOKUP(
    A140,
    IMPORTRANGE(
      ""1ZHMy3vVUd_0MrSduXTe1etBb1HNpAlGwQr006ljwMiM"",
      ""GSC最新!A:R""
    ),
    7,
    FALSE
  ),
  0
)
"),6.0)</f>
        <v>6</v>
      </c>
      <c r="M140" s="6">
        <f>IFERROR(__xludf.DUMMYFUNCTION("IFERROR(
  VLOOKUP(
    A140,
    IMPORTRANGE(
      ""1ZHMy3vVUd_0MrSduXTe1etBb1HNpAlGwQr006ljwMiM"",
      ""GSC最新!A:R""
    ),
    10,
    FALSE
  ),
  0
)
"),6.0)</f>
        <v>6</v>
      </c>
      <c r="N140" s="6">
        <f>IFERROR(__xludf.DUMMYFUNCTION("IFERROR(
  VLOOKUP(
    A140,
    IMPORTRANGE(
      ""1ZHMy3vVUd_0MrSduXTe1etBb1HNpAlGwQr006ljwMiM"",
      ""GSC最新!A:R""
    ),
    13,
    FALSE
  ),
  0
)
"),0.0)</f>
        <v>0</v>
      </c>
      <c r="O140" s="6">
        <f>IFERROR(__xludf.DUMMYFUNCTION("IFERROR(
  VLOOKUP(
    A140,
    IMPORTRANGE(
      ""1ZHMy3vVUd_0MrSduXTe1etBb1HNpAlGwQr006ljwMiM"",
      ""GSC最新!A:R""
    ),
    16,
    FALSE
  ),
  0
)
"),0.0)</f>
        <v>0</v>
      </c>
      <c r="P140" s="51" t="str">
        <f t="shared" ref="P140:Q140" si="692">IFERROR(L140/N140,"-")</f>
        <v>-</v>
      </c>
      <c r="Q140" s="51" t="str">
        <f t="shared" si="692"/>
        <v>-</v>
      </c>
      <c r="R140" s="9">
        <f>IFERROR(__xludf.DUMMYFUNCTION("IFERROR(
  VLOOKUP(
    A140,
    IMPORTRANGE(
      ""1ZHMy3vVUd_0MrSduXTe1etBb1HNpAlGwQr006ljwMiM"",
      ""GSC最新!A:R""
    ),
    8,
    FALSE
  ),
  0
)
"),0.0)</f>
        <v>0</v>
      </c>
      <c r="S140" s="9">
        <f>IFERROR(__xludf.DUMMYFUNCTION("IFERROR(
  VLOOKUP(
    A140,
    IMPORTRANGE(
      ""1ZHMy3vVUd_0MrSduXTe1etBb1HNpAlGwQr006ljwMiM"",
      ""GSC最新!A:R""
    ),
    11,
    FALSE
  ),
  0
)
"),0.0)</f>
        <v>0</v>
      </c>
      <c r="T140" s="9">
        <f>IFERROR(__xludf.DUMMYFUNCTION("IFERROR(
  VLOOKUP(
    A140,
    IMPORTRANGE(
      ""1ZHMy3vVUd_0MrSduXTe1etBb1HNpAlGwQr006ljwMiM"",
      ""GSC最新!A:R""
    ),
    14,
    FALSE
  ),
  0
)
"),0.0)</f>
        <v>0</v>
      </c>
      <c r="U140" s="9">
        <f>IFERROR(__xludf.DUMMYFUNCTION("IFERROR(
  VLOOKUP(
    A140,
    IMPORTRANGE(
      ""1ZHMy3vVUd_0MrSduXTe1etBb1HNpAlGwQr006ljwMiM"",
      ""GSC最新!A:R""
    ),
    17,
    FALSE
  ),
  0
)
"),0.0)</f>
        <v>0</v>
      </c>
      <c r="V140" s="9">
        <f t="shared" ref="V140:W140" si="693">IFERROR(R140-T140,"-")</f>
        <v>0</v>
      </c>
      <c r="W140" s="9">
        <f t="shared" si="693"/>
        <v>0</v>
      </c>
      <c r="X140" s="65">
        <f>IFERROR(__xludf.DUMMYFUNCTION("IFERROR(
  VLOOKUP(
    A140,
    IMPORTRANGE(
      ""1ZHMy3vVUd_0MrSduXTe1etBb1HNpAlGwQr006ljwMiM"",
      ""GSC最新!A:R""
    ),
    9,
    FALSE
  ),
  0
)
"),4.666666666666666)</f>
        <v>4.666666667</v>
      </c>
      <c r="Y140" s="65">
        <f>IFERROR(__xludf.DUMMYFUNCTION("IFERROR(
  VLOOKUP(
    A140,
    IMPORTRANGE(
      ""1ZHMy3vVUd_0MrSduXTe1etBb1HNpAlGwQr006ljwMiM"",
      ""GSC最新!A:R""
    ),
    12,
    FALSE
  ),
  0
)
"),4.666666666666666)</f>
        <v>4.666666667</v>
      </c>
      <c r="Z140" s="65" t="str">
        <f>IFERROR(__xludf.DUMMYFUNCTION("IFERROR(
  VLOOKUP(
    A140,
    IMPORTRANGE(
      ""1ZHMy3vVUd_0MrSduXTe1etBb1HNpAlGwQr006ljwMiM"",
      ""GSC最新!A:R""
    ),
    15,
    FALSE
  ),
  0
)
"),"")</f>
        <v/>
      </c>
      <c r="AA140" s="65" t="str">
        <f>IFERROR(__xludf.DUMMYFUNCTION("IFERROR(
  VLOOKUP(
    A140,
    IMPORTRANGE(
      ""1ZHMy3vVUd_0MrSduXTe1etBb1HNpAlGwQr006ljwMiM"",
      ""GSC最新!A:R""
    ),
    18,
    FALSE
  ),
  0
)
"),"")</f>
        <v/>
      </c>
      <c r="AB140" s="65">
        <f t="shared" ref="AB140:AC140" si="694">X140-Z140</f>
        <v>4.666666667</v>
      </c>
      <c r="AC140" s="65">
        <f t="shared" si="694"/>
        <v>4.666666667</v>
      </c>
      <c r="AD140" s="53">
        <f>IFERROR(__xludf.DUMMYFUNCTION("IFERROR(
  VLOOKUP(
    A140,
    IMPORTRANGE(
      ""1ZHMy3vVUd_0MrSduXTe1etBb1HNpAlGwQr006ljwMiM"",
      ""GSC最新!A:F""
    ),
    6,
    FALSE
  ),
  0
)
"),46081.0)</f>
        <v>46081</v>
      </c>
      <c r="AE140" s="54">
        <f>IFERROR(__xludf.DUMMYFUNCTION("IFERROR(
  VLOOKUP(
    A140,
    IMPORTRANGE(
      ""1SCYQd7_cobOYqT0r_F0IqD4tE4rYn5y8Eup4PJTH8es"",
      ""Snapshot!A:M""
    ),
    5,
    FALSE
  ),
  ""-""
)
"),3.0)</f>
        <v>3</v>
      </c>
      <c r="AF140" s="54">
        <f>IFERROR(__xludf.DUMMYFUNCTION("IFERROR(
  VLOOKUP(
    A140,
    IMPORTRANGE(
      ""1SCYQd7_cobOYqT0r_F0IqD4tE4rYn5y8Eup4PJTH8es"",
      ""Snapshot!A:M""
    ),
    6,
    FALSE
  ),
  0
)
"),8.0)</f>
        <v>8</v>
      </c>
      <c r="AG140" s="54">
        <f>IFERROR(__xludf.DUMMYFUNCTION("IFERROR(
  VLOOKUP(
    A140,
    IMPORTRANGE(
      ""1SCYQd7_cobOYqT0r_F0IqD4tE4rYn5y8Eup4PJTH8es"",
      ""Snapshot!A:M""
    ),
    7,
    FALSE
  ),
  0
)
"),2540.0)</f>
        <v>2540</v>
      </c>
      <c r="AH140" s="54">
        <f>IFERROR(__xludf.DUMMYFUNCTION("IFERROR(
  VLOOKUP(
    A140,
    IMPORTRANGE(
      ""1SCYQd7_cobOYqT0r_F0IqD4tE4rYn5y8Eup4PJTH8es"",
      ""Snapshot!A:M""
    ),
    8,
    FALSE
  ),
  0
)
"),2.0)</f>
        <v>2</v>
      </c>
      <c r="AI140" s="54">
        <f>IFERROR(__xludf.DUMMYFUNCTION("IFERROR(
  VLOOKUP(
    A140,
    IMPORTRANGE(
      ""1SCYQd7_cobOYqT0r_F0IqD4tE4rYn5y8Eup4PJTH8es"",
      ""Snapshot!A:M""
    ),
    9,
    FALSE
  ),
  0
)
"),3.0)</f>
        <v>3</v>
      </c>
      <c r="AJ140" s="54">
        <f>IFERROR(__xludf.DUMMYFUNCTION("IFERROR(
  VLOOKUP(
    A140,
    IMPORTRANGE(
      ""1SCYQd7_cobOYqT0r_F0IqD4tE4rYn5y8Eup4PJTH8es"",
      ""Snapshot!A:M""
    ),
    13,
    FALSE
  ),
  0
)
"),3.0)</f>
        <v>3</v>
      </c>
      <c r="AK140" s="49">
        <f t="shared" ref="AK140:AL140" si="695">LEN(C140)</f>
        <v>71</v>
      </c>
      <c r="AL140" s="49">
        <f t="shared" si="695"/>
        <v>55</v>
      </c>
    </row>
    <row r="141">
      <c r="A141" s="56" t="s">
        <v>634</v>
      </c>
      <c r="B141" s="1" t="str">
        <f>IFERROR(__xludf.DUMMYFUNCTION("IFERROR(
  VLOOKUP(
    A141,
    IMPORTRANGE(
      ""1ZygntHC1J6IxzKbTidmOyf5nUyW4GCLurHCjexrLm_o"",
      ""HTMLキャッシュ!A:F""
    ),
    2,
    FALSE
  ),
  0
)
"),"MC")</f>
        <v>MC</v>
      </c>
      <c r="C141" s="1" t="str">
        <f>IFERROR(__xludf.DUMMYFUNCTION("IFERROR(
  VLOOKUP(
    A141,
    IMPORTRANGE(
      ""1ZygntHC1J6IxzKbTidmOyf5nUyW4GCLurHCjexrLm_o"",
      ""HTMLキャッシュ!A:F""
    ),
    5,
    FALSE
  ),
  0
)
"),"予習シリーズ小５上巻 第１０回の要点解説 - 受験国語専門 読解ラボ東京 | 中学受験・大学受験対応の個別指導国語専門塾（オンライン・教室対応）")</f>
        <v>予習シリーズ小５上巻 第１０回の要点解説 - 受験国語専門 読解ラボ東京 | 中学受験・大学受験対応の個別指導国語専門塾（オンライン・教室対応）</v>
      </c>
      <c r="D141" s="1" t="str">
        <f>IFERROR(__xludf.DUMMYFUNCTION("IFERROR(
  VLOOKUP(
    A141,
    IMPORTRANGE(
      ""1ZygntHC1J6IxzKbTidmOyf5nUyW4GCLurHCjexrLm_o        "",
      ""HTMLキャッシュ!A:F""
    ),
    6,
    FALSE
  ),
  0
)
"),"予習シリーズ 小5 上巻 第10回・発展問題 前半：物語文 後半：説明文 【解説まとめ】前半は「背景×出来事→")</f>
        <v>予習シリーズ 小5 上巻 第10回・発展問題 前半：物語文 後半：説明文 【解説まとめ】前半は「背景×出来事→</v>
      </c>
      <c r="E141" s="32">
        <f>IFERROR(__xludf.DUMMYFUNCTION("IFERROR(
  VLOOKUP(
    A141,
    IMPORTRANGE(
      ""1ZygntHC1J6IxzKbTidmOyf5nUyW4GCLurHCjexrLm_o        "",
      ""HTMLキャッシュ!A:F""
    ),
    3,
    FALSE
  ),
  0
)
"),46081.61960648148)</f>
        <v>46081.61961</v>
      </c>
      <c r="F141" s="49">
        <f>IFERROR(__xludf.DUMMYFUNCTION("IFERROR(
  VLOOKUP(
    A141,
    IMPORTRANGE(
      ""1ZHMy3vVUd_0MrSduXTe1etBb1HNpAlGwQr006ljwMiM"",
      ""GSC最新!A:F""
    ),
    2,
    FALSE
  ),
  0
)
"),0.0)</f>
        <v>0</v>
      </c>
      <c r="G141" s="49">
        <f>IFERROR(__xludf.DUMMYFUNCTION("IFERROR(
  VLOOKUP(
    A141,
    IMPORTRANGE(
      ""1ZHMy3vVUd_0MrSduXTe1etBb1HNpAlGwQr006ljwMiM"",
      ""GSC最新!A:F""
    ),
    3,
    FALSE
  ),
  0
)
"),0.0)</f>
        <v>0</v>
      </c>
      <c r="H141" s="49">
        <f>IFERROR(__xludf.DUMMYFUNCTION("IFERROR(
  VLOOKUP(
    A141,
    IMPORTRANGE(
      ""1ZHMy3vVUd_0MrSduXTe1etBb1HNpAlGwQr006ljwMiM"",
      ""GSC最新!A:F""
    ),
    4,
    FALSE
  ),
  0
)
"),0.0)</f>
        <v>0</v>
      </c>
      <c r="I141" s="49">
        <f>IFERROR(__xludf.DUMMYFUNCTION("IFERROR(
  VLOOKUP(
    A141,
    IMPORTRANGE(
      ""1ZHMy3vVUd_0MrSduXTe1etBb1HNpAlGwQr006ljwMiM"",
      ""GSC最新!A:F""
    ),
    5,
    FALSE
  ),
  0
)
"),0.0)</f>
        <v>0</v>
      </c>
      <c r="J141" s="50" t="str">
        <f t="shared" ref="J141:K141" si="696">IFERROR(F141/H141,"-")</f>
        <v>-</v>
      </c>
      <c r="K141" s="50" t="str">
        <f t="shared" si="696"/>
        <v>-</v>
      </c>
      <c r="L141" s="6">
        <f>IFERROR(__xludf.DUMMYFUNCTION("IFERROR(
  VLOOKUP(
    A141,
    IMPORTRANGE(
      ""1ZHMy3vVUd_0MrSduXTe1etBb1HNpAlGwQr006ljwMiM"",
      ""GSC最新!A:R""
    ),
    7,
    FALSE
  ),
  0
)
"),0.0)</f>
        <v>0</v>
      </c>
      <c r="M141" s="6">
        <f>IFERROR(__xludf.DUMMYFUNCTION("IFERROR(
  VLOOKUP(
    A141,
    IMPORTRANGE(
      ""1ZHMy3vVUd_0MrSduXTe1etBb1HNpAlGwQr006ljwMiM"",
      ""GSC最新!A:R""
    ),
    10,
    FALSE
  ),
  0
)
"),0.0)</f>
        <v>0</v>
      </c>
      <c r="N141" s="6">
        <f>IFERROR(__xludf.DUMMYFUNCTION("IFERROR(
  VLOOKUP(
    A141,
    IMPORTRANGE(
      ""1ZHMy3vVUd_0MrSduXTe1etBb1HNpAlGwQr006ljwMiM"",
      ""GSC最新!A:R""
    ),
    13,
    FALSE
  ),
  0
)
"),0.0)</f>
        <v>0</v>
      </c>
      <c r="O141" s="6">
        <f>IFERROR(__xludf.DUMMYFUNCTION("IFERROR(
  VLOOKUP(
    A141,
    IMPORTRANGE(
      ""1ZHMy3vVUd_0MrSduXTe1etBb1HNpAlGwQr006ljwMiM"",
      ""GSC最新!A:R""
    ),
    16,
    FALSE
  ),
  0
)
"),0.0)</f>
        <v>0</v>
      </c>
      <c r="P141" s="51" t="str">
        <f t="shared" ref="P141:Q141" si="697">IFERROR(L141/N141,"-")</f>
        <v>-</v>
      </c>
      <c r="Q141" s="51" t="str">
        <f t="shared" si="697"/>
        <v>-</v>
      </c>
      <c r="R141" s="9">
        <f>IFERROR(__xludf.DUMMYFUNCTION("IFERROR(
  VLOOKUP(
    A141,
    IMPORTRANGE(
      ""1ZHMy3vVUd_0MrSduXTe1etBb1HNpAlGwQr006ljwMiM"",
      ""GSC最新!A:R""
    ),
    8,
    FALSE
  ),
  0
)
"),0.0)</f>
        <v>0</v>
      </c>
      <c r="S141" s="9">
        <f>IFERROR(__xludf.DUMMYFUNCTION("IFERROR(
  VLOOKUP(
    A141,
    IMPORTRANGE(
      ""1ZHMy3vVUd_0MrSduXTe1etBb1HNpAlGwQr006ljwMiM"",
      ""GSC最新!A:R""
    ),
    11,
    FALSE
  ),
  0
)
"),0.0)</f>
        <v>0</v>
      </c>
      <c r="T141" s="9">
        <f>IFERROR(__xludf.DUMMYFUNCTION("IFERROR(
  VLOOKUP(
    A141,
    IMPORTRANGE(
      ""1ZHMy3vVUd_0MrSduXTe1etBb1HNpAlGwQr006ljwMiM"",
      ""GSC最新!A:R""
    ),
    14,
    FALSE
  ),
  0
)
"),0.0)</f>
        <v>0</v>
      </c>
      <c r="U141" s="9">
        <f>IFERROR(__xludf.DUMMYFUNCTION("IFERROR(
  VLOOKUP(
    A141,
    IMPORTRANGE(
      ""1ZHMy3vVUd_0MrSduXTe1etBb1HNpAlGwQr006ljwMiM"",
      ""GSC最新!A:R""
    ),
    17,
    FALSE
  ),
  0
)
"),0.0)</f>
        <v>0</v>
      </c>
      <c r="V141" s="9">
        <f t="shared" ref="V141:W141" si="698">IFERROR(R141-T141,"-")</f>
        <v>0</v>
      </c>
      <c r="W141" s="9">
        <f t="shared" si="698"/>
        <v>0</v>
      </c>
      <c r="X141" s="65" t="str">
        <f>IFERROR(__xludf.DUMMYFUNCTION("IFERROR(
  VLOOKUP(
    A141,
    IMPORTRANGE(
      ""1ZHMy3vVUd_0MrSduXTe1etBb1HNpAlGwQr006ljwMiM"",
      ""GSC最新!A:R""
    ),
    9,
    FALSE
  ),
  0
)
"),"")</f>
        <v/>
      </c>
      <c r="Y141" s="65" t="str">
        <f>IFERROR(__xludf.DUMMYFUNCTION("IFERROR(
  VLOOKUP(
    A141,
    IMPORTRANGE(
      ""1ZHMy3vVUd_0MrSduXTe1etBb1HNpAlGwQr006ljwMiM"",
      ""GSC最新!A:R""
    ),
    12,
    FALSE
  ),
  0
)
"),"")</f>
        <v/>
      </c>
      <c r="Z141" s="65" t="str">
        <f>IFERROR(__xludf.DUMMYFUNCTION("IFERROR(
  VLOOKUP(
    A141,
    IMPORTRANGE(
      ""1ZHMy3vVUd_0MrSduXTe1etBb1HNpAlGwQr006ljwMiM"",
      ""GSC最新!A:R""
    ),
    15,
    FALSE
  ),
  0
)
"),"")</f>
        <v/>
      </c>
      <c r="AA141" s="65" t="str">
        <f>IFERROR(__xludf.DUMMYFUNCTION("IFERROR(
  VLOOKUP(
    A141,
    IMPORTRANGE(
      ""1ZHMy3vVUd_0MrSduXTe1etBb1HNpAlGwQr006ljwMiM"",
      ""GSC最新!A:R""
    ),
    18,
    FALSE
  ),
  0
)
"),"")</f>
        <v/>
      </c>
      <c r="AB141" s="65">
        <f t="shared" ref="AB141:AC141" si="699">X141-Z141</f>
        <v>0</v>
      </c>
      <c r="AC141" s="65">
        <f t="shared" si="699"/>
        <v>0</v>
      </c>
      <c r="AD141" s="53">
        <f>IFERROR(__xludf.DUMMYFUNCTION("IFERROR(
  VLOOKUP(
    A141,
    IMPORTRANGE(
      ""1ZHMy3vVUd_0MrSduXTe1etBb1HNpAlGwQr006ljwMiM"",
      ""GSC最新!A:F""
    ),
    6,
    FALSE
  ),
  0
)
"),46081.0)</f>
        <v>46081</v>
      </c>
      <c r="AE141" s="54">
        <f>IFERROR(__xludf.DUMMYFUNCTION("IFERROR(
  VLOOKUP(
    A141,
    IMPORTRANGE(
      ""1SCYQd7_cobOYqT0r_F0IqD4tE4rYn5y8Eup4PJTH8es"",
      ""Snapshot!A:M""
    ),
    5,
    FALSE
  ),
  ""-""
)
"),9.0)</f>
        <v>9</v>
      </c>
      <c r="AF141" s="54">
        <f>IFERROR(__xludf.DUMMYFUNCTION("IFERROR(
  VLOOKUP(
    A141,
    IMPORTRANGE(
      ""1SCYQd7_cobOYqT0r_F0IqD4tE4rYn5y8Eup4PJTH8es"",
      ""Snapshot!A:M""
    ),
    6,
    FALSE
  ),
  0
)
"),20.0)</f>
        <v>20</v>
      </c>
      <c r="AG141" s="54">
        <f>IFERROR(__xludf.DUMMYFUNCTION("IFERROR(
  VLOOKUP(
    A141,
    IMPORTRANGE(
      ""1SCYQd7_cobOYqT0r_F0IqD4tE4rYn5y8Eup4PJTH8es"",
      ""Snapshot!A:M""
    ),
    7,
    FALSE
  ),
  0
)
"),3189.0)</f>
        <v>3189</v>
      </c>
      <c r="AH141" s="54">
        <f>IFERROR(__xludf.DUMMYFUNCTION("IFERROR(
  VLOOKUP(
    A141,
    IMPORTRANGE(
      ""1SCYQd7_cobOYqT0r_F0IqD4tE4rYn5y8Eup4PJTH8es"",
      ""Snapshot!A:M""
    ),
    8,
    FALSE
  ),
  0
)
"),2.0)</f>
        <v>2</v>
      </c>
      <c r="AI141" s="54">
        <f>IFERROR(__xludf.DUMMYFUNCTION("IFERROR(
  VLOOKUP(
    A141,
    IMPORTRANGE(
      ""1SCYQd7_cobOYqT0r_F0IqD4tE4rYn5y8Eup4PJTH8es"",
      ""Snapshot!A:M""
    ),
    9,
    FALSE
  ),
  0
)
"),3.0)</f>
        <v>3</v>
      </c>
      <c r="AJ141" s="54">
        <f>IFERROR(__xludf.DUMMYFUNCTION("IFERROR(
  VLOOKUP(
    A141,
    IMPORTRANGE(
      ""1SCYQd7_cobOYqT0r_F0IqD4tE4rYn5y8Eup4PJTH8es"",
      ""Snapshot!A:M""
    ),
    13,
    FALSE
  ),
  0
)
"),3.0)</f>
        <v>3</v>
      </c>
      <c r="AK141" s="49">
        <f t="shared" ref="AK141:AL141" si="700">LEN(C141)</f>
        <v>72</v>
      </c>
      <c r="AL141" s="49">
        <f t="shared" si="700"/>
        <v>55</v>
      </c>
    </row>
    <row r="142">
      <c r="A142" s="56" t="s">
        <v>635</v>
      </c>
      <c r="B142" s="1" t="str">
        <f>IFERROR(__xludf.DUMMYFUNCTION("IFERROR(
  VLOOKUP(
    A142,
    IMPORTRANGE(
      ""1ZygntHC1J6IxzKbTidmOyf5nUyW4GCLurHCjexrLm_o"",
      ""HTMLキャッシュ!A:F""
    ),
    2,
    FALSE
  ),
  0
)
"),"MC")</f>
        <v>MC</v>
      </c>
      <c r="C142" s="1" t="str">
        <f>IFERROR(__xludf.DUMMYFUNCTION("IFERROR(
  VLOOKUP(
    A142,
    IMPORTRANGE(
      ""1ZygntHC1J6IxzKbTidmOyf5nUyW4GCLurHCjexrLm_o"",
      ""HTMLキャッシュ!A:F""
    ),
    5,
    FALSE
  ),
  0
)
"),"予習シリーズ小５上巻 第１１回の要点解説 - 受験国語専門 読解ラボ東京 | 中学受験・大学受験対応の個別指導国語専門塾（オンライン・教室対応）")</f>
        <v>予習シリーズ小５上巻 第１１回の要点解説 - 受験国語専門 読解ラボ東京 | 中学受験・大学受験対応の個別指導国語専門塾（オンライン・教室対応）</v>
      </c>
      <c r="D142" s="1" t="str">
        <f>IFERROR(__xludf.DUMMYFUNCTION("IFERROR(
  VLOOKUP(
    A142,
    IMPORTRANGE(
      ""1ZygntHC1J6IxzKbTidmOyf5nUyW4GCLurHCjexrLm_o        "",
      ""HTMLキャッシュ!A:F""
    ),
    6,
    FALSE
  ),
  0
)
"),"予習シリーズ 小5 上巻 第11回・発展問題 物語文（随筆） 【解説まとめ】「説明しろ＝イコール（言い換え）」")</f>
        <v>予習シリーズ 小5 上巻 第11回・発展問題 物語文（随筆） 【解説まとめ】「説明しろ＝イコール（言い換え）」</v>
      </c>
      <c r="E142" s="32">
        <f>IFERROR(__xludf.DUMMYFUNCTION("IFERROR(
  VLOOKUP(
    A142,
    IMPORTRANGE(
      ""1ZygntHC1J6IxzKbTidmOyf5nUyW4GCLurHCjexrLm_o        "",
      ""HTMLキャッシュ!A:F""
    ),
    3,
    FALSE
  ),
  0
)
"),46081.62615740741)</f>
        <v>46081.62616</v>
      </c>
      <c r="F142" s="49">
        <f>IFERROR(__xludf.DUMMYFUNCTION("IFERROR(
  VLOOKUP(
    A142,
    IMPORTRANGE(
      ""1ZHMy3vVUd_0MrSduXTe1etBb1HNpAlGwQr006ljwMiM"",
      ""GSC最新!A:F""
    ),
    2,
    FALSE
  ),
  0
)
"),0.0)</f>
        <v>0</v>
      </c>
      <c r="G142" s="49">
        <f>IFERROR(__xludf.DUMMYFUNCTION("IFERROR(
  VLOOKUP(
    A142,
    IMPORTRANGE(
      ""1ZHMy3vVUd_0MrSduXTe1etBb1HNpAlGwQr006ljwMiM"",
      ""GSC最新!A:F""
    ),
    3,
    FALSE
  ),
  0
)
"),0.0)</f>
        <v>0</v>
      </c>
      <c r="H142" s="49">
        <f>IFERROR(__xludf.DUMMYFUNCTION("IFERROR(
  VLOOKUP(
    A142,
    IMPORTRANGE(
      ""1ZHMy3vVUd_0MrSduXTe1etBb1HNpAlGwQr006ljwMiM"",
      ""GSC最新!A:F""
    ),
    4,
    FALSE
  ),
  0
)
"),0.0)</f>
        <v>0</v>
      </c>
      <c r="I142" s="49">
        <f>IFERROR(__xludf.DUMMYFUNCTION("IFERROR(
  VLOOKUP(
    A142,
    IMPORTRANGE(
      ""1ZHMy3vVUd_0MrSduXTe1etBb1HNpAlGwQr006ljwMiM"",
      ""GSC最新!A:F""
    ),
    5,
    FALSE
  ),
  0
)
"),0.0)</f>
        <v>0</v>
      </c>
      <c r="J142" s="50" t="str">
        <f t="shared" ref="J142:K142" si="701">IFERROR(F142/H142,"-")</f>
        <v>-</v>
      </c>
      <c r="K142" s="50" t="str">
        <f t="shared" si="701"/>
        <v>-</v>
      </c>
      <c r="L142" s="6">
        <f>IFERROR(__xludf.DUMMYFUNCTION("IFERROR(
  VLOOKUP(
    A142,
    IMPORTRANGE(
      ""1ZHMy3vVUd_0MrSduXTe1etBb1HNpAlGwQr006ljwMiM"",
      ""GSC最新!A:R""
    ),
    7,
    FALSE
  ),
  0
)
"),0.0)</f>
        <v>0</v>
      </c>
      <c r="M142" s="6">
        <f>IFERROR(__xludf.DUMMYFUNCTION("IFERROR(
  VLOOKUP(
    A142,
    IMPORTRANGE(
      ""1ZHMy3vVUd_0MrSduXTe1etBb1HNpAlGwQr006ljwMiM"",
      ""GSC最新!A:R""
    ),
    10,
    FALSE
  ),
  0
)
"),0.0)</f>
        <v>0</v>
      </c>
      <c r="N142" s="6">
        <f>IFERROR(__xludf.DUMMYFUNCTION("IFERROR(
  VLOOKUP(
    A142,
    IMPORTRANGE(
      ""1ZHMy3vVUd_0MrSduXTe1etBb1HNpAlGwQr006ljwMiM"",
      ""GSC最新!A:R""
    ),
    13,
    FALSE
  ),
  0
)
"),0.0)</f>
        <v>0</v>
      </c>
      <c r="O142" s="6">
        <f>IFERROR(__xludf.DUMMYFUNCTION("IFERROR(
  VLOOKUP(
    A142,
    IMPORTRANGE(
      ""1ZHMy3vVUd_0MrSduXTe1etBb1HNpAlGwQr006ljwMiM"",
      ""GSC最新!A:R""
    ),
    16,
    FALSE
  ),
  0
)
"),0.0)</f>
        <v>0</v>
      </c>
      <c r="P142" s="51" t="str">
        <f t="shared" ref="P142:Q142" si="702">IFERROR(L142/N142,"-")</f>
        <v>-</v>
      </c>
      <c r="Q142" s="51" t="str">
        <f t="shared" si="702"/>
        <v>-</v>
      </c>
      <c r="R142" s="9">
        <f>IFERROR(__xludf.DUMMYFUNCTION("IFERROR(
  VLOOKUP(
    A142,
    IMPORTRANGE(
      ""1ZHMy3vVUd_0MrSduXTe1etBb1HNpAlGwQr006ljwMiM"",
      ""GSC最新!A:R""
    ),
    8,
    FALSE
  ),
  0
)
"),0.0)</f>
        <v>0</v>
      </c>
      <c r="S142" s="9">
        <f>IFERROR(__xludf.DUMMYFUNCTION("IFERROR(
  VLOOKUP(
    A142,
    IMPORTRANGE(
      ""1ZHMy3vVUd_0MrSduXTe1etBb1HNpAlGwQr006ljwMiM"",
      ""GSC最新!A:R""
    ),
    11,
    FALSE
  ),
  0
)
"),0.0)</f>
        <v>0</v>
      </c>
      <c r="T142" s="9">
        <f>IFERROR(__xludf.DUMMYFUNCTION("IFERROR(
  VLOOKUP(
    A142,
    IMPORTRANGE(
      ""1ZHMy3vVUd_0MrSduXTe1etBb1HNpAlGwQr006ljwMiM"",
      ""GSC最新!A:R""
    ),
    14,
    FALSE
  ),
  0
)
"),0.0)</f>
        <v>0</v>
      </c>
      <c r="U142" s="9">
        <f>IFERROR(__xludf.DUMMYFUNCTION("IFERROR(
  VLOOKUP(
    A142,
    IMPORTRANGE(
      ""1ZHMy3vVUd_0MrSduXTe1etBb1HNpAlGwQr006ljwMiM"",
      ""GSC最新!A:R""
    ),
    17,
    FALSE
  ),
  0
)
"),0.0)</f>
        <v>0</v>
      </c>
      <c r="V142" s="9">
        <f t="shared" ref="V142:W142" si="703">IFERROR(R142-T142,"-")</f>
        <v>0</v>
      </c>
      <c r="W142" s="9">
        <f t="shared" si="703"/>
        <v>0</v>
      </c>
      <c r="X142" s="65" t="str">
        <f>IFERROR(__xludf.DUMMYFUNCTION("IFERROR(
  VLOOKUP(
    A142,
    IMPORTRANGE(
      ""1ZHMy3vVUd_0MrSduXTe1etBb1HNpAlGwQr006ljwMiM"",
      ""GSC最新!A:R""
    ),
    9,
    FALSE
  ),
  0
)
"),"")</f>
        <v/>
      </c>
      <c r="Y142" s="65" t="str">
        <f>IFERROR(__xludf.DUMMYFUNCTION("IFERROR(
  VLOOKUP(
    A142,
    IMPORTRANGE(
      ""1ZHMy3vVUd_0MrSduXTe1etBb1HNpAlGwQr006ljwMiM"",
      ""GSC最新!A:R""
    ),
    12,
    FALSE
  ),
  0
)
"),"")</f>
        <v/>
      </c>
      <c r="Z142" s="65" t="str">
        <f>IFERROR(__xludf.DUMMYFUNCTION("IFERROR(
  VLOOKUP(
    A142,
    IMPORTRANGE(
      ""1ZHMy3vVUd_0MrSduXTe1etBb1HNpAlGwQr006ljwMiM"",
      ""GSC最新!A:R""
    ),
    15,
    FALSE
  ),
  0
)
"),"")</f>
        <v/>
      </c>
      <c r="AA142" s="65" t="str">
        <f>IFERROR(__xludf.DUMMYFUNCTION("IFERROR(
  VLOOKUP(
    A142,
    IMPORTRANGE(
      ""1ZHMy3vVUd_0MrSduXTe1etBb1HNpAlGwQr006ljwMiM"",
      ""GSC最新!A:R""
    ),
    18,
    FALSE
  ),
  0
)
"),"")</f>
        <v/>
      </c>
      <c r="AB142" s="65">
        <f t="shared" ref="AB142:AC142" si="704">X142-Z142</f>
        <v>0</v>
      </c>
      <c r="AC142" s="65">
        <f t="shared" si="704"/>
        <v>0</v>
      </c>
      <c r="AD142" s="53">
        <f>IFERROR(__xludf.DUMMYFUNCTION("IFERROR(
  VLOOKUP(
    A142,
    IMPORTRANGE(
      ""1ZHMy3vVUd_0MrSduXTe1etBb1HNpAlGwQr006ljwMiM"",
      ""GSC最新!A:F""
    ),
    6,
    FALSE
  ),
  0
)
"),46081.0)</f>
        <v>46081</v>
      </c>
      <c r="AE142" s="54">
        <f>IFERROR(__xludf.DUMMYFUNCTION("IFERROR(
  VLOOKUP(
    A142,
    IMPORTRANGE(
      ""1SCYQd7_cobOYqT0r_F0IqD4tE4rYn5y8Eup4PJTH8es"",
      ""Snapshot!A:M""
    ),
    5,
    FALSE
  ),
  ""-""
)
"),7.0)</f>
        <v>7</v>
      </c>
      <c r="AF142" s="54">
        <f>IFERROR(__xludf.DUMMYFUNCTION("IFERROR(
  VLOOKUP(
    A142,
    IMPORTRANGE(
      ""1SCYQd7_cobOYqT0r_F0IqD4tE4rYn5y8Eup4PJTH8es"",
      ""Snapshot!A:M""
    ),
    6,
    FALSE
  ),
  0
)
"),13.0)</f>
        <v>13</v>
      </c>
      <c r="AG142" s="54">
        <f>IFERROR(__xludf.DUMMYFUNCTION("IFERROR(
  VLOOKUP(
    A142,
    IMPORTRANGE(
      ""1SCYQd7_cobOYqT0r_F0IqD4tE4rYn5y8Eup4PJTH8es"",
      ""Snapshot!A:M""
    ),
    7,
    FALSE
  ),
  0
)
"),1689.0)</f>
        <v>1689</v>
      </c>
      <c r="AH142" s="54">
        <f>IFERROR(__xludf.DUMMYFUNCTION("IFERROR(
  VLOOKUP(
    A142,
    IMPORTRANGE(
      ""1SCYQd7_cobOYqT0r_F0IqD4tE4rYn5y8Eup4PJTH8es"",
      ""Snapshot!A:M""
    ),
    8,
    FALSE
  ),
  0
)
"),1.0)</f>
        <v>1</v>
      </c>
      <c r="AI142" s="54">
        <f>IFERROR(__xludf.DUMMYFUNCTION("IFERROR(
  VLOOKUP(
    A142,
    IMPORTRANGE(
      ""1SCYQd7_cobOYqT0r_F0IqD4tE4rYn5y8Eup4PJTH8es"",
      ""Snapshot!A:M""
    ),
    9,
    FALSE
  ),
  0
)
"),3.0)</f>
        <v>3</v>
      </c>
      <c r="AJ142" s="54">
        <f>IFERROR(__xludf.DUMMYFUNCTION("IFERROR(
  VLOOKUP(
    A142,
    IMPORTRANGE(
      ""1SCYQd7_cobOYqT0r_F0IqD4tE4rYn5y8Eup4PJTH8es"",
      ""Snapshot!A:M""
    ),
    13,
    FALSE
  ),
  0
)
"),3.0)</f>
        <v>3</v>
      </c>
      <c r="AK142" s="49">
        <f t="shared" ref="AK142:AL142" si="705">LEN(C142)</f>
        <v>72</v>
      </c>
      <c r="AL142" s="49">
        <f t="shared" si="705"/>
        <v>55</v>
      </c>
    </row>
    <row r="143">
      <c r="A143" s="56" t="s">
        <v>636</v>
      </c>
      <c r="B143" s="1" t="str">
        <f>IFERROR(__xludf.DUMMYFUNCTION("IFERROR(
  VLOOKUP(
    A143,
    IMPORTRANGE(
      ""1ZygntHC1J6IxzKbTidmOyf5nUyW4GCLurHCjexrLm_o"",
      ""HTMLキャッシュ!A:F""
    ),
    2,
    FALSE
  ),
  0
)
"),"MC")</f>
        <v>MC</v>
      </c>
      <c r="C143" s="1" t="str">
        <f>IFERROR(__xludf.DUMMYFUNCTION("IFERROR(
  VLOOKUP(
    A143,
    IMPORTRANGE(
      ""1ZygntHC1J6IxzKbTidmOyf5nUyW4GCLurHCjexrLm_o"",
      ""HTMLキャッシュ!A:F""
    ),
    5,
    FALSE
  ),
  0
)
"),"予習シリーズ小５上巻 第１３回の要点解説 - 受験国語専門 読解ラボ東京 | 中学受験・大学受験対応の個別指導国語専門塾（オンライン・教室対応）")</f>
        <v>予習シリーズ小５上巻 第１３回の要点解説 - 受験国語専門 読解ラボ東京 | 中学受験・大学受験対応の個別指導国語専門塾（オンライン・教室対応）</v>
      </c>
      <c r="D143" s="1" t="str">
        <f>IFERROR(__xludf.DUMMYFUNCTION("IFERROR(
  VLOOKUP(
    A143,
    IMPORTRANGE(
      ""1ZygntHC1J6IxzKbTidmOyf5nUyW4GCLurHCjexrLm_o        "",
      ""HTMLキャッシュ!A:F""
    ),
    6,
    FALSE
  ),
  0
)
"),"予習シリーズ 小5 上巻 第13回・発展問題 論説文 【解説まとめ】異質な存在と「境界の内と外」の精神構造 受")</f>
        <v>予習シリーズ 小5 上巻 第13回・発展問題 論説文 【解説まとめ】異質な存在と「境界の内と外」の精神構造 受</v>
      </c>
      <c r="E143" s="32">
        <f>IFERROR(__xludf.DUMMYFUNCTION("IFERROR(
  VLOOKUP(
    A143,
    IMPORTRANGE(
      ""1ZygntHC1J6IxzKbTidmOyf5nUyW4GCLurHCjexrLm_o        "",
      ""HTMLキャッシュ!A:F""
    ),
    3,
    FALSE
  ),
  0
)
"),46051.58049768519)</f>
        <v>46051.5805</v>
      </c>
      <c r="F143" s="49">
        <f>IFERROR(__xludf.DUMMYFUNCTION("IFERROR(
  VLOOKUP(
    A143,
    IMPORTRANGE(
      ""1ZHMy3vVUd_0MrSduXTe1etBb1HNpAlGwQr006ljwMiM"",
      ""GSC最新!A:F""
    ),
    2,
    FALSE
  ),
  0
)
"),0.0)</f>
        <v>0</v>
      </c>
      <c r="G143" s="49">
        <f>IFERROR(__xludf.DUMMYFUNCTION("IFERROR(
  VLOOKUP(
    A143,
    IMPORTRANGE(
      ""1ZHMy3vVUd_0MrSduXTe1etBb1HNpAlGwQr006ljwMiM"",
      ""GSC最新!A:F""
    ),
    3,
    FALSE
  ),
  0
)
"),0.0)</f>
        <v>0</v>
      </c>
      <c r="H143" s="49">
        <f>IFERROR(__xludf.DUMMYFUNCTION("IFERROR(
  VLOOKUP(
    A143,
    IMPORTRANGE(
      ""1ZHMy3vVUd_0MrSduXTe1etBb1HNpAlGwQr006ljwMiM"",
      ""GSC最新!A:F""
    ),
    4,
    FALSE
  ),
  0
)
"),0.0)</f>
        <v>0</v>
      </c>
      <c r="I143" s="49">
        <f>IFERROR(__xludf.DUMMYFUNCTION("IFERROR(
  VLOOKUP(
    A143,
    IMPORTRANGE(
      ""1ZHMy3vVUd_0MrSduXTe1etBb1HNpAlGwQr006ljwMiM"",
      ""GSC最新!A:F""
    ),
    5,
    FALSE
  ),
  0
)
"),0.0)</f>
        <v>0</v>
      </c>
      <c r="J143" s="50" t="str">
        <f t="shared" ref="J143:K143" si="706">IFERROR(F143/H143,"-")</f>
        <v>-</v>
      </c>
      <c r="K143" s="50" t="str">
        <f t="shared" si="706"/>
        <v>-</v>
      </c>
      <c r="L143" s="6">
        <f>IFERROR(__xludf.DUMMYFUNCTION("IFERROR(
  VLOOKUP(
    A143,
    IMPORTRANGE(
      ""1ZHMy3vVUd_0MrSduXTe1etBb1HNpAlGwQr006ljwMiM"",
      ""GSC最新!A:R""
    ),
    7,
    FALSE
  ),
  0
)
"),0.0)</f>
        <v>0</v>
      </c>
      <c r="M143" s="6">
        <f>IFERROR(__xludf.DUMMYFUNCTION("IFERROR(
  VLOOKUP(
    A143,
    IMPORTRANGE(
      ""1ZHMy3vVUd_0MrSduXTe1etBb1HNpAlGwQr006ljwMiM"",
      ""GSC最新!A:R""
    ),
    10,
    FALSE
  ),
  0
)
"),0.0)</f>
        <v>0</v>
      </c>
      <c r="N143" s="6">
        <f>IFERROR(__xludf.DUMMYFUNCTION("IFERROR(
  VLOOKUP(
    A143,
    IMPORTRANGE(
      ""1ZHMy3vVUd_0MrSduXTe1etBb1HNpAlGwQr006ljwMiM"",
      ""GSC最新!A:R""
    ),
    13,
    FALSE
  ),
  0
)
"),0.0)</f>
        <v>0</v>
      </c>
      <c r="O143" s="6">
        <f>IFERROR(__xludf.DUMMYFUNCTION("IFERROR(
  VLOOKUP(
    A143,
    IMPORTRANGE(
      ""1ZHMy3vVUd_0MrSduXTe1etBb1HNpAlGwQr006ljwMiM"",
      ""GSC最新!A:R""
    ),
    16,
    FALSE
  ),
  0
)
"),0.0)</f>
        <v>0</v>
      </c>
      <c r="P143" s="51" t="str">
        <f t="shared" ref="P143:Q143" si="707">IFERROR(L143/N143,"-")</f>
        <v>-</v>
      </c>
      <c r="Q143" s="51" t="str">
        <f t="shared" si="707"/>
        <v>-</v>
      </c>
      <c r="R143" s="9">
        <f>IFERROR(__xludf.DUMMYFUNCTION("IFERROR(
  VLOOKUP(
    A143,
    IMPORTRANGE(
      ""1ZHMy3vVUd_0MrSduXTe1etBb1HNpAlGwQr006ljwMiM"",
      ""GSC最新!A:R""
    ),
    8,
    FALSE
  ),
  0
)
"),0.0)</f>
        <v>0</v>
      </c>
      <c r="S143" s="9">
        <f>IFERROR(__xludf.DUMMYFUNCTION("IFERROR(
  VLOOKUP(
    A143,
    IMPORTRANGE(
      ""1ZHMy3vVUd_0MrSduXTe1etBb1HNpAlGwQr006ljwMiM"",
      ""GSC最新!A:R""
    ),
    11,
    FALSE
  ),
  0
)
"),0.0)</f>
        <v>0</v>
      </c>
      <c r="T143" s="9">
        <f>IFERROR(__xludf.DUMMYFUNCTION("IFERROR(
  VLOOKUP(
    A143,
    IMPORTRANGE(
      ""1ZHMy3vVUd_0MrSduXTe1etBb1HNpAlGwQr006ljwMiM"",
      ""GSC最新!A:R""
    ),
    14,
    FALSE
  ),
  0
)
"),0.0)</f>
        <v>0</v>
      </c>
      <c r="U143" s="9">
        <f>IFERROR(__xludf.DUMMYFUNCTION("IFERROR(
  VLOOKUP(
    A143,
    IMPORTRANGE(
      ""1ZHMy3vVUd_0MrSduXTe1etBb1HNpAlGwQr006ljwMiM"",
      ""GSC最新!A:R""
    ),
    17,
    FALSE
  ),
  0
)
"),0.0)</f>
        <v>0</v>
      </c>
      <c r="V143" s="9">
        <f t="shared" ref="V143:W143" si="708">IFERROR(R143-T143,"-")</f>
        <v>0</v>
      </c>
      <c r="W143" s="9">
        <f t="shared" si="708"/>
        <v>0</v>
      </c>
      <c r="X143" s="65" t="str">
        <f>IFERROR(__xludf.DUMMYFUNCTION("IFERROR(
  VLOOKUP(
    A143,
    IMPORTRANGE(
      ""1ZHMy3vVUd_0MrSduXTe1etBb1HNpAlGwQr006ljwMiM"",
      ""GSC最新!A:R""
    ),
    9,
    FALSE
  ),
  0
)
"),"")</f>
        <v/>
      </c>
      <c r="Y143" s="65" t="str">
        <f>IFERROR(__xludf.DUMMYFUNCTION("IFERROR(
  VLOOKUP(
    A143,
    IMPORTRANGE(
      ""1ZHMy3vVUd_0MrSduXTe1etBb1HNpAlGwQr006ljwMiM"",
      ""GSC最新!A:R""
    ),
    12,
    FALSE
  ),
  0
)
"),"")</f>
        <v/>
      </c>
      <c r="Z143" s="65" t="str">
        <f>IFERROR(__xludf.DUMMYFUNCTION("IFERROR(
  VLOOKUP(
    A143,
    IMPORTRANGE(
      ""1ZHMy3vVUd_0MrSduXTe1etBb1HNpAlGwQr006ljwMiM"",
      ""GSC最新!A:R""
    ),
    15,
    FALSE
  ),
  0
)
"),"")</f>
        <v/>
      </c>
      <c r="AA143" s="65" t="str">
        <f>IFERROR(__xludf.DUMMYFUNCTION("IFERROR(
  VLOOKUP(
    A143,
    IMPORTRANGE(
      ""1ZHMy3vVUd_0MrSduXTe1etBb1HNpAlGwQr006ljwMiM"",
      ""GSC最新!A:R""
    ),
    18,
    FALSE
  ),
  0
)
"),"")</f>
        <v/>
      </c>
      <c r="AB143" s="65">
        <f t="shared" ref="AB143:AC143" si="709">X143-Z143</f>
        <v>0</v>
      </c>
      <c r="AC143" s="65">
        <f t="shared" si="709"/>
        <v>0</v>
      </c>
      <c r="AD143" s="53">
        <f>IFERROR(__xludf.DUMMYFUNCTION("IFERROR(
  VLOOKUP(
    A143,
    IMPORTRANGE(
      ""1ZHMy3vVUd_0MrSduXTe1etBb1HNpAlGwQr006ljwMiM"",
      ""GSC最新!A:F""
    ),
    6,
    FALSE
  ),
  0
)
"),46081.0)</f>
        <v>46081</v>
      </c>
      <c r="AE143" s="54">
        <f>IFERROR(__xludf.DUMMYFUNCTION("IFERROR(
  VLOOKUP(
    A143,
    IMPORTRANGE(
      ""1SCYQd7_cobOYqT0r_F0IqD4tE4rYn5y8Eup4PJTH8es"",
      ""Snapshot!A:M""
    ),
    5,
    FALSE
  ),
  ""-""
)
"),7.0)</f>
        <v>7</v>
      </c>
      <c r="AF143" s="54">
        <f>IFERROR(__xludf.DUMMYFUNCTION("IFERROR(
  VLOOKUP(
    A143,
    IMPORTRANGE(
      ""1SCYQd7_cobOYqT0r_F0IqD4tE4rYn5y8Eup4PJTH8es"",
      ""Snapshot!A:M""
    ),
    6,
    FALSE
  ),
  0
)
"),10.0)</f>
        <v>10</v>
      </c>
      <c r="AG143" s="54">
        <f>IFERROR(__xludf.DUMMYFUNCTION("IFERROR(
  VLOOKUP(
    A143,
    IMPORTRANGE(
      ""1SCYQd7_cobOYqT0r_F0IqD4tE4rYn5y8Eup4PJTH8es"",
      ""Snapshot!A:M""
    ),
    7,
    FALSE
  ),
  0
)
"),1641.0)</f>
        <v>1641</v>
      </c>
      <c r="AH143" s="54">
        <f>IFERROR(__xludf.DUMMYFUNCTION("IFERROR(
  VLOOKUP(
    A143,
    IMPORTRANGE(
      ""1SCYQd7_cobOYqT0r_F0IqD4tE4rYn5y8Eup4PJTH8es"",
      ""Snapshot!A:M""
    ),
    8,
    FALSE
  ),
  0
)
"),1.0)</f>
        <v>1</v>
      </c>
      <c r="AI143" s="54">
        <f>IFERROR(__xludf.DUMMYFUNCTION("IFERROR(
  VLOOKUP(
    A143,
    IMPORTRANGE(
      ""1SCYQd7_cobOYqT0r_F0IqD4tE4rYn5y8Eup4PJTH8es"",
      ""Snapshot!A:M""
    ),
    9,
    FALSE
  ),
  0
)
"),2.0)</f>
        <v>2</v>
      </c>
      <c r="AJ143" s="54">
        <f>IFERROR(__xludf.DUMMYFUNCTION("IFERROR(
  VLOOKUP(
    A143,
    IMPORTRANGE(
      ""1SCYQd7_cobOYqT0r_F0IqD4tE4rYn5y8Eup4PJTH8es"",
      ""Snapshot!A:M""
    ),
    13,
    FALSE
  ),
  0
)
"),3.0)</f>
        <v>3</v>
      </c>
      <c r="AK143" s="49">
        <f t="shared" ref="AK143:AL143" si="710">LEN(C143)</f>
        <v>72</v>
      </c>
      <c r="AL143" s="49">
        <f t="shared" si="710"/>
        <v>55</v>
      </c>
    </row>
    <row r="144">
      <c r="A144" s="56" t="s">
        <v>637</v>
      </c>
      <c r="B144" s="1" t="str">
        <f>IFERROR(__xludf.DUMMYFUNCTION("IFERROR(
  VLOOKUP(
    A144,
    IMPORTRANGE(
      ""1ZygntHC1J6IxzKbTidmOyf5nUyW4GCLurHCjexrLm_o"",
      ""HTMLキャッシュ!A:F""
    ),
    2,
    FALSE
  ),
  0
)
"),"MC")</f>
        <v>MC</v>
      </c>
      <c r="C144" s="1" t="str">
        <f>IFERROR(__xludf.DUMMYFUNCTION("IFERROR(
  VLOOKUP(
    A144,
    IMPORTRANGE(
      ""1ZygntHC1J6IxzKbTidmOyf5nUyW4GCLurHCjexrLm_o"",
      ""HTMLキャッシュ!A:F""
    ),
    5,
    FALSE
  ),
  0
)
"),"予習シリーズ小５上巻 第１４回の要点解説 - 受験国語専門 読解ラボ東京 | 中学受験・大学受験対応の個別指導国語専門塾（オンライン・教室対応）")</f>
        <v>予習シリーズ小５上巻 第１４回の要点解説 - 受験国語専門 読解ラボ東京 | 中学受験・大学受験対応の個別指導国語専門塾（オンライン・教室対応）</v>
      </c>
      <c r="D144" s="1" t="str">
        <f>IFERROR(__xludf.DUMMYFUNCTION("IFERROR(
  VLOOKUP(
    A144,
    IMPORTRANGE(
      ""1ZygntHC1J6IxzKbTidmOyf5nUyW4GCLurHCjexrLm_o        "",
      ""HTMLキャッシュ!A:F""
    ),
    6,
    FALSE
  ),
  0
)
"),"SAPIX国語（小5） 52B-05 SAPIX国語授業の活用法：52B-05「心は何でできている」 ──授業")</f>
        <v>SAPIX国語（小5） 52B-05 SAPIX国語授業の活用法：52B-05「心は何でできている」 ──授業</v>
      </c>
      <c r="E144" s="32">
        <f>IFERROR(__xludf.DUMMYFUNCTION("IFERROR(
  VLOOKUP(
    A144,
    IMPORTRANGE(
      ""1ZygntHC1J6IxzKbTidmOyf5nUyW4GCLurHCjexrLm_o        "",
      ""HTMLキャッシュ!A:F""
    ),
    3,
    FALSE
  ),
  0
)
"),46076.76179398148)</f>
        <v>46076.76179</v>
      </c>
      <c r="F144" s="49">
        <f>IFERROR(__xludf.DUMMYFUNCTION("IFERROR(
  VLOOKUP(
    A144,
    IMPORTRANGE(
      ""1ZHMy3vVUd_0MrSduXTe1etBb1HNpAlGwQr006ljwMiM"",
      ""GSC最新!A:F""
    ),
    2,
    FALSE
  ),
  0
)
"),0.0)</f>
        <v>0</v>
      </c>
      <c r="G144" s="49">
        <f>IFERROR(__xludf.DUMMYFUNCTION("IFERROR(
  VLOOKUP(
    A144,
    IMPORTRANGE(
      ""1ZHMy3vVUd_0MrSduXTe1etBb1HNpAlGwQr006ljwMiM"",
      ""GSC最新!A:F""
    ),
    3,
    FALSE
  ),
  0
)
"),0.0)</f>
        <v>0</v>
      </c>
      <c r="H144" s="49">
        <f>IFERROR(__xludf.DUMMYFUNCTION("IFERROR(
  VLOOKUP(
    A144,
    IMPORTRANGE(
      ""1ZHMy3vVUd_0MrSduXTe1etBb1HNpAlGwQr006ljwMiM"",
      ""GSC最新!A:F""
    ),
    4,
    FALSE
  ),
  0
)
"),0.0)</f>
        <v>0</v>
      </c>
      <c r="I144" s="49">
        <f>IFERROR(__xludf.DUMMYFUNCTION("IFERROR(
  VLOOKUP(
    A144,
    IMPORTRANGE(
      ""1ZHMy3vVUd_0MrSduXTe1etBb1HNpAlGwQr006ljwMiM"",
      ""GSC最新!A:F""
    ),
    5,
    FALSE
  ),
  0
)
"),0.0)</f>
        <v>0</v>
      </c>
      <c r="J144" s="50" t="str">
        <f t="shared" ref="J144:K144" si="711">IFERROR(F144/H144,"-")</f>
        <v>-</v>
      </c>
      <c r="K144" s="50" t="str">
        <f t="shared" si="711"/>
        <v>-</v>
      </c>
      <c r="L144" s="6">
        <f>IFERROR(__xludf.DUMMYFUNCTION("IFERROR(
  VLOOKUP(
    A144,
    IMPORTRANGE(
      ""1ZHMy3vVUd_0MrSduXTe1etBb1HNpAlGwQr006ljwMiM"",
      ""GSC最新!A:R""
    ),
    7,
    FALSE
  ),
  0
)
"),0.0)</f>
        <v>0</v>
      </c>
      <c r="M144" s="6">
        <f>IFERROR(__xludf.DUMMYFUNCTION("IFERROR(
  VLOOKUP(
    A144,
    IMPORTRANGE(
      ""1ZHMy3vVUd_0MrSduXTe1etBb1HNpAlGwQr006ljwMiM"",
      ""GSC最新!A:R""
    ),
    10,
    FALSE
  ),
  0
)
"),0.0)</f>
        <v>0</v>
      </c>
      <c r="N144" s="6">
        <f>IFERROR(__xludf.DUMMYFUNCTION("IFERROR(
  VLOOKUP(
    A144,
    IMPORTRANGE(
      ""1ZHMy3vVUd_0MrSduXTe1etBb1HNpAlGwQr006ljwMiM"",
      ""GSC最新!A:R""
    ),
    13,
    FALSE
  ),
  0
)
"),0.0)</f>
        <v>0</v>
      </c>
      <c r="O144" s="6">
        <f>IFERROR(__xludf.DUMMYFUNCTION("IFERROR(
  VLOOKUP(
    A144,
    IMPORTRANGE(
      ""1ZHMy3vVUd_0MrSduXTe1etBb1HNpAlGwQr006ljwMiM"",
      ""GSC最新!A:R""
    ),
    16,
    FALSE
  ),
  0
)
"),0.0)</f>
        <v>0</v>
      </c>
      <c r="P144" s="51" t="str">
        <f t="shared" ref="P144:Q144" si="712">IFERROR(L144/N144,"-")</f>
        <v>-</v>
      </c>
      <c r="Q144" s="51" t="str">
        <f t="shared" si="712"/>
        <v>-</v>
      </c>
      <c r="R144" s="9">
        <f>IFERROR(__xludf.DUMMYFUNCTION("IFERROR(
  VLOOKUP(
    A144,
    IMPORTRANGE(
      ""1ZHMy3vVUd_0MrSduXTe1etBb1HNpAlGwQr006ljwMiM"",
      ""GSC最新!A:R""
    ),
    8,
    FALSE
  ),
  0
)
"),0.0)</f>
        <v>0</v>
      </c>
      <c r="S144" s="9">
        <f>IFERROR(__xludf.DUMMYFUNCTION("IFERROR(
  VLOOKUP(
    A144,
    IMPORTRANGE(
      ""1ZHMy3vVUd_0MrSduXTe1etBb1HNpAlGwQr006ljwMiM"",
      ""GSC最新!A:R""
    ),
    11,
    FALSE
  ),
  0
)
"),0.0)</f>
        <v>0</v>
      </c>
      <c r="T144" s="9">
        <f>IFERROR(__xludf.DUMMYFUNCTION("IFERROR(
  VLOOKUP(
    A144,
    IMPORTRANGE(
      ""1ZHMy3vVUd_0MrSduXTe1etBb1HNpAlGwQr006ljwMiM"",
      ""GSC最新!A:R""
    ),
    14,
    FALSE
  ),
  0
)
"),0.0)</f>
        <v>0</v>
      </c>
      <c r="U144" s="9">
        <f>IFERROR(__xludf.DUMMYFUNCTION("IFERROR(
  VLOOKUP(
    A144,
    IMPORTRANGE(
      ""1ZHMy3vVUd_0MrSduXTe1etBb1HNpAlGwQr006ljwMiM"",
      ""GSC最新!A:R""
    ),
    17,
    FALSE
  ),
  0
)
"),0.0)</f>
        <v>0</v>
      </c>
      <c r="V144" s="9">
        <f t="shared" ref="V144:W144" si="713">IFERROR(R144-T144,"-")</f>
        <v>0</v>
      </c>
      <c r="W144" s="9">
        <f t="shared" si="713"/>
        <v>0</v>
      </c>
      <c r="X144" s="65" t="str">
        <f>IFERROR(__xludf.DUMMYFUNCTION("IFERROR(
  VLOOKUP(
    A144,
    IMPORTRANGE(
      ""1ZHMy3vVUd_0MrSduXTe1etBb1HNpAlGwQr006ljwMiM"",
      ""GSC最新!A:R""
    ),
    9,
    FALSE
  ),
  0
)
"),"")</f>
        <v/>
      </c>
      <c r="Y144" s="65" t="str">
        <f>IFERROR(__xludf.DUMMYFUNCTION("IFERROR(
  VLOOKUP(
    A144,
    IMPORTRANGE(
      ""1ZHMy3vVUd_0MrSduXTe1etBb1HNpAlGwQr006ljwMiM"",
      ""GSC最新!A:R""
    ),
    12,
    FALSE
  ),
  0
)
"),"")</f>
        <v/>
      </c>
      <c r="Z144" s="65" t="str">
        <f>IFERROR(__xludf.DUMMYFUNCTION("IFERROR(
  VLOOKUP(
    A144,
    IMPORTRANGE(
      ""1ZHMy3vVUd_0MrSduXTe1etBb1HNpAlGwQr006ljwMiM"",
      ""GSC最新!A:R""
    ),
    15,
    FALSE
  ),
  0
)
"),"")</f>
        <v/>
      </c>
      <c r="AA144" s="65" t="str">
        <f>IFERROR(__xludf.DUMMYFUNCTION("IFERROR(
  VLOOKUP(
    A144,
    IMPORTRANGE(
      ""1ZHMy3vVUd_0MrSduXTe1etBb1HNpAlGwQr006ljwMiM"",
      ""GSC最新!A:R""
    ),
    18,
    FALSE
  ),
  0
)
"),"")</f>
        <v/>
      </c>
      <c r="AB144" s="65">
        <f t="shared" ref="AB144:AC144" si="714">X144-Z144</f>
        <v>0</v>
      </c>
      <c r="AC144" s="65">
        <f t="shared" si="714"/>
        <v>0</v>
      </c>
      <c r="AD144" s="53">
        <f>IFERROR(__xludf.DUMMYFUNCTION("IFERROR(
  VLOOKUP(
    A144,
    IMPORTRANGE(
      ""1ZHMy3vVUd_0MrSduXTe1etBb1HNpAlGwQr006ljwMiM"",
      ""GSC最新!A:F""
    ),
    6,
    FALSE
  ),
  0
)
"),46081.0)</f>
        <v>46081</v>
      </c>
      <c r="AE144" s="54">
        <f>IFERROR(__xludf.DUMMYFUNCTION("IFERROR(
  VLOOKUP(
    A144,
    IMPORTRANGE(
      ""1SCYQd7_cobOYqT0r_F0IqD4tE4rYn5y8Eup4PJTH8es"",
      ""Snapshot!A:M""
    ),
    5,
    FALSE
  ),
  ""-""
)
"),11.0)</f>
        <v>11</v>
      </c>
      <c r="AF144" s="54">
        <f>IFERROR(__xludf.DUMMYFUNCTION("IFERROR(
  VLOOKUP(
    A144,
    IMPORTRANGE(
      ""1SCYQd7_cobOYqT0r_F0IqD4tE4rYn5y8Eup4PJTH8es"",
      ""Snapshot!A:M""
    ),
    6,
    FALSE
  ),
  0
)
"),19.0)</f>
        <v>19</v>
      </c>
      <c r="AG144" s="54">
        <f>IFERROR(__xludf.DUMMYFUNCTION("IFERROR(
  VLOOKUP(
    A144,
    IMPORTRANGE(
      ""1SCYQd7_cobOYqT0r_F0IqD4tE4rYn5y8Eup4PJTH8es"",
      ""Snapshot!A:M""
    ),
    7,
    FALSE
  ),
  0
)
"),3695.0)</f>
        <v>3695</v>
      </c>
      <c r="AH144" s="54">
        <f>IFERROR(__xludf.DUMMYFUNCTION("IFERROR(
  VLOOKUP(
    A144,
    IMPORTRANGE(
      ""1SCYQd7_cobOYqT0r_F0IqD4tE4rYn5y8Eup4PJTH8es"",
      ""Snapshot!A:M""
    ),
    8,
    FALSE
  ),
  0
)
"),3.0)</f>
        <v>3</v>
      </c>
      <c r="AI144" s="54">
        <f>IFERROR(__xludf.DUMMYFUNCTION("IFERROR(
  VLOOKUP(
    A144,
    IMPORTRANGE(
      ""1SCYQd7_cobOYqT0r_F0IqD4tE4rYn5y8Eup4PJTH8es"",
      ""Snapshot!A:M""
    ),
    9,
    FALSE
  ),
  0
)
"),4.0)</f>
        <v>4</v>
      </c>
      <c r="AJ144" s="54">
        <f>IFERROR(__xludf.DUMMYFUNCTION("IFERROR(
  VLOOKUP(
    A144,
    IMPORTRANGE(
      ""1SCYQd7_cobOYqT0r_F0IqD4tE4rYn5y8Eup4PJTH8es"",
      ""Snapshot!A:M""
    ),
    13,
    FALSE
  ),
  0
)
"),3.0)</f>
        <v>3</v>
      </c>
      <c r="AK144" s="49">
        <f t="shared" ref="AK144:AL144" si="715">LEN(C144)</f>
        <v>72</v>
      </c>
      <c r="AL144" s="49">
        <f t="shared" si="715"/>
        <v>55</v>
      </c>
    </row>
    <row r="145">
      <c r="A145" s="56" t="s">
        <v>638</v>
      </c>
      <c r="B145" s="1" t="str">
        <f>IFERROR(__xludf.DUMMYFUNCTION("IFERROR(
  VLOOKUP(
    A145,
    IMPORTRANGE(
      ""1ZygntHC1J6IxzKbTidmOyf5nUyW4GCLurHCjexrLm_o"",
      ""HTMLキャッシュ!A:F""
    ),
    2,
    FALSE
  ),
  0
)
"),"MC")</f>
        <v>MC</v>
      </c>
      <c r="C145" s="1" t="str">
        <f>IFERROR(__xludf.DUMMYFUNCTION("IFERROR(
  VLOOKUP(
    A145,
    IMPORTRANGE(
      ""1ZygntHC1J6IxzKbTidmOyf5nUyW4GCLurHCjexrLm_o"",
      ""HTMLキャッシュ!A:F""
    ),
    5,
    FALSE
  ),
  0
)
"),"予習シリーズ小５上巻 第１５回の要点解説 - 受験国語専門 読解ラボ東京 | 中学受験・大学受験対応の個別指導国語専門塾（オンライン・教室対応）")</f>
        <v>予習シリーズ小５上巻 第１５回の要点解説 - 受験国語専門 読解ラボ東京 | 中学受験・大学受験対応の個別指導国語専門塾（オンライン・教室対応）</v>
      </c>
      <c r="D145" s="1" t="str">
        <f>IFERROR(__xludf.DUMMYFUNCTION("IFERROR(
  VLOOKUP(
    A145,
    IMPORTRANGE(
      ""1ZygntHC1J6IxzKbTidmOyf5nUyW4GCLurHCjexrLm_o        "",
      ""HTMLキャッシュ!A:F""
    ),
    6,
    FALSE
  ),
  0
)
"),"予習シリーズ 小5 上巻 第15回・発展問題 前半：物語文 後半：説明文 【解説まとめ】前半は「居場所の喪失×")</f>
        <v>予習シリーズ 小5 上巻 第15回・発展問題 前半：物語文 後半：説明文 【解説まとめ】前半は「居場所の喪失×</v>
      </c>
      <c r="E145" s="32">
        <f>IFERROR(__xludf.DUMMYFUNCTION("IFERROR(
  VLOOKUP(
    A145,
    IMPORTRANGE(
      ""1ZygntHC1J6IxzKbTidmOyf5nUyW4GCLurHCjexrLm_o        "",
      ""HTMLキャッシュ!A:F""
    ),
    3,
    FALSE
  ),
  0
)
"),46059.62689814815)</f>
        <v>46059.6269</v>
      </c>
      <c r="F145" s="49">
        <f>IFERROR(__xludf.DUMMYFUNCTION("IFERROR(
  VLOOKUP(
    A145,
    IMPORTRANGE(
      ""1ZHMy3vVUd_0MrSduXTe1etBb1HNpAlGwQr006ljwMiM"",
      ""GSC最新!A:F""
    ),
    2,
    FALSE
  ),
  0
)
"),0.0)</f>
        <v>0</v>
      </c>
      <c r="G145" s="49">
        <f>IFERROR(__xludf.DUMMYFUNCTION("IFERROR(
  VLOOKUP(
    A145,
    IMPORTRANGE(
      ""1ZHMy3vVUd_0MrSduXTe1etBb1HNpAlGwQr006ljwMiM"",
      ""GSC最新!A:F""
    ),
    3,
    FALSE
  ),
  0
)
"),0.0)</f>
        <v>0</v>
      </c>
      <c r="H145" s="49">
        <f>IFERROR(__xludf.DUMMYFUNCTION("IFERROR(
  VLOOKUP(
    A145,
    IMPORTRANGE(
      ""1ZHMy3vVUd_0MrSduXTe1etBb1HNpAlGwQr006ljwMiM"",
      ""GSC最新!A:F""
    ),
    4,
    FALSE
  ),
  0
)
"),0.0)</f>
        <v>0</v>
      </c>
      <c r="I145" s="49">
        <f>IFERROR(__xludf.DUMMYFUNCTION("IFERROR(
  VLOOKUP(
    A145,
    IMPORTRANGE(
      ""1ZHMy3vVUd_0MrSduXTe1etBb1HNpAlGwQr006ljwMiM"",
      ""GSC最新!A:F""
    ),
    5,
    FALSE
  ),
  0
)
"),0.0)</f>
        <v>0</v>
      </c>
      <c r="J145" s="50" t="str">
        <f t="shared" ref="J145:K145" si="716">IFERROR(F145/H145,"-")</f>
        <v>-</v>
      </c>
      <c r="K145" s="50" t="str">
        <f t="shared" si="716"/>
        <v>-</v>
      </c>
      <c r="L145" s="6">
        <f>IFERROR(__xludf.DUMMYFUNCTION("IFERROR(
  VLOOKUP(
    A145,
    IMPORTRANGE(
      ""1ZHMy3vVUd_0MrSduXTe1etBb1HNpAlGwQr006ljwMiM"",
      ""GSC最新!A:R""
    ),
    7,
    FALSE
  ),
  0
)
"),0.0)</f>
        <v>0</v>
      </c>
      <c r="M145" s="6">
        <f>IFERROR(__xludf.DUMMYFUNCTION("IFERROR(
  VLOOKUP(
    A145,
    IMPORTRANGE(
      ""1ZHMy3vVUd_0MrSduXTe1etBb1HNpAlGwQr006ljwMiM"",
      ""GSC最新!A:R""
    ),
    10,
    FALSE
  ),
  0
)
"),0.0)</f>
        <v>0</v>
      </c>
      <c r="N145" s="6">
        <f>IFERROR(__xludf.DUMMYFUNCTION("IFERROR(
  VLOOKUP(
    A145,
    IMPORTRANGE(
      ""1ZHMy3vVUd_0MrSduXTe1etBb1HNpAlGwQr006ljwMiM"",
      ""GSC最新!A:R""
    ),
    13,
    FALSE
  ),
  0
)
"),0.0)</f>
        <v>0</v>
      </c>
      <c r="O145" s="6">
        <f>IFERROR(__xludf.DUMMYFUNCTION("IFERROR(
  VLOOKUP(
    A145,
    IMPORTRANGE(
      ""1ZHMy3vVUd_0MrSduXTe1etBb1HNpAlGwQr006ljwMiM"",
      ""GSC最新!A:R""
    ),
    16,
    FALSE
  ),
  0
)
"),0.0)</f>
        <v>0</v>
      </c>
      <c r="P145" s="51" t="str">
        <f t="shared" ref="P145:Q145" si="717">IFERROR(L145/N145,"-")</f>
        <v>-</v>
      </c>
      <c r="Q145" s="51" t="str">
        <f t="shared" si="717"/>
        <v>-</v>
      </c>
      <c r="R145" s="9">
        <f>IFERROR(__xludf.DUMMYFUNCTION("IFERROR(
  VLOOKUP(
    A145,
    IMPORTRANGE(
      ""1ZHMy3vVUd_0MrSduXTe1etBb1HNpAlGwQr006ljwMiM"",
      ""GSC最新!A:R""
    ),
    8,
    FALSE
  ),
  0
)
"),0.0)</f>
        <v>0</v>
      </c>
      <c r="S145" s="9">
        <f>IFERROR(__xludf.DUMMYFUNCTION("IFERROR(
  VLOOKUP(
    A145,
    IMPORTRANGE(
      ""1ZHMy3vVUd_0MrSduXTe1etBb1HNpAlGwQr006ljwMiM"",
      ""GSC最新!A:R""
    ),
    11,
    FALSE
  ),
  0
)
"),0.0)</f>
        <v>0</v>
      </c>
      <c r="T145" s="9">
        <f>IFERROR(__xludf.DUMMYFUNCTION("IFERROR(
  VLOOKUP(
    A145,
    IMPORTRANGE(
      ""1ZHMy3vVUd_0MrSduXTe1etBb1HNpAlGwQr006ljwMiM"",
      ""GSC最新!A:R""
    ),
    14,
    FALSE
  ),
  0
)
"),0.0)</f>
        <v>0</v>
      </c>
      <c r="U145" s="9">
        <f>IFERROR(__xludf.DUMMYFUNCTION("IFERROR(
  VLOOKUP(
    A145,
    IMPORTRANGE(
      ""1ZHMy3vVUd_0MrSduXTe1etBb1HNpAlGwQr006ljwMiM"",
      ""GSC最新!A:R""
    ),
    17,
    FALSE
  ),
  0
)
"),0.0)</f>
        <v>0</v>
      </c>
      <c r="V145" s="9">
        <f t="shared" ref="V145:W145" si="718">IFERROR(R145-T145,"-")</f>
        <v>0</v>
      </c>
      <c r="W145" s="9">
        <f t="shared" si="718"/>
        <v>0</v>
      </c>
      <c r="X145" s="65" t="str">
        <f>IFERROR(__xludf.DUMMYFUNCTION("IFERROR(
  VLOOKUP(
    A145,
    IMPORTRANGE(
      ""1ZHMy3vVUd_0MrSduXTe1etBb1HNpAlGwQr006ljwMiM"",
      ""GSC最新!A:R""
    ),
    9,
    FALSE
  ),
  0
)
"),"")</f>
        <v/>
      </c>
      <c r="Y145" s="65" t="str">
        <f>IFERROR(__xludf.DUMMYFUNCTION("IFERROR(
  VLOOKUP(
    A145,
    IMPORTRANGE(
      ""1ZHMy3vVUd_0MrSduXTe1etBb1HNpAlGwQr006ljwMiM"",
      ""GSC最新!A:R""
    ),
    12,
    FALSE
  ),
  0
)
"),"")</f>
        <v/>
      </c>
      <c r="Z145" s="65" t="str">
        <f>IFERROR(__xludf.DUMMYFUNCTION("IFERROR(
  VLOOKUP(
    A145,
    IMPORTRANGE(
      ""1ZHMy3vVUd_0MrSduXTe1etBb1HNpAlGwQr006ljwMiM"",
      ""GSC最新!A:R""
    ),
    15,
    FALSE
  ),
  0
)
"),"")</f>
        <v/>
      </c>
      <c r="AA145" s="65" t="str">
        <f>IFERROR(__xludf.DUMMYFUNCTION("IFERROR(
  VLOOKUP(
    A145,
    IMPORTRANGE(
      ""1ZHMy3vVUd_0MrSduXTe1etBb1HNpAlGwQr006ljwMiM"",
      ""GSC最新!A:R""
    ),
    18,
    FALSE
  ),
  0
)
"),"")</f>
        <v/>
      </c>
      <c r="AB145" s="65">
        <f t="shared" ref="AB145:AC145" si="719">X145-Z145</f>
        <v>0</v>
      </c>
      <c r="AC145" s="65">
        <f t="shared" si="719"/>
        <v>0</v>
      </c>
      <c r="AD145" s="53">
        <f>IFERROR(__xludf.DUMMYFUNCTION("IFERROR(
  VLOOKUP(
    A145,
    IMPORTRANGE(
      ""1ZHMy3vVUd_0MrSduXTe1etBb1HNpAlGwQr006ljwMiM"",
      ""GSC最新!A:F""
    ),
    6,
    FALSE
  ),
  0
)
"),46081.0)</f>
        <v>46081</v>
      </c>
      <c r="AE145" s="54">
        <f>IFERROR(__xludf.DUMMYFUNCTION("IFERROR(
  VLOOKUP(
    A145,
    IMPORTRANGE(
      ""1SCYQd7_cobOYqT0r_F0IqD4tE4rYn5y8Eup4PJTH8es"",
      ""Snapshot!A:M""
    ),
    5,
    FALSE
  ),
  ""-""
)
"),9.0)</f>
        <v>9</v>
      </c>
      <c r="AF145" s="54">
        <f>IFERROR(__xludf.DUMMYFUNCTION("IFERROR(
  VLOOKUP(
    A145,
    IMPORTRANGE(
      ""1SCYQd7_cobOYqT0r_F0IqD4tE4rYn5y8Eup4PJTH8es"",
      ""Snapshot!A:M""
    ),
    6,
    FALSE
  ),
  0
)
"),10.0)</f>
        <v>10</v>
      </c>
      <c r="AG145" s="54">
        <f>IFERROR(__xludf.DUMMYFUNCTION("IFERROR(
  VLOOKUP(
    A145,
    IMPORTRANGE(
      ""1SCYQd7_cobOYqT0r_F0IqD4tE4rYn5y8Eup4PJTH8es"",
      ""Snapshot!A:M""
    ),
    7,
    FALSE
  ),
  0
)
"),2351.0)</f>
        <v>2351</v>
      </c>
      <c r="AH145" s="54">
        <f>IFERROR(__xludf.DUMMYFUNCTION("IFERROR(
  VLOOKUP(
    A145,
    IMPORTRANGE(
      ""1SCYQd7_cobOYqT0r_F0IqD4tE4rYn5y8Eup4PJTH8es"",
      ""Snapshot!A:M""
    ),
    8,
    FALSE
  ),
  0
)
"),1.0)</f>
        <v>1</v>
      </c>
      <c r="AI145" s="54">
        <f>IFERROR(__xludf.DUMMYFUNCTION("IFERROR(
  VLOOKUP(
    A145,
    IMPORTRANGE(
      ""1SCYQd7_cobOYqT0r_F0IqD4tE4rYn5y8Eup4PJTH8es"",
      ""Snapshot!A:M""
    ),
    9,
    FALSE
  ),
  0
)
"),3.0)</f>
        <v>3</v>
      </c>
      <c r="AJ145" s="54">
        <f>IFERROR(__xludf.DUMMYFUNCTION("IFERROR(
  VLOOKUP(
    A145,
    IMPORTRANGE(
      ""1SCYQd7_cobOYqT0r_F0IqD4tE4rYn5y8Eup4PJTH8es"",
      ""Snapshot!A:M""
    ),
    13,
    FALSE
  ),
  0
)
"),3.0)</f>
        <v>3</v>
      </c>
      <c r="AK145" s="49">
        <f t="shared" ref="AK145:AL145" si="720">LEN(C145)</f>
        <v>72</v>
      </c>
      <c r="AL145" s="49">
        <f t="shared" si="720"/>
        <v>55</v>
      </c>
    </row>
    <row r="146">
      <c r="A146" s="56" t="s">
        <v>639</v>
      </c>
      <c r="B146" s="1" t="str">
        <f>IFERROR(__xludf.DUMMYFUNCTION("IFERROR(
  VLOOKUP(
    A146,
    IMPORTRANGE(
      ""1ZygntHC1J6IxzKbTidmOyf5nUyW4GCLurHCjexrLm_o"",
      ""HTMLキャッシュ!A:F""
    ),
    2,
    FALSE
  ),
  0
)
"),"MC")</f>
        <v>MC</v>
      </c>
      <c r="C146" s="1" t="str">
        <f>IFERROR(__xludf.DUMMYFUNCTION("IFERROR(
  VLOOKUP(
    A146,
    IMPORTRANGE(
      ""1ZygntHC1J6IxzKbTidmOyf5nUyW4GCLurHCjexrLm_o"",
      ""HTMLキャッシュ!A:F""
    ),
    5,
    FALSE
  ),
  0
)
"),"予習シリーズ小５上巻 第１6回の要点解説 - 受験国語専門 読解ラボ東京 | 中学受験・大学受験対応の個別指導国語専門塾（オンライン・教室対応）")</f>
        <v>予習シリーズ小５上巻 第１6回の要点解説 - 受験国語専門 読解ラボ東京 | 中学受験・大学受験対応の個別指導国語専門塾（オンライン・教室対応）</v>
      </c>
      <c r="D146" s="1" t="str">
        <f>IFERROR(__xludf.DUMMYFUNCTION("IFERROR(
  VLOOKUP(
    A146,
    IMPORTRANGE(
      ""1ZygntHC1J6IxzKbTidmOyf5nUyW4GCLurHCjexrLm_o        "",
      ""HTMLキャッシュ!A:F""
    ),
    6,
    FALSE
  ),
  0
)
"),"予習シリーズ 小5 上巻 第17回・発展問題 説明文（はやぶさの帰還） 【解説まとめ】「問題指摘型」を脱し「解")</f>
        <v>予習シリーズ 小5 上巻 第17回・発展問題 説明文（はやぶさの帰還） 【解説まとめ】「問題指摘型」を脱し「解</v>
      </c>
      <c r="E146" s="32">
        <f>IFERROR(__xludf.DUMMYFUNCTION("IFERROR(
  VLOOKUP(
    A146,
    IMPORTRANGE(
      ""1ZygntHC1J6IxzKbTidmOyf5nUyW4GCLurHCjexrLm_o        "",
      ""HTMLキャッシュ!A:F""
    ),
    3,
    FALSE
  ),
  0
)
"),46084.61256944444)</f>
        <v>46084.61257</v>
      </c>
      <c r="F146" s="49">
        <f>IFERROR(__xludf.DUMMYFUNCTION("IFERROR(
  VLOOKUP(
    A146,
    IMPORTRANGE(
      ""1ZHMy3vVUd_0MrSduXTe1etBb1HNpAlGwQr006ljwMiM"",
      ""GSC最新!A:F""
    ),
    2,
    FALSE
  ),
  0
)
"),0.0)</f>
        <v>0</v>
      </c>
      <c r="G146" s="49">
        <f>IFERROR(__xludf.DUMMYFUNCTION("IFERROR(
  VLOOKUP(
    A146,
    IMPORTRANGE(
      ""1ZHMy3vVUd_0MrSduXTe1etBb1HNpAlGwQr006ljwMiM"",
      ""GSC最新!A:F""
    ),
    3,
    FALSE
  ),
  0
)
"),0.0)</f>
        <v>0</v>
      </c>
      <c r="H146" s="49">
        <f>IFERROR(__xludf.DUMMYFUNCTION("IFERROR(
  VLOOKUP(
    A146,
    IMPORTRANGE(
      ""1ZHMy3vVUd_0MrSduXTe1etBb1HNpAlGwQr006ljwMiM"",
      ""GSC最新!A:F""
    ),
    4,
    FALSE
  ),
  0
)
"),0.0)</f>
        <v>0</v>
      </c>
      <c r="I146" s="49">
        <f>IFERROR(__xludf.DUMMYFUNCTION("IFERROR(
  VLOOKUP(
    A146,
    IMPORTRANGE(
      ""1ZHMy3vVUd_0MrSduXTe1etBb1HNpAlGwQr006ljwMiM"",
      ""GSC最新!A:F""
    ),
    5,
    FALSE
  ),
  0
)
"),0.0)</f>
        <v>0</v>
      </c>
      <c r="J146" s="50" t="str">
        <f t="shared" ref="J146:K146" si="721">IFERROR(F146/H146,"-")</f>
        <v>-</v>
      </c>
      <c r="K146" s="50" t="str">
        <f t="shared" si="721"/>
        <v>-</v>
      </c>
      <c r="L146" s="6">
        <f>IFERROR(__xludf.DUMMYFUNCTION("IFERROR(
  VLOOKUP(
    A146,
    IMPORTRANGE(
      ""1ZHMy3vVUd_0MrSduXTe1etBb1HNpAlGwQr006ljwMiM"",
      ""GSC最新!A:R""
    ),
    7,
    FALSE
  ),
  0
)
"),2.0)</f>
        <v>2</v>
      </c>
      <c r="M146" s="6">
        <f>IFERROR(__xludf.DUMMYFUNCTION("IFERROR(
  VLOOKUP(
    A146,
    IMPORTRANGE(
      ""1ZHMy3vVUd_0MrSduXTe1etBb1HNpAlGwQr006ljwMiM"",
      ""GSC最新!A:R""
    ),
    10,
    FALSE
  ),
  0
)
"),2.0)</f>
        <v>2</v>
      </c>
      <c r="N146" s="6">
        <f>IFERROR(__xludf.DUMMYFUNCTION("IFERROR(
  VLOOKUP(
    A146,
    IMPORTRANGE(
      ""1ZHMy3vVUd_0MrSduXTe1etBb1HNpAlGwQr006ljwMiM"",
      ""GSC最新!A:R""
    ),
    13,
    FALSE
  ),
  0
)
"),0.0)</f>
        <v>0</v>
      </c>
      <c r="O146" s="6">
        <f>IFERROR(__xludf.DUMMYFUNCTION("IFERROR(
  VLOOKUP(
    A146,
    IMPORTRANGE(
      ""1ZHMy3vVUd_0MrSduXTe1etBb1HNpAlGwQr006ljwMiM"",
      ""GSC最新!A:R""
    ),
    16,
    FALSE
  ),
  0
)
"),0.0)</f>
        <v>0</v>
      </c>
      <c r="P146" s="51" t="str">
        <f t="shared" ref="P146:Q146" si="722">IFERROR(L146/N146,"-")</f>
        <v>-</v>
      </c>
      <c r="Q146" s="51" t="str">
        <f t="shared" si="722"/>
        <v>-</v>
      </c>
      <c r="R146" s="9">
        <f>IFERROR(__xludf.DUMMYFUNCTION("IFERROR(
  VLOOKUP(
    A146,
    IMPORTRANGE(
      ""1ZHMy3vVUd_0MrSduXTe1etBb1HNpAlGwQr006ljwMiM"",
      ""GSC最新!A:R""
    ),
    8,
    FALSE
  ),
  0
)
"),0.0)</f>
        <v>0</v>
      </c>
      <c r="S146" s="9">
        <f>IFERROR(__xludf.DUMMYFUNCTION("IFERROR(
  VLOOKUP(
    A146,
    IMPORTRANGE(
      ""1ZHMy3vVUd_0MrSduXTe1etBb1HNpAlGwQr006ljwMiM"",
      ""GSC最新!A:R""
    ),
    11,
    FALSE
  ),
  0
)
"),0.0)</f>
        <v>0</v>
      </c>
      <c r="T146" s="9">
        <f>IFERROR(__xludf.DUMMYFUNCTION("IFERROR(
  VLOOKUP(
    A146,
    IMPORTRANGE(
      ""1ZHMy3vVUd_0MrSduXTe1etBb1HNpAlGwQr006ljwMiM"",
      ""GSC最新!A:R""
    ),
    14,
    FALSE
  ),
  0
)
"),0.0)</f>
        <v>0</v>
      </c>
      <c r="U146" s="9">
        <f>IFERROR(__xludf.DUMMYFUNCTION("IFERROR(
  VLOOKUP(
    A146,
    IMPORTRANGE(
      ""1ZHMy3vVUd_0MrSduXTe1etBb1HNpAlGwQr006ljwMiM"",
      ""GSC最新!A:R""
    ),
    17,
    FALSE
  ),
  0
)
"),0.0)</f>
        <v>0</v>
      </c>
      <c r="V146" s="9">
        <f t="shared" ref="V146:W146" si="723">IFERROR(R146-T146,"-")</f>
        <v>0</v>
      </c>
      <c r="W146" s="9">
        <f t="shared" si="723"/>
        <v>0</v>
      </c>
      <c r="X146" s="65">
        <f>IFERROR(__xludf.DUMMYFUNCTION("IFERROR(
  VLOOKUP(
    A146,
    IMPORTRANGE(
      ""1ZHMy3vVUd_0MrSduXTe1etBb1HNpAlGwQr006ljwMiM"",
      ""GSC最新!A:R""
    ),
    9,
    FALSE
  ),
  0
)
"),7.5)</f>
        <v>7.5</v>
      </c>
      <c r="Y146" s="65">
        <f>IFERROR(__xludf.DUMMYFUNCTION("IFERROR(
  VLOOKUP(
    A146,
    IMPORTRANGE(
      ""1ZHMy3vVUd_0MrSduXTe1etBb1HNpAlGwQr006ljwMiM"",
      ""GSC最新!A:R""
    ),
    12,
    FALSE
  ),
  0
)
"),7.5)</f>
        <v>7.5</v>
      </c>
      <c r="Z146" s="65" t="str">
        <f>IFERROR(__xludf.DUMMYFUNCTION("IFERROR(
  VLOOKUP(
    A146,
    IMPORTRANGE(
      ""1ZHMy3vVUd_0MrSduXTe1etBb1HNpAlGwQr006ljwMiM"",
      ""GSC最新!A:R""
    ),
    15,
    FALSE
  ),
  0
)
"),"")</f>
        <v/>
      </c>
      <c r="AA146" s="65" t="str">
        <f>IFERROR(__xludf.DUMMYFUNCTION("IFERROR(
  VLOOKUP(
    A146,
    IMPORTRANGE(
      ""1ZHMy3vVUd_0MrSduXTe1etBb1HNpAlGwQr006ljwMiM"",
      ""GSC最新!A:R""
    ),
    18,
    FALSE
  ),
  0
)
"),"")</f>
        <v/>
      </c>
      <c r="AB146" s="65">
        <f t="shared" ref="AB146:AC146" si="724">X146-Z146</f>
        <v>7.5</v>
      </c>
      <c r="AC146" s="65">
        <f t="shared" si="724"/>
        <v>7.5</v>
      </c>
      <c r="AD146" s="53">
        <f>IFERROR(__xludf.DUMMYFUNCTION("IFERROR(
  VLOOKUP(
    A146,
    IMPORTRANGE(
      ""1ZHMy3vVUd_0MrSduXTe1etBb1HNpAlGwQr006ljwMiM"",
      ""GSC最新!A:F""
    ),
    6,
    FALSE
  ),
  0
)
"),46081.0)</f>
        <v>46081</v>
      </c>
      <c r="AE146" s="54">
        <f>IFERROR(__xludf.DUMMYFUNCTION("IFERROR(
  VLOOKUP(
    A146,
    IMPORTRANGE(
      ""1SCYQd7_cobOYqT0r_F0IqD4tE4rYn5y8Eup4PJTH8es"",
      ""Snapshot!A:M""
    ),
    5,
    FALSE
  ),
  ""-""
)
"),7.0)</f>
        <v>7</v>
      </c>
      <c r="AF146" s="54">
        <f>IFERROR(__xludf.DUMMYFUNCTION("IFERROR(
  VLOOKUP(
    A146,
    IMPORTRANGE(
      ""1SCYQd7_cobOYqT0r_F0IqD4tE4rYn5y8Eup4PJTH8es"",
      ""Snapshot!A:M""
    ),
    6,
    FALSE
  ),
  0
)
"),8.0)</f>
        <v>8</v>
      </c>
      <c r="AG146" s="54">
        <f>IFERROR(__xludf.DUMMYFUNCTION("IFERROR(
  VLOOKUP(
    A146,
    IMPORTRANGE(
      ""1SCYQd7_cobOYqT0r_F0IqD4tE4rYn5y8Eup4PJTH8es"",
      ""Snapshot!A:M""
    ),
    7,
    FALSE
  ),
  0
)
"),1989.0)</f>
        <v>1989</v>
      </c>
      <c r="AH146" s="54">
        <f>IFERROR(__xludf.DUMMYFUNCTION("IFERROR(
  VLOOKUP(
    A146,
    IMPORTRANGE(
      ""1SCYQd7_cobOYqT0r_F0IqD4tE4rYn5y8Eup4PJTH8es"",
      ""Snapshot!A:M""
    ),
    8,
    FALSE
  ),
  0
)
"),1.0)</f>
        <v>1</v>
      </c>
      <c r="AI146" s="54">
        <f>IFERROR(__xludf.DUMMYFUNCTION("IFERROR(
  VLOOKUP(
    A146,
    IMPORTRANGE(
      ""1SCYQd7_cobOYqT0r_F0IqD4tE4rYn5y8Eup4PJTH8es"",
      ""Snapshot!A:M""
    ),
    9,
    FALSE
  ),
  0
)
"),5.0)</f>
        <v>5</v>
      </c>
      <c r="AJ146" s="54">
        <f>IFERROR(__xludf.DUMMYFUNCTION("IFERROR(
  VLOOKUP(
    A146,
    IMPORTRANGE(
      ""1SCYQd7_cobOYqT0r_F0IqD4tE4rYn5y8Eup4PJTH8es"",
      ""Snapshot!A:M""
    ),
    13,
    FALSE
  ),
  0
)
"),3.0)</f>
        <v>3</v>
      </c>
      <c r="AK146" s="49">
        <f t="shared" ref="AK146:AL146" si="725">LEN(C146)</f>
        <v>72</v>
      </c>
      <c r="AL146" s="49">
        <f t="shared" si="725"/>
        <v>55</v>
      </c>
    </row>
    <row r="147">
      <c r="A147" s="56" t="s">
        <v>640</v>
      </c>
      <c r="B147" s="1" t="str">
        <f>IFERROR(__xludf.DUMMYFUNCTION("IFERROR(
  VLOOKUP(
    A147,
    IMPORTRANGE(
      ""1ZygntHC1J6IxzKbTidmOyf5nUyW4GCLurHCjexrLm_o"",
      ""HTMLキャッシュ!A:F""
    ),
    2,
    FALSE
  ),
  0
)
"),"MC")</f>
        <v>MC</v>
      </c>
      <c r="C147" s="1" t="str">
        <f>IFERROR(__xludf.DUMMYFUNCTION("IFERROR(
  VLOOKUP(
    A147,
    IMPORTRANGE(
      ""1ZygntHC1J6IxzKbTidmOyf5nUyW4GCLurHCjexrLm_o"",
      ""HTMLキャッシュ!A:F""
    ),
    5,
    FALSE
  ),
  0
)
"),"予習シリーズ小５上巻 第１７回の要点解説 - 受験国語専門 読解ラボ東京 | 中学受験・大学受験対応の個別指導国語専門塾（オンライン・教室対応）")</f>
        <v>予習シリーズ小５上巻 第１７回の要点解説 - 受験国語専門 読解ラボ東京 | 中学受験・大学受験対応の個別指導国語専門塾（オンライン・教室対応）</v>
      </c>
      <c r="D147" s="1" t="str">
        <f>IFERROR(__xludf.DUMMYFUNCTION("IFERROR(
  VLOOKUP(
    A147,
    IMPORTRANGE(
      ""1ZygntHC1J6IxzKbTidmOyf5nUyW4GCLurHCjexrLm_o        "",
      ""HTMLキャッシュ!A:F""
    ),
    6,
    FALSE
  ),
  0
)
"),"予習シリーズ 小5 上巻 第17回・発展問題 説明文（はやぶさの帰還） 【解説まとめ】「問題指摘型」を脱し「解")</f>
        <v>予習シリーズ 小5 上巻 第17回・発展問題 説明文（はやぶさの帰還） 【解説まとめ】「問題指摘型」を脱し「解</v>
      </c>
      <c r="E147" s="32">
        <f>IFERROR(__xludf.DUMMYFUNCTION("IFERROR(
  VLOOKUP(
    A147,
    IMPORTRANGE(
      ""1ZygntHC1J6IxzKbTidmOyf5nUyW4GCLurHCjexrLm_o        "",
      ""HTMLキャッシュ!A:F""
    ),
    3,
    FALSE
  ),
  0
)
"),46084.61552083334)</f>
        <v>46084.61552</v>
      </c>
      <c r="F147" s="49">
        <f>IFERROR(__xludf.DUMMYFUNCTION("IFERROR(
  VLOOKUP(
    A147,
    IMPORTRANGE(
      ""1ZHMy3vVUd_0MrSduXTe1etBb1HNpAlGwQr006ljwMiM"",
      ""GSC最新!A:F""
    ),
    2,
    FALSE
  ),
  0
)
"),0.0)</f>
        <v>0</v>
      </c>
      <c r="G147" s="49">
        <f>IFERROR(__xludf.DUMMYFUNCTION("IFERROR(
  VLOOKUP(
    A147,
    IMPORTRANGE(
      ""1ZHMy3vVUd_0MrSduXTe1etBb1HNpAlGwQr006ljwMiM"",
      ""GSC最新!A:F""
    ),
    3,
    FALSE
  ),
  0
)
"),0.0)</f>
        <v>0</v>
      </c>
      <c r="H147" s="49">
        <f>IFERROR(__xludf.DUMMYFUNCTION("IFERROR(
  VLOOKUP(
    A147,
    IMPORTRANGE(
      ""1ZHMy3vVUd_0MrSduXTe1etBb1HNpAlGwQr006ljwMiM"",
      ""GSC最新!A:F""
    ),
    4,
    FALSE
  ),
  0
)
"),0.0)</f>
        <v>0</v>
      </c>
      <c r="I147" s="49">
        <f>IFERROR(__xludf.DUMMYFUNCTION("IFERROR(
  VLOOKUP(
    A147,
    IMPORTRANGE(
      ""1ZHMy3vVUd_0MrSduXTe1etBb1HNpAlGwQr006ljwMiM"",
      ""GSC最新!A:F""
    ),
    5,
    FALSE
  ),
  0
)
"),0.0)</f>
        <v>0</v>
      </c>
      <c r="J147" s="50" t="str">
        <f t="shared" ref="J147:K147" si="726">IFERROR(F147/H147,"-")</f>
        <v>-</v>
      </c>
      <c r="K147" s="50" t="str">
        <f t="shared" si="726"/>
        <v>-</v>
      </c>
      <c r="L147" s="6">
        <f>IFERROR(__xludf.DUMMYFUNCTION("IFERROR(
  VLOOKUP(
    A147,
    IMPORTRANGE(
      ""1ZHMy3vVUd_0MrSduXTe1etBb1HNpAlGwQr006ljwMiM"",
      ""GSC最新!A:R""
    ),
    7,
    FALSE
  ),
  0
)
"),9.0)</f>
        <v>9</v>
      </c>
      <c r="M147" s="6">
        <f>IFERROR(__xludf.DUMMYFUNCTION("IFERROR(
  VLOOKUP(
    A147,
    IMPORTRANGE(
      ""1ZHMy3vVUd_0MrSduXTe1etBb1HNpAlGwQr006ljwMiM"",
      ""GSC最新!A:R""
    ),
    10,
    FALSE
  ),
  0
)
"),9.0)</f>
        <v>9</v>
      </c>
      <c r="N147" s="6">
        <f>IFERROR(__xludf.DUMMYFUNCTION("IFERROR(
  VLOOKUP(
    A147,
    IMPORTRANGE(
      ""1ZHMy3vVUd_0MrSduXTe1etBb1HNpAlGwQr006ljwMiM"",
      ""GSC最新!A:R""
    ),
    13,
    FALSE
  ),
  0
)
"),0.0)</f>
        <v>0</v>
      </c>
      <c r="O147" s="6">
        <f>IFERROR(__xludf.DUMMYFUNCTION("IFERROR(
  VLOOKUP(
    A147,
    IMPORTRANGE(
      ""1ZHMy3vVUd_0MrSduXTe1etBb1HNpAlGwQr006ljwMiM"",
      ""GSC最新!A:R""
    ),
    16,
    FALSE
  ),
  0
)
"),0.0)</f>
        <v>0</v>
      </c>
      <c r="P147" s="51" t="str">
        <f t="shared" ref="P147:Q147" si="727">IFERROR(L147/N147,"-")</f>
        <v>-</v>
      </c>
      <c r="Q147" s="51" t="str">
        <f t="shared" si="727"/>
        <v>-</v>
      </c>
      <c r="R147" s="9">
        <f>IFERROR(__xludf.DUMMYFUNCTION("IFERROR(
  VLOOKUP(
    A147,
    IMPORTRANGE(
      ""1ZHMy3vVUd_0MrSduXTe1etBb1HNpAlGwQr006ljwMiM"",
      ""GSC最新!A:R""
    ),
    8,
    FALSE
  ),
  0
)
"),0.0)</f>
        <v>0</v>
      </c>
      <c r="S147" s="9">
        <f>IFERROR(__xludf.DUMMYFUNCTION("IFERROR(
  VLOOKUP(
    A147,
    IMPORTRANGE(
      ""1ZHMy3vVUd_0MrSduXTe1etBb1HNpAlGwQr006ljwMiM"",
      ""GSC最新!A:R""
    ),
    11,
    FALSE
  ),
  0
)
"),0.0)</f>
        <v>0</v>
      </c>
      <c r="T147" s="9">
        <f>IFERROR(__xludf.DUMMYFUNCTION("IFERROR(
  VLOOKUP(
    A147,
    IMPORTRANGE(
      ""1ZHMy3vVUd_0MrSduXTe1etBb1HNpAlGwQr006ljwMiM"",
      ""GSC最新!A:R""
    ),
    14,
    FALSE
  ),
  0
)
"),0.0)</f>
        <v>0</v>
      </c>
      <c r="U147" s="9">
        <f>IFERROR(__xludf.DUMMYFUNCTION("IFERROR(
  VLOOKUP(
    A147,
    IMPORTRANGE(
      ""1ZHMy3vVUd_0MrSduXTe1etBb1HNpAlGwQr006ljwMiM"",
      ""GSC最新!A:R""
    ),
    17,
    FALSE
  ),
  0
)
"),0.0)</f>
        <v>0</v>
      </c>
      <c r="V147" s="9">
        <f t="shared" ref="V147:W147" si="728">IFERROR(R147-T147,"-")</f>
        <v>0</v>
      </c>
      <c r="W147" s="9">
        <f t="shared" si="728"/>
        <v>0</v>
      </c>
      <c r="X147" s="65">
        <f>IFERROR(__xludf.DUMMYFUNCTION("IFERROR(
  VLOOKUP(
    A147,
    IMPORTRANGE(
      ""1ZHMy3vVUd_0MrSduXTe1etBb1HNpAlGwQr006ljwMiM"",
      ""GSC最新!A:R""
    ),
    9,
    FALSE
  ),
  0
)
"),5.333333333333333)</f>
        <v>5.333333333</v>
      </c>
      <c r="Y147" s="65">
        <f>IFERROR(__xludf.DUMMYFUNCTION("IFERROR(
  VLOOKUP(
    A147,
    IMPORTRANGE(
      ""1ZHMy3vVUd_0MrSduXTe1etBb1HNpAlGwQr006ljwMiM"",
      ""GSC最新!A:R""
    ),
    12,
    FALSE
  ),
  0
)
"),5.333333333333333)</f>
        <v>5.333333333</v>
      </c>
      <c r="Z147" s="65" t="str">
        <f>IFERROR(__xludf.DUMMYFUNCTION("IFERROR(
  VLOOKUP(
    A147,
    IMPORTRANGE(
      ""1ZHMy3vVUd_0MrSduXTe1etBb1HNpAlGwQr006ljwMiM"",
      ""GSC最新!A:R""
    ),
    15,
    FALSE
  ),
  0
)
"),"")</f>
        <v/>
      </c>
      <c r="AA147" s="65" t="str">
        <f>IFERROR(__xludf.DUMMYFUNCTION("IFERROR(
  VLOOKUP(
    A147,
    IMPORTRANGE(
      ""1ZHMy3vVUd_0MrSduXTe1etBb1HNpAlGwQr006ljwMiM"",
      ""GSC最新!A:R""
    ),
    18,
    FALSE
  ),
  0
)
"),"")</f>
        <v/>
      </c>
      <c r="AB147" s="65">
        <f t="shared" ref="AB147:AC147" si="729">X147-Z147</f>
        <v>5.333333333</v>
      </c>
      <c r="AC147" s="65">
        <f t="shared" si="729"/>
        <v>5.333333333</v>
      </c>
      <c r="AD147" s="53">
        <f>IFERROR(__xludf.DUMMYFUNCTION("IFERROR(
  VLOOKUP(
    A147,
    IMPORTRANGE(
      ""1ZHMy3vVUd_0MrSduXTe1etBb1HNpAlGwQr006ljwMiM"",
      ""GSC最新!A:F""
    ),
    6,
    FALSE
  ),
  0
)
"),46081.0)</f>
        <v>46081</v>
      </c>
      <c r="AE147" s="54">
        <f>IFERROR(__xludf.DUMMYFUNCTION("IFERROR(
  VLOOKUP(
    A147,
    IMPORTRANGE(
      ""1SCYQd7_cobOYqT0r_F0IqD4tE4rYn5y8Eup4PJTH8es"",
      ""Snapshot!A:M""
    ),
    5,
    FALSE
  ),
  ""-""
)
"),7.0)</f>
        <v>7</v>
      </c>
      <c r="AF147" s="54">
        <f>IFERROR(__xludf.DUMMYFUNCTION("IFERROR(
  VLOOKUP(
    A147,
    IMPORTRANGE(
      ""1SCYQd7_cobOYqT0r_F0IqD4tE4rYn5y8Eup4PJTH8es"",
      ""Snapshot!A:M""
    ),
    6,
    FALSE
  ),
  0
)
"),8.0)</f>
        <v>8</v>
      </c>
      <c r="AG147" s="54">
        <f>IFERROR(__xludf.DUMMYFUNCTION("IFERROR(
  VLOOKUP(
    A147,
    IMPORTRANGE(
      ""1SCYQd7_cobOYqT0r_F0IqD4tE4rYn5y8Eup4PJTH8es"",
      ""Snapshot!A:M""
    ),
    7,
    FALSE
  ),
  0
)
"),2017.0)</f>
        <v>2017</v>
      </c>
      <c r="AH147" s="54">
        <f>IFERROR(__xludf.DUMMYFUNCTION("IFERROR(
  VLOOKUP(
    A147,
    IMPORTRANGE(
      ""1SCYQd7_cobOYqT0r_F0IqD4tE4rYn5y8Eup4PJTH8es"",
      ""Snapshot!A:M""
    ),
    8,
    FALSE
  ),
  0
)
"),1.0)</f>
        <v>1</v>
      </c>
      <c r="AI147" s="54">
        <f>IFERROR(__xludf.DUMMYFUNCTION("IFERROR(
  VLOOKUP(
    A147,
    IMPORTRANGE(
      ""1SCYQd7_cobOYqT0r_F0IqD4tE4rYn5y8Eup4PJTH8es"",
      ""Snapshot!A:M""
    ),
    9,
    FALSE
  ),
  0
)
"),3.0)</f>
        <v>3</v>
      </c>
      <c r="AJ147" s="54">
        <f>IFERROR(__xludf.DUMMYFUNCTION("IFERROR(
  VLOOKUP(
    A147,
    IMPORTRANGE(
      ""1SCYQd7_cobOYqT0r_F0IqD4tE4rYn5y8Eup4PJTH8es"",
      ""Snapshot!A:M""
    ),
    13,
    FALSE
  ),
  0
)
"),3.0)</f>
        <v>3</v>
      </c>
      <c r="AK147" s="49">
        <f t="shared" ref="AK147:AL147" si="730">LEN(C147)</f>
        <v>72</v>
      </c>
      <c r="AL147" s="49">
        <f t="shared" si="730"/>
        <v>55</v>
      </c>
    </row>
    <row r="148">
      <c r="A148" s="56" t="s">
        <v>641</v>
      </c>
      <c r="B148" s="1" t="str">
        <f>IFERROR(__xludf.DUMMYFUNCTION("IFERROR(
  VLOOKUP(
    A148,
    IMPORTRANGE(
      ""1ZygntHC1J6IxzKbTidmOyf5nUyW4GCLurHCjexrLm_o"",
      ""HTMLキャッシュ!A:F""
    ),
    2,
    FALSE
  ),
  0
)
"),"MC")</f>
        <v>MC</v>
      </c>
      <c r="C148" s="1" t="str">
        <f>IFERROR(__xludf.DUMMYFUNCTION("IFERROR(
  VLOOKUP(
    A148,
    IMPORTRANGE(
      ""1ZygntHC1J6IxzKbTidmOyf5nUyW4GCLurHCjexrLm_o"",
      ""HTMLキャッシュ!A:F""
    ),
    5,
    FALSE
  ),
  0
)
"),"予習シリーズ小５上巻 第３回の要点解説 - 受験国語専門 読解ラボ東京 | 中学受験・大学受験対応の個別指導国語専門塾（オンライン・教室対応）")</f>
        <v>予習シリーズ小５上巻 第３回の要点解説 - 受験国語専門 読解ラボ東京 | 中学受験・大学受験対応の個別指導国語専門塾（オンライン・教室対応）</v>
      </c>
      <c r="D148" s="1" t="str">
        <f>IFERROR(__xludf.DUMMYFUNCTION("IFERROR(
  VLOOKUP(
    A148,
    IMPORTRANGE(
      ""1ZygntHC1J6IxzKbTidmOyf5nUyW4GCLurHCjexrLm_o        "",
      ""HTMLキャッシュ!A:F""
    ),
    6,
    FALSE
  ),
  0
)
"),"予習シリーズ 小5 上巻 第3回 説明文 【解説まとめ】「見える」とは何かを言語化する回 受験国語専門「読解ラ")</f>
        <v>予習シリーズ 小5 上巻 第3回 説明文 【解説まとめ】「見える」とは何かを言語化する回 受験国語専門「読解ラ</v>
      </c>
      <c r="E148" s="32">
        <f>IFERROR(__xludf.DUMMYFUNCTION("IFERROR(
  VLOOKUP(
    A148,
    IMPORTRANGE(
      ""1ZygntHC1J6IxzKbTidmOyf5nUyW4GCLurHCjexrLm_o        "",
      ""HTMLキャッシュ!A:F""
    ),
    3,
    FALSE
  ),
  0
)
"),46081.629375)</f>
        <v>46081.62938</v>
      </c>
      <c r="F148" s="49">
        <f>IFERROR(__xludf.DUMMYFUNCTION("IFERROR(
  VLOOKUP(
    A148,
    IMPORTRANGE(
      ""1ZHMy3vVUd_0MrSduXTe1etBb1HNpAlGwQr006ljwMiM"",
      ""GSC最新!A:F""
    ),
    2,
    FALSE
  ),
  0
)
"),0.0)</f>
        <v>0</v>
      </c>
      <c r="G148" s="49">
        <f>IFERROR(__xludf.DUMMYFUNCTION("IFERROR(
  VLOOKUP(
    A148,
    IMPORTRANGE(
      ""1ZHMy3vVUd_0MrSduXTe1etBb1HNpAlGwQr006ljwMiM"",
      ""GSC最新!A:F""
    ),
    3,
    FALSE
  ),
  0
)
"),0.0)</f>
        <v>0</v>
      </c>
      <c r="H148" s="49">
        <f>IFERROR(__xludf.DUMMYFUNCTION("IFERROR(
  VLOOKUP(
    A148,
    IMPORTRANGE(
      ""1ZHMy3vVUd_0MrSduXTe1etBb1HNpAlGwQr006ljwMiM"",
      ""GSC最新!A:F""
    ),
    4,
    FALSE
  ),
  0
)
"),0.0)</f>
        <v>0</v>
      </c>
      <c r="I148" s="49">
        <f>IFERROR(__xludf.DUMMYFUNCTION("IFERROR(
  VLOOKUP(
    A148,
    IMPORTRANGE(
      ""1ZHMy3vVUd_0MrSduXTe1etBb1HNpAlGwQr006ljwMiM"",
      ""GSC最新!A:F""
    ),
    5,
    FALSE
  ),
  0
)
"),0.0)</f>
        <v>0</v>
      </c>
      <c r="J148" s="50" t="str">
        <f t="shared" ref="J148:K148" si="731">IFERROR(F148/H148,"-")</f>
        <v>-</v>
      </c>
      <c r="K148" s="50" t="str">
        <f t="shared" si="731"/>
        <v>-</v>
      </c>
      <c r="L148" s="6">
        <f>IFERROR(__xludf.DUMMYFUNCTION("IFERROR(
  VLOOKUP(
    A148,
    IMPORTRANGE(
      ""1ZHMy3vVUd_0MrSduXTe1etBb1HNpAlGwQr006ljwMiM"",
      ""GSC最新!A:R""
    ),
    7,
    FALSE
  ),
  0
)
"),3.0)</f>
        <v>3</v>
      </c>
      <c r="M148" s="6">
        <f>IFERROR(__xludf.DUMMYFUNCTION("IFERROR(
  VLOOKUP(
    A148,
    IMPORTRANGE(
      ""1ZHMy3vVUd_0MrSduXTe1etBb1HNpAlGwQr006ljwMiM"",
      ""GSC最新!A:R""
    ),
    10,
    FALSE
  ),
  0
)
"),3.0)</f>
        <v>3</v>
      </c>
      <c r="N148" s="6">
        <f>IFERROR(__xludf.DUMMYFUNCTION("IFERROR(
  VLOOKUP(
    A148,
    IMPORTRANGE(
      ""1ZHMy3vVUd_0MrSduXTe1etBb1HNpAlGwQr006ljwMiM"",
      ""GSC最新!A:R""
    ),
    13,
    FALSE
  ),
  0
)
"),0.0)</f>
        <v>0</v>
      </c>
      <c r="O148" s="6">
        <f>IFERROR(__xludf.DUMMYFUNCTION("IFERROR(
  VLOOKUP(
    A148,
    IMPORTRANGE(
      ""1ZHMy3vVUd_0MrSduXTe1etBb1HNpAlGwQr006ljwMiM"",
      ""GSC最新!A:R""
    ),
    16,
    FALSE
  ),
  0
)
"),0.0)</f>
        <v>0</v>
      </c>
      <c r="P148" s="51" t="str">
        <f t="shared" ref="P148:Q148" si="732">IFERROR(L148/N148,"-")</f>
        <v>-</v>
      </c>
      <c r="Q148" s="51" t="str">
        <f t="shared" si="732"/>
        <v>-</v>
      </c>
      <c r="R148" s="9">
        <f>IFERROR(__xludf.DUMMYFUNCTION("IFERROR(
  VLOOKUP(
    A148,
    IMPORTRANGE(
      ""1ZHMy3vVUd_0MrSduXTe1etBb1HNpAlGwQr006ljwMiM"",
      ""GSC最新!A:R""
    ),
    8,
    FALSE
  ),
  0
)
"),0.0)</f>
        <v>0</v>
      </c>
      <c r="S148" s="9">
        <f>IFERROR(__xludf.DUMMYFUNCTION("IFERROR(
  VLOOKUP(
    A148,
    IMPORTRANGE(
      ""1ZHMy3vVUd_0MrSduXTe1etBb1HNpAlGwQr006ljwMiM"",
      ""GSC最新!A:R""
    ),
    11,
    FALSE
  ),
  0
)
"),0.0)</f>
        <v>0</v>
      </c>
      <c r="T148" s="9">
        <f>IFERROR(__xludf.DUMMYFUNCTION("IFERROR(
  VLOOKUP(
    A148,
    IMPORTRANGE(
      ""1ZHMy3vVUd_0MrSduXTe1etBb1HNpAlGwQr006ljwMiM"",
      ""GSC最新!A:R""
    ),
    14,
    FALSE
  ),
  0
)
"),0.0)</f>
        <v>0</v>
      </c>
      <c r="U148" s="9">
        <f>IFERROR(__xludf.DUMMYFUNCTION("IFERROR(
  VLOOKUP(
    A148,
    IMPORTRANGE(
      ""1ZHMy3vVUd_0MrSduXTe1etBb1HNpAlGwQr006ljwMiM"",
      ""GSC最新!A:R""
    ),
    17,
    FALSE
  ),
  0
)
"),0.0)</f>
        <v>0</v>
      </c>
      <c r="V148" s="9">
        <f t="shared" ref="V148:W148" si="733">IFERROR(R148-T148,"-")</f>
        <v>0</v>
      </c>
      <c r="W148" s="9">
        <f t="shared" si="733"/>
        <v>0</v>
      </c>
      <c r="X148" s="65">
        <f>IFERROR(__xludf.DUMMYFUNCTION("IFERROR(
  VLOOKUP(
    A148,
    IMPORTRANGE(
      ""1ZHMy3vVUd_0MrSduXTe1etBb1HNpAlGwQr006ljwMiM"",
      ""GSC最新!A:R""
    ),
    9,
    FALSE
  ),
  0
)
"),6.0)</f>
        <v>6</v>
      </c>
      <c r="Y148" s="65">
        <f>IFERROR(__xludf.DUMMYFUNCTION("IFERROR(
  VLOOKUP(
    A148,
    IMPORTRANGE(
      ""1ZHMy3vVUd_0MrSduXTe1etBb1HNpAlGwQr006ljwMiM"",
      ""GSC最新!A:R""
    ),
    12,
    FALSE
  ),
  0
)
"),6.0)</f>
        <v>6</v>
      </c>
      <c r="Z148" s="65" t="str">
        <f>IFERROR(__xludf.DUMMYFUNCTION("IFERROR(
  VLOOKUP(
    A148,
    IMPORTRANGE(
      ""1ZHMy3vVUd_0MrSduXTe1etBb1HNpAlGwQr006ljwMiM"",
      ""GSC最新!A:R""
    ),
    15,
    FALSE
  ),
  0
)
"),"")</f>
        <v/>
      </c>
      <c r="AA148" s="65" t="str">
        <f>IFERROR(__xludf.DUMMYFUNCTION("IFERROR(
  VLOOKUP(
    A148,
    IMPORTRANGE(
      ""1ZHMy3vVUd_0MrSduXTe1etBb1HNpAlGwQr006ljwMiM"",
      ""GSC最新!A:R""
    ),
    18,
    FALSE
  ),
  0
)
"),"")</f>
        <v/>
      </c>
      <c r="AB148" s="65">
        <f t="shared" ref="AB148:AC148" si="734">X148-Z148</f>
        <v>6</v>
      </c>
      <c r="AC148" s="65">
        <f t="shared" si="734"/>
        <v>6</v>
      </c>
      <c r="AD148" s="53">
        <f>IFERROR(__xludf.DUMMYFUNCTION("IFERROR(
  VLOOKUP(
    A148,
    IMPORTRANGE(
      ""1ZHMy3vVUd_0MrSduXTe1etBb1HNpAlGwQr006ljwMiM"",
      ""GSC最新!A:F""
    ),
    6,
    FALSE
  ),
  0
)
"),46081.0)</f>
        <v>46081</v>
      </c>
      <c r="AE148" s="54">
        <f>IFERROR(__xludf.DUMMYFUNCTION("IFERROR(
  VLOOKUP(
    A148,
    IMPORTRANGE(
      ""1SCYQd7_cobOYqT0r_F0IqD4tE4rYn5y8Eup4PJTH8es"",
      ""Snapshot!A:M""
    ),
    5,
    FALSE
  ),
  ""-""
)
"),1.0)</f>
        <v>1</v>
      </c>
      <c r="AF148" s="54">
        <f>IFERROR(__xludf.DUMMYFUNCTION("IFERROR(
  VLOOKUP(
    A148,
    IMPORTRANGE(
      ""1SCYQd7_cobOYqT0r_F0IqD4tE4rYn5y8Eup4PJTH8es"",
      ""Snapshot!A:M""
    ),
    6,
    FALSE
  ),
  0
)
"),8.0)</f>
        <v>8</v>
      </c>
      <c r="AG148" s="54">
        <f>IFERROR(__xludf.DUMMYFUNCTION("IFERROR(
  VLOOKUP(
    A148,
    IMPORTRANGE(
      ""1SCYQd7_cobOYqT0r_F0IqD4tE4rYn5y8Eup4PJTH8es"",
      ""Snapshot!A:M""
    ),
    7,
    FALSE
  ),
  0
)
"),1744.0)</f>
        <v>1744</v>
      </c>
      <c r="AH148" s="54">
        <f>IFERROR(__xludf.DUMMYFUNCTION("IFERROR(
  VLOOKUP(
    A148,
    IMPORTRANGE(
      ""1SCYQd7_cobOYqT0r_F0IqD4tE4rYn5y8Eup4PJTH8es"",
      ""Snapshot!A:M""
    ),
    8,
    FALSE
  ),
  0
)
"),2.0)</f>
        <v>2</v>
      </c>
      <c r="AI148" s="54">
        <f>IFERROR(__xludf.DUMMYFUNCTION("IFERROR(
  VLOOKUP(
    A148,
    IMPORTRANGE(
      ""1SCYQd7_cobOYqT0r_F0IqD4tE4rYn5y8Eup4PJTH8es"",
      ""Snapshot!A:M""
    ),
    9,
    FALSE
  ),
  0
)
"),3.0)</f>
        <v>3</v>
      </c>
      <c r="AJ148" s="54">
        <f>IFERROR(__xludf.DUMMYFUNCTION("IFERROR(
  VLOOKUP(
    A148,
    IMPORTRANGE(
      ""1SCYQd7_cobOYqT0r_F0IqD4tE4rYn5y8Eup4PJTH8es"",
      ""Snapshot!A:M""
    ),
    13,
    FALSE
  ),
  0
)
"),3.0)</f>
        <v>3</v>
      </c>
      <c r="AK148" s="49">
        <f t="shared" ref="AK148:AL148" si="735">LEN(C148)</f>
        <v>71</v>
      </c>
      <c r="AL148" s="49">
        <f t="shared" si="735"/>
        <v>55</v>
      </c>
    </row>
    <row r="149">
      <c r="A149" s="56" t="s">
        <v>642</v>
      </c>
      <c r="B149" s="1" t="str">
        <f>IFERROR(__xludf.DUMMYFUNCTION("IFERROR(
  VLOOKUP(
    A149,
    IMPORTRANGE(
      ""1ZygntHC1J6IxzKbTidmOyf5nUyW4GCLurHCjexrLm_o"",
      ""HTMLキャッシュ!A:F""
    ),
    2,
    FALSE
  ),
  0
)
"),"MC")</f>
        <v>MC</v>
      </c>
      <c r="C149" s="1" t="str">
        <f>IFERROR(__xludf.DUMMYFUNCTION("IFERROR(
  VLOOKUP(
    A149,
    IMPORTRANGE(
      ""1ZygntHC1J6IxzKbTidmOyf5nUyW4GCLurHCjexrLm_o"",
      ""HTMLキャッシュ!A:F""
    ),
    5,
    FALSE
  ),
  0
)
"),"予習シリーズ小５上巻 第４回の要点解説 - 受験国語専門 読解ラボ東京 | 中学受験・大学受験対応の個別指導国語専門塾（オンライン・教室対応）")</f>
        <v>予習シリーズ小５上巻 第４回の要点解説 - 受験国語専門 読解ラボ東京 | 中学受験・大学受験対応の個別指導国語専門塾（オンライン・教室対応）</v>
      </c>
      <c r="D149" s="1" t="str">
        <f>IFERROR(__xludf.DUMMYFUNCTION("IFERROR(
  VLOOKUP(
    A149,
    IMPORTRANGE(
      ""1ZygntHC1J6IxzKbTidmOyf5nUyW4GCLurHCjexrLm_o        "",
      ""HTMLキャッシュ!A:F""
    ),
    6,
    FALSE
  ),
  0
)
"),"予習シリーズ 小5 上巻 第4回・発展問題 説明文 【解説まとめ】説明問題は「イコール」を作る 受験国語専門「")</f>
        <v>予習シリーズ 小5 上巻 第4回・発展問題 説明文 【解説まとめ】説明問題は「イコール」を作る 受験国語専門「</v>
      </c>
      <c r="E149" s="32">
        <f>IFERROR(__xludf.DUMMYFUNCTION("IFERROR(
  VLOOKUP(
    A149,
    IMPORTRANGE(
      ""1ZygntHC1J6IxzKbTidmOyf5nUyW4GCLurHCjexrLm_o        "",
      ""HTMLキャッシュ!A:F""
    ),
    3,
    FALSE
  ),
  0
)
"),46081.6190162037)</f>
        <v>46081.61902</v>
      </c>
      <c r="F149" s="49">
        <f>IFERROR(__xludf.DUMMYFUNCTION("IFERROR(
  VLOOKUP(
    A149,
    IMPORTRANGE(
      ""1ZHMy3vVUd_0MrSduXTe1etBb1HNpAlGwQr006ljwMiM"",
      ""GSC最新!A:F""
    ),
    2,
    FALSE
  ),
  0
)
"),0.0)</f>
        <v>0</v>
      </c>
      <c r="G149" s="49">
        <f>IFERROR(__xludf.DUMMYFUNCTION("IFERROR(
  VLOOKUP(
    A149,
    IMPORTRANGE(
      ""1ZHMy3vVUd_0MrSduXTe1etBb1HNpAlGwQr006ljwMiM"",
      ""GSC最新!A:F""
    ),
    3,
    FALSE
  ),
  0
)
"),0.0)</f>
        <v>0</v>
      </c>
      <c r="H149" s="49">
        <f>IFERROR(__xludf.DUMMYFUNCTION("IFERROR(
  VLOOKUP(
    A149,
    IMPORTRANGE(
      ""1ZHMy3vVUd_0MrSduXTe1etBb1HNpAlGwQr006ljwMiM"",
      ""GSC最新!A:F""
    ),
    4,
    FALSE
  ),
  0
)
"),0.0)</f>
        <v>0</v>
      </c>
      <c r="I149" s="49">
        <f>IFERROR(__xludf.DUMMYFUNCTION("IFERROR(
  VLOOKUP(
    A149,
    IMPORTRANGE(
      ""1ZHMy3vVUd_0MrSduXTe1etBb1HNpAlGwQr006ljwMiM"",
      ""GSC最新!A:F""
    ),
    5,
    FALSE
  ),
  0
)
"),0.0)</f>
        <v>0</v>
      </c>
      <c r="J149" s="50" t="str">
        <f t="shared" ref="J149:K149" si="736">IFERROR(F149/H149,"-")</f>
        <v>-</v>
      </c>
      <c r="K149" s="50" t="str">
        <f t="shared" si="736"/>
        <v>-</v>
      </c>
      <c r="L149" s="6">
        <f>IFERROR(__xludf.DUMMYFUNCTION("IFERROR(
  VLOOKUP(
    A149,
    IMPORTRANGE(
      ""1ZHMy3vVUd_0MrSduXTe1etBb1HNpAlGwQr006ljwMiM"",
      ""GSC最新!A:R""
    ),
    7,
    FALSE
  ),
  0
)
"),2.0)</f>
        <v>2</v>
      </c>
      <c r="M149" s="6">
        <f>IFERROR(__xludf.DUMMYFUNCTION("IFERROR(
  VLOOKUP(
    A149,
    IMPORTRANGE(
      ""1ZHMy3vVUd_0MrSduXTe1etBb1HNpAlGwQr006ljwMiM"",
      ""GSC最新!A:R""
    ),
    10,
    FALSE
  ),
  0
)
"),2.0)</f>
        <v>2</v>
      </c>
      <c r="N149" s="6">
        <f>IFERROR(__xludf.DUMMYFUNCTION("IFERROR(
  VLOOKUP(
    A149,
    IMPORTRANGE(
      ""1ZHMy3vVUd_0MrSduXTe1etBb1HNpAlGwQr006ljwMiM"",
      ""GSC最新!A:R""
    ),
    13,
    FALSE
  ),
  0
)
"),0.0)</f>
        <v>0</v>
      </c>
      <c r="O149" s="6">
        <f>IFERROR(__xludf.DUMMYFUNCTION("IFERROR(
  VLOOKUP(
    A149,
    IMPORTRANGE(
      ""1ZHMy3vVUd_0MrSduXTe1etBb1HNpAlGwQr006ljwMiM"",
      ""GSC最新!A:R""
    ),
    16,
    FALSE
  ),
  0
)
"),0.0)</f>
        <v>0</v>
      </c>
      <c r="P149" s="51" t="str">
        <f t="shared" ref="P149:Q149" si="737">IFERROR(L149/N149,"-")</f>
        <v>-</v>
      </c>
      <c r="Q149" s="51" t="str">
        <f t="shared" si="737"/>
        <v>-</v>
      </c>
      <c r="R149" s="9">
        <f>IFERROR(__xludf.DUMMYFUNCTION("IFERROR(
  VLOOKUP(
    A149,
    IMPORTRANGE(
      ""1ZHMy3vVUd_0MrSduXTe1etBb1HNpAlGwQr006ljwMiM"",
      ""GSC最新!A:R""
    ),
    8,
    FALSE
  ),
  0
)
"),0.0)</f>
        <v>0</v>
      </c>
      <c r="S149" s="9">
        <f>IFERROR(__xludf.DUMMYFUNCTION("IFERROR(
  VLOOKUP(
    A149,
    IMPORTRANGE(
      ""1ZHMy3vVUd_0MrSduXTe1etBb1HNpAlGwQr006ljwMiM"",
      ""GSC最新!A:R""
    ),
    11,
    FALSE
  ),
  0
)
"),0.0)</f>
        <v>0</v>
      </c>
      <c r="T149" s="9">
        <f>IFERROR(__xludf.DUMMYFUNCTION("IFERROR(
  VLOOKUP(
    A149,
    IMPORTRANGE(
      ""1ZHMy3vVUd_0MrSduXTe1etBb1HNpAlGwQr006ljwMiM"",
      ""GSC最新!A:R""
    ),
    14,
    FALSE
  ),
  0
)
"),0.0)</f>
        <v>0</v>
      </c>
      <c r="U149" s="9">
        <f>IFERROR(__xludf.DUMMYFUNCTION("IFERROR(
  VLOOKUP(
    A149,
    IMPORTRANGE(
      ""1ZHMy3vVUd_0MrSduXTe1etBb1HNpAlGwQr006ljwMiM"",
      ""GSC最新!A:R""
    ),
    17,
    FALSE
  ),
  0
)
"),0.0)</f>
        <v>0</v>
      </c>
      <c r="V149" s="9">
        <f t="shared" ref="V149:W149" si="738">IFERROR(R149-T149,"-")</f>
        <v>0</v>
      </c>
      <c r="W149" s="9">
        <f t="shared" si="738"/>
        <v>0</v>
      </c>
      <c r="X149" s="65">
        <f>IFERROR(__xludf.DUMMYFUNCTION("IFERROR(
  VLOOKUP(
    A149,
    IMPORTRANGE(
      ""1ZHMy3vVUd_0MrSduXTe1etBb1HNpAlGwQr006ljwMiM"",
      ""GSC最新!A:R""
    ),
    9,
    FALSE
  ),
  0
)
"),1.0)</f>
        <v>1</v>
      </c>
      <c r="Y149" s="65">
        <f>IFERROR(__xludf.DUMMYFUNCTION("IFERROR(
  VLOOKUP(
    A149,
    IMPORTRANGE(
      ""1ZHMy3vVUd_0MrSduXTe1etBb1HNpAlGwQr006ljwMiM"",
      ""GSC最新!A:R""
    ),
    12,
    FALSE
  ),
  0
)
"),1.0)</f>
        <v>1</v>
      </c>
      <c r="Z149" s="65" t="str">
        <f>IFERROR(__xludf.DUMMYFUNCTION("IFERROR(
  VLOOKUP(
    A149,
    IMPORTRANGE(
      ""1ZHMy3vVUd_0MrSduXTe1etBb1HNpAlGwQr006ljwMiM"",
      ""GSC最新!A:R""
    ),
    15,
    FALSE
  ),
  0
)
"),"")</f>
        <v/>
      </c>
      <c r="AA149" s="65" t="str">
        <f>IFERROR(__xludf.DUMMYFUNCTION("IFERROR(
  VLOOKUP(
    A149,
    IMPORTRANGE(
      ""1ZHMy3vVUd_0MrSduXTe1etBb1HNpAlGwQr006ljwMiM"",
      ""GSC最新!A:R""
    ),
    18,
    FALSE
  ),
  0
)
"),"")</f>
        <v/>
      </c>
      <c r="AB149" s="65">
        <f t="shared" ref="AB149:AC149" si="739">X149-Z149</f>
        <v>1</v>
      </c>
      <c r="AC149" s="65">
        <f t="shared" si="739"/>
        <v>1</v>
      </c>
      <c r="AD149" s="53">
        <f>IFERROR(__xludf.DUMMYFUNCTION("IFERROR(
  VLOOKUP(
    A149,
    IMPORTRANGE(
      ""1ZHMy3vVUd_0MrSduXTe1etBb1HNpAlGwQr006ljwMiM"",
      ""GSC最新!A:F""
    ),
    6,
    FALSE
  ),
  0
)
"),46081.0)</f>
        <v>46081</v>
      </c>
      <c r="AE149" s="54">
        <f>IFERROR(__xludf.DUMMYFUNCTION("IFERROR(
  VLOOKUP(
    A149,
    IMPORTRANGE(
      ""1SCYQd7_cobOYqT0r_F0IqD4tE4rYn5y8Eup4PJTH8es"",
      ""Snapshot!A:M""
    ),
    5,
    FALSE
  ),
  ""-""
)
"),1.0)</f>
        <v>1</v>
      </c>
      <c r="AF149" s="54">
        <f>IFERROR(__xludf.DUMMYFUNCTION("IFERROR(
  VLOOKUP(
    A149,
    IMPORTRANGE(
      ""1SCYQd7_cobOYqT0r_F0IqD4tE4rYn5y8Eup4PJTH8es"",
      ""Snapshot!A:M""
    ),
    6,
    FALSE
  ),
  0
)
"),9.0)</f>
        <v>9</v>
      </c>
      <c r="AG149" s="54">
        <f>IFERROR(__xludf.DUMMYFUNCTION("IFERROR(
  VLOOKUP(
    A149,
    IMPORTRANGE(
      ""1SCYQd7_cobOYqT0r_F0IqD4tE4rYn5y8Eup4PJTH8es"",
      ""Snapshot!A:M""
    ),
    7,
    FALSE
  ),
  0
)
"),2192.0)</f>
        <v>2192</v>
      </c>
      <c r="AH149" s="54">
        <f>IFERROR(__xludf.DUMMYFUNCTION("IFERROR(
  VLOOKUP(
    A149,
    IMPORTRANGE(
      ""1SCYQd7_cobOYqT0r_F0IqD4tE4rYn5y8Eup4PJTH8es"",
      ""Snapshot!A:M""
    ),
    8,
    FALSE
  ),
  0
)
"),2.0)</f>
        <v>2</v>
      </c>
      <c r="AI149" s="54">
        <f>IFERROR(__xludf.DUMMYFUNCTION("IFERROR(
  VLOOKUP(
    A149,
    IMPORTRANGE(
      ""1SCYQd7_cobOYqT0r_F0IqD4tE4rYn5y8Eup4PJTH8es"",
      ""Snapshot!A:M""
    ),
    9,
    FALSE
  ),
  0
)
"),3.0)</f>
        <v>3</v>
      </c>
      <c r="AJ149" s="54">
        <f>IFERROR(__xludf.DUMMYFUNCTION("IFERROR(
  VLOOKUP(
    A149,
    IMPORTRANGE(
      ""1SCYQd7_cobOYqT0r_F0IqD4tE4rYn5y8Eup4PJTH8es"",
      ""Snapshot!A:M""
    ),
    13,
    FALSE
  ),
  0
)
"),3.0)</f>
        <v>3</v>
      </c>
      <c r="AK149" s="49">
        <f t="shared" ref="AK149:AL149" si="740">LEN(C149)</f>
        <v>71</v>
      </c>
      <c r="AL149" s="49">
        <f t="shared" si="740"/>
        <v>55</v>
      </c>
    </row>
    <row r="150">
      <c r="A150" s="56" t="s">
        <v>643</v>
      </c>
      <c r="B150" s="1" t="str">
        <f>IFERROR(__xludf.DUMMYFUNCTION("IFERROR(
  VLOOKUP(
    A150,
    IMPORTRANGE(
      ""1ZygntHC1J6IxzKbTidmOyf5nUyW4GCLurHCjexrLm_o"",
      ""HTMLキャッシュ!A:F""
    ),
    2,
    FALSE
  ),
  0
)
"),"MC")</f>
        <v>MC</v>
      </c>
      <c r="C150" s="1" t="str">
        <f>IFERROR(__xludf.DUMMYFUNCTION("IFERROR(
  VLOOKUP(
    A150,
    IMPORTRANGE(
      ""1ZygntHC1J6IxzKbTidmOyf5nUyW4GCLurHCjexrLm_o"",
      ""HTMLキャッシュ!A:F""
    ),
    5,
    FALSE
  ),
  0
)
"),"予習シリーズ小５上巻 第５回の要点解説 - 受験国語専門 読解ラボ東京 | 中学受験・大学受験対応の個別指導国語専門塾（オンライン・教室対応）")</f>
        <v>予習シリーズ小５上巻 第５回の要点解説 - 受験国語専門 読解ラボ東京 | 中学受験・大学受験対応の個別指導国語専門塾（オンライン・教室対応）</v>
      </c>
      <c r="D150" s="1" t="str">
        <f>IFERROR(__xludf.DUMMYFUNCTION("IFERROR(
  VLOOKUP(
    A150,
    IMPORTRANGE(
      ""1ZygntHC1J6IxzKbTidmOyf5nUyW4GCLurHCjexrLm_o        "",
      ""HTMLキャッシュ!A:F""
    ),
    6,
    FALSE
  ),
  0
)
"),"予習シリーズ 小5 上巻 第5回・発展問題 前半：物語文 後半：説明文 【解説まとめ】第5回は「心情の見取り図")</f>
        <v>予習シリーズ 小5 上巻 第5回・発展問題 前半：物語文 後半：説明文 【解説まとめ】第5回は「心情の見取り図</v>
      </c>
      <c r="E150" s="32">
        <f>IFERROR(__xludf.DUMMYFUNCTION("IFERROR(
  VLOOKUP(
    A150,
    IMPORTRANGE(
      ""1ZygntHC1J6IxzKbTidmOyf5nUyW4GCLurHCjexrLm_o        "",
      ""HTMLキャッシュ!A:F""
    ),
    3,
    FALSE
  ),
  0
)
"),46059.691724537035)</f>
        <v>46059.69172</v>
      </c>
      <c r="F150" s="49">
        <f>IFERROR(__xludf.DUMMYFUNCTION("IFERROR(
  VLOOKUP(
    A150,
    IMPORTRANGE(
      ""1ZHMy3vVUd_0MrSduXTe1etBb1HNpAlGwQr006ljwMiM"",
      ""GSC最新!A:F""
    ),
    2,
    FALSE
  ),
  0
)
"),0.0)</f>
        <v>0</v>
      </c>
      <c r="G150" s="49">
        <f>IFERROR(__xludf.DUMMYFUNCTION("IFERROR(
  VLOOKUP(
    A150,
    IMPORTRANGE(
      ""1ZHMy3vVUd_0MrSduXTe1etBb1HNpAlGwQr006ljwMiM"",
      ""GSC最新!A:F""
    ),
    3,
    FALSE
  ),
  0
)
"),0.0)</f>
        <v>0</v>
      </c>
      <c r="H150" s="49">
        <f>IFERROR(__xludf.DUMMYFUNCTION("IFERROR(
  VLOOKUP(
    A150,
    IMPORTRANGE(
      ""1ZHMy3vVUd_0MrSduXTe1etBb1HNpAlGwQr006ljwMiM"",
      ""GSC最新!A:F""
    ),
    4,
    FALSE
  ),
  0
)
"),0.0)</f>
        <v>0</v>
      </c>
      <c r="I150" s="49">
        <f>IFERROR(__xludf.DUMMYFUNCTION("IFERROR(
  VLOOKUP(
    A150,
    IMPORTRANGE(
      ""1ZHMy3vVUd_0MrSduXTe1etBb1HNpAlGwQr006ljwMiM"",
      ""GSC最新!A:F""
    ),
    5,
    FALSE
  ),
  0
)
"),0.0)</f>
        <v>0</v>
      </c>
      <c r="J150" s="50" t="str">
        <f t="shared" ref="J150:K150" si="741">IFERROR(F150/H150,"-")</f>
        <v>-</v>
      </c>
      <c r="K150" s="50" t="str">
        <f t="shared" si="741"/>
        <v>-</v>
      </c>
      <c r="L150" s="6">
        <f>IFERROR(__xludf.DUMMYFUNCTION("IFERROR(
  VLOOKUP(
    A150,
    IMPORTRANGE(
      ""1ZHMy3vVUd_0MrSduXTe1etBb1HNpAlGwQr006ljwMiM"",
      ""GSC最新!A:R""
    ),
    7,
    FALSE
  ),
  0
)
"),1.0)</f>
        <v>1</v>
      </c>
      <c r="M150" s="6">
        <f>IFERROR(__xludf.DUMMYFUNCTION("IFERROR(
  VLOOKUP(
    A150,
    IMPORTRANGE(
      ""1ZHMy3vVUd_0MrSduXTe1etBb1HNpAlGwQr006ljwMiM"",
      ""GSC最新!A:R""
    ),
    10,
    FALSE
  ),
  0
)
"),1.0)</f>
        <v>1</v>
      </c>
      <c r="N150" s="6">
        <f>IFERROR(__xludf.DUMMYFUNCTION("IFERROR(
  VLOOKUP(
    A150,
    IMPORTRANGE(
      ""1ZHMy3vVUd_0MrSduXTe1etBb1HNpAlGwQr006ljwMiM"",
      ""GSC最新!A:R""
    ),
    13,
    FALSE
  ),
  0
)
"),0.0)</f>
        <v>0</v>
      </c>
      <c r="O150" s="6">
        <f>IFERROR(__xludf.DUMMYFUNCTION("IFERROR(
  VLOOKUP(
    A150,
    IMPORTRANGE(
      ""1ZHMy3vVUd_0MrSduXTe1etBb1HNpAlGwQr006ljwMiM"",
      ""GSC最新!A:R""
    ),
    16,
    FALSE
  ),
  0
)
"),0.0)</f>
        <v>0</v>
      </c>
      <c r="P150" s="51" t="str">
        <f t="shared" ref="P150:Q150" si="742">IFERROR(L150/N150,"-")</f>
        <v>-</v>
      </c>
      <c r="Q150" s="51" t="str">
        <f t="shared" si="742"/>
        <v>-</v>
      </c>
      <c r="R150" s="9">
        <f>IFERROR(__xludf.DUMMYFUNCTION("IFERROR(
  VLOOKUP(
    A150,
    IMPORTRANGE(
      ""1ZHMy3vVUd_0MrSduXTe1etBb1HNpAlGwQr006ljwMiM"",
      ""GSC最新!A:R""
    ),
    8,
    FALSE
  ),
  0
)
"),0.0)</f>
        <v>0</v>
      </c>
      <c r="S150" s="9">
        <f>IFERROR(__xludf.DUMMYFUNCTION("IFERROR(
  VLOOKUP(
    A150,
    IMPORTRANGE(
      ""1ZHMy3vVUd_0MrSduXTe1etBb1HNpAlGwQr006ljwMiM"",
      ""GSC最新!A:R""
    ),
    11,
    FALSE
  ),
  0
)
"),0.0)</f>
        <v>0</v>
      </c>
      <c r="T150" s="9">
        <f>IFERROR(__xludf.DUMMYFUNCTION("IFERROR(
  VLOOKUP(
    A150,
    IMPORTRANGE(
      ""1ZHMy3vVUd_0MrSduXTe1etBb1HNpAlGwQr006ljwMiM"",
      ""GSC最新!A:R""
    ),
    14,
    FALSE
  ),
  0
)
"),0.0)</f>
        <v>0</v>
      </c>
      <c r="U150" s="9">
        <f>IFERROR(__xludf.DUMMYFUNCTION("IFERROR(
  VLOOKUP(
    A150,
    IMPORTRANGE(
      ""1ZHMy3vVUd_0MrSduXTe1etBb1HNpAlGwQr006ljwMiM"",
      ""GSC最新!A:R""
    ),
    17,
    FALSE
  ),
  0
)
"),0.0)</f>
        <v>0</v>
      </c>
      <c r="V150" s="9">
        <f t="shared" ref="V150:W150" si="743">IFERROR(R150-T150,"-")</f>
        <v>0</v>
      </c>
      <c r="W150" s="9">
        <f t="shared" si="743"/>
        <v>0</v>
      </c>
      <c r="X150" s="65">
        <f>IFERROR(__xludf.DUMMYFUNCTION("IFERROR(
  VLOOKUP(
    A150,
    IMPORTRANGE(
      ""1ZHMy3vVUd_0MrSduXTe1etBb1HNpAlGwQr006ljwMiM"",
      ""GSC最新!A:R""
    ),
    9,
    FALSE
  ),
  0
)
"),1.0)</f>
        <v>1</v>
      </c>
      <c r="Y150" s="65">
        <f>IFERROR(__xludf.DUMMYFUNCTION("IFERROR(
  VLOOKUP(
    A150,
    IMPORTRANGE(
      ""1ZHMy3vVUd_0MrSduXTe1etBb1HNpAlGwQr006ljwMiM"",
      ""GSC最新!A:R""
    ),
    12,
    FALSE
  ),
  0
)
"),1.0)</f>
        <v>1</v>
      </c>
      <c r="Z150" s="65" t="str">
        <f>IFERROR(__xludf.DUMMYFUNCTION("IFERROR(
  VLOOKUP(
    A150,
    IMPORTRANGE(
      ""1ZHMy3vVUd_0MrSduXTe1etBb1HNpAlGwQr006ljwMiM"",
      ""GSC最新!A:R""
    ),
    15,
    FALSE
  ),
  0
)
"),"")</f>
        <v/>
      </c>
      <c r="AA150" s="65" t="str">
        <f>IFERROR(__xludf.DUMMYFUNCTION("IFERROR(
  VLOOKUP(
    A150,
    IMPORTRANGE(
      ""1ZHMy3vVUd_0MrSduXTe1etBb1HNpAlGwQr006ljwMiM"",
      ""GSC最新!A:R""
    ),
    18,
    FALSE
  ),
  0
)
"),"")</f>
        <v/>
      </c>
      <c r="AB150" s="65">
        <f t="shared" ref="AB150:AC150" si="744">X150-Z150</f>
        <v>1</v>
      </c>
      <c r="AC150" s="65">
        <f t="shared" si="744"/>
        <v>1</v>
      </c>
      <c r="AD150" s="53">
        <f>IFERROR(__xludf.DUMMYFUNCTION("IFERROR(
  VLOOKUP(
    A150,
    IMPORTRANGE(
      ""1ZHMy3vVUd_0MrSduXTe1etBb1HNpAlGwQr006ljwMiM"",
      ""GSC最新!A:F""
    ),
    6,
    FALSE
  ),
  0
)
"),46081.0)</f>
        <v>46081</v>
      </c>
      <c r="AE150" s="54">
        <f>IFERROR(__xludf.DUMMYFUNCTION("IFERROR(
  VLOOKUP(
    A150,
    IMPORTRANGE(
      ""1SCYQd7_cobOYqT0r_F0IqD4tE4rYn5y8Eup4PJTH8es"",
      ""Snapshot!A:M""
    ),
    5,
    FALSE
  ),
  ""-""
)
"),1.0)</f>
        <v>1</v>
      </c>
      <c r="AF150" s="54">
        <f>IFERROR(__xludf.DUMMYFUNCTION("IFERROR(
  VLOOKUP(
    A150,
    IMPORTRANGE(
      ""1SCYQd7_cobOYqT0r_F0IqD4tE4rYn5y8Eup4PJTH8es"",
      ""Snapshot!A:M""
    ),
    6,
    FALSE
  ),
  0
)
"),10.0)</f>
        <v>10</v>
      </c>
      <c r="AG150" s="54">
        <f>IFERROR(__xludf.DUMMYFUNCTION("IFERROR(
  VLOOKUP(
    A150,
    IMPORTRANGE(
      ""1SCYQd7_cobOYqT0r_F0IqD4tE4rYn5y8Eup4PJTH8es"",
      ""Snapshot!A:M""
    ),
    7,
    FALSE
  ),
  0
)
"),3143.0)</f>
        <v>3143</v>
      </c>
      <c r="AH150" s="54">
        <f>IFERROR(__xludf.DUMMYFUNCTION("IFERROR(
  VLOOKUP(
    A150,
    IMPORTRANGE(
      ""1SCYQd7_cobOYqT0r_F0IqD4tE4rYn5y8Eup4PJTH8es"",
      ""Snapshot!A:M""
    ),
    8,
    FALSE
  ),
  0
)
"),2.0)</f>
        <v>2</v>
      </c>
      <c r="AI150" s="54">
        <f>IFERROR(__xludf.DUMMYFUNCTION("IFERROR(
  VLOOKUP(
    A150,
    IMPORTRANGE(
      ""1SCYQd7_cobOYqT0r_F0IqD4tE4rYn5y8Eup4PJTH8es"",
      ""Snapshot!A:M""
    ),
    9,
    FALSE
  ),
  0
)
"),3.0)</f>
        <v>3</v>
      </c>
      <c r="AJ150" s="54">
        <f>IFERROR(__xludf.DUMMYFUNCTION("IFERROR(
  VLOOKUP(
    A150,
    IMPORTRANGE(
      ""1SCYQd7_cobOYqT0r_F0IqD4tE4rYn5y8Eup4PJTH8es"",
      ""Snapshot!A:M""
    ),
    13,
    FALSE
  ),
  0
)
"),3.0)</f>
        <v>3</v>
      </c>
      <c r="AK150" s="49">
        <f t="shared" ref="AK150:AL150" si="745">LEN(C150)</f>
        <v>71</v>
      </c>
      <c r="AL150" s="49">
        <f t="shared" si="745"/>
        <v>55</v>
      </c>
    </row>
    <row r="151">
      <c r="A151" s="56" t="s">
        <v>644</v>
      </c>
      <c r="B151" s="1" t="str">
        <f>IFERROR(__xludf.DUMMYFUNCTION("IFERROR(
  VLOOKUP(
    A151,
    IMPORTRANGE(
      ""1ZygntHC1J6IxzKbTidmOyf5nUyW4GCLurHCjexrLm_o"",
      ""HTMLキャッシュ!A:F""
    ),
    2,
    FALSE
  ),
  0
)
"),"MC")</f>
        <v>MC</v>
      </c>
      <c r="C151" s="1" t="str">
        <f>IFERROR(__xludf.DUMMYFUNCTION("IFERROR(
  VLOOKUP(
    A151,
    IMPORTRANGE(
      ""1ZygntHC1J6IxzKbTidmOyf5nUyW4GCLurHCjexrLm_o"",
      ""HTMLキャッシュ!A:F""
    ),
    5,
    FALSE
  ),
  0
)
"),"予習シリーズ小５上巻 第６回の要点解説 - 受験国語専門 読解ラボ東京 | 中学受験・大学受験対応の個別指導国語専門塾（オンライン・教室対応）")</f>
        <v>予習シリーズ小５上巻 第６回の要点解説 - 受験国語専門 読解ラボ東京 | 中学受験・大学受験対応の個別指導国語専門塾（オンライン・教室対応）</v>
      </c>
      <c r="D151" s="1" t="str">
        <f>IFERROR(__xludf.DUMMYFUNCTION("IFERROR(
  VLOOKUP(
    A151,
    IMPORTRANGE(
      ""1ZygntHC1J6IxzKbTidmOyf5nUyW4GCLurHCjexrLm_o        "",
      ""HTMLキャッシュ!A:F""
    ),
    6,
    FALSE
  ),
  0
)
"),"予習シリーズ 小5 上巻 第6回・発展問題 物語文 【解説まとめ】傍線の理由→背景×出来事で「頭の中」を明確に")</f>
        <v>予習シリーズ 小5 上巻 第6回・発展問題 物語文 【解説まとめ】傍線の理由→背景×出来事で「頭の中」を明確に</v>
      </c>
      <c r="E151" s="32">
        <f>IFERROR(__xludf.DUMMYFUNCTION("IFERROR(
  VLOOKUP(
    A151,
    IMPORTRANGE(
      ""1ZygntHC1J6IxzKbTidmOyf5nUyW4GCLurHCjexrLm_o        "",
      ""HTMLキャッシュ!A:F""
    ),
    3,
    FALSE
  ),
  0
)
"),46052.768229166664)</f>
        <v>46052.76823</v>
      </c>
      <c r="F151" s="49">
        <f>IFERROR(__xludf.DUMMYFUNCTION("IFERROR(
  VLOOKUP(
    A151,
    IMPORTRANGE(
      ""1ZHMy3vVUd_0MrSduXTe1etBb1HNpAlGwQr006ljwMiM"",
      ""GSC最新!A:F""
    ),
    2,
    FALSE
  ),
  0
)
"),0.0)</f>
        <v>0</v>
      </c>
      <c r="G151" s="49">
        <f>IFERROR(__xludf.DUMMYFUNCTION("IFERROR(
  VLOOKUP(
    A151,
    IMPORTRANGE(
      ""1ZHMy3vVUd_0MrSduXTe1etBb1HNpAlGwQr006ljwMiM"",
      ""GSC最新!A:F""
    ),
    3,
    FALSE
  ),
  0
)
"),0.0)</f>
        <v>0</v>
      </c>
      <c r="H151" s="49">
        <f>IFERROR(__xludf.DUMMYFUNCTION("IFERROR(
  VLOOKUP(
    A151,
    IMPORTRANGE(
      ""1ZHMy3vVUd_0MrSduXTe1etBb1HNpAlGwQr006ljwMiM"",
      ""GSC最新!A:F""
    ),
    4,
    FALSE
  ),
  0
)
"),0.0)</f>
        <v>0</v>
      </c>
      <c r="I151" s="49">
        <f>IFERROR(__xludf.DUMMYFUNCTION("IFERROR(
  VLOOKUP(
    A151,
    IMPORTRANGE(
      ""1ZHMy3vVUd_0MrSduXTe1etBb1HNpAlGwQr006ljwMiM"",
      ""GSC最新!A:F""
    ),
    5,
    FALSE
  ),
  0
)
"),0.0)</f>
        <v>0</v>
      </c>
      <c r="J151" s="50" t="str">
        <f t="shared" ref="J151:K151" si="746">IFERROR(F151/H151,"-")</f>
        <v>-</v>
      </c>
      <c r="K151" s="50" t="str">
        <f t="shared" si="746"/>
        <v>-</v>
      </c>
      <c r="L151" s="6">
        <f>IFERROR(__xludf.DUMMYFUNCTION("IFERROR(
  VLOOKUP(
    A151,
    IMPORTRANGE(
      ""1ZHMy3vVUd_0MrSduXTe1etBb1HNpAlGwQr006ljwMiM"",
      ""GSC最新!A:R""
    ),
    7,
    FALSE
  ),
  0
)
"),0.0)</f>
        <v>0</v>
      </c>
      <c r="M151" s="6">
        <f>IFERROR(__xludf.DUMMYFUNCTION("IFERROR(
  VLOOKUP(
    A151,
    IMPORTRANGE(
      ""1ZHMy3vVUd_0MrSduXTe1etBb1HNpAlGwQr006ljwMiM"",
      ""GSC最新!A:R""
    ),
    10,
    FALSE
  ),
  0
)
"),0.0)</f>
        <v>0</v>
      </c>
      <c r="N151" s="6">
        <f>IFERROR(__xludf.DUMMYFUNCTION("IFERROR(
  VLOOKUP(
    A151,
    IMPORTRANGE(
      ""1ZHMy3vVUd_0MrSduXTe1etBb1HNpAlGwQr006ljwMiM"",
      ""GSC最新!A:R""
    ),
    13,
    FALSE
  ),
  0
)
"),0.0)</f>
        <v>0</v>
      </c>
      <c r="O151" s="6">
        <f>IFERROR(__xludf.DUMMYFUNCTION("IFERROR(
  VLOOKUP(
    A151,
    IMPORTRANGE(
      ""1ZHMy3vVUd_0MrSduXTe1etBb1HNpAlGwQr006ljwMiM"",
      ""GSC最新!A:R""
    ),
    16,
    FALSE
  ),
  0
)
"),0.0)</f>
        <v>0</v>
      </c>
      <c r="P151" s="51" t="str">
        <f t="shared" ref="P151:Q151" si="747">IFERROR(L151/N151,"-")</f>
        <v>-</v>
      </c>
      <c r="Q151" s="51" t="str">
        <f t="shared" si="747"/>
        <v>-</v>
      </c>
      <c r="R151" s="9">
        <f>IFERROR(__xludf.DUMMYFUNCTION("IFERROR(
  VLOOKUP(
    A151,
    IMPORTRANGE(
      ""1ZHMy3vVUd_0MrSduXTe1etBb1HNpAlGwQr006ljwMiM"",
      ""GSC最新!A:R""
    ),
    8,
    FALSE
  ),
  0
)
"),0.0)</f>
        <v>0</v>
      </c>
      <c r="S151" s="9">
        <f>IFERROR(__xludf.DUMMYFUNCTION("IFERROR(
  VLOOKUP(
    A151,
    IMPORTRANGE(
      ""1ZHMy3vVUd_0MrSduXTe1etBb1HNpAlGwQr006ljwMiM"",
      ""GSC最新!A:R""
    ),
    11,
    FALSE
  ),
  0
)
"),0.0)</f>
        <v>0</v>
      </c>
      <c r="T151" s="9">
        <f>IFERROR(__xludf.DUMMYFUNCTION("IFERROR(
  VLOOKUP(
    A151,
    IMPORTRANGE(
      ""1ZHMy3vVUd_0MrSduXTe1etBb1HNpAlGwQr006ljwMiM"",
      ""GSC最新!A:R""
    ),
    14,
    FALSE
  ),
  0
)
"),0.0)</f>
        <v>0</v>
      </c>
      <c r="U151" s="9">
        <f>IFERROR(__xludf.DUMMYFUNCTION("IFERROR(
  VLOOKUP(
    A151,
    IMPORTRANGE(
      ""1ZHMy3vVUd_0MrSduXTe1etBb1HNpAlGwQr006ljwMiM"",
      ""GSC最新!A:R""
    ),
    17,
    FALSE
  ),
  0
)
"),0.0)</f>
        <v>0</v>
      </c>
      <c r="V151" s="9">
        <f t="shared" ref="V151:W151" si="748">IFERROR(R151-T151,"-")</f>
        <v>0</v>
      </c>
      <c r="W151" s="9">
        <f t="shared" si="748"/>
        <v>0</v>
      </c>
      <c r="X151" s="65" t="str">
        <f>IFERROR(__xludf.DUMMYFUNCTION("IFERROR(
  VLOOKUP(
    A151,
    IMPORTRANGE(
      ""1ZHMy3vVUd_0MrSduXTe1etBb1HNpAlGwQr006ljwMiM"",
      ""GSC最新!A:R""
    ),
    9,
    FALSE
  ),
  0
)
"),"")</f>
        <v/>
      </c>
      <c r="Y151" s="65" t="str">
        <f>IFERROR(__xludf.DUMMYFUNCTION("IFERROR(
  VLOOKUP(
    A151,
    IMPORTRANGE(
      ""1ZHMy3vVUd_0MrSduXTe1etBb1HNpAlGwQr006ljwMiM"",
      ""GSC最新!A:R""
    ),
    12,
    FALSE
  ),
  0
)
"),"")</f>
        <v/>
      </c>
      <c r="Z151" s="65" t="str">
        <f>IFERROR(__xludf.DUMMYFUNCTION("IFERROR(
  VLOOKUP(
    A151,
    IMPORTRANGE(
      ""1ZHMy3vVUd_0MrSduXTe1etBb1HNpAlGwQr006ljwMiM"",
      ""GSC最新!A:R""
    ),
    15,
    FALSE
  ),
  0
)
"),"")</f>
        <v/>
      </c>
      <c r="AA151" s="65" t="str">
        <f>IFERROR(__xludf.DUMMYFUNCTION("IFERROR(
  VLOOKUP(
    A151,
    IMPORTRANGE(
      ""1ZHMy3vVUd_0MrSduXTe1etBb1HNpAlGwQr006ljwMiM"",
      ""GSC最新!A:R""
    ),
    18,
    FALSE
  ),
  0
)
"),"")</f>
        <v/>
      </c>
      <c r="AB151" s="65">
        <f t="shared" ref="AB151:AC151" si="749">X151-Z151</f>
        <v>0</v>
      </c>
      <c r="AC151" s="65">
        <f t="shared" si="749"/>
        <v>0</v>
      </c>
      <c r="AD151" s="53">
        <f>IFERROR(__xludf.DUMMYFUNCTION("IFERROR(
  VLOOKUP(
    A151,
    IMPORTRANGE(
      ""1ZHMy3vVUd_0MrSduXTe1etBb1HNpAlGwQr006ljwMiM"",
      ""GSC最新!A:F""
    ),
    6,
    FALSE
  ),
  0
)
"),46081.0)</f>
        <v>46081</v>
      </c>
      <c r="AE151" s="54">
        <f>IFERROR(__xludf.DUMMYFUNCTION("IFERROR(
  VLOOKUP(
    A151,
    IMPORTRANGE(
      ""1SCYQd7_cobOYqT0r_F0IqD4tE4rYn5y8Eup4PJTH8es"",
      ""Snapshot!A:M""
    ),
    5,
    FALSE
  ),
  ""-""
)
"),1.0)</f>
        <v>1</v>
      </c>
      <c r="AF151" s="54">
        <f>IFERROR(__xludf.DUMMYFUNCTION("IFERROR(
  VLOOKUP(
    A151,
    IMPORTRANGE(
      ""1SCYQd7_cobOYqT0r_F0IqD4tE4rYn5y8Eup4PJTH8es"",
      ""Snapshot!A:M""
    ),
    6,
    FALSE
  ),
  0
)
"),8.0)</f>
        <v>8</v>
      </c>
      <c r="AG151" s="54">
        <f>IFERROR(__xludf.DUMMYFUNCTION("IFERROR(
  VLOOKUP(
    A151,
    IMPORTRANGE(
      ""1SCYQd7_cobOYqT0r_F0IqD4tE4rYn5y8Eup4PJTH8es"",
      ""Snapshot!A:M""
    ),
    7,
    FALSE
  ),
  0
)
"),2604.0)</f>
        <v>2604</v>
      </c>
      <c r="AH151" s="54">
        <f>IFERROR(__xludf.DUMMYFUNCTION("IFERROR(
  VLOOKUP(
    A151,
    IMPORTRANGE(
      ""1SCYQd7_cobOYqT0r_F0IqD4tE4rYn5y8Eup4PJTH8es"",
      ""Snapshot!A:M""
    ),
    8,
    FALSE
  ),
  0
)
"),2.0)</f>
        <v>2</v>
      </c>
      <c r="AI151" s="54">
        <f>IFERROR(__xludf.DUMMYFUNCTION("IFERROR(
  VLOOKUP(
    A151,
    IMPORTRANGE(
      ""1SCYQd7_cobOYqT0r_F0IqD4tE4rYn5y8Eup4PJTH8es"",
      ""Snapshot!A:M""
    ),
    9,
    FALSE
  ),
  0
)
"),3.0)</f>
        <v>3</v>
      </c>
      <c r="AJ151" s="54">
        <f>IFERROR(__xludf.DUMMYFUNCTION("IFERROR(
  VLOOKUP(
    A151,
    IMPORTRANGE(
      ""1SCYQd7_cobOYqT0r_F0IqD4tE4rYn5y8Eup4PJTH8es"",
      ""Snapshot!A:M""
    ),
    13,
    FALSE
  ),
  0
)
"),3.0)</f>
        <v>3</v>
      </c>
      <c r="AK151" s="49">
        <f t="shared" ref="AK151:AL151" si="750">LEN(C151)</f>
        <v>71</v>
      </c>
      <c r="AL151" s="49">
        <f t="shared" si="750"/>
        <v>55</v>
      </c>
    </row>
    <row r="152">
      <c r="A152" s="56" t="s">
        <v>645</v>
      </c>
      <c r="B152" s="1" t="str">
        <f>IFERROR(__xludf.DUMMYFUNCTION("IFERROR(
  VLOOKUP(
    A152,
    IMPORTRANGE(
      ""1ZygntHC1J6IxzKbTidmOyf5nUyW4GCLurHCjexrLm_o"",
      ""HTMLキャッシュ!A:F""
    ),
    2,
    FALSE
  ),
  0
)
"),"MC")</f>
        <v>MC</v>
      </c>
      <c r="C152" s="1" t="str">
        <f>IFERROR(__xludf.DUMMYFUNCTION("IFERROR(
  VLOOKUP(
    A152,
    IMPORTRANGE(
      ""1ZygntHC1J6IxzKbTidmOyf5nUyW4GCLurHCjexrLm_o"",
      ""HTMLキャッシュ!A:F""
    ),
    5,
    FALSE
  ),
  0
)
"),"予習シリーズ小５上巻 第７回の要点解説 - 受験国語専門 読解ラボ東京 | 中学受験・大学受験対応の個別指導国語専門塾（オンライン・教室対応）")</f>
        <v>予習シリーズ小５上巻 第７回の要点解説 - 受験国語専門 読解ラボ東京 | 中学受験・大学受験対応の個別指導国語専門塾（オンライン・教室対応）</v>
      </c>
      <c r="D152" s="1" t="str">
        <f>IFERROR(__xludf.DUMMYFUNCTION("IFERROR(
  VLOOKUP(
    A152,
    IMPORTRANGE(
      ""1ZygntHC1J6IxzKbTidmOyf5nUyW4GCLurHCjexrLm_o        "",
      ""HTMLキャッシュ!A:F""
    ),
    6,
    FALSE
  ),
  0
)
"),"予習シリーズ 小5 上巻 第7回・発展問題 物語文 【解説まとめ】第7回は「心情＝背景×出来事」＋「理由の集め")</f>
        <v>予習シリーズ 小5 上巻 第7回・発展問題 物語文 【解説まとめ】第7回は「心情＝背景×出来事」＋「理由の集め</v>
      </c>
      <c r="E152" s="32">
        <f>IFERROR(__xludf.DUMMYFUNCTION("IFERROR(
  VLOOKUP(
    A152,
    IMPORTRANGE(
      ""1ZygntHC1J6IxzKbTidmOyf5nUyW4GCLurHCjexrLm_o        "",
      ""HTMLキャッシュ!A:F""
    ),
    3,
    FALSE
  ),
  0
)
"),46080.83398148148)</f>
        <v>46080.83398</v>
      </c>
      <c r="F152" s="49">
        <f>IFERROR(__xludf.DUMMYFUNCTION("IFERROR(
  VLOOKUP(
    A152,
    IMPORTRANGE(
      ""1ZHMy3vVUd_0MrSduXTe1etBb1HNpAlGwQr006ljwMiM"",
      ""GSC最新!A:F""
    ),
    2,
    FALSE
  ),
  0
)
"),0.0)</f>
        <v>0</v>
      </c>
      <c r="G152" s="49">
        <f>IFERROR(__xludf.DUMMYFUNCTION("IFERROR(
  VLOOKUP(
    A152,
    IMPORTRANGE(
      ""1ZHMy3vVUd_0MrSduXTe1etBb1HNpAlGwQr006ljwMiM"",
      ""GSC最新!A:F""
    ),
    3,
    FALSE
  ),
  0
)
"),0.0)</f>
        <v>0</v>
      </c>
      <c r="H152" s="49">
        <f>IFERROR(__xludf.DUMMYFUNCTION("IFERROR(
  VLOOKUP(
    A152,
    IMPORTRANGE(
      ""1ZHMy3vVUd_0MrSduXTe1etBb1HNpAlGwQr006ljwMiM"",
      ""GSC最新!A:F""
    ),
    4,
    FALSE
  ),
  0
)
"),0.0)</f>
        <v>0</v>
      </c>
      <c r="I152" s="49">
        <f>IFERROR(__xludf.DUMMYFUNCTION("IFERROR(
  VLOOKUP(
    A152,
    IMPORTRANGE(
      ""1ZHMy3vVUd_0MrSduXTe1etBb1HNpAlGwQr006ljwMiM"",
      ""GSC最新!A:F""
    ),
    5,
    FALSE
  ),
  0
)
"),0.0)</f>
        <v>0</v>
      </c>
      <c r="J152" s="50" t="str">
        <f t="shared" ref="J152:K152" si="751">IFERROR(F152/H152,"-")</f>
        <v>-</v>
      </c>
      <c r="K152" s="50" t="str">
        <f t="shared" si="751"/>
        <v>-</v>
      </c>
      <c r="L152" s="6">
        <f>IFERROR(__xludf.DUMMYFUNCTION("IFERROR(
  VLOOKUP(
    A152,
    IMPORTRANGE(
      ""1ZHMy3vVUd_0MrSduXTe1etBb1HNpAlGwQr006ljwMiM"",
      ""GSC最新!A:R""
    ),
    7,
    FALSE
  ),
  0
)
"),0.0)</f>
        <v>0</v>
      </c>
      <c r="M152" s="6">
        <f>IFERROR(__xludf.DUMMYFUNCTION("IFERROR(
  VLOOKUP(
    A152,
    IMPORTRANGE(
      ""1ZHMy3vVUd_0MrSduXTe1etBb1HNpAlGwQr006ljwMiM"",
      ""GSC最新!A:R""
    ),
    10,
    FALSE
  ),
  0
)
"),0.0)</f>
        <v>0</v>
      </c>
      <c r="N152" s="6">
        <f>IFERROR(__xludf.DUMMYFUNCTION("IFERROR(
  VLOOKUP(
    A152,
    IMPORTRANGE(
      ""1ZHMy3vVUd_0MrSduXTe1etBb1HNpAlGwQr006ljwMiM"",
      ""GSC最新!A:R""
    ),
    13,
    FALSE
  ),
  0
)
"),0.0)</f>
        <v>0</v>
      </c>
      <c r="O152" s="6">
        <f>IFERROR(__xludf.DUMMYFUNCTION("IFERROR(
  VLOOKUP(
    A152,
    IMPORTRANGE(
      ""1ZHMy3vVUd_0MrSduXTe1etBb1HNpAlGwQr006ljwMiM"",
      ""GSC最新!A:R""
    ),
    16,
    FALSE
  ),
  0
)
"),0.0)</f>
        <v>0</v>
      </c>
      <c r="P152" s="51" t="str">
        <f t="shared" ref="P152:Q152" si="752">IFERROR(L152/N152,"-")</f>
        <v>-</v>
      </c>
      <c r="Q152" s="51" t="str">
        <f t="shared" si="752"/>
        <v>-</v>
      </c>
      <c r="R152" s="9">
        <f>IFERROR(__xludf.DUMMYFUNCTION("IFERROR(
  VLOOKUP(
    A152,
    IMPORTRANGE(
      ""1ZHMy3vVUd_0MrSduXTe1etBb1HNpAlGwQr006ljwMiM"",
      ""GSC最新!A:R""
    ),
    8,
    FALSE
  ),
  0
)
"),0.0)</f>
        <v>0</v>
      </c>
      <c r="S152" s="9">
        <f>IFERROR(__xludf.DUMMYFUNCTION("IFERROR(
  VLOOKUP(
    A152,
    IMPORTRANGE(
      ""1ZHMy3vVUd_0MrSduXTe1etBb1HNpAlGwQr006ljwMiM"",
      ""GSC最新!A:R""
    ),
    11,
    FALSE
  ),
  0
)
"),0.0)</f>
        <v>0</v>
      </c>
      <c r="T152" s="9">
        <f>IFERROR(__xludf.DUMMYFUNCTION("IFERROR(
  VLOOKUP(
    A152,
    IMPORTRANGE(
      ""1ZHMy3vVUd_0MrSduXTe1etBb1HNpAlGwQr006ljwMiM"",
      ""GSC最新!A:R""
    ),
    14,
    FALSE
  ),
  0
)
"),0.0)</f>
        <v>0</v>
      </c>
      <c r="U152" s="9">
        <f>IFERROR(__xludf.DUMMYFUNCTION("IFERROR(
  VLOOKUP(
    A152,
    IMPORTRANGE(
      ""1ZHMy3vVUd_0MrSduXTe1etBb1HNpAlGwQr006ljwMiM"",
      ""GSC最新!A:R""
    ),
    17,
    FALSE
  ),
  0
)
"),0.0)</f>
        <v>0</v>
      </c>
      <c r="V152" s="9">
        <f t="shared" ref="V152:W152" si="753">IFERROR(R152-T152,"-")</f>
        <v>0</v>
      </c>
      <c r="W152" s="9">
        <f t="shared" si="753"/>
        <v>0</v>
      </c>
      <c r="X152" s="65" t="str">
        <f>IFERROR(__xludf.DUMMYFUNCTION("IFERROR(
  VLOOKUP(
    A152,
    IMPORTRANGE(
      ""1ZHMy3vVUd_0MrSduXTe1etBb1HNpAlGwQr006ljwMiM"",
      ""GSC最新!A:R""
    ),
    9,
    FALSE
  ),
  0
)
"),"")</f>
        <v/>
      </c>
      <c r="Y152" s="65" t="str">
        <f>IFERROR(__xludf.DUMMYFUNCTION("IFERROR(
  VLOOKUP(
    A152,
    IMPORTRANGE(
      ""1ZHMy3vVUd_0MrSduXTe1etBb1HNpAlGwQr006ljwMiM"",
      ""GSC最新!A:R""
    ),
    12,
    FALSE
  ),
  0
)
"),"")</f>
        <v/>
      </c>
      <c r="Z152" s="65" t="str">
        <f>IFERROR(__xludf.DUMMYFUNCTION("IFERROR(
  VLOOKUP(
    A152,
    IMPORTRANGE(
      ""1ZHMy3vVUd_0MrSduXTe1etBb1HNpAlGwQr006ljwMiM"",
      ""GSC最新!A:R""
    ),
    15,
    FALSE
  ),
  0
)
"),"")</f>
        <v/>
      </c>
      <c r="AA152" s="65" t="str">
        <f>IFERROR(__xludf.DUMMYFUNCTION("IFERROR(
  VLOOKUP(
    A152,
    IMPORTRANGE(
      ""1ZHMy3vVUd_0MrSduXTe1etBb1HNpAlGwQr006ljwMiM"",
      ""GSC最新!A:R""
    ),
    18,
    FALSE
  ),
  0
)
"),"")</f>
        <v/>
      </c>
      <c r="AB152" s="65">
        <f t="shared" ref="AB152:AC152" si="754">X152-Z152</f>
        <v>0</v>
      </c>
      <c r="AC152" s="65">
        <f t="shared" si="754"/>
        <v>0</v>
      </c>
      <c r="AD152" s="53">
        <f>IFERROR(__xludf.DUMMYFUNCTION("IFERROR(
  VLOOKUP(
    A152,
    IMPORTRANGE(
      ""1ZHMy3vVUd_0MrSduXTe1etBb1HNpAlGwQr006ljwMiM"",
      ""GSC最新!A:F""
    ),
    6,
    FALSE
  ),
  0
)
"),46081.0)</f>
        <v>46081</v>
      </c>
      <c r="AE152" s="54">
        <f>IFERROR(__xludf.DUMMYFUNCTION("IFERROR(
  VLOOKUP(
    A152,
    IMPORTRANGE(
      ""1SCYQd7_cobOYqT0r_F0IqD4tE4rYn5y8Eup4PJTH8es"",
      ""Snapshot!A:M""
    ),
    5,
    FALSE
  ),
  ""-""
)
"),1.0)</f>
        <v>1</v>
      </c>
      <c r="AF152" s="54">
        <f>IFERROR(__xludf.DUMMYFUNCTION("IFERROR(
  VLOOKUP(
    A152,
    IMPORTRANGE(
      ""1SCYQd7_cobOYqT0r_F0IqD4tE4rYn5y8Eup4PJTH8es"",
      ""Snapshot!A:M""
    ),
    6,
    FALSE
  ),
  0
)
"),8.0)</f>
        <v>8</v>
      </c>
      <c r="AG152" s="54">
        <f>IFERROR(__xludf.DUMMYFUNCTION("IFERROR(
  VLOOKUP(
    A152,
    IMPORTRANGE(
      ""1SCYQd7_cobOYqT0r_F0IqD4tE4rYn5y8Eup4PJTH8es"",
      ""Snapshot!A:M""
    ),
    7,
    FALSE
  ),
  0
)
"),2080.0)</f>
        <v>2080</v>
      </c>
      <c r="AH152" s="54">
        <f>IFERROR(__xludf.DUMMYFUNCTION("IFERROR(
  VLOOKUP(
    A152,
    IMPORTRANGE(
      ""1SCYQd7_cobOYqT0r_F0IqD4tE4rYn5y8Eup4PJTH8es"",
      ""Snapshot!A:M""
    ),
    8,
    FALSE
  ),
  0
)
"),1.0)</f>
        <v>1</v>
      </c>
      <c r="AI152" s="54">
        <f>IFERROR(__xludf.DUMMYFUNCTION("IFERROR(
  VLOOKUP(
    A152,
    IMPORTRANGE(
      ""1SCYQd7_cobOYqT0r_F0IqD4tE4rYn5y8Eup4PJTH8es"",
      ""Snapshot!A:M""
    ),
    9,
    FALSE
  ),
  0
)
"),3.0)</f>
        <v>3</v>
      </c>
      <c r="AJ152" s="54">
        <f>IFERROR(__xludf.DUMMYFUNCTION("IFERROR(
  VLOOKUP(
    A152,
    IMPORTRANGE(
      ""1SCYQd7_cobOYqT0r_F0IqD4tE4rYn5y8Eup4PJTH8es"",
      ""Snapshot!A:M""
    ),
    13,
    FALSE
  ),
  0
)
"),3.0)</f>
        <v>3</v>
      </c>
      <c r="AK152" s="49">
        <f t="shared" ref="AK152:AL152" si="755">LEN(C152)</f>
        <v>71</v>
      </c>
      <c r="AL152" s="49">
        <f t="shared" si="755"/>
        <v>55</v>
      </c>
    </row>
    <row r="153">
      <c r="A153" s="56" t="s">
        <v>646</v>
      </c>
      <c r="B153" s="1" t="str">
        <f>IFERROR(__xludf.DUMMYFUNCTION("IFERROR(
  VLOOKUP(
    A153,
    IMPORTRANGE(
      ""1ZygntHC1J6IxzKbTidmOyf5nUyW4GCLurHCjexrLm_o"",
      ""HTMLキャッシュ!A:F""
    ),
    2,
    FALSE
  ),
  0
)
"),"MC")</f>
        <v>MC</v>
      </c>
      <c r="C153" s="1" t="str">
        <f>IFERROR(__xludf.DUMMYFUNCTION("IFERROR(
  VLOOKUP(
    A153,
    IMPORTRANGE(
      ""1ZygntHC1J6IxzKbTidmOyf5nUyW4GCLurHCjexrLm_o"",
      ""HTMLキャッシュ!A:F""
    ),
    5,
    FALSE
  ),
  0
)
"),"予習シリーズ小５上巻 第８回の要点解説 - 受験国語専門 読解ラボ東京 | 中学受験・大学受験対応の個別指導国語専門塾（オンライン・教室対応）")</f>
        <v>予習シリーズ小５上巻 第８回の要点解説 - 受験国語専門 読解ラボ東京 | 中学受験・大学受験対応の個別指導国語専門塾（オンライン・教室対応）</v>
      </c>
      <c r="D153" s="1" t="str">
        <f>IFERROR(__xludf.DUMMYFUNCTION("IFERROR(
  VLOOKUP(
    A153,
    IMPORTRANGE(
      ""1ZygntHC1J6IxzKbTidmOyf5nUyW4GCLurHCjexrLm_o        "",
      ""HTMLキャッシュ!A:F""
    ),
    6,
    FALSE
  ),
  0
)
"),"予習シリーズ 小5 上巻 第8回・発展問題 説明文 【解説まとめ】第8回は「空欄の直後」×「前後関係」で根拠を")</f>
        <v>予習シリーズ 小5 上巻 第8回・発展問題 説明文 【解説まとめ】第8回は「空欄の直後」×「前後関係」で根拠を</v>
      </c>
      <c r="E153" s="32">
        <f>IFERROR(__xludf.DUMMYFUNCTION("IFERROR(
  VLOOKUP(
    A153,
    IMPORTRANGE(
      ""1ZygntHC1J6IxzKbTidmOyf5nUyW4GCLurHCjexrLm_o        "",
      ""HTMLキャッシュ!A:F""
    ),
    3,
    FALSE
  ),
  0
)
"),46052.76898148148)</f>
        <v>46052.76898</v>
      </c>
      <c r="F153" s="49">
        <f>IFERROR(__xludf.DUMMYFUNCTION("IFERROR(
  VLOOKUP(
    A153,
    IMPORTRANGE(
      ""1ZHMy3vVUd_0MrSduXTe1etBb1HNpAlGwQr006ljwMiM"",
      ""GSC最新!A:F""
    ),
    2,
    FALSE
  ),
  0
)
"),0.0)</f>
        <v>0</v>
      </c>
      <c r="G153" s="49">
        <f>IFERROR(__xludf.DUMMYFUNCTION("IFERROR(
  VLOOKUP(
    A153,
    IMPORTRANGE(
      ""1ZHMy3vVUd_0MrSduXTe1etBb1HNpAlGwQr006ljwMiM"",
      ""GSC最新!A:F""
    ),
    3,
    FALSE
  ),
  0
)
"),0.0)</f>
        <v>0</v>
      </c>
      <c r="H153" s="49">
        <f>IFERROR(__xludf.DUMMYFUNCTION("IFERROR(
  VLOOKUP(
    A153,
    IMPORTRANGE(
      ""1ZHMy3vVUd_0MrSduXTe1etBb1HNpAlGwQr006ljwMiM"",
      ""GSC最新!A:F""
    ),
    4,
    FALSE
  ),
  0
)
"),0.0)</f>
        <v>0</v>
      </c>
      <c r="I153" s="49">
        <f>IFERROR(__xludf.DUMMYFUNCTION("IFERROR(
  VLOOKUP(
    A153,
    IMPORTRANGE(
      ""1ZHMy3vVUd_0MrSduXTe1etBb1HNpAlGwQr006ljwMiM"",
      ""GSC最新!A:F""
    ),
    5,
    FALSE
  ),
  0
)
"),0.0)</f>
        <v>0</v>
      </c>
      <c r="J153" s="50" t="str">
        <f t="shared" ref="J153:K153" si="756">IFERROR(F153/H153,"-")</f>
        <v>-</v>
      </c>
      <c r="K153" s="50" t="str">
        <f t="shared" si="756"/>
        <v>-</v>
      </c>
      <c r="L153" s="6">
        <f>IFERROR(__xludf.DUMMYFUNCTION("IFERROR(
  VLOOKUP(
    A153,
    IMPORTRANGE(
      ""1ZHMy3vVUd_0MrSduXTe1etBb1HNpAlGwQr006ljwMiM"",
      ""GSC最新!A:R""
    ),
    7,
    FALSE
  ),
  0
)
"),0.0)</f>
        <v>0</v>
      </c>
      <c r="M153" s="6">
        <f>IFERROR(__xludf.DUMMYFUNCTION("IFERROR(
  VLOOKUP(
    A153,
    IMPORTRANGE(
      ""1ZHMy3vVUd_0MrSduXTe1etBb1HNpAlGwQr006ljwMiM"",
      ""GSC最新!A:R""
    ),
    10,
    FALSE
  ),
  0
)
"),0.0)</f>
        <v>0</v>
      </c>
      <c r="N153" s="6">
        <f>IFERROR(__xludf.DUMMYFUNCTION("IFERROR(
  VLOOKUP(
    A153,
    IMPORTRANGE(
      ""1ZHMy3vVUd_0MrSduXTe1etBb1HNpAlGwQr006ljwMiM"",
      ""GSC最新!A:R""
    ),
    13,
    FALSE
  ),
  0
)
"),0.0)</f>
        <v>0</v>
      </c>
      <c r="O153" s="6">
        <f>IFERROR(__xludf.DUMMYFUNCTION("IFERROR(
  VLOOKUP(
    A153,
    IMPORTRANGE(
      ""1ZHMy3vVUd_0MrSduXTe1etBb1HNpAlGwQr006ljwMiM"",
      ""GSC最新!A:R""
    ),
    16,
    FALSE
  ),
  0
)
"),0.0)</f>
        <v>0</v>
      </c>
      <c r="P153" s="51" t="str">
        <f t="shared" ref="P153:Q153" si="757">IFERROR(L153/N153,"-")</f>
        <v>-</v>
      </c>
      <c r="Q153" s="51" t="str">
        <f t="shared" si="757"/>
        <v>-</v>
      </c>
      <c r="R153" s="9">
        <f>IFERROR(__xludf.DUMMYFUNCTION("IFERROR(
  VLOOKUP(
    A153,
    IMPORTRANGE(
      ""1ZHMy3vVUd_0MrSduXTe1etBb1HNpAlGwQr006ljwMiM"",
      ""GSC最新!A:R""
    ),
    8,
    FALSE
  ),
  0
)
"),0.0)</f>
        <v>0</v>
      </c>
      <c r="S153" s="9">
        <f>IFERROR(__xludf.DUMMYFUNCTION("IFERROR(
  VLOOKUP(
    A153,
    IMPORTRANGE(
      ""1ZHMy3vVUd_0MrSduXTe1etBb1HNpAlGwQr006ljwMiM"",
      ""GSC最新!A:R""
    ),
    11,
    FALSE
  ),
  0
)
"),0.0)</f>
        <v>0</v>
      </c>
      <c r="T153" s="9">
        <f>IFERROR(__xludf.DUMMYFUNCTION("IFERROR(
  VLOOKUP(
    A153,
    IMPORTRANGE(
      ""1ZHMy3vVUd_0MrSduXTe1etBb1HNpAlGwQr006ljwMiM"",
      ""GSC最新!A:R""
    ),
    14,
    FALSE
  ),
  0
)
"),0.0)</f>
        <v>0</v>
      </c>
      <c r="U153" s="9">
        <f>IFERROR(__xludf.DUMMYFUNCTION("IFERROR(
  VLOOKUP(
    A153,
    IMPORTRANGE(
      ""1ZHMy3vVUd_0MrSduXTe1etBb1HNpAlGwQr006ljwMiM"",
      ""GSC最新!A:R""
    ),
    17,
    FALSE
  ),
  0
)
"),0.0)</f>
        <v>0</v>
      </c>
      <c r="V153" s="9">
        <f t="shared" ref="V153:W153" si="758">IFERROR(R153-T153,"-")</f>
        <v>0</v>
      </c>
      <c r="W153" s="9">
        <f t="shared" si="758"/>
        <v>0</v>
      </c>
      <c r="X153" s="65" t="str">
        <f>IFERROR(__xludf.DUMMYFUNCTION("IFERROR(
  VLOOKUP(
    A153,
    IMPORTRANGE(
      ""1ZHMy3vVUd_0MrSduXTe1etBb1HNpAlGwQr006ljwMiM"",
      ""GSC最新!A:R""
    ),
    9,
    FALSE
  ),
  0
)
"),"")</f>
        <v/>
      </c>
      <c r="Y153" s="65" t="str">
        <f>IFERROR(__xludf.DUMMYFUNCTION("IFERROR(
  VLOOKUP(
    A153,
    IMPORTRANGE(
      ""1ZHMy3vVUd_0MrSduXTe1etBb1HNpAlGwQr006ljwMiM"",
      ""GSC最新!A:R""
    ),
    12,
    FALSE
  ),
  0
)
"),"")</f>
        <v/>
      </c>
      <c r="Z153" s="65" t="str">
        <f>IFERROR(__xludf.DUMMYFUNCTION("IFERROR(
  VLOOKUP(
    A153,
    IMPORTRANGE(
      ""1ZHMy3vVUd_0MrSduXTe1etBb1HNpAlGwQr006ljwMiM"",
      ""GSC最新!A:R""
    ),
    15,
    FALSE
  ),
  0
)
"),"")</f>
        <v/>
      </c>
      <c r="AA153" s="65" t="str">
        <f>IFERROR(__xludf.DUMMYFUNCTION("IFERROR(
  VLOOKUP(
    A153,
    IMPORTRANGE(
      ""1ZHMy3vVUd_0MrSduXTe1etBb1HNpAlGwQr006ljwMiM"",
      ""GSC最新!A:R""
    ),
    18,
    FALSE
  ),
  0
)
"),"")</f>
        <v/>
      </c>
      <c r="AB153" s="65">
        <f t="shared" ref="AB153:AC153" si="759">X153-Z153</f>
        <v>0</v>
      </c>
      <c r="AC153" s="65">
        <f t="shared" si="759"/>
        <v>0</v>
      </c>
      <c r="AD153" s="53">
        <f>IFERROR(__xludf.DUMMYFUNCTION("IFERROR(
  VLOOKUP(
    A153,
    IMPORTRANGE(
      ""1ZHMy3vVUd_0MrSduXTe1etBb1HNpAlGwQr006ljwMiM"",
      ""GSC最新!A:F""
    ),
    6,
    FALSE
  ),
  0
)
"),46081.0)</f>
        <v>46081</v>
      </c>
      <c r="AE153" s="54">
        <f>IFERROR(__xludf.DUMMYFUNCTION("IFERROR(
  VLOOKUP(
    A153,
    IMPORTRANGE(
      ""1SCYQd7_cobOYqT0r_F0IqD4tE4rYn5y8Eup4PJTH8es"",
      ""Snapshot!A:M""
    ),
    5,
    FALSE
  ),
  ""-""
)
"),1.0)</f>
        <v>1</v>
      </c>
      <c r="AF153" s="54">
        <f>IFERROR(__xludf.DUMMYFUNCTION("IFERROR(
  VLOOKUP(
    A153,
    IMPORTRANGE(
      ""1SCYQd7_cobOYqT0r_F0IqD4tE4rYn5y8Eup4PJTH8es"",
      ""Snapshot!A:M""
    ),
    6,
    FALSE
  ),
  0
)
"),8.0)</f>
        <v>8</v>
      </c>
      <c r="AG153" s="54">
        <f>IFERROR(__xludf.DUMMYFUNCTION("IFERROR(
  VLOOKUP(
    A153,
    IMPORTRANGE(
      ""1SCYQd7_cobOYqT0r_F0IqD4tE4rYn5y8Eup4PJTH8es"",
      ""Snapshot!A:M""
    ),
    7,
    FALSE
  ),
  0
)
"),2636.0)</f>
        <v>2636</v>
      </c>
      <c r="AH153" s="54">
        <f>IFERROR(__xludf.DUMMYFUNCTION("IFERROR(
  VLOOKUP(
    A153,
    IMPORTRANGE(
      ""1SCYQd7_cobOYqT0r_F0IqD4tE4rYn5y8Eup4PJTH8es"",
      ""Snapshot!A:M""
    ),
    8,
    FALSE
  ),
  0
)
"),2.0)</f>
        <v>2</v>
      </c>
      <c r="AI153" s="54">
        <f>IFERROR(__xludf.DUMMYFUNCTION("IFERROR(
  VLOOKUP(
    A153,
    IMPORTRANGE(
      ""1SCYQd7_cobOYqT0r_F0IqD4tE4rYn5y8Eup4PJTH8es"",
      ""Snapshot!A:M""
    ),
    9,
    FALSE
  ),
  0
)
"),3.0)</f>
        <v>3</v>
      </c>
      <c r="AJ153" s="54">
        <f>IFERROR(__xludf.DUMMYFUNCTION("IFERROR(
  VLOOKUP(
    A153,
    IMPORTRANGE(
      ""1SCYQd7_cobOYqT0r_F0IqD4tE4rYn5y8Eup4PJTH8es"",
      ""Snapshot!A:M""
    ),
    13,
    FALSE
  ),
  0
)
"),3.0)</f>
        <v>3</v>
      </c>
      <c r="AK153" s="49">
        <f t="shared" ref="AK153:AL153" si="760">LEN(C153)</f>
        <v>71</v>
      </c>
      <c r="AL153" s="49">
        <f t="shared" si="760"/>
        <v>55</v>
      </c>
    </row>
    <row r="154">
      <c r="A154" s="56" t="s">
        <v>647</v>
      </c>
      <c r="B154" s="1" t="str">
        <f>IFERROR(__xludf.DUMMYFUNCTION("IFERROR(
  VLOOKUP(
    A154,
    IMPORTRANGE(
      ""1ZygntHC1J6IxzKbTidmOyf5nUyW4GCLurHCjexrLm_o"",
      ""HTMLキャッシュ!A:F""
    ),
    2,
    FALSE
  ),
  0
)
"),"MC")</f>
        <v>MC</v>
      </c>
      <c r="C154" s="1" t="str">
        <f>IFERROR(__xludf.DUMMYFUNCTION("IFERROR(
  VLOOKUP(
    A154,
    IMPORTRANGE(
      ""1ZygntHC1J6IxzKbTidmOyf5nUyW4GCLurHCjexrLm_o"",
      ""HTMLキャッシュ!A:F""
    ),
    5,
    FALSE
  ),
  0
)
"),"予習シリーズ小５上巻 第９回の要点解説 - 受験国語専門 読解ラボ東京 | 中学受験・大学受験対応の個別指導国語専門塾（オンライン・教室対応）")</f>
        <v>予習シリーズ小５上巻 第９回の要点解説 - 受験国語専門 読解ラボ東京 | 中学受験・大学受験対応の個別指導国語専門塾（オンライン・教室対応）</v>
      </c>
      <c r="D154" s="1" t="str">
        <f>IFERROR(__xludf.DUMMYFUNCTION("IFERROR(
  VLOOKUP(
    A154,
    IMPORTRANGE(
      ""1ZygntHC1J6IxzKbTidmOyf5nUyW4GCLurHCjexrLm_o        "",
      ""HTMLキャッシュ!A:F""
    ),
    6,
    FALSE
  ),
  0
)
"),"予習シリーズ 小5 上巻 第9回 発展問題 【解説まとめ】根拠は「前後」と「段落役割」で決める 受験国語専門「")</f>
        <v>予習シリーズ 小5 上巻 第9回 発展問題 【解説まとめ】根拠は「前後」と「段落役割」で決める 受験国語専門「</v>
      </c>
      <c r="E154" s="32">
        <f>IFERROR(__xludf.DUMMYFUNCTION("IFERROR(
  VLOOKUP(
    A154,
    IMPORTRANGE(
      ""1ZygntHC1J6IxzKbTidmOyf5nUyW4GCLurHCjexrLm_o        "",
      ""HTMLキャッシュ!A:F""
    ),
    3,
    FALSE
  ),
  0
)
"),46076.75525462963)</f>
        <v>46076.75525</v>
      </c>
      <c r="F154" s="49">
        <f>IFERROR(__xludf.DUMMYFUNCTION("IFERROR(
  VLOOKUP(
    A154,
    IMPORTRANGE(
      ""1ZHMy3vVUd_0MrSduXTe1etBb1HNpAlGwQr006ljwMiM"",
      ""GSC最新!A:F""
    ),
    2,
    FALSE
  ),
  0
)
"),0.0)</f>
        <v>0</v>
      </c>
      <c r="G154" s="49">
        <f>IFERROR(__xludf.DUMMYFUNCTION("IFERROR(
  VLOOKUP(
    A154,
    IMPORTRANGE(
      ""1ZHMy3vVUd_0MrSduXTe1etBb1HNpAlGwQr006ljwMiM"",
      ""GSC最新!A:F""
    ),
    3,
    FALSE
  ),
  0
)
"),0.0)</f>
        <v>0</v>
      </c>
      <c r="H154" s="49">
        <f>IFERROR(__xludf.DUMMYFUNCTION("IFERROR(
  VLOOKUP(
    A154,
    IMPORTRANGE(
      ""1ZHMy3vVUd_0MrSduXTe1etBb1HNpAlGwQr006ljwMiM"",
      ""GSC最新!A:F""
    ),
    4,
    FALSE
  ),
  0
)
"),0.0)</f>
        <v>0</v>
      </c>
      <c r="I154" s="49">
        <f>IFERROR(__xludf.DUMMYFUNCTION("IFERROR(
  VLOOKUP(
    A154,
    IMPORTRANGE(
      ""1ZHMy3vVUd_0MrSduXTe1etBb1HNpAlGwQr006ljwMiM"",
      ""GSC最新!A:F""
    ),
    5,
    FALSE
  ),
  0
)
"),0.0)</f>
        <v>0</v>
      </c>
      <c r="J154" s="50" t="str">
        <f t="shared" ref="J154:K154" si="761">IFERROR(F154/H154,"-")</f>
        <v>-</v>
      </c>
      <c r="K154" s="50" t="str">
        <f t="shared" si="761"/>
        <v>-</v>
      </c>
      <c r="L154" s="6">
        <f>IFERROR(__xludf.DUMMYFUNCTION("IFERROR(
  VLOOKUP(
    A154,
    IMPORTRANGE(
      ""1ZHMy3vVUd_0MrSduXTe1etBb1HNpAlGwQr006ljwMiM"",
      ""GSC最新!A:R""
    ),
    7,
    FALSE
  ),
  0
)
"),0.0)</f>
        <v>0</v>
      </c>
      <c r="M154" s="6">
        <f>IFERROR(__xludf.DUMMYFUNCTION("IFERROR(
  VLOOKUP(
    A154,
    IMPORTRANGE(
      ""1ZHMy3vVUd_0MrSduXTe1etBb1HNpAlGwQr006ljwMiM"",
      ""GSC最新!A:R""
    ),
    10,
    FALSE
  ),
  0
)
"),0.0)</f>
        <v>0</v>
      </c>
      <c r="N154" s="6">
        <f>IFERROR(__xludf.DUMMYFUNCTION("IFERROR(
  VLOOKUP(
    A154,
    IMPORTRANGE(
      ""1ZHMy3vVUd_0MrSduXTe1etBb1HNpAlGwQr006ljwMiM"",
      ""GSC最新!A:R""
    ),
    13,
    FALSE
  ),
  0
)
"),0.0)</f>
        <v>0</v>
      </c>
      <c r="O154" s="6">
        <f>IFERROR(__xludf.DUMMYFUNCTION("IFERROR(
  VLOOKUP(
    A154,
    IMPORTRANGE(
      ""1ZHMy3vVUd_0MrSduXTe1etBb1HNpAlGwQr006ljwMiM"",
      ""GSC最新!A:R""
    ),
    16,
    FALSE
  ),
  0
)
"),0.0)</f>
        <v>0</v>
      </c>
      <c r="P154" s="51" t="str">
        <f t="shared" ref="P154:Q154" si="762">IFERROR(L154/N154,"-")</f>
        <v>-</v>
      </c>
      <c r="Q154" s="51" t="str">
        <f t="shared" si="762"/>
        <v>-</v>
      </c>
      <c r="R154" s="9">
        <f>IFERROR(__xludf.DUMMYFUNCTION("IFERROR(
  VLOOKUP(
    A154,
    IMPORTRANGE(
      ""1ZHMy3vVUd_0MrSduXTe1etBb1HNpAlGwQr006ljwMiM"",
      ""GSC最新!A:R""
    ),
    8,
    FALSE
  ),
  0
)
"),0.0)</f>
        <v>0</v>
      </c>
      <c r="S154" s="9">
        <f>IFERROR(__xludf.DUMMYFUNCTION("IFERROR(
  VLOOKUP(
    A154,
    IMPORTRANGE(
      ""1ZHMy3vVUd_0MrSduXTe1etBb1HNpAlGwQr006ljwMiM"",
      ""GSC最新!A:R""
    ),
    11,
    FALSE
  ),
  0
)
"),0.0)</f>
        <v>0</v>
      </c>
      <c r="T154" s="9">
        <f>IFERROR(__xludf.DUMMYFUNCTION("IFERROR(
  VLOOKUP(
    A154,
    IMPORTRANGE(
      ""1ZHMy3vVUd_0MrSduXTe1etBb1HNpAlGwQr006ljwMiM"",
      ""GSC最新!A:R""
    ),
    14,
    FALSE
  ),
  0
)
"),0.0)</f>
        <v>0</v>
      </c>
      <c r="U154" s="9">
        <f>IFERROR(__xludf.DUMMYFUNCTION("IFERROR(
  VLOOKUP(
    A154,
    IMPORTRANGE(
      ""1ZHMy3vVUd_0MrSduXTe1etBb1HNpAlGwQr006ljwMiM"",
      ""GSC最新!A:R""
    ),
    17,
    FALSE
  ),
  0
)
"),0.0)</f>
        <v>0</v>
      </c>
      <c r="V154" s="9">
        <f t="shared" ref="V154:W154" si="763">IFERROR(R154-T154,"-")</f>
        <v>0</v>
      </c>
      <c r="W154" s="9">
        <f t="shared" si="763"/>
        <v>0</v>
      </c>
      <c r="X154" s="65" t="str">
        <f>IFERROR(__xludf.DUMMYFUNCTION("IFERROR(
  VLOOKUP(
    A154,
    IMPORTRANGE(
      ""1ZHMy3vVUd_0MrSduXTe1etBb1HNpAlGwQr006ljwMiM"",
      ""GSC最新!A:R""
    ),
    9,
    FALSE
  ),
  0
)
"),"")</f>
        <v/>
      </c>
      <c r="Y154" s="65" t="str">
        <f>IFERROR(__xludf.DUMMYFUNCTION("IFERROR(
  VLOOKUP(
    A154,
    IMPORTRANGE(
      ""1ZHMy3vVUd_0MrSduXTe1etBb1HNpAlGwQr006ljwMiM"",
      ""GSC最新!A:R""
    ),
    12,
    FALSE
  ),
  0
)
"),"")</f>
        <v/>
      </c>
      <c r="Z154" s="65" t="str">
        <f>IFERROR(__xludf.DUMMYFUNCTION("IFERROR(
  VLOOKUP(
    A154,
    IMPORTRANGE(
      ""1ZHMy3vVUd_0MrSduXTe1etBb1HNpAlGwQr006ljwMiM"",
      ""GSC最新!A:R""
    ),
    15,
    FALSE
  ),
  0
)
"),"")</f>
        <v/>
      </c>
      <c r="AA154" s="65" t="str">
        <f>IFERROR(__xludf.DUMMYFUNCTION("IFERROR(
  VLOOKUP(
    A154,
    IMPORTRANGE(
      ""1ZHMy3vVUd_0MrSduXTe1etBb1HNpAlGwQr006ljwMiM"",
      ""GSC最新!A:R""
    ),
    18,
    FALSE
  ),
  0
)
"),"")</f>
        <v/>
      </c>
      <c r="AB154" s="65">
        <f t="shared" ref="AB154:AC154" si="764">X154-Z154</f>
        <v>0</v>
      </c>
      <c r="AC154" s="65">
        <f t="shared" si="764"/>
        <v>0</v>
      </c>
      <c r="AD154" s="53">
        <f>IFERROR(__xludf.DUMMYFUNCTION("IFERROR(
  VLOOKUP(
    A154,
    IMPORTRANGE(
      ""1ZHMy3vVUd_0MrSduXTe1etBb1HNpAlGwQr006ljwMiM"",
      ""GSC最新!A:F""
    ),
    6,
    FALSE
  ),
  0
)
"),46081.0)</f>
        <v>46081</v>
      </c>
      <c r="AE154" s="54">
        <f>IFERROR(__xludf.DUMMYFUNCTION("IFERROR(
  VLOOKUP(
    A154,
    IMPORTRANGE(
      ""1SCYQd7_cobOYqT0r_F0IqD4tE4rYn5y8Eup4PJTH8es"",
      ""Snapshot!A:M""
    ),
    5,
    FALSE
  ),
  ""-""
)
"),1.0)</f>
        <v>1</v>
      </c>
      <c r="AF154" s="54">
        <f>IFERROR(__xludf.DUMMYFUNCTION("IFERROR(
  VLOOKUP(
    A154,
    IMPORTRANGE(
      ""1SCYQd7_cobOYqT0r_F0IqD4tE4rYn5y8Eup4PJTH8es"",
      ""Snapshot!A:M""
    ),
    6,
    FALSE
  ),
  0
)
"),8.0)</f>
        <v>8</v>
      </c>
      <c r="AG154" s="54">
        <f>IFERROR(__xludf.DUMMYFUNCTION("IFERROR(
  VLOOKUP(
    A154,
    IMPORTRANGE(
      ""1SCYQd7_cobOYqT0r_F0IqD4tE4rYn5y8Eup4PJTH8es"",
      ""Snapshot!A:M""
    ),
    7,
    FALSE
  ),
  0
)
"),1127.0)</f>
        <v>1127</v>
      </c>
      <c r="AH154" s="54">
        <f>IFERROR(__xludf.DUMMYFUNCTION("IFERROR(
  VLOOKUP(
    A154,
    IMPORTRANGE(
      ""1SCYQd7_cobOYqT0r_F0IqD4tE4rYn5y8Eup4PJTH8es"",
      ""Snapshot!A:M""
    ),
    8,
    FALSE
  ),
  0
)
"),1.0)</f>
        <v>1</v>
      </c>
      <c r="AI154" s="54">
        <f>IFERROR(__xludf.DUMMYFUNCTION("IFERROR(
  VLOOKUP(
    A154,
    IMPORTRANGE(
      ""1SCYQd7_cobOYqT0r_F0IqD4tE4rYn5y8Eup4PJTH8es"",
      ""Snapshot!A:M""
    ),
    9,
    FALSE
  ),
  0
)
"),3.0)</f>
        <v>3</v>
      </c>
      <c r="AJ154" s="54">
        <f>IFERROR(__xludf.DUMMYFUNCTION("IFERROR(
  VLOOKUP(
    A154,
    IMPORTRANGE(
      ""1SCYQd7_cobOYqT0r_F0IqD4tE4rYn5y8Eup4PJTH8es"",
      ""Snapshot!A:M""
    ),
    13,
    FALSE
  ),
  0
)
"),3.0)</f>
        <v>3</v>
      </c>
      <c r="AK154" s="49">
        <f t="shared" ref="AK154:AL154" si="765">LEN(C154)</f>
        <v>71</v>
      </c>
      <c r="AL154" s="49">
        <f t="shared" si="765"/>
        <v>55</v>
      </c>
    </row>
    <row r="155">
      <c r="A155" s="3" t="s">
        <v>648</v>
      </c>
      <c r="B155" s="1" t="str">
        <f>IFERROR(__xludf.DUMMYFUNCTION("IFERROR(
  VLOOKUP(
    A155,
    IMPORTRANGE(
      ""1ZygntHC1J6IxzKbTidmOyf5nUyW4GCLurHCjexrLm_o"",
      ""HTMLキャッシュ!A:F""
    ),
    2,
    FALSE
  ),
  0
)
"),"SC")</f>
        <v>SC</v>
      </c>
      <c r="C155" s="1" t="str">
        <f>IFERROR(__xludf.DUMMYFUNCTION("IFERROR(
  VLOOKUP(
    A155,
    IMPORTRANGE(
      ""1ZygntHC1J6IxzKbTidmOyf5nUyW4GCLurHCjexrLm_o"",
      ""HTMLキャッシュ!A:F""
    ),
    5,
    FALSE
  ),
  0
)
"),"読解ラボ東京のオンライン個別指導が選ばれる理由 - 受験国語専門 読解ラボ東京 | 中学受験・大学受験対応の個別指導国語専門塾（オンライン・教室対応）")</f>
        <v>読解ラボ東京のオンライン個別指導が選ばれる理由 - 受験国語専門 読解ラボ東京 | 中学受験・大学受験対応の個別指導国語専門塾（オンライン・教室対応）</v>
      </c>
      <c r="D155" s="1" t="str">
        <f>IFERROR(__xludf.DUMMYFUNCTION("IFERROR(
  VLOOKUP(
    A155,
    IMPORTRANGE(
      ""1ZygntHC1J6IxzKbTidmOyf5nUyW4GCLurHCjexrLm_o        "",
      ""HTMLキャッシュ!A:F""
    ),
    6,
    FALSE
  ),
  0
)
"),"読解ラボ東京のオンライン個別指導は、完全1対1の中学受験国語専門。本文の線引き・設問処理・記述の書き換えから過去問・志望校別対策までオンラインで完結させたい方へ。")</f>
        <v>読解ラボ東京のオンライン個別指導は、完全1対1の中学受験国語専門。本文の線引き・設問処理・記述の書き換えから過去問・志望校別対策までオンラインで完結させたい方へ。</v>
      </c>
      <c r="E155" s="32">
        <f>IFERROR(__xludf.DUMMYFUNCTION("IFERROR(
  VLOOKUP(
    A155,
    IMPORTRANGE(
      ""1ZygntHC1J6IxzKbTidmOyf5nUyW4GCLurHCjexrLm_o        "",
      ""HTMLキャッシュ!A:F""
    ),
    3,
    FALSE
  ),
  0
)
"),46069.65069444444)</f>
        <v>46069.65069</v>
      </c>
      <c r="F155" s="49">
        <f>IFERROR(__xludf.DUMMYFUNCTION("IFERROR(
  VLOOKUP(
    A155,
    IMPORTRANGE(
      ""1ZHMy3vVUd_0MrSduXTe1etBb1HNpAlGwQr006ljwMiM"",
      ""GSC最新!A:F""
    ),
    2,
    FALSE
  ),
  0
)
"),0.0)</f>
        <v>0</v>
      </c>
      <c r="G155" s="49">
        <f>IFERROR(__xludf.DUMMYFUNCTION("IFERROR(
  VLOOKUP(
    A155,
    IMPORTRANGE(
      ""1ZHMy3vVUd_0MrSduXTe1etBb1HNpAlGwQr006ljwMiM"",
      ""GSC最新!A:F""
    ),
    3,
    FALSE
  ),
  0
)
"),0.0)</f>
        <v>0</v>
      </c>
      <c r="H155" s="49">
        <f>IFERROR(__xludf.DUMMYFUNCTION("IFERROR(
  VLOOKUP(
    A155,
    IMPORTRANGE(
      ""1ZHMy3vVUd_0MrSduXTe1etBb1HNpAlGwQr006ljwMiM"",
      ""GSC最新!A:F""
    ),
    4,
    FALSE
  ),
  0
)
"),0.0)</f>
        <v>0</v>
      </c>
      <c r="I155" s="49">
        <f>IFERROR(__xludf.DUMMYFUNCTION("IFERROR(
  VLOOKUP(
    A155,
    IMPORTRANGE(
      ""1ZHMy3vVUd_0MrSduXTe1etBb1HNpAlGwQr006ljwMiM"",
      ""GSC最新!A:F""
    ),
    5,
    FALSE
  ),
  0
)
"),0.0)</f>
        <v>0</v>
      </c>
      <c r="J155" s="50" t="str">
        <f t="shared" ref="J155:K155" si="766">IFERROR(F155/H155,"-")</f>
        <v>-</v>
      </c>
      <c r="K155" s="50" t="str">
        <f t="shared" si="766"/>
        <v>-</v>
      </c>
      <c r="L155" s="6">
        <f>IFERROR(__xludf.DUMMYFUNCTION("IFERROR(
  VLOOKUP(
    A155,
    IMPORTRANGE(
      ""1ZHMy3vVUd_0MrSduXTe1etBb1HNpAlGwQr006ljwMiM"",
      ""GSC最新!A:R""
    ),
    7,
    FALSE
  ),
  0
)
"),2.0)</f>
        <v>2</v>
      </c>
      <c r="M155" s="6">
        <f>IFERROR(__xludf.DUMMYFUNCTION("IFERROR(
  VLOOKUP(
    A155,
    IMPORTRANGE(
      ""1ZHMy3vVUd_0MrSduXTe1etBb1HNpAlGwQr006ljwMiM"",
      ""GSC最新!A:R""
    ),
    10,
    FALSE
  ),
  0
)
"),18.0)</f>
        <v>18</v>
      </c>
      <c r="N155" s="6">
        <f>IFERROR(__xludf.DUMMYFUNCTION("IFERROR(
  VLOOKUP(
    A155,
    IMPORTRANGE(
      ""1ZHMy3vVUd_0MrSduXTe1etBb1HNpAlGwQr006ljwMiM"",
      ""GSC最新!A:R""
    ),
    13,
    FALSE
  ),
  0
)
"),0.0)</f>
        <v>0</v>
      </c>
      <c r="O155" s="6">
        <f>IFERROR(__xludf.DUMMYFUNCTION("IFERROR(
  VLOOKUP(
    A155,
    IMPORTRANGE(
      ""1ZHMy3vVUd_0MrSduXTe1etBb1HNpAlGwQr006ljwMiM"",
      ""GSC最新!A:R""
    ),
    16,
    FALSE
  ),
  0
)
"),0.0)</f>
        <v>0</v>
      </c>
      <c r="P155" s="51" t="str">
        <f t="shared" ref="P155:Q155" si="767">IFERROR(L155/N155,"-")</f>
        <v>-</v>
      </c>
      <c r="Q155" s="51" t="str">
        <f t="shared" si="767"/>
        <v>-</v>
      </c>
      <c r="R155" s="9">
        <f>IFERROR(__xludf.DUMMYFUNCTION("IFERROR(
  VLOOKUP(
    A155,
    IMPORTRANGE(
      ""1ZHMy3vVUd_0MrSduXTe1etBb1HNpAlGwQr006ljwMiM"",
      ""GSC最新!A:R""
    ),
    8,
    FALSE
  ),
  0
)
"),0.0)</f>
        <v>0</v>
      </c>
      <c r="S155" s="9">
        <f>IFERROR(__xludf.DUMMYFUNCTION("IFERROR(
  VLOOKUP(
    A155,
    IMPORTRANGE(
      ""1ZHMy3vVUd_0MrSduXTe1etBb1HNpAlGwQr006ljwMiM"",
      ""GSC最新!A:R""
    ),
    11,
    FALSE
  ),
  0
)
"),0.0)</f>
        <v>0</v>
      </c>
      <c r="T155" s="9">
        <f>IFERROR(__xludf.DUMMYFUNCTION("IFERROR(
  VLOOKUP(
    A155,
    IMPORTRANGE(
      ""1ZHMy3vVUd_0MrSduXTe1etBb1HNpAlGwQr006ljwMiM"",
      ""GSC最新!A:R""
    ),
    14,
    FALSE
  ),
  0
)
"),0.0)</f>
        <v>0</v>
      </c>
      <c r="U155" s="9">
        <f>IFERROR(__xludf.DUMMYFUNCTION("IFERROR(
  VLOOKUP(
    A155,
    IMPORTRANGE(
      ""1ZHMy3vVUd_0MrSduXTe1etBb1HNpAlGwQr006ljwMiM"",
      ""GSC最新!A:R""
    ),
    17,
    FALSE
  ),
  0
)
"),0.0)</f>
        <v>0</v>
      </c>
      <c r="V155" s="9">
        <f t="shared" ref="V155:W155" si="768">IFERROR(R155-T155,"-")</f>
        <v>0</v>
      </c>
      <c r="W155" s="9">
        <f t="shared" si="768"/>
        <v>0</v>
      </c>
      <c r="X155" s="65">
        <f>IFERROR(__xludf.DUMMYFUNCTION("IFERROR(
  VLOOKUP(
    A155,
    IMPORTRANGE(
      ""1ZHMy3vVUd_0MrSduXTe1etBb1HNpAlGwQr006ljwMiM"",
      ""GSC最新!A:R""
    ),
    9,
    FALSE
  ),
  0
)
"),2.5)</f>
        <v>2.5</v>
      </c>
      <c r="Y155" s="65">
        <f>IFERROR(__xludf.DUMMYFUNCTION("IFERROR(
  VLOOKUP(
    A155,
    IMPORTRANGE(
      ""1ZHMy3vVUd_0MrSduXTe1etBb1HNpAlGwQr006ljwMiM"",
      ""GSC最新!A:R""
    ),
    12,
    FALSE
  ),
  0
)
"),10.444444444444445)</f>
        <v>10.44444444</v>
      </c>
      <c r="Z155" s="65" t="str">
        <f>IFERROR(__xludf.DUMMYFUNCTION("IFERROR(
  VLOOKUP(
    A155,
    IMPORTRANGE(
      ""1ZHMy3vVUd_0MrSduXTe1etBb1HNpAlGwQr006ljwMiM"",
      ""GSC最新!A:R""
    ),
    15,
    FALSE
  ),
  0
)
"),"")</f>
        <v/>
      </c>
      <c r="AA155" s="65" t="str">
        <f>IFERROR(__xludf.DUMMYFUNCTION("IFERROR(
  VLOOKUP(
    A155,
    IMPORTRANGE(
      ""1ZHMy3vVUd_0MrSduXTe1etBb1HNpAlGwQr006ljwMiM"",
      ""GSC最新!A:R""
    ),
    18,
    FALSE
  ),
  0
)
"),"")</f>
        <v/>
      </c>
      <c r="AB155" s="65">
        <f t="shared" ref="AB155:AC155" si="769">X155-Z155</f>
        <v>2.5</v>
      </c>
      <c r="AC155" s="65">
        <f t="shared" si="769"/>
        <v>10.44444444</v>
      </c>
      <c r="AD155" s="53">
        <f>IFERROR(__xludf.DUMMYFUNCTION("IFERROR(
  VLOOKUP(
    A155,
    IMPORTRANGE(
      ""1ZHMy3vVUd_0MrSduXTe1etBb1HNpAlGwQr006ljwMiM"",
      ""GSC最新!A:F""
    ),
    6,
    FALSE
  ),
  0
)
"),46081.0)</f>
        <v>46081</v>
      </c>
      <c r="AE155" s="54">
        <f>IFERROR(__xludf.DUMMYFUNCTION("IFERROR(
  VLOOKUP(
    A155,
    IMPORTRANGE(
      ""1SCYQd7_cobOYqT0r_F0IqD4tE4rYn5y8Eup4PJTH8es"",
      ""Snapshot!A:M""
    ),
    5,
    FALSE
  ),
  ""-""
)
"),11.0)</f>
        <v>11</v>
      </c>
      <c r="AF155" s="54">
        <f>IFERROR(__xludf.DUMMYFUNCTION("IFERROR(
  VLOOKUP(
    A155,
    IMPORTRANGE(
      ""1SCYQd7_cobOYqT0r_F0IqD4tE4rYn5y8Eup4PJTH8es"",
      ""Snapshot!A:M""
    ),
    6,
    FALSE
  ),
  0
)
"),17.0)</f>
        <v>17</v>
      </c>
      <c r="AG155" s="54">
        <f>IFERROR(__xludf.DUMMYFUNCTION("IFERROR(
  VLOOKUP(
    A155,
    IMPORTRANGE(
      ""1SCYQd7_cobOYqT0r_F0IqD4tE4rYn5y8Eup4PJTH8es"",
      ""Snapshot!A:M""
    ),
    7,
    FALSE
  ),
  0
)
"),7591.0)</f>
        <v>7591</v>
      </c>
      <c r="AH155" s="54">
        <f>IFERROR(__xludf.DUMMYFUNCTION("IFERROR(
  VLOOKUP(
    A155,
    IMPORTRANGE(
      ""1SCYQd7_cobOYqT0r_F0IqD4tE4rYn5y8Eup4PJTH8es"",
      ""Snapshot!A:M""
    ),
    8,
    FALSE
  ),
  0
)
"),2.0)</f>
        <v>2</v>
      </c>
      <c r="AI155" s="54">
        <f>IFERROR(__xludf.DUMMYFUNCTION("IFERROR(
  VLOOKUP(
    A155,
    IMPORTRANGE(
      ""1SCYQd7_cobOYqT0r_F0IqD4tE4rYn5y8Eup4PJTH8es"",
      ""Snapshot!A:M""
    ),
    9,
    FALSE
  ),
  0
)
"),1.0)</f>
        <v>1</v>
      </c>
      <c r="AJ155" s="54">
        <f>IFERROR(__xludf.DUMMYFUNCTION("IFERROR(
  VLOOKUP(
    A155,
    IMPORTRANGE(
      ""1SCYQd7_cobOYqT0r_F0IqD4tE4rYn5y8Eup4PJTH8es"",
      ""Snapshot!A:M""
    ),
    13,
    FALSE
  ),
  0
)
"),3.0)</f>
        <v>3</v>
      </c>
      <c r="AK155" s="49">
        <f t="shared" ref="AK155:AL155" si="770">LEN(C155)</f>
        <v>75</v>
      </c>
      <c r="AL155" s="49">
        <f t="shared" si="770"/>
        <v>81</v>
      </c>
    </row>
    <row r="156">
      <c r="A156" s="56" t="s">
        <v>649</v>
      </c>
      <c r="B156" s="1" t="str">
        <f>IFERROR(__xludf.DUMMYFUNCTION("IFERROR(
  VLOOKUP(
    A156,
    IMPORTRANGE(
      ""1ZygntHC1J6IxzKbTidmOyf5nUyW4GCLurHCjexrLm_o"",
      ""HTMLキャッシュ!A:F""
    ),
    2,
    FALSE
  ),
  0
)
"),"SC")</f>
        <v>SC</v>
      </c>
      <c r="C156" s="1" t="str">
        <f>IFERROR(__xludf.DUMMYFUNCTION("IFERROR(
  VLOOKUP(
    A156,
    IMPORTRANGE(
      ""1ZygntHC1J6IxzKbTidmOyf5nUyW4GCLurHCjexrLm_o"",
      ""HTMLキャッシュ!A:F""
    ),
    5,
    FALSE
  ),
  0
)
"),"語彙が弱い子のためのオンライン記述強化法 - 受験国語専門 読解ラボ東京 | 中学受験・大学受験対応の個別指導国語専門塾（オンライン・教室対応）")</f>
        <v>語彙が弱い子のためのオンライン記述強化法 - 受験国語専門 読解ラボ東京 | 中学受験・大学受験対応の個別指導国語専門塾（オンライン・教室対応）</v>
      </c>
      <c r="D156" s="1" t="str">
        <f>IFERROR(__xludf.DUMMYFUNCTION("IFERROR(
  VLOOKUP(
    A156,
    IMPORTRANGE(
      ""1ZygntHC1J6IxzKbTidmOyf5nUyW4GCLurHCjexrLm_o        "",
      ""HTMLキャッシュ!A:F""
    ),
    6,
    FALSE
  ),
  0
)
"),"語彙が弱い子は、内容は分かっていても記述になると言葉が出ず、理由や根拠が薄い答案になりがちです。本記事では本文語彙の回収、類義語整理、語彙→理由→根拠で書く手順を解説。オンライン国語個別での記述強化法と過去問へのつなげ方も紹介します。")</f>
        <v>語彙が弱い子は、内容は分かっていても記述になると言葉が出ず、理由や根拠が薄い答案になりがちです。本記事では本文語彙の回収、類義語整理、語彙→理由→根拠で書く手順を解説。オンライン国語個別での記述強化法と過去問へのつなげ方も紹介します。</v>
      </c>
      <c r="E156" s="32">
        <f>IFERROR(__xludf.DUMMYFUNCTION("IFERROR(
  VLOOKUP(
    A156,
    IMPORTRANGE(
      ""1ZygntHC1J6IxzKbTidmOyf5nUyW4GCLurHCjexrLm_o        "",
      ""HTMLキャッシュ!A:F""
    ),
    3,
    FALSE
  ),
  0
)
"),46080.832766203705)</f>
        <v>46080.83277</v>
      </c>
      <c r="F156" s="49">
        <f>IFERROR(__xludf.DUMMYFUNCTION("IFERROR(
  VLOOKUP(
    A156,
    IMPORTRANGE(
      ""1ZHMy3vVUd_0MrSduXTe1etBb1HNpAlGwQr006ljwMiM"",
      ""GSC最新!A:F""
    ),
    2,
    FALSE
  ),
  0
)
"),0.0)</f>
        <v>0</v>
      </c>
      <c r="G156" s="49">
        <f>IFERROR(__xludf.DUMMYFUNCTION("IFERROR(
  VLOOKUP(
    A156,
    IMPORTRANGE(
      ""1ZHMy3vVUd_0MrSduXTe1etBb1HNpAlGwQr006ljwMiM"",
      ""GSC最新!A:F""
    ),
    3,
    FALSE
  ),
  0
)
"),0.0)</f>
        <v>0</v>
      </c>
      <c r="H156" s="49">
        <f>IFERROR(__xludf.DUMMYFUNCTION("IFERROR(
  VLOOKUP(
    A156,
    IMPORTRANGE(
      ""1ZHMy3vVUd_0MrSduXTe1etBb1HNpAlGwQr006ljwMiM"",
      ""GSC最新!A:F""
    ),
    4,
    FALSE
  ),
  0
)
"),0.0)</f>
        <v>0</v>
      </c>
      <c r="I156" s="49">
        <f>IFERROR(__xludf.DUMMYFUNCTION("IFERROR(
  VLOOKUP(
    A156,
    IMPORTRANGE(
      ""1ZHMy3vVUd_0MrSduXTe1etBb1HNpAlGwQr006ljwMiM"",
      ""GSC最新!A:F""
    ),
    5,
    FALSE
  ),
  0
)
"),0.0)</f>
        <v>0</v>
      </c>
      <c r="J156" s="50" t="str">
        <f t="shared" ref="J156:K156" si="771">IFERROR(F156/H156,"-")</f>
        <v>-</v>
      </c>
      <c r="K156" s="50" t="str">
        <f t="shared" si="771"/>
        <v>-</v>
      </c>
      <c r="L156" s="6">
        <f>IFERROR(__xludf.DUMMYFUNCTION("IFERROR(
  VLOOKUP(
    A156,
    IMPORTRANGE(
      ""1ZHMy3vVUd_0MrSduXTe1etBb1HNpAlGwQr006ljwMiM"",
      ""GSC最新!A:R""
    ),
    7,
    FALSE
  ),
  0
)
"),10.0)</f>
        <v>10</v>
      </c>
      <c r="M156" s="6">
        <f>IFERROR(__xludf.DUMMYFUNCTION("IFERROR(
  VLOOKUP(
    A156,
    IMPORTRANGE(
      ""1ZHMy3vVUd_0MrSduXTe1etBb1HNpAlGwQr006ljwMiM"",
      ""GSC最新!A:R""
    ),
    10,
    FALSE
  ),
  0
)
"),29.0)</f>
        <v>29</v>
      </c>
      <c r="N156" s="6">
        <f>IFERROR(__xludf.DUMMYFUNCTION("IFERROR(
  VLOOKUP(
    A156,
    IMPORTRANGE(
      ""1ZHMy3vVUd_0MrSduXTe1etBb1HNpAlGwQr006ljwMiM"",
      ""GSC最新!A:R""
    ),
    13,
    FALSE
  ),
  0
)
"),0.0)</f>
        <v>0</v>
      </c>
      <c r="O156" s="6">
        <f>IFERROR(__xludf.DUMMYFUNCTION("IFERROR(
  VLOOKUP(
    A156,
    IMPORTRANGE(
      ""1ZHMy3vVUd_0MrSduXTe1etBb1HNpAlGwQr006ljwMiM"",
      ""GSC最新!A:R""
    ),
    16,
    FALSE
  ),
  0
)
"),0.0)</f>
        <v>0</v>
      </c>
      <c r="P156" s="51" t="str">
        <f t="shared" ref="P156:Q156" si="772">IFERROR(L156/N156,"-")</f>
        <v>-</v>
      </c>
      <c r="Q156" s="51" t="str">
        <f t="shared" si="772"/>
        <v>-</v>
      </c>
      <c r="R156" s="9">
        <f>IFERROR(__xludf.DUMMYFUNCTION("IFERROR(
  VLOOKUP(
    A156,
    IMPORTRANGE(
      ""1ZHMy3vVUd_0MrSduXTe1etBb1HNpAlGwQr006ljwMiM"",
      ""GSC最新!A:R""
    ),
    8,
    FALSE
  ),
  0
)
"),0.0)</f>
        <v>0</v>
      </c>
      <c r="S156" s="9">
        <f>IFERROR(__xludf.DUMMYFUNCTION("IFERROR(
  VLOOKUP(
    A156,
    IMPORTRANGE(
      ""1ZHMy3vVUd_0MrSduXTe1etBb1HNpAlGwQr006ljwMiM"",
      ""GSC最新!A:R""
    ),
    11,
    FALSE
  ),
  0
)
"),0.0)</f>
        <v>0</v>
      </c>
      <c r="T156" s="9">
        <f>IFERROR(__xludf.DUMMYFUNCTION("IFERROR(
  VLOOKUP(
    A156,
    IMPORTRANGE(
      ""1ZHMy3vVUd_0MrSduXTe1etBb1HNpAlGwQr006ljwMiM"",
      ""GSC最新!A:R""
    ),
    14,
    FALSE
  ),
  0
)
"),0.0)</f>
        <v>0</v>
      </c>
      <c r="U156" s="9">
        <f>IFERROR(__xludf.DUMMYFUNCTION("IFERROR(
  VLOOKUP(
    A156,
    IMPORTRANGE(
      ""1ZHMy3vVUd_0MrSduXTe1etBb1HNpAlGwQr006ljwMiM"",
      ""GSC最新!A:R""
    ),
    17,
    FALSE
  ),
  0
)
"),0.0)</f>
        <v>0</v>
      </c>
      <c r="V156" s="9">
        <f t="shared" ref="V156:W156" si="773">IFERROR(R156-T156,"-")</f>
        <v>0</v>
      </c>
      <c r="W156" s="9">
        <f t="shared" si="773"/>
        <v>0</v>
      </c>
      <c r="X156" s="65">
        <f>IFERROR(__xludf.DUMMYFUNCTION("IFERROR(
  VLOOKUP(
    A156,
    IMPORTRANGE(
      ""1ZHMy3vVUd_0MrSduXTe1etBb1HNpAlGwQr006ljwMiM"",
      ""GSC最新!A:R""
    ),
    9,
    FALSE
  ),
  0
)
"),4.7)</f>
        <v>4.7</v>
      </c>
      <c r="Y156" s="65">
        <f>IFERROR(__xludf.DUMMYFUNCTION("IFERROR(
  VLOOKUP(
    A156,
    IMPORTRANGE(
      ""1ZHMy3vVUd_0MrSduXTe1etBb1HNpAlGwQr006ljwMiM"",
      ""GSC最新!A:R""
    ),
    12,
    FALSE
  ),
  0
)
"),5.931034482758621)</f>
        <v>5.931034483</v>
      </c>
      <c r="Z156" s="65" t="str">
        <f>IFERROR(__xludf.DUMMYFUNCTION("IFERROR(
  VLOOKUP(
    A156,
    IMPORTRANGE(
      ""1ZHMy3vVUd_0MrSduXTe1etBb1HNpAlGwQr006ljwMiM"",
      ""GSC最新!A:R""
    ),
    15,
    FALSE
  ),
  0
)
"),"")</f>
        <v/>
      </c>
      <c r="AA156" s="65" t="str">
        <f>IFERROR(__xludf.DUMMYFUNCTION("IFERROR(
  VLOOKUP(
    A156,
    IMPORTRANGE(
      ""1ZHMy3vVUd_0MrSduXTe1etBb1HNpAlGwQr006ljwMiM"",
      ""GSC最新!A:R""
    ),
    18,
    FALSE
  ),
  0
)
"),"")</f>
        <v/>
      </c>
      <c r="AB156" s="65">
        <f t="shared" ref="AB156:AC156" si="774">X156-Z156</f>
        <v>4.7</v>
      </c>
      <c r="AC156" s="65">
        <f t="shared" si="774"/>
        <v>5.931034483</v>
      </c>
      <c r="AD156" s="53">
        <f>IFERROR(__xludf.DUMMYFUNCTION("IFERROR(
  VLOOKUP(
    A156,
    IMPORTRANGE(
      ""1ZHMy3vVUd_0MrSduXTe1etBb1HNpAlGwQr006ljwMiM"",
      ""GSC最新!A:F""
    ),
    6,
    FALSE
  ),
  0
)
"),46081.0)</f>
        <v>46081</v>
      </c>
      <c r="AE156" s="54">
        <f>IFERROR(__xludf.DUMMYFUNCTION("IFERROR(
  VLOOKUP(
    A156,
    IMPORTRANGE(
      ""1SCYQd7_cobOYqT0r_F0IqD4tE4rYn5y8Eup4PJTH8es"",
      ""Snapshot!A:M""
    ),
    5,
    FALSE
  ),
  ""-""
)
"),8.0)</f>
        <v>8</v>
      </c>
      <c r="AF156" s="54">
        <f>IFERROR(__xludf.DUMMYFUNCTION("IFERROR(
  VLOOKUP(
    A156,
    IMPORTRANGE(
      ""1SCYQd7_cobOYqT0r_F0IqD4tE4rYn5y8Eup4PJTH8es"",
      ""Snapshot!A:M""
    ),
    6,
    FALSE
  ),
  0
)
"),3.0)</f>
        <v>3</v>
      </c>
      <c r="AG156" s="54">
        <f>IFERROR(__xludf.DUMMYFUNCTION("IFERROR(
  VLOOKUP(
    A156,
    IMPORTRANGE(
      ""1SCYQd7_cobOYqT0r_F0IqD4tE4rYn5y8Eup4PJTH8es"",
      ""Snapshot!A:M""
    ),
    7,
    FALSE
  ),
  0
)
"),3808.0)</f>
        <v>3808</v>
      </c>
      <c r="AH156" s="54">
        <f>IFERROR(__xludf.DUMMYFUNCTION("IFERROR(
  VLOOKUP(
    A156,
    IMPORTRANGE(
      ""1SCYQd7_cobOYqT0r_F0IqD4tE4rYn5y8Eup4PJTH8es"",
      ""Snapshot!A:M""
    ),
    8,
    FALSE
  ),
  0
)
"),3.0)</f>
        <v>3</v>
      </c>
      <c r="AI156" s="54">
        <f>IFERROR(__xludf.DUMMYFUNCTION("IFERROR(
  VLOOKUP(
    A156,
    IMPORTRANGE(
      ""1SCYQd7_cobOYqT0r_F0IqD4tE4rYn5y8Eup4PJTH8es"",
      ""Snapshot!A:M""
    ),
    9,
    FALSE
  ),
  0
)
"),3.0)</f>
        <v>3</v>
      </c>
      <c r="AJ156" s="54">
        <f>IFERROR(__xludf.DUMMYFUNCTION("IFERROR(
  VLOOKUP(
    A156,
    IMPORTRANGE(
      ""1SCYQd7_cobOYqT0r_F0IqD4tE4rYn5y8Eup4PJTH8es"",
      ""Snapshot!A:M""
    ),
    13,
    FALSE
  ),
  0
)
"),3.0)</f>
        <v>3</v>
      </c>
      <c r="AK156" s="49">
        <f t="shared" ref="AK156:AL156" si="775">LEN(C156)</f>
        <v>72</v>
      </c>
      <c r="AL156" s="49">
        <f t="shared" si="775"/>
        <v>117</v>
      </c>
    </row>
    <row r="157">
      <c r="A157" s="56" t="s">
        <v>650</v>
      </c>
      <c r="B157" s="1" t="str">
        <f>IFERROR(__xludf.DUMMYFUNCTION("IFERROR(
  VLOOKUP(
    A157,
    IMPORTRANGE(
      ""1ZygntHC1J6IxzKbTidmOyf5nUyW4GCLurHCjexrLm_o"",
      ""HTMLキャッシュ!A:F""
    ),
    2,
    FALSE
  ),
  0
)
"),"SC")</f>
        <v>SC</v>
      </c>
      <c r="C157" s="1" t="str">
        <f>IFERROR(__xludf.DUMMYFUNCTION("IFERROR(
  VLOOKUP(
    A157,
    IMPORTRANGE(
      ""1ZygntHC1J6IxzKbTidmOyf5nUyW4GCLurHCjexrLm_o"",
      ""HTMLキャッシュ!A:F""
    ),
    5,
    FALSE
  ),
  0
)
"),"語句の意味が取れない対処｜読解崩れを直す｜中学受験国語")</f>
        <v>語句の意味が取れない対処｜読解崩れを直す｜中学受験国語</v>
      </c>
      <c r="D157" s="1" t="str">
        <f>IFERROR(__xludf.DUMMYFUNCTION("IFERROR(
  VLOOKUP(
    A157,
    IMPORTRANGE(
      ""1ZygntHC1J6IxzKbTidmOyf5nUyW4GCLurHCjexrLm_o        "",
      ""HTMLキャッシュ!A:F""
    ),
    6,
    FALSE
  ),
  0
)
"),"語句を曖昧なまま読む癖が原因で読解が崩れるケースを整理。語句→文脈→段落要点で立て直し、選択肢消去と記述のズレも減らす。")</f>
        <v>語句を曖昧なまま読む癖が原因で読解が崩れるケースを整理。語句→文脈→段落要点で立て直し、選択肢消去と記述のズレも減らす。</v>
      </c>
      <c r="E157" s="32">
        <f>IFERROR(__xludf.DUMMYFUNCTION("IFERROR(
  VLOOKUP(
    A157,
    IMPORTRANGE(
      ""1ZygntHC1J6IxzKbTidmOyf5nUyW4GCLurHCjexrLm_o        "",
      ""HTMLキャッシュ!A:F""
    ),
    3,
    FALSE
  ),
  0
)
"),46080.79547453704)</f>
        <v>46080.79547</v>
      </c>
      <c r="F157" s="49">
        <f>IFERROR(__xludf.DUMMYFUNCTION("IFERROR(
  VLOOKUP(
    A157,
    IMPORTRANGE(
      ""1ZHMy3vVUd_0MrSduXTe1etBb1HNpAlGwQr006ljwMiM"",
      ""GSC最新!A:F""
    ),
    2,
    FALSE
  ),
  0
)
"),0.0)</f>
        <v>0</v>
      </c>
      <c r="G157" s="49">
        <f>IFERROR(__xludf.DUMMYFUNCTION("IFERROR(
  VLOOKUP(
    A157,
    IMPORTRANGE(
      ""1ZHMy3vVUd_0MrSduXTe1etBb1HNpAlGwQr006ljwMiM"",
      ""GSC最新!A:F""
    ),
    3,
    FALSE
  ),
  0
)
"),0.0)</f>
        <v>0</v>
      </c>
      <c r="H157" s="49">
        <f>IFERROR(__xludf.DUMMYFUNCTION("IFERROR(
  VLOOKUP(
    A157,
    IMPORTRANGE(
      ""1ZHMy3vVUd_0MrSduXTe1etBb1HNpAlGwQr006ljwMiM"",
      ""GSC最新!A:F""
    ),
    4,
    FALSE
  ),
  0
)
"),0.0)</f>
        <v>0</v>
      </c>
      <c r="I157" s="49">
        <f>IFERROR(__xludf.DUMMYFUNCTION("IFERROR(
  VLOOKUP(
    A157,
    IMPORTRANGE(
      ""1ZHMy3vVUd_0MrSduXTe1etBb1HNpAlGwQr006ljwMiM"",
      ""GSC最新!A:F""
    ),
    5,
    FALSE
  ),
  0
)
"),0.0)</f>
        <v>0</v>
      </c>
      <c r="J157" s="50" t="str">
        <f t="shared" ref="J157:K157" si="776">IFERROR(F157/H157,"-")</f>
        <v>-</v>
      </c>
      <c r="K157" s="50" t="str">
        <f t="shared" si="776"/>
        <v>-</v>
      </c>
      <c r="L157" s="6">
        <f>IFERROR(__xludf.DUMMYFUNCTION("IFERROR(
  VLOOKUP(
    A157,
    IMPORTRANGE(
      ""1ZHMy3vVUd_0MrSduXTe1etBb1HNpAlGwQr006ljwMiM"",
      ""GSC最新!A:R""
    ),
    7,
    FALSE
  ),
  0
)
"),17.0)</f>
        <v>17</v>
      </c>
      <c r="M157" s="6">
        <f>IFERROR(__xludf.DUMMYFUNCTION("IFERROR(
  VLOOKUP(
    A157,
    IMPORTRANGE(
      ""1ZHMy3vVUd_0MrSduXTe1etBb1HNpAlGwQr006ljwMiM"",
      ""GSC最新!A:R""
    ),
    10,
    FALSE
  ),
  0
)
"),52.0)</f>
        <v>52</v>
      </c>
      <c r="N157" s="6">
        <f>IFERROR(__xludf.DUMMYFUNCTION("IFERROR(
  VLOOKUP(
    A157,
    IMPORTRANGE(
      ""1ZHMy3vVUd_0MrSduXTe1etBb1HNpAlGwQr006ljwMiM"",
      ""GSC最新!A:R""
    ),
    13,
    FALSE
  ),
  0
)
"),0.0)</f>
        <v>0</v>
      </c>
      <c r="O157" s="6">
        <f>IFERROR(__xludf.DUMMYFUNCTION("IFERROR(
  VLOOKUP(
    A157,
    IMPORTRANGE(
      ""1ZHMy3vVUd_0MrSduXTe1etBb1HNpAlGwQr006ljwMiM"",
      ""GSC最新!A:R""
    ),
    16,
    FALSE
  ),
  0
)
"),0.0)</f>
        <v>0</v>
      </c>
      <c r="P157" s="51" t="str">
        <f t="shared" ref="P157:Q157" si="777">IFERROR(L157/N157,"-")</f>
        <v>-</v>
      </c>
      <c r="Q157" s="51" t="str">
        <f t="shared" si="777"/>
        <v>-</v>
      </c>
      <c r="R157" s="9">
        <f>IFERROR(__xludf.DUMMYFUNCTION("IFERROR(
  VLOOKUP(
    A157,
    IMPORTRANGE(
      ""1ZHMy3vVUd_0MrSduXTe1etBb1HNpAlGwQr006ljwMiM"",
      ""GSC最新!A:R""
    ),
    8,
    FALSE
  ),
  0
)
"),0.0)</f>
        <v>0</v>
      </c>
      <c r="S157" s="9">
        <f>IFERROR(__xludf.DUMMYFUNCTION("IFERROR(
  VLOOKUP(
    A157,
    IMPORTRANGE(
      ""1ZHMy3vVUd_0MrSduXTe1etBb1HNpAlGwQr006ljwMiM"",
      ""GSC最新!A:R""
    ),
    11,
    FALSE
  ),
  0
)
"),0.0)</f>
        <v>0</v>
      </c>
      <c r="T157" s="9">
        <f>IFERROR(__xludf.DUMMYFUNCTION("IFERROR(
  VLOOKUP(
    A157,
    IMPORTRANGE(
      ""1ZHMy3vVUd_0MrSduXTe1etBb1HNpAlGwQr006ljwMiM"",
      ""GSC最新!A:R""
    ),
    14,
    FALSE
  ),
  0
)
"),0.0)</f>
        <v>0</v>
      </c>
      <c r="U157" s="9">
        <f>IFERROR(__xludf.DUMMYFUNCTION("IFERROR(
  VLOOKUP(
    A157,
    IMPORTRANGE(
      ""1ZHMy3vVUd_0MrSduXTe1etBb1HNpAlGwQr006ljwMiM"",
      ""GSC最新!A:R""
    ),
    17,
    FALSE
  ),
  0
)
"),0.0)</f>
        <v>0</v>
      </c>
      <c r="V157" s="9">
        <f t="shared" ref="V157:W157" si="778">IFERROR(R157-T157,"-")</f>
        <v>0</v>
      </c>
      <c r="W157" s="9">
        <f t="shared" si="778"/>
        <v>0</v>
      </c>
      <c r="X157" s="65">
        <f>IFERROR(__xludf.DUMMYFUNCTION("IFERROR(
  VLOOKUP(
    A157,
    IMPORTRANGE(
      ""1ZHMy3vVUd_0MrSduXTe1etBb1HNpAlGwQr006ljwMiM"",
      ""GSC最新!A:R""
    ),
    9,
    FALSE
  ),
  0
)
"),8.470588235294118)</f>
        <v>8.470588235</v>
      </c>
      <c r="Y157" s="65">
        <f>IFERROR(__xludf.DUMMYFUNCTION("IFERROR(
  VLOOKUP(
    A157,
    IMPORTRANGE(
      ""1ZHMy3vVUd_0MrSduXTe1etBb1HNpAlGwQr006ljwMiM"",
      ""GSC最新!A:R""
    ),
    12,
    FALSE
  ),
  0
)
"),8.01923076923077)</f>
        <v>8.019230769</v>
      </c>
      <c r="Z157" s="65" t="str">
        <f>IFERROR(__xludf.DUMMYFUNCTION("IFERROR(
  VLOOKUP(
    A157,
    IMPORTRANGE(
      ""1ZHMy3vVUd_0MrSduXTe1etBb1HNpAlGwQr006ljwMiM"",
      ""GSC最新!A:R""
    ),
    15,
    FALSE
  ),
  0
)
"),"")</f>
        <v/>
      </c>
      <c r="AA157" s="65" t="str">
        <f>IFERROR(__xludf.DUMMYFUNCTION("IFERROR(
  VLOOKUP(
    A157,
    IMPORTRANGE(
      ""1ZHMy3vVUd_0MrSduXTe1etBb1HNpAlGwQr006ljwMiM"",
      ""GSC最新!A:R""
    ),
    18,
    FALSE
  ),
  0
)
"),"")</f>
        <v/>
      </c>
      <c r="AB157" s="65">
        <f t="shared" ref="AB157:AC157" si="779">X157-Z157</f>
        <v>8.470588235</v>
      </c>
      <c r="AC157" s="65">
        <f t="shared" si="779"/>
        <v>8.019230769</v>
      </c>
      <c r="AD157" s="53">
        <f>IFERROR(__xludf.DUMMYFUNCTION("IFERROR(
  VLOOKUP(
    A157,
    IMPORTRANGE(
      ""1ZHMy3vVUd_0MrSduXTe1etBb1HNpAlGwQr006ljwMiM"",
      ""GSC最新!A:F""
    ),
    6,
    FALSE
  ),
  0
)
"),46081.0)</f>
        <v>46081</v>
      </c>
      <c r="AE157" s="54">
        <f>IFERROR(__xludf.DUMMYFUNCTION("IFERROR(
  VLOOKUP(
    A157,
    IMPORTRANGE(
      ""1SCYQd7_cobOYqT0r_F0IqD4tE4rYn5y8Eup4PJTH8es"",
      ""Snapshot!A:M""
    ),
    5,
    FALSE
  ),
  ""-""
)
"),6.0)</f>
        <v>6</v>
      </c>
      <c r="AF157" s="54">
        <f>IFERROR(__xludf.DUMMYFUNCTION("IFERROR(
  VLOOKUP(
    A157,
    IMPORTRANGE(
      ""1SCYQd7_cobOYqT0r_F0IqD4tE4rYn5y8Eup4PJTH8es"",
      ""Snapshot!A:M""
    ),
    6,
    FALSE
  ),
  0
)
"),0.0)</f>
        <v>0</v>
      </c>
      <c r="AG157" s="54">
        <f>IFERROR(__xludf.DUMMYFUNCTION("IFERROR(
  VLOOKUP(
    A157,
    IMPORTRANGE(
      ""1SCYQd7_cobOYqT0r_F0IqD4tE4rYn5y8Eup4PJTH8es"",
      ""Snapshot!A:M""
    ),
    7,
    FALSE
  ),
  0
)
"),4628.0)</f>
        <v>4628</v>
      </c>
      <c r="AH157" s="54">
        <f>IFERROR(__xludf.DUMMYFUNCTION("IFERROR(
  VLOOKUP(
    A157,
    IMPORTRANGE(
      ""1SCYQd7_cobOYqT0r_F0IqD4tE4rYn5y8Eup4PJTH8es"",
      ""Snapshot!A:M""
    ),
    8,
    FALSE
  ),
  0
)
"),3.0)</f>
        <v>3</v>
      </c>
      <c r="AI157" s="54">
        <f>IFERROR(__xludf.DUMMYFUNCTION("IFERROR(
  VLOOKUP(
    A157,
    IMPORTRANGE(
      ""1SCYQd7_cobOYqT0r_F0IqD4tE4rYn5y8Eup4PJTH8es"",
      ""Snapshot!A:M""
    ),
    9,
    FALSE
  ),
  0
)
"),4.0)</f>
        <v>4</v>
      </c>
      <c r="AJ157" s="54">
        <f>IFERROR(__xludf.DUMMYFUNCTION("IFERROR(
  VLOOKUP(
    A157,
    IMPORTRANGE(
      ""1SCYQd7_cobOYqT0r_F0IqD4tE4rYn5y8Eup4PJTH8es"",
      ""Snapshot!A:M""
    ),
    13,
    FALSE
  ),
  0
)
"),3.0)</f>
        <v>3</v>
      </c>
      <c r="AK157" s="49">
        <f t="shared" ref="AK157:AL157" si="780">LEN(C157)</f>
        <v>27</v>
      </c>
      <c r="AL157" s="49">
        <f t="shared" si="780"/>
        <v>60</v>
      </c>
    </row>
    <row r="158">
      <c r="A158" s="56" t="s">
        <v>651</v>
      </c>
      <c r="B158" s="1" t="str">
        <f>IFERROR(__xludf.DUMMYFUNCTION("IFERROR(
  VLOOKUP(
    A158,
    IMPORTRANGE(
      ""1ZygntHC1J6IxzKbTidmOyf5nUyW4GCLurHCjexrLm_o"",
      ""HTMLキャッシュ!A:F""
    ),
    2,
    FALSE
  ),
  0
)
"),"SC")</f>
        <v>SC</v>
      </c>
      <c r="C158" s="1" t="str">
        <f>IFERROR(__xludf.DUMMYFUNCTION("IFERROR(
  VLOOKUP(
    A158,
    IMPORTRANGE(
      ""1ZygntHC1J6IxzKbTidmOyf5nUyW4GCLurHCjexrLm_o"",
      ""HTMLキャッシュ!A:F""
    ),
    5,
    FALSE
  ),
  0
)
"),"文章の根拠が取れない子に共通する３つの弱点 - 受験国語専門 読解ラボ東京 | 中学受験・大学受験対応の個別指導国語専門塾（オンライン・教室対応）")</f>
        <v>文章の根拠が取れない子に共通する３つの弱点 - 受験国語専門 読解ラボ東京 | 中学受験・大学受験対応の個別指導国語専門塾（オンライン・教室対応）</v>
      </c>
      <c r="D158" s="1" t="str">
        <f>IFERROR(__xludf.DUMMYFUNCTION("IFERROR(
  VLOOKUP(
    A158,
    IMPORTRANGE(
      ""1ZygntHC1J6IxzKbTidmOyf5nUyW4GCLurHCjexrLm_o        "",
      ""HTMLキャッシュ!A:F""
    ),
    6,
    FALSE
  ),
  0
)
"),"国語の選択肢が二択で外れる、記述が本文とズレるのは根拠取りの手順が崩れている可能性があります。中学受験の国語専門塾が、根拠が取れない子に共通する弱点を分類し、本文と設問の往復・根拠候補の絞り込み・家庭でのフォローまで具体的に紹介します。")</f>
        <v>国語の選択肢が二択で外れる、記述が本文とズレるのは根拠取りの手順が崩れている可能性があります。中学受験の国語専門塾が、根拠が取れない子に共通する弱点を分類し、本文と設問の往復・根拠候補の絞り込み・家庭でのフォローまで具体的に紹介します。</v>
      </c>
      <c r="E158" s="32">
        <f>IFERROR(__xludf.DUMMYFUNCTION("IFERROR(
  VLOOKUP(
    A158,
    IMPORTRANGE(
      ""1ZygntHC1J6IxzKbTidmOyf5nUyW4GCLurHCjexrLm_o        "",
      ""HTMLキャッシュ!A:F""
    ),
    3,
    FALSE
  ),
  0
)
"),46080.83142361111)</f>
        <v>46080.83142</v>
      </c>
      <c r="F158" s="49">
        <f>IFERROR(__xludf.DUMMYFUNCTION("IFERROR(
  VLOOKUP(
    A158,
    IMPORTRANGE(
      ""1ZHMy3vVUd_0MrSduXTe1etBb1HNpAlGwQr006ljwMiM"",
      ""GSC最新!A:F""
    ),
    2,
    FALSE
  ),
  0
)
"),0.0)</f>
        <v>0</v>
      </c>
      <c r="G158" s="49">
        <f>IFERROR(__xludf.DUMMYFUNCTION("IFERROR(
  VLOOKUP(
    A158,
    IMPORTRANGE(
      ""1ZHMy3vVUd_0MrSduXTe1etBb1HNpAlGwQr006ljwMiM"",
      ""GSC最新!A:F""
    ),
    3,
    FALSE
  ),
  0
)
"),0.0)</f>
        <v>0</v>
      </c>
      <c r="H158" s="49">
        <f>IFERROR(__xludf.DUMMYFUNCTION("IFERROR(
  VLOOKUP(
    A158,
    IMPORTRANGE(
      ""1ZHMy3vVUd_0MrSduXTe1etBb1HNpAlGwQr006ljwMiM"",
      ""GSC最新!A:F""
    ),
    4,
    FALSE
  ),
  0
)
"),0.0)</f>
        <v>0</v>
      </c>
      <c r="I158" s="49">
        <f>IFERROR(__xludf.DUMMYFUNCTION("IFERROR(
  VLOOKUP(
    A158,
    IMPORTRANGE(
      ""1ZHMy3vVUd_0MrSduXTe1etBb1HNpAlGwQr006ljwMiM"",
      ""GSC最新!A:F""
    ),
    5,
    FALSE
  ),
  0
)
"),0.0)</f>
        <v>0</v>
      </c>
      <c r="J158" s="50" t="str">
        <f t="shared" ref="J158:K158" si="781">IFERROR(F158/H158,"-")</f>
        <v>-</v>
      </c>
      <c r="K158" s="50" t="str">
        <f t="shared" si="781"/>
        <v>-</v>
      </c>
      <c r="L158" s="6">
        <f>IFERROR(__xludf.DUMMYFUNCTION("IFERROR(
  VLOOKUP(
    A158,
    IMPORTRANGE(
      ""1ZHMy3vVUd_0MrSduXTe1etBb1HNpAlGwQr006ljwMiM"",
      ""GSC最新!A:R""
    ),
    7,
    FALSE
  ),
  0
)
"),10.0)</f>
        <v>10</v>
      </c>
      <c r="M158" s="6">
        <f>IFERROR(__xludf.DUMMYFUNCTION("IFERROR(
  VLOOKUP(
    A158,
    IMPORTRANGE(
      ""1ZHMy3vVUd_0MrSduXTe1etBb1HNpAlGwQr006ljwMiM"",
      ""GSC最新!A:R""
    ),
    10,
    FALSE
  ),
  0
)
"),39.0)</f>
        <v>39</v>
      </c>
      <c r="N158" s="6">
        <f>IFERROR(__xludf.DUMMYFUNCTION("IFERROR(
  VLOOKUP(
    A158,
    IMPORTRANGE(
      ""1ZHMy3vVUd_0MrSduXTe1etBb1HNpAlGwQr006ljwMiM"",
      ""GSC最新!A:R""
    ),
    13,
    FALSE
  ),
  0
)
"),0.0)</f>
        <v>0</v>
      </c>
      <c r="O158" s="6">
        <f>IFERROR(__xludf.DUMMYFUNCTION("IFERROR(
  VLOOKUP(
    A158,
    IMPORTRANGE(
      ""1ZHMy3vVUd_0MrSduXTe1etBb1HNpAlGwQr006ljwMiM"",
      ""GSC最新!A:R""
    ),
    16,
    FALSE
  ),
  0
)
"),0.0)</f>
        <v>0</v>
      </c>
      <c r="P158" s="51" t="str">
        <f t="shared" ref="P158:Q158" si="782">IFERROR(L158/N158,"-")</f>
        <v>-</v>
      </c>
      <c r="Q158" s="51" t="str">
        <f t="shared" si="782"/>
        <v>-</v>
      </c>
      <c r="R158" s="9">
        <f>IFERROR(__xludf.DUMMYFUNCTION("IFERROR(
  VLOOKUP(
    A158,
    IMPORTRANGE(
      ""1ZHMy3vVUd_0MrSduXTe1etBb1HNpAlGwQr006ljwMiM"",
      ""GSC最新!A:R""
    ),
    8,
    FALSE
  ),
  0
)
"),0.0)</f>
        <v>0</v>
      </c>
      <c r="S158" s="9">
        <f>IFERROR(__xludf.DUMMYFUNCTION("IFERROR(
  VLOOKUP(
    A158,
    IMPORTRANGE(
      ""1ZHMy3vVUd_0MrSduXTe1etBb1HNpAlGwQr006ljwMiM"",
      ""GSC最新!A:R""
    ),
    11,
    FALSE
  ),
  0
)
"),0.0)</f>
        <v>0</v>
      </c>
      <c r="T158" s="9">
        <f>IFERROR(__xludf.DUMMYFUNCTION("IFERROR(
  VLOOKUP(
    A158,
    IMPORTRANGE(
      ""1ZHMy3vVUd_0MrSduXTe1etBb1HNpAlGwQr006ljwMiM"",
      ""GSC最新!A:R""
    ),
    14,
    FALSE
  ),
  0
)
"),0.0)</f>
        <v>0</v>
      </c>
      <c r="U158" s="9">
        <f>IFERROR(__xludf.DUMMYFUNCTION("IFERROR(
  VLOOKUP(
    A158,
    IMPORTRANGE(
      ""1ZHMy3vVUd_0MrSduXTe1etBb1HNpAlGwQr006ljwMiM"",
      ""GSC最新!A:R""
    ),
    17,
    FALSE
  ),
  0
)
"),0.0)</f>
        <v>0</v>
      </c>
      <c r="V158" s="9">
        <f t="shared" ref="V158:W158" si="783">IFERROR(R158-T158,"-")</f>
        <v>0</v>
      </c>
      <c r="W158" s="9">
        <f t="shared" si="783"/>
        <v>0</v>
      </c>
      <c r="X158" s="65">
        <f>IFERROR(__xludf.DUMMYFUNCTION("IFERROR(
  VLOOKUP(
    A158,
    IMPORTRANGE(
      ""1ZHMy3vVUd_0MrSduXTe1etBb1HNpAlGwQr006ljwMiM"",
      ""GSC最新!A:R""
    ),
    9,
    FALSE
  ),
  0
)
"),6.4)</f>
        <v>6.4</v>
      </c>
      <c r="Y158" s="65">
        <f>IFERROR(__xludf.DUMMYFUNCTION("IFERROR(
  VLOOKUP(
    A158,
    IMPORTRANGE(
      ""1ZHMy3vVUd_0MrSduXTe1etBb1HNpAlGwQr006ljwMiM"",
      ""GSC最新!A:R""
    ),
    12,
    FALSE
  ),
  0
)
"),6.82051282051282)</f>
        <v>6.820512821</v>
      </c>
      <c r="Z158" s="65" t="str">
        <f>IFERROR(__xludf.DUMMYFUNCTION("IFERROR(
  VLOOKUP(
    A158,
    IMPORTRANGE(
      ""1ZHMy3vVUd_0MrSduXTe1etBb1HNpAlGwQr006ljwMiM"",
      ""GSC最新!A:R""
    ),
    15,
    FALSE
  ),
  0
)
"),"")</f>
        <v/>
      </c>
      <c r="AA158" s="65" t="str">
        <f>IFERROR(__xludf.DUMMYFUNCTION("IFERROR(
  VLOOKUP(
    A158,
    IMPORTRANGE(
      ""1ZHMy3vVUd_0MrSduXTe1etBb1HNpAlGwQr006ljwMiM"",
      ""GSC最新!A:R""
    ),
    18,
    FALSE
  ),
  0
)
"),"")</f>
        <v/>
      </c>
      <c r="AB158" s="65">
        <f t="shared" ref="AB158:AC158" si="784">X158-Z158</f>
        <v>6.4</v>
      </c>
      <c r="AC158" s="65">
        <f t="shared" si="784"/>
        <v>6.820512821</v>
      </c>
      <c r="AD158" s="53">
        <f>IFERROR(__xludf.DUMMYFUNCTION("IFERROR(
  VLOOKUP(
    A158,
    IMPORTRANGE(
      ""1ZHMy3vVUd_0MrSduXTe1etBb1HNpAlGwQr006ljwMiM"",
      ""GSC最新!A:F""
    ),
    6,
    FALSE
  ),
  0
)
"),46081.0)</f>
        <v>46081</v>
      </c>
      <c r="AE158" s="54">
        <f>IFERROR(__xludf.DUMMYFUNCTION("IFERROR(
  VLOOKUP(
    A158,
    IMPORTRANGE(
      ""1SCYQd7_cobOYqT0r_F0IqD4tE4rYn5y8Eup4PJTH8es"",
      ""Snapshot!A:M""
    ),
    5,
    FALSE
  ),
  ""-""
)
"),9.0)</f>
        <v>9</v>
      </c>
      <c r="AF158" s="54">
        <f>IFERROR(__xludf.DUMMYFUNCTION("IFERROR(
  VLOOKUP(
    A158,
    IMPORTRANGE(
      ""1SCYQd7_cobOYqT0r_F0IqD4tE4rYn5y8Eup4PJTH8es"",
      ""Snapshot!A:M""
    ),
    6,
    FALSE
  ),
  0
)
"),10.0)</f>
        <v>10</v>
      </c>
      <c r="AG158" s="54">
        <f>IFERROR(__xludf.DUMMYFUNCTION("IFERROR(
  VLOOKUP(
    A158,
    IMPORTRANGE(
      ""1SCYQd7_cobOYqT0r_F0IqD4tE4rYn5y8Eup4PJTH8es"",
      ""Snapshot!A:M""
    ),
    7,
    FALSE
  ),
  0
)
"),5061.0)</f>
        <v>5061</v>
      </c>
      <c r="AH158" s="54">
        <f>IFERROR(__xludf.DUMMYFUNCTION("IFERROR(
  VLOOKUP(
    A158,
    IMPORTRANGE(
      ""1SCYQd7_cobOYqT0r_F0IqD4tE4rYn5y8Eup4PJTH8es"",
      ""Snapshot!A:M""
    ),
    8,
    FALSE
  ),
  0
)
"),3.0)</f>
        <v>3</v>
      </c>
      <c r="AI158" s="54">
        <f>IFERROR(__xludf.DUMMYFUNCTION("IFERROR(
  VLOOKUP(
    A158,
    IMPORTRANGE(
      ""1SCYQd7_cobOYqT0r_F0IqD4tE4rYn5y8Eup4PJTH8es"",
      ""Snapshot!A:M""
    ),
    9,
    FALSE
  ),
  0
)
"),3.0)</f>
        <v>3</v>
      </c>
      <c r="AJ158" s="54">
        <f>IFERROR(__xludf.DUMMYFUNCTION("IFERROR(
  VLOOKUP(
    A158,
    IMPORTRANGE(
      ""1SCYQd7_cobOYqT0r_F0IqD4tE4rYn5y8Eup4PJTH8es"",
      ""Snapshot!A:M""
    ),
    13,
    FALSE
  ),
  0
)
"),3.0)</f>
        <v>3</v>
      </c>
      <c r="AK158" s="49">
        <f t="shared" ref="AK158:AL158" si="785">LEN(C158)</f>
        <v>73</v>
      </c>
      <c r="AL158" s="49">
        <f t="shared" si="785"/>
        <v>118</v>
      </c>
    </row>
    <row r="159">
      <c r="A159" s="56" t="s">
        <v>652</v>
      </c>
      <c r="B159" s="1" t="str">
        <f>IFERROR(__xludf.DUMMYFUNCTION("IFERROR(
  VLOOKUP(
    A159,
    IMPORTRANGE(
      ""1ZygntHC1J6IxzKbTidmOyf5nUyW4GCLurHCjexrLm_o"",
      ""HTMLキャッシュ!A:F""
    ),
    2,
    FALSE
  ),
  0
)
"),"SC")</f>
        <v>SC</v>
      </c>
      <c r="C159" s="1" t="str">
        <f>IFERROR(__xludf.DUMMYFUNCTION("IFERROR(
  VLOOKUP(
    A159,
    IMPORTRANGE(
      ""1ZygntHC1J6IxzKbTidmOyf5nUyW4GCLurHCjexrLm_o"",
      ""HTMLキャッシュ!A:F""
    ),
    5,
    FALSE
  ),
  0
)
"),"塾の宿題を「こなしているのに」国語が伸びない子の改善パターン - 受験国語専門 読解ラボ東京 | 中学受験・大学受験対応の個別指導国語専門塾（オンライン・教室対応）")</f>
        <v>塾の宿題を「こなしているのに」国語が伸びない子の改善パターン - 受験国語専門 読解ラボ東京 | 中学受験・大学受験対応の個別指導国語専門塾（オンライン・教室対応）</v>
      </c>
      <c r="D159" s="1" t="str">
        <f>IFERROR(__xludf.DUMMYFUNCTION("IFERROR(
  VLOOKUP(
    A159,
    IMPORTRANGE(
      ""1ZygntHC1J6IxzKbTidmOyf5nUyW4GCLurHCjexrLm_o        "",
      ""HTMLキャッシュ!A:F""
    ),
    6,
    FALSE
  ),
  0
)
"),"塾の宿題をこなしているのに国語だけ伸びない原因は、量ではなく復習の仕方と答案の読み返し方にあります。本文処理・設問処理・記述・直しを型にして再現性を作る改善パターンを、オンライン国語の個別指導の視点で具体例つきで解説。中学受験の過去問対策にも対応。")</f>
        <v>塾の宿題をこなしているのに国語だけ伸びない原因は、量ではなく復習の仕方と答案の読み返し方にあります。本文処理・設問処理・記述・直しを型にして再現性を作る改善パターンを、オンライン国語の個別指導の視点で具体例つきで解説。中学受験の過去問対策にも対応。</v>
      </c>
      <c r="E159" s="32">
        <f>IFERROR(__xludf.DUMMYFUNCTION("IFERROR(
  VLOOKUP(
    A159,
    IMPORTRANGE(
      ""1ZygntHC1J6IxzKbTidmOyf5nUyW4GCLurHCjexrLm_o        "",
      ""HTMLキャッシュ!A:F""
    ),
    3,
    FALSE
  ),
  0
)
"),46080.83184027778)</f>
        <v>46080.83184</v>
      </c>
      <c r="F159" s="49">
        <f>IFERROR(__xludf.DUMMYFUNCTION("IFERROR(
  VLOOKUP(
    A159,
    IMPORTRANGE(
      ""1ZHMy3vVUd_0MrSduXTe1etBb1HNpAlGwQr006ljwMiM"",
      ""GSC最新!A:F""
    ),
    2,
    FALSE
  ),
  0
)
"),0.0)</f>
        <v>0</v>
      </c>
      <c r="G159" s="49">
        <f>IFERROR(__xludf.DUMMYFUNCTION("IFERROR(
  VLOOKUP(
    A159,
    IMPORTRANGE(
      ""1ZHMy3vVUd_0MrSduXTe1etBb1HNpAlGwQr006ljwMiM"",
      ""GSC最新!A:F""
    ),
    3,
    FALSE
  ),
  0
)
"),0.0)</f>
        <v>0</v>
      </c>
      <c r="H159" s="49">
        <f>IFERROR(__xludf.DUMMYFUNCTION("IFERROR(
  VLOOKUP(
    A159,
    IMPORTRANGE(
      ""1ZHMy3vVUd_0MrSduXTe1etBb1HNpAlGwQr006ljwMiM"",
      ""GSC最新!A:F""
    ),
    4,
    FALSE
  ),
  0
)
"),0.0)</f>
        <v>0</v>
      </c>
      <c r="I159" s="49">
        <f>IFERROR(__xludf.DUMMYFUNCTION("IFERROR(
  VLOOKUP(
    A159,
    IMPORTRANGE(
      ""1ZHMy3vVUd_0MrSduXTe1etBb1HNpAlGwQr006ljwMiM"",
      ""GSC最新!A:F""
    ),
    5,
    FALSE
  ),
  0
)
"),0.0)</f>
        <v>0</v>
      </c>
      <c r="J159" s="50" t="str">
        <f t="shared" ref="J159:K159" si="786">IFERROR(F159/H159,"-")</f>
        <v>-</v>
      </c>
      <c r="K159" s="50" t="str">
        <f t="shared" si="786"/>
        <v>-</v>
      </c>
      <c r="L159" s="6">
        <f>IFERROR(__xludf.DUMMYFUNCTION("IFERROR(
  VLOOKUP(
    A159,
    IMPORTRANGE(
      ""1ZHMy3vVUd_0MrSduXTe1etBb1HNpAlGwQr006ljwMiM"",
      ""GSC最新!A:R""
    ),
    7,
    FALSE
  ),
  0
)
"),5.0)</f>
        <v>5</v>
      </c>
      <c r="M159" s="6">
        <f>IFERROR(__xludf.DUMMYFUNCTION("IFERROR(
  VLOOKUP(
    A159,
    IMPORTRANGE(
      ""1ZHMy3vVUd_0MrSduXTe1etBb1HNpAlGwQr006ljwMiM"",
      ""GSC最新!A:R""
    ),
    10,
    FALSE
  ),
  0
)
"),36.0)</f>
        <v>36</v>
      </c>
      <c r="N159" s="6">
        <f>IFERROR(__xludf.DUMMYFUNCTION("IFERROR(
  VLOOKUP(
    A159,
    IMPORTRANGE(
      ""1ZHMy3vVUd_0MrSduXTe1etBb1HNpAlGwQr006ljwMiM"",
      ""GSC最新!A:R""
    ),
    13,
    FALSE
  ),
  0
)
"),0.0)</f>
        <v>0</v>
      </c>
      <c r="O159" s="6">
        <f>IFERROR(__xludf.DUMMYFUNCTION("IFERROR(
  VLOOKUP(
    A159,
    IMPORTRANGE(
      ""1ZHMy3vVUd_0MrSduXTe1etBb1HNpAlGwQr006ljwMiM"",
      ""GSC最新!A:R""
    ),
    16,
    FALSE
  ),
  0
)
"),0.0)</f>
        <v>0</v>
      </c>
      <c r="P159" s="51" t="str">
        <f t="shared" ref="P159:Q159" si="787">IFERROR(L159/N159,"-")</f>
        <v>-</v>
      </c>
      <c r="Q159" s="51" t="str">
        <f t="shared" si="787"/>
        <v>-</v>
      </c>
      <c r="R159" s="9">
        <f>IFERROR(__xludf.DUMMYFUNCTION("IFERROR(
  VLOOKUP(
    A159,
    IMPORTRANGE(
      ""1ZHMy3vVUd_0MrSduXTe1etBb1HNpAlGwQr006ljwMiM"",
      ""GSC最新!A:R""
    ),
    8,
    FALSE
  ),
  0
)
"),0.0)</f>
        <v>0</v>
      </c>
      <c r="S159" s="9">
        <f>IFERROR(__xludf.DUMMYFUNCTION("IFERROR(
  VLOOKUP(
    A159,
    IMPORTRANGE(
      ""1ZHMy3vVUd_0MrSduXTe1etBb1HNpAlGwQr006ljwMiM"",
      ""GSC最新!A:R""
    ),
    11,
    FALSE
  ),
  0
)
"),0.0)</f>
        <v>0</v>
      </c>
      <c r="T159" s="9">
        <f>IFERROR(__xludf.DUMMYFUNCTION("IFERROR(
  VLOOKUP(
    A159,
    IMPORTRANGE(
      ""1ZHMy3vVUd_0MrSduXTe1etBb1HNpAlGwQr006ljwMiM"",
      ""GSC最新!A:R""
    ),
    14,
    FALSE
  ),
  0
)
"),0.0)</f>
        <v>0</v>
      </c>
      <c r="U159" s="9">
        <f>IFERROR(__xludf.DUMMYFUNCTION("IFERROR(
  VLOOKUP(
    A159,
    IMPORTRANGE(
      ""1ZHMy3vVUd_0MrSduXTe1etBb1HNpAlGwQr006ljwMiM"",
      ""GSC最新!A:R""
    ),
    17,
    FALSE
  ),
  0
)
"),0.0)</f>
        <v>0</v>
      </c>
      <c r="V159" s="9">
        <f t="shared" ref="V159:W159" si="788">IFERROR(R159-T159,"-")</f>
        <v>0</v>
      </c>
      <c r="W159" s="9">
        <f t="shared" si="788"/>
        <v>0</v>
      </c>
      <c r="X159" s="65">
        <f>IFERROR(__xludf.DUMMYFUNCTION("IFERROR(
  VLOOKUP(
    A159,
    IMPORTRANGE(
      ""1ZHMy3vVUd_0MrSduXTe1etBb1HNpAlGwQr006ljwMiM"",
      ""GSC最新!A:R""
    ),
    9,
    FALSE
  ),
  0
)
"),4.4)</f>
        <v>4.4</v>
      </c>
      <c r="Y159" s="65">
        <f>IFERROR(__xludf.DUMMYFUNCTION("IFERROR(
  VLOOKUP(
    A159,
    IMPORTRANGE(
      ""1ZHMy3vVUd_0MrSduXTe1etBb1HNpAlGwQr006ljwMiM"",
      ""GSC最新!A:R""
    ),
    12,
    FALSE
  ),
  0
)
"),5.833333333333333)</f>
        <v>5.833333333</v>
      </c>
      <c r="Z159" s="65" t="str">
        <f>IFERROR(__xludf.DUMMYFUNCTION("IFERROR(
  VLOOKUP(
    A159,
    IMPORTRANGE(
      ""1ZHMy3vVUd_0MrSduXTe1etBb1HNpAlGwQr006ljwMiM"",
      ""GSC最新!A:R""
    ),
    15,
    FALSE
  ),
  0
)
"),"")</f>
        <v/>
      </c>
      <c r="AA159" s="65" t="str">
        <f>IFERROR(__xludf.DUMMYFUNCTION("IFERROR(
  VLOOKUP(
    A159,
    IMPORTRANGE(
      ""1ZHMy3vVUd_0MrSduXTe1etBb1HNpAlGwQr006ljwMiM"",
      ""GSC最新!A:R""
    ),
    18,
    FALSE
  ),
  0
)
"),"")</f>
        <v/>
      </c>
      <c r="AB159" s="65">
        <f t="shared" ref="AB159:AC159" si="789">X159-Z159</f>
        <v>4.4</v>
      </c>
      <c r="AC159" s="65">
        <f t="shared" si="789"/>
        <v>5.833333333</v>
      </c>
      <c r="AD159" s="53">
        <f>IFERROR(__xludf.DUMMYFUNCTION("IFERROR(
  VLOOKUP(
    A159,
    IMPORTRANGE(
      ""1ZHMy3vVUd_0MrSduXTe1etBb1HNpAlGwQr006ljwMiM"",
      ""GSC最新!A:F""
    ),
    6,
    FALSE
  ),
  0
)
"),46081.0)</f>
        <v>46081</v>
      </c>
      <c r="AE159" s="54">
        <f>IFERROR(__xludf.DUMMYFUNCTION("IFERROR(
  VLOOKUP(
    A159,
    IMPORTRANGE(
      ""1SCYQd7_cobOYqT0r_F0IqD4tE4rYn5y8Eup4PJTH8es"",
      ""Snapshot!A:M""
    ),
    5,
    FALSE
  ),
  ""-""
)
"),8.0)</f>
        <v>8</v>
      </c>
      <c r="AF159" s="54">
        <f>IFERROR(__xludf.DUMMYFUNCTION("IFERROR(
  VLOOKUP(
    A159,
    IMPORTRANGE(
      ""1SCYQd7_cobOYqT0r_F0IqD4tE4rYn5y8Eup4PJTH8es"",
      ""Snapshot!A:M""
    ),
    6,
    FALSE
  ),
  0
)
"),8.0)</f>
        <v>8</v>
      </c>
      <c r="AG159" s="54">
        <f>IFERROR(__xludf.DUMMYFUNCTION("IFERROR(
  VLOOKUP(
    A159,
    IMPORTRANGE(
      ""1SCYQd7_cobOYqT0r_F0IqD4tE4rYn5y8Eup4PJTH8es"",
      ""Snapshot!A:M""
    ),
    7,
    FALSE
  ),
  0
)
"),4447.0)</f>
        <v>4447</v>
      </c>
      <c r="AH159" s="54">
        <f>IFERROR(__xludf.DUMMYFUNCTION("IFERROR(
  VLOOKUP(
    A159,
    IMPORTRANGE(
      ""1SCYQd7_cobOYqT0r_F0IqD4tE4rYn5y8Eup4PJTH8es"",
      ""Snapshot!A:M""
    ),
    8,
    FALSE
  ),
  0
)
"),3.0)</f>
        <v>3</v>
      </c>
      <c r="AI159" s="54">
        <f>IFERROR(__xludf.DUMMYFUNCTION("IFERROR(
  VLOOKUP(
    A159,
    IMPORTRANGE(
      ""1SCYQd7_cobOYqT0r_F0IqD4tE4rYn5y8Eup4PJTH8es"",
      ""Snapshot!A:M""
    ),
    9,
    FALSE
  ),
  0
)
"),3.0)</f>
        <v>3</v>
      </c>
      <c r="AJ159" s="54">
        <f>IFERROR(__xludf.DUMMYFUNCTION("IFERROR(
  VLOOKUP(
    A159,
    IMPORTRANGE(
      ""1SCYQd7_cobOYqT0r_F0IqD4tE4rYn5y8Eup4PJTH8es"",
      ""Snapshot!A:M""
    ),
    13,
    FALSE
  ),
  0
)
"),3.0)</f>
        <v>3</v>
      </c>
      <c r="AK159" s="49">
        <f t="shared" ref="AK159:AL159" si="790">LEN(C159)</f>
        <v>82</v>
      </c>
      <c r="AL159" s="49">
        <f t="shared" si="790"/>
        <v>124</v>
      </c>
    </row>
    <row r="160">
      <c r="A160" s="56" t="s">
        <v>653</v>
      </c>
      <c r="B160" s="1" t="str">
        <f>IFERROR(__xludf.DUMMYFUNCTION("IFERROR(
  VLOOKUP(
    A160,
    IMPORTRANGE(
      ""1ZygntHC1J6IxzKbTidmOyf5nUyW4GCLurHCjexrLm_o"",
      ""HTMLキャッシュ!A:F""
    ),
    2,
    FALSE
  ),
  0
)
"),"SC")</f>
        <v>SC</v>
      </c>
      <c r="C160" s="1" t="str">
        <f>IFERROR(__xludf.DUMMYFUNCTION("IFERROR(
  VLOOKUP(
    A160,
    IMPORTRANGE(
      ""1ZygntHC1J6IxzKbTidmOyf5nUyW4GCLurHCjexrLm_o"",
      ""HTMLキャッシュ!A:F""
    ),
    5,
    FALSE
  ),
  0
)
"),"自宅でできる読解の“土台づくり”低学年 中受初期の国語準備 - 受験国語専門 読解ラボ東京 | 中学受験・大学受験対応の個別指導国語専門塾（オンライン・教室対応）")</f>
        <v>自宅でできる読解の“土台づくり”低学年 中受初期の国語準備 - 受験国語専門 読解ラボ東京 | 中学受験・大学受験対応の個別指導国語専門塾（オンライン・教室対応）</v>
      </c>
      <c r="D160" s="1" t="str">
        <f>IFERROR(__xludf.DUMMYFUNCTION("IFERROR(
  VLOOKUP(
    A160,
    IMPORTRANGE(
      ""1ZygntHC1J6IxzKbTidmOyf5nUyW4GCLurHCjexrLm_o        "",
      ""HTMLキャッシュ!A:F""
    ),
    6,
    FALSE
  ),
  0
)
"),"中学受験国語は低学年〜小4初期の土台で差がつきます。語彙・言語感覚・文章の型を家庭でどう積み上げるかを整理し、オンライン国語との役割分担と1週間モデルで読解力の基盤づくりを解説。")</f>
        <v>中学受験国語は低学年〜小4初期の土台で差がつきます。語彙・言語感覚・文章の型を家庭でどう積み上げるかを整理し、オンライン国語との役割分担と1週間モデルで読解力の基盤づくりを解説。</v>
      </c>
      <c r="E160" s="32">
        <f>IFERROR(__xludf.DUMMYFUNCTION("IFERROR(
  VLOOKUP(
    A160,
    IMPORTRANGE(
      ""1ZygntHC1J6IxzKbTidmOyf5nUyW4GCLurHCjexrLm_o        "",
      ""HTMLキャッシュ!A:F""
    ),
    3,
    FALSE
  ),
  0
)
"),46069.81428240741)</f>
        <v>46069.81428</v>
      </c>
      <c r="F160" s="49">
        <f>IFERROR(__xludf.DUMMYFUNCTION("IFERROR(
  VLOOKUP(
    A160,
    IMPORTRANGE(
      ""1ZHMy3vVUd_0MrSduXTe1etBb1HNpAlGwQr006ljwMiM"",
      ""GSC最新!A:F""
    ),
    2,
    FALSE
  ),
  0
)
"),0.0)</f>
        <v>0</v>
      </c>
      <c r="G160" s="49">
        <f>IFERROR(__xludf.DUMMYFUNCTION("IFERROR(
  VLOOKUP(
    A160,
    IMPORTRANGE(
      ""1ZHMy3vVUd_0MrSduXTe1etBb1HNpAlGwQr006ljwMiM"",
      ""GSC最新!A:F""
    ),
    3,
    FALSE
  ),
  0
)
"),0.0)</f>
        <v>0</v>
      </c>
      <c r="H160" s="49">
        <f>IFERROR(__xludf.DUMMYFUNCTION("IFERROR(
  VLOOKUP(
    A160,
    IMPORTRANGE(
      ""1ZHMy3vVUd_0MrSduXTe1etBb1HNpAlGwQr006ljwMiM"",
      ""GSC最新!A:F""
    ),
    4,
    FALSE
  ),
  0
)
"),0.0)</f>
        <v>0</v>
      </c>
      <c r="I160" s="49">
        <f>IFERROR(__xludf.DUMMYFUNCTION("IFERROR(
  VLOOKUP(
    A160,
    IMPORTRANGE(
      ""1ZHMy3vVUd_0MrSduXTe1etBb1HNpAlGwQr006ljwMiM"",
      ""GSC最新!A:F""
    ),
    5,
    FALSE
  ),
  0
)
"),0.0)</f>
        <v>0</v>
      </c>
      <c r="J160" s="50" t="str">
        <f t="shared" ref="J160:K160" si="791">IFERROR(F160/H160,"-")</f>
        <v>-</v>
      </c>
      <c r="K160" s="50" t="str">
        <f t="shared" si="791"/>
        <v>-</v>
      </c>
      <c r="L160" s="6">
        <f>IFERROR(__xludf.DUMMYFUNCTION("IFERROR(
  VLOOKUP(
    A160,
    IMPORTRANGE(
      ""1ZHMy3vVUd_0MrSduXTe1etBb1HNpAlGwQr006ljwMiM"",
      ""GSC最新!A:R""
    ),
    7,
    FALSE
  ),
  0
)
"),3.0)</f>
        <v>3</v>
      </c>
      <c r="M160" s="6">
        <f>IFERROR(__xludf.DUMMYFUNCTION("IFERROR(
  VLOOKUP(
    A160,
    IMPORTRANGE(
      ""1ZHMy3vVUd_0MrSduXTe1etBb1HNpAlGwQr006ljwMiM"",
      ""GSC最新!A:R""
    ),
    10,
    FALSE
  ),
  0
)
"),8.0)</f>
        <v>8</v>
      </c>
      <c r="N160" s="6">
        <f>IFERROR(__xludf.DUMMYFUNCTION("IFERROR(
  VLOOKUP(
    A160,
    IMPORTRANGE(
      ""1ZHMy3vVUd_0MrSduXTe1etBb1HNpAlGwQr006ljwMiM"",
      ""GSC最新!A:R""
    ),
    13,
    FALSE
  ),
  0
)
"),0.0)</f>
        <v>0</v>
      </c>
      <c r="O160" s="6">
        <f>IFERROR(__xludf.DUMMYFUNCTION("IFERROR(
  VLOOKUP(
    A160,
    IMPORTRANGE(
      ""1ZHMy3vVUd_0MrSduXTe1etBb1HNpAlGwQr006ljwMiM"",
      ""GSC最新!A:R""
    ),
    16,
    FALSE
  ),
  0
)
"),0.0)</f>
        <v>0</v>
      </c>
      <c r="P160" s="51" t="str">
        <f t="shared" ref="P160:Q160" si="792">IFERROR(L160/N160,"-")</f>
        <v>-</v>
      </c>
      <c r="Q160" s="51" t="str">
        <f t="shared" si="792"/>
        <v>-</v>
      </c>
      <c r="R160" s="9">
        <f>IFERROR(__xludf.DUMMYFUNCTION("IFERROR(
  VLOOKUP(
    A160,
    IMPORTRANGE(
      ""1ZHMy3vVUd_0MrSduXTe1etBb1HNpAlGwQr006ljwMiM"",
      ""GSC最新!A:R""
    ),
    8,
    FALSE
  ),
  0
)
"),0.0)</f>
        <v>0</v>
      </c>
      <c r="S160" s="9">
        <f>IFERROR(__xludf.DUMMYFUNCTION("IFERROR(
  VLOOKUP(
    A160,
    IMPORTRANGE(
      ""1ZHMy3vVUd_0MrSduXTe1etBb1HNpAlGwQr006ljwMiM"",
      ""GSC最新!A:R""
    ),
    11,
    FALSE
  ),
  0
)
"),0.0)</f>
        <v>0</v>
      </c>
      <c r="T160" s="9">
        <f>IFERROR(__xludf.DUMMYFUNCTION("IFERROR(
  VLOOKUP(
    A160,
    IMPORTRANGE(
      ""1ZHMy3vVUd_0MrSduXTe1etBb1HNpAlGwQr006ljwMiM"",
      ""GSC最新!A:R""
    ),
    14,
    FALSE
  ),
  0
)
"),0.0)</f>
        <v>0</v>
      </c>
      <c r="U160" s="9">
        <f>IFERROR(__xludf.DUMMYFUNCTION("IFERROR(
  VLOOKUP(
    A160,
    IMPORTRANGE(
      ""1ZHMy3vVUd_0MrSduXTe1etBb1HNpAlGwQr006ljwMiM"",
      ""GSC最新!A:R""
    ),
    17,
    FALSE
  ),
  0
)
"),0.0)</f>
        <v>0</v>
      </c>
      <c r="V160" s="9">
        <f t="shared" ref="V160:W160" si="793">IFERROR(R160-T160,"-")</f>
        <v>0</v>
      </c>
      <c r="W160" s="9">
        <f t="shared" si="793"/>
        <v>0</v>
      </c>
      <c r="X160" s="65">
        <f>IFERROR(__xludf.DUMMYFUNCTION("IFERROR(
  VLOOKUP(
    A160,
    IMPORTRANGE(
      ""1ZHMy3vVUd_0MrSduXTe1etBb1HNpAlGwQr006ljwMiM"",
      ""GSC最新!A:R""
    ),
    9,
    FALSE
  ),
  0
)
"),6.0)</f>
        <v>6</v>
      </c>
      <c r="Y160" s="65">
        <f>IFERROR(__xludf.DUMMYFUNCTION("IFERROR(
  VLOOKUP(
    A160,
    IMPORTRANGE(
      ""1ZHMy3vVUd_0MrSduXTe1etBb1HNpAlGwQr006ljwMiM"",
      ""GSC最新!A:R""
    ),
    12,
    FALSE
  ),
  0
)
"),7.875)</f>
        <v>7.875</v>
      </c>
      <c r="Z160" s="65" t="str">
        <f>IFERROR(__xludf.DUMMYFUNCTION("IFERROR(
  VLOOKUP(
    A160,
    IMPORTRANGE(
      ""1ZHMy3vVUd_0MrSduXTe1etBb1HNpAlGwQr006ljwMiM"",
      ""GSC最新!A:R""
    ),
    15,
    FALSE
  ),
  0
)
"),"")</f>
        <v/>
      </c>
      <c r="AA160" s="65" t="str">
        <f>IFERROR(__xludf.DUMMYFUNCTION("IFERROR(
  VLOOKUP(
    A160,
    IMPORTRANGE(
      ""1ZHMy3vVUd_0MrSduXTe1etBb1HNpAlGwQr006ljwMiM"",
      ""GSC最新!A:R""
    ),
    18,
    FALSE
  ),
  0
)
"),"")</f>
        <v/>
      </c>
      <c r="AB160" s="65">
        <f t="shared" ref="AB160:AC160" si="794">X160-Z160</f>
        <v>6</v>
      </c>
      <c r="AC160" s="65">
        <f t="shared" si="794"/>
        <v>7.875</v>
      </c>
      <c r="AD160" s="53">
        <f>IFERROR(__xludf.DUMMYFUNCTION("IFERROR(
  VLOOKUP(
    A160,
    IMPORTRANGE(
      ""1ZHMy3vVUd_0MrSduXTe1etBb1HNpAlGwQr006ljwMiM"",
      ""GSC最新!A:F""
    ),
    6,
    FALSE
  ),
  0
)
"),46081.0)</f>
        <v>46081</v>
      </c>
      <c r="AE160" s="54">
        <f>IFERROR(__xludf.DUMMYFUNCTION("IFERROR(
  VLOOKUP(
    A160,
    IMPORTRANGE(
      ""1SCYQd7_cobOYqT0r_F0IqD4tE4rYn5y8Eup4PJTH8es"",
      ""Snapshot!A:M""
    ),
    5,
    FALSE
  ),
  ""-""
)
"),11.0)</f>
        <v>11</v>
      </c>
      <c r="AF160" s="54">
        <f>IFERROR(__xludf.DUMMYFUNCTION("IFERROR(
  VLOOKUP(
    A160,
    IMPORTRANGE(
      ""1SCYQd7_cobOYqT0r_F0IqD4tE4rYn5y8Eup4PJTH8es"",
      ""Snapshot!A:M""
    ),
    6,
    FALSE
  ),
  0
)
"),9.0)</f>
        <v>9</v>
      </c>
      <c r="AG160" s="54">
        <f>IFERROR(__xludf.DUMMYFUNCTION("IFERROR(
  VLOOKUP(
    A160,
    IMPORTRANGE(
      ""1SCYQd7_cobOYqT0r_F0IqD4tE4rYn5y8Eup4PJTH8es"",
      ""Snapshot!A:M""
    ),
    7,
    FALSE
  ),
  0
)
"),4978.0)</f>
        <v>4978</v>
      </c>
      <c r="AH160" s="54">
        <f>IFERROR(__xludf.DUMMYFUNCTION("IFERROR(
  VLOOKUP(
    A160,
    IMPORTRANGE(
      ""1SCYQd7_cobOYqT0r_F0IqD4tE4rYn5y8Eup4PJTH8es"",
      ""Snapshot!A:M""
    ),
    8,
    FALSE
  ),
  0
)
"),3.0)</f>
        <v>3</v>
      </c>
      <c r="AI160" s="54">
        <f>IFERROR(__xludf.DUMMYFUNCTION("IFERROR(
  VLOOKUP(
    A160,
    IMPORTRANGE(
      ""1SCYQd7_cobOYqT0r_F0IqD4tE4rYn5y8Eup4PJTH8es"",
      ""Snapshot!A:M""
    ),
    9,
    FALSE
  ),
  0
)
"),5.0)</f>
        <v>5</v>
      </c>
      <c r="AJ160" s="54">
        <f>IFERROR(__xludf.DUMMYFUNCTION("IFERROR(
  VLOOKUP(
    A160,
    IMPORTRANGE(
      ""1SCYQd7_cobOYqT0r_F0IqD4tE4rYn5y8Eup4PJTH8es"",
      ""Snapshot!A:M""
    ),
    13,
    FALSE
  ),
  0
)
"),3.0)</f>
        <v>3</v>
      </c>
      <c r="AK160" s="49">
        <f t="shared" ref="AK160:AL160" si="795">LEN(C160)</f>
        <v>81</v>
      </c>
      <c r="AL160" s="49">
        <f t="shared" si="795"/>
        <v>89</v>
      </c>
    </row>
    <row r="161">
      <c r="A161" s="3" t="s">
        <v>654</v>
      </c>
      <c r="B161" s="1" t="str">
        <f>IFERROR(__xludf.DUMMYFUNCTION("IFERROR(
  VLOOKUP(
    A161,
    IMPORTRANGE(
      ""1ZygntHC1J6IxzKbTidmOyf5nUyW4GCLurHCjexrLm_o"",
      ""HTMLキャッシュ!A:F""
    ),
    2,
    FALSE
  ),
  0
)
"),"SC")</f>
        <v>SC</v>
      </c>
      <c r="C161" s="1" t="str">
        <f>IFERROR(__xludf.DUMMYFUNCTION("IFERROR(
  VLOOKUP(
    A161,
    IMPORTRANGE(
      ""1ZygntHC1J6IxzKbTidmOyf5nUyW4GCLurHCjexrLm_o"",
      ""HTMLキャッシュ!A:F""
    ),
    5,
    FALSE
  ),
  0
)
"),"国語のオンライン個別指導とうまく付き合う方法 - 受験国語専門 読解ラボ東京 | 中学受験・大学受験対応の個別指導国語専門塾（オンライン・教室対応）")</f>
        <v>国語のオンライン個別指導とうまく付き合う方法 - 受験国語専門 読解ラボ東京 | 中学受験・大学受験対応の個別指導国語専門塾（オンライン・教室対応）</v>
      </c>
      <c r="D161" s="1" t="str">
        <f>IFERROR(__xludf.DUMMYFUNCTION("IFERROR(
  VLOOKUP(
    A161,
    IMPORTRANGE(
      ""1ZygntHC1J6IxzKbTidmOyf5nUyW4GCLurHCjexrLm_o        "",
      ""HTMLキャッシュ!A:F""
    ),
    6,
    FALSE
  ),
  0
)
"),"中学受験国語のオンライン個別指導を入れたのに成果が見えない…というご家庭向けに、語彙・漢字と読解や記述の役割分担、週1〜2回授業の活かし方を具体解説。")</f>
        <v>中学受験国語のオンライン個別指導を入れたのに成果が見えない…というご家庭向けに、語彙・漢字と読解や記述の役割分担、週1〜2回授業の活かし方を具体解説。</v>
      </c>
      <c r="E161" s="32">
        <f>IFERROR(__xludf.DUMMYFUNCTION("IFERROR(
  VLOOKUP(
    A161,
    IMPORTRANGE(
      ""1ZygntHC1J6IxzKbTidmOyf5nUyW4GCLurHCjexrLm_o        "",
      ""HTMLキャッシュ!A:F""
    ),
    3,
    FALSE
  ),
  0
)
"),46052.66905092593)</f>
        <v>46052.66905</v>
      </c>
      <c r="F161" s="49">
        <f>IFERROR(__xludf.DUMMYFUNCTION("IFERROR(
  VLOOKUP(
    A161,
    IMPORTRANGE(
      ""1ZHMy3vVUd_0MrSduXTe1etBb1HNpAlGwQr006ljwMiM"",
      ""GSC最新!A:F""
    ),
    2,
    FALSE
  ),
  0
)
"),0.0)</f>
        <v>0</v>
      </c>
      <c r="G161" s="49">
        <f>IFERROR(__xludf.DUMMYFUNCTION("IFERROR(
  VLOOKUP(
    A161,
    IMPORTRANGE(
      ""1ZHMy3vVUd_0MrSduXTe1etBb1HNpAlGwQr006ljwMiM"",
      ""GSC最新!A:F""
    ),
    3,
    FALSE
  ),
  0
)
"),0.0)</f>
        <v>0</v>
      </c>
      <c r="H161" s="49">
        <f>IFERROR(__xludf.DUMMYFUNCTION("IFERROR(
  VLOOKUP(
    A161,
    IMPORTRANGE(
      ""1ZHMy3vVUd_0MrSduXTe1etBb1HNpAlGwQr006ljwMiM"",
      ""GSC最新!A:F""
    ),
    4,
    FALSE
  ),
  0
)
"),0.0)</f>
        <v>0</v>
      </c>
      <c r="I161" s="49">
        <f>IFERROR(__xludf.DUMMYFUNCTION("IFERROR(
  VLOOKUP(
    A161,
    IMPORTRANGE(
      ""1ZHMy3vVUd_0MrSduXTe1etBb1HNpAlGwQr006ljwMiM"",
      ""GSC最新!A:F""
    ),
    5,
    FALSE
  ),
  0
)
"),0.0)</f>
        <v>0</v>
      </c>
      <c r="J161" s="50" t="str">
        <f t="shared" ref="J161:K161" si="796">IFERROR(F161/H161,"-")</f>
        <v>-</v>
      </c>
      <c r="K161" s="50" t="str">
        <f t="shared" si="796"/>
        <v>-</v>
      </c>
      <c r="L161" s="6">
        <f>IFERROR(__xludf.DUMMYFUNCTION("IFERROR(
  VLOOKUP(
    A161,
    IMPORTRANGE(
      ""1ZHMy3vVUd_0MrSduXTe1etBb1HNpAlGwQr006ljwMiM"",
      ""GSC最新!A:R""
    ),
    7,
    FALSE
  ),
  0
)
"),2.0)</f>
        <v>2</v>
      </c>
      <c r="M161" s="6">
        <f>IFERROR(__xludf.DUMMYFUNCTION("IFERROR(
  VLOOKUP(
    A161,
    IMPORTRANGE(
      ""1ZHMy3vVUd_0MrSduXTe1etBb1HNpAlGwQr006ljwMiM"",
      ""GSC最新!A:R""
    ),
    10,
    FALSE
  ),
  0
)
"),16.0)</f>
        <v>16</v>
      </c>
      <c r="N161" s="6">
        <f>IFERROR(__xludf.DUMMYFUNCTION("IFERROR(
  VLOOKUP(
    A161,
    IMPORTRANGE(
      ""1ZHMy3vVUd_0MrSduXTe1etBb1HNpAlGwQr006ljwMiM"",
      ""GSC最新!A:R""
    ),
    13,
    FALSE
  ),
  0
)
"),0.0)</f>
        <v>0</v>
      </c>
      <c r="O161" s="6">
        <f>IFERROR(__xludf.DUMMYFUNCTION("IFERROR(
  VLOOKUP(
    A161,
    IMPORTRANGE(
      ""1ZHMy3vVUd_0MrSduXTe1etBb1HNpAlGwQr006ljwMiM"",
      ""GSC最新!A:R""
    ),
    16,
    FALSE
  ),
  0
)
"),0.0)</f>
        <v>0</v>
      </c>
      <c r="P161" s="51" t="str">
        <f t="shared" ref="P161:Q161" si="797">IFERROR(L161/N161,"-")</f>
        <v>-</v>
      </c>
      <c r="Q161" s="51" t="str">
        <f t="shared" si="797"/>
        <v>-</v>
      </c>
      <c r="R161" s="9">
        <f>IFERROR(__xludf.DUMMYFUNCTION("IFERROR(
  VLOOKUP(
    A161,
    IMPORTRANGE(
      ""1ZHMy3vVUd_0MrSduXTe1etBb1HNpAlGwQr006ljwMiM"",
      ""GSC最新!A:R""
    ),
    8,
    FALSE
  ),
  0
)
"),0.0)</f>
        <v>0</v>
      </c>
      <c r="S161" s="9">
        <f>IFERROR(__xludf.DUMMYFUNCTION("IFERROR(
  VLOOKUP(
    A161,
    IMPORTRANGE(
      ""1ZHMy3vVUd_0MrSduXTe1etBb1HNpAlGwQr006ljwMiM"",
      ""GSC最新!A:R""
    ),
    11,
    FALSE
  ),
  0
)
"),0.0)</f>
        <v>0</v>
      </c>
      <c r="T161" s="9">
        <f>IFERROR(__xludf.DUMMYFUNCTION("IFERROR(
  VLOOKUP(
    A161,
    IMPORTRANGE(
      ""1ZHMy3vVUd_0MrSduXTe1etBb1HNpAlGwQr006ljwMiM"",
      ""GSC最新!A:R""
    ),
    14,
    FALSE
  ),
  0
)
"),0.0)</f>
        <v>0</v>
      </c>
      <c r="U161" s="9">
        <f>IFERROR(__xludf.DUMMYFUNCTION("IFERROR(
  VLOOKUP(
    A161,
    IMPORTRANGE(
      ""1ZHMy3vVUd_0MrSduXTe1etBb1HNpAlGwQr006ljwMiM"",
      ""GSC最新!A:R""
    ),
    17,
    FALSE
  ),
  0
)
"),0.0)</f>
        <v>0</v>
      </c>
      <c r="V161" s="9">
        <f t="shared" ref="V161:W161" si="798">IFERROR(R161-T161,"-")</f>
        <v>0</v>
      </c>
      <c r="W161" s="9">
        <f t="shared" si="798"/>
        <v>0</v>
      </c>
      <c r="X161" s="65">
        <f>IFERROR(__xludf.DUMMYFUNCTION("IFERROR(
  VLOOKUP(
    A161,
    IMPORTRANGE(
      ""1ZHMy3vVUd_0MrSduXTe1etBb1HNpAlGwQr006ljwMiM"",
      ""GSC最新!A:R""
    ),
    9,
    FALSE
  ),
  0
)
"),9.0)</f>
        <v>9</v>
      </c>
      <c r="Y161" s="65">
        <f>IFERROR(__xludf.DUMMYFUNCTION("IFERROR(
  VLOOKUP(
    A161,
    IMPORTRANGE(
      ""1ZHMy3vVUd_0MrSduXTe1etBb1HNpAlGwQr006ljwMiM"",
      ""GSC最新!A:R""
    ),
    12,
    FALSE
  ),
  0
)
"),6.25)</f>
        <v>6.25</v>
      </c>
      <c r="Z161" s="65" t="str">
        <f>IFERROR(__xludf.DUMMYFUNCTION("IFERROR(
  VLOOKUP(
    A161,
    IMPORTRANGE(
      ""1ZHMy3vVUd_0MrSduXTe1etBb1HNpAlGwQr006ljwMiM"",
      ""GSC最新!A:R""
    ),
    15,
    FALSE
  ),
  0
)
"),"")</f>
        <v/>
      </c>
      <c r="AA161" s="65" t="str">
        <f>IFERROR(__xludf.DUMMYFUNCTION("IFERROR(
  VLOOKUP(
    A161,
    IMPORTRANGE(
      ""1ZHMy3vVUd_0MrSduXTe1etBb1HNpAlGwQr006ljwMiM"",
      ""GSC最新!A:R""
    ),
    18,
    FALSE
  ),
  0
)
"),"")</f>
        <v/>
      </c>
      <c r="AB161" s="65">
        <f t="shared" ref="AB161:AC161" si="799">X161-Z161</f>
        <v>9</v>
      </c>
      <c r="AC161" s="65">
        <f t="shared" si="799"/>
        <v>6.25</v>
      </c>
      <c r="AD161" s="53">
        <f>IFERROR(__xludf.DUMMYFUNCTION("IFERROR(
  VLOOKUP(
    A161,
    IMPORTRANGE(
      ""1ZHMy3vVUd_0MrSduXTe1etBb1HNpAlGwQr006ljwMiM"",
      ""GSC最新!A:F""
    ),
    6,
    FALSE
  ),
  0
)
"),46081.0)</f>
        <v>46081</v>
      </c>
      <c r="AE161" s="54">
        <f>IFERROR(__xludf.DUMMYFUNCTION("IFERROR(
  VLOOKUP(
    A161,
    IMPORTRANGE(
      ""1SCYQd7_cobOYqT0r_F0IqD4tE4rYn5y8Eup4PJTH8es"",
      ""Snapshot!A:M""
    ),
    5,
    FALSE
  ),
  ""-""
)
"),12.0)</f>
        <v>12</v>
      </c>
      <c r="AF161" s="54">
        <f>IFERROR(__xludf.DUMMYFUNCTION("IFERROR(
  VLOOKUP(
    A161,
    IMPORTRANGE(
      ""1SCYQd7_cobOYqT0r_F0IqD4tE4rYn5y8Eup4PJTH8es"",
      ""Snapshot!A:M""
    ),
    6,
    FALSE
  ),
  0
)
"),17.0)</f>
        <v>17</v>
      </c>
      <c r="AG161" s="54">
        <f>IFERROR(__xludf.DUMMYFUNCTION("IFERROR(
  VLOOKUP(
    A161,
    IMPORTRANGE(
      ""1SCYQd7_cobOYqT0r_F0IqD4tE4rYn5y8Eup4PJTH8es"",
      ""Snapshot!A:M""
    ),
    7,
    FALSE
  ),
  0
)
"),7221.0)</f>
        <v>7221</v>
      </c>
      <c r="AH161" s="54">
        <f>IFERROR(__xludf.DUMMYFUNCTION("IFERROR(
  VLOOKUP(
    A161,
    IMPORTRANGE(
      ""1SCYQd7_cobOYqT0r_F0IqD4tE4rYn5y8Eup4PJTH8es"",
      ""Snapshot!A:M""
    ),
    8,
    FALSE
  ),
  0
)
"),2.0)</f>
        <v>2</v>
      </c>
      <c r="AI161" s="54">
        <f>IFERROR(__xludf.DUMMYFUNCTION("IFERROR(
  VLOOKUP(
    A161,
    IMPORTRANGE(
      ""1SCYQd7_cobOYqT0r_F0IqD4tE4rYn5y8Eup4PJTH8es"",
      ""Snapshot!A:M""
    ),
    9,
    FALSE
  ),
  0
)
"),1.0)</f>
        <v>1</v>
      </c>
      <c r="AJ161" s="54">
        <f>IFERROR(__xludf.DUMMYFUNCTION("IFERROR(
  VLOOKUP(
    A161,
    IMPORTRANGE(
      ""1SCYQd7_cobOYqT0r_F0IqD4tE4rYn5y8Eup4PJTH8es"",
      ""Snapshot!A:M""
    ),
    13,
    FALSE
  ),
  0
)
"),3.0)</f>
        <v>3</v>
      </c>
      <c r="AK161" s="49">
        <f t="shared" ref="AK161:AL161" si="800">LEN(C161)</f>
        <v>74</v>
      </c>
      <c r="AL161" s="49">
        <f t="shared" si="800"/>
        <v>75</v>
      </c>
    </row>
    <row r="162">
      <c r="A162" s="56" t="s">
        <v>655</v>
      </c>
      <c r="B162" s="1" t="str">
        <f>IFERROR(__xludf.DUMMYFUNCTION("IFERROR(
  VLOOKUP(
    A162,
    IMPORTRANGE(
      ""1ZygntHC1J6IxzKbTidmOyf5nUyW4GCLurHCjexrLm_o"",
      ""HTMLキャッシュ!A:F""
    ),
    2,
    FALSE
  ),
  0
)
"),"SC")</f>
        <v>SC</v>
      </c>
      <c r="C162" s="1" t="str">
        <f>IFERROR(__xludf.DUMMYFUNCTION("IFERROR(
  VLOOKUP(
    A162,
    IMPORTRANGE(
      ""1ZygntHC1J6IxzKbTidmOyf5nUyW4GCLurHCjexrLm_o"",
      ""HTMLキャッシュ!A:F""
    ),
    5,
    FALSE
  ),
  0
)
"),"SAPIX生がつまずきやすい設問パターンの分析とオンライン改善法 - 受験国語専門 読解ラボ東京 | 中学受験・大学受験対応の個別指導国語専門塾（オンライン・教室対応）")</f>
        <v>SAPIX生がつまずきやすい設問パターンの分析とオンライン改善法 - 受験国語専門 読解ラボ東京 | 中学受験・大学受験対応の個別指導国語専門塾（オンライン・教室対応）</v>
      </c>
      <c r="D162" s="1" t="str">
        <f>IFERROR(__xludf.DUMMYFUNCTION("IFERROR(
  VLOOKUP(
    A162,
    IMPORTRANGE(
      ""1ZygntHC1J6IxzKbTidmOyf5nUyW4GCLurHCjexrLm_o        "",
      ""HTMLキャッシュ!A:F""
    ),
    6,
    FALSE
  ),
  0
)
"),"SAPIX国語で「読めているのに点が伸びない」原因は、抜き出し範囲・根拠比較・言い換え・条件管理のズレにあります。典型パターンとオンライン個別での改善手順、過去問の直し方まで保護者向けに解説。")</f>
        <v>SAPIX国語で「読めているのに点が伸びない」原因は、抜き出し範囲・根拠比較・言い換え・条件管理のズレにあります。典型パターンとオンライン個別での改善手順、過去問の直し方まで保護者向けに解説。</v>
      </c>
      <c r="E162" s="32">
        <f>IFERROR(__xludf.DUMMYFUNCTION("IFERROR(
  VLOOKUP(
    A162,
    IMPORTRANGE(
      ""1ZygntHC1J6IxzKbTidmOyf5nUyW4GCLurHCjexrLm_o        "",
      ""HTMLキャッシュ!A:F""
    ),
    3,
    FALSE
  ),
  0
)
"),46052.53912037037)</f>
        <v>46052.53912</v>
      </c>
      <c r="F162" s="49">
        <f>IFERROR(__xludf.DUMMYFUNCTION("IFERROR(
  VLOOKUP(
    A162,
    IMPORTRANGE(
      ""1ZHMy3vVUd_0MrSduXTe1etBb1HNpAlGwQr006ljwMiM"",
      ""GSC最新!A:F""
    ),
    2,
    FALSE
  ),
  0
)
"),0.0)</f>
        <v>0</v>
      </c>
      <c r="G162" s="49">
        <f>IFERROR(__xludf.DUMMYFUNCTION("IFERROR(
  VLOOKUP(
    A162,
    IMPORTRANGE(
      ""1ZHMy3vVUd_0MrSduXTe1etBb1HNpAlGwQr006ljwMiM"",
      ""GSC最新!A:F""
    ),
    3,
    FALSE
  ),
  0
)
"),0.0)</f>
        <v>0</v>
      </c>
      <c r="H162" s="49">
        <f>IFERROR(__xludf.DUMMYFUNCTION("IFERROR(
  VLOOKUP(
    A162,
    IMPORTRANGE(
      ""1ZHMy3vVUd_0MrSduXTe1etBb1HNpAlGwQr006ljwMiM"",
      ""GSC最新!A:F""
    ),
    4,
    FALSE
  ),
  0
)
"),0.0)</f>
        <v>0</v>
      </c>
      <c r="I162" s="49">
        <f>IFERROR(__xludf.DUMMYFUNCTION("IFERROR(
  VLOOKUP(
    A162,
    IMPORTRANGE(
      ""1ZHMy3vVUd_0MrSduXTe1etBb1HNpAlGwQr006ljwMiM"",
      ""GSC最新!A:F""
    ),
    5,
    FALSE
  ),
  0
)
"),0.0)</f>
        <v>0</v>
      </c>
      <c r="J162" s="50" t="str">
        <f t="shared" ref="J162:K162" si="801">IFERROR(F162/H162,"-")</f>
        <v>-</v>
      </c>
      <c r="K162" s="50" t="str">
        <f t="shared" si="801"/>
        <v>-</v>
      </c>
      <c r="L162" s="6">
        <f>IFERROR(__xludf.DUMMYFUNCTION("IFERROR(
  VLOOKUP(
    A162,
    IMPORTRANGE(
      ""1ZHMy3vVUd_0MrSduXTe1etBb1HNpAlGwQr006ljwMiM"",
      ""GSC最新!A:R""
    ),
    7,
    FALSE
  ),
  0
)
"),12.0)</f>
        <v>12</v>
      </c>
      <c r="M162" s="6">
        <f>IFERROR(__xludf.DUMMYFUNCTION("IFERROR(
  VLOOKUP(
    A162,
    IMPORTRANGE(
      ""1ZHMy3vVUd_0MrSduXTe1etBb1HNpAlGwQr006ljwMiM"",
      ""GSC最新!A:R""
    ),
    10,
    FALSE
  ),
  0
)
"),22.0)</f>
        <v>22</v>
      </c>
      <c r="N162" s="6">
        <f>IFERROR(__xludf.DUMMYFUNCTION("IFERROR(
  VLOOKUP(
    A162,
    IMPORTRANGE(
      ""1ZHMy3vVUd_0MrSduXTe1etBb1HNpAlGwQr006ljwMiM"",
      ""GSC最新!A:R""
    ),
    13,
    FALSE
  ),
  0
)
"),0.0)</f>
        <v>0</v>
      </c>
      <c r="O162" s="6">
        <f>IFERROR(__xludf.DUMMYFUNCTION("IFERROR(
  VLOOKUP(
    A162,
    IMPORTRANGE(
      ""1ZHMy3vVUd_0MrSduXTe1etBb1HNpAlGwQr006ljwMiM"",
      ""GSC最新!A:R""
    ),
    16,
    FALSE
  ),
  0
)
"),0.0)</f>
        <v>0</v>
      </c>
      <c r="P162" s="51" t="str">
        <f t="shared" ref="P162:Q162" si="802">IFERROR(L162/N162,"-")</f>
        <v>-</v>
      </c>
      <c r="Q162" s="51" t="str">
        <f t="shared" si="802"/>
        <v>-</v>
      </c>
      <c r="R162" s="9">
        <f>IFERROR(__xludf.DUMMYFUNCTION("IFERROR(
  VLOOKUP(
    A162,
    IMPORTRANGE(
      ""1ZHMy3vVUd_0MrSduXTe1etBb1HNpAlGwQr006ljwMiM"",
      ""GSC最新!A:R""
    ),
    8,
    FALSE
  ),
  0
)
"),0.0)</f>
        <v>0</v>
      </c>
      <c r="S162" s="9">
        <f>IFERROR(__xludf.DUMMYFUNCTION("IFERROR(
  VLOOKUP(
    A162,
    IMPORTRANGE(
      ""1ZHMy3vVUd_0MrSduXTe1etBb1HNpAlGwQr006ljwMiM"",
      ""GSC最新!A:R""
    ),
    11,
    FALSE
  ),
  0
)
"),0.0)</f>
        <v>0</v>
      </c>
      <c r="T162" s="9">
        <f>IFERROR(__xludf.DUMMYFUNCTION("IFERROR(
  VLOOKUP(
    A162,
    IMPORTRANGE(
      ""1ZHMy3vVUd_0MrSduXTe1etBb1HNpAlGwQr006ljwMiM"",
      ""GSC最新!A:R""
    ),
    14,
    FALSE
  ),
  0
)
"),0.0)</f>
        <v>0</v>
      </c>
      <c r="U162" s="9">
        <f>IFERROR(__xludf.DUMMYFUNCTION("IFERROR(
  VLOOKUP(
    A162,
    IMPORTRANGE(
      ""1ZHMy3vVUd_0MrSduXTe1etBb1HNpAlGwQr006ljwMiM"",
      ""GSC最新!A:R""
    ),
    17,
    FALSE
  ),
  0
)
"),0.0)</f>
        <v>0</v>
      </c>
      <c r="V162" s="9">
        <f t="shared" ref="V162:W162" si="803">IFERROR(R162-T162,"-")</f>
        <v>0</v>
      </c>
      <c r="W162" s="9">
        <f t="shared" si="803"/>
        <v>0</v>
      </c>
      <c r="X162" s="65">
        <f>IFERROR(__xludf.DUMMYFUNCTION("IFERROR(
  VLOOKUP(
    A162,
    IMPORTRANGE(
      ""1ZHMy3vVUd_0MrSduXTe1etBb1HNpAlGwQr006ljwMiM"",
      ""GSC最新!A:R""
    ),
    9,
    FALSE
  ),
  0
)
"),4.25)</f>
        <v>4.25</v>
      </c>
      <c r="Y162" s="65">
        <f>IFERROR(__xludf.DUMMYFUNCTION("IFERROR(
  VLOOKUP(
    A162,
    IMPORTRANGE(
      ""1ZHMy3vVUd_0MrSduXTe1etBb1HNpAlGwQr006ljwMiM"",
      ""GSC最新!A:R""
    ),
    12,
    FALSE
  ),
  0
)
"),5.090909090909091)</f>
        <v>5.090909091</v>
      </c>
      <c r="Z162" s="65" t="str">
        <f>IFERROR(__xludf.DUMMYFUNCTION("IFERROR(
  VLOOKUP(
    A162,
    IMPORTRANGE(
      ""1ZHMy3vVUd_0MrSduXTe1etBb1HNpAlGwQr006ljwMiM"",
      ""GSC最新!A:R""
    ),
    15,
    FALSE
  ),
  0
)
"),"")</f>
        <v/>
      </c>
      <c r="AA162" s="65" t="str">
        <f>IFERROR(__xludf.DUMMYFUNCTION("IFERROR(
  VLOOKUP(
    A162,
    IMPORTRANGE(
      ""1ZHMy3vVUd_0MrSduXTe1etBb1HNpAlGwQr006ljwMiM"",
      ""GSC最新!A:R""
    ),
    18,
    FALSE
  ),
  0
)
"),"")</f>
        <v/>
      </c>
      <c r="AB162" s="65">
        <f t="shared" ref="AB162:AC162" si="804">X162-Z162</f>
        <v>4.25</v>
      </c>
      <c r="AC162" s="65">
        <f t="shared" si="804"/>
        <v>5.090909091</v>
      </c>
      <c r="AD162" s="53">
        <f>IFERROR(__xludf.DUMMYFUNCTION("IFERROR(
  VLOOKUP(
    A162,
    IMPORTRANGE(
      ""1ZHMy3vVUd_0MrSduXTe1etBb1HNpAlGwQr006ljwMiM"",
      ""GSC最新!A:F""
    ),
    6,
    FALSE
  ),
  0
)
"),46081.0)</f>
        <v>46081</v>
      </c>
      <c r="AE162" s="54">
        <f>IFERROR(__xludf.DUMMYFUNCTION("IFERROR(
  VLOOKUP(
    A162,
    IMPORTRANGE(
      ""1SCYQd7_cobOYqT0r_F0IqD4tE4rYn5y8Eup4PJTH8es"",
      ""Snapshot!A:M""
    ),
    5,
    FALSE
  ),
  ""-""
)
"),8.0)</f>
        <v>8</v>
      </c>
      <c r="AF162" s="54">
        <f>IFERROR(__xludf.DUMMYFUNCTION("IFERROR(
  VLOOKUP(
    A162,
    IMPORTRANGE(
      ""1SCYQd7_cobOYqT0r_F0IqD4tE4rYn5y8Eup4PJTH8es"",
      ""Snapshot!A:M""
    ),
    6,
    FALSE
  ),
  0
)
"),9.0)</f>
        <v>9</v>
      </c>
      <c r="AG162" s="54">
        <f>IFERROR(__xludf.DUMMYFUNCTION("IFERROR(
  VLOOKUP(
    A162,
    IMPORTRANGE(
      ""1SCYQd7_cobOYqT0r_F0IqD4tE4rYn5y8Eup4PJTH8es"",
      ""Snapshot!A:M""
    ),
    7,
    FALSE
  ),
  0
)
"),5024.0)</f>
        <v>5024</v>
      </c>
      <c r="AH162" s="54">
        <f>IFERROR(__xludf.DUMMYFUNCTION("IFERROR(
  VLOOKUP(
    A162,
    IMPORTRANGE(
      ""1SCYQd7_cobOYqT0r_F0IqD4tE4rYn5y8Eup4PJTH8es"",
      ""Snapshot!A:M""
    ),
    8,
    FALSE
  ),
  0
)
"),3.0)</f>
        <v>3</v>
      </c>
      <c r="AI162" s="54">
        <f>IFERROR(__xludf.DUMMYFUNCTION("IFERROR(
  VLOOKUP(
    A162,
    IMPORTRANGE(
      ""1SCYQd7_cobOYqT0r_F0IqD4tE4rYn5y8Eup4PJTH8es"",
      ""Snapshot!A:M""
    ),
    9,
    FALSE
  ),
  0
)
"),4.0)</f>
        <v>4</v>
      </c>
      <c r="AJ162" s="54">
        <f>IFERROR(__xludf.DUMMYFUNCTION("IFERROR(
  VLOOKUP(
    A162,
    IMPORTRANGE(
      ""1SCYQd7_cobOYqT0r_F0IqD4tE4rYn5y8Eup4PJTH8es"",
      ""Snapshot!A:M""
    ),
    13,
    FALSE
  ),
  0
)
"),3.0)</f>
        <v>3</v>
      </c>
      <c r="AK162" s="49">
        <f t="shared" ref="AK162:AL162" si="805">LEN(C162)</f>
        <v>84</v>
      </c>
      <c r="AL162" s="49">
        <f t="shared" si="805"/>
        <v>96</v>
      </c>
    </row>
    <row r="163">
      <c r="A163" s="3" t="s">
        <v>656</v>
      </c>
      <c r="B163" s="1" t="str">
        <f>IFERROR(__xludf.DUMMYFUNCTION("IFERROR(
  VLOOKUP(
    A163,
    IMPORTRANGE(
      ""1ZygntHC1J6IxzKbTidmOyf5nUyW4GCLurHCjexrLm_o"",
      ""HTMLキャッシュ!A:F""
    ),
    2,
    FALSE
  ),
  0
)
"),"SC")</f>
        <v>SC</v>
      </c>
      <c r="C163" s="1" t="str">
        <f>IFERROR(__xludf.DUMMYFUNCTION("IFERROR(
  VLOOKUP(
    A163,
    IMPORTRANGE(
      ""1ZygntHC1J6IxzKbTidmOyf5nUyW4GCLurHCjexrLm_o"",
      ""HTMLキャッシュ!A:F""
    ),
    5,
    FALSE
  ),
  0
)
"),"説明文の読み方が分からない子へのオンライン指導アプローチ - 受験国語専門 読解ラボ東京 | 中学受験・大学受験対応の個別指導国語専門塾（オンライン・教室対応）")</f>
        <v>説明文の読み方が分からない子へのオンライン指導アプローチ - 受験国語専門 読解ラボ東京 | 中学受験・大学受験対応の個別指導国語専門塾（オンライン・教室対応）</v>
      </c>
      <c r="D163" s="1" t="str">
        <f>IFERROR(__xludf.DUMMYFUNCTION("IFERROR(
  VLOOKUP(
    A163,
    IMPORTRANGE(
      ""1ZygntHC1J6IxzKbTidmOyf5nUyW4GCLurHCjexrLm_o        "",
      ""HTMLキャッシュ!A:F""
    ),
    6,
    FALSE
  ),
  0
)
"),"中学受験の説明文が苦手な小学生向けに、何について説明しているかを段落ごとに整理し、対比・具体例・結論を色分けするオンライン国語個別指導のアプローチと家庭でのフォローを紹介。")</f>
        <v>中学受験の説明文が苦手な小学生向けに、何について説明しているかを段落ごとに整理し、対比・具体例・結論を色分けするオンライン国語個別指導のアプローチと家庭でのフォローを紹介。</v>
      </c>
      <c r="E163" s="32">
        <f>IFERROR(__xludf.DUMMYFUNCTION("IFERROR(
  VLOOKUP(
    A163,
    IMPORTRANGE(
      ""1ZygntHC1J6IxzKbTidmOyf5nUyW4GCLurHCjexrLm_o        "",
      ""HTMLキャッシュ!A:F""
    ),
    3,
    FALSE
  ),
  0
)
"),46052.69116898148)</f>
        <v>46052.69117</v>
      </c>
      <c r="F163" s="49">
        <f>IFERROR(__xludf.DUMMYFUNCTION("IFERROR(
  VLOOKUP(
    A163,
    IMPORTRANGE(
      ""1ZHMy3vVUd_0MrSduXTe1etBb1HNpAlGwQr006ljwMiM"",
      ""GSC最新!A:F""
    ),
    2,
    FALSE
  ),
  0
)
"),0.0)</f>
        <v>0</v>
      </c>
      <c r="G163" s="49">
        <f>IFERROR(__xludf.DUMMYFUNCTION("IFERROR(
  VLOOKUP(
    A163,
    IMPORTRANGE(
      ""1ZHMy3vVUd_0MrSduXTe1etBb1HNpAlGwQr006ljwMiM"",
      ""GSC最新!A:F""
    ),
    3,
    FALSE
  ),
  0
)
"),0.0)</f>
        <v>0</v>
      </c>
      <c r="H163" s="49">
        <f>IFERROR(__xludf.DUMMYFUNCTION("IFERROR(
  VLOOKUP(
    A163,
    IMPORTRANGE(
      ""1ZHMy3vVUd_0MrSduXTe1etBb1HNpAlGwQr006ljwMiM"",
      ""GSC最新!A:F""
    ),
    4,
    FALSE
  ),
  0
)
"),0.0)</f>
        <v>0</v>
      </c>
      <c r="I163" s="49">
        <f>IFERROR(__xludf.DUMMYFUNCTION("IFERROR(
  VLOOKUP(
    A163,
    IMPORTRANGE(
      ""1ZHMy3vVUd_0MrSduXTe1etBb1HNpAlGwQr006ljwMiM"",
      ""GSC最新!A:F""
    ),
    5,
    FALSE
  ),
  0
)
"),0.0)</f>
        <v>0</v>
      </c>
      <c r="J163" s="50" t="str">
        <f t="shared" ref="J163:K163" si="806">IFERROR(F163/H163,"-")</f>
        <v>-</v>
      </c>
      <c r="K163" s="50" t="str">
        <f t="shared" si="806"/>
        <v>-</v>
      </c>
      <c r="L163" s="6">
        <f>IFERROR(__xludf.DUMMYFUNCTION("IFERROR(
  VLOOKUP(
    A163,
    IMPORTRANGE(
      ""1ZHMy3vVUd_0MrSduXTe1etBb1HNpAlGwQr006ljwMiM"",
      ""GSC最新!A:R""
    ),
    7,
    FALSE
  ),
  0
)
"),6.0)</f>
        <v>6</v>
      </c>
      <c r="M163" s="6">
        <f>IFERROR(__xludf.DUMMYFUNCTION("IFERROR(
  VLOOKUP(
    A163,
    IMPORTRANGE(
      ""1ZHMy3vVUd_0MrSduXTe1etBb1HNpAlGwQr006ljwMiM"",
      ""GSC最新!A:R""
    ),
    10,
    FALSE
  ),
  0
)
"),26.0)</f>
        <v>26</v>
      </c>
      <c r="N163" s="6">
        <f>IFERROR(__xludf.DUMMYFUNCTION("IFERROR(
  VLOOKUP(
    A163,
    IMPORTRANGE(
      ""1ZHMy3vVUd_0MrSduXTe1etBb1HNpAlGwQr006ljwMiM"",
      ""GSC最新!A:R""
    ),
    13,
    FALSE
  ),
  0
)
"),0.0)</f>
        <v>0</v>
      </c>
      <c r="O163" s="6">
        <f>IFERROR(__xludf.DUMMYFUNCTION("IFERROR(
  VLOOKUP(
    A163,
    IMPORTRANGE(
      ""1ZHMy3vVUd_0MrSduXTe1etBb1HNpAlGwQr006ljwMiM"",
      ""GSC最新!A:R""
    ),
    16,
    FALSE
  ),
  0
)
"),0.0)</f>
        <v>0</v>
      </c>
      <c r="P163" s="51" t="str">
        <f t="shared" ref="P163:Q163" si="807">IFERROR(L163/N163,"-")</f>
        <v>-</v>
      </c>
      <c r="Q163" s="51" t="str">
        <f t="shared" si="807"/>
        <v>-</v>
      </c>
      <c r="R163" s="9">
        <f>IFERROR(__xludf.DUMMYFUNCTION("IFERROR(
  VLOOKUP(
    A163,
    IMPORTRANGE(
      ""1ZHMy3vVUd_0MrSduXTe1etBb1HNpAlGwQr006ljwMiM"",
      ""GSC最新!A:R""
    ),
    8,
    FALSE
  ),
  0
)
"),0.0)</f>
        <v>0</v>
      </c>
      <c r="S163" s="9">
        <f>IFERROR(__xludf.DUMMYFUNCTION("IFERROR(
  VLOOKUP(
    A163,
    IMPORTRANGE(
      ""1ZHMy3vVUd_0MrSduXTe1etBb1HNpAlGwQr006ljwMiM"",
      ""GSC最新!A:R""
    ),
    11,
    FALSE
  ),
  0
)
"),0.0)</f>
        <v>0</v>
      </c>
      <c r="T163" s="9">
        <f>IFERROR(__xludf.DUMMYFUNCTION("IFERROR(
  VLOOKUP(
    A163,
    IMPORTRANGE(
      ""1ZHMy3vVUd_0MrSduXTe1etBb1HNpAlGwQr006ljwMiM"",
      ""GSC最新!A:R""
    ),
    14,
    FALSE
  ),
  0
)
"),0.0)</f>
        <v>0</v>
      </c>
      <c r="U163" s="9">
        <f>IFERROR(__xludf.DUMMYFUNCTION("IFERROR(
  VLOOKUP(
    A163,
    IMPORTRANGE(
      ""1ZHMy3vVUd_0MrSduXTe1etBb1HNpAlGwQr006ljwMiM"",
      ""GSC最新!A:R""
    ),
    17,
    FALSE
  ),
  0
)
"),0.0)</f>
        <v>0</v>
      </c>
      <c r="V163" s="9">
        <f t="shared" ref="V163:W163" si="808">IFERROR(R163-T163,"-")</f>
        <v>0</v>
      </c>
      <c r="W163" s="9">
        <f t="shared" si="808"/>
        <v>0</v>
      </c>
      <c r="X163" s="65">
        <f>IFERROR(__xludf.DUMMYFUNCTION("IFERROR(
  VLOOKUP(
    A163,
    IMPORTRANGE(
      ""1ZHMy3vVUd_0MrSduXTe1etBb1HNpAlGwQr006ljwMiM"",
      ""GSC最新!A:R""
    ),
    9,
    FALSE
  ),
  0
)
"),7.833333333333333)</f>
        <v>7.833333333</v>
      </c>
      <c r="Y163" s="65">
        <f>IFERROR(__xludf.DUMMYFUNCTION("IFERROR(
  VLOOKUP(
    A163,
    IMPORTRANGE(
      ""1ZHMy3vVUd_0MrSduXTe1etBb1HNpAlGwQr006ljwMiM"",
      ""GSC最新!A:R""
    ),
    12,
    FALSE
  ),
  0
)
"),6.6923076923076925)</f>
        <v>6.692307692</v>
      </c>
      <c r="Z163" s="65" t="str">
        <f>IFERROR(__xludf.DUMMYFUNCTION("IFERROR(
  VLOOKUP(
    A163,
    IMPORTRANGE(
      ""1ZHMy3vVUd_0MrSduXTe1etBb1HNpAlGwQr006ljwMiM"",
      ""GSC最新!A:R""
    ),
    15,
    FALSE
  ),
  0
)
"),"")</f>
        <v/>
      </c>
      <c r="AA163" s="65" t="str">
        <f>IFERROR(__xludf.DUMMYFUNCTION("IFERROR(
  VLOOKUP(
    A163,
    IMPORTRANGE(
      ""1ZHMy3vVUd_0MrSduXTe1etBb1HNpAlGwQr006ljwMiM"",
      ""GSC最新!A:R""
    ),
    18,
    FALSE
  ),
  0
)
"),"")</f>
        <v/>
      </c>
      <c r="AB163" s="65">
        <f t="shared" ref="AB163:AC163" si="809">X163-Z163</f>
        <v>7.833333333</v>
      </c>
      <c r="AC163" s="65">
        <f t="shared" si="809"/>
        <v>6.692307692</v>
      </c>
      <c r="AD163" s="53">
        <f>IFERROR(__xludf.DUMMYFUNCTION("IFERROR(
  VLOOKUP(
    A163,
    IMPORTRANGE(
      ""1ZHMy3vVUd_0MrSduXTe1etBb1HNpAlGwQr006ljwMiM"",
      ""GSC最新!A:F""
    ),
    6,
    FALSE
  ),
  0
)
"),46081.0)</f>
        <v>46081</v>
      </c>
      <c r="AE163" s="54">
        <f>IFERROR(__xludf.DUMMYFUNCTION("IFERROR(
  VLOOKUP(
    A163,
    IMPORTRANGE(
      ""1SCYQd7_cobOYqT0r_F0IqD4tE4rYn5y8Eup4PJTH8es"",
      ""Snapshot!A:M""
    ),
    5,
    FALSE
  ),
  ""-""
)
"),11.0)</f>
        <v>11</v>
      </c>
      <c r="AF163" s="54">
        <f>IFERROR(__xludf.DUMMYFUNCTION("IFERROR(
  VLOOKUP(
    A163,
    IMPORTRANGE(
      ""1SCYQd7_cobOYqT0r_F0IqD4tE4rYn5y8Eup4PJTH8es"",
      ""Snapshot!A:M""
    ),
    6,
    FALSE
  ),
  0
)
"),20.0)</f>
        <v>20</v>
      </c>
      <c r="AG163" s="54">
        <f>IFERROR(__xludf.DUMMYFUNCTION("IFERROR(
  VLOOKUP(
    A163,
    IMPORTRANGE(
      ""1SCYQd7_cobOYqT0r_F0IqD4tE4rYn5y8Eup4PJTH8es"",
      ""Snapshot!A:M""
    ),
    7,
    FALSE
  ),
  0
)
"),7232.0)</f>
        <v>7232</v>
      </c>
      <c r="AH163" s="54">
        <f>IFERROR(__xludf.DUMMYFUNCTION("IFERROR(
  VLOOKUP(
    A163,
    IMPORTRANGE(
      ""1SCYQd7_cobOYqT0r_F0IqD4tE4rYn5y8Eup4PJTH8es"",
      ""Snapshot!A:M""
    ),
    8,
    FALSE
  ),
  0
)
"),3.0)</f>
        <v>3</v>
      </c>
      <c r="AI163" s="54">
        <f>IFERROR(__xludf.DUMMYFUNCTION("IFERROR(
  VLOOKUP(
    A163,
    IMPORTRANGE(
      ""1SCYQd7_cobOYqT0r_F0IqD4tE4rYn5y8Eup4PJTH8es"",
      ""Snapshot!A:M""
    ),
    9,
    FALSE
  ),
  0
)
"),1.0)</f>
        <v>1</v>
      </c>
      <c r="AJ163" s="54">
        <f>IFERROR(__xludf.DUMMYFUNCTION("IFERROR(
  VLOOKUP(
    A163,
    IMPORTRANGE(
      ""1SCYQd7_cobOYqT0r_F0IqD4tE4rYn5y8Eup4PJTH8es"",
      ""Snapshot!A:M""
    ),
    13,
    FALSE
  ),
  0
)
"),3.0)</f>
        <v>3</v>
      </c>
      <c r="AK163" s="49">
        <f t="shared" ref="AK163:AL163" si="810">LEN(C163)</f>
        <v>80</v>
      </c>
      <c r="AL163" s="49">
        <f t="shared" si="810"/>
        <v>86</v>
      </c>
    </row>
    <row r="164">
      <c r="A164" s="56" t="s">
        <v>657</v>
      </c>
      <c r="B164" s="1" t="str">
        <f>IFERROR(__xludf.DUMMYFUNCTION("IFERROR(
  VLOOKUP(
    A164,
    IMPORTRANGE(
      ""1ZygntHC1J6IxzKbTidmOyf5nUyW4GCLurHCjexrLm_o"",
      ""HTMLキャッシュ!A:F""
    ),
    2,
    FALSE
  ),
  0
)
"),"SC")</f>
        <v>SC</v>
      </c>
      <c r="C164" s="1" t="str">
        <f>IFERROR(__xludf.DUMMYFUNCTION("IFERROR(
  VLOOKUP(
    A164,
    IMPORTRANGE(
      ""1ZygntHC1J6IxzKbTidmOyf5nUyW4GCLurHCjexrLm_o"",
      ""HTMLキャッシュ!A:F""
    ),
    5,
    FALSE
  ),
  0
)
"),"設問の読み違いが減らない子へのオンライン改善アプローチ - 受験国語専門 読解ラボ東京 | 中学受験・大学受験対応の個別指導国語専門塾（オンライン・教室対応）")</f>
        <v>設問の読み違いが減らない子へのオンライン改善アプローチ - 受験国語専門 読解ラボ東京 | 中学受験・大学受験対応の個別指導国語専門塾（オンライン・教室対応）</v>
      </c>
      <c r="D164" s="1" t="str">
        <f>IFERROR(__xludf.DUMMYFUNCTION("IFERROR(
  VLOOKUP(
    A164,
    IMPORTRANGE(
      ""1ZygntHC1J6IxzKbTidmOyf5nUyW4GCLurHCjexrLm_o        "",
      ""HTMLキャッシュ!A:F""
    ),
    6,
    FALSE
  ),
  0
)
"),"設問の読み違いが減らない原因は読解力不足ではなく条件語の取り漏れです。何を・視点・範囲・形式に分解し、本文根拠と照合して条件チェックする型をオンライン国語個別の改善手順として解説します。")</f>
        <v>設問の読み違いが減らない原因は読解力不足ではなく条件語の取り漏れです。何を・視点・範囲・形式に分解し、本文根拠と照合して条件チェックする型をオンライン国語個別の改善手順として解説します。</v>
      </c>
      <c r="E164" s="32">
        <f>IFERROR(__xludf.DUMMYFUNCTION("IFERROR(
  VLOOKUP(
    A164,
    IMPORTRANGE(
      ""1ZygntHC1J6IxzKbTidmOyf5nUyW4GCLurHCjexrLm_o        "",
      ""HTMLキャッシュ!A:F""
    ),
    3,
    FALSE
  ),
  0
)
"),46052.6512037037)</f>
        <v>46052.6512</v>
      </c>
      <c r="F164" s="49">
        <f>IFERROR(__xludf.DUMMYFUNCTION("IFERROR(
  VLOOKUP(
    A164,
    IMPORTRANGE(
      ""1ZHMy3vVUd_0MrSduXTe1etBb1HNpAlGwQr006ljwMiM"",
      ""GSC最新!A:F""
    ),
    2,
    FALSE
  ),
  0
)
"),0.0)</f>
        <v>0</v>
      </c>
      <c r="G164" s="49">
        <f>IFERROR(__xludf.DUMMYFUNCTION("IFERROR(
  VLOOKUP(
    A164,
    IMPORTRANGE(
      ""1ZHMy3vVUd_0MrSduXTe1etBb1HNpAlGwQr006ljwMiM"",
      ""GSC最新!A:F""
    ),
    3,
    FALSE
  ),
  0
)
"),0.0)</f>
        <v>0</v>
      </c>
      <c r="H164" s="49">
        <f>IFERROR(__xludf.DUMMYFUNCTION("IFERROR(
  VLOOKUP(
    A164,
    IMPORTRANGE(
      ""1ZHMy3vVUd_0MrSduXTe1etBb1HNpAlGwQr006ljwMiM"",
      ""GSC最新!A:F""
    ),
    4,
    FALSE
  ),
  0
)
"),0.0)</f>
        <v>0</v>
      </c>
      <c r="I164" s="49">
        <f>IFERROR(__xludf.DUMMYFUNCTION("IFERROR(
  VLOOKUP(
    A164,
    IMPORTRANGE(
      ""1ZHMy3vVUd_0MrSduXTe1etBb1HNpAlGwQr006ljwMiM"",
      ""GSC最新!A:F""
    ),
    5,
    FALSE
  ),
  0
)
"),0.0)</f>
        <v>0</v>
      </c>
      <c r="J164" s="50" t="str">
        <f t="shared" ref="J164:K164" si="811">IFERROR(F164/H164,"-")</f>
        <v>-</v>
      </c>
      <c r="K164" s="50" t="str">
        <f t="shared" si="811"/>
        <v>-</v>
      </c>
      <c r="L164" s="6">
        <f>IFERROR(__xludf.DUMMYFUNCTION("IFERROR(
  VLOOKUP(
    A164,
    IMPORTRANGE(
      ""1ZHMy3vVUd_0MrSduXTe1etBb1HNpAlGwQr006ljwMiM"",
      ""GSC最新!A:R""
    ),
    7,
    FALSE
  ),
  0
)
"),6.0)</f>
        <v>6</v>
      </c>
      <c r="M164" s="6">
        <f>IFERROR(__xludf.DUMMYFUNCTION("IFERROR(
  VLOOKUP(
    A164,
    IMPORTRANGE(
      ""1ZHMy3vVUd_0MrSduXTe1etBb1HNpAlGwQr006ljwMiM"",
      ""GSC最新!A:R""
    ),
    10,
    FALSE
  ),
  0
)
"),10.0)</f>
        <v>10</v>
      </c>
      <c r="N164" s="6">
        <f>IFERROR(__xludf.DUMMYFUNCTION("IFERROR(
  VLOOKUP(
    A164,
    IMPORTRANGE(
      ""1ZHMy3vVUd_0MrSduXTe1etBb1HNpAlGwQr006ljwMiM"",
      ""GSC最新!A:R""
    ),
    13,
    FALSE
  ),
  0
)
"),0.0)</f>
        <v>0</v>
      </c>
      <c r="O164" s="6">
        <f>IFERROR(__xludf.DUMMYFUNCTION("IFERROR(
  VLOOKUP(
    A164,
    IMPORTRANGE(
      ""1ZHMy3vVUd_0MrSduXTe1etBb1HNpAlGwQr006ljwMiM"",
      ""GSC最新!A:R""
    ),
    16,
    FALSE
  ),
  0
)
"),0.0)</f>
        <v>0</v>
      </c>
      <c r="P164" s="51" t="str">
        <f t="shared" ref="P164:Q164" si="812">IFERROR(L164/N164,"-")</f>
        <v>-</v>
      </c>
      <c r="Q164" s="51" t="str">
        <f t="shared" si="812"/>
        <v>-</v>
      </c>
      <c r="R164" s="9">
        <f>IFERROR(__xludf.DUMMYFUNCTION("IFERROR(
  VLOOKUP(
    A164,
    IMPORTRANGE(
      ""1ZHMy3vVUd_0MrSduXTe1etBb1HNpAlGwQr006ljwMiM"",
      ""GSC最新!A:R""
    ),
    8,
    FALSE
  ),
  0
)
"),0.0)</f>
        <v>0</v>
      </c>
      <c r="S164" s="9">
        <f>IFERROR(__xludf.DUMMYFUNCTION("IFERROR(
  VLOOKUP(
    A164,
    IMPORTRANGE(
      ""1ZHMy3vVUd_0MrSduXTe1etBb1HNpAlGwQr006ljwMiM"",
      ""GSC最新!A:R""
    ),
    11,
    FALSE
  ),
  0
)
"),0.0)</f>
        <v>0</v>
      </c>
      <c r="T164" s="9">
        <f>IFERROR(__xludf.DUMMYFUNCTION("IFERROR(
  VLOOKUP(
    A164,
    IMPORTRANGE(
      ""1ZHMy3vVUd_0MrSduXTe1etBb1HNpAlGwQr006ljwMiM"",
      ""GSC最新!A:R""
    ),
    14,
    FALSE
  ),
  0
)
"),0.0)</f>
        <v>0</v>
      </c>
      <c r="U164" s="9">
        <f>IFERROR(__xludf.DUMMYFUNCTION("IFERROR(
  VLOOKUP(
    A164,
    IMPORTRANGE(
      ""1ZHMy3vVUd_0MrSduXTe1etBb1HNpAlGwQr006ljwMiM"",
      ""GSC最新!A:R""
    ),
    17,
    FALSE
  ),
  0
)
"),0.0)</f>
        <v>0</v>
      </c>
      <c r="V164" s="9">
        <f t="shared" ref="V164:W164" si="813">IFERROR(R164-T164,"-")</f>
        <v>0</v>
      </c>
      <c r="W164" s="9">
        <f t="shared" si="813"/>
        <v>0</v>
      </c>
      <c r="X164" s="65">
        <f>IFERROR(__xludf.DUMMYFUNCTION("IFERROR(
  VLOOKUP(
    A164,
    IMPORTRANGE(
      ""1ZHMy3vVUd_0MrSduXTe1etBb1HNpAlGwQr006ljwMiM"",
      ""GSC最新!A:R""
    ),
    9,
    FALSE
  ),
  0
)
"),11.666666666666666)</f>
        <v>11.66666667</v>
      </c>
      <c r="Y164" s="65">
        <f>IFERROR(__xludf.DUMMYFUNCTION("IFERROR(
  VLOOKUP(
    A164,
    IMPORTRANGE(
      ""1ZHMy3vVUd_0MrSduXTe1etBb1HNpAlGwQr006ljwMiM"",
      ""GSC最新!A:R""
    ),
    12,
    FALSE
  ),
  0
)
"),9.6)</f>
        <v>9.6</v>
      </c>
      <c r="Z164" s="65" t="str">
        <f>IFERROR(__xludf.DUMMYFUNCTION("IFERROR(
  VLOOKUP(
    A164,
    IMPORTRANGE(
      ""1ZHMy3vVUd_0MrSduXTe1etBb1HNpAlGwQr006ljwMiM"",
      ""GSC最新!A:R""
    ),
    15,
    FALSE
  ),
  0
)
"),"")</f>
        <v/>
      </c>
      <c r="AA164" s="65" t="str">
        <f>IFERROR(__xludf.DUMMYFUNCTION("IFERROR(
  VLOOKUP(
    A164,
    IMPORTRANGE(
      ""1ZHMy3vVUd_0MrSduXTe1etBb1HNpAlGwQr006ljwMiM"",
      ""GSC最新!A:R""
    ),
    18,
    FALSE
  ),
  0
)
"),"")</f>
        <v/>
      </c>
      <c r="AB164" s="65">
        <f t="shared" ref="AB164:AC164" si="814">X164-Z164</f>
        <v>11.66666667</v>
      </c>
      <c r="AC164" s="65">
        <f t="shared" si="814"/>
        <v>9.6</v>
      </c>
      <c r="AD164" s="53">
        <f>IFERROR(__xludf.DUMMYFUNCTION("IFERROR(
  VLOOKUP(
    A164,
    IMPORTRANGE(
      ""1ZHMy3vVUd_0MrSduXTe1etBb1HNpAlGwQr006ljwMiM"",
      ""GSC最新!A:F""
    ),
    6,
    FALSE
  ),
  0
)
"),46081.0)</f>
        <v>46081</v>
      </c>
      <c r="AE164" s="54">
        <f>IFERROR(__xludf.DUMMYFUNCTION("IFERROR(
  VLOOKUP(
    A164,
    IMPORTRANGE(
      ""1SCYQd7_cobOYqT0r_F0IqD4tE4rYn5y8Eup4PJTH8es"",
      ""Snapshot!A:M""
    ),
    5,
    FALSE
  ),
  ""-""
)
"),9.0)</f>
        <v>9</v>
      </c>
      <c r="AF164" s="54">
        <f>IFERROR(__xludf.DUMMYFUNCTION("IFERROR(
  VLOOKUP(
    A164,
    IMPORTRANGE(
      ""1SCYQd7_cobOYqT0r_F0IqD4tE4rYn5y8Eup4PJTH8es"",
      ""Snapshot!A:M""
    ),
    6,
    FALSE
  ),
  0
)
"),5.0)</f>
        <v>5</v>
      </c>
      <c r="AG164" s="54">
        <f>IFERROR(__xludf.DUMMYFUNCTION("IFERROR(
  VLOOKUP(
    A164,
    IMPORTRANGE(
      ""1SCYQd7_cobOYqT0r_F0IqD4tE4rYn5y8Eup4PJTH8es"",
      ""Snapshot!A:M""
    ),
    7,
    FALSE
  ),
  0
)
"),4187.0)</f>
        <v>4187</v>
      </c>
      <c r="AH164" s="54">
        <f>IFERROR(__xludf.DUMMYFUNCTION("IFERROR(
  VLOOKUP(
    A164,
    IMPORTRANGE(
      ""1SCYQd7_cobOYqT0r_F0IqD4tE4rYn5y8Eup4PJTH8es"",
      ""Snapshot!A:M""
    ),
    8,
    FALSE
  ),
  0
)
"),3.0)</f>
        <v>3</v>
      </c>
      <c r="AI164" s="54">
        <f>IFERROR(__xludf.DUMMYFUNCTION("IFERROR(
  VLOOKUP(
    A164,
    IMPORTRANGE(
      ""1SCYQd7_cobOYqT0r_F0IqD4tE4rYn5y8Eup4PJTH8es"",
      ""Snapshot!A:M""
    ),
    9,
    FALSE
  ),
  0
)
"),4.0)</f>
        <v>4</v>
      </c>
      <c r="AJ164" s="54">
        <f>IFERROR(__xludf.DUMMYFUNCTION("IFERROR(
  VLOOKUP(
    A164,
    IMPORTRANGE(
      ""1SCYQd7_cobOYqT0r_F0IqD4tE4rYn5y8Eup4PJTH8es"",
      ""Snapshot!A:M""
    ),
    13,
    FALSE
  ),
  0
)
"),3.0)</f>
        <v>3</v>
      </c>
      <c r="AK164" s="49">
        <f t="shared" ref="AK164:AL164" si="815">LEN(C164)</f>
        <v>79</v>
      </c>
      <c r="AL164" s="49">
        <f t="shared" si="815"/>
        <v>93</v>
      </c>
    </row>
    <row r="165">
      <c r="A165" s="56" t="s">
        <v>658</v>
      </c>
      <c r="B165" s="1" t="str">
        <f>IFERROR(__xludf.DUMMYFUNCTION("IFERROR(
  VLOOKUP(
    A165,
    IMPORTRANGE(
      ""1ZygntHC1J6IxzKbTidmOyf5nUyW4GCLurHCjexrLm_o"",
      ""HTMLキャッシュ!A:F""
    ),
    2,
    FALSE
  ),
  0
)
"),"SC")</f>
        <v>SC</v>
      </c>
      <c r="C165" s="1" t="str">
        <f>IFERROR(__xludf.DUMMYFUNCTION("IFERROR(
  VLOOKUP(
    A165,
    IMPORTRANGE(
      ""1ZygntHC1J6IxzKbTidmOyf5nUyW4GCLurHCjexrLm_o"",
      ""HTMLキャッシュ!A:F""
    ),
    5,
    FALSE
  ),
  0
)
"),"“本文を読んでいるのに”理解が浅い子へのオンライン指導 - 受験国語専門 読解ラボ東京 | 中学受験・大学受験対応の個別指導国語専門塾（オンライン・教室対応）")</f>
        <v>“本文を読んでいるのに”理解が浅い子へのオンライン指導 - 受験国語専門 読解ラボ東京 | 中学受験・大学受験対応の個別指導国語専門塾（オンライン・教室対応）</v>
      </c>
      <c r="D165" s="1" t="str">
        <f>IFERROR(__xludf.DUMMYFUNCTION("IFERROR(
  VLOOKUP(
    A165,
    IMPORTRANGE(
      ""1ZygntHC1J6IxzKbTidmOyf5nUyW4GCLurHCjexrLm_o        "",
      ""HTMLキャッシュ!A:F""
    ),
    6,
    FALSE
  ),
  0
)
"),"本文は読めているのに理解が浅い中学受験生向けに、要点抽出と関係性把握の弱さを原因から整理。オンライン国語の個別指導で段落メモ・図解・設問処理・記述添削を型化し、過去問の得点を安定させる方法を解説します。")</f>
        <v>本文は読めているのに理解が浅い中学受験生向けに、要点抽出と関係性把握の弱さを原因から整理。オンライン国語の個別指導で段落メモ・図解・設問処理・記述添削を型化し、過去問の得点を安定させる方法を解説します。</v>
      </c>
      <c r="E165" s="32">
        <f>IFERROR(__xludf.DUMMYFUNCTION("IFERROR(
  VLOOKUP(
    A165,
    IMPORTRANGE(
      ""1ZygntHC1J6IxzKbTidmOyf5nUyW4GCLurHCjexrLm_o        "",
      ""HTMLキャッシュ!A:F""
    ),
    3,
    FALSE
  ),
  0
)
"),46080.8256712963)</f>
        <v>46080.82567</v>
      </c>
      <c r="F165" s="49">
        <f>IFERROR(__xludf.DUMMYFUNCTION("IFERROR(
  VLOOKUP(
    A165,
    IMPORTRANGE(
      ""1ZHMy3vVUd_0MrSduXTe1etBb1HNpAlGwQr006ljwMiM"",
      ""GSC最新!A:F""
    ),
    2,
    FALSE
  ),
  0
)
"),0.0)</f>
        <v>0</v>
      </c>
      <c r="G165" s="49">
        <f>IFERROR(__xludf.DUMMYFUNCTION("IFERROR(
  VLOOKUP(
    A165,
    IMPORTRANGE(
      ""1ZHMy3vVUd_0MrSduXTe1etBb1HNpAlGwQr006ljwMiM"",
      ""GSC最新!A:F""
    ),
    3,
    FALSE
  ),
  0
)
"),0.0)</f>
        <v>0</v>
      </c>
      <c r="H165" s="49">
        <f>IFERROR(__xludf.DUMMYFUNCTION("IFERROR(
  VLOOKUP(
    A165,
    IMPORTRANGE(
      ""1ZHMy3vVUd_0MrSduXTe1etBb1HNpAlGwQr006ljwMiM"",
      ""GSC最新!A:F""
    ),
    4,
    FALSE
  ),
  0
)
"),0.0)</f>
        <v>0</v>
      </c>
      <c r="I165" s="49">
        <f>IFERROR(__xludf.DUMMYFUNCTION("IFERROR(
  VLOOKUP(
    A165,
    IMPORTRANGE(
      ""1ZHMy3vVUd_0MrSduXTe1etBb1HNpAlGwQr006ljwMiM"",
      ""GSC最新!A:F""
    ),
    5,
    FALSE
  ),
  0
)
"),0.0)</f>
        <v>0</v>
      </c>
      <c r="J165" s="50" t="str">
        <f t="shared" ref="J165:K165" si="816">IFERROR(F165/H165,"-")</f>
        <v>-</v>
      </c>
      <c r="K165" s="50" t="str">
        <f t="shared" si="816"/>
        <v>-</v>
      </c>
      <c r="L165" s="6">
        <f>IFERROR(__xludf.DUMMYFUNCTION("IFERROR(
  VLOOKUP(
    A165,
    IMPORTRANGE(
      ""1ZHMy3vVUd_0MrSduXTe1etBb1HNpAlGwQr006ljwMiM"",
      ""GSC最新!A:R""
    ),
    7,
    FALSE
  ),
  0
)
"),0.0)</f>
        <v>0</v>
      </c>
      <c r="M165" s="6">
        <f>IFERROR(__xludf.DUMMYFUNCTION("IFERROR(
  VLOOKUP(
    A165,
    IMPORTRANGE(
      ""1ZHMy3vVUd_0MrSduXTe1etBb1HNpAlGwQr006ljwMiM"",
      ""GSC最新!A:R""
    ),
    10,
    FALSE
  ),
  0
)
"),6.0)</f>
        <v>6</v>
      </c>
      <c r="N165" s="6">
        <f>IFERROR(__xludf.DUMMYFUNCTION("IFERROR(
  VLOOKUP(
    A165,
    IMPORTRANGE(
      ""1ZHMy3vVUd_0MrSduXTe1etBb1HNpAlGwQr006ljwMiM"",
      ""GSC最新!A:R""
    ),
    13,
    FALSE
  ),
  0
)
"),0.0)</f>
        <v>0</v>
      </c>
      <c r="O165" s="6">
        <f>IFERROR(__xludf.DUMMYFUNCTION("IFERROR(
  VLOOKUP(
    A165,
    IMPORTRANGE(
      ""1ZHMy3vVUd_0MrSduXTe1etBb1HNpAlGwQr006ljwMiM"",
      ""GSC最新!A:R""
    ),
    16,
    FALSE
  ),
  0
)
"),0.0)</f>
        <v>0</v>
      </c>
      <c r="P165" s="51" t="str">
        <f t="shared" ref="P165:Q165" si="817">IFERROR(L165/N165,"-")</f>
        <v>-</v>
      </c>
      <c r="Q165" s="51" t="str">
        <f t="shared" si="817"/>
        <v>-</v>
      </c>
      <c r="R165" s="9">
        <f>IFERROR(__xludf.DUMMYFUNCTION("IFERROR(
  VLOOKUP(
    A165,
    IMPORTRANGE(
      ""1ZHMy3vVUd_0MrSduXTe1etBb1HNpAlGwQr006ljwMiM"",
      ""GSC最新!A:R""
    ),
    8,
    FALSE
  ),
  0
)
"),0.0)</f>
        <v>0</v>
      </c>
      <c r="S165" s="9">
        <f>IFERROR(__xludf.DUMMYFUNCTION("IFERROR(
  VLOOKUP(
    A165,
    IMPORTRANGE(
      ""1ZHMy3vVUd_0MrSduXTe1etBb1HNpAlGwQr006ljwMiM"",
      ""GSC最新!A:R""
    ),
    11,
    FALSE
  ),
  0
)
"),0.0)</f>
        <v>0</v>
      </c>
      <c r="T165" s="9">
        <f>IFERROR(__xludf.DUMMYFUNCTION("IFERROR(
  VLOOKUP(
    A165,
    IMPORTRANGE(
      ""1ZHMy3vVUd_0MrSduXTe1etBb1HNpAlGwQr006ljwMiM"",
      ""GSC最新!A:R""
    ),
    14,
    FALSE
  ),
  0
)
"),0.0)</f>
        <v>0</v>
      </c>
      <c r="U165" s="9">
        <f>IFERROR(__xludf.DUMMYFUNCTION("IFERROR(
  VLOOKUP(
    A165,
    IMPORTRANGE(
      ""1ZHMy3vVUd_0MrSduXTe1etBb1HNpAlGwQr006ljwMiM"",
      ""GSC最新!A:R""
    ),
    17,
    FALSE
  ),
  0
)
"),0.0)</f>
        <v>0</v>
      </c>
      <c r="V165" s="9">
        <f t="shared" ref="V165:W165" si="818">IFERROR(R165-T165,"-")</f>
        <v>0</v>
      </c>
      <c r="W165" s="9">
        <f t="shared" si="818"/>
        <v>0</v>
      </c>
      <c r="X165" s="65" t="str">
        <f>IFERROR(__xludf.DUMMYFUNCTION("IFERROR(
  VLOOKUP(
    A165,
    IMPORTRANGE(
      ""1ZHMy3vVUd_0MrSduXTe1etBb1HNpAlGwQr006ljwMiM"",
      ""GSC最新!A:R""
    ),
    9,
    FALSE
  ),
  0
)
"),"")</f>
        <v/>
      </c>
      <c r="Y165" s="65">
        <f>IFERROR(__xludf.DUMMYFUNCTION("IFERROR(
  VLOOKUP(
    A165,
    IMPORTRANGE(
      ""1ZHMy3vVUd_0MrSduXTe1etBb1HNpAlGwQr006ljwMiM"",
      ""GSC最新!A:R""
    ),
    12,
    FALSE
  ),
  0
)
"),6.666666666666667)</f>
        <v>6.666666667</v>
      </c>
      <c r="Z165" s="65" t="str">
        <f>IFERROR(__xludf.DUMMYFUNCTION("IFERROR(
  VLOOKUP(
    A165,
    IMPORTRANGE(
      ""1ZHMy3vVUd_0MrSduXTe1etBb1HNpAlGwQr006ljwMiM"",
      ""GSC最新!A:R""
    ),
    15,
    FALSE
  ),
  0
)
"),"")</f>
        <v/>
      </c>
      <c r="AA165" s="65" t="str">
        <f>IFERROR(__xludf.DUMMYFUNCTION("IFERROR(
  VLOOKUP(
    A165,
    IMPORTRANGE(
      ""1ZHMy3vVUd_0MrSduXTe1etBb1HNpAlGwQr006ljwMiM"",
      ""GSC最新!A:R""
    ),
    18,
    FALSE
  ),
  0
)
"),"")</f>
        <v/>
      </c>
      <c r="AB165" s="65">
        <f t="shared" ref="AB165:AC165" si="819">X165-Z165</f>
        <v>0</v>
      </c>
      <c r="AC165" s="65">
        <f t="shared" si="819"/>
        <v>6.666666667</v>
      </c>
      <c r="AD165" s="53">
        <f>IFERROR(__xludf.DUMMYFUNCTION("IFERROR(
  VLOOKUP(
    A165,
    IMPORTRANGE(
      ""1ZHMy3vVUd_0MrSduXTe1etBb1HNpAlGwQr006ljwMiM"",
      ""GSC最新!A:F""
    ),
    6,
    FALSE
  ),
  0
)
"),46081.0)</f>
        <v>46081</v>
      </c>
      <c r="AE165" s="54">
        <f>IFERROR(__xludf.DUMMYFUNCTION("IFERROR(
  VLOOKUP(
    A165,
    IMPORTRANGE(
      ""1SCYQd7_cobOYqT0r_F0IqD4tE4rYn5y8Eup4PJTH8es"",
      ""Snapshot!A:M""
    ),
    5,
    FALSE
  ),
  ""-""
)
"),10.0)</f>
        <v>10</v>
      </c>
      <c r="AF165" s="54">
        <f>IFERROR(__xludf.DUMMYFUNCTION("IFERROR(
  VLOOKUP(
    A165,
    IMPORTRANGE(
      ""1SCYQd7_cobOYqT0r_F0IqD4tE4rYn5y8Eup4PJTH8es"",
      ""Snapshot!A:M""
    ),
    6,
    FALSE
  ),
  0
)
"),3.0)</f>
        <v>3</v>
      </c>
      <c r="AG165" s="54">
        <f>IFERROR(__xludf.DUMMYFUNCTION("IFERROR(
  VLOOKUP(
    A165,
    IMPORTRANGE(
      ""1SCYQd7_cobOYqT0r_F0IqD4tE4rYn5y8Eup4PJTH8es"",
      ""Snapshot!A:M""
    ),
    7,
    FALSE
  ),
  0
)
"),4697.0)</f>
        <v>4697</v>
      </c>
      <c r="AH165" s="54">
        <f>IFERROR(__xludf.DUMMYFUNCTION("IFERROR(
  VLOOKUP(
    A165,
    IMPORTRANGE(
      ""1SCYQd7_cobOYqT0r_F0IqD4tE4rYn5y8Eup4PJTH8es"",
      ""Snapshot!A:M""
    ),
    8,
    FALSE
  ),
  0
)
"),3.0)</f>
        <v>3</v>
      </c>
      <c r="AI165" s="54">
        <f>IFERROR(__xludf.DUMMYFUNCTION("IFERROR(
  VLOOKUP(
    A165,
    IMPORTRANGE(
      ""1SCYQd7_cobOYqT0r_F0IqD4tE4rYn5y8Eup4PJTH8es"",
      ""Snapshot!A:M""
    ),
    9,
    FALSE
  ),
  0
)
"),3.0)</f>
        <v>3</v>
      </c>
      <c r="AJ165" s="54">
        <f>IFERROR(__xludf.DUMMYFUNCTION("IFERROR(
  VLOOKUP(
    A165,
    IMPORTRANGE(
      ""1SCYQd7_cobOYqT0r_F0IqD4tE4rYn5y8Eup4PJTH8es"",
      ""Snapshot!A:M""
    ),
    13,
    FALSE
  ),
  0
)
"),3.0)</f>
        <v>3</v>
      </c>
      <c r="AK165" s="49">
        <f t="shared" ref="AK165:AL165" si="820">LEN(C165)</f>
        <v>79</v>
      </c>
      <c r="AL165" s="49">
        <f t="shared" si="820"/>
        <v>101</v>
      </c>
    </row>
    <row r="166">
      <c r="A166" s="3" t="s">
        <v>659</v>
      </c>
      <c r="B166" s="1" t="str">
        <f>IFERROR(__xludf.DUMMYFUNCTION("IFERROR(
  VLOOKUP(
    A166,
    IMPORTRANGE(
      ""1ZygntHC1J6IxzKbTidmOyf5nUyW4GCLurHCjexrLm_o"",
      ""HTMLキャッシュ!A:F""
    ),
    2,
    FALSE
  ),
  0
)
"),"ST")</f>
        <v>ST</v>
      </c>
      <c r="C166" s="1" t="str">
        <f>IFERROR(__xludf.DUMMYFUNCTION("IFERROR(
  VLOOKUP(
    A166,
    IMPORTRANGE(
      ""1ZygntHC1J6IxzKbTidmOyf5nUyW4GCLurHCjexrLm_o"",
      ""HTMLキャッシュ!A:F""
    ),
    5,
    FALSE
  ),
  0
)
"),"お問い合わせ - 受験国語専門 読解ラボ東京 | 中学受験・大学受験対応の個別指導国語専門塾（オンライン・教室対応）")</f>
        <v>お問い合わせ - 受験国語専門 読解ラボ東京 | 中学受験・大学受験対応の個別指導国語専門塾（オンライン・教室対応）</v>
      </c>
      <c r="D166" s="1" t="str">
        <f>IFERROR(__xludf.DUMMYFUNCTION("IFERROR(
  VLOOKUP(
    A166,
    IMPORTRANGE(
      ""1ZygntHC1J6IxzKbTidmOyf5nUyW4GCLurHCjexrLm_o        "",
      ""HTMLキャッシュ!A:F""
    ),
    6,
    FALSE
  ),
  0
)
"),"お問い合わせ")</f>
        <v>お問い合わせ</v>
      </c>
      <c r="E166" s="32">
        <f>IFERROR(__xludf.DUMMYFUNCTION("IFERROR(
  VLOOKUP(
    A166,
    IMPORTRANGE(
      ""1ZygntHC1J6IxzKbTidmOyf5nUyW4GCLurHCjexrLm_o        "",
      ""HTMLキャッシュ!A:F""
    ),
    3,
    FALSE
  ),
  0
)
"),45970.61628472222)</f>
        <v>45970.61628</v>
      </c>
      <c r="F166" s="49">
        <f>IFERROR(__xludf.DUMMYFUNCTION("IFERROR(
  VLOOKUP(
    A166,
    IMPORTRANGE(
      ""1ZHMy3vVUd_0MrSduXTe1etBb1HNpAlGwQr006ljwMiM"",
      ""GSC最新!A:F""
    ),
    2,
    FALSE
  ),
  0
)
"),0.0)</f>
        <v>0</v>
      </c>
      <c r="G166" s="49">
        <f>IFERROR(__xludf.DUMMYFUNCTION("IFERROR(
  VLOOKUP(
    A166,
    IMPORTRANGE(
      ""1ZHMy3vVUd_0MrSduXTe1etBb1HNpAlGwQr006ljwMiM"",
      ""GSC最新!A:F""
    ),
    3,
    FALSE
  ),
  0
)
"),0.0)</f>
        <v>0</v>
      </c>
      <c r="H166" s="49">
        <f>IFERROR(__xludf.DUMMYFUNCTION("IFERROR(
  VLOOKUP(
    A166,
    IMPORTRANGE(
      ""1ZHMy3vVUd_0MrSduXTe1etBb1HNpAlGwQr006ljwMiM"",
      ""GSC最新!A:F""
    ),
    4,
    FALSE
  ),
  0
)
"),0.0)</f>
        <v>0</v>
      </c>
      <c r="I166" s="49">
        <f>IFERROR(__xludf.DUMMYFUNCTION("IFERROR(
  VLOOKUP(
    A166,
    IMPORTRANGE(
      ""1ZHMy3vVUd_0MrSduXTe1etBb1HNpAlGwQr006ljwMiM"",
      ""GSC最新!A:F""
    ),
    5,
    FALSE
  ),
  0
)
"),0.0)</f>
        <v>0</v>
      </c>
      <c r="J166" s="50" t="str">
        <f t="shared" ref="J166:K166" si="821">IFERROR(F166/H166,"-")</f>
        <v>-</v>
      </c>
      <c r="K166" s="50" t="str">
        <f t="shared" si="821"/>
        <v>-</v>
      </c>
      <c r="L166" s="6">
        <f>IFERROR(__xludf.DUMMYFUNCTION("IFERROR(
  VLOOKUP(
    A166,
    IMPORTRANGE(
      ""1ZHMy3vVUd_0MrSduXTe1etBb1HNpAlGwQr006ljwMiM"",
      ""GSC最新!A:R""
    ),
    7,
    FALSE
  ),
  0
)
"),13.0)</f>
        <v>13</v>
      </c>
      <c r="M166" s="6">
        <f>IFERROR(__xludf.DUMMYFUNCTION("IFERROR(
  VLOOKUP(
    A166,
    IMPORTRANGE(
      ""1ZHMy3vVUd_0MrSduXTe1etBb1HNpAlGwQr006ljwMiM"",
      ""GSC最新!A:R""
    ),
    10,
    FALSE
  ),
  0
)
"),28.0)</f>
        <v>28</v>
      </c>
      <c r="N166" s="6">
        <f>IFERROR(__xludf.DUMMYFUNCTION("IFERROR(
  VLOOKUP(
    A166,
    IMPORTRANGE(
      ""1ZHMy3vVUd_0MrSduXTe1etBb1HNpAlGwQr006ljwMiM"",
      ""GSC最新!A:R""
    ),
    13,
    FALSE
  ),
  0
)
"),1.0)</f>
        <v>1</v>
      </c>
      <c r="O166" s="6">
        <f>IFERROR(__xludf.DUMMYFUNCTION("IFERROR(
  VLOOKUP(
    A166,
    IMPORTRANGE(
      ""1ZHMy3vVUd_0MrSduXTe1etBb1HNpAlGwQr006ljwMiM"",
      ""GSC最新!A:R""
    ),
    16,
    FALSE
  ),
  0
)
"),4.0)</f>
        <v>4</v>
      </c>
      <c r="P166" s="51">
        <f t="shared" ref="P166:Q166" si="822">IFERROR(L166/N166,"-")</f>
        <v>13</v>
      </c>
      <c r="Q166" s="51">
        <f t="shared" si="822"/>
        <v>7</v>
      </c>
      <c r="R166" s="9">
        <f>IFERROR(__xludf.DUMMYFUNCTION("IFERROR(
  VLOOKUP(
    A166,
    IMPORTRANGE(
      ""1ZHMy3vVUd_0MrSduXTe1etBb1HNpAlGwQr006ljwMiM"",
      ""GSC最新!A:R""
    ),
    8,
    FALSE
  ),
  0
)
"),0.0)</f>
        <v>0</v>
      </c>
      <c r="S166" s="9">
        <f>IFERROR(__xludf.DUMMYFUNCTION("IFERROR(
  VLOOKUP(
    A166,
    IMPORTRANGE(
      ""1ZHMy3vVUd_0MrSduXTe1etBb1HNpAlGwQr006ljwMiM"",
      ""GSC最新!A:R""
    ),
    11,
    FALSE
  ),
  0
)
"),0.0)</f>
        <v>0</v>
      </c>
      <c r="T166" s="9">
        <f>IFERROR(__xludf.DUMMYFUNCTION("IFERROR(
  VLOOKUP(
    A166,
    IMPORTRANGE(
      ""1ZHMy3vVUd_0MrSduXTe1etBb1HNpAlGwQr006ljwMiM"",
      ""GSC最新!A:R""
    ),
    14,
    FALSE
  ),
  0
)
"),0.0)</f>
        <v>0</v>
      </c>
      <c r="U166" s="9">
        <f>IFERROR(__xludf.DUMMYFUNCTION("IFERROR(
  VLOOKUP(
    A166,
    IMPORTRANGE(
      ""1ZHMy3vVUd_0MrSduXTe1etBb1HNpAlGwQr006ljwMiM"",
      ""GSC最新!A:R""
    ),
    17,
    FALSE
  ),
  0
)
"),0.0)</f>
        <v>0</v>
      </c>
      <c r="V166" s="9">
        <f t="shared" ref="V166:W166" si="823">IFERROR(R166-T166,"-")</f>
        <v>0</v>
      </c>
      <c r="W166" s="9">
        <f t="shared" si="823"/>
        <v>0</v>
      </c>
      <c r="X166" s="65">
        <f>IFERROR(__xludf.DUMMYFUNCTION("IFERROR(
  VLOOKUP(
    A166,
    IMPORTRANGE(
      ""1ZHMy3vVUd_0MrSduXTe1etBb1HNpAlGwQr006ljwMiM"",
      ""GSC最新!A:R""
    ),
    9,
    FALSE
  ),
  0
)
"),2.6923076923076925)</f>
        <v>2.692307692</v>
      </c>
      <c r="Y166" s="65">
        <f>IFERROR(__xludf.DUMMYFUNCTION("IFERROR(
  VLOOKUP(
    A166,
    IMPORTRANGE(
      ""1ZHMy3vVUd_0MrSduXTe1etBb1HNpAlGwQr006ljwMiM"",
      ""GSC最新!A:R""
    ),
    12,
    FALSE
  ),
  0
)
"),3.2857142857142856)</f>
        <v>3.285714286</v>
      </c>
      <c r="Z166" s="65">
        <f>IFERROR(__xludf.DUMMYFUNCTION("IFERROR(
  VLOOKUP(
    A166,
    IMPORTRANGE(
      ""1ZHMy3vVUd_0MrSduXTe1etBb1HNpAlGwQr006ljwMiM"",
      ""GSC最新!A:R""
    ),
    15,
    FALSE
  ),
  0
)
"),1.0)</f>
        <v>1</v>
      </c>
      <c r="AA166" s="65">
        <f>IFERROR(__xludf.DUMMYFUNCTION("IFERROR(
  VLOOKUP(
    A166,
    IMPORTRANGE(
      ""1ZHMy3vVUd_0MrSduXTe1etBb1HNpAlGwQr006ljwMiM"",
      ""GSC最新!A:R""
    ),
    18,
    FALSE
  ),
  0
)
"),7.25)</f>
        <v>7.25</v>
      </c>
      <c r="AB166" s="65">
        <f t="shared" ref="AB166:AC166" si="824">X166-Z166</f>
        <v>1.692307692</v>
      </c>
      <c r="AC166" s="65">
        <f t="shared" si="824"/>
        <v>-3.964285714</v>
      </c>
      <c r="AD166" s="53">
        <f>IFERROR(__xludf.DUMMYFUNCTION("IFERROR(
  VLOOKUP(
    A166,
    IMPORTRANGE(
      ""1ZHMy3vVUd_0MrSduXTe1etBb1HNpAlGwQr006ljwMiM"",
      ""GSC最新!A:F""
    ),
    6,
    FALSE
  ),
  0
)
"),46081.0)</f>
        <v>46081</v>
      </c>
      <c r="AE166" s="54">
        <f>IFERROR(__xludf.DUMMYFUNCTION("IFERROR(
  VLOOKUP(
    A166,
    IMPORTRANGE(
      ""1SCYQd7_cobOYqT0r_F0IqD4tE4rYn5y8Eup4PJTH8es"",
      ""Snapshot!A:M""
    ),
    5,
    FALSE
  ),
  ""-""
)
"),1.0)</f>
        <v>1</v>
      </c>
      <c r="AF166" s="54">
        <f>IFERROR(__xludf.DUMMYFUNCTION("IFERROR(
  VLOOKUP(
    A166,
    IMPORTRANGE(
      ""1SCYQd7_cobOYqT0r_F0IqD4tE4rYn5y8Eup4PJTH8es"",
      ""Snapshot!A:M""
    ),
    6,
    FALSE
  ),
  0
)
"),0.0)</f>
        <v>0</v>
      </c>
      <c r="AG166" s="54">
        <f>IFERROR(__xludf.DUMMYFUNCTION("IFERROR(
  VLOOKUP(
    A166,
    IMPORTRANGE(
      ""1SCYQd7_cobOYqT0r_F0IqD4tE4rYn5y8Eup4PJTH8es"",
      ""Snapshot!A:M""
    ),
    7,
    FALSE
  ),
  0
)
"),151.0)</f>
        <v>151</v>
      </c>
      <c r="AH166" s="54">
        <f>IFERROR(__xludf.DUMMYFUNCTION("IFERROR(
  VLOOKUP(
    A166,
    IMPORTRANGE(
      ""1SCYQd7_cobOYqT0r_F0IqD4tE4rYn5y8Eup4PJTH8es"",
      ""Snapshot!A:M""
    ),
    8,
    FALSE
  ),
  0
)
"),0.0)</f>
        <v>0</v>
      </c>
      <c r="AI166" s="54">
        <f>IFERROR(__xludf.DUMMYFUNCTION("IFERROR(
  VLOOKUP(
    A166,
    IMPORTRANGE(
      ""1SCYQd7_cobOYqT0r_F0IqD4tE4rYn5y8Eup4PJTH8es"",
      ""Snapshot!A:M""
    ),
    9,
    FALSE
  ),
  0
)
"),1.0)</f>
        <v>1</v>
      </c>
      <c r="AJ166" s="54">
        <f>IFERROR(__xludf.DUMMYFUNCTION("IFERROR(
  VLOOKUP(
    A166,
    IMPORTRANGE(
      ""1SCYQd7_cobOYqT0r_F0IqD4tE4rYn5y8Eup4PJTH8es"",
      ""Snapshot!A:M""
    ),
    13,
    FALSE
  ),
  0
)
"),2.0)</f>
        <v>2</v>
      </c>
      <c r="AK166" s="49">
        <f t="shared" ref="AK166:AL166" si="825">LEN(C166)</f>
        <v>58</v>
      </c>
      <c r="AL166" s="49">
        <f t="shared" si="825"/>
        <v>6</v>
      </c>
    </row>
    <row r="167">
      <c r="A167" s="3" t="s">
        <v>119</v>
      </c>
      <c r="B167" s="1" t="str">
        <f>IFERROR(__xludf.DUMMYFUNCTION("IFERROR(
  VLOOKUP(
    A167,
    IMPORTRANGE(
      ""1ZygntHC1J6IxzKbTidmOyf5nUyW4GCLurHCjexrLm_o"",
      ""HTMLキャッシュ!A:F""
    ),
    2,
    FALSE
  ),
  0
)
"),"-")</f>
        <v>-</v>
      </c>
      <c r="C167" s="1" t="str">
        <f>IFERROR(__xludf.DUMMYFUNCTION("IFERROR(
  VLOOKUP(
    A167,
    IMPORTRANGE(
      ""1ZygntHC1J6IxzKbTidmOyf5nUyW4GCLurHCjexrLm_o"",
      ""HTMLキャッシュ!A:F""
    ),
    5,
    FALSE
  ),
  0
)
"),"コラム - 受験国語専門 読解ラボ東京 | 中学受験・大学受験対応の個別指導国語専門塾（オンライン・教室対応）")</f>
        <v>コラム - 受験国語専門 読解ラボ東京 | 中学受験・大学受験対応の個別指導国語専門塾（オンライン・教室対応）</v>
      </c>
      <c r="D167" s="1" t="str">
        <f>IFERROR(__xludf.DUMMYFUNCTION("IFERROR(
  VLOOKUP(
    A167,
    IMPORTRANGE(
      ""1ZygntHC1J6IxzKbTidmOyf5nUyW4GCLurHCjexrLm_o        "",
      ""HTMLキャッシュ!A:F""
    ),
    6,
    FALSE
  ),
  0
)
"),"コラム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コラム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67" s="32">
        <f>IFERROR(__xludf.DUMMYFUNCTION("IFERROR(
  VLOOKUP(
    A167,
    IMPORTRANGE(
      ""1ZygntHC1J6IxzKbTidmOyf5nUyW4GCLurHCjexrLm_o        "",
      ""HTMLキャッシュ!A:F""
    ),
    3,
    FALSE
  ),
  0
)
"),25569.375)</f>
        <v>25569.375</v>
      </c>
      <c r="F167" s="49">
        <f>IFERROR(__xludf.DUMMYFUNCTION("IFERROR(
  VLOOKUP(
    A167,
    IMPORTRANGE(
      ""1ZHMy3vVUd_0MrSduXTe1etBb1HNpAlGwQr006ljwMiM"",
      ""GSC最新!A:F""
    ),
    2,
    FALSE
  ),
  0
)
"),0.0)</f>
        <v>0</v>
      </c>
      <c r="G167" s="49">
        <f>IFERROR(__xludf.DUMMYFUNCTION("IFERROR(
  VLOOKUP(
    A167,
    IMPORTRANGE(
      ""1ZHMy3vVUd_0MrSduXTe1etBb1HNpAlGwQr006ljwMiM"",
      ""GSC最新!A:F""
    ),
    3,
    FALSE
  ),
  0
)
"),0.0)</f>
        <v>0</v>
      </c>
      <c r="H167" s="49">
        <f>IFERROR(__xludf.DUMMYFUNCTION("IFERROR(
  VLOOKUP(
    A167,
    IMPORTRANGE(
      ""1ZHMy3vVUd_0MrSduXTe1etBb1HNpAlGwQr006ljwMiM"",
      ""GSC最新!A:F""
    ),
    4,
    FALSE
  ),
  0
)
"),0.0)</f>
        <v>0</v>
      </c>
      <c r="I167" s="49">
        <f>IFERROR(__xludf.DUMMYFUNCTION("IFERROR(
  VLOOKUP(
    A167,
    IMPORTRANGE(
      ""1ZHMy3vVUd_0MrSduXTe1etBb1HNpAlGwQr006ljwMiM"",
      ""GSC最新!A:F""
    ),
    5,
    FALSE
  ),
  0
)
"),1.0)</f>
        <v>1</v>
      </c>
      <c r="J167" s="50" t="str">
        <f t="shared" ref="J167:K167" si="826">IFERROR(F167/H167,"-")</f>
        <v>-</v>
      </c>
      <c r="K167" s="50">
        <f t="shared" si="826"/>
        <v>0</v>
      </c>
      <c r="L167" s="6">
        <f>IFERROR(__xludf.DUMMYFUNCTION("IFERROR(
  VLOOKUP(
    A167,
    IMPORTRANGE(
      ""1ZHMy3vVUd_0MrSduXTe1etBb1HNpAlGwQr006ljwMiM"",
      ""GSC最新!A:R""
    ),
    7,
    FALSE
  ),
  0
)
"),6.0)</f>
        <v>6</v>
      </c>
      <c r="M167" s="6">
        <f>IFERROR(__xludf.DUMMYFUNCTION("IFERROR(
  VLOOKUP(
    A167,
    IMPORTRANGE(
      ""1ZHMy3vVUd_0MrSduXTe1etBb1HNpAlGwQr006ljwMiM"",
      ""GSC最新!A:R""
    ),
    10,
    FALSE
  ),
  0
)
"),22.0)</f>
        <v>22</v>
      </c>
      <c r="N167" s="6">
        <f>IFERROR(__xludf.DUMMYFUNCTION("IFERROR(
  VLOOKUP(
    A167,
    IMPORTRANGE(
      ""1ZHMy3vVUd_0MrSduXTe1etBb1HNpAlGwQr006ljwMiM"",
      ""GSC最新!A:R""
    ),
    13,
    FALSE
  ),
  0
)
"),22.0)</f>
        <v>22</v>
      </c>
      <c r="O167" s="6">
        <f>IFERROR(__xludf.DUMMYFUNCTION("IFERROR(
  VLOOKUP(
    A167,
    IMPORTRANGE(
      ""1ZHMy3vVUd_0MrSduXTe1etBb1HNpAlGwQr006ljwMiM"",
      ""GSC最新!A:R""
    ),
    16,
    FALSE
  ),
  0
)
"),73.0)</f>
        <v>73</v>
      </c>
      <c r="P167" s="51">
        <f t="shared" ref="P167:Q167" si="827">IFERROR(L167/N167,"-")</f>
        <v>0.2727272727</v>
      </c>
      <c r="Q167" s="51">
        <f t="shared" si="827"/>
        <v>0.301369863</v>
      </c>
      <c r="R167" s="9">
        <f>IFERROR(__xludf.DUMMYFUNCTION("IFERROR(
  VLOOKUP(
    A167,
    IMPORTRANGE(
      ""1ZHMy3vVUd_0MrSduXTe1etBb1HNpAlGwQr006ljwMiM"",
      ""GSC最新!A:R""
    ),
    8,
    FALSE
  ),
  0
)
"),0.0)</f>
        <v>0</v>
      </c>
      <c r="S167" s="9">
        <f>IFERROR(__xludf.DUMMYFUNCTION("IFERROR(
  VLOOKUP(
    A167,
    IMPORTRANGE(
      ""1ZHMy3vVUd_0MrSduXTe1etBb1HNpAlGwQr006ljwMiM"",
      ""GSC最新!A:R""
    ),
    11,
    FALSE
  ),
  0
)
"),0.0)</f>
        <v>0</v>
      </c>
      <c r="T167" s="9">
        <f>IFERROR(__xludf.DUMMYFUNCTION("IFERROR(
  VLOOKUP(
    A167,
    IMPORTRANGE(
      ""1ZHMy3vVUd_0MrSduXTe1etBb1HNpAlGwQr006ljwMiM"",
      ""GSC最新!A:R""
    ),
    14,
    FALSE
  ),
  0
)
"),0.0)</f>
        <v>0</v>
      </c>
      <c r="U167" s="9">
        <f>IFERROR(__xludf.DUMMYFUNCTION("IFERROR(
  VLOOKUP(
    A167,
    IMPORTRANGE(
      ""1ZHMy3vVUd_0MrSduXTe1etBb1HNpAlGwQr006ljwMiM"",
      ""GSC最新!A:R""
    ),
    17,
    FALSE
  ),
  0
)
"),0.0136986301369863)</f>
        <v>0.01369863014</v>
      </c>
      <c r="V167" s="9">
        <f t="shared" ref="V167:W167" si="828">IFERROR(R167-T167,"-")</f>
        <v>0</v>
      </c>
      <c r="W167" s="9">
        <f t="shared" si="828"/>
        <v>-0.01369863014</v>
      </c>
      <c r="X167" s="65">
        <f>IFERROR(__xludf.DUMMYFUNCTION("IFERROR(
  VLOOKUP(
    A167,
    IMPORTRANGE(
      ""1ZHMy3vVUd_0MrSduXTe1etBb1HNpAlGwQr006ljwMiM"",
      ""GSC最新!A:R""
    ),
    9,
    FALSE
  ),
  0
)
"),7.0)</f>
        <v>7</v>
      </c>
      <c r="Y167" s="65">
        <f>IFERROR(__xludf.DUMMYFUNCTION("IFERROR(
  VLOOKUP(
    A167,
    IMPORTRANGE(
      ""1ZHMy3vVUd_0MrSduXTe1etBb1HNpAlGwQr006ljwMiM"",
      ""GSC最新!A:R""
    ),
    12,
    FALSE
  ),
  0
)
"),12.0)</f>
        <v>12</v>
      </c>
      <c r="Z167" s="65">
        <f>IFERROR(__xludf.DUMMYFUNCTION("IFERROR(
  VLOOKUP(
    A167,
    IMPORTRANGE(
      ""1ZHMy3vVUd_0MrSduXTe1etBb1HNpAlGwQr006ljwMiM"",
      ""GSC最新!A:R""
    ),
    15,
    FALSE
  ),
  0
)
"),49.36363636363637)</f>
        <v>49.36363636</v>
      </c>
      <c r="AA167" s="65">
        <f>IFERROR(__xludf.DUMMYFUNCTION("IFERROR(
  VLOOKUP(
    A167,
    IMPORTRANGE(
      ""1ZHMy3vVUd_0MrSduXTe1etBb1HNpAlGwQr006ljwMiM"",
      ""GSC最新!A:R""
    ),
    18,
    FALSE
  ),
  0
)
"),50.63013698630137)</f>
        <v>50.63013699</v>
      </c>
      <c r="AB167" s="65">
        <f t="shared" ref="AB167:AC167" si="829">X167-Z167</f>
        <v>-42.36363636</v>
      </c>
      <c r="AC167" s="65">
        <f t="shared" si="829"/>
        <v>-38.63013699</v>
      </c>
      <c r="AD167" s="53">
        <f>IFERROR(__xludf.DUMMYFUNCTION("IFERROR(
  VLOOKUP(
    A167,
    IMPORTRANGE(
      ""1ZHMy3vVUd_0MrSduXTe1etBb1HNpAlGwQr006ljwMiM"",
      ""GSC最新!A:F""
    ),
    6,
    FALSE
  ),
  0
)
"),46081.0)</f>
        <v>46081</v>
      </c>
      <c r="AE167" s="54">
        <f>IFERROR(__xludf.DUMMYFUNCTION("IFERROR(
  VLOOKUP(
    A167,
    IMPORTRANGE(
      ""1SCYQd7_cobOYqT0r_F0IqD4tE4rYn5y8Eup4PJTH8es"",
      ""Snapshot!A:M""
    ),
    5,
    FALSE
  ),
  ""-""
)
"),0.0)</f>
        <v>0</v>
      </c>
      <c r="AF167" s="54">
        <f>IFERROR(__xludf.DUMMYFUNCTION("IFERROR(
  VLOOKUP(
    A167,
    IMPORTRANGE(
      ""1SCYQd7_cobOYqT0r_F0IqD4tE4rYn5y8Eup4PJTH8es"",
      ""Snapshot!A:M""
    ),
    6,
    FALSE
  ),
  0
)
"),0.0)</f>
        <v>0</v>
      </c>
      <c r="AG167" s="54">
        <f>IFERROR(__xludf.DUMMYFUNCTION("IFERROR(
  VLOOKUP(
    A167,
    IMPORTRANGE(
      ""1SCYQd7_cobOYqT0r_F0IqD4tE4rYn5y8Eup4PJTH8es"",
      ""Snapshot!A:M""
    ),
    7,
    FALSE
  ),
  0
)
"),0.0)</f>
        <v>0</v>
      </c>
      <c r="AH167" s="54">
        <f>IFERROR(__xludf.DUMMYFUNCTION("IFERROR(
  VLOOKUP(
    A167,
    IMPORTRANGE(
      ""1SCYQd7_cobOYqT0r_F0IqD4tE4rYn5y8Eup4PJTH8es"",
      ""Snapshot!A:M""
    ),
    8,
    FALSE
  ),
  0
)
"),0.0)</f>
        <v>0</v>
      </c>
      <c r="AI167" s="54">
        <f>IFERROR(__xludf.DUMMYFUNCTION("IFERROR(
  VLOOKUP(
    A167,
    IMPORTRANGE(
      ""1SCYQd7_cobOYqT0r_F0IqD4tE4rYn5y8Eup4PJTH8es"",
      ""Snapshot!A:M""
    ),
    9,
    FALSE
  ),
  0
)
"),0.0)</f>
        <v>0</v>
      </c>
      <c r="AJ167" s="54">
        <f>IFERROR(__xludf.DUMMYFUNCTION("IFERROR(
  VLOOKUP(
    A167,
    IMPORTRANGE(
      ""1SCYQd7_cobOYqT0r_F0IqD4tE4rYn5y8Eup4PJTH8es"",
      ""Snapshot!A:M""
    ),
    13,
    FALSE
  ),
  0
)
"),2.0)</f>
        <v>2</v>
      </c>
      <c r="AK167" s="49">
        <f t="shared" ref="AK167:AL167" si="830">LEN(C167)</f>
        <v>55</v>
      </c>
      <c r="AL167" s="49">
        <f t="shared" si="830"/>
        <v>133</v>
      </c>
    </row>
    <row r="168">
      <c r="A168" s="3" t="s">
        <v>121</v>
      </c>
      <c r="B168" s="1" t="str">
        <f>IFERROR(__xludf.DUMMYFUNCTION("IFERROR(
  VLOOKUP(
    A168,
    IMPORTRANGE(
      ""1ZygntHC1J6IxzKbTidmOyf5nUyW4GCLurHCjexrLm_o"",
      ""HTMLキャッシュ!A:F""
    ),
    2,
    FALSE
  ),
  0
)
"),"-")</f>
        <v>-</v>
      </c>
      <c r="C168" s="1" t="str">
        <f>IFERROR(__xludf.DUMMYFUNCTION("IFERROR(
  VLOOKUP(
    A168,
    IMPORTRANGE(
      ""1ZygntHC1J6IxzKbTidmOyf5nUyW4GCLurHCjexrLm_o"",
      ""HTMLキャッシュ!A:F""
    ),
    5,
    FALSE
  ),
  0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D168" s="1" t="str">
        <f>IFERROR(__xludf.DUMMYFUNCTION("IFERROR(
  VLOOKUP(
    A168,
    IMPORTRANGE(
      ""1ZygntHC1J6IxzKbTidmOyf5nUyW4GCLurHCjexrLm_o        "",
      ""HTMLキャッシュ!A:F""
    ),
    6,
    FALSE
  ),
  0
)
"),"出版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出版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68" s="32">
        <f>IFERROR(__xludf.DUMMYFUNCTION("IFERROR(
  VLOOKUP(
    A168,
    IMPORTRANGE(
      ""1ZygntHC1J6IxzKbTidmOyf5nUyW4GCLurHCjexrLm_o        "",
      ""HTMLキャッシュ!A:F""
    ),
    3,
    FALSE
  ),
  0
)
"),25569.375)</f>
        <v>25569.375</v>
      </c>
      <c r="F168" s="49">
        <f>IFERROR(__xludf.DUMMYFUNCTION("IFERROR(
  VLOOKUP(
    A168,
    IMPORTRANGE(
      ""1ZHMy3vVUd_0MrSduXTe1etBb1HNpAlGwQr006ljwMiM"",
      ""GSC最新!A:F""
    ),
    2,
    FALSE
  ),
  0
)
"),0.0)</f>
        <v>0</v>
      </c>
      <c r="G168" s="49">
        <f>IFERROR(__xludf.DUMMYFUNCTION("IFERROR(
  VLOOKUP(
    A168,
    IMPORTRANGE(
      ""1ZHMy3vVUd_0MrSduXTe1etBb1HNpAlGwQr006ljwMiM"",
      ""GSC最新!A:F""
    ),
    3,
    FALSE
  ),
  0
)
"),0.0)</f>
        <v>0</v>
      </c>
      <c r="H168" s="49">
        <f>IFERROR(__xludf.DUMMYFUNCTION("IFERROR(
  VLOOKUP(
    A168,
    IMPORTRANGE(
      ""1ZHMy3vVUd_0MrSduXTe1etBb1HNpAlGwQr006ljwMiM"",
      ""GSC最新!A:F""
    ),
    4,
    FALSE
  ),
  0
)
"),0.0)</f>
        <v>0</v>
      </c>
      <c r="I168" s="49">
        <f>IFERROR(__xludf.DUMMYFUNCTION("IFERROR(
  VLOOKUP(
    A168,
    IMPORTRANGE(
      ""1ZHMy3vVUd_0MrSduXTe1etBb1HNpAlGwQr006ljwMiM"",
      ""GSC最新!A:F""
    ),
    5,
    FALSE
  ),
  0
)
"),1.0)</f>
        <v>1</v>
      </c>
      <c r="J168" s="50" t="str">
        <f t="shared" ref="J168:K168" si="831">IFERROR(F168/H168,"-")</f>
        <v>-</v>
      </c>
      <c r="K168" s="50">
        <f t="shared" si="831"/>
        <v>0</v>
      </c>
      <c r="L168" s="6">
        <f>IFERROR(__xludf.DUMMYFUNCTION("IFERROR(
  VLOOKUP(
    A168,
    IMPORTRANGE(
      ""1ZHMy3vVUd_0MrSduXTe1etBb1HNpAlGwQr006ljwMiM"",
      ""GSC最新!A:R""
    ),
    7,
    FALSE
  ),
  0
)
"),6.0)</f>
        <v>6</v>
      </c>
      <c r="M168" s="6">
        <f>IFERROR(__xludf.DUMMYFUNCTION("IFERROR(
  VLOOKUP(
    A168,
    IMPORTRANGE(
      ""1ZHMy3vVUd_0MrSduXTe1etBb1HNpAlGwQr006ljwMiM"",
      ""GSC最新!A:R""
    ),
    10,
    FALSE
  ),
  0
)
"),31.0)</f>
        <v>31</v>
      </c>
      <c r="N168" s="6">
        <f>IFERROR(__xludf.DUMMYFUNCTION("IFERROR(
  VLOOKUP(
    A168,
    IMPORTRANGE(
      ""1ZHMy3vVUd_0MrSduXTe1etBb1HNpAlGwQr006ljwMiM"",
      ""GSC最新!A:R""
    ),
    13,
    FALSE
  ),
  0
)
"),3.0)</f>
        <v>3</v>
      </c>
      <c r="O168" s="6">
        <f>IFERROR(__xludf.DUMMYFUNCTION("IFERROR(
  VLOOKUP(
    A168,
    IMPORTRANGE(
      ""1ZHMy3vVUd_0MrSduXTe1etBb1HNpAlGwQr006ljwMiM"",
      ""GSC最新!A:R""
    ),
    16,
    FALSE
  ),
  0
)
"),11.0)</f>
        <v>11</v>
      </c>
      <c r="P168" s="51">
        <f t="shared" ref="P168:Q168" si="832">IFERROR(L168/N168,"-")</f>
        <v>2</v>
      </c>
      <c r="Q168" s="51">
        <f t="shared" si="832"/>
        <v>2.818181818</v>
      </c>
      <c r="R168" s="9">
        <f>IFERROR(__xludf.DUMMYFUNCTION("IFERROR(
  VLOOKUP(
    A168,
    IMPORTRANGE(
      ""1ZHMy3vVUd_0MrSduXTe1etBb1HNpAlGwQr006ljwMiM"",
      ""GSC最新!A:R""
    ),
    8,
    FALSE
  ),
  0
)
"),0.0)</f>
        <v>0</v>
      </c>
      <c r="S168" s="9">
        <f>IFERROR(__xludf.DUMMYFUNCTION("IFERROR(
  VLOOKUP(
    A168,
    IMPORTRANGE(
      ""1ZHMy3vVUd_0MrSduXTe1etBb1HNpAlGwQr006ljwMiM"",
      ""GSC最新!A:R""
    ),
    11,
    FALSE
  ),
  0
)
"),0.0)</f>
        <v>0</v>
      </c>
      <c r="T168" s="9">
        <f>IFERROR(__xludf.DUMMYFUNCTION("IFERROR(
  VLOOKUP(
    A168,
    IMPORTRANGE(
      ""1ZHMy3vVUd_0MrSduXTe1etBb1HNpAlGwQr006ljwMiM"",
      ""GSC最新!A:R""
    ),
    14,
    FALSE
  ),
  0
)
"),0.0)</f>
        <v>0</v>
      </c>
      <c r="U168" s="9">
        <f>IFERROR(__xludf.DUMMYFUNCTION("IFERROR(
  VLOOKUP(
    A168,
    IMPORTRANGE(
      ""1ZHMy3vVUd_0MrSduXTe1etBb1HNpAlGwQr006ljwMiM"",
      ""GSC最新!A:R""
    ),
    17,
    FALSE
  ),
  0
)
"),0.09090909090909091)</f>
        <v>0.09090909091</v>
      </c>
      <c r="V168" s="9">
        <f t="shared" ref="V168:W168" si="833">IFERROR(R168-T168,"-")</f>
        <v>0</v>
      </c>
      <c r="W168" s="9">
        <f t="shared" si="833"/>
        <v>-0.09090909091</v>
      </c>
      <c r="X168" s="65">
        <f>IFERROR(__xludf.DUMMYFUNCTION("IFERROR(
  VLOOKUP(
    A168,
    IMPORTRANGE(
      ""1ZHMy3vVUd_0MrSduXTe1etBb1HNpAlGwQr006ljwMiM"",
      ""GSC最新!A:R""
    ),
    9,
    FALSE
  ),
  0
)
"),12.333333333333334)</f>
        <v>12.33333333</v>
      </c>
      <c r="Y168" s="65">
        <f>IFERROR(__xludf.DUMMYFUNCTION("IFERROR(
  VLOOKUP(
    A168,
    IMPORTRANGE(
      ""1ZHMy3vVUd_0MrSduXTe1etBb1HNpAlGwQr006ljwMiM"",
      ""GSC最新!A:R""
    ),
    12,
    FALSE
  ),
  0
)
"),5.612903225806452)</f>
        <v>5.612903226</v>
      </c>
      <c r="Z168" s="65">
        <f>IFERROR(__xludf.DUMMYFUNCTION("IFERROR(
  VLOOKUP(
    A168,
    IMPORTRANGE(
      ""1ZHMy3vVUd_0MrSduXTe1etBb1HNpAlGwQr006ljwMiM"",
      ""GSC最新!A:R""
    ),
    15,
    FALSE
  ),
  0
)
"),5.333333333333333)</f>
        <v>5.333333333</v>
      </c>
      <c r="AA168" s="65">
        <f>IFERROR(__xludf.DUMMYFUNCTION("IFERROR(
  VLOOKUP(
    A168,
    IMPORTRANGE(
      ""1ZHMy3vVUd_0MrSduXTe1etBb1HNpAlGwQr006ljwMiM"",
      ""GSC最新!A:R""
    ),
    18,
    FALSE
  ),
  0
)
"),16.090909090909093)</f>
        <v>16.09090909</v>
      </c>
      <c r="AB168" s="65">
        <f t="shared" ref="AB168:AC168" si="834">X168-Z168</f>
        <v>7</v>
      </c>
      <c r="AC168" s="65">
        <f t="shared" si="834"/>
        <v>-10.47800587</v>
      </c>
      <c r="AD168" s="53">
        <f>IFERROR(__xludf.DUMMYFUNCTION("IFERROR(
  VLOOKUP(
    A168,
    IMPORTRANGE(
      ""1ZHMy3vVUd_0MrSduXTe1etBb1HNpAlGwQr006ljwMiM"",
      ""GSC最新!A:F""
    ),
    6,
    FALSE
  ),
  0
)
"),46081.0)</f>
        <v>46081</v>
      </c>
      <c r="AE168" s="54">
        <f>IFERROR(__xludf.DUMMYFUNCTION("IFERROR(
  VLOOKUP(
    A168,
    IMPORTRANGE(
      ""1SCYQd7_cobOYqT0r_F0IqD4tE4rYn5y8Eup4PJTH8es"",
      ""Snapshot!A:M""
    ),
    5,
    FALSE
  ),
  ""-""
)
"),0.0)</f>
        <v>0</v>
      </c>
      <c r="AF168" s="54">
        <f>IFERROR(__xludf.DUMMYFUNCTION("IFERROR(
  VLOOKUP(
    A168,
    IMPORTRANGE(
      ""1SCYQd7_cobOYqT0r_F0IqD4tE4rYn5y8Eup4PJTH8es"",
      ""Snapshot!A:M""
    ),
    6,
    FALSE
  ),
  0
)
"),0.0)</f>
        <v>0</v>
      </c>
      <c r="AG168" s="54">
        <f>IFERROR(__xludf.DUMMYFUNCTION("IFERROR(
  VLOOKUP(
    A168,
    IMPORTRANGE(
      ""1SCYQd7_cobOYqT0r_F0IqD4tE4rYn5y8Eup4PJTH8es"",
      ""Snapshot!A:M""
    ),
    7,
    FALSE
  ),
  0
)
"),0.0)</f>
        <v>0</v>
      </c>
      <c r="AH168" s="54">
        <f>IFERROR(__xludf.DUMMYFUNCTION("IFERROR(
  VLOOKUP(
    A168,
    IMPORTRANGE(
      ""1SCYQd7_cobOYqT0r_F0IqD4tE4rYn5y8Eup4PJTH8es"",
      ""Snapshot!A:M""
    ),
    8,
    FALSE
  ),
  0
)
"),0.0)</f>
        <v>0</v>
      </c>
      <c r="AI168" s="54">
        <f>IFERROR(__xludf.DUMMYFUNCTION("IFERROR(
  VLOOKUP(
    A168,
    IMPORTRANGE(
      ""1SCYQd7_cobOYqT0r_F0IqD4tE4rYn5y8Eup4PJTH8es"",
      ""Snapshot!A:M""
    ),
    9,
    FALSE
  ),
  0
)
"),0.0)</f>
        <v>0</v>
      </c>
      <c r="AJ168" s="54">
        <f>IFERROR(__xludf.DUMMYFUNCTION("IFERROR(
  VLOOKUP(
    A168,
    IMPORTRANGE(
      ""1SCYQd7_cobOYqT0r_F0IqD4tE4rYn5y8Eup4PJTH8es"",
      ""Snapshot!A:M""
    ),
    13,
    FALSE
  ),
  0
)
"),2.0)</f>
        <v>2</v>
      </c>
      <c r="AK168" s="49">
        <f t="shared" ref="AK168:AL168" si="835">LEN(C168)</f>
        <v>54</v>
      </c>
      <c r="AL168" s="49">
        <f t="shared" si="835"/>
        <v>132</v>
      </c>
    </row>
    <row r="169">
      <c r="A169" s="3" t="s">
        <v>123</v>
      </c>
      <c r="B169" s="1" t="str">
        <f>IFERROR(__xludf.DUMMYFUNCTION("IFERROR(
  VLOOKUP(
    A169,
    IMPORTRANGE(
      ""1ZygntHC1J6IxzKbTidmOyf5nUyW4GCLurHCjexrLm_o"",
      ""HTMLキャッシュ!A:F""
    ),
    2,
    FALSE
  ),
  0
)
"),"-")</f>
        <v>-</v>
      </c>
      <c r="C169" s="1" t="str">
        <f>IFERROR(__xludf.DUMMYFUNCTION("IFERROR(
  VLOOKUP(
    A169,
    IMPORTRANGE(
      ""1ZygntHC1J6IxzKbTidmOyf5nUyW4GCLurHCjexrLm_o"",
      ""HTMLキャッシュ!A:F""
    ),
    5,
    FALSE
  ),
  0
)
"),"指導指針 - 受験国語専門 読解ラボ東京 | 中学受験・大学受験対応の個別指導国語専門塾（オンライン・教室対応）")</f>
        <v>指導指針 - 受験国語専門 読解ラボ東京 | 中学受験・大学受験対応の個別指導国語専門塾（オンライン・教室対応）</v>
      </c>
      <c r="D169" s="1" t="str">
        <f>IFERROR(__xludf.DUMMYFUNCTION("IFERROR(
  VLOOKUP(
    A169,
    IMPORTRANGE(
      ""1ZygntHC1J6IxzKbTidmOyf5nUyW4GCLurHCjexrLm_o        "",
      ""HTMLキャッシュ!A:F""
    ),
    6,
    FALSE
  ),
  0
)
"),"指導指針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指導指針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69" s="32">
        <f>IFERROR(__xludf.DUMMYFUNCTION("IFERROR(
  VLOOKUP(
    A169,
    IMPORTRANGE(
      ""1ZygntHC1J6IxzKbTidmOyf5nUyW4GCLurHCjexrLm_o        "",
      ""HTMLキャッシュ!A:F""
    ),
    3,
    FALSE
  ),
  0
)
"),25569.375)</f>
        <v>25569.375</v>
      </c>
      <c r="F169" s="49">
        <f>IFERROR(__xludf.DUMMYFUNCTION("IFERROR(
  VLOOKUP(
    A169,
    IMPORTRANGE(
      ""1ZHMy3vVUd_0MrSduXTe1etBb1HNpAlGwQr006ljwMiM"",
      ""GSC最新!A:F""
    ),
    2,
    FALSE
  ),
  0
)
"),0.0)</f>
        <v>0</v>
      </c>
      <c r="G169" s="49">
        <f>IFERROR(__xludf.DUMMYFUNCTION("IFERROR(
  VLOOKUP(
    A169,
    IMPORTRANGE(
      ""1ZHMy3vVUd_0MrSduXTe1etBb1HNpAlGwQr006ljwMiM"",
      ""GSC最新!A:F""
    ),
    3,
    FALSE
  ),
  0
)
"),0.0)</f>
        <v>0</v>
      </c>
      <c r="H169" s="49">
        <f>IFERROR(__xludf.DUMMYFUNCTION("IFERROR(
  VLOOKUP(
    A169,
    IMPORTRANGE(
      ""1ZHMy3vVUd_0MrSduXTe1etBb1HNpAlGwQr006ljwMiM"",
      ""GSC最新!A:F""
    ),
    4,
    FALSE
  ),
  0
)
"),0.0)</f>
        <v>0</v>
      </c>
      <c r="I169" s="49">
        <f>IFERROR(__xludf.DUMMYFUNCTION("IFERROR(
  VLOOKUP(
    A169,
    IMPORTRANGE(
      ""1ZHMy3vVUd_0MrSduXTe1etBb1HNpAlGwQr006ljwMiM"",
      ""GSC最新!A:F""
    ),
    5,
    FALSE
  ),
  0
)
"),0.0)</f>
        <v>0</v>
      </c>
      <c r="J169" s="50" t="str">
        <f t="shared" ref="J169:K169" si="836">IFERROR(F169/H169,"-")</f>
        <v>-</v>
      </c>
      <c r="K169" s="50" t="str">
        <f t="shared" si="836"/>
        <v>-</v>
      </c>
      <c r="L169" s="6">
        <f>IFERROR(__xludf.DUMMYFUNCTION("IFERROR(
  VLOOKUP(
    A169,
    IMPORTRANGE(
      ""1ZHMy3vVUd_0MrSduXTe1etBb1HNpAlGwQr006ljwMiM"",
      ""GSC最新!A:R""
    ),
    7,
    FALSE
  ),
  0
)
"),2.0)</f>
        <v>2</v>
      </c>
      <c r="M169" s="6">
        <f>IFERROR(__xludf.DUMMYFUNCTION("IFERROR(
  VLOOKUP(
    A169,
    IMPORTRANGE(
      ""1ZHMy3vVUd_0MrSduXTe1etBb1HNpAlGwQr006ljwMiM"",
      ""GSC最新!A:R""
    ),
    10,
    FALSE
  ),
  0
)
"),10.0)</f>
        <v>10</v>
      </c>
      <c r="N169" s="6">
        <f>IFERROR(__xludf.DUMMYFUNCTION("IFERROR(
  VLOOKUP(
    A169,
    IMPORTRANGE(
      ""1ZHMy3vVUd_0MrSduXTe1etBb1HNpAlGwQr006ljwMiM"",
      ""GSC最新!A:R""
    ),
    13,
    FALSE
  ),
  0
)
"),1.0)</f>
        <v>1</v>
      </c>
      <c r="O169" s="6">
        <f>IFERROR(__xludf.DUMMYFUNCTION("IFERROR(
  VLOOKUP(
    A169,
    IMPORTRANGE(
      ""1ZHMy3vVUd_0MrSduXTe1etBb1HNpAlGwQr006ljwMiM"",
      ""GSC最新!A:R""
    ),
    16,
    FALSE
  ),
  0
)
"),3.0)</f>
        <v>3</v>
      </c>
      <c r="P169" s="51">
        <f t="shared" ref="P169:Q169" si="837">IFERROR(L169/N169,"-")</f>
        <v>2</v>
      </c>
      <c r="Q169" s="51">
        <f t="shared" si="837"/>
        <v>3.333333333</v>
      </c>
      <c r="R169" s="9">
        <f>IFERROR(__xludf.DUMMYFUNCTION("IFERROR(
  VLOOKUP(
    A169,
    IMPORTRANGE(
      ""1ZHMy3vVUd_0MrSduXTe1etBb1HNpAlGwQr006ljwMiM"",
      ""GSC最新!A:R""
    ),
    8,
    FALSE
  ),
  0
)
"),0.0)</f>
        <v>0</v>
      </c>
      <c r="S169" s="9">
        <f>IFERROR(__xludf.DUMMYFUNCTION("IFERROR(
  VLOOKUP(
    A169,
    IMPORTRANGE(
      ""1ZHMy3vVUd_0MrSduXTe1etBb1HNpAlGwQr006ljwMiM"",
      ""GSC最新!A:R""
    ),
    11,
    FALSE
  ),
  0
)
"),0.0)</f>
        <v>0</v>
      </c>
      <c r="T169" s="9">
        <f>IFERROR(__xludf.DUMMYFUNCTION("IFERROR(
  VLOOKUP(
    A169,
    IMPORTRANGE(
      ""1ZHMy3vVUd_0MrSduXTe1etBb1HNpAlGwQr006ljwMiM"",
      ""GSC最新!A:R""
    ),
    14,
    FALSE
  ),
  0
)
"),0.0)</f>
        <v>0</v>
      </c>
      <c r="U169" s="9">
        <f>IFERROR(__xludf.DUMMYFUNCTION("IFERROR(
  VLOOKUP(
    A169,
    IMPORTRANGE(
      ""1ZHMy3vVUd_0MrSduXTe1etBb1HNpAlGwQr006ljwMiM"",
      ""GSC最新!A:R""
    ),
    17,
    FALSE
  ),
  0
)
"),0.0)</f>
        <v>0</v>
      </c>
      <c r="V169" s="9">
        <f t="shared" ref="V169:W169" si="838">IFERROR(R169-T169,"-")</f>
        <v>0</v>
      </c>
      <c r="W169" s="9">
        <f t="shared" si="838"/>
        <v>0</v>
      </c>
      <c r="X169" s="65">
        <f>IFERROR(__xludf.DUMMYFUNCTION("IFERROR(
  VLOOKUP(
    A169,
    IMPORTRANGE(
      ""1ZHMy3vVUd_0MrSduXTe1etBb1HNpAlGwQr006ljwMiM"",
      ""GSC最新!A:R""
    ),
    9,
    FALSE
  ),
  0
)
"),6.5)</f>
        <v>6.5</v>
      </c>
      <c r="Y169" s="65">
        <f>IFERROR(__xludf.DUMMYFUNCTION("IFERROR(
  VLOOKUP(
    A169,
    IMPORTRANGE(
      ""1ZHMy3vVUd_0MrSduXTe1etBb1HNpAlGwQr006ljwMiM"",
      ""GSC最新!A:R""
    ),
    12,
    FALSE
  ),
  0
)
"),4.9)</f>
        <v>4.9</v>
      </c>
      <c r="Z169" s="65">
        <f>IFERROR(__xludf.DUMMYFUNCTION("IFERROR(
  VLOOKUP(
    A169,
    IMPORTRANGE(
      ""1ZHMy3vVUd_0MrSduXTe1etBb1HNpAlGwQr006ljwMiM"",
      ""GSC最新!A:R""
    ),
    15,
    FALSE
  ),
  0
)
"),7.0)</f>
        <v>7</v>
      </c>
      <c r="AA169" s="65">
        <f>IFERROR(__xludf.DUMMYFUNCTION("IFERROR(
  VLOOKUP(
    A169,
    IMPORTRANGE(
      ""1ZHMy3vVUd_0MrSduXTe1etBb1HNpAlGwQr006ljwMiM"",
      ""GSC最新!A:R""
    ),
    18,
    FALSE
  ),
  0
)
"),4.333333333333334)</f>
        <v>4.333333333</v>
      </c>
      <c r="AB169" s="65">
        <f t="shared" ref="AB169:AC169" si="839">X169-Z169</f>
        <v>-0.5</v>
      </c>
      <c r="AC169" s="65">
        <f t="shared" si="839"/>
        <v>0.5666666667</v>
      </c>
      <c r="AD169" s="53">
        <f>IFERROR(__xludf.DUMMYFUNCTION("IFERROR(
  VLOOKUP(
    A169,
    IMPORTRANGE(
      ""1ZHMy3vVUd_0MrSduXTe1etBb1HNpAlGwQr006ljwMiM"",
      ""GSC最新!A:F""
    ),
    6,
    FALSE
  ),
  0
)
"),46081.0)</f>
        <v>46081</v>
      </c>
      <c r="AE169" s="54">
        <f>IFERROR(__xludf.DUMMYFUNCTION("IFERROR(
  VLOOKUP(
    A169,
    IMPORTRANGE(
      ""1SCYQd7_cobOYqT0r_F0IqD4tE4rYn5y8Eup4PJTH8es"",
      ""Snapshot!A:M""
    ),
    5,
    FALSE
  ),
  ""-""
)
"),0.0)</f>
        <v>0</v>
      </c>
      <c r="AF169" s="54">
        <f>IFERROR(__xludf.DUMMYFUNCTION("IFERROR(
  VLOOKUP(
    A169,
    IMPORTRANGE(
      ""1SCYQd7_cobOYqT0r_F0IqD4tE4rYn5y8Eup4PJTH8es"",
      ""Snapshot!A:M""
    ),
    6,
    FALSE
  ),
  0
)
"),0.0)</f>
        <v>0</v>
      </c>
      <c r="AG169" s="54">
        <f>IFERROR(__xludf.DUMMYFUNCTION("IFERROR(
  VLOOKUP(
    A169,
    IMPORTRANGE(
      ""1SCYQd7_cobOYqT0r_F0IqD4tE4rYn5y8Eup4PJTH8es"",
      ""Snapshot!A:M""
    ),
    7,
    FALSE
  ),
  0
)
"),0.0)</f>
        <v>0</v>
      </c>
      <c r="AH169" s="54">
        <f>IFERROR(__xludf.DUMMYFUNCTION("IFERROR(
  VLOOKUP(
    A169,
    IMPORTRANGE(
      ""1SCYQd7_cobOYqT0r_F0IqD4tE4rYn5y8Eup4PJTH8es"",
      ""Snapshot!A:M""
    ),
    8,
    FALSE
  ),
  0
)
"),0.0)</f>
        <v>0</v>
      </c>
      <c r="AI169" s="54">
        <f>IFERROR(__xludf.DUMMYFUNCTION("IFERROR(
  VLOOKUP(
    A169,
    IMPORTRANGE(
      ""1SCYQd7_cobOYqT0r_F0IqD4tE4rYn5y8Eup4PJTH8es"",
      ""Snapshot!A:M""
    ),
    9,
    FALSE
  ),
  0
)
"),0.0)</f>
        <v>0</v>
      </c>
      <c r="AJ169" s="54">
        <f>IFERROR(__xludf.DUMMYFUNCTION("IFERROR(
  VLOOKUP(
    A169,
    IMPORTRANGE(
      ""1SCYQd7_cobOYqT0r_F0IqD4tE4rYn5y8Eup4PJTH8es"",
      ""Snapshot!A:M""
    ),
    13,
    FALSE
  ),
  0
)
"),2.0)</f>
        <v>2</v>
      </c>
      <c r="AK169" s="49">
        <f t="shared" ref="AK169:AL169" si="840">LEN(C169)</f>
        <v>56</v>
      </c>
      <c r="AL169" s="49">
        <f t="shared" si="840"/>
        <v>134</v>
      </c>
    </row>
    <row r="170">
      <c r="A170" s="3" t="s">
        <v>125</v>
      </c>
      <c r="B170" s="1" t="str">
        <f>IFERROR(__xludf.DUMMYFUNCTION("IFERROR(
  VLOOKUP(
    A170,
    IMPORTRANGE(
      ""1ZygntHC1J6IxzKbTidmOyf5nUyW4GCLurHCjexrLm_o"",
      ""HTMLキャッシュ!A:F""
    ),
    2,
    FALSE
  ),
  0
)
"),"-")</f>
        <v>-</v>
      </c>
      <c r="C170" s="1" t="str">
        <f>IFERROR(__xludf.DUMMYFUNCTION("IFERROR(
  VLOOKUP(
    A170,
    IMPORTRANGE(
      ""1ZygntHC1J6IxzKbTidmOyf5nUyW4GCLurHCjexrLm_o"",
      ""HTMLキャッシュ!A:F""
    ),
    5,
    FALSE
  ),
  0
)
"),"小３～小６ - 受験国語専門 読解ラボ東京 | 中学受験・大学受験対応の個別指導国語専門塾（オンライン・教室対応）")</f>
        <v>小３～小６ - 受験国語専門 読解ラボ東京 | 中学受験・大学受験対応の個別指導国語専門塾（オンライン・教室対応）</v>
      </c>
      <c r="D170" s="1" t="str">
        <f>IFERROR(__xludf.DUMMYFUNCTION("IFERROR(
  VLOOKUP(
    A170,
    IMPORTRANGE(
      ""1ZygntHC1J6IxzKbTidmOyf5nUyW4GCLurHCjexrLm_o        "",
      ""HTMLキャッシュ!A:F""
    ),
    6,
    FALSE
  ),
  0
)
"),"小３～小６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小３～小６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70" s="32">
        <f>IFERROR(__xludf.DUMMYFUNCTION("IFERROR(
  VLOOKUP(
    A170,
    IMPORTRANGE(
      ""1ZygntHC1J6IxzKbTidmOyf5nUyW4GCLurHCjexrLm_o        "",
      ""HTMLキャッシュ!A:F""
    ),
    3,
    FALSE
  ),
  0
)
"),25569.375)</f>
        <v>25569.375</v>
      </c>
      <c r="F170" s="49">
        <f>IFERROR(__xludf.DUMMYFUNCTION("IFERROR(
  VLOOKUP(
    A170,
    IMPORTRANGE(
      ""1ZHMy3vVUd_0MrSduXTe1etBb1HNpAlGwQr006ljwMiM"",
      ""GSC最新!A:F""
    ),
    2,
    FALSE
  ),
  0
)
"),0.0)</f>
        <v>0</v>
      </c>
      <c r="G170" s="49">
        <f>IFERROR(__xludf.DUMMYFUNCTION("IFERROR(
  VLOOKUP(
    A170,
    IMPORTRANGE(
      ""1ZHMy3vVUd_0MrSduXTe1etBb1HNpAlGwQr006ljwMiM"",
      ""GSC最新!A:F""
    ),
    3,
    FALSE
  ),
  0
)
"),0.0)</f>
        <v>0</v>
      </c>
      <c r="H170" s="49">
        <f>IFERROR(__xludf.DUMMYFUNCTION("IFERROR(
  VLOOKUP(
    A170,
    IMPORTRANGE(
      ""1ZHMy3vVUd_0MrSduXTe1etBb1HNpAlGwQr006ljwMiM"",
      ""GSC最新!A:F""
    ),
    4,
    FALSE
  ),
  0
)
"),0.0)</f>
        <v>0</v>
      </c>
      <c r="I170" s="49">
        <f>IFERROR(__xludf.DUMMYFUNCTION("IFERROR(
  VLOOKUP(
    A170,
    IMPORTRANGE(
      ""1ZHMy3vVUd_0MrSduXTe1etBb1HNpAlGwQr006ljwMiM"",
      ""GSC最新!A:F""
    ),
    5,
    FALSE
  ),
  0
)
"),0.0)</f>
        <v>0</v>
      </c>
      <c r="J170" s="50" t="str">
        <f t="shared" ref="J170:K170" si="841">IFERROR(F170/H170,"-")</f>
        <v>-</v>
      </c>
      <c r="K170" s="50" t="str">
        <f t="shared" si="841"/>
        <v>-</v>
      </c>
      <c r="L170" s="6">
        <f>IFERROR(__xludf.DUMMYFUNCTION("IFERROR(
  VLOOKUP(
    A170,
    IMPORTRANGE(
      ""1ZHMy3vVUd_0MrSduXTe1etBb1HNpAlGwQr006ljwMiM"",
      ""GSC最新!A:R""
    ),
    7,
    FALSE
  ),
  0
)
"),0.0)</f>
        <v>0</v>
      </c>
      <c r="M170" s="6">
        <f>IFERROR(__xludf.DUMMYFUNCTION("IFERROR(
  VLOOKUP(
    A170,
    IMPORTRANGE(
      ""1ZHMy3vVUd_0MrSduXTe1etBb1HNpAlGwQr006ljwMiM"",
      ""GSC最新!A:R""
    ),
    10,
    FALSE
  ),
  0
)
"),0.0)</f>
        <v>0</v>
      </c>
      <c r="N170" s="6">
        <f>IFERROR(__xludf.DUMMYFUNCTION("IFERROR(
  VLOOKUP(
    A170,
    IMPORTRANGE(
      ""1ZHMy3vVUd_0MrSduXTe1etBb1HNpAlGwQr006ljwMiM"",
      ""GSC最新!A:R""
    ),
    13,
    FALSE
  ),
  0
)
"),0.0)</f>
        <v>0</v>
      </c>
      <c r="O170" s="6">
        <f>IFERROR(__xludf.DUMMYFUNCTION("IFERROR(
  VLOOKUP(
    A170,
    IMPORTRANGE(
      ""1ZHMy3vVUd_0MrSduXTe1etBb1HNpAlGwQr006ljwMiM"",
      ""GSC最新!A:R""
    ),
    16,
    FALSE
  ),
  0
)
"),0.0)</f>
        <v>0</v>
      </c>
      <c r="P170" s="51" t="str">
        <f t="shared" ref="P170:Q170" si="842">IFERROR(L170/N170,"-")</f>
        <v>-</v>
      </c>
      <c r="Q170" s="51" t="str">
        <f t="shared" si="842"/>
        <v>-</v>
      </c>
      <c r="R170" s="9">
        <f>IFERROR(__xludf.DUMMYFUNCTION("IFERROR(
  VLOOKUP(
    A170,
    IMPORTRANGE(
      ""1ZHMy3vVUd_0MrSduXTe1etBb1HNpAlGwQr006ljwMiM"",
      ""GSC最新!A:R""
    ),
    8,
    FALSE
  ),
  0
)
"),0.0)</f>
        <v>0</v>
      </c>
      <c r="S170" s="9">
        <f>IFERROR(__xludf.DUMMYFUNCTION("IFERROR(
  VLOOKUP(
    A170,
    IMPORTRANGE(
      ""1ZHMy3vVUd_0MrSduXTe1etBb1HNpAlGwQr006ljwMiM"",
      ""GSC最新!A:R""
    ),
    11,
    FALSE
  ),
  0
)
"),0.0)</f>
        <v>0</v>
      </c>
      <c r="T170" s="9">
        <f>IFERROR(__xludf.DUMMYFUNCTION("IFERROR(
  VLOOKUP(
    A170,
    IMPORTRANGE(
      ""1ZHMy3vVUd_0MrSduXTe1etBb1HNpAlGwQr006ljwMiM"",
      ""GSC最新!A:R""
    ),
    14,
    FALSE
  ),
  0
)
"),0.0)</f>
        <v>0</v>
      </c>
      <c r="U170" s="9">
        <f>IFERROR(__xludf.DUMMYFUNCTION("IFERROR(
  VLOOKUP(
    A170,
    IMPORTRANGE(
      ""1ZHMy3vVUd_0MrSduXTe1etBb1HNpAlGwQr006ljwMiM"",
      ""GSC最新!A:R""
    ),
    17,
    FALSE
  ),
  0
)
"),0.0)</f>
        <v>0</v>
      </c>
      <c r="V170" s="9">
        <f t="shared" ref="V170:W170" si="843">IFERROR(R170-T170,"-")</f>
        <v>0</v>
      </c>
      <c r="W170" s="9">
        <f t="shared" si="843"/>
        <v>0</v>
      </c>
      <c r="X170" s="65" t="str">
        <f>IFERROR(__xludf.DUMMYFUNCTION("IFERROR(
  VLOOKUP(
    A170,
    IMPORTRANGE(
      ""1ZHMy3vVUd_0MrSduXTe1etBb1HNpAlGwQr006ljwMiM"",
      ""GSC最新!A:R""
    ),
    9,
    FALSE
  ),
  0
)
"),"")</f>
        <v/>
      </c>
      <c r="Y170" s="65" t="str">
        <f>IFERROR(__xludf.DUMMYFUNCTION("IFERROR(
  VLOOKUP(
    A170,
    IMPORTRANGE(
      ""1ZHMy3vVUd_0MrSduXTe1etBb1HNpAlGwQr006ljwMiM"",
      ""GSC最新!A:R""
    ),
    12,
    FALSE
  ),
  0
)
"),"")</f>
        <v/>
      </c>
      <c r="Z170" s="65" t="str">
        <f>IFERROR(__xludf.DUMMYFUNCTION("IFERROR(
  VLOOKUP(
    A170,
    IMPORTRANGE(
      ""1ZHMy3vVUd_0MrSduXTe1etBb1HNpAlGwQr006ljwMiM"",
      ""GSC最新!A:R""
    ),
    15,
    FALSE
  ),
  0
)
"),"")</f>
        <v/>
      </c>
      <c r="AA170" s="65" t="str">
        <f>IFERROR(__xludf.DUMMYFUNCTION("IFERROR(
  VLOOKUP(
    A170,
    IMPORTRANGE(
      ""1ZHMy3vVUd_0MrSduXTe1etBb1HNpAlGwQr006ljwMiM"",
      ""GSC最新!A:R""
    ),
    18,
    FALSE
  ),
  0
)
"),"")</f>
        <v/>
      </c>
      <c r="AB170" s="65">
        <f t="shared" ref="AB170:AC170" si="844">X170-Z170</f>
        <v>0</v>
      </c>
      <c r="AC170" s="65">
        <f t="shared" si="844"/>
        <v>0</v>
      </c>
      <c r="AD170" s="53">
        <f>IFERROR(__xludf.DUMMYFUNCTION("IFERROR(
  VLOOKUP(
    A170,
    IMPORTRANGE(
      ""1ZHMy3vVUd_0MrSduXTe1etBb1HNpAlGwQr006ljwMiM"",
      ""GSC最新!A:F""
    ),
    6,
    FALSE
  ),
  0
)
"),46081.0)</f>
        <v>46081</v>
      </c>
      <c r="AE170" s="54">
        <f>IFERROR(__xludf.DUMMYFUNCTION("IFERROR(
  VLOOKUP(
    A170,
    IMPORTRANGE(
      ""1SCYQd7_cobOYqT0r_F0IqD4tE4rYn5y8Eup4PJTH8es"",
      ""Snapshot!A:M""
    ),
    5,
    FALSE
  ),
  ""-""
)
"),0.0)</f>
        <v>0</v>
      </c>
      <c r="AF170" s="54">
        <f>IFERROR(__xludf.DUMMYFUNCTION("IFERROR(
  VLOOKUP(
    A170,
    IMPORTRANGE(
      ""1SCYQd7_cobOYqT0r_F0IqD4tE4rYn5y8Eup4PJTH8es"",
      ""Snapshot!A:M""
    ),
    6,
    FALSE
  ),
  0
)
"),0.0)</f>
        <v>0</v>
      </c>
      <c r="AG170" s="54">
        <f>IFERROR(__xludf.DUMMYFUNCTION("IFERROR(
  VLOOKUP(
    A170,
    IMPORTRANGE(
      ""1SCYQd7_cobOYqT0r_F0IqD4tE4rYn5y8Eup4PJTH8es"",
      ""Snapshot!A:M""
    ),
    7,
    FALSE
  ),
  0
)
"),0.0)</f>
        <v>0</v>
      </c>
      <c r="AH170" s="54">
        <f>IFERROR(__xludf.DUMMYFUNCTION("IFERROR(
  VLOOKUP(
    A170,
    IMPORTRANGE(
      ""1SCYQd7_cobOYqT0r_F0IqD4tE4rYn5y8Eup4PJTH8es"",
      ""Snapshot!A:M""
    ),
    8,
    FALSE
  ),
  0
)
"),0.0)</f>
        <v>0</v>
      </c>
      <c r="AI170" s="54">
        <f>IFERROR(__xludf.DUMMYFUNCTION("IFERROR(
  VLOOKUP(
    A170,
    IMPORTRANGE(
      ""1SCYQd7_cobOYqT0r_F0IqD4tE4rYn5y8Eup4PJTH8es"",
      ""Snapshot!A:M""
    ),
    9,
    FALSE
  ),
  0
)
"),0.0)</f>
        <v>0</v>
      </c>
      <c r="AJ170" s="54">
        <f>IFERROR(__xludf.DUMMYFUNCTION("IFERROR(
  VLOOKUP(
    A170,
    IMPORTRANGE(
      ""1SCYQd7_cobOYqT0r_F0IqD4tE4rYn5y8Eup4PJTH8es"",
      ""Snapshot!A:M""
    ),
    13,
    FALSE
  ),
  0
)
"),2.0)</f>
        <v>2</v>
      </c>
      <c r="AK170" s="49">
        <f t="shared" ref="AK170:AL170" si="845">LEN(C170)</f>
        <v>57</v>
      </c>
      <c r="AL170" s="49">
        <f t="shared" si="845"/>
        <v>135</v>
      </c>
    </row>
    <row r="171">
      <c r="A171" s="1" t="s">
        <v>127</v>
      </c>
      <c r="B171" s="1" t="str">
        <f>IFERROR(__xludf.DUMMYFUNCTION("IFERROR(
  VLOOKUP(
    A171,
    IMPORTRANGE(
      ""1ZygntHC1J6IxzKbTidmOyf5nUyW4GCLurHCjexrLm_o"",
      ""HTMLキャッシュ!A:F""
    ),
    2,
    FALSE
  ),
  0
)
"),"-")</f>
        <v>-</v>
      </c>
      <c r="C171" s="1" t="str">
        <f>IFERROR(__xludf.DUMMYFUNCTION("IFERROR(
  VLOOKUP(
    A171,
    IMPORTRANGE(
      ""1ZygntHC1J6IxzKbTidmOyf5nUyW4GCLurHCjexrLm_o"",
      ""HTMLキャッシュ!A:F""
    ),
    5,
    FALSE
  ),
  0
)
"),"高１～高卒 - 受験国語専門 読解ラボ東京 | 中学受験・大学受験対応の個別指導国語専門塾（オンライン・教室対応）")</f>
        <v>高１～高卒 - 受験国語専門 読解ラボ東京 | 中学受験・大学受験対応の個別指導国語専門塾（オンライン・教室対応）</v>
      </c>
      <c r="D171" s="1" t="str">
        <f>IFERROR(__xludf.DUMMYFUNCTION("IFERROR(
  VLOOKUP(
    A171,
    IMPORTRANGE(
      ""1ZygntHC1J6IxzKbTidmOyf5nUyW4GCLurHCjexrLm_o        "",
      ""HTMLキャッシュ!A:F""
    ),
    6,
    FALSE
  ),
  0
)
"),"高１～高卒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高１～高卒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71" s="32">
        <f>IFERROR(__xludf.DUMMYFUNCTION("IFERROR(
  VLOOKUP(
    A171,
    IMPORTRANGE(
      ""1ZygntHC1J6IxzKbTidmOyf5nUyW4GCLurHCjexrLm_o        "",
      ""HTMLキャッシュ!A:F""
    ),
    3,
    FALSE
  ),
  0
)
"),25569.375)</f>
        <v>25569.375</v>
      </c>
      <c r="F171" s="49">
        <f>IFERROR(__xludf.DUMMYFUNCTION("IFERROR(
  VLOOKUP(
    A171,
    IMPORTRANGE(
      ""1ZHMy3vVUd_0MrSduXTe1etBb1HNpAlGwQr006ljwMiM"",
      ""GSC最新!A:F""
    ),
    2,
    FALSE
  ),
  0
)
"),0.0)</f>
        <v>0</v>
      </c>
      <c r="G171" s="49">
        <f>IFERROR(__xludf.DUMMYFUNCTION("IFERROR(
  VLOOKUP(
    A171,
    IMPORTRANGE(
      ""1ZHMy3vVUd_0MrSduXTe1etBb1HNpAlGwQr006ljwMiM"",
      ""GSC最新!A:F""
    ),
    3,
    FALSE
  ),
  0
)
"),0.0)</f>
        <v>0</v>
      </c>
      <c r="H171" s="49">
        <f>IFERROR(__xludf.DUMMYFUNCTION("IFERROR(
  VLOOKUP(
    A171,
    IMPORTRANGE(
      ""1ZHMy3vVUd_0MrSduXTe1etBb1HNpAlGwQr006ljwMiM"",
      ""GSC最新!A:F""
    ),
    4,
    FALSE
  ),
  0
)
"),0.0)</f>
        <v>0</v>
      </c>
      <c r="I171" s="49">
        <f>IFERROR(__xludf.DUMMYFUNCTION("IFERROR(
  VLOOKUP(
    A171,
    IMPORTRANGE(
      ""1ZHMy3vVUd_0MrSduXTe1etBb1HNpAlGwQr006ljwMiM"",
      ""GSC最新!A:F""
    ),
    5,
    FALSE
  ),
  0
)
"),0.0)</f>
        <v>0</v>
      </c>
      <c r="J171" s="50" t="str">
        <f t="shared" ref="J171:K171" si="846">IFERROR(F171/H171,"-")</f>
        <v>-</v>
      </c>
      <c r="K171" s="50" t="str">
        <f t="shared" si="846"/>
        <v>-</v>
      </c>
      <c r="L171" s="6">
        <f>IFERROR(__xludf.DUMMYFUNCTION("IFERROR(
  VLOOKUP(
    A171,
    IMPORTRANGE(
      ""1ZHMy3vVUd_0MrSduXTe1etBb1HNpAlGwQr006ljwMiM"",
      ""GSC最新!A:R""
    ),
    7,
    FALSE
  ),
  0
)
"),0.0)</f>
        <v>0</v>
      </c>
      <c r="M171" s="6">
        <f>IFERROR(__xludf.DUMMYFUNCTION("IFERROR(
  VLOOKUP(
    A171,
    IMPORTRANGE(
      ""1ZHMy3vVUd_0MrSduXTe1etBb1HNpAlGwQr006ljwMiM"",
      ""GSC最新!A:R""
    ),
    10,
    FALSE
  ),
  0
)
"),0.0)</f>
        <v>0</v>
      </c>
      <c r="N171" s="6">
        <f>IFERROR(__xludf.DUMMYFUNCTION("IFERROR(
  VLOOKUP(
    A171,
    IMPORTRANGE(
      ""1ZHMy3vVUd_0MrSduXTe1etBb1HNpAlGwQr006ljwMiM"",
      ""GSC最新!A:R""
    ),
    13,
    FALSE
  ),
  0
)
"),1.0)</f>
        <v>1</v>
      </c>
      <c r="O171" s="6">
        <f>IFERROR(__xludf.DUMMYFUNCTION("IFERROR(
  VLOOKUP(
    A171,
    IMPORTRANGE(
      ""1ZHMy3vVUd_0MrSduXTe1etBb1HNpAlGwQr006ljwMiM"",
      ""GSC最新!A:R""
    ),
    16,
    FALSE
  ),
  0
)
"),1.0)</f>
        <v>1</v>
      </c>
      <c r="P171" s="51">
        <f t="shared" ref="P171:Q171" si="847">IFERROR(L171/N171,"-")</f>
        <v>0</v>
      </c>
      <c r="Q171" s="51">
        <f t="shared" si="847"/>
        <v>0</v>
      </c>
      <c r="R171" s="9">
        <f>IFERROR(__xludf.DUMMYFUNCTION("IFERROR(
  VLOOKUP(
    A171,
    IMPORTRANGE(
      ""1ZHMy3vVUd_0MrSduXTe1etBb1HNpAlGwQr006ljwMiM"",
      ""GSC最新!A:R""
    ),
    8,
    FALSE
  ),
  0
)
"),0.0)</f>
        <v>0</v>
      </c>
      <c r="S171" s="9">
        <f>IFERROR(__xludf.DUMMYFUNCTION("IFERROR(
  VLOOKUP(
    A171,
    IMPORTRANGE(
      ""1ZHMy3vVUd_0MrSduXTe1etBb1HNpAlGwQr006ljwMiM"",
      ""GSC最新!A:R""
    ),
    11,
    FALSE
  ),
  0
)
"),0.0)</f>
        <v>0</v>
      </c>
      <c r="T171" s="9">
        <f>IFERROR(__xludf.DUMMYFUNCTION("IFERROR(
  VLOOKUP(
    A171,
    IMPORTRANGE(
      ""1ZHMy3vVUd_0MrSduXTe1etBb1HNpAlGwQr006ljwMiM"",
      ""GSC最新!A:R""
    ),
    14,
    FALSE
  ),
  0
)
"),0.0)</f>
        <v>0</v>
      </c>
      <c r="U171" s="9">
        <f>IFERROR(__xludf.DUMMYFUNCTION("IFERROR(
  VLOOKUP(
    A171,
    IMPORTRANGE(
      ""1ZHMy3vVUd_0MrSduXTe1etBb1HNpAlGwQr006ljwMiM"",
      ""GSC最新!A:R""
    ),
    17,
    FALSE
  ),
  0
)
"),0.0)</f>
        <v>0</v>
      </c>
      <c r="V171" s="9">
        <f t="shared" ref="V171:W171" si="848">IFERROR(R171-T171,"-")</f>
        <v>0</v>
      </c>
      <c r="W171" s="9">
        <f t="shared" si="848"/>
        <v>0</v>
      </c>
      <c r="X171" s="65" t="str">
        <f>IFERROR(__xludf.DUMMYFUNCTION("IFERROR(
  VLOOKUP(
    A171,
    IMPORTRANGE(
      ""1ZHMy3vVUd_0MrSduXTe1etBb1HNpAlGwQr006ljwMiM"",
      ""GSC最新!A:R""
    ),
    9,
    FALSE
  ),
  0
)
"),"")</f>
        <v/>
      </c>
      <c r="Y171" s="65" t="str">
        <f>IFERROR(__xludf.DUMMYFUNCTION("IFERROR(
  VLOOKUP(
    A171,
    IMPORTRANGE(
      ""1ZHMy3vVUd_0MrSduXTe1etBb1HNpAlGwQr006ljwMiM"",
      ""GSC最新!A:R""
    ),
    12,
    FALSE
  ),
  0
)
"),"")</f>
        <v/>
      </c>
      <c r="Z171" s="65">
        <f>IFERROR(__xludf.DUMMYFUNCTION("IFERROR(
  VLOOKUP(
    A171,
    IMPORTRANGE(
      ""1ZHMy3vVUd_0MrSduXTe1etBb1HNpAlGwQr006ljwMiM"",
      ""GSC最新!A:R""
    ),
    15,
    FALSE
  ),
  0
)
"),12.0)</f>
        <v>12</v>
      </c>
      <c r="AA171" s="65">
        <f>IFERROR(__xludf.DUMMYFUNCTION("IFERROR(
  VLOOKUP(
    A171,
    IMPORTRANGE(
      ""1ZHMy3vVUd_0MrSduXTe1etBb1HNpAlGwQr006ljwMiM"",
      ""GSC最新!A:R""
    ),
    18,
    FALSE
  ),
  0
)
"),12.0)</f>
        <v>12</v>
      </c>
      <c r="AB171" s="65">
        <f t="shared" ref="AB171:AC171" si="849">X171-Z171</f>
        <v>-12</v>
      </c>
      <c r="AC171" s="65">
        <f t="shared" si="849"/>
        <v>-12</v>
      </c>
      <c r="AD171" s="53">
        <f>IFERROR(__xludf.DUMMYFUNCTION("IFERROR(
  VLOOKUP(
    A171,
    IMPORTRANGE(
      ""1ZHMy3vVUd_0MrSduXTe1etBb1HNpAlGwQr006ljwMiM"",
      ""GSC最新!A:F""
    ),
    6,
    FALSE
  ),
  0
)
"),46081.0)</f>
        <v>46081</v>
      </c>
      <c r="AE171" s="54">
        <f>IFERROR(__xludf.DUMMYFUNCTION("IFERROR(
  VLOOKUP(
    A171,
    IMPORTRANGE(
      ""1SCYQd7_cobOYqT0r_F0IqD4tE4rYn5y8Eup4PJTH8es"",
      ""Snapshot!A:M""
    ),
    5,
    FALSE
  ),
  ""-""
)
"),0.0)</f>
        <v>0</v>
      </c>
      <c r="AF171" s="54">
        <f>IFERROR(__xludf.DUMMYFUNCTION("IFERROR(
  VLOOKUP(
    A171,
    IMPORTRANGE(
      ""1SCYQd7_cobOYqT0r_F0IqD4tE4rYn5y8Eup4PJTH8es"",
      ""Snapshot!A:M""
    ),
    6,
    FALSE
  ),
  0
)
"),0.0)</f>
        <v>0</v>
      </c>
      <c r="AG171" s="54">
        <f>IFERROR(__xludf.DUMMYFUNCTION("IFERROR(
  VLOOKUP(
    A171,
    IMPORTRANGE(
      ""1SCYQd7_cobOYqT0r_F0IqD4tE4rYn5y8Eup4PJTH8es"",
      ""Snapshot!A:M""
    ),
    7,
    FALSE
  ),
  0
)
"),0.0)</f>
        <v>0</v>
      </c>
      <c r="AH171" s="54">
        <f>IFERROR(__xludf.DUMMYFUNCTION("IFERROR(
  VLOOKUP(
    A171,
    IMPORTRANGE(
      ""1SCYQd7_cobOYqT0r_F0IqD4tE4rYn5y8Eup4PJTH8es"",
      ""Snapshot!A:M""
    ),
    8,
    FALSE
  ),
  0
)
"),0.0)</f>
        <v>0</v>
      </c>
      <c r="AI171" s="54">
        <f>IFERROR(__xludf.DUMMYFUNCTION("IFERROR(
  VLOOKUP(
    A171,
    IMPORTRANGE(
      ""1SCYQd7_cobOYqT0r_F0IqD4tE4rYn5y8Eup4PJTH8es"",
      ""Snapshot!A:M""
    ),
    9,
    FALSE
  ),
  0
)
"),0.0)</f>
        <v>0</v>
      </c>
      <c r="AJ171" s="54">
        <f>IFERROR(__xludf.DUMMYFUNCTION("IFERROR(
  VLOOKUP(
    A171,
    IMPORTRANGE(
      ""1SCYQd7_cobOYqT0r_F0IqD4tE4rYn5y8Eup4PJTH8es"",
      ""Snapshot!A:M""
    ),
    13,
    FALSE
  ),
  0
)
"),2.0)</f>
        <v>2</v>
      </c>
      <c r="AK171" s="49">
        <f t="shared" ref="AK171:AL171" si="850">LEN(C171)</f>
        <v>57</v>
      </c>
      <c r="AL171" s="49">
        <f t="shared" si="850"/>
        <v>135</v>
      </c>
    </row>
    <row r="172">
      <c r="A172" s="1" t="s">
        <v>129</v>
      </c>
      <c r="B172" s="1" t="str">
        <f>IFERROR(__xludf.DUMMYFUNCTION("IFERROR(
  VLOOKUP(
    A172,
    IMPORTRANGE(
      ""1ZygntHC1J6IxzKbTidmOyf5nUyW4GCLurHCjexrLm_o"",
      ""HTMLキャッシュ!A:F""
    ),
    2,
    FALSE
  ),
  0
)
"),"-")</f>
        <v>-</v>
      </c>
      <c r="C172" s="1" t="str">
        <f>IFERROR(__xludf.DUMMYFUNCTION("IFERROR(
  VLOOKUP(
    A172,
    IMPORTRANGE(
      ""1ZygntHC1J6IxzKbTidmOyf5nUyW4GCLurHCjexrLm_o"",
      ""HTMLキャッシュ!A:F""
    ),
    5,
    FALSE
  ),
  0
)
"),"中１～高３ - 受験国語専門 読解ラボ東京 | 中学受験・大学受験対応の個別指導国語専門塾（オンライン・教室対応）")</f>
        <v>中１～高３ - 受験国語専門 読解ラボ東京 | 中学受験・大学受験対応の個別指導国語専門塾（オンライン・教室対応）</v>
      </c>
      <c r="D172" s="1" t="str">
        <f>IFERROR(__xludf.DUMMYFUNCTION("IFERROR(
  VLOOKUP(
    A172,
    IMPORTRANGE(
      ""1ZygntHC1J6IxzKbTidmOyf5nUyW4GCLurHCjexrLm_o        "",
      ""HTMLキャッシュ!A:F""
    ),
    6,
    FALSE
  ),
  0
)
"),"中１～高３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中１～高３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72" s="32">
        <f>IFERROR(__xludf.DUMMYFUNCTION("IFERROR(
  VLOOKUP(
    A172,
    IMPORTRANGE(
      ""1ZygntHC1J6IxzKbTidmOyf5nUyW4GCLurHCjexrLm_o        "",
      ""HTMLキャッシュ!A:F""
    ),
    3,
    FALSE
  ),
  0
)
"),25569.375)</f>
        <v>25569.375</v>
      </c>
      <c r="F172" s="49">
        <f>IFERROR(__xludf.DUMMYFUNCTION("IFERROR(
  VLOOKUP(
    A172,
    IMPORTRANGE(
      ""1ZHMy3vVUd_0MrSduXTe1etBb1HNpAlGwQr006ljwMiM"",
      ""GSC最新!A:F""
    ),
    2,
    FALSE
  ),
  0
)
"),0.0)</f>
        <v>0</v>
      </c>
      <c r="G172" s="49">
        <f>IFERROR(__xludf.DUMMYFUNCTION("IFERROR(
  VLOOKUP(
    A172,
    IMPORTRANGE(
      ""1ZHMy3vVUd_0MrSduXTe1etBb1HNpAlGwQr006ljwMiM"",
      ""GSC最新!A:F""
    ),
    3,
    FALSE
  ),
  0
)
"),0.0)</f>
        <v>0</v>
      </c>
      <c r="H172" s="49">
        <f>IFERROR(__xludf.DUMMYFUNCTION("IFERROR(
  VLOOKUP(
    A172,
    IMPORTRANGE(
      ""1ZHMy3vVUd_0MrSduXTe1etBb1HNpAlGwQr006ljwMiM"",
      ""GSC最新!A:F""
    ),
    4,
    FALSE
  ),
  0
)
"),0.0)</f>
        <v>0</v>
      </c>
      <c r="I172" s="49">
        <f>IFERROR(__xludf.DUMMYFUNCTION("IFERROR(
  VLOOKUP(
    A172,
    IMPORTRANGE(
      ""1ZHMy3vVUd_0MrSduXTe1etBb1HNpAlGwQr006ljwMiM"",
      ""GSC最新!A:F""
    ),
    5,
    FALSE
  ),
  0
)
"),0.0)</f>
        <v>0</v>
      </c>
      <c r="J172" s="50" t="str">
        <f t="shared" ref="J172:K172" si="851">IFERROR(F172/H172,"-")</f>
        <v>-</v>
      </c>
      <c r="K172" s="50" t="str">
        <f t="shared" si="851"/>
        <v>-</v>
      </c>
      <c r="L172" s="6">
        <f>IFERROR(__xludf.DUMMYFUNCTION("IFERROR(
  VLOOKUP(
    A172,
    IMPORTRANGE(
      ""1ZHMy3vVUd_0MrSduXTe1etBb1HNpAlGwQr006ljwMiM"",
      ""GSC最新!A:R""
    ),
    7,
    FALSE
  ),
  0
)
"),0.0)</f>
        <v>0</v>
      </c>
      <c r="M172" s="6">
        <f>IFERROR(__xludf.DUMMYFUNCTION("IFERROR(
  VLOOKUP(
    A172,
    IMPORTRANGE(
      ""1ZHMy3vVUd_0MrSduXTe1etBb1HNpAlGwQr006ljwMiM"",
      ""GSC最新!A:R""
    ),
    10,
    FALSE
  ),
  0
)
"),0.0)</f>
        <v>0</v>
      </c>
      <c r="N172" s="6">
        <f>IFERROR(__xludf.DUMMYFUNCTION("IFERROR(
  VLOOKUP(
    A172,
    IMPORTRANGE(
      ""1ZHMy3vVUd_0MrSduXTe1etBb1HNpAlGwQr006ljwMiM"",
      ""GSC最新!A:R""
    ),
    13,
    FALSE
  ),
  0
)
"),0.0)</f>
        <v>0</v>
      </c>
      <c r="O172" s="6">
        <f>IFERROR(__xludf.DUMMYFUNCTION("IFERROR(
  VLOOKUP(
    A172,
    IMPORTRANGE(
      ""1ZHMy3vVUd_0MrSduXTe1etBb1HNpAlGwQr006ljwMiM"",
      ""GSC最新!A:R""
    ),
    16,
    FALSE
  ),
  0
)
"),0.0)</f>
        <v>0</v>
      </c>
      <c r="P172" s="51" t="str">
        <f t="shared" ref="P172:Q172" si="852">IFERROR(L172/N172,"-")</f>
        <v>-</v>
      </c>
      <c r="Q172" s="51" t="str">
        <f t="shared" si="852"/>
        <v>-</v>
      </c>
      <c r="R172" s="9">
        <f>IFERROR(__xludf.DUMMYFUNCTION("IFERROR(
  VLOOKUP(
    A172,
    IMPORTRANGE(
      ""1ZHMy3vVUd_0MrSduXTe1etBb1HNpAlGwQr006ljwMiM"",
      ""GSC最新!A:R""
    ),
    8,
    FALSE
  ),
  0
)
"),0.0)</f>
        <v>0</v>
      </c>
      <c r="S172" s="9">
        <f>IFERROR(__xludf.DUMMYFUNCTION("IFERROR(
  VLOOKUP(
    A172,
    IMPORTRANGE(
      ""1ZHMy3vVUd_0MrSduXTe1etBb1HNpAlGwQr006ljwMiM"",
      ""GSC最新!A:R""
    ),
    11,
    FALSE
  ),
  0
)
"),0.0)</f>
        <v>0</v>
      </c>
      <c r="T172" s="9">
        <f>IFERROR(__xludf.DUMMYFUNCTION("IFERROR(
  VLOOKUP(
    A172,
    IMPORTRANGE(
      ""1ZHMy3vVUd_0MrSduXTe1etBb1HNpAlGwQr006ljwMiM"",
      ""GSC最新!A:R""
    ),
    14,
    FALSE
  ),
  0
)
"),0.0)</f>
        <v>0</v>
      </c>
      <c r="U172" s="9">
        <f>IFERROR(__xludf.DUMMYFUNCTION("IFERROR(
  VLOOKUP(
    A172,
    IMPORTRANGE(
      ""1ZHMy3vVUd_0MrSduXTe1etBb1HNpAlGwQr006ljwMiM"",
      ""GSC最新!A:R""
    ),
    17,
    FALSE
  ),
  0
)
"),0.0)</f>
        <v>0</v>
      </c>
      <c r="V172" s="9">
        <f t="shared" ref="V172:W172" si="853">IFERROR(R172-T172,"-")</f>
        <v>0</v>
      </c>
      <c r="W172" s="9">
        <f t="shared" si="853"/>
        <v>0</v>
      </c>
      <c r="X172" s="65" t="str">
        <f>IFERROR(__xludf.DUMMYFUNCTION("IFERROR(
  VLOOKUP(
    A172,
    IMPORTRANGE(
      ""1ZHMy3vVUd_0MrSduXTe1etBb1HNpAlGwQr006ljwMiM"",
      ""GSC最新!A:R""
    ),
    9,
    FALSE
  ),
  0
)
"),"")</f>
        <v/>
      </c>
      <c r="Y172" s="65" t="str">
        <f>IFERROR(__xludf.DUMMYFUNCTION("IFERROR(
  VLOOKUP(
    A172,
    IMPORTRANGE(
      ""1ZHMy3vVUd_0MrSduXTe1etBb1HNpAlGwQr006ljwMiM"",
      ""GSC最新!A:R""
    ),
    12,
    FALSE
  ),
  0
)
"),"")</f>
        <v/>
      </c>
      <c r="Z172" s="65" t="str">
        <f>IFERROR(__xludf.DUMMYFUNCTION("IFERROR(
  VLOOKUP(
    A172,
    IMPORTRANGE(
      ""1ZHMy3vVUd_0MrSduXTe1etBb1HNpAlGwQr006ljwMiM"",
      ""GSC最新!A:R""
    ),
    15,
    FALSE
  ),
  0
)
"),"")</f>
        <v/>
      </c>
      <c r="AA172" s="65" t="str">
        <f>IFERROR(__xludf.DUMMYFUNCTION("IFERROR(
  VLOOKUP(
    A172,
    IMPORTRANGE(
      ""1ZHMy3vVUd_0MrSduXTe1etBb1HNpAlGwQr006ljwMiM"",
      ""GSC最新!A:R""
    ),
    18,
    FALSE
  ),
  0
)
"),"")</f>
        <v/>
      </c>
      <c r="AB172" s="65">
        <f t="shared" ref="AB172:AC172" si="854">X172-Z172</f>
        <v>0</v>
      </c>
      <c r="AC172" s="65">
        <f t="shared" si="854"/>
        <v>0</v>
      </c>
      <c r="AD172" s="53">
        <f>IFERROR(__xludf.DUMMYFUNCTION("IFERROR(
  VLOOKUP(
    A172,
    IMPORTRANGE(
      ""1ZHMy3vVUd_0MrSduXTe1etBb1HNpAlGwQr006ljwMiM"",
      ""GSC最新!A:F""
    ),
    6,
    FALSE
  ),
  0
)
"),46081.0)</f>
        <v>46081</v>
      </c>
      <c r="AE172" s="54">
        <f>IFERROR(__xludf.DUMMYFUNCTION("IFERROR(
  VLOOKUP(
    A172,
    IMPORTRANGE(
      ""1SCYQd7_cobOYqT0r_F0IqD4tE4rYn5y8Eup4PJTH8es"",
      ""Snapshot!A:M""
    ),
    5,
    FALSE
  ),
  ""-""
)
"),0.0)</f>
        <v>0</v>
      </c>
      <c r="AF172" s="54">
        <f>IFERROR(__xludf.DUMMYFUNCTION("IFERROR(
  VLOOKUP(
    A172,
    IMPORTRANGE(
      ""1SCYQd7_cobOYqT0r_F0IqD4tE4rYn5y8Eup4PJTH8es"",
      ""Snapshot!A:M""
    ),
    6,
    FALSE
  ),
  0
)
"),0.0)</f>
        <v>0</v>
      </c>
      <c r="AG172" s="54">
        <f>IFERROR(__xludf.DUMMYFUNCTION("IFERROR(
  VLOOKUP(
    A172,
    IMPORTRANGE(
      ""1SCYQd7_cobOYqT0r_F0IqD4tE4rYn5y8Eup4PJTH8es"",
      ""Snapshot!A:M""
    ),
    7,
    FALSE
  ),
  0
)
"),0.0)</f>
        <v>0</v>
      </c>
      <c r="AH172" s="54">
        <f>IFERROR(__xludf.DUMMYFUNCTION("IFERROR(
  VLOOKUP(
    A172,
    IMPORTRANGE(
      ""1SCYQd7_cobOYqT0r_F0IqD4tE4rYn5y8Eup4PJTH8es"",
      ""Snapshot!A:M""
    ),
    8,
    FALSE
  ),
  0
)
"),0.0)</f>
        <v>0</v>
      </c>
      <c r="AI172" s="54">
        <f>IFERROR(__xludf.DUMMYFUNCTION("IFERROR(
  VLOOKUP(
    A172,
    IMPORTRANGE(
      ""1SCYQd7_cobOYqT0r_F0IqD4tE4rYn5y8Eup4PJTH8es"",
      ""Snapshot!A:M""
    ),
    9,
    FALSE
  ),
  0
)
"),0.0)</f>
        <v>0</v>
      </c>
      <c r="AJ172" s="54">
        <f>IFERROR(__xludf.DUMMYFUNCTION("IFERROR(
  VLOOKUP(
    A172,
    IMPORTRANGE(
      ""1SCYQd7_cobOYqT0r_F0IqD4tE4rYn5y8Eup4PJTH8es"",
      ""Snapshot!A:M""
    ),
    13,
    FALSE
  ),
  0
)
"),2.0)</f>
        <v>2</v>
      </c>
      <c r="AK172" s="49">
        <f t="shared" ref="AK172:AL172" si="855">LEN(C172)</f>
        <v>57</v>
      </c>
      <c r="AL172" s="49">
        <f t="shared" si="855"/>
        <v>135</v>
      </c>
    </row>
    <row r="173">
      <c r="A173" s="3" t="s">
        <v>660</v>
      </c>
      <c r="B173" s="1" t="str">
        <f>IFERROR(__xludf.DUMMYFUNCTION("IFERROR(
  VLOOKUP(
    A173,
    IMPORTRANGE(
      ""1ZygntHC1J6IxzKbTidmOyf5nUyW4GCLurHCjexrLm_o"",
      ""HTMLキャッシュ!A:F""
    ),
    2,
    FALSE
  ),
  0
)
"),"NW")</f>
        <v>NW</v>
      </c>
      <c r="C173" s="1" t="str">
        <f>IFERROR(__xludf.DUMMYFUNCTION("IFERROR(
  VLOOKUP(
    A173,
    IMPORTRANGE(
      ""1ZygntHC1J6IxzKbTidmOyf5nUyW4GCLurHCjexrLm_o"",
      ""HTMLキャッシュ!A:F""
    ),
    5,
    FALSE
  ),
  0
)
"),"「受験国語専門 読解ラボ東京」、12月14日開校しました！ - 受験国語専門 読解ラボ東京 | 中学受験・大学受験対応の個別指導国語専門塾（オンライン・教室対応）")</f>
        <v>「受験国語専門 読解ラボ東京」、12月14日開校しました！ - 受験国語専門 読解ラボ東京 | 中学受験・大学受験対応の個別指導国語専門塾（オンライン・教室対応）</v>
      </c>
      <c r="D173" s="1" t="str">
        <f>IFERROR(__xludf.DUMMYFUNCTION("IFERROR(
  VLOOKUP(
    A173,
    IMPORTRANGE(
      ""1ZygntHC1J6IxzKbTidmOyf5nUyW4GCLurHCjexrLm_o        "",
      ""HTMLキャッシュ!A:F""
    ),
    6,
    FALSE
  ),
  0
)
"),"「受験国語専門 読解ラボ東京」は本日開校しました！ 国語(現代文)という科目にも、他教科と同じように正しい頑張")</f>
        <v>「受験国語専門 読解ラボ東京」は本日開校しました！ 国語(現代文)という科目にも、他教科と同じように正しい頑張</v>
      </c>
      <c r="E173" s="32">
        <f>IFERROR(__xludf.DUMMYFUNCTION("IFERROR(
  VLOOKUP(
    A173,
    IMPORTRANGE(
      ""1ZygntHC1J6IxzKbTidmOyf5nUyW4GCLurHCjexrLm_o        "",
      ""HTMLキャッシュ!A:F""
    ),
    3,
    FALSE
  ),
  0
)
"),42719.53586805556)</f>
        <v>42719.53587</v>
      </c>
      <c r="F173" s="49">
        <f>IFERROR(__xludf.DUMMYFUNCTION("IFERROR(
  VLOOKUP(
    A173,
    IMPORTRANGE(
      ""1ZHMy3vVUd_0MrSduXTe1etBb1HNpAlGwQr006ljwMiM"",
      ""GSC最新!A:F""
    ),
    2,
    FALSE
  ),
  0
)
"),0.0)</f>
        <v>0</v>
      </c>
      <c r="G173" s="49">
        <f>IFERROR(__xludf.DUMMYFUNCTION("IFERROR(
  VLOOKUP(
    A173,
    IMPORTRANGE(
      ""1ZHMy3vVUd_0MrSduXTe1etBb1HNpAlGwQr006ljwMiM"",
      ""GSC最新!A:F""
    ),
    3,
    FALSE
  ),
  0
)
"),0.0)</f>
        <v>0</v>
      </c>
      <c r="H173" s="49">
        <f>IFERROR(__xludf.DUMMYFUNCTION("IFERROR(
  VLOOKUP(
    A173,
    IMPORTRANGE(
      ""1ZHMy3vVUd_0MrSduXTe1etBb1HNpAlGwQr006ljwMiM"",
      ""GSC最新!A:F""
    ),
    4,
    FALSE
  ),
  0
)
"),0.0)</f>
        <v>0</v>
      </c>
      <c r="I173" s="49">
        <f>IFERROR(__xludf.DUMMYFUNCTION("IFERROR(
  VLOOKUP(
    A173,
    IMPORTRANGE(
      ""1ZHMy3vVUd_0MrSduXTe1etBb1HNpAlGwQr006ljwMiM"",
      ""GSC最新!A:F""
    ),
    5,
    FALSE
  ),
  0
)
"),0.0)</f>
        <v>0</v>
      </c>
      <c r="J173" s="50" t="str">
        <f t="shared" ref="J173:K173" si="856">IFERROR(F173/H173,"-")</f>
        <v>-</v>
      </c>
      <c r="K173" s="50" t="str">
        <f t="shared" si="856"/>
        <v>-</v>
      </c>
      <c r="L173" s="6">
        <f>IFERROR(__xludf.DUMMYFUNCTION("IFERROR(
  VLOOKUP(
    A173,
    IMPORTRANGE(
      ""1ZHMy3vVUd_0MrSduXTe1etBb1HNpAlGwQr006ljwMiM"",
      ""GSC最新!A:R""
    ),
    7,
    FALSE
  ),
  0
)
"),0.0)</f>
        <v>0</v>
      </c>
      <c r="M173" s="6">
        <f>IFERROR(__xludf.DUMMYFUNCTION("IFERROR(
  VLOOKUP(
    A173,
    IMPORTRANGE(
      ""1ZHMy3vVUd_0MrSduXTe1etBb1HNpAlGwQr006ljwMiM"",
      ""GSC最新!A:R""
    ),
    10,
    FALSE
  ),
  0
)
"),0.0)</f>
        <v>0</v>
      </c>
      <c r="N173" s="6">
        <f>IFERROR(__xludf.DUMMYFUNCTION("IFERROR(
  VLOOKUP(
    A173,
    IMPORTRANGE(
      ""1ZHMy3vVUd_0MrSduXTe1etBb1HNpAlGwQr006ljwMiM"",
      ""GSC最新!A:R""
    ),
    13,
    FALSE
  ),
  0
)
"),0.0)</f>
        <v>0</v>
      </c>
      <c r="O173" s="6">
        <f>IFERROR(__xludf.DUMMYFUNCTION("IFERROR(
  VLOOKUP(
    A173,
    IMPORTRANGE(
      ""1ZHMy3vVUd_0MrSduXTe1etBb1HNpAlGwQr006ljwMiM"",
      ""GSC最新!A:R""
    ),
    16,
    FALSE
  ),
  0
)
"),0.0)</f>
        <v>0</v>
      </c>
      <c r="P173" s="51" t="str">
        <f t="shared" ref="P173:Q173" si="857">IFERROR(L173/N173,"-")</f>
        <v>-</v>
      </c>
      <c r="Q173" s="51" t="str">
        <f t="shared" si="857"/>
        <v>-</v>
      </c>
      <c r="R173" s="9">
        <f>IFERROR(__xludf.DUMMYFUNCTION("IFERROR(
  VLOOKUP(
    A173,
    IMPORTRANGE(
      ""1ZHMy3vVUd_0MrSduXTe1etBb1HNpAlGwQr006ljwMiM"",
      ""GSC最新!A:R""
    ),
    8,
    FALSE
  ),
  0
)
"),0.0)</f>
        <v>0</v>
      </c>
      <c r="S173" s="9">
        <f>IFERROR(__xludf.DUMMYFUNCTION("IFERROR(
  VLOOKUP(
    A173,
    IMPORTRANGE(
      ""1ZHMy3vVUd_0MrSduXTe1etBb1HNpAlGwQr006ljwMiM"",
      ""GSC最新!A:R""
    ),
    11,
    FALSE
  ),
  0
)
"),0.0)</f>
        <v>0</v>
      </c>
      <c r="T173" s="9">
        <f>IFERROR(__xludf.DUMMYFUNCTION("IFERROR(
  VLOOKUP(
    A173,
    IMPORTRANGE(
      ""1ZHMy3vVUd_0MrSduXTe1etBb1HNpAlGwQr006ljwMiM"",
      ""GSC最新!A:R""
    ),
    14,
    FALSE
  ),
  0
)
"),0.0)</f>
        <v>0</v>
      </c>
      <c r="U173" s="9">
        <f>IFERROR(__xludf.DUMMYFUNCTION("IFERROR(
  VLOOKUP(
    A173,
    IMPORTRANGE(
      ""1ZHMy3vVUd_0MrSduXTe1etBb1HNpAlGwQr006ljwMiM"",
      ""GSC最新!A:R""
    ),
    17,
    FALSE
  ),
  0
)
"),0.0)</f>
        <v>0</v>
      </c>
      <c r="V173" s="9">
        <f t="shared" ref="V173:W173" si="858">IFERROR(R173-T173,"-")</f>
        <v>0</v>
      </c>
      <c r="W173" s="9">
        <f t="shared" si="858"/>
        <v>0</v>
      </c>
      <c r="X173" s="65" t="str">
        <f>IFERROR(__xludf.DUMMYFUNCTION("IFERROR(
  VLOOKUP(
    A173,
    IMPORTRANGE(
      ""1ZHMy3vVUd_0MrSduXTe1etBb1HNpAlGwQr006ljwMiM"",
      ""GSC最新!A:R""
    ),
    9,
    FALSE
  ),
  0
)
"),"")</f>
        <v/>
      </c>
      <c r="Y173" s="65" t="str">
        <f>IFERROR(__xludf.DUMMYFUNCTION("IFERROR(
  VLOOKUP(
    A173,
    IMPORTRANGE(
      ""1ZHMy3vVUd_0MrSduXTe1etBb1HNpAlGwQr006ljwMiM"",
      ""GSC最新!A:R""
    ),
    12,
    FALSE
  ),
  0
)
"),"")</f>
        <v/>
      </c>
      <c r="Z173" s="65" t="str">
        <f>IFERROR(__xludf.DUMMYFUNCTION("IFERROR(
  VLOOKUP(
    A173,
    IMPORTRANGE(
      ""1ZHMy3vVUd_0MrSduXTe1etBb1HNpAlGwQr006ljwMiM"",
      ""GSC最新!A:R""
    ),
    15,
    FALSE
  ),
  0
)
"),"")</f>
        <v/>
      </c>
      <c r="AA173" s="65" t="str">
        <f>IFERROR(__xludf.DUMMYFUNCTION("IFERROR(
  VLOOKUP(
    A173,
    IMPORTRANGE(
      ""1ZHMy3vVUd_0MrSduXTe1etBb1HNpAlGwQr006ljwMiM"",
      ""GSC最新!A:R""
    ),
    18,
    FALSE
  ),
  0
)
"),"")</f>
        <v/>
      </c>
      <c r="AB173" s="65">
        <f t="shared" ref="AB173:AC173" si="859">X173-Z173</f>
        <v>0</v>
      </c>
      <c r="AC173" s="65">
        <f t="shared" si="859"/>
        <v>0</v>
      </c>
      <c r="AD173" s="53">
        <f>IFERROR(__xludf.DUMMYFUNCTION("IFERROR(
  VLOOKUP(
    A173,
    IMPORTRANGE(
      ""1ZHMy3vVUd_0MrSduXTe1etBb1HNpAlGwQr006ljwMiM"",
      ""GSC最新!A:F""
    ),
    6,
    FALSE
  ),
  0
)
"),46081.0)</f>
        <v>46081</v>
      </c>
      <c r="AE173" s="54">
        <f>IFERROR(__xludf.DUMMYFUNCTION("IFERROR(
  VLOOKUP(
    A173,
    IMPORTRANGE(
      ""1SCYQd7_cobOYqT0r_F0IqD4tE4rYn5y8Eup4PJTH8es"",
      ""Snapshot!A:M""
    ),
    5,
    FALSE
  ),
  ""-""
)
"),0.0)</f>
        <v>0</v>
      </c>
      <c r="AF173" s="54">
        <f>IFERROR(__xludf.DUMMYFUNCTION("IFERROR(
  VLOOKUP(
    A173,
    IMPORTRANGE(
      ""1SCYQd7_cobOYqT0r_F0IqD4tE4rYn5y8Eup4PJTH8es"",
      ""Snapshot!A:M""
    ),
    6,
    FALSE
  ),
  0
)
"),0.0)</f>
        <v>0</v>
      </c>
      <c r="AG173" s="54">
        <f>IFERROR(__xludf.DUMMYFUNCTION("IFERROR(
  VLOOKUP(
    A173,
    IMPORTRANGE(
      ""1SCYQd7_cobOYqT0r_F0IqD4tE4rYn5y8Eup4PJTH8es"",
      ""Snapshot!A:M""
    ),
    7,
    FALSE
  ),
  0
)
"),479.0)</f>
        <v>479</v>
      </c>
      <c r="AH173" s="54">
        <f>IFERROR(__xludf.DUMMYFUNCTION("IFERROR(
  VLOOKUP(
    A173,
    IMPORTRANGE(
      ""1SCYQd7_cobOYqT0r_F0IqD4tE4rYn5y8Eup4PJTH8es"",
      ""Snapshot!A:M""
    ),
    8,
    FALSE
  ),
  0
)
"),0.0)</f>
        <v>0</v>
      </c>
      <c r="AI173" s="54">
        <f>IFERROR(__xludf.DUMMYFUNCTION("IFERROR(
  VLOOKUP(
    A173,
    IMPORTRANGE(
      ""1SCYQd7_cobOYqT0r_F0IqD4tE4rYn5y8Eup4PJTH8es"",
      ""Snapshot!A:M""
    ),
    9,
    FALSE
  ),
  0
)
"),1.0)</f>
        <v>1</v>
      </c>
      <c r="AJ173" s="54">
        <f>IFERROR(__xludf.DUMMYFUNCTION("IFERROR(
  VLOOKUP(
    A173,
    IMPORTRANGE(
      ""1SCYQd7_cobOYqT0r_F0IqD4tE4rYn5y8Eup4PJTH8es"",
      ""Snapshot!A:M""
    ),
    13,
    FALSE
  ),
  0
)
"),3.0)</f>
        <v>3</v>
      </c>
      <c r="AK173" s="49">
        <f t="shared" ref="AK173:AL173" si="860">LEN(C173)</f>
        <v>81</v>
      </c>
      <c r="AL173" s="49">
        <f t="shared" si="860"/>
        <v>55</v>
      </c>
    </row>
    <row r="174">
      <c r="A174" s="3" t="s">
        <v>661</v>
      </c>
      <c r="B174" s="1" t="str">
        <f>IFERROR(__xludf.DUMMYFUNCTION("IFERROR(
  VLOOKUP(
    A174,
    IMPORTRANGE(
      ""1ZygntHC1J6IxzKbTidmOyf5nUyW4GCLurHCjexrLm_o"",
      ""HTMLキャッシュ!A:F""
    ),
    2,
    FALSE
  ),
  0
)
"),"NW")</f>
        <v>NW</v>
      </c>
      <c r="C174" s="1" t="str">
        <f>IFERROR(__xludf.DUMMYFUNCTION("IFERROR(
  VLOOKUP(
    A174,
    IMPORTRANGE(
      ""1ZygntHC1J6IxzKbTidmOyf5nUyW4GCLurHCjexrLm_o"",
      ""HTMLキャッシュ!A:F""
    ),
    5,
    FALSE
  ),
  0
)
"),"「中学入試国語読解力いらずの解き方講座(エール出版)」発売のお知らせ - 受験国語専門 読解ラボ東京 | 中学受験・大学受験対応の個別指導国語専門塾（オンライン・教室対応）")</f>
        <v>「中学入試国語読解力いらずの解き方講座(エール出版)」発売のお知らせ - 受験国語専門 読解ラボ東京 | 中学受験・大学受験対応の個別指導国語専門塾（オンライン・教室対応）</v>
      </c>
      <c r="D174" s="1" t="str">
        <f>IFERROR(__xludf.DUMMYFUNCTION("IFERROR(
  VLOOKUP(
    A174,
    IMPORTRANGE(
      ""1ZygntHC1J6IxzKbTidmOyf5nUyW4GCLurHCjexrLm_o        "",
      ""HTMLキャッシュ!A:F""
    ),
    6,
    FALSE
  ),
  0
)
"),"読解ラボ東京のホームページをご覧いただき、誠にありがとうございます。 代表の長島です。 &amp;amp;nbs")</f>
        <v>読解ラボ東京のホームページをご覧いただき、誠にありがとうございます。 代表の長島です。 &amp;amp;nbs</v>
      </c>
      <c r="E174" s="32">
        <f>IFERROR(__xludf.DUMMYFUNCTION("IFERROR(
  VLOOKUP(
    A174,
    IMPORTRANGE(
      ""1ZygntHC1J6IxzKbTidmOyf5nUyW4GCLurHCjexrLm_o        "",
      ""HTMLキャッシュ!A:F""
    ),
    3,
    FALSE
  ),
  0
)
"),42910.46041666667)</f>
        <v>42910.46042</v>
      </c>
      <c r="F174" s="49">
        <f>IFERROR(__xludf.DUMMYFUNCTION("IFERROR(
  VLOOKUP(
    A174,
    IMPORTRANGE(
      ""1ZHMy3vVUd_0MrSduXTe1etBb1HNpAlGwQr006ljwMiM"",
      ""GSC最新!A:F""
    ),
    2,
    FALSE
  ),
  0
)
"),0.0)</f>
        <v>0</v>
      </c>
      <c r="G174" s="49">
        <f>IFERROR(__xludf.DUMMYFUNCTION("IFERROR(
  VLOOKUP(
    A174,
    IMPORTRANGE(
      ""1ZHMy3vVUd_0MrSduXTe1etBb1HNpAlGwQr006ljwMiM"",
      ""GSC最新!A:F""
    ),
    3,
    FALSE
  ),
  0
)
"),0.0)</f>
        <v>0</v>
      </c>
      <c r="H174" s="49">
        <f>IFERROR(__xludf.DUMMYFUNCTION("IFERROR(
  VLOOKUP(
    A174,
    IMPORTRANGE(
      ""1ZHMy3vVUd_0MrSduXTe1etBb1HNpAlGwQr006ljwMiM"",
      ""GSC最新!A:F""
    ),
    4,
    FALSE
  ),
  0
)
"),0.0)</f>
        <v>0</v>
      </c>
      <c r="I174" s="49">
        <f>IFERROR(__xludf.DUMMYFUNCTION("IFERROR(
  VLOOKUP(
    A174,
    IMPORTRANGE(
      ""1ZHMy3vVUd_0MrSduXTe1etBb1HNpAlGwQr006ljwMiM"",
      ""GSC最新!A:F""
    ),
    5,
    FALSE
  ),
  0
)
"),1.0)</f>
        <v>1</v>
      </c>
      <c r="J174" s="50" t="str">
        <f t="shared" ref="J174:K174" si="861">IFERROR(F174/H174,"-")</f>
        <v>-</v>
      </c>
      <c r="K174" s="50">
        <f t="shared" si="861"/>
        <v>0</v>
      </c>
      <c r="L174" s="6">
        <f>IFERROR(__xludf.DUMMYFUNCTION("IFERROR(
  VLOOKUP(
    A174,
    IMPORTRANGE(
      ""1ZHMy3vVUd_0MrSduXTe1etBb1HNpAlGwQr006ljwMiM"",
      ""GSC最新!A:R""
    ),
    7,
    FALSE
  ),
  0
)
"),0.0)</f>
        <v>0</v>
      </c>
      <c r="M174" s="6">
        <f>IFERROR(__xludf.DUMMYFUNCTION("IFERROR(
  VLOOKUP(
    A174,
    IMPORTRANGE(
      ""1ZHMy3vVUd_0MrSduXTe1etBb1HNpAlGwQr006ljwMiM"",
      ""GSC最新!A:R""
    ),
    10,
    FALSE
  ),
  0
)
"),0.0)</f>
        <v>0</v>
      </c>
      <c r="N174" s="6">
        <f>IFERROR(__xludf.DUMMYFUNCTION("IFERROR(
  VLOOKUP(
    A174,
    IMPORTRANGE(
      ""1ZHMy3vVUd_0MrSduXTe1etBb1HNpAlGwQr006ljwMiM"",
      ""GSC最新!A:R""
    ),
    13,
    FALSE
  ),
  0
)
"),0.0)</f>
        <v>0</v>
      </c>
      <c r="O174" s="6">
        <f>IFERROR(__xludf.DUMMYFUNCTION("IFERROR(
  VLOOKUP(
    A174,
    IMPORTRANGE(
      ""1ZHMy3vVUd_0MrSduXTe1etBb1HNpAlGwQr006ljwMiM"",
      ""GSC最新!A:R""
    ),
    16,
    FALSE
  ),
  0
)
"),9.0)</f>
        <v>9</v>
      </c>
      <c r="P174" s="51" t="str">
        <f t="shared" ref="P174:Q174" si="862">IFERROR(L174/N174,"-")</f>
        <v>-</v>
      </c>
      <c r="Q174" s="51">
        <f t="shared" si="862"/>
        <v>0</v>
      </c>
      <c r="R174" s="9">
        <f>IFERROR(__xludf.DUMMYFUNCTION("IFERROR(
  VLOOKUP(
    A174,
    IMPORTRANGE(
      ""1ZHMy3vVUd_0MrSduXTe1etBb1HNpAlGwQr006ljwMiM"",
      ""GSC最新!A:R""
    ),
    8,
    FALSE
  ),
  0
)
"),0.0)</f>
        <v>0</v>
      </c>
      <c r="S174" s="9">
        <f>IFERROR(__xludf.DUMMYFUNCTION("IFERROR(
  VLOOKUP(
    A174,
    IMPORTRANGE(
      ""1ZHMy3vVUd_0MrSduXTe1etBb1HNpAlGwQr006ljwMiM"",
      ""GSC最新!A:R""
    ),
    11,
    FALSE
  ),
  0
)
"),0.0)</f>
        <v>0</v>
      </c>
      <c r="T174" s="9">
        <f>IFERROR(__xludf.DUMMYFUNCTION("IFERROR(
  VLOOKUP(
    A174,
    IMPORTRANGE(
      ""1ZHMy3vVUd_0MrSduXTe1etBb1HNpAlGwQr006ljwMiM"",
      ""GSC最新!A:R""
    ),
    14,
    FALSE
  ),
  0
)
"),0.0)</f>
        <v>0</v>
      </c>
      <c r="U174" s="9">
        <f>IFERROR(__xludf.DUMMYFUNCTION("IFERROR(
  VLOOKUP(
    A174,
    IMPORTRANGE(
      ""1ZHMy3vVUd_0MrSduXTe1etBb1HNpAlGwQr006ljwMiM"",
      ""GSC最新!A:R""
    ),
    17,
    FALSE
  ),
  0
)
"),0.1111111111111111)</f>
        <v>0.1111111111</v>
      </c>
      <c r="V174" s="9">
        <f t="shared" ref="V174:W174" si="863">IFERROR(R174-T174,"-")</f>
        <v>0</v>
      </c>
      <c r="W174" s="9">
        <f t="shared" si="863"/>
        <v>-0.1111111111</v>
      </c>
      <c r="X174" s="65" t="str">
        <f>IFERROR(__xludf.DUMMYFUNCTION("IFERROR(
  VLOOKUP(
    A174,
    IMPORTRANGE(
      ""1ZHMy3vVUd_0MrSduXTe1etBb1HNpAlGwQr006ljwMiM"",
      ""GSC最新!A:R""
    ),
    9,
    FALSE
  ),
  0
)
"),"")</f>
        <v/>
      </c>
      <c r="Y174" s="65" t="str">
        <f>IFERROR(__xludf.DUMMYFUNCTION("IFERROR(
  VLOOKUP(
    A174,
    IMPORTRANGE(
      ""1ZHMy3vVUd_0MrSduXTe1etBb1HNpAlGwQr006ljwMiM"",
      ""GSC最新!A:R""
    ),
    12,
    FALSE
  ),
  0
)
"),"")</f>
        <v/>
      </c>
      <c r="Z174" s="65" t="str">
        <f>IFERROR(__xludf.DUMMYFUNCTION("IFERROR(
  VLOOKUP(
    A174,
    IMPORTRANGE(
      ""1ZHMy3vVUd_0MrSduXTe1etBb1HNpAlGwQr006ljwMiM"",
      ""GSC最新!A:R""
    ),
    15,
    FALSE
  ),
  0
)
"),"")</f>
        <v/>
      </c>
      <c r="AA174" s="65">
        <f>IFERROR(__xludf.DUMMYFUNCTION("IFERROR(
  VLOOKUP(
    A174,
    IMPORTRANGE(
      ""1ZHMy3vVUd_0MrSduXTe1etBb1HNpAlGwQr006ljwMiM"",
      ""GSC最新!A:R""
    ),
    18,
    FALSE
  ),
  0
)
"),7.666666666666667)</f>
        <v>7.666666667</v>
      </c>
      <c r="AB174" s="65">
        <f t="shared" ref="AB174:AC174" si="864">X174-Z174</f>
        <v>0</v>
      </c>
      <c r="AC174" s="65">
        <f t="shared" si="864"/>
        <v>-7.666666667</v>
      </c>
      <c r="AD174" s="53">
        <f>IFERROR(__xludf.DUMMYFUNCTION("IFERROR(
  VLOOKUP(
    A174,
    IMPORTRANGE(
      ""1ZHMy3vVUd_0MrSduXTe1etBb1HNpAlGwQr006ljwMiM"",
      ""GSC最新!A:F""
    ),
    6,
    FALSE
  ),
  0
)
"),46081.0)</f>
        <v>46081</v>
      </c>
      <c r="AE174" s="54">
        <f>IFERROR(__xludf.DUMMYFUNCTION("IFERROR(
  VLOOKUP(
    A174,
    IMPORTRANGE(
      ""1SCYQd7_cobOYqT0r_F0IqD4tE4rYn5y8Eup4PJTH8es"",
      ""Snapshot!A:M""
    ),
    5,
    FALSE
  ),
  ""-""
)
"),0.0)</f>
        <v>0</v>
      </c>
      <c r="AF174" s="54">
        <f>IFERROR(__xludf.DUMMYFUNCTION("IFERROR(
  VLOOKUP(
    A174,
    IMPORTRANGE(
      ""1SCYQd7_cobOYqT0r_F0IqD4tE4rYn5y8Eup4PJTH8es"",
      ""Snapshot!A:M""
    ),
    6,
    FALSE
  ),
  0
)
"),0.0)</f>
        <v>0</v>
      </c>
      <c r="AG174" s="54">
        <f>IFERROR(__xludf.DUMMYFUNCTION("IFERROR(
  VLOOKUP(
    A174,
    IMPORTRANGE(
      ""1SCYQd7_cobOYqT0r_F0IqD4tE4rYn5y8Eup4PJTH8es"",
      ""Snapshot!A:M""
    ),
    7,
    FALSE
  ),
  0
)
"),389.0)</f>
        <v>389</v>
      </c>
      <c r="AH174" s="54">
        <f>IFERROR(__xludf.DUMMYFUNCTION("IFERROR(
  VLOOKUP(
    A174,
    IMPORTRANGE(
      ""1SCYQd7_cobOYqT0r_F0IqD4tE4rYn5y8Eup4PJTH8es"",
      ""Snapshot!A:M""
    ),
    8,
    FALSE
  ),
  0
)
"),0.0)</f>
        <v>0</v>
      </c>
      <c r="AI174" s="54">
        <f>IFERROR(__xludf.DUMMYFUNCTION("IFERROR(
  VLOOKUP(
    A174,
    IMPORTRANGE(
      ""1SCYQd7_cobOYqT0r_F0IqD4tE4rYn5y8Eup4PJTH8es"",
      ""Snapshot!A:M""
    ),
    9,
    FALSE
  ),
  0
)
"),1.0)</f>
        <v>1</v>
      </c>
      <c r="AJ174" s="54">
        <f>IFERROR(__xludf.DUMMYFUNCTION("IFERROR(
  VLOOKUP(
    A174,
    IMPORTRANGE(
      ""1SCYQd7_cobOYqT0r_F0IqD4tE4rYn5y8Eup4PJTH8es"",
      ""Snapshot!A:M""
    ),
    13,
    FALSE
  ),
  0
)
"),3.0)</f>
        <v>3</v>
      </c>
      <c r="AK174" s="49">
        <f t="shared" ref="AK174:AL174" si="865">LEN(C174)</f>
        <v>86</v>
      </c>
      <c r="AL174" s="49">
        <f t="shared" si="865"/>
        <v>52</v>
      </c>
    </row>
    <row r="175">
      <c r="A175" s="3" t="s">
        <v>662</v>
      </c>
      <c r="B175" s="1" t="str">
        <f>IFERROR(__xludf.DUMMYFUNCTION("IFERROR(
  VLOOKUP(
    A175,
    IMPORTRANGE(
      ""1ZygntHC1J6IxzKbTidmOyf5nUyW4GCLurHCjexrLm_o"",
      ""HTMLキャッシュ!A:F""
    ),
    2,
    FALSE
  ),
  0
)
"),"NW")</f>
        <v>NW</v>
      </c>
      <c r="C175" s="1" t="str">
        <f>IFERROR(__xludf.DUMMYFUNCTION("IFERROR(
  VLOOKUP(
    A175,
    IMPORTRANGE(
      ""1ZygntHC1J6IxzKbTidmOyf5nUyW4GCLurHCjexrLm_o"",
      ""HTMLキャッシュ!A:F""
    ),
    5,
    FALSE
  ),
  0
)
"),"2017年度夏期講習会開催のお知らせ - 受験国語専門 読解ラボ東京 | 中学受験・大学受験対応の個別指導国語専門塾（オンライン・教室対応）")</f>
        <v>2017年度夏期講習会開催のお知らせ - 受験国語専門 読解ラボ東京 | 中学受験・大学受験対応の個別指導国語専門塾（オンライン・教室対応）</v>
      </c>
      <c r="D175" s="1" t="str">
        <f>IFERROR(__xludf.DUMMYFUNCTION("IFERROR(
  VLOOKUP(
    A175,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75" s="32">
        <f>IFERROR(__xludf.DUMMYFUNCTION("IFERROR(
  VLOOKUP(
    A175,
    IMPORTRANGE(
      ""1ZygntHC1J6IxzKbTidmOyf5nUyW4GCLurHCjexrLm_o        "",
      ""HTMLキャッシュ!A:F""
    ),
    3,
    FALSE
  ),
  0
)
"),46015.583090277774)</f>
        <v>46015.58309</v>
      </c>
      <c r="F175" s="49">
        <f>IFERROR(__xludf.DUMMYFUNCTION("IFERROR(
  VLOOKUP(
    A175,
    IMPORTRANGE(
      ""1ZHMy3vVUd_0MrSduXTe1etBb1HNpAlGwQr006ljwMiM"",
      ""GSC最新!A:F""
    ),
    2,
    FALSE
  ),
  0
)
"),0.0)</f>
        <v>0</v>
      </c>
      <c r="G175" s="49">
        <f>IFERROR(__xludf.DUMMYFUNCTION("IFERROR(
  VLOOKUP(
    A175,
    IMPORTRANGE(
      ""1ZHMy3vVUd_0MrSduXTe1etBb1HNpAlGwQr006ljwMiM"",
      ""GSC最新!A:F""
    ),
    3,
    FALSE
  ),
  0
)
"),0.0)</f>
        <v>0</v>
      </c>
      <c r="H175" s="49">
        <f>IFERROR(__xludf.DUMMYFUNCTION("IFERROR(
  VLOOKUP(
    A175,
    IMPORTRANGE(
      ""1ZHMy3vVUd_0MrSduXTe1etBb1HNpAlGwQr006ljwMiM"",
      ""GSC最新!A:F""
    ),
    4,
    FALSE
  ),
  0
)
"),0.0)</f>
        <v>0</v>
      </c>
      <c r="I175" s="49">
        <f>IFERROR(__xludf.DUMMYFUNCTION("IFERROR(
  VLOOKUP(
    A175,
    IMPORTRANGE(
      ""1ZHMy3vVUd_0MrSduXTe1etBb1HNpAlGwQr006ljwMiM"",
      ""GSC最新!A:F""
    ),
    5,
    FALSE
  ),
  0
)
"),0.0)</f>
        <v>0</v>
      </c>
      <c r="J175" s="50" t="str">
        <f t="shared" ref="J175:K175" si="866">IFERROR(F175/H175,"-")</f>
        <v>-</v>
      </c>
      <c r="K175" s="50" t="str">
        <f t="shared" si="866"/>
        <v>-</v>
      </c>
      <c r="L175" s="6">
        <f>IFERROR(__xludf.DUMMYFUNCTION("IFERROR(
  VLOOKUP(
    A175,
    IMPORTRANGE(
      ""1ZHMy3vVUd_0MrSduXTe1etBb1HNpAlGwQr006ljwMiM"",
      ""GSC最新!A:R""
    ),
    7,
    FALSE
  ),
  0
)
"),0.0)</f>
        <v>0</v>
      </c>
      <c r="M175" s="6">
        <f>IFERROR(__xludf.DUMMYFUNCTION("IFERROR(
  VLOOKUP(
    A175,
    IMPORTRANGE(
      ""1ZHMy3vVUd_0MrSduXTe1etBb1HNpAlGwQr006ljwMiM"",
      ""GSC最新!A:R""
    ),
    10,
    FALSE
  ),
  0
)
"),0.0)</f>
        <v>0</v>
      </c>
      <c r="N175" s="6">
        <f>IFERROR(__xludf.DUMMYFUNCTION("IFERROR(
  VLOOKUP(
    A175,
    IMPORTRANGE(
      ""1ZHMy3vVUd_0MrSduXTe1etBb1HNpAlGwQr006ljwMiM"",
      ""GSC最新!A:R""
    ),
    13,
    FALSE
  ),
  0
)
"),0.0)</f>
        <v>0</v>
      </c>
      <c r="O175" s="6">
        <f>IFERROR(__xludf.DUMMYFUNCTION("IFERROR(
  VLOOKUP(
    A175,
    IMPORTRANGE(
      ""1ZHMy3vVUd_0MrSduXTe1etBb1HNpAlGwQr006ljwMiM"",
      ""GSC最新!A:R""
    ),
    16,
    FALSE
  ),
  0
)
"),0.0)</f>
        <v>0</v>
      </c>
      <c r="P175" s="51" t="str">
        <f t="shared" ref="P175:Q175" si="867">IFERROR(L175/N175,"-")</f>
        <v>-</v>
      </c>
      <c r="Q175" s="51" t="str">
        <f t="shared" si="867"/>
        <v>-</v>
      </c>
      <c r="R175" s="9">
        <f>IFERROR(__xludf.DUMMYFUNCTION("IFERROR(
  VLOOKUP(
    A175,
    IMPORTRANGE(
      ""1ZHMy3vVUd_0MrSduXTe1etBb1HNpAlGwQr006ljwMiM"",
      ""GSC最新!A:R""
    ),
    8,
    FALSE
  ),
  0
)
"),0.0)</f>
        <v>0</v>
      </c>
      <c r="S175" s="9">
        <f>IFERROR(__xludf.DUMMYFUNCTION("IFERROR(
  VLOOKUP(
    A175,
    IMPORTRANGE(
      ""1ZHMy3vVUd_0MrSduXTe1etBb1HNpAlGwQr006ljwMiM"",
      ""GSC最新!A:R""
    ),
    11,
    FALSE
  ),
  0
)
"),0.0)</f>
        <v>0</v>
      </c>
      <c r="T175" s="9">
        <f>IFERROR(__xludf.DUMMYFUNCTION("IFERROR(
  VLOOKUP(
    A175,
    IMPORTRANGE(
      ""1ZHMy3vVUd_0MrSduXTe1etBb1HNpAlGwQr006ljwMiM"",
      ""GSC最新!A:R""
    ),
    14,
    FALSE
  ),
  0
)
"),0.0)</f>
        <v>0</v>
      </c>
      <c r="U175" s="9">
        <f>IFERROR(__xludf.DUMMYFUNCTION("IFERROR(
  VLOOKUP(
    A175,
    IMPORTRANGE(
      ""1ZHMy3vVUd_0MrSduXTe1etBb1HNpAlGwQr006ljwMiM"",
      ""GSC最新!A:R""
    ),
    17,
    FALSE
  ),
  0
)
"),0.0)</f>
        <v>0</v>
      </c>
      <c r="V175" s="9">
        <f t="shared" ref="V175:W175" si="868">IFERROR(R175-T175,"-")</f>
        <v>0</v>
      </c>
      <c r="W175" s="9">
        <f t="shared" si="868"/>
        <v>0</v>
      </c>
      <c r="X175" s="65" t="str">
        <f>IFERROR(__xludf.DUMMYFUNCTION("IFERROR(
  VLOOKUP(
    A175,
    IMPORTRANGE(
      ""1ZHMy3vVUd_0MrSduXTe1etBb1HNpAlGwQr006ljwMiM"",
      ""GSC最新!A:R""
    ),
    9,
    FALSE
  ),
  0
)
"),"")</f>
        <v/>
      </c>
      <c r="Y175" s="65" t="str">
        <f>IFERROR(__xludf.DUMMYFUNCTION("IFERROR(
  VLOOKUP(
    A175,
    IMPORTRANGE(
      ""1ZHMy3vVUd_0MrSduXTe1etBb1HNpAlGwQr006ljwMiM"",
      ""GSC最新!A:R""
    ),
    12,
    FALSE
  ),
  0
)
"),"")</f>
        <v/>
      </c>
      <c r="Z175" s="65" t="str">
        <f>IFERROR(__xludf.DUMMYFUNCTION("IFERROR(
  VLOOKUP(
    A175,
    IMPORTRANGE(
      ""1ZHMy3vVUd_0MrSduXTe1etBb1HNpAlGwQr006ljwMiM"",
      ""GSC最新!A:R""
    ),
    15,
    FALSE
  ),
  0
)
"),"")</f>
        <v/>
      </c>
      <c r="AA175" s="65" t="str">
        <f>IFERROR(__xludf.DUMMYFUNCTION("IFERROR(
  VLOOKUP(
    A175,
    IMPORTRANGE(
      ""1ZHMy3vVUd_0MrSduXTe1etBb1HNpAlGwQr006ljwMiM"",
      ""GSC最新!A:R""
    ),
    18,
    FALSE
  ),
  0
)
"),"")</f>
        <v/>
      </c>
      <c r="AB175" s="65">
        <f t="shared" ref="AB175:AC175" si="869">X175-Z175</f>
        <v>0</v>
      </c>
      <c r="AC175" s="65">
        <f t="shared" si="869"/>
        <v>0</v>
      </c>
      <c r="AD175" s="53">
        <f>IFERROR(__xludf.DUMMYFUNCTION("IFERROR(
  VLOOKUP(
    A175,
    IMPORTRANGE(
      ""1ZHMy3vVUd_0MrSduXTe1etBb1HNpAlGwQr006ljwMiM"",
      ""GSC最新!A:F""
    ),
    6,
    FALSE
  ),
  0
)
"),46081.0)</f>
        <v>46081</v>
      </c>
      <c r="AE175" s="54">
        <f>IFERROR(__xludf.DUMMYFUNCTION("IFERROR(
  VLOOKUP(
    A175,
    IMPORTRANGE(
      ""1SCYQd7_cobOYqT0r_F0IqD4tE4rYn5y8Eup4PJTH8es"",
      ""Snapshot!A:M""
    ),
    5,
    FALSE
  ),
  ""-""
)
"),0.0)</f>
        <v>0</v>
      </c>
      <c r="AF175" s="54">
        <f>IFERROR(__xludf.DUMMYFUNCTION("IFERROR(
  VLOOKUP(
    A175,
    IMPORTRANGE(
      ""1SCYQd7_cobOYqT0r_F0IqD4tE4rYn5y8Eup4PJTH8es"",
      ""Snapshot!A:M""
    ),
    6,
    FALSE
  ),
  0
)
"),0.0)</f>
        <v>0</v>
      </c>
      <c r="AG175" s="54">
        <f>IFERROR(__xludf.DUMMYFUNCTION("IFERROR(
  VLOOKUP(
    A175,
    IMPORTRANGE(
      ""1SCYQd7_cobOYqT0r_F0IqD4tE4rYn5y8Eup4PJTH8es"",
      ""Snapshot!A:M""
    ),
    7,
    FALSE
  ),
  0
)
"),815.0)</f>
        <v>815</v>
      </c>
      <c r="AH175" s="54">
        <f>IFERROR(__xludf.DUMMYFUNCTION("IFERROR(
  VLOOKUP(
    A175,
    IMPORTRANGE(
      ""1SCYQd7_cobOYqT0r_F0IqD4tE4rYn5y8Eup4PJTH8es"",
      ""Snapshot!A:M""
    ),
    8,
    FALSE
  ),
  0
)
"),2.0)</f>
        <v>2</v>
      </c>
      <c r="AI175" s="54">
        <f>IFERROR(__xludf.DUMMYFUNCTION("IFERROR(
  VLOOKUP(
    A175,
    IMPORTRANGE(
      ""1SCYQd7_cobOYqT0r_F0IqD4tE4rYn5y8Eup4PJTH8es"",
      ""Snapshot!A:M""
    ),
    9,
    FALSE
  ),
  0
)
"),1.0)</f>
        <v>1</v>
      </c>
      <c r="AJ175" s="54">
        <f>IFERROR(__xludf.DUMMYFUNCTION("IFERROR(
  VLOOKUP(
    A175,
    IMPORTRANGE(
      ""1SCYQd7_cobOYqT0r_F0IqD4tE4rYn5y8Eup4PJTH8es"",
      ""Snapshot!A:M""
    ),
    13,
    FALSE
  ),
  0
)
"),3.0)</f>
        <v>3</v>
      </c>
      <c r="AK175" s="49">
        <f t="shared" ref="AK175:AL175" si="870">LEN(C175)</f>
        <v>70</v>
      </c>
      <c r="AL175" s="49">
        <f t="shared" si="870"/>
        <v>55</v>
      </c>
    </row>
    <row r="176">
      <c r="A176" s="3" t="s">
        <v>663</v>
      </c>
      <c r="B176" s="1" t="str">
        <f>IFERROR(__xludf.DUMMYFUNCTION("IFERROR(
  VLOOKUP(
    A176,
    IMPORTRANGE(
      ""1ZygntHC1J6IxzKbTidmOyf5nUyW4GCLurHCjexrLm_o"",
      ""HTMLキャッシュ!A:F""
    ),
    2,
    FALSE
  ),
  0
)
"),"NW")</f>
        <v>NW</v>
      </c>
      <c r="C176" s="1" t="str">
        <f>IFERROR(__xludf.DUMMYFUNCTION("IFERROR(
  VLOOKUP(
    A176,
    IMPORTRANGE(
      ""1ZygntHC1J6IxzKbTidmOyf5nUyW4GCLurHCjexrLm_o"",
      ""HTMLキャッシュ!A:F""
    ),
    5,
    FALSE
  ),
  0
)
"),"【集団授業】2017年度夏期体験講座、開催のお知らせ【小５対象】 - 受験国語専門 読解ラボ東京 | 中学受験・大学受験対応の個別指導国語専門塾（オンライン・教室対応）")</f>
        <v>【集団授業】2017年度夏期体験講座、開催のお知らせ【小５対象】 - 受験国語専門 読解ラボ東京 | 中学受験・大学受験対応の個別指導国語専門塾（オンライン・教室対応）</v>
      </c>
      <c r="D176" s="1" t="str">
        <f>IFERROR(__xludf.DUMMYFUNCTION("IFERROR(
  VLOOKUP(
    A176,
    IMPORTRANGE(
      ""1ZygntHC1J6IxzKbTidmOyf5nUyW4GCLurHCjexrLm_o        "",
      ""HTMLキャッシュ!A:F""
    ),
    6,
    FALSE
  ),
  0
)
"),"夏休みも目前に迫り、休暇中の計画等にお忙しいところかと思いますが、本日は１点お知らせです。 この度、読解ラボ東")</f>
        <v>夏休みも目前に迫り、休暇中の計画等にお忙しいところかと思いますが、本日は１点お知らせです。 この度、読解ラボ東</v>
      </c>
      <c r="E176" s="32">
        <f>IFERROR(__xludf.DUMMYFUNCTION("IFERROR(
  VLOOKUP(
    A176,
    IMPORTRANGE(
      ""1ZygntHC1J6IxzKbTidmOyf5nUyW4GCLurHCjexrLm_o        "",
      ""HTMLキャッシュ!A:F""
    ),
    3,
    FALSE
  ),
  0
)
"),42923.793541666666)</f>
        <v>42923.79354</v>
      </c>
      <c r="F176" s="49">
        <f>IFERROR(__xludf.DUMMYFUNCTION("IFERROR(
  VLOOKUP(
    A176,
    IMPORTRANGE(
      ""1ZHMy3vVUd_0MrSduXTe1etBb1HNpAlGwQr006ljwMiM"",
      ""GSC最新!A:F""
    ),
    2,
    FALSE
  ),
  0
)
"),0.0)</f>
        <v>0</v>
      </c>
      <c r="G176" s="49">
        <f>IFERROR(__xludf.DUMMYFUNCTION("IFERROR(
  VLOOKUP(
    A176,
    IMPORTRANGE(
      ""1ZHMy3vVUd_0MrSduXTe1etBb1HNpAlGwQr006ljwMiM"",
      ""GSC最新!A:F""
    ),
    3,
    FALSE
  ),
  0
)
"),0.0)</f>
        <v>0</v>
      </c>
      <c r="H176" s="49">
        <f>IFERROR(__xludf.DUMMYFUNCTION("IFERROR(
  VLOOKUP(
    A176,
    IMPORTRANGE(
      ""1ZHMy3vVUd_0MrSduXTe1etBb1HNpAlGwQr006ljwMiM"",
      ""GSC最新!A:F""
    ),
    4,
    FALSE
  ),
  0
)
"),0.0)</f>
        <v>0</v>
      </c>
      <c r="I176" s="49">
        <f>IFERROR(__xludf.DUMMYFUNCTION("IFERROR(
  VLOOKUP(
    A176,
    IMPORTRANGE(
      ""1ZHMy3vVUd_0MrSduXTe1etBb1HNpAlGwQr006ljwMiM"",
      ""GSC最新!A:F""
    ),
    5,
    FALSE
  ),
  0
)
"),0.0)</f>
        <v>0</v>
      </c>
      <c r="J176" s="50" t="str">
        <f t="shared" ref="J176:K176" si="871">IFERROR(F176/H176,"-")</f>
        <v>-</v>
      </c>
      <c r="K176" s="50" t="str">
        <f t="shared" si="871"/>
        <v>-</v>
      </c>
      <c r="L176" s="6">
        <f>IFERROR(__xludf.DUMMYFUNCTION("IFERROR(
  VLOOKUP(
    A176,
    IMPORTRANGE(
      ""1ZHMy3vVUd_0MrSduXTe1etBb1HNpAlGwQr006ljwMiM"",
      ""GSC最新!A:R""
    ),
    7,
    FALSE
  ),
  0
)
"),0.0)</f>
        <v>0</v>
      </c>
      <c r="M176" s="6">
        <f>IFERROR(__xludf.DUMMYFUNCTION("IFERROR(
  VLOOKUP(
    A176,
    IMPORTRANGE(
      ""1ZHMy3vVUd_0MrSduXTe1etBb1HNpAlGwQr006ljwMiM"",
      ""GSC最新!A:R""
    ),
    10,
    FALSE
  ),
  0
)
"),0.0)</f>
        <v>0</v>
      </c>
      <c r="N176" s="6">
        <f>IFERROR(__xludf.DUMMYFUNCTION("IFERROR(
  VLOOKUP(
    A176,
    IMPORTRANGE(
      ""1ZHMy3vVUd_0MrSduXTe1etBb1HNpAlGwQr006ljwMiM"",
      ""GSC最新!A:R""
    ),
    13,
    FALSE
  ),
  0
)
"),0.0)</f>
        <v>0</v>
      </c>
      <c r="O176" s="6">
        <f>IFERROR(__xludf.DUMMYFUNCTION("IFERROR(
  VLOOKUP(
    A176,
    IMPORTRANGE(
      ""1ZHMy3vVUd_0MrSduXTe1etBb1HNpAlGwQr006ljwMiM"",
      ""GSC最新!A:R""
    ),
    16,
    FALSE
  ),
  0
)
"),0.0)</f>
        <v>0</v>
      </c>
      <c r="P176" s="51" t="str">
        <f t="shared" ref="P176:Q176" si="872">IFERROR(L176/N176,"-")</f>
        <v>-</v>
      </c>
      <c r="Q176" s="51" t="str">
        <f t="shared" si="872"/>
        <v>-</v>
      </c>
      <c r="R176" s="9">
        <f>IFERROR(__xludf.DUMMYFUNCTION("IFERROR(
  VLOOKUP(
    A176,
    IMPORTRANGE(
      ""1ZHMy3vVUd_0MrSduXTe1etBb1HNpAlGwQr006ljwMiM"",
      ""GSC最新!A:R""
    ),
    8,
    FALSE
  ),
  0
)
"),0.0)</f>
        <v>0</v>
      </c>
      <c r="S176" s="9">
        <f>IFERROR(__xludf.DUMMYFUNCTION("IFERROR(
  VLOOKUP(
    A176,
    IMPORTRANGE(
      ""1ZHMy3vVUd_0MrSduXTe1etBb1HNpAlGwQr006ljwMiM"",
      ""GSC最新!A:R""
    ),
    11,
    FALSE
  ),
  0
)
"),0.0)</f>
        <v>0</v>
      </c>
      <c r="T176" s="9">
        <f>IFERROR(__xludf.DUMMYFUNCTION("IFERROR(
  VLOOKUP(
    A176,
    IMPORTRANGE(
      ""1ZHMy3vVUd_0MrSduXTe1etBb1HNpAlGwQr006ljwMiM"",
      ""GSC最新!A:R""
    ),
    14,
    FALSE
  ),
  0
)
"),0.0)</f>
        <v>0</v>
      </c>
      <c r="U176" s="9">
        <f>IFERROR(__xludf.DUMMYFUNCTION("IFERROR(
  VLOOKUP(
    A176,
    IMPORTRANGE(
      ""1ZHMy3vVUd_0MrSduXTe1etBb1HNpAlGwQr006ljwMiM"",
      ""GSC最新!A:R""
    ),
    17,
    FALSE
  ),
  0
)
"),0.0)</f>
        <v>0</v>
      </c>
      <c r="V176" s="9">
        <f t="shared" ref="V176:W176" si="873">IFERROR(R176-T176,"-")</f>
        <v>0</v>
      </c>
      <c r="W176" s="9">
        <f t="shared" si="873"/>
        <v>0</v>
      </c>
      <c r="X176" s="65" t="str">
        <f>IFERROR(__xludf.DUMMYFUNCTION("IFERROR(
  VLOOKUP(
    A176,
    IMPORTRANGE(
      ""1ZHMy3vVUd_0MrSduXTe1etBb1HNpAlGwQr006ljwMiM"",
      ""GSC最新!A:R""
    ),
    9,
    FALSE
  ),
  0
)
"),"")</f>
        <v/>
      </c>
      <c r="Y176" s="65" t="str">
        <f>IFERROR(__xludf.DUMMYFUNCTION("IFERROR(
  VLOOKUP(
    A176,
    IMPORTRANGE(
      ""1ZHMy3vVUd_0MrSduXTe1etBb1HNpAlGwQr006ljwMiM"",
      ""GSC最新!A:R""
    ),
    12,
    FALSE
  ),
  0
)
"),"")</f>
        <v/>
      </c>
      <c r="Z176" s="65" t="str">
        <f>IFERROR(__xludf.DUMMYFUNCTION("IFERROR(
  VLOOKUP(
    A176,
    IMPORTRANGE(
      ""1ZHMy3vVUd_0MrSduXTe1etBb1HNpAlGwQr006ljwMiM"",
      ""GSC最新!A:R""
    ),
    15,
    FALSE
  ),
  0
)
"),"")</f>
        <v/>
      </c>
      <c r="AA176" s="65" t="str">
        <f>IFERROR(__xludf.DUMMYFUNCTION("IFERROR(
  VLOOKUP(
    A176,
    IMPORTRANGE(
      ""1ZHMy3vVUd_0MrSduXTe1etBb1HNpAlGwQr006ljwMiM"",
      ""GSC最新!A:R""
    ),
    18,
    FALSE
  ),
  0
)
"),"")</f>
        <v/>
      </c>
      <c r="AB176" s="65">
        <f t="shared" ref="AB176:AC176" si="874">X176-Z176</f>
        <v>0</v>
      </c>
      <c r="AC176" s="65">
        <f t="shared" si="874"/>
        <v>0</v>
      </c>
      <c r="AD176" s="53">
        <f>IFERROR(__xludf.DUMMYFUNCTION("IFERROR(
  VLOOKUP(
    A176,
    IMPORTRANGE(
      ""1ZHMy3vVUd_0MrSduXTe1etBb1HNpAlGwQr006ljwMiM"",
      ""GSC最新!A:F""
    ),
    6,
    FALSE
  ),
  0
)
"),46081.0)</f>
        <v>46081</v>
      </c>
      <c r="AE176" s="54">
        <f>IFERROR(__xludf.DUMMYFUNCTION("IFERROR(
  VLOOKUP(
    A176,
    IMPORTRANGE(
      ""1SCYQd7_cobOYqT0r_F0IqD4tE4rYn5y8Eup4PJTH8es"",
      ""Snapshot!A:M""
    ),
    5,
    FALSE
  ),
  ""-""
)
"),1.0)</f>
        <v>1</v>
      </c>
      <c r="AF176" s="54">
        <f>IFERROR(__xludf.DUMMYFUNCTION("IFERROR(
  VLOOKUP(
    A176,
    IMPORTRANGE(
      ""1SCYQd7_cobOYqT0r_F0IqD4tE4rYn5y8Eup4PJTH8es"",
      ""Snapshot!A:M""
    ),
    6,
    FALSE
  ),
  0
)
"),5.0)</f>
        <v>5</v>
      </c>
      <c r="AG176" s="54">
        <f>IFERROR(__xludf.DUMMYFUNCTION("IFERROR(
  VLOOKUP(
    A176,
    IMPORTRANGE(
      ""1SCYQd7_cobOYqT0r_F0IqD4tE4rYn5y8Eup4PJTH8es"",
      ""Snapshot!A:M""
    ),
    7,
    FALSE
  ),
  0
)
"),1234.0)</f>
        <v>1234</v>
      </c>
      <c r="AH176" s="54">
        <f>IFERROR(__xludf.DUMMYFUNCTION("IFERROR(
  VLOOKUP(
    A176,
    IMPORTRANGE(
      ""1SCYQd7_cobOYqT0r_F0IqD4tE4rYn5y8Eup4PJTH8es"",
      ""Snapshot!A:M""
    ),
    8,
    FALSE
  ),
  0
)
"),1.0)</f>
        <v>1</v>
      </c>
      <c r="AI176" s="54">
        <f>IFERROR(__xludf.DUMMYFUNCTION("IFERROR(
  VLOOKUP(
    A176,
    IMPORTRANGE(
      ""1SCYQd7_cobOYqT0r_F0IqD4tE4rYn5y8Eup4PJTH8es"",
      ""Snapshot!A:M""
    ),
    9,
    FALSE
  ),
  0
)
"),1.0)</f>
        <v>1</v>
      </c>
      <c r="AJ176" s="54">
        <f>IFERROR(__xludf.DUMMYFUNCTION("IFERROR(
  VLOOKUP(
    A176,
    IMPORTRANGE(
      ""1SCYQd7_cobOYqT0r_F0IqD4tE4rYn5y8Eup4PJTH8es"",
      ""Snapshot!A:M""
    ),
    13,
    FALSE
  ),
  0
)
"),3.0)</f>
        <v>3</v>
      </c>
      <c r="AK176" s="49">
        <f t="shared" ref="AK176:AL176" si="875">LEN(C176)</f>
        <v>84</v>
      </c>
      <c r="AL176" s="49">
        <f t="shared" si="875"/>
        <v>55</v>
      </c>
    </row>
    <row r="177">
      <c r="A177" s="3" t="s">
        <v>664</v>
      </c>
      <c r="B177" s="1" t="str">
        <f>IFERROR(__xludf.DUMMYFUNCTION("IFERROR(
  VLOOKUP(
    A177,
    IMPORTRANGE(
      ""1ZygntHC1J6IxzKbTidmOyf5nUyW4GCLurHCjexrLm_o"",
      ""HTMLキャッシュ!A:F""
    ),
    2,
    FALSE
  ),
  0
)
"),"NW")</f>
        <v>NW</v>
      </c>
      <c r="C177" s="1" t="str">
        <f>IFERROR(__xludf.DUMMYFUNCTION("IFERROR(
  VLOOKUP(
    A177,
    IMPORTRANGE(
      ""1ZygntHC1J6IxzKbTidmOyf5nUyW4GCLurHCjexrLm_o"",
      ""HTMLキャッシュ!A:F""
    ),
    5,
    FALSE
  ),
  0
)
"),"【得点力養成講座】2018年度集団授業開催のお知らせ【小６対象】 - 受験国語専門 読解ラボ東京 | 中学受験・大学受験対応の個別指導国語専門塾（オンライン・教室対応）")</f>
        <v>【得点力養成講座】2018年度集団授業開催のお知らせ【小６対象】 - 受験国語専門 読解ラボ東京 | 中学受験・大学受験対応の個別指導国語専門塾（オンライン・教室対応）</v>
      </c>
      <c r="D177" s="1" t="str">
        <f>IFERROR(__xludf.DUMMYFUNCTION("IFERROR(
  VLOOKUP(
    A177,
    IMPORTRANGE(
      ""1ZygntHC1J6IxzKbTidmOyf5nUyW4GCLurHCjexrLm_o        "",
      ""HTMLキャッシュ!A:F""
    ),
    6,
    FALSE
  ),
  0
)
"),"新春の候、日々の学習に勤しんでおられることと思いますが、本日は１点お知らせです。 この度、読解ラ")</f>
        <v>新春の候、日々の学習に勤しんでおられることと思いますが、本日は１点お知らせです。 この度、読解ラ</v>
      </c>
      <c r="E177" s="32">
        <f>IFERROR(__xludf.DUMMYFUNCTION("IFERROR(
  VLOOKUP(
    A177,
    IMPORTRANGE(
      ""1ZygntHC1J6IxzKbTidmOyf5nUyW4GCLurHCjexrLm_o        "",
      ""HTMLキャッシュ!A:F""
    ),
    3,
    FALSE
  ),
  0
)
"),43138.46461805556)</f>
        <v>43138.46462</v>
      </c>
      <c r="F177" s="49">
        <f>IFERROR(__xludf.DUMMYFUNCTION("IFERROR(
  VLOOKUP(
    A177,
    IMPORTRANGE(
      ""1ZHMy3vVUd_0MrSduXTe1etBb1HNpAlGwQr006ljwMiM"",
      ""GSC最新!A:F""
    ),
    2,
    FALSE
  ),
  0
)
"),0.0)</f>
        <v>0</v>
      </c>
      <c r="G177" s="49">
        <f>IFERROR(__xludf.DUMMYFUNCTION("IFERROR(
  VLOOKUP(
    A177,
    IMPORTRANGE(
      ""1ZHMy3vVUd_0MrSduXTe1etBb1HNpAlGwQr006ljwMiM"",
      ""GSC最新!A:F""
    ),
    3,
    FALSE
  ),
  0
)
"),0.0)</f>
        <v>0</v>
      </c>
      <c r="H177" s="49">
        <f>IFERROR(__xludf.DUMMYFUNCTION("IFERROR(
  VLOOKUP(
    A177,
    IMPORTRANGE(
      ""1ZHMy3vVUd_0MrSduXTe1etBb1HNpAlGwQr006ljwMiM"",
      ""GSC最新!A:F""
    ),
    4,
    FALSE
  ),
  0
)
"),0.0)</f>
        <v>0</v>
      </c>
      <c r="I177" s="49">
        <f>IFERROR(__xludf.DUMMYFUNCTION("IFERROR(
  VLOOKUP(
    A177,
    IMPORTRANGE(
      ""1ZHMy3vVUd_0MrSduXTe1etBb1HNpAlGwQr006ljwMiM"",
      ""GSC最新!A:F""
    ),
    5,
    FALSE
  ),
  0
)
"),0.0)</f>
        <v>0</v>
      </c>
      <c r="J177" s="50" t="str">
        <f t="shared" ref="J177:K177" si="876">IFERROR(F177/H177,"-")</f>
        <v>-</v>
      </c>
      <c r="K177" s="50" t="str">
        <f t="shared" si="876"/>
        <v>-</v>
      </c>
      <c r="L177" s="6">
        <f>IFERROR(__xludf.DUMMYFUNCTION("IFERROR(
  VLOOKUP(
    A177,
    IMPORTRANGE(
      ""1ZHMy3vVUd_0MrSduXTe1etBb1HNpAlGwQr006ljwMiM"",
      ""GSC最新!A:R""
    ),
    7,
    FALSE
  ),
  0
)
"),0.0)</f>
        <v>0</v>
      </c>
      <c r="M177" s="6">
        <f>IFERROR(__xludf.DUMMYFUNCTION("IFERROR(
  VLOOKUP(
    A177,
    IMPORTRANGE(
      ""1ZHMy3vVUd_0MrSduXTe1etBb1HNpAlGwQr006ljwMiM"",
      ""GSC最新!A:R""
    ),
    10,
    FALSE
  ),
  0
)
"),0.0)</f>
        <v>0</v>
      </c>
      <c r="N177" s="6">
        <f>IFERROR(__xludf.DUMMYFUNCTION("IFERROR(
  VLOOKUP(
    A177,
    IMPORTRANGE(
      ""1ZHMy3vVUd_0MrSduXTe1etBb1HNpAlGwQr006ljwMiM"",
      ""GSC最新!A:R""
    ),
    13,
    FALSE
  ),
  0
)
"),0.0)</f>
        <v>0</v>
      </c>
      <c r="O177" s="6">
        <f>IFERROR(__xludf.DUMMYFUNCTION("IFERROR(
  VLOOKUP(
    A177,
    IMPORTRANGE(
      ""1ZHMy3vVUd_0MrSduXTe1etBb1HNpAlGwQr006ljwMiM"",
      ""GSC最新!A:R""
    ),
    16,
    FALSE
  ),
  0
)
"),0.0)</f>
        <v>0</v>
      </c>
      <c r="P177" s="51" t="str">
        <f t="shared" ref="P177:Q177" si="877">IFERROR(L177/N177,"-")</f>
        <v>-</v>
      </c>
      <c r="Q177" s="51" t="str">
        <f t="shared" si="877"/>
        <v>-</v>
      </c>
      <c r="R177" s="9">
        <f>IFERROR(__xludf.DUMMYFUNCTION("IFERROR(
  VLOOKUP(
    A177,
    IMPORTRANGE(
      ""1ZHMy3vVUd_0MrSduXTe1etBb1HNpAlGwQr006ljwMiM"",
      ""GSC最新!A:R""
    ),
    8,
    FALSE
  ),
  0
)
"),0.0)</f>
        <v>0</v>
      </c>
      <c r="S177" s="9">
        <f>IFERROR(__xludf.DUMMYFUNCTION("IFERROR(
  VLOOKUP(
    A177,
    IMPORTRANGE(
      ""1ZHMy3vVUd_0MrSduXTe1etBb1HNpAlGwQr006ljwMiM"",
      ""GSC最新!A:R""
    ),
    11,
    FALSE
  ),
  0
)
"),0.0)</f>
        <v>0</v>
      </c>
      <c r="T177" s="9">
        <f>IFERROR(__xludf.DUMMYFUNCTION("IFERROR(
  VLOOKUP(
    A177,
    IMPORTRANGE(
      ""1ZHMy3vVUd_0MrSduXTe1etBb1HNpAlGwQr006ljwMiM"",
      ""GSC最新!A:R""
    ),
    14,
    FALSE
  ),
  0
)
"),0.0)</f>
        <v>0</v>
      </c>
      <c r="U177" s="9">
        <f>IFERROR(__xludf.DUMMYFUNCTION("IFERROR(
  VLOOKUP(
    A177,
    IMPORTRANGE(
      ""1ZHMy3vVUd_0MrSduXTe1etBb1HNpAlGwQr006ljwMiM"",
      ""GSC最新!A:R""
    ),
    17,
    FALSE
  ),
  0
)
"),0.0)</f>
        <v>0</v>
      </c>
      <c r="V177" s="9">
        <f t="shared" ref="V177:W177" si="878">IFERROR(R177-T177,"-")</f>
        <v>0</v>
      </c>
      <c r="W177" s="9">
        <f t="shared" si="878"/>
        <v>0</v>
      </c>
      <c r="X177" s="65" t="str">
        <f>IFERROR(__xludf.DUMMYFUNCTION("IFERROR(
  VLOOKUP(
    A177,
    IMPORTRANGE(
      ""1ZHMy3vVUd_0MrSduXTe1etBb1HNpAlGwQr006ljwMiM"",
      ""GSC最新!A:R""
    ),
    9,
    FALSE
  ),
  0
)
"),"")</f>
        <v/>
      </c>
      <c r="Y177" s="65" t="str">
        <f>IFERROR(__xludf.DUMMYFUNCTION("IFERROR(
  VLOOKUP(
    A177,
    IMPORTRANGE(
      ""1ZHMy3vVUd_0MrSduXTe1etBb1HNpAlGwQr006ljwMiM"",
      ""GSC最新!A:R""
    ),
    12,
    FALSE
  ),
  0
)
"),"")</f>
        <v/>
      </c>
      <c r="Z177" s="65" t="str">
        <f>IFERROR(__xludf.DUMMYFUNCTION("IFERROR(
  VLOOKUP(
    A177,
    IMPORTRANGE(
      ""1ZHMy3vVUd_0MrSduXTe1etBb1HNpAlGwQr006ljwMiM"",
      ""GSC最新!A:R""
    ),
    15,
    FALSE
  ),
  0
)
"),"")</f>
        <v/>
      </c>
      <c r="AA177" s="65" t="str">
        <f>IFERROR(__xludf.DUMMYFUNCTION("IFERROR(
  VLOOKUP(
    A177,
    IMPORTRANGE(
      ""1ZHMy3vVUd_0MrSduXTe1etBb1HNpAlGwQr006ljwMiM"",
      ""GSC最新!A:R""
    ),
    18,
    FALSE
  ),
  0
)
"),"")</f>
        <v/>
      </c>
      <c r="AB177" s="65">
        <f t="shared" ref="AB177:AC177" si="879">X177-Z177</f>
        <v>0</v>
      </c>
      <c r="AC177" s="65">
        <f t="shared" si="879"/>
        <v>0</v>
      </c>
      <c r="AD177" s="53">
        <f>IFERROR(__xludf.DUMMYFUNCTION("IFERROR(
  VLOOKUP(
    A177,
    IMPORTRANGE(
      ""1ZHMy3vVUd_0MrSduXTe1etBb1HNpAlGwQr006ljwMiM"",
      ""GSC最新!A:F""
    ),
    6,
    FALSE
  ),
  0
)
"),46081.0)</f>
        <v>46081</v>
      </c>
      <c r="AE177" s="54">
        <f>IFERROR(__xludf.DUMMYFUNCTION("IFERROR(
  VLOOKUP(
    A177,
    IMPORTRANGE(
      ""1SCYQd7_cobOYqT0r_F0IqD4tE4rYn5y8Eup4PJTH8es"",
      ""Snapshot!A:M""
    ),
    5,
    FALSE
  ),
  ""-""
)
"),0.0)</f>
        <v>0</v>
      </c>
      <c r="AF177" s="54">
        <f>IFERROR(__xludf.DUMMYFUNCTION("IFERROR(
  VLOOKUP(
    A177,
    IMPORTRANGE(
      ""1SCYQd7_cobOYqT0r_F0IqD4tE4rYn5y8Eup4PJTH8es"",
      ""Snapshot!A:M""
    ),
    6,
    FALSE
  ),
  0
)
"),6.0)</f>
        <v>6</v>
      </c>
      <c r="AG177" s="54">
        <f>IFERROR(__xludf.DUMMYFUNCTION("IFERROR(
  VLOOKUP(
    A177,
    IMPORTRANGE(
      ""1SCYQd7_cobOYqT0r_F0IqD4tE4rYn5y8Eup4PJTH8es"",
      ""Snapshot!A:M""
    ),
    7,
    FALSE
  ),
  0
)
"),1077.0)</f>
        <v>1077</v>
      </c>
      <c r="AH177" s="54">
        <f>IFERROR(__xludf.DUMMYFUNCTION("IFERROR(
  VLOOKUP(
    A177,
    IMPORTRANGE(
      ""1SCYQd7_cobOYqT0r_F0IqD4tE4rYn5y8Eup4PJTH8es"",
      ""Snapshot!A:M""
    ),
    8,
    FALSE
  ),
  0
)
"),1.0)</f>
        <v>1</v>
      </c>
      <c r="AI177" s="54">
        <f>IFERROR(__xludf.DUMMYFUNCTION("IFERROR(
  VLOOKUP(
    A177,
    IMPORTRANGE(
      ""1SCYQd7_cobOYqT0r_F0IqD4tE4rYn5y8Eup4PJTH8es"",
      ""Snapshot!A:M""
    ),
    9,
    FALSE
  ),
  0
)
"),1.0)</f>
        <v>1</v>
      </c>
      <c r="AJ177" s="54">
        <f>IFERROR(__xludf.DUMMYFUNCTION("IFERROR(
  VLOOKUP(
    A177,
    IMPORTRANGE(
      ""1SCYQd7_cobOYqT0r_F0IqD4tE4rYn5y8Eup4PJTH8es"",
      ""Snapshot!A:M""
    ),
    13,
    FALSE
  ),
  0
)
"),3.0)</f>
        <v>3</v>
      </c>
      <c r="AK177" s="49">
        <f t="shared" ref="AK177:AL177" si="880">LEN(C177)</f>
        <v>84</v>
      </c>
      <c r="AL177" s="49">
        <f t="shared" si="880"/>
        <v>48</v>
      </c>
    </row>
    <row r="178">
      <c r="A178" s="3" t="s">
        <v>665</v>
      </c>
      <c r="B178" s="1" t="str">
        <f>IFERROR(__xludf.DUMMYFUNCTION("IFERROR(
  VLOOKUP(
    A178,
    IMPORTRANGE(
      ""1ZygntHC1J6IxzKbTidmOyf5nUyW4GCLurHCjexrLm_o"",
      ""HTMLキャッシュ!A:F""
    ),
    2,
    FALSE
  ),
  0
)
"),"NW")</f>
        <v>NW</v>
      </c>
      <c r="C178" s="1" t="str">
        <f>IFERROR(__xludf.DUMMYFUNCTION("IFERROR(
  VLOOKUP(
    A178,
    IMPORTRANGE(
      ""1ZygntHC1J6IxzKbTidmOyf5nUyW4GCLurHCjexrLm_o"",
      ""HTMLキャッシュ!A:F""
    ),
    5,
    FALSE
  ),
  0
)
"),"2018年度個別指導生徒募集開始のお知らせ - 受験国語専門 読解ラボ東京 | 中学受験・大学受験対応の個別指導国語専門塾（オンライン・教室対応）")</f>
        <v>2018年度個別指導生徒募集開始のお知らせ - 受験国語専門 読解ラボ東京 | 中学受験・大学受験対応の個別指導国語専門塾（オンライン・教室対応）</v>
      </c>
      <c r="D178" s="1" t="str">
        <f>IFERROR(__xludf.DUMMYFUNCTION("IFERROR(
  VLOOKUP(
    A178,
    IMPORTRANGE(
      ""1ZygntHC1J6IxzKbTidmOyf5nUyW4GCLurHCjexrLm_o        "",
      ""HTMLキャッシュ!A:F""
    ),
    6,
    FALSE
  ),
  0
)
"),"本日より、2018年度、「完全１対１」の個別指導の生徒募集を開始致します。 詳細については、下記をご覧下さいま")</f>
        <v>本日より、2018年度、「完全１対１」の個別指導の生徒募集を開始致します。 詳細については、下記をご覧下さいま</v>
      </c>
      <c r="E178" s="32">
        <f>IFERROR(__xludf.DUMMYFUNCTION("IFERROR(
  VLOOKUP(
    A178,
    IMPORTRANGE(
      ""1ZygntHC1J6IxzKbTidmOyf5nUyW4GCLurHCjexrLm_o        "",
      ""HTMLキャッシュ!A:F""
    ),
    3,
    FALSE
  ),
  0
)
"),43101.000625)</f>
        <v>43101.00063</v>
      </c>
      <c r="F178" s="49">
        <f>IFERROR(__xludf.DUMMYFUNCTION("IFERROR(
  VLOOKUP(
    A178,
    IMPORTRANGE(
      ""1ZHMy3vVUd_0MrSduXTe1etBb1HNpAlGwQr006ljwMiM"",
      ""GSC最新!A:F""
    ),
    2,
    FALSE
  ),
  0
)
"),0.0)</f>
        <v>0</v>
      </c>
      <c r="G178" s="49">
        <f>IFERROR(__xludf.DUMMYFUNCTION("IFERROR(
  VLOOKUP(
    A178,
    IMPORTRANGE(
      ""1ZHMy3vVUd_0MrSduXTe1etBb1HNpAlGwQr006ljwMiM"",
      ""GSC最新!A:F""
    ),
    3,
    FALSE
  ),
  0
)
"),0.0)</f>
        <v>0</v>
      </c>
      <c r="H178" s="49">
        <f>IFERROR(__xludf.DUMMYFUNCTION("IFERROR(
  VLOOKUP(
    A178,
    IMPORTRANGE(
      ""1ZHMy3vVUd_0MrSduXTe1etBb1HNpAlGwQr006ljwMiM"",
      ""GSC最新!A:F""
    ),
    4,
    FALSE
  ),
  0
)
"),0.0)</f>
        <v>0</v>
      </c>
      <c r="I178" s="49">
        <f>IFERROR(__xludf.DUMMYFUNCTION("IFERROR(
  VLOOKUP(
    A178,
    IMPORTRANGE(
      ""1ZHMy3vVUd_0MrSduXTe1etBb1HNpAlGwQr006ljwMiM"",
      ""GSC最新!A:F""
    ),
    5,
    FALSE
  ),
  0
)
"),0.0)</f>
        <v>0</v>
      </c>
      <c r="J178" s="50" t="str">
        <f t="shared" ref="J178:K178" si="881">IFERROR(F178/H178,"-")</f>
        <v>-</v>
      </c>
      <c r="K178" s="50" t="str">
        <f t="shared" si="881"/>
        <v>-</v>
      </c>
      <c r="L178" s="6">
        <f>IFERROR(__xludf.DUMMYFUNCTION("IFERROR(
  VLOOKUP(
    A178,
    IMPORTRANGE(
      ""1ZHMy3vVUd_0MrSduXTe1etBb1HNpAlGwQr006ljwMiM"",
      ""GSC最新!A:R""
    ),
    7,
    FALSE
  ),
  0
)
"),0.0)</f>
        <v>0</v>
      </c>
      <c r="M178" s="6">
        <f>IFERROR(__xludf.DUMMYFUNCTION("IFERROR(
  VLOOKUP(
    A178,
    IMPORTRANGE(
      ""1ZHMy3vVUd_0MrSduXTe1etBb1HNpAlGwQr006ljwMiM"",
      ""GSC最新!A:R""
    ),
    10,
    FALSE
  ),
  0
)
"),0.0)</f>
        <v>0</v>
      </c>
      <c r="N178" s="6">
        <f>IFERROR(__xludf.DUMMYFUNCTION("IFERROR(
  VLOOKUP(
    A178,
    IMPORTRANGE(
      ""1ZHMy3vVUd_0MrSduXTe1etBb1HNpAlGwQr006ljwMiM"",
      ""GSC最新!A:R""
    ),
    13,
    FALSE
  ),
  0
)
"),0.0)</f>
        <v>0</v>
      </c>
      <c r="O178" s="6">
        <f>IFERROR(__xludf.DUMMYFUNCTION("IFERROR(
  VLOOKUP(
    A178,
    IMPORTRANGE(
      ""1ZHMy3vVUd_0MrSduXTe1etBb1HNpAlGwQr006ljwMiM"",
      ""GSC最新!A:R""
    ),
    16,
    FALSE
  ),
  0
)
"),0.0)</f>
        <v>0</v>
      </c>
      <c r="P178" s="51" t="str">
        <f t="shared" ref="P178:Q178" si="882">IFERROR(L178/N178,"-")</f>
        <v>-</v>
      </c>
      <c r="Q178" s="51" t="str">
        <f t="shared" si="882"/>
        <v>-</v>
      </c>
      <c r="R178" s="9">
        <f>IFERROR(__xludf.DUMMYFUNCTION("IFERROR(
  VLOOKUP(
    A178,
    IMPORTRANGE(
      ""1ZHMy3vVUd_0MrSduXTe1etBb1HNpAlGwQr006ljwMiM"",
      ""GSC最新!A:R""
    ),
    8,
    FALSE
  ),
  0
)
"),0.0)</f>
        <v>0</v>
      </c>
      <c r="S178" s="9">
        <f>IFERROR(__xludf.DUMMYFUNCTION("IFERROR(
  VLOOKUP(
    A178,
    IMPORTRANGE(
      ""1ZHMy3vVUd_0MrSduXTe1etBb1HNpAlGwQr006ljwMiM"",
      ""GSC最新!A:R""
    ),
    11,
    FALSE
  ),
  0
)
"),0.0)</f>
        <v>0</v>
      </c>
      <c r="T178" s="9">
        <f>IFERROR(__xludf.DUMMYFUNCTION("IFERROR(
  VLOOKUP(
    A178,
    IMPORTRANGE(
      ""1ZHMy3vVUd_0MrSduXTe1etBb1HNpAlGwQr006ljwMiM"",
      ""GSC最新!A:R""
    ),
    14,
    FALSE
  ),
  0
)
"),0.0)</f>
        <v>0</v>
      </c>
      <c r="U178" s="9">
        <f>IFERROR(__xludf.DUMMYFUNCTION("IFERROR(
  VLOOKUP(
    A178,
    IMPORTRANGE(
      ""1ZHMy3vVUd_0MrSduXTe1etBb1HNpAlGwQr006ljwMiM"",
      ""GSC最新!A:R""
    ),
    17,
    FALSE
  ),
  0
)
"),0.0)</f>
        <v>0</v>
      </c>
      <c r="V178" s="9">
        <f t="shared" ref="V178:W178" si="883">IFERROR(R178-T178,"-")</f>
        <v>0</v>
      </c>
      <c r="W178" s="9">
        <f t="shared" si="883"/>
        <v>0</v>
      </c>
      <c r="X178" s="65" t="str">
        <f>IFERROR(__xludf.DUMMYFUNCTION("IFERROR(
  VLOOKUP(
    A178,
    IMPORTRANGE(
      ""1ZHMy3vVUd_0MrSduXTe1etBb1HNpAlGwQr006ljwMiM"",
      ""GSC最新!A:R""
    ),
    9,
    FALSE
  ),
  0
)
"),"")</f>
        <v/>
      </c>
      <c r="Y178" s="65" t="str">
        <f>IFERROR(__xludf.DUMMYFUNCTION("IFERROR(
  VLOOKUP(
    A178,
    IMPORTRANGE(
      ""1ZHMy3vVUd_0MrSduXTe1etBb1HNpAlGwQr006ljwMiM"",
      ""GSC最新!A:R""
    ),
    12,
    FALSE
  ),
  0
)
"),"")</f>
        <v/>
      </c>
      <c r="Z178" s="65" t="str">
        <f>IFERROR(__xludf.DUMMYFUNCTION("IFERROR(
  VLOOKUP(
    A178,
    IMPORTRANGE(
      ""1ZHMy3vVUd_0MrSduXTe1etBb1HNpAlGwQr006ljwMiM"",
      ""GSC最新!A:R""
    ),
    15,
    FALSE
  ),
  0
)
"),"")</f>
        <v/>
      </c>
      <c r="AA178" s="65" t="str">
        <f>IFERROR(__xludf.DUMMYFUNCTION("IFERROR(
  VLOOKUP(
    A178,
    IMPORTRANGE(
      ""1ZHMy3vVUd_0MrSduXTe1etBb1HNpAlGwQr006ljwMiM"",
      ""GSC最新!A:R""
    ),
    18,
    FALSE
  ),
  0
)
"),"")</f>
        <v/>
      </c>
      <c r="AB178" s="65">
        <f t="shared" ref="AB178:AC178" si="884">X178-Z178</f>
        <v>0</v>
      </c>
      <c r="AC178" s="65">
        <f t="shared" si="884"/>
        <v>0</v>
      </c>
      <c r="AD178" s="53">
        <f>IFERROR(__xludf.DUMMYFUNCTION("IFERROR(
  VLOOKUP(
    A178,
    IMPORTRANGE(
      ""1ZHMy3vVUd_0MrSduXTe1etBb1HNpAlGwQr006ljwMiM"",
      ""GSC最新!A:F""
    ),
    6,
    FALSE
  ),
  0
)
"),46081.0)</f>
        <v>46081</v>
      </c>
      <c r="AE178" s="54">
        <f>IFERROR(__xludf.DUMMYFUNCTION("IFERROR(
  VLOOKUP(
    A178,
    IMPORTRANGE(
      ""1SCYQd7_cobOYqT0r_F0IqD4tE4rYn5y8Eup4PJTH8es"",
      ""Snapshot!A:M""
    ),
    5,
    FALSE
  ),
  ""-""
)
"),0.0)</f>
        <v>0</v>
      </c>
      <c r="AF178" s="54">
        <f>IFERROR(__xludf.DUMMYFUNCTION("IFERROR(
  VLOOKUP(
    A178,
    IMPORTRANGE(
      ""1SCYQd7_cobOYqT0r_F0IqD4tE4rYn5y8Eup4PJTH8es"",
      ""Snapshot!A:M""
    ),
    6,
    FALSE
  ),
  0
)
"),0.0)</f>
        <v>0</v>
      </c>
      <c r="AG178" s="54">
        <f>IFERROR(__xludf.DUMMYFUNCTION("IFERROR(
  VLOOKUP(
    A178,
    IMPORTRANGE(
      ""1SCYQd7_cobOYqT0r_F0IqD4tE4rYn5y8Eup4PJTH8es"",
      ""Snapshot!A:M""
    ),
    7,
    FALSE
  ),
  0
)
"),400.0)</f>
        <v>400</v>
      </c>
      <c r="AH178" s="54">
        <f>IFERROR(__xludf.DUMMYFUNCTION("IFERROR(
  VLOOKUP(
    A178,
    IMPORTRANGE(
      ""1SCYQd7_cobOYqT0r_F0IqD4tE4rYn5y8Eup4PJTH8es"",
      ""Snapshot!A:M""
    ),
    8,
    FALSE
  ),
  0
)
"),3.0)</f>
        <v>3</v>
      </c>
      <c r="AI178" s="54">
        <f>IFERROR(__xludf.DUMMYFUNCTION("IFERROR(
  VLOOKUP(
    A178,
    IMPORTRANGE(
      ""1SCYQd7_cobOYqT0r_F0IqD4tE4rYn5y8Eup4PJTH8es"",
      ""Snapshot!A:M""
    ),
    9,
    FALSE
  ),
  0
)
"),1.0)</f>
        <v>1</v>
      </c>
      <c r="AJ178" s="54">
        <f>IFERROR(__xludf.DUMMYFUNCTION("IFERROR(
  VLOOKUP(
    A178,
    IMPORTRANGE(
      ""1SCYQd7_cobOYqT0r_F0IqD4tE4rYn5y8Eup4PJTH8es"",
      ""Snapshot!A:M""
    ),
    13,
    FALSE
  ),
  0
)
"),3.0)</f>
        <v>3</v>
      </c>
      <c r="AK178" s="49">
        <f t="shared" ref="AK178:AL178" si="885">LEN(C178)</f>
        <v>73</v>
      </c>
      <c r="AL178" s="49">
        <f t="shared" si="885"/>
        <v>55</v>
      </c>
    </row>
    <row r="179">
      <c r="A179" s="3" t="s">
        <v>666</v>
      </c>
      <c r="B179" s="1" t="str">
        <f>IFERROR(__xludf.DUMMYFUNCTION("IFERROR(
  VLOOKUP(
    A179,
    IMPORTRANGE(
      ""1ZygntHC1J6IxzKbTidmOyf5nUyW4GCLurHCjexrLm_o"",
      ""HTMLキャッシュ!A:F""
    ),
    2,
    FALSE
  ),
  0
)
"),"NW")</f>
        <v>NW</v>
      </c>
      <c r="C179" s="1" t="str">
        <f>IFERROR(__xludf.DUMMYFUNCTION("IFERROR(
  VLOOKUP(
    A179,
    IMPORTRANGE(
      ""1ZygntHC1J6IxzKbTidmOyf5nUyW4GCLurHCjexrLm_o"",
      ""HTMLキャッシュ!A:F""
    ),
    5,
    FALSE
  ),
  0
)
"),"「大学入試 現代文(ごま書房)」発売のお知らせ - 受験国語専門 読解ラボ東京 | 中学受験・大学受験対応の個別指導国語専門塾（オンライン・教室対応）")</f>
        <v>「大学入試 現代文(ごま書房)」発売のお知らせ - 受験国語専門 読解ラボ東京 | 中学受験・大学受験対応の個別指導国語専門塾（オンライン・教室対応）</v>
      </c>
      <c r="D179" s="1" t="str">
        <f>IFERROR(__xludf.DUMMYFUNCTION("IFERROR(
  VLOOKUP(
    A179,
    IMPORTRANGE(
      ""1ZygntHC1J6IxzKbTidmOyf5nUyW4GCLurHCjexrLm_o        "",
      ""HTMLキャッシュ!A:F""
    ),
    6,
    FALSE
  ),
  0
)
"),"読解ラボ東京のホームページをご覧いただき、誠にありがとうございます。 代表の長島です。 拙著「大学入試 現代文")</f>
        <v>読解ラボ東京のホームページをご覧いただき、誠にありがとうございます。 代表の長島です。 拙著「大学入試 現代文</v>
      </c>
      <c r="E179" s="32">
        <f>IFERROR(__xludf.DUMMYFUNCTION("IFERROR(
  VLOOKUP(
    A179,
    IMPORTRANGE(
      ""1ZygntHC1J6IxzKbTidmOyf5nUyW4GCLurHCjexrLm_o        "",
      ""HTMLキャッシュ!A:F""
    ),
    3,
    FALSE
  ),
  0
)
"),43136.82609953704)</f>
        <v>43136.8261</v>
      </c>
      <c r="F179" s="49">
        <f>IFERROR(__xludf.DUMMYFUNCTION("IFERROR(
  VLOOKUP(
    A179,
    IMPORTRANGE(
      ""1ZHMy3vVUd_0MrSduXTe1etBb1HNpAlGwQr006ljwMiM"",
      ""GSC最新!A:F""
    ),
    2,
    FALSE
  ),
  0
)
"),0.0)</f>
        <v>0</v>
      </c>
      <c r="G179" s="49">
        <f>IFERROR(__xludf.DUMMYFUNCTION("IFERROR(
  VLOOKUP(
    A179,
    IMPORTRANGE(
      ""1ZHMy3vVUd_0MrSduXTe1etBb1HNpAlGwQr006ljwMiM"",
      ""GSC最新!A:F""
    ),
    3,
    FALSE
  ),
  0
)
"),0.0)</f>
        <v>0</v>
      </c>
      <c r="H179" s="49">
        <f>IFERROR(__xludf.DUMMYFUNCTION("IFERROR(
  VLOOKUP(
    A179,
    IMPORTRANGE(
      ""1ZHMy3vVUd_0MrSduXTe1etBb1HNpAlGwQr006ljwMiM"",
      ""GSC最新!A:F""
    ),
    4,
    FALSE
  ),
  0
)
"),0.0)</f>
        <v>0</v>
      </c>
      <c r="I179" s="49">
        <f>IFERROR(__xludf.DUMMYFUNCTION("IFERROR(
  VLOOKUP(
    A179,
    IMPORTRANGE(
      ""1ZHMy3vVUd_0MrSduXTe1etBb1HNpAlGwQr006ljwMiM"",
      ""GSC最新!A:F""
    ),
    5,
    FALSE
  ),
  0
)
"),0.0)</f>
        <v>0</v>
      </c>
      <c r="J179" s="50" t="str">
        <f t="shared" ref="J179:K179" si="886">IFERROR(F179/H179,"-")</f>
        <v>-</v>
      </c>
      <c r="K179" s="50" t="str">
        <f t="shared" si="886"/>
        <v>-</v>
      </c>
      <c r="L179" s="6">
        <f>IFERROR(__xludf.DUMMYFUNCTION("IFERROR(
  VLOOKUP(
    A179,
    IMPORTRANGE(
      ""1ZHMy3vVUd_0MrSduXTe1etBb1HNpAlGwQr006ljwMiM"",
      ""GSC最新!A:R""
    ),
    7,
    FALSE
  ),
  0
)
"),0.0)</f>
        <v>0</v>
      </c>
      <c r="M179" s="6">
        <f>IFERROR(__xludf.DUMMYFUNCTION("IFERROR(
  VLOOKUP(
    A179,
    IMPORTRANGE(
      ""1ZHMy3vVUd_0MrSduXTe1etBb1HNpAlGwQr006ljwMiM"",
      ""GSC最新!A:R""
    ),
    10,
    FALSE
  ),
  0
)
"),0.0)</f>
        <v>0</v>
      </c>
      <c r="N179" s="6">
        <f>IFERROR(__xludf.DUMMYFUNCTION("IFERROR(
  VLOOKUP(
    A179,
    IMPORTRANGE(
      ""1ZHMy3vVUd_0MrSduXTe1etBb1HNpAlGwQr006ljwMiM"",
      ""GSC最新!A:R""
    ),
    13,
    FALSE
  ),
  0
)
"),1.0)</f>
        <v>1</v>
      </c>
      <c r="O179" s="6">
        <f>IFERROR(__xludf.DUMMYFUNCTION("IFERROR(
  VLOOKUP(
    A179,
    IMPORTRANGE(
      ""1ZHMy3vVUd_0MrSduXTe1etBb1HNpAlGwQr006ljwMiM"",
      ""GSC最新!A:R""
    ),
    16,
    FALSE
  ),
  0
)
"),3.0)</f>
        <v>3</v>
      </c>
      <c r="P179" s="51">
        <f t="shared" ref="P179:Q179" si="887">IFERROR(L179/N179,"-")</f>
        <v>0</v>
      </c>
      <c r="Q179" s="51">
        <f t="shared" si="887"/>
        <v>0</v>
      </c>
      <c r="R179" s="9">
        <f>IFERROR(__xludf.DUMMYFUNCTION("IFERROR(
  VLOOKUP(
    A179,
    IMPORTRANGE(
      ""1ZHMy3vVUd_0MrSduXTe1etBb1HNpAlGwQr006ljwMiM"",
      ""GSC最新!A:R""
    ),
    8,
    FALSE
  ),
  0
)
"),0.0)</f>
        <v>0</v>
      </c>
      <c r="S179" s="9">
        <f>IFERROR(__xludf.DUMMYFUNCTION("IFERROR(
  VLOOKUP(
    A179,
    IMPORTRANGE(
      ""1ZHMy3vVUd_0MrSduXTe1etBb1HNpAlGwQr006ljwMiM"",
      ""GSC最新!A:R""
    ),
    11,
    FALSE
  ),
  0
)
"),0.0)</f>
        <v>0</v>
      </c>
      <c r="T179" s="9">
        <f>IFERROR(__xludf.DUMMYFUNCTION("IFERROR(
  VLOOKUP(
    A179,
    IMPORTRANGE(
      ""1ZHMy3vVUd_0MrSduXTe1etBb1HNpAlGwQr006ljwMiM"",
      ""GSC最新!A:R""
    ),
    14,
    FALSE
  ),
  0
)
"),0.0)</f>
        <v>0</v>
      </c>
      <c r="U179" s="9">
        <f>IFERROR(__xludf.DUMMYFUNCTION("IFERROR(
  VLOOKUP(
    A179,
    IMPORTRANGE(
      ""1ZHMy3vVUd_0MrSduXTe1etBb1HNpAlGwQr006ljwMiM"",
      ""GSC最新!A:R""
    ),
    17,
    FALSE
  ),
  0
)
"),0.0)</f>
        <v>0</v>
      </c>
      <c r="V179" s="9">
        <f t="shared" ref="V179:W179" si="888">IFERROR(R179-T179,"-")</f>
        <v>0</v>
      </c>
      <c r="W179" s="9">
        <f t="shared" si="888"/>
        <v>0</v>
      </c>
      <c r="X179" s="65" t="str">
        <f>IFERROR(__xludf.DUMMYFUNCTION("IFERROR(
  VLOOKUP(
    A179,
    IMPORTRANGE(
      ""1ZHMy3vVUd_0MrSduXTe1etBb1HNpAlGwQr006ljwMiM"",
      ""GSC最新!A:R""
    ),
    9,
    FALSE
  ),
  0
)
"),"")</f>
        <v/>
      </c>
      <c r="Y179" s="65" t="str">
        <f>IFERROR(__xludf.DUMMYFUNCTION("IFERROR(
  VLOOKUP(
    A179,
    IMPORTRANGE(
      ""1ZHMy3vVUd_0MrSduXTe1etBb1HNpAlGwQr006ljwMiM"",
      ""GSC最新!A:R""
    ),
    12,
    FALSE
  ),
  0
)
"),"")</f>
        <v/>
      </c>
      <c r="Z179" s="65">
        <f>IFERROR(__xludf.DUMMYFUNCTION("IFERROR(
  VLOOKUP(
    A179,
    IMPORTRANGE(
      ""1ZHMy3vVUd_0MrSduXTe1etBb1HNpAlGwQr006ljwMiM"",
      ""GSC最新!A:R""
    ),
    15,
    FALSE
  ),
  0
)
"),10.0)</f>
        <v>10</v>
      </c>
      <c r="AA179" s="65">
        <f>IFERROR(__xludf.DUMMYFUNCTION("IFERROR(
  VLOOKUP(
    A179,
    IMPORTRANGE(
      ""1ZHMy3vVUd_0MrSduXTe1etBb1HNpAlGwQr006ljwMiM"",
      ""GSC最新!A:R""
    ),
    18,
    FALSE
  ),
  0
)
"),9.333333333333334)</f>
        <v>9.333333333</v>
      </c>
      <c r="AB179" s="65">
        <f t="shared" ref="AB179:AC179" si="889">X179-Z179</f>
        <v>-10</v>
      </c>
      <c r="AC179" s="65">
        <f t="shared" si="889"/>
        <v>-9.333333333</v>
      </c>
      <c r="AD179" s="53">
        <f>IFERROR(__xludf.DUMMYFUNCTION("IFERROR(
  VLOOKUP(
    A179,
    IMPORTRANGE(
      ""1ZHMy3vVUd_0MrSduXTe1etBb1HNpAlGwQr006ljwMiM"",
      ""GSC最新!A:F""
    ),
    6,
    FALSE
  ),
  0
)
"),46081.0)</f>
        <v>46081</v>
      </c>
      <c r="AE179" s="54">
        <f>IFERROR(__xludf.DUMMYFUNCTION("IFERROR(
  VLOOKUP(
    A179,
    IMPORTRANGE(
      ""1SCYQd7_cobOYqT0r_F0IqD4tE4rYn5y8Eup4PJTH8es"",
      ""Snapshot!A:M""
    ),
    5,
    FALSE
  ),
  ""-""
)
"),0.0)</f>
        <v>0</v>
      </c>
      <c r="AF179" s="54">
        <f>IFERROR(__xludf.DUMMYFUNCTION("IFERROR(
  VLOOKUP(
    A179,
    IMPORTRANGE(
      ""1SCYQd7_cobOYqT0r_F0IqD4tE4rYn5y8Eup4PJTH8es"",
      ""Snapshot!A:M""
    ),
    6,
    FALSE
  ),
  0
)
"),0.0)</f>
        <v>0</v>
      </c>
      <c r="AG179" s="54">
        <f>IFERROR(__xludf.DUMMYFUNCTION("IFERROR(
  VLOOKUP(
    A179,
    IMPORTRANGE(
      ""1SCYQd7_cobOYqT0r_F0IqD4tE4rYn5y8Eup4PJTH8es"",
      ""Snapshot!A:M""
    ),
    7,
    FALSE
  ),
  0
)
"),465.0)</f>
        <v>465</v>
      </c>
      <c r="AH179" s="54">
        <f>IFERROR(__xludf.DUMMYFUNCTION("IFERROR(
  VLOOKUP(
    A179,
    IMPORTRANGE(
      ""1SCYQd7_cobOYqT0r_F0IqD4tE4rYn5y8Eup4PJTH8es"",
      ""Snapshot!A:M""
    ),
    8,
    FALSE
  ),
  0
)
"),0.0)</f>
        <v>0</v>
      </c>
      <c r="AI179" s="54">
        <f>IFERROR(__xludf.DUMMYFUNCTION("IFERROR(
  VLOOKUP(
    A179,
    IMPORTRANGE(
      ""1SCYQd7_cobOYqT0r_F0IqD4tE4rYn5y8Eup4PJTH8es"",
      ""Snapshot!A:M""
    ),
    9,
    FALSE
  ),
  0
)
"),1.0)</f>
        <v>1</v>
      </c>
      <c r="AJ179" s="54">
        <f>IFERROR(__xludf.DUMMYFUNCTION("IFERROR(
  VLOOKUP(
    A179,
    IMPORTRANGE(
      ""1SCYQd7_cobOYqT0r_F0IqD4tE4rYn5y8Eup4PJTH8es"",
      ""Snapshot!A:M""
    ),
    13,
    FALSE
  ),
  0
)
"),3.0)</f>
        <v>3</v>
      </c>
      <c r="AK179" s="49">
        <f t="shared" ref="AK179:AL179" si="890">LEN(C179)</f>
        <v>75</v>
      </c>
      <c r="AL179" s="49">
        <f t="shared" si="890"/>
        <v>55</v>
      </c>
    </row>
    <row r="180">
      <c r="A180" s="3" t="s">
        <v>667</v>
      </c>
      <c r="B180" s="1" t="str">
        <f>IFERROR(__xludf.DUMMYFUNCTION("IFERROR(
  VLOOKUP(
    A180,
    IMPORTRANGE(
      ""1ZygntHC1J6IxzKbTidmOyf5nUyW4GCLurHCjexrLm_o"",
      ""HTMLキャッシュ!A:F""
    ),
    2,
    FALSE
  ),
  0
)
"),"NW")</f>
        <v>NW</v>
      </c>
      <c r="C180" s="1" t="str">
        <f>IFERROR(__xludf.DUMMYFUNCTION("IFERROR(
  VLOOKUP(
    A180,
    IMPORTRANGE(
      ""1ZygntHC1J6IxzKbTidmOyf5nUyW4GCLurHCjexrLm_o"",
      ""HTMLキャッシュ!A:F""
    ),
    5,
    FALSE
  ),
  0
)
"),"最新時間割更新のお知らせ - 受験国語専門 読解ラボ東京 | 中学受験・大学受験対応の個別指導国語専門塾（オンライン・教室対応）")</f>
        <v>最新時間割更新のお知らせ - 受験国語専門 読解ラボ東京 | 中学受験・大学受験対応の個別指導国語専門塾（オンライン・教室対応）</v>
      </c>
      <c r="D180" s="1" t="str">
        <f>IFERROR(__xludf.DUMMYFUNCTION("IFERROR(
  VLOOKUP(
    A180,
    IMPORTRANGE(
      ""1ZygntHC1J6IxzKbTidmOyf5nUyW4GCLurHCjexrLm_o        "",
      ""HTMLキャッシュ!A:F""
    ),
    6,
    FALSE
  ),
  0
)
"),"最新の時間割を公開致しました。 →詳細はコチラをご確認下さいませ。 -- 中学受験・大学受験のために頑張ってい")</f>
        <v>最新の時間割を公開致しました。 →詳細はコチラをご確認下さいませ。 -- 中学受験・大学受験のために頑張ってい</v>
      </c>
      <c r="E180" s="32">
        <f>IFERROR(__xludf.DUMMYFUNCTION("IFERROR(
  VLOOKUP(
    A180,
    IMPORTRANGE(
      ""1ZygntHC1J6IxzKbTidmOyf5nUyW4GCLurHCjexrLm_o        "",
      ""HTMLキャッシュ!A:F""
    ),
    3,
    FALSE
  ),
  0
)
"),43139.81715277778)</f>
        <v>43139.81715</v>
      </c>
      <c r="F180" s="49">
        <f>IFERROR(__xludf.DUMMYFUNCTION("IFERROR(
  VLOOKUP(
    A180,
    IMPORTRANGE(
      ""1ZHMy3vVUd_0MrSduXTe1etBb1HNpAlGwQr006ljwMiM"",
      ""GSC最新!A:F""
    ),
    2,
    FALSE
  ),
  0
)
"),0.0)</f>
        <v>0</v>
      </c>
      <c r="G180" s="49">
        <f>IFERROR(__xludf.DUMMYFUNCTION("IFERROR(
  VLOOKUP(
    A180,
    IMPORTRANGE(
      ""1ZHMy3vVUd_0MrSduXTe1etBb1HNpAlGwQr006ljwMiM"",
      ""GSC最新!A:F""
    ),
    3,
    FALSE
  ),
  0
)
"),0.0)</f>
        <v>0</v>
      </c>
      <c r="H180" s="49">
        <f>IFERROR(__xludf.DUMMYFUNCTION("IFERROR(
  VLOOKUP(
    A180,
    IMPORTRANGE(
      ""1ZHMy3vVUd_0MrSduXTe1etBb1HNpAlGwQr006ljwMiM"",
      ""GSC最新!A:F""
    ),
    4,
    FALSE
  ),
  0
)
"),0.0)</f>
        <v>0</v>
      </c>
      <c r="I180" s="49">
        <f>IFERROR(__xludf.DUMMYFUNCTION("IFERROR(
  VLOOKUP(
    A180,
    IMPORTRANGE(
      ""1ZHMy3vVUd_0MrSduXTe1etBb1HNpAlGwQr006ljwMiM"",
      ""GSC最新!A:F""
    ),
    5,
    FALSE
  ),
  0
)
"),0.0)</f>
        <v>0</v>
      </c>
      <c r="J180" s="50" t="str">
        <f t="shared" ref="J180:K180" si="891">IFERROR(F180/H180,"-")</f>
        <v>-</v>
      </c>
      <c r="K180" s="50" t="str">
        <f t="shared" si="891"/>
        <v>-</v>
      </c>
      <c r="L180" s="6">
        <f>IFERROR(__xludf.DUMMYFUNCTION("IFERROR(
  VLOOKUP(
    A180,
    IMPORTRANGE(
      ""1ZHMy3vVUd_0MrSduXTe1etBb1HNpAlGwQr006ljwMiM"",
      ""GSC最新!A:R""
    ),
    7,
    FALSE
  ),
  0
)
"),0.0)</f>
        <v>0</v>
      </c>
      <c r="M180" s="6">
        <f>IFERROR(__xludf.DUMMYFUNCTION("IFERROR(
  VLOOKUP(
    A180,
    IMPORTRANGE(
      ""1ZHMy3vVUd_0MrSduXTe1etBb1HNpAlGwQr006ljwMiM"",
      ""GSC最新!A:R""
    ),
    10,
    FALSE
  ),
  0
)
"),0.0)</f>
        <v>0</v>
      </c>
      <c r="N180" s="6">
        <f>IFERROR(__xludf.DUMMYFUNCTION("IFERROR(
  VLOOKUP(
    A180,
    IMPORTRANGE(
      ""1ZHMy3vVUd_0MrSduXTe1etBb1HNpAlGwQr006ljwMiM"",
      ""GSC最新!A:R""
    ),
    13,
    FALSE
  ),
  0
)
"),0.0)</f>
        <v>0</v>
      </c>
      <c r="O180" s="6">
        <f>IFERROR(__xludf.DUMMYFUNCTION("IFERROR(
  VLOOKUP(
    A180,
    IMPORTRANGE(
      ""1ZHMy3vVUd_0MrSduXTe1etBb1HNpAlGwQr006ljwMiM"",
      ""GSC最新!A:R""
    ),
    16,
    FALSE
  ),
  0
)
"),0.0)</f>
        <v>0</v>
      </c>
      <c r="P180" s="51" t="str">
        <f t="shared" ref="P180:Q180" si="892">IFERROR(L180/N180,"-")</f>
        <v>-</v>
      </c>
      <c r="Q180" s="51" t="str">
        <f t="shared" si="892"/>
        <v>-</v>
      </c>
      <c r="R180" s="9">
        <f>IFERROR(__xludf.DUMMYFUNCTION("IFERROR(
  VLOOKUP(
    A180,
    IMPORTRANGE(
      ""1ZHMy3vVUd_0MrSduXTe1etBb1HNpAlGwQr006ljwMiM"",
      ""GSC最新!A:R""
    ),
    8,
    FALSE
  ),
  0
)
"),0.0)</f>
        <v>0</v>
      </c>
      <c r="S180" s="9">
        <f>IFERROR(__xludf.DUMMYFUNCTION("IFERROR(
  VLOOKUP(
    A180,
    IMPORTRANGE(
      ""1ZHMy3vVUd_0MrSduXTe1etBb1HNpAlGwQr006ljwMiM"",
      ""GSC最新!A:R""
    ),
    11,
    FALSE
  ),
  0
)
"),0.0)</f>
        <v>0</v>
      </c>
      <c r="T180" s="9">
        <f>IFERROR(__xludf.DUMMYFUNCTION("IFERROR(
  VLOOKUP(
    A180,
    IMPORTRANGE(
      ""1ZHMy3vVUd_0MrSduXTe1etBb1HNpAlGwQr006ljwMiM"",
      ""GSC最新!A:R""
    ),
    14,
    FALSE
  ),
  0
)
"),0.0)</f>
        <v>0</v>
      </c>
      <c r="U180" s="9">
        <f>IFERROR(__xludf.DUMMYFUNCTION("IFERROR(
  VLOOKUP(
    A180,
    IMPORTRANGE(
      ""1ZHMy3vVUd_0MrSduXTe1etBb1HNpAlGwQr006ljwMiM"",
      ""GSC最新!A:R""
    ),
    17,
    FALSE
  ),
  0
)
"),0.0)</f>
        <v>0</v>
      </c>
      <c r="V180" s="9">
        <f t="shared" ref="V180:W180" si="893">IFERROR(R180-T180,"-")</f>
        <v>0</v>
      </c>
      <c r="W180" s="9">
        <f t="shared" si="893"/>
        <v>0</v>
      </c>
      <c r="X180" s="65" t="str">
        <f>IFERROR(__xludf.DUMMYFUNCTION("IFERROR(
  VLOOKUP(
    A180,
    IMPORTRANGE(
      ""1ZHMy3vVUd_0MrSduXTe1etBb1HNpAlGwQr006ljwMiM"",
      ""GSC最新!A:R""
    ),
    9,
    FALSE
  ),
  0
)
"),"")</f>
        <v/>
      </c>
      <c r="Y180" s="65" t="str">
        <f>IFERROR(__xludf.DUMMYFUNCTION("IFERROR(
  VLOOKUP(
    A180,
    IMPORTRANGE(
      ""1ZHMy3vVUd_0MrSduXTe1etBb1HNpAlGwQr006ljwMiM"",
      ""GSC最新!A:R""
    ),
    12,
    FALSE
  ),
  0
)
"),"")</f>
        <v/>
      </c>
      <c r="Z180" s="65" t="str">
        <f>IFERROR(__xludf.DUMMYFUNCTION("IFERROR(
  VLOOKUP(
    A180,
    IMPORTRANGE(
      ""1ZHMy3vVUd_0MrSduXTe1etBb1HNpAlGwQr006ljwMiM"",
      ""GSC最新!A:R""
    ),
    15,
    FALSE
  ),
  0
)
"),"")</f>
        <v/>
      </c>
      <c r="AA180" s="65" t="str">
        <f>IFERROR(__xludf.DUMMYFUNCTION("IFERROR(
  VLOOKUP(
    A180,
    IMPORTRANGE(
      ""1ZHMy3vVUd_0MrSduXTe1etBb1HNpAlGwQr006ljwMiM"",
      ""GSC最新!A:R""
    ),
    18,
    FALSE
  ),
  0
)
"),"")</f>
        <v/>
      </c>
      <c r="AB180" s="65">
        <f t="shared" ref="AB180:AC180" si="894">X180-Z180</f>
        <v>0</v>
      </c>
      <c r="AC180" s="65">
        <f t="shared" si="894"/>
        <v>0</v>
      </c>
      <c r="AD180" s="53">
        <f>IFERROR(__xludf.DUMMYFUNCTION("IFERROR(
  VLOOKUP(
    A180,
    IMPORTRANGE(
      ""1ZHMy3vVUd_0MrSduXTe1etBb1HNpAlGwQr006ljwMiM"",
      ""GSC最新!A:F""
    ),
    6,
    FALSE
  ),
  0
)
"),46081.0)</f>
        <v>46081</v>
      </c>
      <c r="AE180" s="54">
        <f>IFERROR(__xludf.DUMMYFUNCTION("IFERROR(
  VLOOKUP(
    A180,
    IMPORTRANGE(
      ""1SCYQd7_cobOYqT0r_F0IqD4tE4rYn5y8Eup4PJTH8es"",
      ""Snapshot!A:M""
    ),
    5,
    FALSE
  ),
  ""-""
)
"),0.0)</f>
        <v>0</v>
      </c>
      <c r="AF180" s="54">
        <f>IFERROR(__xludf.DUMMYFUNCTION("IFERROR(
  VLOOKUP(
    A180,
    IMPORTRANGE(
      ""1SCYQd7_cobOYqT0r_F0IqD4tE4rYn5y8Eup4PJTH8es"",
      ""Snapshot!A:M""
    ),
    6,
    FALSE
  ),
  0
)
"),0.0)</f>
        <v>0</v>
      </c>
      <c r="AG180" s="54">
        <f>IFERROR(__xludf.DUMMYFUNCTION("IFERROR(
  VLOOKUP(
    A180,
    IMPORTRANGE(
      ""1SCYQd7_cobOYqT0r_F0IqD4tE4rYn5y8Eup4PJTH8es"",
      ""Snapshot!A:M""
    ),
    7,
    FALSE
  ),
  0
)
"),168.0)</f>
        <v>168</v>
      </c>
      <c r="AH180" s="54">
        <f>IFERROR(__xludf.DUMMYFUNCTION("IFERROR(
  VLOOKUP(
    A180,
    IMPORTRANGE(
      ""1SCYQd7_cobOYqT0r_F0IqD4tE4rYn5y8Eup4PJTH8es"",
      ""Snapshot!A:M""
    ),
    8,
    FALSE
  ),
  0
)
"),3.0)</f>
        <v>3</v>
      </c>
      <c r="AI180" s="54">
        <f>IFERROR(__xludf.DUMMYFUNCTION("IFERROR(
  VLOOKUP(
    A180,
    IMPORTRANGE(
      ""1SCYQd7_cobOYqT0r_F0IqD4tE4rYn5y8Eup4PJTH8es"",
      ""Snapshot!A:M""
    ),
    9,
    FALSE
  ),
  0
)
"),1.0)</f>
        <v>1</v>
      </c>
      <c r="AJ180" s="54">
        <f>IFERROR(__xludf.DUMMYFUNCTION("IFERROR(
  VLOOKUP(
    A180,
    IMPORTRANGE(
      ""1SCYQd7_cobOYqT0r_F0IqD4tE4rYn5y8Eup4PJTH8es"",
      ""Snapshot!A:M""
    ),
    13,
    FALSE
  ),
  0
)
"),3.0)</f>
        <v>3</v>
      </c>
      <c r="AK180" s="49">
        <f t="shared" ref="AK180:AL180" si="895">LEN(C180)</f>
        <v>64</v>
      </c>
      <c r="AL180" s="49">
        <f t="shared" si="895"/>
        <v>55</v>
      </c>
    </row>
    <row r="181">
      <c r="A181" s="3" t="s">
        <v>668</v>
      </c>
      <c r="B181" s="1" t="str">
        <f>IFERROR(__xludf.DUMMYFUNCTION("IFERROR(
  VLOOKUP(
    A181,
    IMPORTRANGE(
      ""1ZygntHC1J6IxzKbTidmOyf5nUyW4GCLurHCjexrLm_o"",
      ""HTMLキャッシュ!A:F""
    ),
    2,
    FALSE
  ),
  0
)
"),"NW")</f>
        <v>NW</v>
      </c>
      <c r="C181" s="1" t="str">
        <f>IFERROR(__xludf.DUMMYFUNCTION("IFERROR(
  VLOOKUP(
    A181,
    IMPORTRANGE(
      ""1ZygntHC1J6IxzKbTidmOyf5nUyW4GCLurHCjexrLm_o"",
      ""HTMLキャッシュ!A:F""
    ),
    5,
    FALSE
  ),
  0
)
"),"2018年度春期講習会開催のご案内 - 受験国語専門 読解ラボ東京 | 中学受験・大学受験対応の個別指導国語専門塾（オンライン・教室対応）")</f>
        <v>2018年度春期講習会開催のご案内 - 受験国語専門 読解ラボ東京 | 中学受験・大学受験対応の個別指導国語専門塾（オンライン・教室対応）</v>
      </c>
      <c r="D181" s="1" t="str">
        <f>IFERROR(__xludf.DUMMYFUNCTION("IFERROR(
  VLOOKUP(
    A181,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81" s="32">
        <f>IFERROR(__xludf.DUMMYFUNCTION("IFERROR(
  VLOOKUP(
    A181,
    IMPORTRANGE(
      ""1ZygntHC1J6IxzKbTidmOyf5nUyW4GCLurHCjexrLm_o        "",
      ""HTMLキャッシュ!A:F""
    ),
    3,
    FALSE
  ),
  0
)
"),46015.58521990741)</f>
        <v>46015.58522</v>
      </c>
      <c r="F181" s="49">
        <f>IFERROR(__xludf.DUMMYFUNCTION("IFERROR(
  VLOOKUP(
    A181,
    IMPORTRANGE(
      ""1ZHMy3vVUd_0MrSduXTe1etBb1HNpAlGwQr006ljwMiM"",
      ""GSC最新!A:F""
    ),
    2,
    FALSE
  ),
  0
)
"),0.0)</f>
        <v>0</v>
      </c>
      <c r="G181" s="49">
        <f>IFERROR(__xludf.DUMMYFUNCTION("IFERROR(
  VLOOKUP(
    A181,
    IMPORTRANGE(
      ""1ZHMy3vVUd_0MrSduXTe1etBb1HNpAlGwQr006ljwMiM"",
      ""GSC最新!A:F""
    ),
    3,
    FALSE
  ),
  0
)
"),0.0)</f>
        <v>0</v>
      </c>
      <c r="H181" s="49">
        <f>IFERROR(__xludf.DUMMYFUNCTION("IFERROR(
  VLOOKUP(
    A181,
    IMPORTRANGE(
      ""1ZHMy3vVUd_0MrSduXTe1etBb1HNpAlGwQr006ljwMiM"",
      ""GSC最新!A:F""
    ),
    4,
    FALSE
  ),
  0
)
"),0.0)</f>
        <v>0</v>
      </c>
      <c r="I181" s="49">
        <f>IFERROR(__xludf.DUMMYFUNCTION("IFERROR(
  VLOOKUP(
    A181,
    IMPORTRANGE(
      ""1ZHMy3vVUd_0MrSduXTe1etBb1HNpAlGwQr006ljwMiM"",
      ""GSC最新!A:F""
    ),
    5,
    FALSE
  ),
  0
)
"),0.0)</f>
        <v>0</v>
      </c>
      <c r="J181" s="50" t="str">
        <f t="shared" ref="J181:K181" si="896">IFERROR(F181/H181,"-")</f>
        <v>-</v>
      </c>
      <c r="K181" s="50" t="str">
        <f t="shared" si="896"/>
        <v>-</v>
      </c>
      <c r="L181" s="6">
        <f>IFERROR(__xludf.DUMMYFUNCTION("IFERROR(
  VLOOKUP(
    A181,
    IMPORTRANGE(
      ""1ZHMy3vVUd_0MrSduXTe1etBb1HNpAlGwQr006ljwMiM"",
      ""GSC最新!A:R""
    ),
    7,
    FALSE
  ),
  0
)
"),0.0)</f>
        <v>0</v>
      </c>
      <c r="M181" s="6">
        <f>IFERROR(__xludf.DUMMYFUNCTION("IFERROR(
  VLOOKUP(
    A181,
    IMPORTRANGE(
      ""1ZHMy3vVUd_0MrSduXTe1etBb1HNpAlGwQr006ljwMiM"",
      ""GSC最新!A:R""
    ),
    10,
    FALSE
  ),
  0
)
"),0.0)</f>
        <v>0</v>
      </c>
      <c r="N181" s="6">
        <f>IFERROR(__xludf.DUMMYFUNCTION("IFERROR(
  VLOOKUP(
    A181,
    IMPORTRANGE(
      ""1ZHMy3vVUd_0MrSduXTe1etBb1HNpAlGwQr006ljwMiM"",
      ""GSC最新!A:R""
    ),
    13,
    FALSE
  ),
  0
)
"),0.0)</f>
        <v>0</v>
      </c>
      <c r="O181" s="6">
        <f>IFERROR(__xludf.DUMMYFUNCTION("IFERROR(
  VLOOKUP(
    A181,
    IMPORTRANGE(
      ""1ZHMy3vVUd_0MrSduXTe1etBb1HNpAlGwQr006ljwMiM"",
      ""GSC最新!A:R""
    ),
    16,
    FALSE
  ),
  0
)
"),0.0)</f>
        <v>0</v>
      </c>
      <c r="P181" s="51" t="str">
        <f t="shared" ref="P181:Q181" si="897">IFERROR(L181/N181,"-")</f>
        <v>-</v>
      </c>
      <c r="Q181" s="51" t="str">
        <f t="shared" si="897"/>
        <v>-</v>
      </c>
      <c r="R181" s="9">
        <f>IFERROR(__xludf.DUMMYFUNCTION("IFERROR(
  VLOOKUP(
    A181,
    IMPORTRANGE(
      ""1ZHMy3vVUd_0MrSduXTe1etBb1HNpAlGwQr006ljwMiM"",
      ""GSC最新!A:R""
    ),
    8,
    FALSE
  ),
  0
)
"),0.0)</f>
        <v>0</v>
      </c>
      <c r="S181" s="9">
        <f>IFERROR(__xludf.DUMMYFUNCTION("IFERROR(
  VLOOKUP(
    A181,
    IMPORTRANGE(
      ""1ZHMy3vVUd_0MrSduXTe1etBb1HNpAlGwQr006ljwMiM"",
      ""GSC最新!A:R""
    ),
    11,
    FALSE
  ),
  0
)
"),0.0)</f>
        <v>0</v>
      </c>
      <c r="T181" s="9">
        <f>IFERROR(__xludf.DUMMYFUNCTION("IFERROR(
  VLOOKUP(
    A181,
    IMPORTRANGE(
      ""1ZHMy3vVUd_0MrSduXTe1etBb1HNpAlGwQr006ljwMiM"",
      ""GSC最新!A:R""
    ),
    14,
    FALSE
  ),
  0
)
"),0.0)</f>
        <v>0</v>
      </c>
      <c r="U181" s="9">
        <f>IFERROR(__xludf.DUMMYFUNCTION("IFERROR(
  VLOOKUP(
    A181,
    IMPORTRANGE(
      ""1ZHMy3vVUd_0MrSduXTe1etBb1HNpAlGwQr006ljwMiM"",
      ""GSC最新!A:R""
    ),
    17,
    FALSE
  ),
  0
)
"),0.0)</f>
        <v>0</v>
      </c>
      <c r="V181" s="9">
        <f t="shared" ref="V181:W181" si="898">IFERROR(R181-T181,"-")</f>
        <v>0</v>
      </c>
      <c r="W181" s="9">
        <f t="shared" si="898"/>
        <v>0</v>
      </c>
      <c r="X181" s="65" t="str">
        <f>IFERROR(__xludf.DUMMYFUNCTION("IFERROR(
  VLOOKUP(
    A181,
    IMPORTRANGE(
      ""1ZHMy3vVUd_0MrSduXTe1etBb1HNpAlGwQr006ljwMiM"",
      ""GSC最新!A:R""
    ),
    9,
    FALSE
  ),
  0
)
"),"")</f>
        <v/>
      </c>
      <c r="Y181" s="65" t="str">
        <f>IFERROR(__xludf.DUMMYFUNCTION("IFERROR(
  VLOOKUP(
    A181,
    IMPORTRANGE(
      ""1ZHMy3vVUd_0MrSduXTe1etBb1HNpAlGwQr006ljwMiM"",
      ""GSC最新!A:R""
    ),
    12,
    FALSE
  ),
  0
)
"),"")</f>
        <v/>
      </c>
      <c r="Z181" s="65" t="str">
        <f>IFERROR(__xludf.DUMMYFUNCTION("IFERROR(
  VLOOKUP(
    A181,
    IMPORTRANGE(
      ""1ZHMy3vVUd_0MrSduXTe1etBb1HNpAlGwQr006ljwMiM"",
      ""GSC最新!A:R""
    ),
    15,
    FALSE
  ),
  0
)
"),"")</f>
        <v/>
      </c>
      <c r="AA181" s="65" t="str">
        <f>IFERROR(__xludf.DUMMYFUNCTION("IFERROR(
  VLOOKUP(
    A181,
    IMPORTRANGE(
      ""1ZHMy3vVUd_0MrSduXTe1etBb1HNpAlGwQr006ljwMiM"",
      ""GSC最新!A:R""
    ),
    18,
    FALSE
  ),
  0
)
"),"")</f>
        <v/>
      </c>
      <c r="AB181" s="65">
        <f t="shared" ref="AB181:AC181" si="899">X181-Z181</f>
        <v>0</v>
      </c>
      <c r="AC181" s="65">
        <f t="shared" si="899"/>
        <v>0</v>
      </c>
      <c r="AD181" s="53">
        <f>IFERROR(__xludf.DUMMYFUNCTION("IFERROR(
  VLOOKUP(
    A181,
    IMPORTRANGE(
      ""1ZHMy3vVUd_0MrSduXTe1etBb1HNpAlGwQr006ljwMiM"",
      ""GSC最新!A:F""
    ),
    6,
    FALSE
  ),
  0
)
"),46081.0)</f>
        <v>46081</v>
      </c>
      <c r="AE181" s="54">
        <f>IFERROR(__xludf.DUMMYFUNCTION("IFERROR(
  VLOOKUP(
    A181,
    IMPORTRANGE(
      ""1SCYQd7_cobOYqT0r_F0IqD4tE4rYn5y8Eup4PJTH8es"",
      ""Snapshot!A:M""
    ),
    5,
    FALSE
  ),
  ""-""
)
"),0.0)</f>
        <v>0</v>
      </c>
      <c r="AF181" s="54">
        <f>IFERROR(__xludf.DUMMYFUNCTION("IFERROR(
  VLOOKUP(
    A181,
    IMPORTRANGE(
      ""1SCYQd7_cobOYqT0r_F0IqD4tE4rYn5y8Eup4PJTH8es"",
      ""Snapshot!A:M""
    ),
    6,
    FALSE
  ),
  0
)
"),0.0)</f>
        <v>0</v>
      </c>
      <c r="AG181" s="54">
        <f>IFERROR(__xludf.DUMMYFUNCTION("IFERROR(
  VLOOKUP(
    A181,
    IMPORTRANGE(
      ""1SCYQd7_cobOYqT0r_F0IqD4tE4rYn5y8Eup4PJTH8es"",
      ""Snapshot!A:M""
    ),
    7,
    FALSE
  ),
  0
)
"),749.0)</f>
        <v>749</v>
      </c>
      <c r="AH181" s="54">
        <f>IFERROR(__xludf.DUMMYFUNCTION("IFERROR(
  VLOOKUP(
    A181,
    IMPORTRANGE(
      ""1SCYQd7_cobOYqT0r_F0IqD4tE4rYn5y8Eup4PJTH8es"",
      ""Snapshot!A:M""
    ),
    8,
    FALSE
  ),
  0
)
"),2.0)</f>
        <v>2</v>
      </c>
      <c r="AI181" s="54">
        <f>IFERROR(__xludf.DUMMYFUNCTION("IFERROR(
  VLOOKUP(
    A181,
    IMPORTRANGE(
      ""1SCYQd7_cobOYqT0r_F0IqD4tE4rYn5y8Eup4PJTH8es"",
      ""Snapshot!A:M""
    ),
    9,
    FALSE
  ),
  0
)
"),1.0)</f>
        <v>1</v>
      </c>
      <c r="AJ181" s="54">
        <f>IFERROR(__xludf.DUMMYFUNCTION("IFERROR(
  VLOOKUP(
    A181,
    IMPORTRANGE(
      ""1SCYQd7_cobOYqT0r_F0IqD4tE4rYn5y8Eup4PJTH8es"",
      ""Snapshot!A:M""
    ),
    13,
    FALSE
  ),
  0
)
"),3.0)</f>
        <v>3</v>
      </c>
      <c r="AK181" s="49">
        <f t="shared" ref="AK181:AL181" si="900">LEN(C181)</f>
        <v>69</v>
      </c>
      <c r="AL181" s="49">
        <f t="shared" si="900"/>
        <v>55</v>
      </c>
    </row>
    <row r="182">
      <c r="A182" s="3" t="s">
        <v>669</v>
      </c>
      <c r="B182" s="1" t="str">
        <f>IFERROR(__xludf.DUMMYFUNCTION("IFERROR(
  VLOOKUP(
    A182,
    IMPORTRANGE(
      ""1ZygntHC1J6IxzKbTidmOyf5nUyW4GCLurHCjexrLm_o"",
      ""HTMLキャッシュ!A:F""
    ),
    2,
    FALSE
  ),
  0
)
"),"NW")</f>
        <v>NW</v>
      </c>
      <c r="C182" s="1" t="str">
        <f>IFERROR(__xludf.DUMMYFUNCTION("IFERROR(
  VLOOKUP(
    A182,
    IMPORTRANGE(
      ""1ZygntHC1J6IxzKbTidmOyf5nUyW4GCLurHCjexrLm_o"",
      ""HTMLキャッシュ!A:F""
    ),
    5,
    FALSE
  ),
  0
)
"),"2018年度夏期講習会開催のお知らせ - 受験国語専門 読解ラボ東京 | 中学受験・大学受験対応の個別指導国語専門塾（オンライン・教室対応）")</f>
        <v>2018年度夏期講習会開催のお知らせ - 受験国語専門 読解ラボ東京 | 中学受験・大学受験対応の個別指導国語専門塾（オンライン・教室対応）</v>
      </c>
      <c r="D182" s="1" t="str">
        <f>IFERROR(__xludf.DUMMYFUNCTION("IFERROR(
  VLOOKUP(
    A182,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82" s="32">
        <f>IFERROR(__xludf.DUMMYFUNCTION("IFERROR(
  VLOOKUP(
    A182,
    IMPORTRANGE(
      ""1ZygntHC1J6IxzKbTidmOyf5nUyW4GCLurHCjexrLm_o        "",
      ""HTMLキャッシュ!A:F""
    ),
    3,
    FALSE
  ),
  0
)
"),46015.58568287037)</f>
        <v>46015.58568</v>
      </c>
      <c r="F182" s="49">
        <f>IFERROR(__xludf.DUMMYFUNCTION("IFERROR(
  VLOOKUP(
    A182,
    IMPORTRANGE(
      ""1ZHMy3vVUd_0MrSduXTe1etBb1HNpAlGwQr006ljwMiM"",
      ""GSC最新!A:F""
    ),
    2,
    FALSE
  ),
  0
)
"),0.0)</f>
        <v>0</v>
      </c>
      <c r="G182" s="49">
        <f>IFERROR(__xludf.DUMMYFUNCTION("IFERROR(
  VLOOKUP(
    A182,
    IMPORTRANGE(
      ""1ZHMy3vVUd_0MrSduXTe1etBb1HNpAlGwQr006ljwMiM"",
      ""GSC最新!A:F""
    ),
    3,
    FALSE
  ),
  0
)
"),0.0)</f>
        <v>0</v>
      </c>
      <c r="H182" s="49">
        <f>IFERROR(__xludf.DUMMYFUNCTION("IFERROR(
  VLOOKUP(
    A182,
    IMPORTRANGE(
      ""1ZHMy3vVUd_0MrSduXTe1etBb1HNpAlGwQr006ljwMiM"",
      ""GSC最新!A:F""
    ),
    4,
    FALSE
  ),
  0
)
"),0.0)</f>
        <v>0</v>
      </c>
      <c r="I182" s="49">
        <f>IFERROR(__xludf.DUMMYFUNCTION("IFERROR(
  VLOOKUP(
    A182,
    IMPORTRANGE(
      ""1ZHMy3vVUd_0MrSduXTe1etBb1HNpAlGwQr006ljwMiM"",
      ""GSC最新!A:F""
    ),
    5,
    FALSE
  ),
  0
)
"),0.0)</f>
        <v>0</v>
      </c>
      <c r="J182" s="50" t="str">
        <f t="shared" ref="J182:K182" si="901">IFERROR(F182/H182,"-")</f>
        <v>-</v>
      </c>
      <c r="K182" s="50" t="str">
        <f t="shared" si="901"/>
        <v>-</v>
      </c>
      <c r="L182" s="6">
        <f>IFERROR(__xludf.DUMMYFUNCTION("IFERROR(
  VLOOKUP(
    A182,
    IMPORTRANGE(
      ""1ZHMy3vVUd_0MrSduXTe1etBb1HNpAlGwQr006ljwMiM"",
      ""GSC最新!A:R""
    ),
    7,
    FALSE
  ),
  0
)
"),0.0)</f>
        <v>0</v>
      </c>
      <c r="M182" s="6">
        <f>IFERROR(__xludf.DUMMYFUNCTION("IFERROR(
  VLOOKUP(
    A182,
    IMPORTRANGE(
      ""1ZHMy3vVUd_0MrSduXTe1etBb1HNpAlGwQr006ljwMiM"",
      ""GSC最新!A:R""
    ),
    10,
    FALSE
  ),
  0
)
"),0.0)</f>
        <v>0</v>
      </c>
      <c r="N182" s="6">
        <f>IFERROR(__xludf.DUMMYFUNCTION("IFERROR(
  VLOOKUP(
    A182,
    IMPORTRANGE(
      ""1ZHMy3vVUd_0MrSduXTe1etBb1HNpAlGwQr006ljwMiM"",
      ""GSC最新!A:R""
    ),
    13,
    FALSE
  ),
  0
)
"),0.0)</f>
        <v>0</v>
      </c>
      <c r="O182" s="6">
        <f>IFERROR(__xludf.DUMMYFUNCTION("IFERROR(
  VLOOKUP(
    A182,
    IMPORTRANGE(
      ""1ZHMy3vVUd_0MrSduXTe1etBb1HNpAlGwQr006ljwMiM"",
      ""GSC最新!A:R""
    ),
    16,
    FALSE
  ),
  0
)
"),0.0)</f>
        <v>0</v>
      </c>
      <c r="P182" s="51" t="str">
        <f t="shared" ref="P182:Q182" si="902">IFERROR(L182/N182,"-")</f>
        <v>-</v>
      </c>
      <c r="Q182" s="51" t="str">
        <f t="shared" si="902"/>
        <v>-</v>
      </c>
      <c r="R182" s="9">
        <f>IFERROR(__xludf.DUMMYFUNCTION("IFERROR(
  VLOOKUP(
    A182,
    IMPORTRANGE(
      ""1ZHMy3vVUd_0MrSduXTe1etBb1HNpAlGwQr006ljwMiM"",
      ""GSC最新!A:R""
    ),
    8,
    FALSE
  ),
  0
)
"),0.0)</f>
        <v>0</v>
      </c>
      <c r="S182" s="9">
        <f>IFERROR(__xludf.DUMMYFUNCTION("IFERROR(
  VLOOKUP(
    A182,
    IMPORTRANGE(
      ""1ZHMy3vVUd_0MrSduXTe1etBb1HNpAlGwQr006ljwMiM"",
      ""GSC最新!A:R""
    ),
    11,
    FALSE
  ),
  0
)
"),0.0)</f>
        <v>0</v>
      </c>
      <c r="T182" s="9">
        <f>IFERROR(__xludf.DUMMYFUNCTION("IFERROR(
  VLOOKUP(
    A182,
    IMPORTRANGE(
      ""1ZHMy3vVUd_0MrSduXTe1etBb1HNpAlGwQr006ljwMiM"",
      ""GSC最新!A:R""
    ),
    14,
    FALSE
  ),
  0
)
"),0.0)</f>
        <v>0</v>
      </c>
      <c r="U182" s="9">
        <f>IFERROR(__xludf.DUMMYFUNCTION("IFERROR(
  VLOOKUP(
    A182,
    IMPORTRANGE(
      ""1ZHMy3vVUd_0MrSduXTe1etBb1HNpAlGwQr006ljwMiM"",
      ""GSC最新!A:R""
    ),
    17,
    FALSE
  ),
  0
)
"),0.0)</f>
        <v>0</v>
      </c>
      <c r="V182" s="9">
        <f t="shared" ref="V182:W182" si="903">IFERROR(R182-T182,"-")</f>
        <v>0</v>
      </c>
      <c r="W182" s="9">
        <f t="shared" si="903"/>
        <v>0</v>
      </c>
      <c r="X182" s="65" t="str">
        <f>IFERROR(__xludf.DUMMYFUNCTION("IFERROR(
  VLOOKUP(
    A182,
    IMPORTRANGE(
      ""1ZHMy3vVUd_0MrSduXTe1etBb1HNpAlGwQr006ljwMiM"",
      ""GSC最新!A:R""
    ),
    9,
    FALSE
  ),
  0
)
"),"")</f>
        <v/>
      </c>
      <c r="Y182" s="65" t="str">
        <f>IFERROR(__xludf.DUMMYFUNCTION("IFERROR(
  VLOOKUP(
    A182,
    IMPORTRANGE(
      ""1ZHMy3vVUd_0MrSduXTe1etBb1HNpAlGwQr006ljwMiM"",
      ""GSC最新!A:R""
    ),
    12,
    FALSE
  ),
  0
)
"),"")</f>
        <v/>
      </c>
      <c r="Z182" s="65" t="str">
        <f>IFERROR(__xludf.DUMMYFUNCTION("IFERROR(
  VLOOKUP(
    A182,
    IMPORTRANGE(
      ""1ZHMy3vVUd_0MrSduXTe1etBb1HNpAlGwQr006ljwMiM"",
      ""GSC最新!A:R""
    ),
    15,
    FALSE
  ),
  0
)
"),"")</f>
        <v/>
      </c>
      <c r="AA182" s="65" t="str">
        <f>IFERROR(__xludf.DUMMYFUNCTION("IFERROR(
  VLOOKUP(
    A182,
    IMPORTRANGE(
      ""1ZHMy3vVUd_0MrSduXTe1etBb1HNpAlGwQr006ljwMiM"",
      ""GSC最新!A:R""
    ),
    18,
    FALSE
  ),
  0
)
"),"")</f>
        <v/>
      </c>
      <c r="AB182" s="65">
        <f t="shared" ref="AB182:AC182" si="904">X182-Z182</f>
        <v>0</v>
      </c>
      <c r="AC182" s="65">
        <f t="shared" si="904"/>
        <v>0</v>
      </c>
      <c r="AD182" s="53">
        <f>IFERROR(__xludf.DUMMYFUNCTION("IFERROR(
  VLOOKUP(
    A182,
    IMPORTRANGE(
      ""1ZHMy3vVUd_0MrSduXTe1etBb1HNpAlGwQr006ljwMiM"",
      ""GSC最新!A:F""
    ),
    6,
    FALSE
  ),
  0
)
"),46081.0)</f>
        <v>46081</v>
      </c>
      <c r="AE182" s="54">
        <f>IFERROR(__xludf.DUMMYFUNCTION("IFERROR(
  VLOOKUP(
    A182,
    IMPORTRANGE(
      ""1SCYQd7_cobOYqT0r_F0IqD4tE4rYn5y8Eup4PJTH8es"",
      ""Snapshot!A:M""
    ),
    5,
    FALSE
  ),
  ""-""
)
"),0.0)</f>
        <v>0</v>
      </c>
      <c r="AF182" s="54">
        <f>IFERROR(__xludf.DUMMYFUNCTION("IFERROR(
  VLOOKUP(
    A182,
    IMPORTRANGE(
      ""1SCYQd7_cobOYqT0r_F0IqD4tE4rYn5y8Eup4PJTH8es"",
      ""Snapshot!A:M""
    ),
    6,
    FALSE
  ),
  0
)
"),0.0)</f>
        <v>0</v>
      </c>
      <c r="AG182" s="54">
        <f>IFERROR(__xludf.DUMMYFUNCTION("IFERROR(
  VLOOKUP(
    A182,
    IMPORTRANGE(
      ""1SCYQd7_cobOYqT0r_F0IqD4tE4rYn5y8Eup4PJTH8es"",
      ""Snapshot!A:M""
    ),
    7,
    FALSE
  ),
  0
)
"),836.0)</f>
        <v>836</v>
      </c>
      <c r="AH182" s="54">
        <f>IFERROR(__xludf.DUMMYFUNCTION("IFERROR(
  VLOOKUP(
    A182,
    IMPORTRANGE(
      ""1SCYQd7_cobOYqT0r_F0IqD4tE4rYn5y8Eup4PJTH8es"",
      ""Snapshot!A:M""
    ),
    8,
    FALSE
  ),
  0
)
"),2.0)</f>
        <v>2</v>
      </c>
      <c r="AI182" s="54">
        <f>IFERROR(__xludf.DUMMYFUNCTION("IFERROR(
  VLOOKUP(
    A182,
    IMPORTRANGE(
      ""1SCYQd7_cobOYqT0r_F0IqD4tE4rYn5y8Eup4PJTH8es"",
      ""Snapshot!A:M""
    ),
    9,
    FALSE
  ),
  0
)
"),1.0)</f>
        <v>1</v>
      </c>
      <c r="AJ182" s="54">
        <f>IFERROR(__xludf.DUMMYFUNCTION("IFERROR(
  VLOOKUP(
    A182,
    IMPORTRANGE(
      ""1SCYQd7_cobOYqT0r_F0IqD4tE4rYn5y8Eup4PJTH8es"",
      ""Snapshot!A:M""
    ),
    13,
    FALSE
  ),
  0
)
"),3.0)</f>
        <v>3</v>
      </c>
      <c r="AK182" s="49">
        <f t="shared" ref="AK182:AL182" si="905">LEN(C182)</f>
        <v>70</v>
      </c>
      <c r="AL182" s="49">
        <f t="shared" si="905"/>
        <v>55</v>
      </c>
    </row>
    <row r="183">
      <c r="A183" s="3" t="s">
        <v>670</v>
      </c>
      <c r="B183" s="1" t="str">
        <f>IFERROR(__xludf.DUMMYFUNCTION("IFERROR(
  VLOOKUP(
    A183,
    IMPORTRANGE(
      ""1ZygntHC1J6IxzKbTidmOyf5nUyW4GCLurHCjexrLm_o"",
      ""HTMLキャッシュ!A:F""
    ),
    2,
    FALSE
  ),
  0
)
"),"NW")</f>
        <v>NW</v>
      </c>
      <c r="C183" s="1" t="str">
        <f>IFERROR(__xludf.DUMMYFUNCTION("IFERROR(
  VLOOKUP(
    A183,
    IMPORTRANGE(
      ""1ZygntHC1J6IxzKbTidmOyf5nUyW4GCLurHCjexrLm_o"",
      ""HTMLキャッシュ!A:F""
    ),
    5,
    FALSE
  ),
  0
)
"),"【集団授業】2018年度夏期体験講座、開催のお知らせ【小５対象】 - 受験国語専門 読解ラボ東京 | 中学受験・大学受験対応の個別指導国語専門塾（オンライン・教室対応）")</f>
        <v>【集団授業】2018年度夏期体験講座、開催のお知らせ【小５対象】 - 受験国語専門 読解ラボ東京 | 中学受験・大学受験対応の個別指導国語専門塾（オンライン・教室対応）</v>
      </c>
      <c r="D183" s="1" t="str">
        <f>IFERROR(__xludf.DUMMYFUNCTION("IFERROR(
  VLOOKUP(
    A183,
    IMPORTRANGE(
      ""1ZygntHC1J6IxzKbTidmOyf5nUyW4GCLurHCjexrLm_o        "",
      ""HTMLキャッシュ!A:F""
    ),
    6,
    FALSE
  ),
  0
)
"),"夏休みも目前に迫り、休暇中の計画等にお忙しいところかと思いますが、本日は１点お知らせです。 この度、読解ラボ東")</f>
        <v>夏休みも目前に迫り、休暇中の計画等にお忙しいところかと思いますが、本日は１点お知らせです。 この度、読解ラボ東</v>
      </c>
      <c r="E183" s="32">
        <f>IFERROR(__xludf.DUMMYFUNCTION("IFERROR(
  VLOOKUP(
    A183,
    IMPORTRANGE(
      ""1ZygntHC1J6IxzKbTidmOyf5nUyW4GCLurHCjexrLm_o        "",
      ""HTMLキャッシュ!A:F""
    ),
    3,
    FALSE
  ),
  0
)
"),43269.669074074074)</f>
        <v>43269.66907</v>
      </c>
      <c r="F183" s="49">
        <f>IFERROR(__xludf.DUMMYFUNCTION("IFERROR(
  VLOOKUP(
    A183,
    IMPORTRANGE(
      ""1ZHMy3vVUd_0MrSduXTe1etBb1HNpAlGwQr006ljwMiM"",
      ""GSC最新!A:F""
    ),
    2,
    FALSE
  ),
  0
)
"),0.0)</f>
        <v>0</v>
      </c>
      <c r="G183" s="49">
        <f>IFERROR(__xludf.DUMMYFUNCTION("IFERROR(
  VLOOKUP(
    A183,
    IMPORTRANGE(
      ""1ZHMy3vVUd_0MrSduXTe1etBb1HNpAlGwQr006ljwMiM"",
      ""GSC最新!A:F""
    ),
    3,
    FALSE
  ),
  0
)
"),0.0)</f>
        <v>0</v>
      </c>
      <c r="H183" s="49">
        <f>IFERROR(__xludf.DUMMYFUNCTION("IFERROR(
  VLOOKUP(
    A183,
    IMPORTRANGE(
      ""1ZHMy3vVUd_0MrSduXTe1etBb1HNpAlGwQr006ljwMiM"",
      ""GSC最新!A:F""
    ),
    4,
    FALSE
  ),
  0
)
"),0.0)</f>
        <v>0</v>
      </c>
      <c r="I183" s="49">
        <f>IFERROR(__xludf.DUMMYFUNCTION("IFERROR(
  VLOOKUP(
    A183,
    IMPORTRANGE(
      ""1ZHMy3vVUd_0MrSduXTe1etBb1HNpAlGwQr006ljwMiM"",
      ""GSC最新!A:F""
    ),
    5,
    FALSE
  ),
  0
)
"),0.0)</f>
        <v>0</v>
      </c>
      <c r="J183" s="50" t="str">
        <f t="shared" ref="J183:K183" si="906">IFERROR(F183/H183,"-")</f>
        <v>-</v>
      </c>
      <c r="K183" s="50" t="str">
        <f t="shared" si="906"/>
        <v>-</v>
      </c>
      <c r="L183" s="6">
        <f>IFERROR(__xludf.DUMMYFUNCTION("IFERROR(
  VLOOKUP(
    A183,
    IMPORTRANGE(
      ""1ZHMy3vVUd_0MrSduXTe1etBb1HNpAlGwQr006ljwMiM"",
      ""GSC最新!A:R""
    ),
    7,
    FALSE
  ),
  0
)
"),0.0)</f>
        <v>0</v>
      </c>
      <c r="M183" s="6">
        <f>IFERROR(__xludf.DUMMYFUNCTION("IFERROR(
  VLOOKUP(
    A183,
    IMPORTRANGE(
      ""1ZHMy3vVUd_0MrSduXTe1etBb1HNpAlGwQr006ljwMiM"",
      ""GSC最新!A:R""
    ),
    10,
    FALSE
  ),
  0
)
"),0.0)</f>
        <v>0</v>
      </c>
      <c r="N183" s="6">
        <f>IFERROR(__xludf.DUMMYFUNCTION("IFERROR(
  VLOOKUP(
    A183,
    IMPORTRANGE(
      ""1ZHMy3vVUd_0MrSduXTe1etBb1HNpAlGwQr006ljwMiM"",
      ""GSC最新!A:R""
    ),
    13,
    FALSE
  ),
  0
)
"),0.0)</f>
        <v>0</v>
      </c>
      <c r="O183" s="6">
        <f>IFERROR(__xludf.DUMMYFUNCTION("IFERROR(
  VLOOKUP(
    A183,
    IMPORTRANGE(
      ""1ZHMy3vVUd_0MrSduXTe1etBb1HNpAlGwQr006ljwMiM"",
      ""GSC最新!A:R""
    ),
    16,
    FALSE
  ),
  0
)
"),0.0)</f>
        <v>0</v>
      </c>
      <c r="P183" s="51" t="str">
        <f t="shared" ref="P183:Q183" si="907">IFERROR(L183/N183,"-")</f>
        <v>-</v>
      </c>
      <c r="Q183" s="51" t="str">
        <f t="shared" si="907"/>
        <v>-</v>
      </c>
      <c r="R183" s="9">
        <f>IFERROR(__xludf.DUMMYFUNCTION("IFERROR(
  VLOOKUP(
    A183,
    IMPORTRANGE(
      ""1ZHMy3vVUd_0MrSduXTe1etBb1HNpAlGwQr006ljwMiM"",
      ""GSC最新!A:R""
    ),
    8,
    FALSE
  ),
  0
)
"),0.0)</f>
        <v>0</v>
      </c>
      <c r="S183" s="9">
        <f>IFERROR(__xludf.DUMMYFUNCTION("IFERROR(
  VLOOKUP(
    A183,
    IMPORTRANGE(
      ""1ZHMy3vVUd_0MrSduXTe1etBb1HNpAlGwQr006ljwMiM"",
      ""GSC最新!A:R""
    ),
    11,
    FALSE
  ),
  0
)
"),0.0)</f>
        <v>0</v>
      </c>
      <c r="T183" s="9">
        <f>IFERROR(__xludf.DUMMYFUNCTION("IFERROR(
  VLOOKUP(
    A183,
    IMPORTRANGE(
      ""1ZHMy3vVUd_0MrSduXTe1etBb1HNpAlGwQr006ljwMiM"",
      ""GSC最新!A:R""
    ),
    14,
    FALSE
  ),
  0
)
"),0.0)</f>
        <v>0</v>
      </c>
      <c r="U183" s="9">
        <f>IFERROR(__xludf.DUMMYFUNCTION("IFERROR(
  VLOOKUP(
    A183,
    IMPORTRANGE(
      ""1ZHMy3vVUd_0MrSduXTe1etBb1HNpAlGwQr006ljwMiM"",
      ""GSC最新!A:R""
    ),
    17,
    FALSE
  ),
  0
)
"),0.0)</f>
        <v>0</v>
      </c>
      <c r="V183" s="9">
        <f t="shared" ref="V183:W183" si="908">IFERROR(R183-T183,"-")</f>
        <v>0</v>
      </c>
      <c r="W183" s="9">
        <f t="shared" si="908"/>
        <v>0</v>
      </c>
      <c r="X183" s="65" t="str">
        <f>IFERROR(__xludf.DUMMYFUNCTION("IFERROR(
  VLOOKUP(
    A183,
    IMPORTRANGE(
      ""1ZHMy3vVUd_0MrSduXTe1etBb1HNpAlGwQr006ljwMiM"",
      ""GSC最新!A:R""
    ),
    9,
    FALSE
  ),
  0
)
"),"")</f>
        <v/>
      </c>
      <c r="Y183" s="65" t="str">
        <f>IFERROR(__xludf.DUMMYFUNCTION("IFERROR(
  VLOOKUP(
    A183,
    IMPORTRANGE(
      ""1ZHMy3vVUd_0MrSduXTe1etBb1HNpAlGwQr006ljwMiM"",
      ""GSC最新!A:R""
    ),
    12,
    FALSE
  ),
  0
)
"),"")</f>
        <v/>
      </c>
      <c r="Z183" s="65" t="str">
        <f>IFERROR(__xludf.DUMMYFUNCTION("IFERROR(
  VLOOKUP(
    A183,
    IMPORTRANGE(
      ""1ZHMy3vVUd_0MrSduXTe1etBb1HNpAlGwQr006ljwMiM"",
      ""GSC最新!A:R""
    ),
    15,
    FALSE
  ),
  0
)
"),"")</f>
        <v/>
      </c>
      <c r="AA183" s="65" t="str">
        <f>IFERROR(__xludf.DUMMYFUNCTION("IFERROR(
  VLOOKUP(
    A183,
    IMPORTRANGE(
      ""1ZHMy3vVUd_0MrSduXTe1etBb1HNpAlGwQr006ljwMiM"",
      ""GSC最新!A:R""
    ),
    18,
    FALSE
  ),
  0
)
"),"")</f>
        <v/>
      </c>
      <c r="AB183" s="65">
        <f t="shared" ref="AB183:AC183" si="909">X183-Z183</f>
        <v>0</v>
      </c>
      <c r="AC183" s="65">
        <f t="shared" si="909"/>
        <v>0</v>
      </c>
      <c r="AD183" s="53">
        <f>IFERROR(__xludf.DUMMYFUNCTION("IFERROR(
  VLOOKUP(
    A183,
    IMPORTRANGE(
      ""1ZHMy3vVUd_0MrSduXTe1etBb1HNpAlGwQr006ljwMiM"",
      ""GSC最新!A:F""
    ),
    6,
    FALSE
  ),
  0
)
"),46081.0)</f>
        <v>46081</v>
      </c>
      <c r="AE183" s="54">
        <f>IFERROR(__xludf.DUMMYFUNCTION("IFERROR(
  VLOOKUP(
    A183,
    IMPORTRANGE(
      ""1SCYQd7_cobOYqT0r_F0IqD4tE4rYn5y8Eup4PJTH8es"",
      ""Snapshot!A:M""
    ),
    5,
    FALSE
  ),
  ""-""
)
"),1.0)</f>
        <v>1</v>
      </c>
      <c r="AF183" s="54">
        <f>IFERROR(__xludf.DUMMYFUNCTION("IFERROR(
  VLOOKUP(
    A183,
    IMPORTRANGE(
      ""1SCYQd7_cobOYqT0r_F0IqD4tE4rYn5y8Eup4PJTH8es"",
      ""Snapshot!A:M""
    ),
    6,
    FALSE
  ),
  0
)
"),5.0)</f>
        <v>5</v>
      </c>
      <c r="AG183" s="54">
        <f>IFERROR(__xludf.DUMMYFUNCTION("IFERROR(
  VLOOKUP(
    A183,
    IMPORTRANGE(
      ""1SCYQd7_cobOYqT0r_F0IqD4tE4rYn5y8Eup4PJTH8es"",
      ""Snapshot!A:M""
    ),
    7,
    FALSE
  ),
  0
)
"),1008.0)</f>
        <v>1008</v>
      </c>
      <c r="AH183" s="54">
        <f>IFERROR(__xludf.DUMMYFUNCTION("IFERROR(
  VLOOKUP(
    A183,
    IMPORTRANGE(
      ""1SCYQd7_cobOYqT0r_F0IqD4tE4rYn5y8Eup4PJTH8es"",
      ""Snapshot!A:M""
    ),
    8,
    FALSE
  ),
  0
)
"),1.0)</f>
        <v>1</v>
      </c>
      <c r="AI183" s="54">
        <f>IFERROR(__xludf.DUMMYFUNCTION("IFERROR(
  VLOOKUP(
    A183,
    IMPORTRANGE(
      ""1SCYQd7_cobOYqT0r_F0IqD4tE4rYn5y8Eup4PJTH8es"",
      ""Snapshot!A:M""
    ),
    9,
    FALSE
  ),
  0
)
"),1.0)</f>
        <v>1</v>
      </c>
      <c r="AJ183" s="54">
        <f>IFERROR(__xludf.DUMMYFUNCTION("IFERROR(
  VLOOKUP(
    A183,
    IMPORTRANGE(
      ""1SCYQd7_cobOYqT0r_F0IqD4tE4rYn5y8Eup4PJTH8es"",
      ""Snapshot!A:M""
    ),
    13,
    FALSE
  ),
  0
)
"),3.0)</f>
        <v>3</v>
      </c>
      <c r="AK183" s="49">
        <f t="shared" ref="AK183:AL183" si="910">LEN(C183)</f>
        <v>84</v>
      </c>
      <c r="AL183" s="49">
        <f t="shared" si="910"/>
        <v>55</v>
      </c>
    </row>
    <row r="184">
      <c r="A184" s="3" t="s">
        <v>671</v>
      </c>
      <c r="B184" s="1" t="str">
        <f>IFERROR(__xludf.DUMMYFUNCTION("IFERROR(
  VLOOKUP(
    A184,
    IMPORTRANGE(
      ""1ZygntHC1J6IxzKbTidmOyf5nUyW4GCLurHCjexrLm_o"",
      ""HTMLキャッシュ!A:F""
    ),
    2,
    FALSE
  ),
  0
)
"),"NW")</f>
        <v>NW</v>
      </c>
      <c r="C184" s="1" t="str">
        <f>IFERROR(__xludf.DUMMYFUNCTION("IFERROR(
  VLOOKUP(
    A184,
    IMPORTRANGE(
      ""1ZygntHC1J6IxzKbTidmOyf5nUyW4GCLurHCjexrLm_o"",
      ""HTMLキャッシュ!A:F""
    ),
    5,
    FALSE
  ),
  0
)
"),"2019年度春期講習会開催のご案内 - 受験国語専門 読解ラボ東京 | 中学受験・大学受験対応の個別指導国語専門塾（オンライン・教室対応）")</f>
        <v>2019年度春期講習会開催のご案内 - 受験国語専門 読解ラボ東京 | 中学受験・大学受験対応の個別指導国語専門塾（オンライン・教室対応）</v>
      </c>
      <c r="D184" s="1" t="str">
        <f>IFERROR(__xludf.DUMMYFUNCTION("IFERROR(
  VLOOKUP(
    A184,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84" s="32">
        <f>IFERROR(__xludf.DUMMYFUNCTION("IFERROR(
  VLOOKUP(
    A184,
    IMPORTRANGE(
      ""1ZygntHC1J6IxzKbTidmOyf5nUyW4GCLurHCjexrLm_o        "",
      ""HTMLキャッシュ!A:F""
    ),
    3,
    FALSE
  ),
  0
)
"),46015.58710648148)</f>
        <v>46015.58711</v>
      </c>
      <c r="F184" s="49">
        <f>IFERROR(__xludf.DUMMYFUNCTION("IFERROR(
  VLOOKUP(
    A184,
    IMPORTRANGE(
      ""1ZHMy3vVUd_0MrSduXTe1etBb1HNpAlGwQr006ljwMiM"",
      ""GSC最新!A:F""
    ),
    2,
    FALSE
  ),
  0
)
"),0.0)</f>
        <v>0</v>
      </c>
      <c r="G184" s="49">
        <f>IFERROR(__xludf.DUMMYFUNCTION("IFERROR(
  VLOOKUP(
    A184,
    IMPORTRANGE(
      ""1ZHMy3vVUd_0MrSduXTe1etBb1HNpAlGwQr006ljwMiM"",
      ""GSC最新!A:F""
    ),
    3,
    FALSE
  ),
  0
)
"),0.0)</f>
        <v>0</v>
      </c>
      <c r="H184" s="49">
        <f>IFERROR(__xludf.DUMMYFUNCTION("IFERROR(
  VLOOKUP(
    A184,
    IMPORTRANGE(
      ""1ZHMy3vVUd_0MrSduXTe1etBb1HNpAlGwQr006ljwMiM"",
      ""GSC最新!A:F""
    ),
    4,
    FALSE
  ),
  0
)
"),0.0)</f>
        <v>0</v>
      </c>
      <c r="I184" s="49">
        <f>IFERROR(__xludf.DUMMYFUNCTION("IFERROR(
  VLOOKUP(
    A184,
    IMPORTRANGE(
      ""1ZHMy3vVUd_0MrSduXTe1etBb1HNpAlGwQr006ljwMiM"",
      ""GSC最新!A:F""
    ),
    5,
    FALSE
  ),
  0
)
"),0.0)</f>
        <v>0</v>
      </c>
      <c r="J184" s="50" t="str">
        <f t="shared" ref="J184:K184" si="911">IFERROR(F184/H184,"-")</f>
        <v>-</v>
      </c>
      <c r="K184" s="50" t="str">
        <f t="shared" si="911"/>
        <v>-</v>
      </c>
      <c r="L184" s="6">
        <f>IFERROR(__xludf.DUMMYFUNCTION("IFERROR(
  VLOOKUP(
    A184,
    IMPORTRANGE(
      ""1ZHMy3vVUd_0MrSduXTe1etBb1HNpAlGwQr006ljwMiM"",
      ""GSC最新!A:R""
    ),
    7,
    FALSE
  ),
  0
)
"),0.0)</f>
        <v>0</v>
      </c>
      <c r="M184" s="6">
        <f>IFERROR(__xludf.DUMMYFUNCTION("IFERROR(
  VLOOKUP(
    A184,
    IMPORTRANGE(
      ""1ZHMy3vVUd_0MrSduXTe1etBb1HNpAlGwQr006ljwMiM"",
      ""GSC最新!A:R""
    ),
    10,
    FALSE
  ),
  0
)
"),0.0)</f>
        <v>0</v>
      </c>
      <c r="N184" s="6">
        <f>IFERROR(__xludf.DUMMYFUNCTION("IFERROR(
  VLOOKUP(
    A184,
    IMPORTRANGE(
      ""1ZHMy3vVUd_0MrSduXTe1etBb1HNpAlGwQr006ljwMiM"",
      ""GSC最新!A:R""
    ),
    13,
    FALSE
  ),
  0
)
"),0.0)</f>
        <v>0</v>
      </c>
      <c r="O184" s="6">
        <f>IFERROR(__xludf.DUMMYFUNCTION("IFERROR(
  VLOOKUP(
    A184,
    IMPORTRANGE(
      ""1ZHMy3vVUd_0MrSduXTe1etBb1HNpAlGwQr006ljwMiM"",
      ""GSC最新!A:R""
    ),
    16,
    FALSE
  ),
  0
)
"),0.0)</f>
        <v>0</v>
      </c>
      <c r="P184" s="51" t="str">
        <f t="shared" ref="P184:Q184" si="912">IFERROR(L184/N184,"-")</f>
        <v>-</v>
      </c>
      <c r="Q184" s="51" t="str">
        <f t="shared" si="912"/>
        <v>-</v>
      </c>
      <c r="R184" s="9">
        <f>IFERROR(__xludf.DUMMYFUNCTION("IFERROR(
  VLOOKUP(
    A184,
    IMPORTRANGE(
      ""1ZHMy3vVUd_0MrSduXTe1etBb1HNpAlGwQr006ljwMiM"",
      ""GSC最新!A:R""
    ),
    8,
    FALSE
  ),
  0
)
"),0.0)</f>
        <v>0</v>
      </c>
      <c r="S184" s="9">
        <f>IFERROR(__xludf.DUMMYFUNCTION("IFERROR(
  VLOOKUP(
    A184,
    IMPORTRANGE(
      ""1ZHMy3vVUd_0MrSduXTe1etBb1HNpAlGwQr006ljwMiM"",
      ""GSC最新!A:R""
    ),
    11,
    FALSE
  ),
  0
)
"),0.0)</f>
        <v>0</v>
      </c>
      <c r="T184" s="9">
        <f>IFERROR(__xludf.DUMMYFUNCTION("IFERROR(
  VLOOKUP(
    A184,
    IMPORTRANGE(
      ""1ZHMy3vVUd_0MrSduXTe1etBb1HNpAlGwQr006ljwMiM"",
      ""GSC最新!A:R""
    ),
    14,
    FALSE
  ),
  0
)
"),0.0)</f>
        <v>0</v>
      </c>
      <c r="U184" s="9">
        <f>IFERROR(__xludf.DUMMYFUNCTION("IFERROR(
  VLOOKUP(
    A184,
    IMPORTRANGE(
      ""1ZHMy3vVUd_0MrSduXTe1etBb1HNpAlGwQr006ljwMiM"",
      ""GSC最新!A:R""
    ),
    17,
    FALSE
  ),
  0
)
"),0.0)</f>
        <v>0</v>
      </c>
      <c r="V184" s="9">
        <f t="shared" ref="V184:W184" si="913">IFERROR(R184-T184,"-")</f>
        <v>0</v>
      </c>
      <c r="W184" s="9">
        <f t="shared" si="913"/>
        <v>0</v>
      </c>
      <c r="X184" s="65" t="str">
        <f>IFERROR(__xludf.DUMMYFUNCTION("IFERROR(
  VLOOKUP(
    A184,
    IMPORTRANGE(
      ""1ZHMy3vVUd_0MrSduXTe1etBb1HNpAlGwQr006ljwMiM"",
      ""GSC最新!A:R""
    ),
    9,
    FALSE
  ),
  0
)
"),"")</f>
        <v/>
      </c>
      <c r="Y184" s="65" t="str">
        <f>IFERROR(__xludf.DUMMYFUNCTION("IFERROR(
  VLOOKUP(
    A184,
    IMPORTRANGE(
      ""1ZHMy3vVUd_0MrSduXTe1etBb1HNpAlGwQr006ljwMiM"",
      ""GSC最新!A:R""
    ),
    12,
    FALSE
  ),
  0
)
"),"")</f>
        <v/>
      </c>
      <c r="Z184" s="65" t="str">
        <f>IFERROR(__xludf.DUMMYFUNCTION("IFERROR(
  VLOOKUP(
    A184,
    IMPORTRANGE(
      ""1ZHMy3vVUd_0MrSduXTe1etBb1HNpAlGwQr006ljwMiM"",
      ""GSC最新!A:R""
    ),
    15,
    FALSE
  ),
  0
)
"),"")</f>
        <v/>
      </c>
      <c r="AA184" s="65" t="str">
        <f>IFERROR(__xludf.DUMMYFUNCTION("IFERROR(
  VLOOKUP(
    A184,
    IMPORTRANGE(
      ""1ZHMy3vVUd_0MrSduXTe1etBb1HNpAlGwQr006ljwMiM"",
      ""GSC最新!A:R""
    ),
    18,
    FALSE
  ),
  0
)
"),"")</f>
        <v/>
      </c>
      <c r="AB184" s="65">
        <f t="shared" ref="AB184:AC184" si="914">X184-Z184</f>
        <v>0</v>
      </c>
      <c r="AC184" s="65">
        <f t="shared" si="914"/>
        <v>0</v>
      </c>
      <c r="AD184" s="53">
        <f>IFERROR(__xludf.DUMMYFUNCTION("IFERROR(
  VLOOKUP(
    A184,
    IMPORTRANGE(
      ""1ZHMy3vVUd_0MrSduXTe1etBb1HNpAlGwQr006ljwMiM"",
      ""GSC最新!A:F""
    ),
    6,
    FALSE
  ),
  0
)
"),46081.0)</f>
        <v>46081</v>
      </c>
      <c r="AE184" s="54">
        <f>IFERROR(__xludf.DUMMYFUNCTION("IFERROR(
  VLOOKUP(
    A184,
    IMPORTRANGE(
      ""1SCYQd7_cobOYqT0r_F0IqD4tE4rYn5y8Eup4PJTH8es"",
      ""Snapshot!A:M""
    ),
    5,
    FALSE
  ),
  ""-""
)
"),0.0)</f>
        <v>0</v>
      </c>
      <c r="AF184" s="54">
        <f>IFERROR(__xludf.DUMMYFUNCTION("IFERROR(
  VLOOKUP(
    A184,
    IMPORTRANGE(
      ""1SCYQd7_cobOYqT0r_F0IqD4tE4rYn5y8Eup4PJTH8es"",
      ""Snapshot!A:M""
    ),
    6,
    FALSE
  ),
  0
)
"),0.0)</f>
        <v>0</v>
      </c>
      <c r="AG184" s="54">
        <f>IFERROR(__xludf.DUMMYFUNCTION("IFERROR(
  VLOOKUP(
    A184,
    IMPORTRANGE(
      ""1SCYQd7_cobOYqT0r_F0IqD4tE4rYn5y8Eup4PJTH8es"",
      ""Snapshot!A:M""
    ),
    7,
    FALSE
  ),
  0
)
"),738.0)</f>
        <v>738</v>
      </c>
      <c r="AH184" s="54">
        <f>IFERROR(__xludf.DUMMYFUNCTION("IFERROR(
  VLOOKUP(
    A184,
    IMPORTRANGE(
      ""1SCYQd7_cobOYqT0r_F0IqD4tE4rYn5y8Eup4PJTH8es"",
      ""Snapshot!A:M""
    ),
    8,
    FALSE
  ),
  0
)
"),2.0)</f>
        <v>2</v>
      </c>
      <c r="AI184" s="54">
        <f>IFERROR(__xludf.DUMMYFUNCTION("IFERROR(
  VLOOKUP(
    A184,
    IMPORTRANGE(
      ""1SCYQd7_cobOYqT0r_F0IqD4tE4rYn5y8Eup4PJTH8es"",
      ""Snapshot!A:M""
    ),
    9,
    FALSE
  ),
  0
)
"),1.0)</f>
        <v>1</v>
      </c>
      <c r="AJ184" s="54">
        <f>IFERROR(__xludf.DUMMYFUNCTION("IFERROR(
  VLOOKUP(
    A184,
    IMPORTRANGE(
      ""1SCYQd7_cobOYqT0r_F0IqD4tE4rYn5y8Eup4PJTH8es"",
      ""Snapshot!A:M""
    ),
    13,
    FALSE
  ),
  0
)
"),3.0)</f>
        <v>3</v>
      </c>
      <c r="AK184" s="49">
        <f t="shared" ref="AK184:AL184" si="915">LEN(C184)</f>
        <v>69</v>
      </c>
      <c r="AL184" s="49">
        <f t="shared" si="915"/>
        <v>55</v>
      </c>
    </row>
    <row r="185">
      <c r="A185" s="3" t="s">
        <v>672</v>
      </c>
      <c r="B185" s="1" t="str">
        <f>IFERROR(__xludf.DUMMYFUNCTION("IFERROR(
  VLOOKUP(
    A185,
    IMPORTRANGE(
      ""1ZygntHC1J6IxzKbTidmOyf5nUyW4GCLurHCjexrLm_o"",
      ""HTMLキャッシュ!A:F""
    ),
    2,
    FALSE
  ),
  0
)
"),"NW")</f>
        <v>NW</v>
      </c>
      <c r="C185" s="1" t="str">
        <f>IFERROR(__xludf.DUMMYFUNCTION("IFERROR(
  VLOOKUP(
    A185,
    IMPORTRANGE(
      ""1ZygntHC1J6IxzKbTidmOyf5nUyW4GCLurHCjexrLm_o"",
      ""HTMLキャッシュ!A:F""
    ),
    5,
    FALSE
  ),
  0
)
"),"2020年度生徒募集のお知らせ【個別】 - 受験国語専門 読解ラボ東京 | 中学受験・大学受験対応の個別指導国語専門塾（オンライン・教室対応）")</f>
        <v>2020年度生徒募集のお知らせ【個別】 - 受験国語専門 読解ラボ東京 | 中学受験・大学受験対応の個別指導国語専門塾（オンライン・教室対応）</v>
      </c>
      <c r="D185" s="1" t="str">
        <f>IFERROR(__xludf.DUMMYFUNCTION("IFERROR(
  VLOOKUP(
    A185,
    IMPORTRANGE(
      ""1ZygntHC1J6IxzKbTidmOyf5nUyW4GCLurHCjexrLm_o        "",
      ""HTMLキャッシュ!A:F""
    ),
    6,
    FALSE
  ),
  0
)
"),"本日より、2020年度、「完全１対１」の個別指導の生徒募集を開始致します。 詳細については、下記をご覧下さいま")</f>
        <v>本日より、2020年度、「完全１対１」の個別指導の生徒募集を開始致します。 詳細については、下記をご覧下さいま</v>
      </c>
      <c r="E185" s="32">
        <f>IFERROR(__xludf.DUMMYFUNCTION("IFERROR(
  VLOOKUP(
    A185,
    IMPORTRANGE(
      ""1ZygntHC1J6IxzKbTidmOyf5nUyW4GCLurHCjexrLm_o        "",
      ""HTMLキャッシュ!A:F""
    ),
    3,
    FALSE
  ),
  0
)
"),43838.56885416667)</f>
        <v>43838.56885</v>
      </c>
      <c r="F185" s="49">
        <f>IFERROR(__xludf.DUMMYFUNCTION("IFERROR(
  VLOOKUP(
    A185,
    IMPORTRANGE(
      ""1ZHMy3vVUd_0MrSduXTe1etBb1HNpAlGwQr006ljwMiM"",
      ""GSC最新!A:F""
    ),
    2,
    FALSE
  ),
  0
)
"),0.0)</f>
        <v>0</v>
      </c>
      <c r="G185" s="49">
        <f>IFERROR(__xludf.DUMMYFUNCTION("IFERROR(
  VLOOKUP(
    A185,
    IMPORTRANGE(
      ""1ZHMy3vVUd_0MrSduXTe1etBb1HNpAlGwQr006ljwMiM"",
      ""GSC最新!A:F""
    ),
    3,
    FALSE
  ),
  0
)
"),0.0)</f>
        <v>0</v>
      </c>
      <c r="H185" s="49">
        <f>IFERROR(__xludf.DUMMYFUNCTION("IFERROR(
  VLOOKUP(
    A185,
    IMPORTRANGE(
      ""1ZHMy3vVUd_0MrSduXTe1etBb1HNpAlGwQr006ljwMiM"",
      ""GSC最新!A:F""
    ),
    4,
    FALSE
  ),
  0
)
"),0.0)</f>
        <v>0</v>
      </c>
      <c r="I185" s="49">
        <f>IFERROR(__xludf.DUMMYFUNCTION("IFERROR(
  VLOOKUP(
    A185,
    IMPORTRANGE(
      ""1ZHMy3vVUd_0MrSduXTe1etBb1HNpAlGwQr006ljwMiM"",
      ""GSC最新!A:F""
    ),
    5,
    FALSE
  ),
  0
)
"),0.0)</f>
        <v>0</v>
      </c>
      <c r="J185" s="50" t="str">
        <f t="shared" ref="J185:K185" si="916">IFERROR(F185/H185,"-")</f>
        <v>-</v>
      </c>
      <c r="K185" s="50" t="str">
        <f t="shared" si="916"/>
        <v>-</v>
      </c>
      <c r="L185" s="6">
        <f>IFERROR(__xludf.DUMMYFUNCTION("IFERROR(
  VLOOKUP(
    A185,
    IMPORTRANGE(
      ""1ZHMy3vVUd_0MrSduXTe1etBb1HNpAlGwQr006ljwMiM"",
      ""GSC最新!A:R""
    ),
    7,
    FALSE
  ),
  0
)
"),0.0)</f>
        <v>0</v>
      </c>
      <c r="M185" s="6">
        <f>IFERROR(__xludf.DUMMYFUNCTION("IFERROR(
  VLOOKUP(
    A185,
    IMPORTRANGE(
      ""1ZHMy3vVUd_0MrSduXTe1etBb1HNpAlGwQr006ljwMiM"",
      ""GSC最新!A:R""
    ),
    10,
    FALSE
  ),
  0
)
"),0.0)</f>
        <v>0</v>
      </c>
      <c r="N185" s="6">
        <f>IFERROR(__xludf.DUMMYFUNCTION("IFERROR(
  VLOOKUP(
    A185,
    IMPORTRANGE(
      ""1ZHMy3vVUd_0MrSduXTe1etBb1HNpAlGwQr006ljwMiM"",
      ""GSC最新!A:R""
    ),
    13,
    FALSE
  ),
  0
)
"),0.0)</f>
        <v>0</v>
      </c>
      <c r="O185" s="6">
        <f>IFERROR(__xludf.DUMMYFUNCTION("IFERROR(
  VLOOKUP(
    A185,
    IMPORTRANGE(
      ""1ZHMy3vVUd_0MrSduXTe1etBb1HNpAlGwQr006ljwMiM"",
      ""GSC最新!A:R""
    ),
    16,
    FALSE
  ),
  0
)
"),0.0)</f>
        <v>0</v>
      </c>
      <c r="P185" s="51" t="str">
        <f t="shared" ref="P185:Q185" si="917">IFERROR(L185/N185,"-")</f>
        <v>-</v>
      </c>
      <c r="Q185" s="51" t="str">
        <f t="shared" si="917"/>
        <v>-</v>
      </c>
      <c r="R185" s="9">
        <f>IFERROR(__xludf.DUMMYFUNCTION("IFERROR(
  VLOOKUP(
    A185,
    IMPORTRANGE(
      ""1ZHMy3vVUd_0MrSduXTe1etBb1HNpAlGwQr006ljwMiM"",
      ""GSC最新!A:R""
    ),
    8,
    FALSE
  ),
  0
)
"),0.0)</f>
        <v>0</v>
      </c>
      <c r="S185" s="9">
        <f>IFERROR(__xludf.DUMMYFUNCTION("IFERROR(
  VLOOKUP(
    A185,
    IMPORTRANGE(
      ""1ZHMy3vVUd_0MrSduXTe1etBb1HNpAlGwQr006ljwMiM"",
      ""GSC最新!A:R""
    ),
    11,
    FALSE
  ),
  0
)
"),0.0)</f>
        <v>0</v>
      </c>
      <c r="T185" s="9">
        <f>IFERROR(__xludf.DUMMYFUNCTION("IFERROR(
  VLOOKUP(
    A185,
    IMPORTRANGE(
      ""1ZHMy3vVUd_0MrSduXTe1etBb1HNpAlGwQr006ljwMiM"",
      ""GSC最新!A:R""
    ),
    14,
    FALSE
  ),
  0
)
"),0.0)</f>
        <v>0</v>
      </c>
      <c r="U185" s="9">
        <f>IFERROR(__xludf.DUMMYFUNCTION("IFERROR(
  VLOOKUP(
    A185,
    IMPORTRANGE(
      ""1ZHMy3vVUd_0MrSduXTe1etBb1HNpAlGwQr006ljwMiM"",
      ""GSC最新!A:R""
    ),
    17,
    FALSE
  ),
  0
)
"),0.0)</f>
        <v>0</v>
      </c>
      <c r="V185" s="9">
        <f t="shared" ref="V185:W185" si="918">IFERROR(R185-T185,"-")</f>
        <v>0</v>
      </c>
      <c r="W185" s="9">
        <f t="shared" si="918"/>
        <v>0</v>
      </c>
      <c r="X185" s="65" t="str">
        <f>IFERROR(__xludf.DUMMYFUNCTION("IFERROR(
  VLOOKUP(
    A185,
    IMPORTRANGE(
      ""1ZHMy3vVUd_0MrSduXTe1etBb1HNpAlGwQr006ljwMiM"",
      ""GSC最新!A:R""
    ),
    9,
    FALSE
  ),
  0
)
"),"")</f>
        <v/>
      </c>
      <c r="Y185" s="65" t="str">
        <f>IFERROR(__xludf.DUMMYFUNCTION("IFERROR(
  VLOOKUP(
    A185,
    IMPORTRANGE(
      ""1ZHMy3vVUd_0MrSduXTe1etBb1HNpAlGwQr006ljwMiM"",
      ""GSC最新!A:R""
    ),
    12,
    FALSE
  ),
  0
)
"),"")</f>
        <v/>
      </c>
      <c r="Z185" s="65" t="str">
        <f>IFERROR(__xludf.DUMMYFUNCTION("IFERROR(
  VLOOKUP(
    A185,
    IMPORTRANGE(
      ""1ZHMy3vVUd_0MrSduXTe1etBb1HNpAlGwQr006ljwMiM"",
      ""GSC最新!A:R""
    ),
    15,
    FALSE
  ),
  0
)
"),"")</f>
        <v/>
      </c>
      <c r="AA185" s="65" t="str">
        <f>IFERROR(__xludf.DUMMYFUNCTION("IFERROR(
  VLOOKUP(
    A185,
    IMPORTRANGE(
      ""1ZHMy3vVUd_0MrSduXTe1etBb1HNpAlGwQr006ljwMiM"",
      ""GSC最新!A:R""
    ),
    18,
    FALSE
  ),
  0
)
"),"")</f>
        <v/>
      </c>
      <c r="AB185" s="65">
        <f t="shared" ref="AB185:AC185" si="919">X185-Z185</f>
        <v>0</v>
      </c>
      <c r="AC185" s="65">
        <f t="shared" si="919"/>
        <v>0</v>
      </c>
      <c r="AD185" s="53">
        <f>IFERROR(__xludf.DUMMYFUNCTION("IFERROR(
  VLOOKUP(
    A185,
    IMPORTRANGE(
      ""1ZHMy3vVUd_0MrSduXTe1etBb1HNpAlGwQr006ljwMiM"",
      ""GSC最新!A:F""
    ),
    6,
    FALSE
  ),
  0
)
"),46081.0)</f>
        <v>46081</v>
      </c>
      <c r="AE185" s="54">
        <f>IFERROR(__xludf.DUMMYFUNCTION("IFERROR(
  VLOOKUP(
    A185,
    IMPORTRANGE(
      ""1SCYQd7_cobOYqT0r_F0IqD4tE4rYn5y8Eup4PJTH8es"",
      ""Snapshot!A:M""
    ),
    5,
    FALSE
  ),
  ""-""
)
"),0.0)</f>
        <v>0</v>
      </c>
      <c r="AF185" s="54">
        <f>IFERROR(__xludf.DUMMYFUNCTION("IFERROR(
  VLOOKUP(
    A185,
    IMPORTRANGE(
      ""1SCYQd7_cobOYqT0r_F0IqD4tE4rYn5y8Eup4PJTH8es"",
      ""Snapshot!A:M""
    ),
    6,
    FALSE
  ),
  0
)
"),0.0)</f>
        <v>0</v>
      </c>
      <c r="AG185" s="54">
        <f>IFERROR(__xludf.DUMMYFUNCTION("IFERROR(
  VLOOKUP(
    A185,
    IMPORTRANGE(
      ""1SCYQd7_cobOYqT0r_F0IqD4tE4rYn5y8Eup4PJTH8es"",
      ""Snapshot!A:M""
    ),
    7,
    FALSE
  ),
  0
)
"),422.0)</f>
        <v>422</v>
      </c>
      <c r="AH185" s="54">
        <f>IFERROR(__xludf.DUMMYFUNCTION("IFERROR(
  VLOOKUP(
    A185,
    IMPORTRANGE(
      ""1SCYQd7_cobOYqT0r_F0IqD4tE4rYn5y8Eup4PJTH8es"",
      ""Snapshot!A:M""
    ),
    8,
    FALSE
  ),
  0
)
"),3.0)</f>
        <v>3</v>
      </c>
      <c r="AI185" s="54">
        <f>IFERROR(__xludf.DUMMYFUNCTION("IFERROR(
  VLOOKUP(
    A185,
    IMPORTRANGE(
      ""1SCYQd7_cobOYqT0r_F0IqD4tE4rYn5y8Eup4PJTH8es"",
      ""Snapshot!A:M""
    ),
    9,
    FALSE
  ),
  0
)
"),1.0)</f>
        <v>1</v>
      </c>
      <c r="AJ185" s="54">
        <f>IFERROR(__xludf.DUMMYFUNCTION("IFERROR(
  VLOOKUP(
    A185,
    IMPORTRANGE(
      ""1SCYQd7_cobOYqT0r_F0IqD4tE4rYn5y8Eup4PJTH8es"",
      ""Snapshot!A:M""
    ),
    13,
    FALSE
  ),
  0
)
"),3.0)</f>
        <v>3</v>
      </c>
      <c r="AK185" s="49">
        <f t="shared" ref="AK185:AL185" si="920">LEN(C185)</f>
        <v>71</v>
      </c>
      <c r="AL185" s="49">
        <f t="shared" si="920"/>
        <v>55</v>
      </c>
    </row>
    <row r="186">
      <c r="A186" s="3" t="s">
        <v>673</v>
      </c>
      <c r="B186" s="1" t="str">
        <f>IFERROR(__xludf.DUMMYFUNCTION("IFERROR(
  VLOOKUP(
    A186,
    IMPORTRANGE(
      ""1ZygntHC1J6IxzKbTidmOyf5nUyW4GCLurHCjexrLm_o"",
      ""HTMLキャッシュ!A:F""
    ),
    2,
    FALSE
  ),
  0
)
"),"NW")</f>
        <v>NW</v>
      </c>
      <c r="C186" s="1" t="str">
        <f>IFERROR(__xludf.DUMMYFUNCTION("IFERROR(
  VLOOKUP(
    A186,
    IMPORTRANGE(
      ""1ZygntHC1J6IxzKbTidmOyf5nUyW4GCLurHCjexrLm_o"",
      ""HTMLキャッシュ!A:F""
    ),
    5,
    FALSE
  ),
  0
)
"),"2020年度生徒募集のお知らせ【Basis】 - 受験国語専門 読解ラボ東京 | 中学受験・大学受験対応の個別指導国語専門塾（オンライン・教室対応）")</f>
        <v>2020年度生徒募集のお知らせ【Basis】 - 受験国語専門 読解ラボ東京 | 中学受験・大学受験対応の個別指導国語専門塾（オンライン・教室対応）</v>
      </c>
      <c r="D186" s="1" t="str">
        <f>IFERROR(__xludf.DUMMYFUNCTION("IFERROR(
  VLOOKUP(
    A186,
    IMPORTRANGE(
      ""1ZygntHC1J6IxzKbTidmOyf5nUyW4GCLurHCjexrLm_o        "",
      ""HTMLキャッシュ!A:F""
    ),
    6,
    FALSE
  ),
  0
)
"),"本日より、2019年度、長島式読解講座「Basis」の個別指導の生徒募集を開始致します。 詳細については、下記")</f>
        <v>本日より、2019年度、長島式読解講座「Basis」の個別指導の生徒募集を開始致します。 詳細については、下記</v>
      </c>
      <c r="E186" s="32">
        <f>IFERROR(__xludf.DUMMYFUNCTION("IFERROR(
  VLOOKUP(
    A186,
    IMPORTRANGE(
      ""1ZygntHC1J6IxzKbTidmOyf5nUyW4GCLurHCjexrLm_o        "",
      ""HTMLキャッシュ!A:F""
    ),
    3,
    FALSE
  ),
  0
)
"),43838.54369212963)</f>
        <v>43838.54369</v>
      </c>
      <c r="F186" s="49">
        <f>IFERROR(__xludf.DUMMYFUNCTION("IFERROR(
  VLOOKUP(
    A186,
    IMPORTRANGE(
      ""1ZHMy3vVUd_0MrSduXTe1etBb1HNpAlGwQr006ljwMiM"",
      ""GSC最新!A:F""
    ),
    2,
    FALSE
  ),
  0
)
"),0.0)</f>
        <v>0</v>
      </c>
      <c r="G186" s="49">
        <f>IFERROR(__xludf.DUMMYFUNCTION("IFERROR(
  VLOOKUP(
    A186,
    IMPORTRANGE(
      ""1ZHMy3vVUd_0MrSduXTe1etBb1HNpAlGwQr006ljwMiM"",
      ""GSC最新!A:F""
    ),
    3,
    FALSE
  ),
  0
)
"),0.0)</f>
        <v>0</v>
      </c>
      <c r="H186" s="49">
        <f>IFERROR(__xludf.DUMMYFUNCTION("IFERROR(
  VLOOKUP(
    A186,
    IMPORTRANGE(
      ""1ZHMy3vVUd_0MrSduXTe1etBb1HNpAlGwQr006ljwMiM"",
      ""GSC最新!A:F""
    ),
    4,
    FALSE
  ),
  0
)
"),0.0)</f>
        <v>0</v>
      </c>
      <c r="I186" s="49">
        <f>IFERROR(__xludf.DUMMYFUNCTION("IFERROR(
  VLOOKUP(
    A186,
    IMPORTRANGE(
      ""1ZHMy3vVUd_0MrSduXTe1etBb1HNpAlGwQr006ljwMiM"",
      ""GSC最新!A:F""
    ),
    5,
    FALSE
  ),
  0
)
"),0.0)</f>
        <v>0</v>
      </c>
      <c r="J186" s="50" t="str">
        <f t="shared" ref="J186:K186" si="921">IFERROR(F186/H186,"-")</f>
        <v>-</v>
      </c>
      <c r="K186" s="50" t="str">
        <f t="shared" si="921"/>
        <v>-</v>
      </c>
      <c r="L186" s="6">
        <f>IFERROR(__xludf.DUMMYFUNCTION("IFERROR(
  VLOOKUP(
    A186,
    IMPORTRANGE(
      ""1ZHMy3vVUd_0MrSduXTe1etBb1HNpAlGwQr006ljwMiM"",
      ""GSC最新!A:R""
    ),
    7,
    FALSE
  ),
  0
)
"),0.0)</f>
        <v>0</v>
      </c>
      <c r="M186" s="6">
        <f>IFERROR(__xludf.DUMMYFUNCTION("IFERROR(
  VLOOKUP(
    A186,
    IMPORTRANGE(
      ""1ZHMy3vVUd_0MrSduXTe1etBb1HNpAlGwQr006ljwMiM"",
      ""GSC最新!A:R""
    ),
    10,
    FALSE
  ),
  0
)
"),1.0)</f>
        <v>1</v>
      </c>
      <c r="N186" s="6">
        <f>IFERROR(__xludf.DUMMYFUNCTION("IFERROR(
  VLOOKUP(
    A186,
    IMPORTRANGE(
      ""1ZHMy3vVUd_0MrSduXTe1etBb1HNpAlGwQr006ljwMiM"",
      ""GSC最新!A:R""
    ),
    13,
    FALSE
  ),
  0
)
"),0.0)</f>
        <v>0</v>
      </c>
      <c r="O186" s="6">
        <f>IFERROR(__xludf.DUMMYFUNCTION("IFERROR(
  VLOOKUP(
    A186,
    IMPORTRANGE(
      ""1ZHMy3vVUd_0MrSduXTe1etBb1HNpAlGwQr006ljwMiM"",
      ""GSC最新!A:R""
    ),
    16,
    FALSE
  ),
  0
)
"),0.0)</f>
        <v>0</v>
      </c>
      <c r="P186" s="51" t="str">
        <f t="shared" ref="P186:Q186" si="922">IFERROR(L186/N186,"-")</f>
        <v>-</v>
      </c>
      <c r="Q186" s="51" t="str">
        <f t="shared" si="922"/>
        <v>-</v>
      </c>
      <c r="R186" s="9">
        <f>IFERROR(__xludf.DUMMYFUNCTION("IFERROR(
  VLOOKUP(
    A186,
    IMPORTRANGE(
      ""1ZHMy3vVUd_0MrSduXTe1etBb1HNpAlGwQr006ljwMiM"",
      ""GSC最新!A:R""
    ),
    8,
    FALSE
  ),
  0
)
"),0.0)</f>
        <v>0</v>
      </c>
      <c r="S186" s="9">
        <f>IFERROR(__xludf.DUMMYFUNCTION("IFERROR(
  VLOOKUP(
    A186,
    IMPORTRANGE(
      ""1ZHMy3vVUd_0MrSduXTe1etBb1HNpAlGwQr006ljwMiM"",
      ""GSC最新!A:R""
    ),
    11,
    FALSE
  ),
  0
)
"),0.0)</f>
        <v>0</v>
      </c>
      <c r="T186" s="9">
        <f>IFERROR(__xludf.DUMMYFUNCTION("IFERROR(
  VLOOKUP(
    A186,
    IMPORTRANGE(
      ""1ZHMy3vVUd_0MrSduXTe1etBb1HNpAlGwQr006ljwMiM"",
      ""GSC最新!A:R""
    ),
    14,
    FALSE
  ),
  0
)
"),0.0)</f>
        <v>0</v>
      </c>
      <c r="U186" s="9">
        <f>IFERROR(__xludf.DUMMYFUNCTION("IFERROR(
  VLOOKUP(
    A186,
    IMPORTRANGE(
      ""1ZHMy3vVUd_0MrSduXTe1etBb1HNpAlGwQr006ljwMiM"",
      ""GSC最新!A:R""
    ),
    17,
    FALSE
  ),
  0
)
"),0.0)</f>
        <v>0</v>
      </c>
      <c r="V186" s="9">
        <f t="shared" ref="V186:W186" si="923">IFERROR(R186-T186,"-")</f>
        <v>0</v>
      </c>
      <c r="W186" s="9">
        <f t="shared" si="923"/>
        <v>0</v>
      </c>
      <c r="X186" s="65" t="str">
        <f>IFERROR(__xludf.DUMMYFUNCTION("IFERROR(
  VLOOKUP(
    A186,
    IMPORTRANGE(
      ""1ZHMy3vVUd_0MrSduXTe1etBb1HNpAlGwQr006ljwMiM"",
      ""GSC最新!A:R""
    ),
    9,
    FALSE
  ),
  0
)
"),"")</f>
        <v/>
      </c>
      <c r="Y186" s="65">
        <f>IFERROR(__xludf.DUMMYFUNCTION("IFERROR(
  VLOOKUP(
    A186,
    IMPORTRANGE(
      ""1ZHMy3vVUd_0MrSduXTe1etBb1HNpAlGwQr006ljwMiM"",
      ""GSC最新!A:R""
    ),
    12,
    FALSE
  ),
  0
)
"),9.0)</f>
        <v>9</v>
      </c>
      <c r="Z186" s="65" t="str">
        <f>IFERROR(__xludf.DUMMYFUNCTION("IFERROR(
  VLOOKUP(
    A186,
    IMPORTRANGE(
      ""1ZHMy3vVUd_0MrSduXTe1etBb1HNpAlGwQr006ljwMiM"",
      ""GSC最新!A:R""
    ),
    15,
    FALSE
  ),
  0
)
"),"")</f>
        <v/>
      </c>
      <c r="AA186" s="65" t="str">
        <f>IFERROR(__xludf.DUMMYFUNCTION("IFERROR(
  VLOOKUP(
    A186,
    IMPORTRANGE(
      ""1ZHMy3vVUd_0MrSduXTe1etBb1HNpAlGwQr006ljwMiM"",
      ""GSC最新!A:R""
    ),
    18,
    FALSE
  ),
  0
)
"),"")</f>
        <v/>
      </c>
      <c r="AB186" s="65">
        <f t="shared" ref="AB186:AC186" si="924">X186-Z186</f>
        <v>0</v>
      </c>
      <c r="AC186" s="65">
        <f t="shared" si="924"/>
        <v>9</v>
      </c>
      <c r="AD186" s="53">
        <f>IFERROR(__xludf.DUMMYFUNCTION("IFERROR(
  VLOOKUP(
    A186,
    IMPORTRANGE(
      ""1ZHMy3vVUd_0MrSduXTe1etBb1HNpAlGwQr006ljwMiM"",
      ""GSC最新!A:F""
    ),
    6,
    FALSE
  ),
  0
)
"),46081.0)</f>
        <v>46081</v>
      </c>
      <c r="AE186" s="54">
        <f>IFERROR(__xludf.DUMMYFUNCTION("IFERROR(
  VLOOKUP(
    A186,
    IMPORTRANGE(
      ""1SCYQd7_cobOYqT0r_F0IqD4tE4rYn5y8Eup4PJTH8es"",
      ""Snapshot!A:M""
    ),
    5,
    FALSE
  ),
  ""-""
)
"),0.0)</f>
        <v>0</v>
      </c>
      <c r="AF186" s="54">
        <f>IFERROR(__xludf.DUMMYFUNCTION("IFERROR(
  VLOOKUP(
    A186,
    IMPORTRANGE(
      ""1SCYQd7_cobOYqT0r_F0IqD4tE4rYn5y8Eup4PJTH8es"",
      ""Snapshot!A:M""
    ),
    6,
    FALSE
  ),
  0
)
"),0.0)</f>
        <v>0</v>
      </c>
      <c r="AG186" s="54">
        <f>IFERROR(__xludf.DUMMYFUNCTION("IFERROR(
  VLOOKUP(
    A186,
    IMPORTRANGE(
      ""1SCYQd7_cobOYqT0r_F0IqD4tE4rYn5y8Eup4PJTH8es"",
      ""Snapshot!A:M""
    ),
    7,
    FALSE
  ),
  0
)
"),398.0)</f>
        <v>398</v>
      </c>
      <c r="AH186" s="54">
        <f>IFERROR(__xludf.DUMMYFUNCTION("IFERROR(
  VLOOKUP(
    A186,
    IMPORTRANGE(
      ""1SCYQd7_cobOYqT0r_F0IqD4tE4rYn5y8Eup4PJTH8es"",
      ""Snapshot!A:M""
    ),
    8,
    FALSE
  ),
  0
)
"),3.0)</f>
        <v>3</v>
      </c>
      <c r="AI186" s="54">
        <f>IFERROR(__xludf.DUMMYFUNCTION("IFERROR(
  VLOOKUP(
    A186,
    IMPORTRANGE(
      ""1SCYQd7_cobOYqT0r_F0IqD4tE4rYn5y8Eup4PJTH8es"",
      ""Snapshot!A:M""
    ),
    9,
    FALSE
  ),
  0
)
"),1.0)</f>
        <v>1</v>
      </c>
      <c r="AJ186" s="54">
        <f>IFERROR(__xludf.DUMMYFUNCTION("IFERROR(
  VLOOKUP(
    A186,
    IMPORTRANGE(
      ""1SCYQd7_cobOYqT0r_F0IqD4tE4rYn5y8Eup4PJTH8es"",
      ""Snapshot!A:M""
    ),
    13,
    FALSE
  ),
  0
)
"),3.0)</f>
        <v>3</v>
      </c>
      <c r="AK186" s="49">
        <f t="shared" ref="AK186:AL186" si="925">LEN(C186)</f>
        <v>74</v>
      </c>
      <c r="AL186" s="49">
        <f t="shared" si="925"/>
        <v>55</v>
      </c>
    </row>
    <row r="187">
      <c r="A187" s="3" t="s">
        <v>674</v>
      </c>
      <c r="B187" s="1" t="str">
        <f>IFERROR(__xludf.DUMMYFUNCTION("IFERROR(
  VLOOKUP(
    A187,
    IMPORTRANGE(
      ""1ZygntHC1J6IxzKbTidmOyf5nUyW4GCLurHCjexrLm_o"",
      ""HTMLキャッシュ!A:F""
    ),
    2,
    FALSE
  ),
  0
)
"),"NW")</f>
        <v>NW</v>
      </c>
      <c r="C187" s="1" t="str">
        <f>IFERROR(__xludf.DUMMYFUNCTION("IFERROR(
  VLOOKUP(
    A187,
    IMPORTRANGE(
      ""1ZygntHC1J6IxzKbTidmOyf5nUyW4GCLurHCjexrLm_o"",
      ""HTMLキャッシュ!A:F""
    ),
    5,
    FALSE
  ),
  0
)
"),"2020年度春期講習会のお知らせ - 受験国語専門 読解ラボ東京 | 中学受験・大学受験対応の個別指導国語専門塾（オンライン・教室対応）")</f>
        <v>2020年度春期講習会のお知らせ - 受験国語専門 読解ラボ東京 | 中学受験・大学受験対応の個別指導国語専門塾（オンライン・教室対応）</v>
      </c>
      <c r="D187" s="1" t="str">
        <f>IFERROR(__xludf.DUMMYFUNCTION("IFERROR(
  VLOOKUP(
    A187,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87" s="32">
        <f>IFERROR(__xludf.DUMMYFUNCTION("IFERROR(
  VLOOKUP(
    A187,
    IMPORTRANGE(
      ""1ZygntHC1J6IxzKbTidmOyf5nUyW4GCLurHCjexrLm_o        "",
      ""HTMLキャッシュ!A:F""
    ),
    3,
    FALSE
  ),
  0
)
"),46015.58799768519)</f>
        <v>46015.588</v>
      </c>
      <c r="F187" s="49">
        <f>IFERROR(__xludf.DUMMYFUNCTION("IFERROR(
  VLOOKUP(
    A187,
    IMPORTRANGE(
      ""1ZHMy3vVUd_0MrSduXTe1etBb1HNpAlGwQr006ljwMiM"",
      ""GSC最新!A:F""
    ),
    2,
    FALSE
  ),
  0
)
"),0.0)</f>
        <v>0</v>
      </c>
      <c r="G187" s="49">
        <f>IFERROR(__xludf.DUMMYFUNCTION("IFERROR(
  VLOOKUP(
    A187,
    IMPORTRANGE(
      ""1ZHMy3vVUd_0MrSduXTe1etBb1HNpAlGwQr006ljwMiM"",
      ""GSC最新!A:F""
    ),
    3,
    FALSE
  ),
  0
)
"),0.0)</f>
        <v>0</v>
      </c>
      <c r="H187" s="49">
        <f>IFERROR(__xludf.DUMMYFUNCTION("IFERROR(
  VLOOKUP(
    A187,
    IMPORTRANGE(
      ""1ZHMy3vVUd_0MrSduXTe1etBb1HNpAlGwQr006ljwMiM"",
      ""GSC最新!A:F""
    ),
    4,
    FALSE
  ),
  0
)
"),0.0)</f>
        <v>0</v>
      </c>
      <c r="I187" s="49">
        <f>IFERROR(__xludf.DUMMYFUNCTION("IFERROR(
  VLOOKUP(
    A187,
    IMPORTRANGE(
      ""1ZHMy3vVUd_0MrSduXTe1etBb1HNpAlGwQr006ljwMiM"",
      ""GSC最新!A:F""
    ),
    5,
    FALSE
  ),
  0
)
"),0.0)</f>
        <v>0</v>
      </c>
      <c r="J187" s="50" t="str">
        <f t="shared" ref="J187:K187" si="926">IFERROR(F187/H187,"-")</f>
        <v>-</v>
      </c>
      <c r="K187" s="50" t="str">
        <f t="shared" si="926"/>
        <v>-</v>
      </c>
      <c r="L187" s="6">
        <f>IFERROR(__xludf.DUMMYFUNCTION("IFERROR(
  VLOOKUP(
    A187,
    IMPORTRANGE(
      ""1ZHMy3vVUd_0MrSduXTe1etBb1HNpAlGwQr006ljwMiM"",
      ""GSC最新!A:R""
    ),
    7,
    FALSE
  ),
  0
)
"),0.0)</f>
        <v>0</v>
      </c>
      <c r="M187" s="6">
        <f>IFERROR(__xludf.DUMMYFUNCTION("IFERROR(
  VLOOKUP(
    A187,
    IMPORTRANGE(
      ""1ZHMy3vVUd_0MrSduXTe1etBb1HNpAlGwQr006ljwMiM"",
      ""GSC最新!A:R""
    ),
    10,
    FALSE
  ),
  0
)
"),0.0)</f>
        <v>0</v>
      </c>
      <c r="N187" s="6">
        <f>IFERROR(__xludf.DUMMYFUNCTION("IFERROR(
  VLOOKUP(
    A187,
    IMPORTRANGE(
      ""1ZHMy3vVUd_0MrSduXTe1etBb1HNpAlGwQr006ljwMiM"",
      ""GSC最新!A:R""
    ),
    13,
    FALSE
  ),
  0
)
"),0.0)</f>
        <v>0</v>
      </c>
      <c r="O187" s="6">
        <f>IFERROR(__xludf.DUMMYFUNCTION("IFERROR(
  VLOOKUP(
    A187,
    IMPORTRANGE(
      ""1ZHMy3vVUd_0MrSduXTe1etBb1HNpAlGwQr006ljwMiM"",
      ""GSC最新!A:R""
    ),
    16,
    FALSE
  ),
  0
)
"),0.0)</f>
        <v>0</v>
      </c>
      <c r="P187" s="51" t="str">
        <f t="shared" ref="P187:Q187" si="927">IFERROR(L187/N187,"-")</f>
        <v>-</v>
      </c>
      <c r="Q187" s="51" t="str">
        <f t="shared" si="927"/>
        <v>-</v>
      </c>
      <c r="R187" s="9">
        <f>IFERROR(__xludf.DUMMYFUNCTION("IFERROR(
  VLOOKUP(
    A187,
    IMPORTRANGE(
      ""1ZHMy3vVUd_0MrSduXTe1etBb1HNpAlGwQr006ljwMiM"",
      ""GSC最新!A:R""
    ),
    8,
    FALSE
  ),
  0
)
"),0.0)</f>
        <v>0</v>
      </c>
      <c r="S187" s="9">
        <f>IFERROR(__xludf.DUMMYFUNCTION("IFERROR(
  VLOOKUP(
    A187,
    IMPORTRANGE(
      ""1ZHMy3vVUd_0MrSduXTe1etBb1HNpAlGwQr006ljwMiM"",
      ""GSC最新!A:R""
    ),
    11,
    FALSE
  ),
  0
)
"),0.0)</f>
        <v>0</v>
      </c>
      <c r="T187" s="9">
        <f>IFERROR(__xludf.DUMMYFUNCTION("IFERROR(
  VLOOKUP(
    A187,
    IMPORTRANGE(
      ""1ZHMy3vVUd_0MrSduXTe1etBb1HNpAlGwQr006ljwMiM"",
      ""GSC最新!A:R""
    ),
    14,
    FALSE
  ),
  0
)
"),0.0)</f>
        <v>0</v>
      </c>
      <c r="U187" s="9">
        <f>IFERROR(__xludf.DUMMYFUNCTION("IFERROR(
  VLOOKUP(
    A187,
    IMPORTRANGE(
      ""1ZHMy3vVUd_0MrSduXTe1etBb1HNpAlGwQr006ljwMiM"",
      ""GSC最新!A:R""
    ),
    17,
    FALSE
  ),
  0
)
"),0.0)</f>
        <v>0</v>
      </c>
      <c r="V187" s="9">
        <f t="shared" ref="V187:W187" si="928">IFERROR(R187-T187,"-")</f>
        <v>0</v>
      </c>
      <c r="W187" s="9">
        <f t="shared" si="928"/>
        <v>0</v>
      </c>
      <c r="X187" s="65" t="str">
        <f>IFERROR(__xludf.DUMMYFUNCTION("IFERROR(
  VLOOKUP(
    A187,
    IMPORTRANGE(
      ""1ZHMy3vVUd_0MrSduXTe1etBb1HNpAlGwQr006ljwMiM"",
      ""GSC最新!A:R""
    ),
    9,
    FALSE
  ),
  0
)
"),"")</f>
        <v/>
      </c>
      <c r="Y187" s="65" t="str">
        <f>IFERROR(__xludf.DUMMYFUNCTION("IFERROR(
  VLOOKUP(
    A187,
    IMPORTRANGE(
      ""1ZHMy3vVUd_0MrSduXTe1etBb1HNpAlGwQr006ljwMiM"",
      ""GSC最新!A:R""
    ),
    12,
    FALSE
  ),
  0
)
"),"")</f>
        <v/>
      </c>
      <c r="Z187" s="65" t="str">
        <f>IFERROR(__xludf.DUMMYFUNCTION("IFERROR(
  VLOOKUP(
    A187,
    IMPORTRANGE(
      ""1ZHMy3vVUd_0MrSduXTe1etBb1HNpAlGwQr006ljwMiM"",
      ""GSC最新!A:R""
    ),
    15,
    FALSE
  ),
  0
)
"),"")</f>
        <v/>
      </c>
      <c r="AA187" s="65" t="str">
        <f>IFERROR(__xludf.DUMMYFUNCTION("IFERROR(
  VLOOKUP(
    A187,
    IMPORTRANGE(
      ""1ZHMy3vVUd_0MrSduXTe1etBb1HNpAlGwQr006ljwMiM"",
      ""GSC最新!A:R""
    ),
    18,
    FALSE
  ),
  0
)
"),"")</f>
        <v/>
      </c>
      <c r="AB187" s="65">
        <f t="shared" ref="AB187:AC187" si="929">X187-Z187</f>
        <v>0</v>
      </c>
      <c r="AC187" s="65">
        <f t="shared" si="929"/>
        <v>0</v>
      </c>
      <c r="AD187" s="53">
        <f>IFERROR(__xludf.DUMMYFUNCTION("IFERROR(
  VLOOKUP(
    A187,
    IMPORTRANGE(
      ""1ZHMy3vVUd_0MrSduXTe1etBb1HNpAlGwQr006ljwMiM"",
      ""GSC最新!A:F""
    ),
    6,
    FALSE
  ),
  0
)
"),46081.0)</f>
        <v>46081</v>
      </c>
      <c r="AE187" s="54">
        <f>IFERROR(__xludf.DUMMYFUNCTION("IFERROR(
  VLOOKUP(
    A187,
    IMPORTRANGE(
      ""1SCYQd7_cobOYqT0r_F0IqD4tE4rYn5y8Eup4PJTH8es"",
      ""Snapshot!A:M""
    ),
    5,
    FALSE
  ),
  ""-""
)
"),0.0)</f>
        <v>0</v>
      </c>
      <c r="AF187" s="54">
        <f>IFERROR(__xludf.DUMMYFUNCTION("IFERROR(
  VLOOKUP(
    A187,
    IMPORTRANGE(
      ""1SCYQd7_cobOYqT0r_F0IqD4tE4rYn5y8Eup4PJTH8es"",
      ""Snapshot!A:M""
    ),
    6,
    FALSE
  ),
  0
)
"),0.0)</f>
        <v>0</v>
      </c>
      <c r="AG187" s="54">
        <f>IFERROR(__xludf.DUMMYFUNCTION("IFERROR(
  VLOOKUP(
    A187,
    IMPORTRANGE(
      ""1SCYQd7_cobOYqT0r_F0IqD4tE4rYn5y8Eup4PJTH8es"",
      ""Snapshot!A:M""
    ),
    7,
    FALSE
  ),
  0
)
"),738.0)</f>
        <v>738</v>
      </c>
      <c r="AH187" s="54">
        <f>IFERROR(__xludf.DUMMYFUNCTION("IFERROR(
  VLOOKUP(
    A187,
    IMPORTRANGE(
      ""1SCYQd7_cobOYqT0r_F0IqD4tE4rYn5y8Eup4PJTH8es"",
      ""Snapshot!A:M""
    ),
    8,
    FALSE
  ),
  0
)
"),2.0)</f>
        <v>2</v>
      </c>
      <c r="AI187" s="54">
        <f>IFERROR(__xludf.DUMMYFUNCTION("IFERROR(
  VLOOKUP(
    A187,
    IMPORTRANGE(
      ""1SCYQd7_cobOYqT0r_F0IqD4tE4rYn5y8Eup4PJTH8es"",
      ""Snapshot!A:M""
    ),
    9,
    FALSE
  ),
  0
)
"),1.0)</f>
        <v>1</v>
      </c>
      <c r="AJ187" s="54">
        <f>IFERROR(__xludf.DUMMYFUNCTION("IFERROR(
  VLOOKUP(
    A187,
    IMPORTRANGE(
      ""1SCYQd7_cobOYqT0r_F0IqD4tE4rYn5y8Eup4PJTH8es"",
      ""Snapshot!A:M""
    ),
    13,
    FALSE
  ),
  0
)
"),3.0)</f>
        <v>3</v>
      </c>
      <c r="AK187" s="49">
        <f t="shared" ref="AK187:AL187" si="930">LEN(C187)</f>
        <v>68</v>
      </c>
      <c r="AL187" s="49">
        <f t="shared" si="930"/>
        <v>55</v>
      </c>
    </row>
    <row r="188">
      <c r="A188" s="3" t="s">
        <v>675</v>
      </c>
      <c r="B188" s="1" t="str">
        <f>IFERROR(__xludf.DUMMYFUNCTION("IFERROR(
  VLOOKUP(
    A188,
    IMPORTRANGE(
      ""1ZygntHC1J6IxzKbTidmOyf5nUyW4GCLurHCjexrLm_o"",
      ""HTMLキャッシュ!A:F""
    ),
    2,
    FALSE
  ),
  0
)
"),"NW")</f>
        <v>NW</v>
      </c>
      <c r="C188" s="1" t="str">
        <f>IFERROR(__xludf.DUMMYFUNCTION("IFERROR(
  VLOOKUP(
    A188,
    IMPORTRANGE(
      ""1ZygntHC1J6IxzKbTidmOyf5nUyW4GCLurHCjexrLm_o"",
      ""HTMLキャッシュ!A:F""
    ),
    5,
    FALSE
  ),
  0
)
"),"小４～６対象・読解/漢字演習道場 開講のお知らせ - 受験国語専門 読解ラボ東京 | 中学受験・大学受験対応の個別指導国語専門塾（オンライン・教室対応）")</f>
        <v>小４～６対象・読解/漢字演習道場 開講のお知らせ - 受験国語専門 読解ラボ東京 | 中学受験・大学受験対応の個別指導国語専門塾（オンライン・教室対応）</v>
      </c>
      <c r="D188" s="1" t="str">
        <f>IFERROR(__xludf.DUMMYFUNCTION("IFERROR(
  VLOOKUP(
    A188,
    IMPORTRANGE(
      ""1ZygntHC1J6IxzKbTidmOyf5nUyW4GCLurHCjexrLm_o        "",
      ""HTMLキャッシュ!A:F""
    ),
    6,
    FALSE
  ),
  0
)
"),"この度、演習管理型・少人数制授業「読解演習道場」「漢字演習道場」を開講する運びとなりましたので、ご案内させてい")</f>
        <v>この度、演習管理型・少人数制授業「読解演習道場」「漢字演習道場」を開講する運びとなりましたので、ご案内させてい</v>
      </c>
      <c r="E188" s="32">
        <f>IFERROR(__xludf.DUMMYFUNCTION("IFERROR(
  VLOOKUP(
    A188,
    IMPORTRANGE(
      ""1ZygntHC1J6IxzKbTidmOyf5nUyW4GCLurHCjexrLm_o        "",
      ""HTMLキャッシュ!A:F""
    ),
    3,
    FALSE
  ),
  0
)
"),43890.703252314815)</f>
        <v>43890.70325</v>
      </c>
      <c r="F188" s="49">
        <f>IFERROR(__xludf.DUMMYFUNCTION("IFERROR(
  VLOOKUP(
    A188,
    IMPORTRANGE(
      ""1ZHMy3vVUd_0MrSduXTe1etBb1HNpAlGwQr006ljwMiM"",
      ""GSC最新!A:F""
    ),
    2,
    FALSE
  ),
  0
)
"),0.0)</f>
        <v>0</v>
      </c>
      <c r="G188" s="49">
        <f>IFERROR(__xludf.DUMMYFUNCTION("IFERROR(
  VLOOKUP(
    A188,
    IMPORTRANGE(
      ""1ZHMy3vVUd_0MrSduXTe1etBb1HNpAlGwQr006ljwMiM"",
      ""GSC最新!A:F""
    ),
    3,
    FALSE
  ),
  0
)
"),0.0)</f>
        <v>0</v>
      </c>
      <c r="H188" s="49">
        <f>IFERROR(__xludf.DUMMYFUNCTION("IFERROR(
  VLOOKUP(
    A188,
    IMPORTRANGE(
      ""1ZHMy3vVUd_0MrSduXTe1etBb1HNpAlGwQr006ljwMiM"",
      ""GSC最新!A:F""
    ),
    4,
    FALSE
  ),
  0
)
"),0.0)</f>
        <v>0</v>
      </c>
      <c r="I188" s="49">
        <f>IFERROR(__xludf.DUMMYFUNCTION("IFERROR(
  VLOOKUP(
    A188,
    IMPORTRANGE(
      ""1ZHMy3vVUd_0MrSduXTe1etBb1HNpAlGwQr006ljwMiM"",
      ""GSC最新!A:F""
    ),
    5,
    FALSE
  ),
  0
)
"),1.0)</f>
        <v>1</v>
      </c>
      <c r="J188" s="50" t="str">
        <f t="shared" ref="J188:K188" si="931">IFERROR(F188/H188,"-")</f>
        <v>-</v>
      </c>
      <c r="K188" s="50">
        <f t="shared" si="931"/>
        <v>0</v>
      </c>
      <c r="L188" s="6">
        <f>IFERROR(__xludf.DUMMYFUNCTION("IFERROR(
  VLOOKUP(
    A188,
    IMPORTRANGE(
      ""1ZHMy3vVUd_0MrSduXTe1etBb1HNpAlGwQr006ljwMiM"",
      ""GSC最新!A:R""
    ),
    7,
    FALSE
  ),
  0
)
"),0.0)</f>
        <v>0</v>
      </c>
      <c r="M188" s="6">
        <f>IFERROR(__xludf.DUMMYFUNCTION("IFERROR(
  VLOOKUP(
    A188,
    IMPORTRANGE(
      ""1ZHMy3vVUd_0MrSduXTe1etBb1HNpAlGwQr006ljwMiM"",
      ""GSC最新!A:R""
    ),
    10,
    FALSE
  ),
  0
)
"),0.0)</f>
        <v>0</v>
      </c>
      <c r="N188" s="6">
        <f>IFERROR(__xludf.DUMMYFUNCTION("IFERROR(
  VLOOKUP(
    A188,
    IMPORTRANGE(
      ""1ZHMy3vVUd_0MrSduXTe1etBb1HNpAlGwQr006ljwMiM"",
      ""GSC最新!A:R""
    ),
    13,
    FALSE
  ),
  0
)
"),1.0)</f>
        <v>1</v>
      </c>
      <c r="O188" s="6">
        <f>IFERROR(__xludf.DUMMYFUNCTION("IFERROR(
  VLOOKUP(
    A188,
    IMPORTRANGE(
      ""1ZHMy3vVUd_0MrSduXTe1etBb1HNpAlGwQr006ljwMiM"",
      ""GSC最新!A:R""
    ),
    16,
    FALSE
  ),
  0
)
"),7.0)</f>
        <v>7</v>
      </c>
      <c r="P188" s="51">
        <f t="shared" ref="P188:Q188" si="932">IFERROR(L188/N188,"-")</f>
        <v>0</v>
      </c>
      <c r="Q188" s="51">
        <f t="shared" si="932"/>
        <v>0</v>
      </c>
      <c r="R188" s="9">
        <f>IFERROR(__xludf.DUMMYFUNCTION("IFERROR(
  VLOOKUP(
    A188,
    IMPORTRANGE(
      ""1ZHMy3vVUd_0MrSduXTe1etBb1HNpAlGwQr006ljwMiM"",
      ""GSC最新!A:R""
    ),
    8,
    FALSE
  ),
  0
)
"),0.0)</f>
        <v>0</v>
      </c>
      <c r="S188" s="9">
        <f>IFERROR(__xludf.DUMMYFUNCTION("IFERROR(
  VLOOKUP(
    A188,
    IMPORTRANGE(
      ""1ZHMy3vVUd_0MrSduXTe1etBb1HNpAlGwQr006ljwMiM"",
      ""GSC最新!A:R""
    ),
    11,
    FALSE
  ),
  0
)
"),0.0)</f>
        <v>0</v>
      </c>
      <c r="T188" s="9">
        <f>IFERROR(__xludf.DUMMYFUNCTION("IFERROR(
  VLOOKUP(
    A188,
    IMPORTRANGE(
      ""1ZHMy3vVUd_0MrSduXTe1etBb1HNpAlGwQr006ljwMiM"",
      ""GSC最新!A:R""
    ),
    14,
    FALSE
  ),
  0
)
"),0.0)</f>
        <v>0</v>
      </c>
      <c r="U188" s="9">
        <f>IFERROR(__xludf.DUMMYFUNCTION("IFERROR(
  VLOOKUP(
    A188,
    IMPORTRANGE(
      ""1ZHMy3vVUd_0MrSduXTe1etBb1HNpAlGwQr006ljwMiM"",
      ""GSC最新!A:R""
    ),
    17,
    FALSE
  ),
  0
)
"),0.14285714285714285)</f>
        <v>0.1428571429</v>
      </c>
      <c r="V188" s="9">
        <f t="shared" ref="V188:W188" si="933">IFERROR(R188-T188,"-")</f>
        <v>0</v>
      </c>
      <c r="W188" s="9">
        <f t="shared" si="933"/>
        <v>-0.1428571429</v>
      </c>
      <c r="X188" s="65" t="str">
        <f>IFERROR(__xludf.DUMMYFUNCTION("IFERROR(
  VLOOKUP(
    A188,
    IMPORTRANGE(
      ""1ZHMy3vVUd_0MrSduXTe1etBb1HNpAlGwQr006ljwMiM"",
      ""GSC最新!A:R""
    ),
    9,
    FALSE
  ),
  0
)
"),"")</f>
        <v/>
      </c>
      <c r="Y188" s="65" t="str">
        <f>IFERROR(__xludf.DUMMYFUNCTION("IFERROR(
  VLOOKUP(
    A188,
    IMPORTRANGE(
      ""1ZHMy3vVUd_0MrSduXTe1etBb1HNpAlGwQr006ljwMiM"",
      ""GSC最新!A:R""
    ),
    12,
    FALSE
  ),
  0
)
"),"")</f>
        <v/>
      </c>
      <c r="Z188" s="65">
        <f>IFERROR(__xludf.DUMMYFUNCTION("IFERROR(
  VLOOKUP(
    A188,
    IMPORTRANGE(
      ""1ZHMy3vVUd_0MrSduXTe1etBb1HNpAlGwQr006ljwMiM"",
      ""GSC最新!A:R""
    ),
    15,
    FALSE
  ),
  0
)
"),4.0)</f>
        <v>4</v>
      </c>
      <c r="AA188" s="65">
        <f>IFERROR(__xludf.DUMMYFUNCTION("IFERROR(
  VLOOKUP(
    A188,
    IMPORTRANGE(
      ""1ZHMy3vVUd_0MrSduXTe1etBb1HNpAlGwQr006ljwMiM"",
      ""GSC最新!A:R""
    ),
    18,
    FALSE
  ),
  0
)
"),7.142857142857143)</f>
        <v>7.142857143</v>
      </c>
      <c r="AB188" s="65">
        <f t="shared" ref="AB188:AC188" si="934">X188-Z188</f>
        <v>-4</v>
      </c>
      <c r="AC188" s="65">
        <f t="shared" si="934"/>
        <v>-7.142857143</v>
      </c>
      <c r="AD188" s="53">
        <f>IFERROR(__xludf.DUMMYFUNCTION("IFERROR(
  VLOOKUP(
    A188,
    IMPORTRANGE(
      ""1ZHMy3vVUd_0MrSduXTe1etBb1HNpAlGwQr006ljwMiM"",
      ""GSC最新!A:F""
    ),
    6,
    FALSE
  ),
  0
)
"),46081.0)</f>
        <v>46081</v>
      </c>
      <c r="AE188" s="54">
        <f>IFERROR(__xludf.DUMMYFUNCTION("IFERROR(
  VLOOKUP(
    A188,
    IMPORTRANGE(
      ""1SCYQd7_cobOYqT0r_F0IqD4tE4rYn5y8Eup4PJTH8es"",
      ""Snapshot!A:M""
    ),
    5,
    FALSE
  ),
  ""-""
)
"),0.0)</f>
        <v>0</v>
      </c>
      <c r="AF188" s="54">
        <f>IFERROR(__xludf.DUMMYFUNCTION("IFERROR(
  VLOOKUP(
    A188,
    IMPORTRANGE(
      ""1SCYQd7_cobOYqT0r_F0IqD4tE4rYn5y8Eup4PJTH8es"",
      ""Snapshot!A:M""
    ),
    6,
    FALSE
  ),
  0
)
"),0.0)</f>
        <v>0</v>
      </c>
      <c r="AG188" s="54">
        <f>IFERROR(__xludf.DUMMYFUNCTION("IFERROR(
  VLOOKUP(
    A188,
    IMPORTRANGE(
      ""1SCYQd7_cobOYqT0r_F0IqD4tE4rYn5y8Eup4PJTH8es"",
      ""Snapshot!A:M""
    ),
    7,
    FALSE
  ),
  0
)
"),345.0)</f>
        <v>345</v>
      </c>
      <c r="AH188" s="54">
        <f>IFERROR(__xludf.DUMMYFUNCTION("IFERROR(
  VLOOKUP(
    A188,
    IMPORTRANGE(
      ""1SCYQd7_cobOYqT0r_F0IqD4tE4rYn5y8Eup4PJTH8es"",
      ""Snapshot!A:M""
    ),
    8,
    FALSE
  ),
  0
)
"),1.0)</f>
        <v>1</v>
      </c>
      <c r="AI188" s="54">
        <f>IFERROR(__xludf.DUMMYFUNCTION("IFERROR(
  VLOOKUP(
    A188,
    IMPORTRANGE(
      ""1SCYQd7_cobOYqT0r_F0IqD4tE4rYn5y8Eup4PJTH8es"",
      ""Snapshot!A:M""
    ),
    9,
    FALSE
  ),
  0
)
"),1.0)</f>
        <v>1</v>
      </c>
      <c r="AJ188" s="54">
        <f>IFERROR(__xludf.DUMMYFUNCTION("IFERROR(
  VLOOKUP(
    A188,
    IMPORTRANGE(
      ""1SCYQd7_cobOYqT0r_F0IqD4tE4rYn5y8Eup4PJTH8es"",
      ""Snapshot!A:M""
    ),
    13,
    FALSE
  ),
  0
)
"),3.0)</f>
        <v>3</v>
      </c>
      <c r="AK188" s="49">
        <f t="shared" ref="AK188:AL188" si="935">LEN(C188)</f>
        <v>76</v>
      </c>
      <c r="AL188" s="49">
        <f t="shared" si="935"/>
        <v>55</v>
      </c>
    </row>
    <row r="189">
      <c r="A189" s="3" t="s">
        <v>676</v>
      </c>
      <c r="B189" s="1" t="str">
        <f>IFERROR(__xludf.DUMMYFUNCTION("IFERROR(
  VLOOKUP(
    A189,
    IMPORTRANGE(
      ""1ZygntHC1J6IxzKbTidmOyf5nUyW4GCLurHCjexrLm_o"",
      ""HTMLキャッシュ!A:F""
    ),
    2,
    FALSE
  ),
  0
)
"),"NW")</f>
        <v>NW</v>
      </c>
      <c r="C189" s="1" t="str">
        <f>IFERROR(__xludf.DUMMYFUNCTION("IFERROR(
  VLOOKUP(
    A189,
    IMPORTRANGE(
      ""1ZygntHC1J6IxzKbTidmOyf5nUyW4GCLurHCjexrLm_o"",
      ""HTMLキャッシュ!A:F""
    ),
    5,
    FALSE
  ),
  0
)
"),"KAI算数教室【三鷹】出講のお知らせ - 受験国語専門 読解ラボ東京 | 中学受験・大学受験対応の個別指導国語専門塾（オンライン・教室対応）")</f>
        <v>KAI算数教室【三鷹】出講のお知らせ - 受験国語専門 読解ラボ東京 | 中学受験・大学受験対応の個別指導国語専門塾（オンライン・教室対応）</v>
      </c>
      <c r="D189" s="1" t="str">
        <f>IFERROR(__xludf.DUMMYFUNCTION("IFERROR(
  VLOOKUP(
    A189,
    IMPORTRANGE(
      ""1ZygntHC1J6IxzKbTidmOyf5nUyW4GCLurHCjexrLm_o        "",
      ""HTMLキャッシュ!A:F""
    ),
    6,
    FALSE
  ),
  0
)
"),"いつもホームページをご覧いただき、ありがとうございます。 表題の件につきまして、当塾代表・長島が、三鷹駅より徒")</f>
        <v>いつもホームページをご覧いただき、ありがとうございます。 表題の件につきまして、当塾代表・長島が、三鷹駅より徒</v>
      </c>
      <c r="E189" s="32">
        <f>IFERROR(__xludf.DUMMYFUNCTION("IFERROR(
  VLOOKUP(
    A189,
    IMPORTRANGE(
      ""1ZygntHC1J6IxzKbTidmOyf5nUyW4GCLurHCjexrLm_o        "",
      ""HTMLキャッシュ!A:F""
    ),
    3,
    FALSE
  ),
  0
)
"),43923.81863425926)</f>
        <v>43923.81863</v>
      </c>
      <c r="F189" s="49">
        <f>IFERROR(__xludf.DUMMYFUNCTION("IFERROR(
  VLOOKUP(
    A189,
    IMPORTRANGE(
      ""1ZHMy3vVUd_0MrSduXTe1etBb1HNpAlGwQr006ljwMiM"",
      ""GSC最新!A:F""
    ),
    2,
    FALSE
  ),
  0
)
"),0.0)</f>
        <v>0</v>
      </c>
      <c r="G189" s="49">
        <f>IFERROR(__xludf.DUMMYFUNCTION("IFERROR(
  VLOOKUP(
    A189,
    IMPORTRANGE(
      ""1ZHMy3vVUd_0MrSduXTe1etBb1HNpAlGwQr006ljwMiM"",
      ""GSC最新!A:F""
    ),
    3,
    FALSE
  ),
  0
)
"),0.0)</f>
        <v>0</v>
      </c>
      <c r="H189" s="49">
        <f>IFERROR(__xludf.DUMMYFUNCTION("IFERROR(
  VLOOKUP(
    A189,
    IMPORTRANGE(
      ""1ZHMy3vVUd_0MrSduXTe1etBb1HNpAlGwQr006ljwMiM"",
      ""GSC最新!A:F""
    ),
    4,
    FALSE
  ),
  0
)
"),0.0)</f>
        <v>0</v>
      </c>
      <c r="I189" s="49">
        <f>IFERROR(__xludf.DUMMYFUNCTION("IFERROR(
  VLOOKUP(
    A189,
    IMPORTRANGE(
      ""1ZHMy3vVUd_0MrSduXTe1etBb1HNpAlGwQr006ljwMiM"",
      ""GSC最新!A:F""
    ),
    5,
    FALSE
  ),
  0
)
"),2.0)</f>
        <v>2</v>
      </c>
      <c r="J189" s="50" t="str">
        <f t="shared" ref="J189:K189" si="936">IFERROR(F189/H189,"-")</f>
        <v>-</v>
      </c>
      <c r="K189" s="50">
        <f t="shared" si="936"/>
        <v>0</v>
      </c>
      <c r="L189" s="6">
        <f>IFERROR(__xludf.DUMMYFUNCTION("IFERROR(
  VLOOKUP(
    A189,
    IMPORTRANGE(
      ""1ZHMy3vVUd_0MrSduXTe1etBb1HNpAlGwQr006ljwMiM"",
      ""GSC最新!A:R""
    ),
    7,
    FALSE
  ),
  0
)
"),1.0)</f>
        <v>1</v>
      </c>
      <c r="M189" s="6">
        <f>IFERROR(__xludf.DUMMYFUNCTION("IFERROR(
  VLOOKUP(
    A189,
    IMPORTRANGE(
      ""1ZHMy3vVUd_0MrSduXTe1etBb1HNpAlGwQr006ljwMiM"",
      ""GSC最新!A:R""
    ),
    10,
    FALSE
  ),
  0
)
"),7.0)</f>
        <v>7</v>
      </c>
      <c r="N189" s="6">
        <f>IFERROR(__xludf.DUMMYFUNCTION("IFERROR(
  VLOOKUP(
    A189,
    IMPORTRANGE(
      ""1ZHMy3vVUd_0MrSduXTe1etBb1HNpAlGwQr006ljwMiM"",
      ""GSC最新!A:R""
    ),
    13,
    FALSE
  ),
  0
)
"),11.0)</f>
        <v>11</v>
      </c>
      <c r="O189" s="6">
        <f>IFERROR(__xludf.DUMMYFUNCTION("IFERROR(
  VLOOKUP(
    A189,
    IMPORTRANGE(
      ""1ZHMy3vVUd_0MrSduXTe1etBb1HNpAlGwQr006ljwMiM"",
      ""GSC最新!A:R""
    ),
    16,
    FALSE
  ),
  0
)
"),36.0)</f>
        <v>36</v>
      </c>
      <c r="P189" s="51">
        <f t="shared" ref="P189:Q189" si="937">IFERROR(L189/N189,"-")</f>
        <v>0.09090909091</v>
      </c>
      <c r="Q189" s="51">
        <f t="shared" si="937"/>
        <v>0.1944444444</v>
      </c>
      <c r="R189" s="9">
        <f>IFERROR(__xludf.DUMMYFUNCTION("IFERROR(
  VLOOKUP(
    A189,
    IMPORTRANGE(
      ""1ZHMy3vVUd_0MrSduXTe1etBb1HNpAlGwQr006ljwMiM"",
      ""GSC最新!A:R""
    ),
    8,
    FALSE
  ),
  0
)
"),0.0)</f>
        <v>0</v>
      </c>
      <c r="S189" s="9">
        <f>IFERROR(__xludf.DUMMYFUNCTION("IFERROR(
  VLOOKUP(
    A189,
    IMPORTRANGE(
      ""1ZHMy3vVUd_0MrSduXTe1etBb1HNpAlGwQr006ljwMiM"",
      ""GSC最新!A:R""
    ),
    11,
    FALSE
  ),
  0
)
"),0.0)</f>
        <v>0</v>
      </c>
      <c r="T189" s="9">
        <f>IFERROR(__xludf.DUMMYFUNCTION("IFERROR(
  VLOOKUP(
    A189,
    IMPORTRANGE(
      ""1ZHMy3vVUd_0MrSduXTe1etBb1HNpAlGwQr006ljwMiM"",
      ""GSC最新!A:R""
    ),
    14,
    FALSE
  ),
  0
)
"),0.0)</f>
        <v>0</v>
      </c>
      <c r="U189" s="9">
        <f>IFERROR(__xludf.DUMMYFUNCTION("IFERROR(
  VLOOKUP(
    A189,
    IMPORTRANGE(
      ""1ZHMy3vVUd_0MrSduXTe1etBb1HNpAlGwQr006ljwMiM"",
      ""GSC最新!A:R""
    ),
    17,
    FALSE
  ),
  0
)
"),0.05555555555555555)</f>
        <v>0.05555555556</v>
      </c>
      <c r="V189" s="9">
        <f t="shared" ref="V189:W189" si="938">IFERROR(R189-T189,"-")</f>
        <v>0</v>
      </c>
      <c r="W189" s="9">
        <f t="shared" si="938"/>
        <v>-0.05555555556</v>
      </c>
      <c r="X189" s="65">
        <f>IFERROR(__xludf.DUMMYFUNCTION("IFERROR(
  VLOOKUP(
    A189,
    IMPORTRANGE(
      ""1ZHMy3vVUd_0MrSduXTe1etBb1HNpAlGwQr006ljwMiM"",
      ""GSC最新!A:R""
    ),
    9,
    FALSE
  ),
  0
)
"),8.0)</f>
        <v>8</v>
      </c>
      <c r="Y189" s="65">
        <f>IFERROR(__xludf.DUMMYFUNCTION("IFERROR(
  VLOOKUP(
    A189,
    IMPORTRANGE(
      ""1ZHMy3vVUd_0MrSduXTe1etBb1HNpAlGwQr006ljwMiM"",
      ""GSC最新!A:R""
    ),
    12,
    FALSE
  ),
  0
)
"),11.571428571428571)</f>
        <v>11.57142857</v>
      </c>
      <c r="Z189" s="65">
        <f>IFERROR(__xludf.DUMMYFUNCTION("IFERROR(
  VLOOKUP(
    A189,
    IMPORTRANGE(
      ""1ZHMy3vVUd_0MrSduXTe1etBb1HNpAlGwQr006ljwMiM"",
      ""GSC最新!A:R""
    ),
    15,
    FALSE
  ),
  0
)
"),10.090909090909092)</f>
        <v>10.09090909</v>
      </c>
      <c r="AA189" s="65">
        <f>IFERROR(__xludf.DUMMYFUNCTION("IFERROR(
  VLOOKUP(
    A189,
    IMPORTRANGE(
      ""1ZHMy3vVUd_0MrSduXTe1etBb1HNpAlGwQr006ljwMiM"",
      ""GSC最新!A:R""
    ),
    18,
    FALSE
  ),
  0
)
"),21.0)</f>
        <v>21</v>
      </c>
      <c r="AB189" s="65">
        <f t="shared" ref="AB189:AC189" si="939">X189-Z189</f>
        <v>-2.090909091</v>
      </c>
      <c r="AC189" s="65">
        <f t="shared" si="939"/>
        <v>-9.428571429</v>
      </c>
      <c r="AD189" s="53">
        <f>IFERROR(__xludf.DUMMYFUNCTION("IFERROR(
  VLOOKUP(
    A189,
    IMPORTRANGE(
      ""1ZHMy3vVUd_0MrSduXTe1etBb1HNpAlGwQr006ljwMiM"",
      ""GSC最新!A:F""
    ),
    6,
    FALSE
  ),
  0
)
"),46081.0)</f>
        <v>46081</v>
      </c>
      <c r="AE189" s="54">
        <f>IFERROR(__xludf.DUMMYFUNCTION("IFERROR(
  VLOOKUP(
    A189,
    IMPORTRANGE(
      ""1SCYQd7_cobOYqT0r_F0IqD4tE4rYn5y8Eup4PJTH8es"",
      ""Snapshot!A:M""
    ),
    5,
    FALSE
  ),
  ""-""
)
"),0.0)</f>
        <v>0</v>
      </c>
      <c r="AF189" s="54">
        <f>IFERROR(__xludf.DUMMYFUNCTION("IFERROR(
  VLOOKUP(
    A189,
    IMPORTRANGE(
      ""1SCYQd7_cobOYqT0r_F0IqD4tE4rYn5y8Eup4PJTH8es"",
      ""Snapshot!A:M""
    ),
    6,
    FALSE
  ),
  0
)
"),0.0)</f>
        <v>0</v>
      </c>
      <c r="AG189" s="54">
        <f>IFERROR(__xludf.DUMMYFUNCTION("IFERROR(
  VLOOKUP(
    A189,
    IMPORTRANGE(
      ""1SCYQd7_cobOYqT0r_F0IqD4tE4rYn5y8Eup4PJTH8es"",
      ""Snapshot!A:M""
    ),
    7,
    FALSE
  ),
  0
)
"),309.0)</f>
        <v>309</v>
      </c>
      <c r="AH189" s="54">
        <f>IFERROR(__xludf.DUMMYFUNCTION("IFERROR(
  VLOOKUP(
    A189,
    IMPORTRANGE(
      ""1SCYQd7_cobOYqT0r_F0IqD4tE4rYn5y8Eup4PJTH8es"",
      ""Snapshot!A:M""
    ),
    8,
    FALSE
  ),
  0
)
"),0.0)</f>
        <v>0</v>
      </c>
      <c r="AI189" s="54">
        <f>IFERROR(__xludf.DUMMYFUNCTION("IFERROR(
  VLOOKUP(
    A189,
    IMPORTRANGE(
      ""1SCYQd7_cobOYqT0r_F0IqD4tE4rYn5y8Eup4PJTH8es"",
      ""Snapshot!A:M""
    ),
    9,
    FALSE
  ),
  0
)
"),1.0)</f>
        <v>1</v>
      </c>
      <c r="AJ189" s="54">
        <f>IFERROR(__xludf.DUMMYFUNCTION("IFERROR(
  VLOOKUP(
    A189,
    IMPORTRANGE(
      ""1SCYQd7_cobOYqT0r_F0IqD4tE4rYn5y8Eup4PJTH8es"",
      ""Snapshot!A:M""
    ),
    13,
    FALSE
  ),
  0
)
"),3.0)</f>
        <v>3</v>
      </c>
      <c r="AK189" s="49">
        <f t="shared" ref="AK189:AL189" si="940">LEN(C189)</f>
        <v>70</v>
      </c>
      <c r="AL189" s="49">
        <f t="shared" si="940"/>
        <v>55</v>
      </c>
    </row>
    <row r="190">
      <c r="A190" s="3" t="s">
        <v>677</v>
      </c>
      <c r="B190" s="1" t="str">
        <f>IFERROR(__xludf.DUMMYFUNCTION("IFERROR(
  VLOOKUP(
    A190,
    IMPORTRANGE(
      ""1ZygntHC1J6IxzKbTidmOyf5nUyW4GCLurHCjexrLm_o"",
      ""HTMLキャッシュ!A:F""
    ),
    2,
    FALSE
  ),
  0
)
"),"NW")</f>
        <v>NW</v>
      </c>
      <c r="C190" s="1" t="str">
        <f>IFERROR(__xludf.DUMMYFUNCTION("IFERROR(
  VLOOKUP(
    A190,
    IMPORTRANGE(
      ""1ZygntHC1J6IxzKbTidmOyf5nUyW4GCLurHCjexrLm_o"",
      ""HTMLキャッシュ!A:F""
    ),
    5,
    FALSE
  ),
  0
)
"),"オンライン１対１個別指導サービス「With You（ウィズ・ユー）」開始のお知らせ - 受験国語専門 読解ラボ東京 | 中学受験・大学受験対応の個別指導国語専門塾（オンライン・教室対応）")</f>
        <v>オンライン１対１個別指導サービス「With You（ウィズ・ユー）」開始のお知らせ - 受験国語専門 読解ラボ東京 | 中学受験・大学受験対応の個別指導国語専門塾（オンライン・教室対応）</v>
      </c>
      <c r="D190" s="1" t="str">
        <f>IFERROR(__xludf.DUMMYFUNCTION("IFERROR(
  VLOOKUP(
    A190,
    IMPORTRANGE(
      ""1ZygntHC1J6IxzKbTidmOyf5nUyW4GCLurHCjexrLm_o        "",
      ""HTMLキャッシュ!A:F""
    ),
    6,
    FALSE
  ),
  0
)
"),"当塾では、オンライン１対１個別指導サービス「With You（ウィズ・ユー）」を2020年4月9日より開始致し")</f>
        <v>当塾では、オンライン１対１個別指導サービス「With You（ウィズ・ユー）」を2020年4月9日より開始致し</v>
      </c>
      <c r="E190" s="32">
        <f>IFERROR(__xludf.DUMMYFUNCTION("IFERROR(
  VLOOKUP(
    A190,
    IMPORTRANGE(
      ""1ZygntHC1J6IxzKbTidmOyf5nUyW4GCLurHCjexrLm_o        "",
      ""HTMLキャッシュ!A:F""
    ),
    3,
    FALSE
  ),
  0
)
"),43955.60560185185)</f>
        <v>43955.6056</v>
      </c>
      <c r="F190" s="49">
        <f>IFERROR(__xludf.DUMMYFUNCTION("IFERROR(
  VLOOKUP(
    A190,
    IMPORTRANGE(
      ""1ZHMy3vVUd_0MrSduXTe1etBb1HNpAlGwQr006ljwMiM"",
      ""GSC最新!A:F""
    ),
    2,
    FALSE
  ),
  0
)
"),0.0)</f>
        <v>0</v>
      </c>
      <c r="G190" s="49">
        <f>IFERROR(__xludf.DUMMYFUNCTION("IFERROR(
  VLOOKUP(
    A190,
    IMPORTRANGE(
      ""1ZHMy3vVUd_0MrSduXTe1etBb1HNpAlGwQr006ljwMiM"",
      ""GSC最新!A:F""
    ),
    3,
    FALSE
  ),
  0
)
"),0.0)</f>
        <v>0</v>
      </c>
      <c r="H190" s="49">
        <f>IFERROR(__xludf.DUMMYFUNCTION("IFERROR(
  VLOOKUP(
    A190,
    IMPORTRANGE(
      ""1ZHMy3vVUd_0MrSduXTe1etBb1HNpAlGwQr006ljwMiM"",
      ""GSC最新!A:F""
    ),
    4,
    FALSE
  ),
  0
)
"),0.0)</f>
        <v>0</v>
      </c>
      <c r="I190" s="49">
        <f>IFERROR(__xludf.DUMMYFUNCTION("IFERROR(
  VLOOKUP(
    A190,
    IMPORTRANGE(
      ""1ZHMy3vVUd_0MrSduXTe1etBb1HNpAlGwQr006ljwMiM"",
      ""GSC最新!A:F""
    ),
    5,
    FALSE
  ),
  0
)
"),0.0)</f>
        <v>0</v>
      </c>
      <c r="J190" s="50" t="str">
        <f t="shared" ref="J190:K190" si="941">IFERROR(F190/H190,"-")</f>
        <v>-</v>
      </c>
      <c r="K190" s="50" t="str">
        <f t="shared" si="941"/>
        <v>-</v>
      </c>
      <c r="L190" s="6">
        <f>IFERROR(__xludf.DUMMYFUNCTION("IFERROR(
  VLOOKUP(
    A190,
    IMPORTRANGE(
      ""1ZHMy3vVUd_0MrSduXTe1etBb1HNpAlGwQr006ljwMiM"",
      ""GSC最新!A:R""
    ),
    7,
    FALSE
  ),
  0
)
"),4.0)</f>
        <v>4</v>
      </c>
      <c r="M190" s="6">
        <f>IFERROR(__xludf.DUMMYFUNCTION("IFERROR(
  VLOOKUP(
    A190,
    IMPORTRANGE(
      ""1ZHMy3vVUd_0MrSduXTe1etBb1HNpAlGwQr006ljwMiM"",
      ""GSC最新!A:R""
    ),
    10,
    FALSE
  ),
  0
)
"),13.0)</f>
        <v>13</v>
      </c>
      <c r="N190" s="6">
        <f>IFERROR(__xludf.DUMMYFUNCTION("IFERROR(
  VLOOKUP(
    A190,
    IMPORTRANGE(
      ""1ZHMy3vVUd_0MrSduXTe1etBb1HNpAlGwQr006ljwMiM"",
      ""GSC最新!A:R""
    ),
    13,
    FALSE
  ),
  0
)
"),2.0)</f>
        <v>2</v>
      </c>
      <c r="O190" s="6">
        <f>IFERROR(__xludf.DUMMYFUNCTION("IFERROR(
  VLOOKUP(
    A190,
    IMPORTRANGE(
      ""1ZHMy3vVUd_0MrSduXTe1etBb1HNpAlGwQr006ljwMiM"",
      ""GSC最新!A:R""
    ),
    16,
    FALSE
  ),
  0
)
"),17.0)</f>
        <v>17</v>
      </c>
      <c r="P190" s="51">
        <f t="shared" ref="P190:Q190" si="942">IFERROR(L190/N190,"-")</f>
        <v>2</v>
      </c>
      <c r="Q190" s="51">
        <f t="shared" si="942"/>
        <v>0.7647058824</v>
      </c>
      <c r="R190" s="9">
        <f>IFERROR(__xludf.DUMMYFUNCTION("IFERROR(
  VLOOKUP(
    A190,
    IMPORTRANGE(
      ""1ZHMy3vVUd_0MrSduXTe1etBb1HNpAlGwQr006ljwMiM"",
      ""GSC最新!A:R""
    ),
    8,
    FALSE
  ),
  0
)
"),0.0)</f>
        <v>0</v>
      </c>
      <c r="S190" s="9">
        <f>IFERROR(__xludf.DUMMYFUNCTION("IFERROR(
  VLOOKUP(
    A190,
    IMPORTRANGE(
      ""1ZHMy3vVUd_0MrSduXTe1etBb1HNpAlGwQr006ljwMiM"",
      ""GSC最新!A:R""
    ),
    11,
    FALSE
  ),
  0
)
"),0.0)</f>
        <v>0</v>
      </c>
      <c r="T190" s="9">
        <f>IFERROR(__xludf.DUMMYFUNCTION("IFERROR(
  VLOOKUP(
    A190,
    IMPORTRANGE(
      ""1ZHMy3vVUd_0MrSduXTe1etBb1HNpAlGwQr006ljwMiM"",
      ""GSC最新!A:R""
    ),
    14,
    FALSE
  ),
  0
)
"),0.0)</f>
        <v>0</v>
      </c>
      <c r="U190" s="9">
        <f>IFERROR(__xludf.DUMMYFUNCTION("IFERROR(
  VLOOKUP(
    A190,
    IMPORTRANGE(
      ""1ZHMy3vVUd_0MrSduXTe1etBb1HNpAlGwQr006ljwMiM"",
      ""GSC最新!A:R""
    ),
    17,
    FALSE
  ),
  0
)
"),0.0)</f>
        <v>0</v>
      </c>
      <c r="V190" s="9">
        <f t="shared" ref="V190:W190" si="943">IFERROR(R190-T190,"-")</f>
        <v>0</v>
      </c>
      <c r="W190" s="9">
        <f t="shared" si="943"/>
        <v>0</v>
      </c>
      <c r="X190" s="65">
        <f>IFERROR(__xludf.DUMMYFUNCTION("IFERROR(
  VLOOKUP(
    A190,
    IMPORTRANGE(
      ""1ZHMy3vVUd_0MrSduXTe1etBb1HNpAlGwQr006ljwMiM"",
      ""GSC最新!A:R""
    ),
    9,
    FALSE
  ),
  0
)
"),7.0)</f>
        <v>7</v>
      </c>
      <c r="Y190" s="65">
        <f>IFERROR(__xludf.DUMMYFUNCTION("IFERROR(
  VLOOKUP(
    A190,
    IMPORTRANGE(
      ""1ZHMy3vVUd_0MrSduXTe1etBb1HNpAlGwQr006ljwMiM"",
      ""GSC最新!A:R""
    ),
    12,
    FALSE
  ),
  0
)
"),6.538461538461538)</f>
        <v>6.538461538</v>
      </c>
      <c r="Z190" s="65">
        <f>IFERROR(__xludf.DUMMYFUNCTION("IFERROR(
  VLOOKUP(
    A190,
    IMPORTRANGE(
      ""1ZHMy3vVUd_0MrSduXTe1etBb1HNpAlGwQr006ljwMiM"",
      ""GSC最新!A:R""
    ),
    15,
    FALSE
  ),
  0
)
"),52.0)</f>
        <v>52</v>
      </c>
      <c r="AA190" s="65">
        <f>IFERROR(__xludf.DUMMYFUNCTION("IFERROR(
  VLOOKUP(
    A190,
    IMPORTRANGE(
      ""1ZHMy3vVUd_0MrSduXTe1etBb1HNpAlGwQr006ljwMiM"",
      ""GSC最新!A:R""
    ),
    18,
    FALSE
  ),
  0
)
"),19.647058823529413)</f>
        <v>19.64705882</v>
      </c>
      <c r="AB190" s="65">
        <f t="shared" ref="AB190:AC190" si="944">X190-Z190</f>
        <v>-45</v>
      </c>
      <c r="AC190" s="65">
        <f t="shared" si="944"/>
        <v>-13.10859729</v>
      </c>
      <c r="AD190" s="53">
        <f>IFERROR(__xludf.DUMMYFUNCTION("IFERROR(
  VLOOKUP(
    A190,
    IMPORTRANGE(
      ""1ZHMy3vVUd_0MrSduXTe1etBb1HNpAlGwQr006ljwMiM"",
      ""GSC最新!A:F""
    ),
    6,
    FALSE
  ),
  0
)
"),46081.0)</f>
        <v>46081</v>
      </c>
      <c r="AE190" s="54">
        <f>IFERROR(__xludf.DUMMYFUNCTION("IFERROR(
  VLOOKUP(
    A190,
    IMPORTRANGE(
      ""1SCYQd7_cobOYqT0r_F0IqD4tE4rYn5y8Eup4PJTH8es"",
      ""Snapshot!A:M""
    ),
    5,
    FALSE
  ),
  ""-""
)
"),1.0)</f>
        <v>1</v>
      </c>
      <c r="AF190" s="54">
        <f>IFERROR(__xludf.DUMMYFUNCTION("IFERROR(
  VLOOKUP(
    A190,
    IMPORTRANGE(
      ""1SCYQd7_cobOYqT0r_F0IqD4tE4rYn5y8Eup4PJTH8es"",
      ""Snapshot!A:M""
    ),
    6,
    FALSE
  ),
  0
)
"),0.0)</f>
        <v>0</v>
      </c>
      <c r="AG190" s="54">
        <f>IFERROR(__xludf.DUMMYFUNCTION("IFERROR(
  VLOOKUP(
    A190,
    IMPORTRANGE(
      ""1SCYQd7_cobOYqT0r_F0IqD4tE4rYn5y8Eup4PJTH8es"",
      ""Snapshot!A:M""
    ),
    7,
    FALSE
  ),
  0
)
"),713.0)</f>
        <v>713</v>
      </c>
      <c r="AH190" s="54">
        <f>IFERROR(__xludf.DUMMYFUNCTION("IFERROR(
  VLOOKUP(
    A190,
    IMPORTRANGE(
      ""1SCYQd7_cobOYqT0r_F0IqD4tE4rYn5y8Eup4PJTH8es"",
      ""Snapshot!A:M""
    ),
    8,
    FALSE
  ),
  0
)
"),0.0)</f>
        <v>0</v>
      </c>
      <c r="AI190" s="54">
        <f>IFERROR(__xludf.DUMMYFUNCTION("IFERROR(
  VLOOKUP(
    A190,
    IMPORTRANGE(
      ""1SCYQd7_cobOYqT0r_F0IqD4tE4rYn5y8Eup4PJTH8es"",
      ""Snapshot!A:M""
    ),
    9,
    FALSE
  ),
  0
)
"),1.0)</f>
        <v>1</v>
      </c>
      <c r="AJ190" s="54">
        <f>IFERROR(__xludf.DUMMYFUNCTION("IFERROR(
  VLOOKUP(
    A190,
    IMPORTRANGE(
      ""1SCYQd7_cobOYqT0r_F0IqD4tE4rYn5y8Eup4PJTH8es"",
      ""Snapshot!A:M""
    ),
    13,
    FALSE
  ),
  0
)
"),3.0)</f>
        <v>3</v>
      </c>
      <c r="AK190" s="49">
        <f t="shared" ref="AK190:AL190" si="945">LEN(C190)</f>
        <v>93</v>
      </c>
      <c r="AL190" s="49">
        <f t="shared" si="945"/>
        <v>55</v>
      </c>
    </row>
    <row r="191">
      <c r="A191" s="3" t="s">
        <v>678</v>
      </c>
      <c r="B191" s="1" t="str">
        <f>IFERROR(__xludf.DUMMYFUNCTION("IFERROR(
  VLOOKUP(
    A191,
    IMPORTRANGE(
      ""1ZygntHC1J6IxzKbTidmOyf5nUyW4GCLurHCjexrLm_o"",
      ""HTMLキャッシュ!A:F""
    ),
    2,
    FALSE
  ),
  0
)
"),"NW")</f>
        <v>NW</v>
      </c>
      <c r="C191" s="1" t="str">
        <f>IFERROR(__xludf.DUMMYFUNCTION("IFERROR(
  VLOOKUP(
    A191,
    IMPORTRANGE(
      ""1ZygntHC1J6IxzKbTidmOyf5nUyW4GCLurHCjexrLm_o"",
      ""HTMLキャッシュ!A:F""
    ),
    5,
    FALSE
  ),
  0
)
"),"2018年冬期講習開催のお知らせ - 受験国語専門 読解ラボ東京 | 中学受験・大学受験対応の個別指導国語専門塾（オンライン・教室対応）")</f>
        <v>2018年冬期講習開催のお知らせ - 受験国語専門 読解ラボ東京 | 中学受験・大学受験対応の個別指導国語専門塾（オンライン・教室対応）</v>
      </c>
      <c r="D191" s="1" t="str">
        <f>IFERROR(__xludf.DUMMYFUNCTION("IFERROR(
  VLOOKUP(
    A191,
    IMPORTRANGE(
      ""1ZygntHC1J6IxzKbTidmOyf5nUyW4GCLurHCjexrLm_o        "",
      ""HTMLキャッシュ!A:F""
    ),
    6,
    FALSE
  ),
  0
)
"),"塾では冬期講習会を実施させて頂く運びとなりました。 現在当塾に通塾されている塾生の皆さんは勿論の")</f>
        <v>塾では冬期講習会を実施させて頂く運びとなりました。 現在当塾に通塾されている塾生の皆さんは勿論の</v>
      </c>
      <c r="E191" s="32">
        <f>IFERROR(__xludf.DUMMYFUNCTION("IFERROR(
  VLOOKUP(
    A191,
    IMPORTRANGE(
      ""1ZygntHC1J6IxzKbTidmOyf5nUyW4GCLurHCjexrLm_o        "",
      ""HTMLキャッシュ!A:F""
    ),
    3,
    FALSE
  ),
  0
)
"),46015.588217592594)</f>
        <v>46015.58822</v>
      </c>
      <c r="F191" s="49">
        <f>IFERROR(__xludf.DUMMYFUNCTION("IFERROR(
  VLOOKUP(
    A191,
    IMPORTRANGE(
      ""1ZHMy3vVUd_0MrSduXTe1etBb1HNpAlGwQr006ljwMiM"",
      ""GSC最新!A:F""
    ),
    2,
    FALSE
  ),
  0
)
"),0.0)</f>
        <v>0</v>
      </c>
      <c r="G191" s="49">
        <f>IFERROR(__xludf.DUMMYFUNCTION("IFERROR(
  VLOOKUP(
    A191,
    IMPORTRANGE(
      ""1ZHMy3vVUd_0MrSduXTe1etBb1HNpAlGwQr006ljwMiM"",
      ""GSC最新!A:F""
    ),
    3,
    FALSE
  ),
  0
)
"),0.0)</f>
        <v>0</v>
      </c>
      <c r="H191" s="49">
        <f>IFERROR(__xludf.DUMMYFUNCTION("IFERROR(
  VLOOKUP(
    A191,
    IMPORTRANGE(
      ""1ZHMy3vVUd_0MrSduXTe1etBb1HNpAlGwQr006ljwMiM"",
      ""GSC最新!A:F""
    ),
    4,
    FALSE
  ),
  0
)
"),0.0)</f>
        <v>0</v>
      </c>
      <c r="I191" s="49">
        <f>IFERROR(__xludf.DUMMYFUNCTION("IFERROR(
  VLOOKUP(
    A191,
    IMPORTRANGE(
      ""1ZHMy3vVUd_0MrSduXTe1etBb1HNpAlGwQr006ljwMiM"",
      ""GSC最新!A:F""
    ),
    5,
    FALSE
  ),
  0
)
"),0.0)</f>
        <v>0</v>
      </c>
      <c r="J191" s="50" t="str">
        <f t="shared" ref="J191:K191" si="946">IFERROR(F191/H191,"-")</f>
        <v>-</v>
      </c>
      <c r="K191" s="50" t="str">
        <f t="shared" si="946"/>
        <v>-</v>
      </c>
      <c r="L191" s="6">
        <f>IFERROR(__xludf.DUMMYFUNCTION("IFERROR(
  VLOOKUP(
    A191,
    IMPORTRANGE(
      ""1ZHMy3vVUd_0MrSduXTe1etBb1HNpAlGwQr006ljwMiM"",
      ""GSC最新!A:R""
    ),
    7,
    FALSE
  ),
  0
)
"),0.0)</f>
        <v>0</v>
      </c>
      <c r="M191" s="6">
        <f>IFERROR(__xludf.DUMMYFUNCTION("IFERROR(
  VLOOKUP(
    A191,
    IMPORTRANGE(
      ""1ZHMy3vVUd_0MrSduXTe1etBb1HNpAlGwQr006ljwMiM"",
      ""GSC最新!A:R""
    ),
    10,
    FALSE
  ),
  0
)
"),0.0)</f>
        <v>0</v>
      </c>
      <c r="N191" s="6">
        <f>IFERROR(__xludf.DUMMYFUNCTION("IFERROR(
  VLOOKUP(
    A191,
    IMPORTRANGE(
      ""1ZHMy3vVUd_0MrSduXTe1etBb1HNpAlGwQr006ljwMiM"",
      ""GSC最新!A:R""
    ),
    13,
    FALSE
  ),
  0
)
"),0.0)</f>
        <v>0</v>
      </c>
      <c r="O191" s="6">
        <f>IFERROR(__xludf.DUMMYFUNCTION("IFERROR(
  VLOOKUP(
    A191,
    IMPORTRANGE(
      ""1ZHMy3vVUd_0MrSduXTe1etBb1HNpAlGwQr006ljwMiM"",
      ""GSC最新!A:R""
    ),
    16,
    FALSE
  ),
  0
)
"),0.0)</f>
        <v>0</v>
      </c>
      <c r="P191" s="51" t="str">
        <f t="shared" ref="P191:Q191" si="947">IFERROR(L191/N191,"-")</f>
        <v>-</v>
      </c>
      <c r="Q191" s="51" t="str">
        <f t="shared" si="947"/>
        <v>-</v>
      </c>
      <c r="R191" s="9">
        <f>IFERROR(__xludf.DUMMYFUNCTION("IFERROR(
  VLOOKUP(
    A191,
    IMPORTRANGE(
      ""1ZHMy3vVUd_0MrSduXTe1etBb1HNpAlGwQr006ljwMiM"",
      ""GSC最新!A:R""
    ),
    8,
    FALSE
  ),
  0
)
"),0.0)</f>
        <v>0</v>
      </c>
      <c r="S191" s="9">
        <f>IFERROR(__xludf.DUMMYFUNCTION("IFERROR(
  VLOOKUP(
    A191,
    IMPORTRANGE(
      ""1ZHMy3vVUd_0MrSduXTe1etBb1HNpAlGwQr006ljwMiM"",
      ""GSC最新!A:R""
    ),
    11,
    FALSE
  ),
  0
)
"),0.0)</f>
        <v>0</v>
      </c>
      <c r="T191" s="9">
        <f>IFERROR(__xludf.DUMMYFUNCTION("IFERROR(
  VLOOKUP(
    A191,
    IMPORTRANGE(
      ""1ZHMy3vVUd_0MrSduXTe1etBb1HNpAlGwQr006ljwMiM"",
      ""GSC最新!A:R""
    ),
    14,
    FALSE
  ),
  0
)
"),0.0)</f>
        <v>0</v>
      </c>
      <c r="U191" s="9">
        <f>IFERROR(__xludf.DUMMYFUNCTION("IFERROR(
  VLOOKUP(
    A191,
    IMPORTRANGE(
      ""1ZHMy3vVUd_0MrSduXTe1etBb1HNpAlGwQr006ljwMiM"",
      ""GSC最新!A:R""
    ),
    17,
    FALSE
  ),
  0
)
"),0.0)</f>
        <v>0</v>
      </c>
      <c r="V191" s="9">
        <f t="shared" ref="V191:W191" si="948">IFERROR(R191-T191,"-")</f>
        <v>0</v>
      </c>
      <c r="W191" s="9">
        <f t="shared" si="948"/>
        <v>0</v>
      </c>
      <c r="X191" s="65" t="str">
        <f>IFERROR(__xludf.DUMMYFUNCTION("IFERROR(
  VLOOKUP(
    A191,
    IMPORTRANGE(
      ""1ZHMy3vVUd_0MrSduXTe1etBb1HNpAlGwQr006ljwMiM"",
      ""GSC最新!A:R""
    ),
    9,
    FALSE
  ),
  0
)
"),"")</f>
        <v/>
      </c>
      <c r="Y191" s="65" t="str">
        <f>IFERROR(__xludf.DUMMYFUNCTION("IFERROR(
  VLOOKUP(
    A191,
    IMPORTRANGE(
      ""1ZHMy3vVUd_0MrSduXTe1etBb1HNpAlGwQr006ljwMiM"",
      ""GSC最新!A:R""
    ),
    12,
    FALSE
  ),
  0
)
"),"")</f>
        <v/>
      </c>
      <c r="Z191" s="65" t="str">
        <f>IFERROR(__xludf.DUMMYFUNCTION("IFERROR(
  VLOOKUP(
    A191,
    IMPORTRANGE(
      ""1ZHMy3vVUd_0MrSduXTe1etBb1HNpAlGwQr006ljwMiM"",
      ""GSC最新!A:R""
    ),
    15,
    FALSE
  ),
  0
)
"),"")</f>
        <v/>
      </c>
      <c r="AA191" s="65" t="str">
        <f>IFERROR(__xludf.DUMMYFUNCTION("IFERROR(
  VLOOKUP(
    A191,
    IMPORTRANGE(
      ""1ZHMy3vVUd_0MrSduXTe1etBb1HNpAlGwQr006ljwMiM"",
      ""GSC最新!A:R""
    ),
    18,
    FALSE
  ),
  0
)
"),"")</f>
        <v/>
      </c>
      <c r="AB191" s="65">
        <f t="shared" ref="AB191:AC191" si="949">X191-Z191</f>
        <v>0</v>
      </c>
      <c r="AC191" s="65">
        <f t="shared" si="949"/>
        <v>0</v>
      </c>
      <c r="AD191" s="53">
        <f>IFERROR(__xludf.DUMMYFUNCTION("IFERROR(
  VLOOKUP(
    A191,
    IMPORTRANGE(
      ""1ZHMy3vVUd_0MrSduXTe1etBb1HNpAlGwQr006ljwMiM"",
      ""GSC最新!A:F""
    ),
    6,
    FALSE
  ),
  0
)
"),46081.0)</f>
        <v>46081</v>
      </c>
      <c r="AE191" s="54">
        <f>IFERROR(__xludf.DUMMYFUNCTION("IFERROR(
  VLOOKUP(
    A191,
    IMPORTRANGE(
      ""1SCYQd7_cobOYqT0r_F0IqD4tE4rYn5y8Eup4PJTH8es"",
      ""Snapshot!A:M""
    ),
    5,
    FALSE
  ),
  ""-""
)
"),0.0)</f>
        <v>0</v>
      </c>
      <c r="AF191" s="54">
        <f>IFERROR(__xludf.DUMMYFUNCTION("IFERROR(
  VLOOKUP(
    A191,
    IMPORTRANGE(
      ""1SCYQd7_cobOYqT0r_F0IqD4tE4rYn5y8Eup4PJTH8es"",
      ""Snapshot!A:M""
    ),
    6,
    FALSE
  ),
  0
)
"),0.0)</f>
        <v>0</v>
      </c>
      <c r="AG191" s="54">
        <f>IFERROR(__xludf.DUMMYFUNCTION("IFERROR(
  VLOOKUP(
    A191,
    IMPORTRANGE(
      ""1SCYQd7_cobOYqT0r_F0IqD4tE4rYn5y8Eup4PJTH8es"",
      ""Snapshot!A:M""
    ),
    7,
    FALSE
  ),
  0
)
"),857.0)</f>
        <v>857</v>
      </c>
      <c r="AH191" s="54">
        <f>IFERROR(__xludf.DUMMYFUNCTION("IFERROR(
  VLOOKUP(
    A191,
    IMPORTRANGE(
      ""1SCYQd7_cobOYqT0r_F0IqD4tE4rYn5y8Eup4PJTH8es"",
      ""Snapshot!A:M""
    ),
    8,
    FALSE
  ),
  0
)
"),3.0)</f>
        <v>3</v>
      </c>
      <c r="AI191" s="54">
        <f>IFERROR(__xludf.DUMMYFUNCTION("IFERROR(
  VLOOKUP(
    A191,
    IMPORTRANGE(
      ""1SCYQd7_cobOYqT0r_F0IqD4tE4rYn5y8Eup4PJTH8es"",
      ""Snapshot!A:M""
    ),
    9,
    FALSE
  ),
  0
)
"),1.0)</f>
        <v>1</v>
      </c>
      <c r="AJ191" s="54">
        <f>IFERROR(__xludf.DUMMYFUNCTION("IFERROR(
  VLOOKUP(
    A191,
    IMPORTRANGE(
      ""1SCYQd7_cobOYqT0r_F0IqD4tE4rYn5y8Eup4PJTH8es"",
      ""Snapshot!A:M""
    ),
    13,
    FALSE
  ),
  0
)
"),3.0)</f>
        <v>3</v>
      </c>
      <c r="AK191" s="49">
        <f t="shared" ref="AK191:AL191" si="950">LEN(C191)</f>
        <v>68</v>
      </c>
      <c r="AL191" s="49">
        <f t="shared" si="950"/>
        <v>48</v>
      </c>
    </row>
    <row r="192">
      <c r="A192" s="3" t="s">
        <v>679</v>
      </c>
      <c r="B192" s="1" t="str">
        <f>IFERROR(__xludf.DUMMYFUNCTION("IFERROR(
  VLOOKUP(
    A192,
    IMPORTRANGE(
      ""1ZygntHC1J6IxzKbTidmOyf5nUyW4GCLurHCjexrLm_o"",
      ""HTMLキャッシュ!A:F""
    ),
    2,
    FALSE
  ),
  0
)
"),"NW")</f>
        <v>NW</v>
      </c>
      <c r="C192" s="1" t="str">
        <f>IFERROR(__xludf.DUMMYFUNCTION("IFERROR(
  VLOOKUP(
    A192,
    IMPORTRANGE(
      ""1ZygntHC1J6IxzKbTidmOyf5nUyW4GCLurHCjexrLm_o"",
      ""HTMLキャッシュ!A:F""
    ),
    5,
    FALSE
  ),
  0
)
"),"2019年度生徒募集のお知らせ【個別】 - 受験国語専門 読解ラボ東京 | 中学受験・大学受験対応の個別指導国語専門塾（オンライン・教室対応）")</f>
        <v>2019年度生徒募集のお知らせ【個別】 - 受験国語専門 読解ラボ東京 | 中学受験・大学受験対応の個別指導国語専門塾（オンライン・教室対応）</v>
      </c>
      <c r="D192" s="1" t="str">
        <f>IFERROR(__xludf.DUMMYFUNCTION("IFERROR(
  VLOOKUP(
    A192,
    IMPORTRANGE(
      ""1ZygntHC1J6IxzKbTidmOyf5nUyW4GCLurHCjexrLm_o        "",
      ""HTMLキャッシュ!A:F""
    ),
    6,
    FALSE
  ),
  0
)
"),"本日より、2019年度、「完全１対１」の個別指導の生徒募集を開始致します。 詳細については、下記をご覧下さいま")</f>
        <v>本日より、2019年度、「完全１対１」の個別指導の生徒募集を開始致します。 詳細については、下記をご覧下さいま</v>
      </c>
      <c r="E192" s="32">
        <f>IFERROR(__xludf.DUMMYFUNCTION("IFERROR(
  VLOOKUP(
    A192,
    IMPORTRANGE(
      ""1ZygntHC1J6IxzKbTidmOyf5nUyW4GCLurHCjexrLm_o        "",
      ""HTMLキャッシュ!A:F""
    ),
    3,
    FALSE
  ),
  0
)
"),43467.691157407404)</f>
        <v>43467.69116</v>
      </c>
      <c r="F192" s="49">
        <f>IFERROR(__xludf.DUMMYFUNCTION("IFERROR(
  VLOOKUP(
    A192,
    IMPORTRANGE(
      ""1ZHMy3vVUd_0MrSduXTe1etBb1HNpAlGwQr006ljwMiM"",
      ""GSC最新!A:F""
    ),
    2,
    FALSE
  ),
  0
)
"),0.0)</f>
        <v>0</v>
      </c>
      <c r="G192" s="49">
        <f>IFERROR(__xludf.DUMMYFUNCTION("IFERROR(
  VLOOKUP(
    A192,
    IMPORTRANGE(
      ""1ZHMy3vVUd_0MrSduXTe1etBb1HNpAlGwQr006ljwMiM"",
      ""GSC最新!A:F""
    ),
    3,
    FALSE
  ),
  0
)
"),0.0)</f>
        <v>0</v>
      </c>
      <c r="H192" s="49">
        <f>IFERROR(__xludf.DUMMYFUNCTION("IFERROR(
  VLOOKUP(
    A192,
    IMPORTRANGE(
      ""1ZHMy3vVUd_0MrSduXTe1etBb1HNpAlGwQr006ljwMiM"",
      ""GSC最新!A:F""
    ),
    4,
    FALSE
  ),
  0
)
"),0.0)</f>
        <v>0</v>
      </c>
      <c r="I192" s="49">
        <f>IFERROR(__xludf.DUMMYFUNCTION("IFERROR(
  VLOOKUP(
    A192,
    IMPORTRANGE(
      ""1ZHMy3vVUd_0MrSduXTe1etBb1HNpAlGwQr006ljwMiM"",
      ""GSC最新!A:F""
    ),
    5,
    FALSE
  ),
  0
)
"),0.0)</f>
        <v>0</v>
      </c>
      <c r="J192" s="50" t="str">
        <f t="shared" ref="J192:K192" si="951">IFERROR(F192/H192,"-")</f>
        <v>-</v>
      </c>
      <c r="K192" s="50" t="str">
        <f t="shared" si="951"/>
        <v>-</v>
      </c>
      <c r="L192" s="6">
        <f>IFERROR(__xludf.DUMMYFUNCTION("IFERROR(
  VLOOKUP(
    A192,
    IMPORTRANGE(
      ""1ZHMy3vVUd_0MrSduXTe1etBb1HNpAlGwQr006ljwMiM"",
      ""GSC最新!A:R""
    ),
    7,
    FALSE
  ),
  0
)
"),0.0)</f>
        <v>0</v>
      </c>
      <c r="M192" s="6">
        <f>IFERROR(__xludf.DUMMYFUNCTION("IFERROR(
  VLOOKUP(
    A192,
    IMPORTRANGE(
      ""1ZHMy3vVUd_0MrSduXTe1etBb1HNpAlGwQr006ljwMiM"",
      ""GSC最新!A:R""
    ),
    10,
    FALSE
  ),
  0
)
"),0.0)</f>
        <v>0</v>
      </c>
      <c r="N192" s="6">
        <f>IFERROR(__xludf.DUMMYFUNCTION("IFERROR(
  VLOOKUP(
    A192,
    IMPORTRANGE(
      ""1ZHMy3vVUd_0MrSduXTe1etBb1HNpAlGwQr006ljwMiM"",
      ""GSC最新!A:R""
    ),
    13,
    FALSE
  ),
  0
)
"),0.0)</f>
        <v>0</v>
      </c>
      <c r="O192" s="6">
        <f>IFERROR(__xludf.DUMMYFUNCTION("IFERROR(
  VLOOKUP(
    A192,
    IMPORTRANGE(
      ""1ZHMy3vVUd_0MrSduXTe1etBb1HNpAlGwQr006ljwMiM"",
      ""GSC最新!A:R""
    ),
    16,
    FALSE
  ),
  0
)
"),0.0)</f>
        <v>0</v>
      </c>
      <c r="P192" s="51" t="str">
        <f t="shared" ref="P192:Q192" si="952">IFERROR(L192/N192,"-")</f>
        <v>-</v>
      </c>
      <c r="Q192" s="51" t="str">
        <f t="shared" si="952"/>
        <v>-</v>
      </c>
      <c r="R192" s="9">
        <f>IFERROR(__xludf.DUMMYFUNCTION("IFERROR(
  VLOOKUP(
    A192,
    IMPORTRANGE(
      ""1ZHMy3vVUd_0MrSduXTe1etBb1HNpAlGwQr006ljwMiM"",
      ""GSC最新!A:R""
    ),
    8,
    FALSE
  ),
  0
)
"),0.0)</f>
        <v>0</v>
      </c>
      <c r="S192" s="9">
        <f>IFERROR(__xludf.DUMMYFUNCTION("IFERROR(
  VLOOKUP(
    A192,
    IMPORTRANGE(
      ""1ZHMy3vVUd_0MrSduXTe1etBb1HNpAlGwQr006ljwMiM"",
      ""GSC最新!A:R""
    ),
    11,
    FALSE
  ),
  0
)
"),0.0)</f>
        <v>0</v>
      </c>
      <c r="T192" s="9">
        <f>IFERROR(__xludf.DUMMYFUNCTION("IFERROR(
  VLOOKUP(
    A192,
    IMPORTRANGE(
      ""1ZHMy3vVUd_0MrSduXTe1etBb1HNpAlGwQr006ljwMiM"",
      ""GSC最新!A:R""
    ),
    14,
    FALSE
  ),
  0
)
"),0.0)</f>
        <v>0</v>
      </c>
      <c r="U192" s="9">
        <f>IFERROR(__xludf.DUMMYFUNCTION("IFERROR(
  VLOOKUP(
    A192,
    IMPORTRANGE(
      ""1ZHMy3vVUd_0MrSduXTe1etBb1HNpAlGwQr006ljwMiM"",
      ""GSC最新!A:R""
    ),
    17,
    FALSE
  ),
  0
)
"),0.0)</f>
        <v>0</v>
      </c>
      <c r="V192" s="9">
        <f t="shared" ref="V192:W192" si="953">IFERROR(R192-T192,"-")</f>
        <v>0</v>
      </c>
      <c r="W192" s="9">
        <f t="shared" si="953"/>
        <v>0</v>
      </c>
      <c r="X192" s="65" t="str">
        <f>IFERROR(__xludf.DUMMYFUNCTION("IFERROR(
  VLOOKUP(
    A192,
    IMPORTRANGE(
      ""1ZHMy3vVUd_0MrSduXTe1etBb1HNpAlGwQr006ljwMiM"",
      ""GSC最新!A:R""
    ),
    9,
    FALSE
  ),
  0
)
"),"")</f>
        <v/>
      </c>
      <c r="Y192" s="65" t="str">
        <f>IFERROR(__xludf.DUMMYFUNCTION("IFERROR(
  VLOOKUP(
    A192,
    IMPORTRANGE(
      ""1ZHMy3vVUd_0MrSduXTe1etBb1HNpAlGwQr006ljwMiM"",
      ""GSC最新!A:R""
    ),
    12,
    FALSE
  ),
  0
)
"),"")</f>
        <v/>
      </c>
      <c r="Z192" s="65" t="str">
        <f>IFERROR(__xludf.DUMMYFUNCTION("IFERROR(
  VLOOKUP(
    A192,
    IMPORTRANGE(
      ""1ZHMy3vVUd_0MrSduXTe1etBb1HNpAlGwQr006ljwMiM"",
      ""GSC最新!A:R""
    ),
    15,
    FALSE
  ),
  0
)
"),"")</f>
        <v/>
      </c>
      <c r="AA192" s="65" t="str">
        <f>IFERROR(__xludf.DUMMYFUNCTION("IFERROR(
  VLOOKUP(
    A192,
    IMPORTRANGE(
      ""1ZHMy3vVUd_0MrSduXTe1etBb1HNpAlGwQr006ljwMiM"",
      ""GSC最新!A:R""
    ),
    18,
    FALSE
  ),
  0
)
"),"")</f>
        <v/>
      </c>
      <c r="AB192" s="65">
        <f t="shared" ref="AB192:AC192" si="954">X192-Z192</f>
        <v>0</v>
      </c>
      <c r="AC192" s="65">
        <f t="shared" si="954"/>
        <v>0</v>
      </c>
      <c r="AD192" s="53">
        <f>IFERROR(__xludf.DUMMYFUNCTION("IFERROR(
  VLOOKUP(
    A192,
    IMPORTRANGE(
      ""1ZHMy3vVUd_0MrSduXTe1etBb1HNpAlGwQr006ljwMiM"",
      ""GSC最新!A:F""
    ),
    6,
    FALSE
  ),
  0
)
"),46081.0)</f>
        <v>46081</v>
      </c>
      <c r="AE192" s="54">
        <f>IFERROR(__xludf.DUMMYFUNCTION("IFERROR(
  VLOOKUP(
    A192,
    IMPORTRANGE(
      ""1SCYQd7_cobOYqT0r_F0IqD4tE4rYn5y8Eup4PJTH8es"",
      ""Snapshot!A:M""
    ),
    5,
    FALSE
  ),
  ""-""
)
"),0.0)</f>
        <v>0</v>
      </c>
      <c r="AF192" s="54">
        <f>IFERROR(__xludf.DUMMYFUNCTION("IFERROR(
  VLOOKUP(
    A192,
    IMPORTRANGE(
      ""1SCYQd7_cobOYqT0r_F0IqD4tE4rYn5y8Eup4PJTH8es"",
      ""Snapshot!A:M""
    ),
    6,
    FALSE
  ),
  0
)
"),0.0)</f>
        <v>0</v>
      </c>
      <c r="AG192" s="54">
        <f>IFERROR(__xludf.DUMMYFUNCTION("IFERROR(
  VLOOKUP(
    A192,
    IMPORTRANGE(
      ""1SCYQd7_cobOYqT0r_F0IqD4tE4rYn5y8Eup4PJTH8es"",
      ""Snapshot!A:M""
    ),
    7,
    FALSE
  ),
  0
)
"),400.0)</f>
        <v>400</v>
      </c>
      <c r="AH192" s="54">
        <f>IFERROR(__xludf.DUMMYFUNCTION("IFERROR(
  VLOOKUP(
    A192,
    IMPORTRANGE(
      ""1SCYQd7_cobOYqT0r_F0IqD4tE4rYn5y8Eup4PJTH8es"",
      ""Snapshot!A:M""
    ),
    8,
    FALSE
  ),
  0
)
"),3.0)</f>
        <v>3</v>
      </c>
      <c r="AI192" s="54">
        <f>IFERROR(__xludf.DUMMYFUNCTION("IFERROR(
  VLOOKUP(
    A192,
    IMPORTRANGE(
      ""1SCYQd7_cobOYqT0r_F0IqD4tE4rYn5y8Eup4PJTH8es"",
      ""Snapshot!A:M""
    ),
    9,
    FALSE
  ),
  0
)
"),1.0)</f>
        <v>1</v>
      </c>
      <c r="AJ192" s="54">
        <f>IFERROR(__xludf.DUMMYFUNCTION("IFERROR(
  VLOOKUP(
    A192,
    IMPORTRANGE(
      ""1SCYQd7_cobOYqT0r_F0IqD4tE4rYn5y8Eup4PJTH8es"",
      ""Snapshot!A:M""
    ),
    13,
    FALSE
  ),
  0
)
"),3.0)</f>
        <v>3</v>
      </c>
      <c r="AK192" s="49">
        <f t="shared" ref="AK192:AL192" si="955">LEN(C192)</f>
        <v>71</v>
      </c>
      <c r="AL192" s="49">
        <f t="shared" si="955"/>
        <v>55</v>
      </c>
    </row>
    <row r="193">
      <c r="A193" s="3" t="s">
        <v>680</v>
      </c>
      <c r="B193" s="1" t="str">
        <f>IFERROR(__xludf.DUMMYFUNCTION("IFERROR(
  VLOOKUP(
    A193,
    IMPORTRANGE(
      ""1ZygntHC1J6IxzKbTidmOyf5nUyW4GCLurHCjexrLm_o"",
      ""HTMLキャッシュ!A:F""
    ),
    2,
    FALSE
  ),
  0
)
"),"NW")</f>
        <v>NW</v>
      </c>
      <c r="C193" s="1" t="str">
        <f>IFERROR(__xludf.DUMMYFUNCTION("IFERROR(
  VLOOKUP(
    A193,
    IMPORTRANGE(
      ""1ZygntHC1J6IxzKbTidmOyf5nUyW4GCLurHCjexrLm_o"",
      ""HTMLキャッシュ!A:F""
    ),
    5,
    FALSE
  ),
  0
)
"),"2019年度生徒募集のお知らせ【Basis】 - 受験国語専門 読解ラボ東京 | 中学受験・大学受験対応の個別指導国語専門塾（オンライン・教室対応）")</f>
        <v>2019年度生徒募集のお知らせ【Basis】 - 受験国語専門 読解ラボ東京 | 中学受験・大学受験対応の個別指導国語専門塾（オンライン・教室対応）</v>
      </c>
      <c r="D193" s="1" t="str">
        <f>IFERROR(__xludf.DUMMYFUNCTION("IFERROR(
  VLOOKUP(
    A193,
    IMPORTRANGE(
      ""1ZygntHC1J6IxzKbTidmOyf5nUyW4GCLurHCjexrLm_o        "",
      ""HTMLキャッシュ!A:F""
    ),
    6,
    FALSE
  ),
  0
)
"),"本日より、2019年度、長島式読解講座「Basis」の個別指導の生徒募集を開始致します。 詳細については、下記")</f>
        <v>本日より、2019年度、長島式読解講座「Basis」の個別指導の生徒募集を開始致します。 詳細については、下記</v>
      </c>
      <c r="E193" s="32">
        <f>IFERROR(__xludf.DUMMYFUNCTION("IFERROR(
  VLOOKUP(
    A193,
    IMPORTRANGE(
      ""1ZygntHC1J6IxzKbTidmOyf5nUyW4GCLurHCjexrLm_o        "",
      ""HTMLキャッシュ!A:F""
    ),
    3,
    FALSE
  ),
  0
)
"),43467.69315972222)</f>
        <v>43467.69316</v>
      </c>
      <c r="F193" s="49">
        <f>IFERROR(__xludf.DUMMYFUNCTION("IFERROR(
  VLOOKUP(
    A193,
    IMPORTRANGE(
      ""1ZHMy3vVUd_0MrSduXTe1etBb1HNpAlGwQr006ljwMiM"",
      ""GSC最新!A:F""
    ),
    2,
    FALSE
  ),
  0
)
"),0.0)</f>
        <v>0</v>
      </c>
      <c r="G193" s="49">
        <f>IFERROR(__xludf.DUMMYFUNCTION("IFERROR(
  VLOOKUP(
    A193,
    IMPORTRANGE(
      ""1ZHMy3vVUd_0MrSduXTe1etBb1HNpAlGwQr006ljwMiM"",
      ""GSC最新!A:F""
    ),
    3,
    FALSE
  ),
  0
)
"),0.0)</f>
        <v>0</v>
      </c>
      <c r="H193" s="49">
        <f>IFERROR(__xludf.DUMMYFUNCTION("IFERROR(
  VLOOKUP(
    A193,
    IMPORTRANGE(
      ""1ZHMy3vVUd_0MrSduXTe1etBb1HNpAlGwQr006ljwMiM"",
      ""GSC最新!A:F""
    ),
    4,
    FALSE
  ),
  0
)
"),0.0)</f>
        <v>0</v>
      </c>
      <c r="I193" s="49">
        <f>IFERROR(__xludf.DUMMYFUNCTION("IFERROR(
  VLOOKUP(
    A193,
    IMPORTRANGE(
      ""1ZHMy3vVUd_0MrSduXTe1etBb1HNpAlGwQr006ljwMiM"",
      ""GSC最新!A:F""
    ),
    5,
    FALSE
  ),
  0
)
"),0.0)</f>
        <v>0</v>
      </c>
      <c r="J193" s="50" t="str">
        <f t="shared" ref="J193:K193" si="956">IFERROR(F193/H193,"-")</f>
        <v>-</v>
      </c>
      <c r="K193" s="50" t="str">
        <f t="shared" si="956"/>
        <v>-</v>
      </c>
      <c r="L193" s="6">
        <f>IFERROR(__xludf.DUMMYFUNCTION("IFERROR(
  VLOOKUP(
    A193,
    IMPORTRANGE(
      ""1ZHMy3vVUd_0MrSduXTe1etBb1HNpAlGwQr006ljwMiM"",
      ""GSC最新!A:R""
    ),
    7,
    FALSE
  ),
  0
)
"),0.0)</f>
        <v>0</v>
      </c>
      <c r="M193" s="6">
        <f>IFERROR(__xludf.DUMMYFUNCTION("IFERROR(
  VLOOKUP(
    A193,
    IMPORTRANGE(
      ""1ZHMy3vVUd_0MrSduXTe1etBb1HNpAlGwQr006ljwMiM"",
      ""GSC最新!A:R""
    ),
    10,
    FALSE
  ),
  0
)
"),0.0)</f>
        <v>0</v>
      </c>
      <c r="N193" s="6">
        <f>IFERROR(__xludf.DUMMYFUNCTION("IFERROR(
  VLOOKUP(
    A193,
    IMPORTRANGE(
      ""1ZHMy3vVUd_0MrSduXTe1etBb1HNpAlGwQr006ljwMiM"",
      ""GSC最新!A:R""
    ),
    13,
    FALSE
  ),
  0
)
"),0.0)</f>
        <v>0</v>
      </c>
      <c r="O193" s="6">
        <f>IFERROR(__xludf.DUMMYFUNCTION("IFERROR(
  VLOOKUP(
    A193,
    IMPORTRANGE(
      ""1ZHMy3vVUd_0MrSduXTe1etBb1HNpAlGwQr006ljwMiM"",
      ""GSC最新!A:R""
    ),
    16,
    FALSE
  ),
  0
)
"),0.0)</f>
        <v>0</v>
      </c>
      <c r="P193" s="51" t="str">
        <f t="shared" ref="P193:Q193" si="957">IFERROR(L193/N193,"-")</f>
        <v>-</v>
      </c>
      <c r="Q193" s="51" t="str">
        <f t="shared" si="957"/>
        <v>-</v>
      </c>
      <c r="R193" s="9">
        <f>IFERROR(__xludf.DUMMYFUNCTION("IFERROR(
  VLOOKUP(
    A193,
    IMPORTRANGE(
      ""1ZHMy3vVUd_0MrSduXTe1etBb1HNpAlGwQr006ljwMiM"",
      ""GSC最新!A:R""
    ),
    8,
    FALSE
  ),
  0
)
"),0.0)</f>
        <v>0</v>
      </c>
      <c r="S193" s="9">
        <f>IFERROR(__xludf.DUMMYFUNCTION("IFERROR(
  VLOOKUP(
    A193,
    IMPORTRANGE(
      ""1ZHMy3vVUd_0MrSduXTe1etBb1HNpAlGwQr006ljwMiM"",
      ""GSC最新!A:R""
    ),
    11,
    FALSE
  ),
  0
)
"),0.0)</f>
        <v>0</v>
      </c>
      <c r="T193" s="9">
        <f>IFERROR(__xludf.DUMMYFUNCTION("IFERROR(
  VLOOKUP(
    A193,
    IMPORTRANGE(
      ""1ZHMy3vVUd_0MrSduXTe1etBb1HNpAlGwQr006ljwMiM"",
      ""GSC最新!A:R""
    ),
    14,
    FALSE
  ),
  0
)
"),0.0)</f>
        <v>0</v>
      </c>
      <c r="U193" s="9">
        <f>IFERROR(__xludf.DUMMYFUNCTION("IFERROR(
  VLOOKUP(
    A193,
    IMPORTRANGE(
      ""1ZHMy3vVUd_0MrSduXTe1etBb1HNpAlGwQr006ljwMiM"",
      ""GSC最新!A:R""
    ),
    17,
    FALSE
  ),
  0
)
"),0.0)</f>
        <v>0</v>
      </c>
      <c r="V193" s="9">
        <f t="shared" ref="V193:W193" si="958">IFERROR(R193-T193,"-")</f>
        <v>0</v>
      </c>
      <c r="W193" s="9">
        <f t="shared" si="958"/>
        <v>0</v>
      </c>
      <c r="X193" s="65" t="str">
        <f>IFERROR(__xludf.DUMMYFUNCTION("IFERROR(
  VLOOKUP(
    A193,
    IMPORTRANGE(
      ""1ZHMy3vVUd_0MrSduXTe1etBb1HNpAlGwQr006ljwMiM"",
      ""GSC最新!A:R""
    ),
    9,
    FALSE
  ),
  0
)
"),"")</f>
        <v/>
      </c>
      <c r="Y193" s="65" t="str">
        <f>IFERROR(__xludf.DUMMYFUNCTION("IFERROR(
  VLOOKUP(
    A193,
    IMPORTRANGE(
      ""1ZHMy3vVUd_0MrSduXTe1etBb1HNpAlGwQr006ljwMiM"",
      ""GSC最新!A:R""
    ),
    12,
    FALSE
  ),
  0
)
"),"")</f>
        <v/>
      </c>
      <c r="Z193" s="65" t="str">
        <f>IFERROR(__xludf.DUMMYFUNCTION("IFERROR(
  VLOOKUP(
    A193,
    IMPORTRANGE(
      ""1ZHMy3vVUd_0MrSduXTe1etBb1HNpAlGwQr006ljwMiM"",
      ""GSC最新!A:R""
    ),
    15,
    FALSE
  ),
  0
)
"),"")</f>
        <v/>
      </c>
      <c r="AA193" s="65" t="str">
        <f>IFERROR(__xludf.DUMMYFUNCTION("IFERROR(
  VLOOKUP(
    A193,
    IMPORTRANGE(
      ""1ZHMy3vVUd_0MrSduXTe1etBb1HNpAlGwQr006ljwMiM"",
      ""GSC最新!A:R""
    ),
    18,
    FALSE
  ),
  0
)
"),"")</f>
        <v/>
      </c>
      <c r="AB193" s="65">
        <f t="shared" ref="AB193:AC193" si="959">X193-Z193</f>
        <v>0</v>
      </c>
      <c r="AC193" s="65">
        <f t="shared" si="959"/>
        <v>0</v>
      </c>
      <c r="AD193" s="53">
        <f>IFERROR(__xludf.DUMMYFUNCTION("IFERROR(
  VLOOKUP(
    A193,
    IMPORTRANGE(
      ""1ZHMy3vVUd_0MrSduXTe1etBb1HNpAlGwQr006ljwMiM"",
      ""GSC最新!A:F""
    ),
    6,
    FALSE
  ),
  0
)
"),46081.0)</f>
        <v>46081</v>
      </c>
      <c r="AE193" s="54">
        <f>IFERROR(__xludf.DUMMYFUNCTION("IFERROR(
  VLOOKUP(
    A193,
    IMPORTRANGE(
      ""1SCYQd7_cobOYqT0r_F0IqD4tE4rYn5y8Eup4PJTH8es"",
      ""Snapshot!A:M""
    ),
    5,
    FALSE
  ),
  ""-""
)
"),0.0)</f>
        <v>0</v>
      </c>
      <c r="AF193" s="54">
        <f>IFERROR(__xludf.DUMMYFUNCTION("IFERROR(
  VLOOKUP(
    A193,
    IMPORTRANGE(
      ""1SCYQd7_cobOYqT0r_F0IqD4tE4rYn5y8Eup4PJTH8es"",
      ""Snapshot!A:M""
    ),
    6,
    FALSE
  ),
  0
)
"),0.0)</f>
        <v>0</v>
      </c>
      <c r="AG193" s="54">
        <f>IFERROR(__xludf.DUMMYFUNCTION("IFERROR(
  VLOOKUP(
    A193,
    IMPORTRANGE(
      ""1SCYQd7_cobOYqT0r_F0IqD4tE4rYn5y8Eup4PJTH8es"",
      ""Snapshot!A:M""
    ),
    7,
    FALSE
  ),
  0
)
"),397.0)</f>
        <v>397</v>
      </c>
      <c r="AH193" s="54">
        <f>IFERROR(__xludf.DUMMYFUNCTION("IFERROR(
  VLOOKUP(
    A193,
    IMPORTRANGE(
      ""1SCYQd7_cobOYqT0r_F0IqD4tE4rYn5y8Eup4PJTH8es"",
      ""Snapshot!A:M""
    ),
    8,
    FALSE
  ),
  0
)
"),3.0)</f>
        <v>3</v>
      </c>
      <c r="AI193" s="54">
        <f>IFERROR(__xludf.DUMMYFUNCTION("IFERROR(
  VLOOKUP(
    A193,
    IMPORTRANGE(
      ""1SCYQd7_cobOYqT0r_F0IqD4tE4rYn5y8Eup4PJTH8es"",
      ""Snapshot!A:M""
    ),
    9,
    FALSE
  ),
  0
)
"),1.0)</f>
        <v>1</v>
      </c>
      <c r="AJ193" s="54">
        <f>IFERROR(__xludf.DUMMYFUNCTION("IFERROR(
  VLOOKUP(
    A193,
    IMPORTRANGE(
      ""1SCYQd7_cobOYqT0r_F0IqD4tE4rYn5y8Eup4PJTH8es"",
      ""Snapshot!A:M""
    ),
    13,
    FALSE
  ),
  0
)
"),3.0)</f>
        <v>3</v>
      </c>
      <c r="AK193" s="49">
        <f t="shared" ref="AK193:AL193" si="960">LEN(C193)</f>
        <v>74</v>
      </c>
      <c r="AL193" s="49">
        <f t="shared" si="960"/>
        <v>55</v>
      </c>
    </row>
    <row r="194">
      <c r="A194" s="3" t="s">
        <v>681</v>
      </c>
      <c r="B194" s="1" t="str">
        <f>IFERROR(__xludf.DUMMYFUNCTION("IFERROR(
  VLOOKUP(
    A194,
    IMPORTRANGE(
      ""1ZygntHC1J6IxzKbTidmOyf5nUyW4GCLurHCjexrLm_o"",
      ""HTMLキャッシュ!A:F""
    ),
    2,
    FALSE
  ),
  0
)
"),"NW")</f>
        <v>NW</v>
      </c>
      <c r="C194" s="1" t="str">
        <f>IFERROR(__xludf.DUMMYFUNCTION("IFERROR(
  VLOOKUP(
    A194,
    IMPORTRANGE(
      ""1ZygntHC1J6IxzKbTidmOyf5nUyW4GCLurHCjexrLm_o"",
      ""HTMLキャッシュ!A:F""
    ),
    5,
    FALSE
  ),
  0
)
"),"【得点力養成講座】2019年度集団授業開催のお知らせ【小６対象】 - 受験国語専門 読解ラボ東京 | 中学受験・大学受験対応の個別指導国語専門塾（オンライン・教室対応）")</f>
        <v>【得点力養成講座】2019年度集団授業開催のお知らせ【小６対象】 - 受験国語専門 読解ラボ東京 | 中学受験・大学受験対応の個別指導国語専門塾（オンライン・教室対応）</v>
      </c>
      <c r="D194" s="1" t="str">
        <f>IFERROR(__xludf.DUMMYFUNCTION("IFERROR(
  VLOOKUP(
    A194,
    IMPORTRANGE(
      ""1ZygntHC1J6IxzKbTidmOyf5nUyW4GCLurHCjexrLm_o        "",
      ""HTMLキャッシュ!A:F""
    ),
    6,
    FALSE
  ),
  0
)
"),"新春の候、日々の学習に勤しんでおられることと思いますが、本日は１点お知らせです。 この度、読解ラボ東京では、2")</f>
        <v>新春の候、日々の学習に勤しんでおられることと思いますが、本日は１点お知らせです。 この度、読解ラボ東京では、2</v>
      </c>
      <c r="E194" s="32">
        <f>IFERROR(__xludf.DUMMYFUNCTION("IFERROR(
  VLOOKUP(
    A194,
    IMPORTRANGE(
      ""1ZygntHC1J6IxzKbTidmOyf5nUyW4GCLurHCjexrLm_o        "",
      ""HTMLキャッシュ!A:F""
    ),
    3,
    FALSE
  ),
  0
)
"),43467.696967592594)</f>
        <v>43467.69697</v>
      </c>
      <c r="F194" s="49">
        <f>IFERROR(__xludf.DUMMYFUNCTION("IFERROR(
  VLOOKUP(
    A194,
    IMPORTRANGE(
      ""1ZHMy3vVUd_0MrSduXTe1etBb1HNpAlGwQr006ljwMiM"",
      ""GSC最新!A:F""
    ),
    2,
    FALSE
  ),
  0
)
"),0.0)</f>
        <v>0</v>
      </c>
      <c r="G194" s="49">
        <f>IFERROR(__xludf.DUMMYFUNCTION("IFERROR(
  VLOOKUP(
    A194,
    IMPORTRANGE(
      ""1ZHMy3vVUd_0MrSduXTe1etBb1HNpAlGwQr006ljwMiM"",
      ""GSC最新!A:F""
    ),
    3,
    FALSE
  ),
  0
)
"),0.0)</f>
        <v>0</v>
      </c>
      <c r="H194" s="49">
        <f>IFERROR(__xludf.DUMMYFUNCTION("IFERROR(
  VLOOKUP(
    A194,
    IMPORTRANGE(
      ""1ZHMy3vVUd_0MrSduXTe1etBb1HNpAlGwQr006ljwMiM"",
      ""GSC最新!A:F""
    ),
    4,
    FALSE
  ),
  0
)
"),0.0)</f>
        <v>0</v>
      </c>
      <c r="I194" s="49">
        <f>IFERROR(__xludf.DUMMYFUNCTION("IFERROR(
  VLOOKUP(
    A194,
    IMPORTRANGE(
      ""1ZHMy3vVUd_0MrSduXTe1etBb1HNpAlGwQr006ljwMiM"",
      ""GSC最新!A:F""
    ),
    5,
    FALSE
  ),
  0
)
"),0.0)</f>
        <v>0</v>
      </c>
      <c r="J194" s="50" t="str">
        <f t="shared" ref="J194:K194" si="961">IFERROR(F194/H194,"-")</f>
        <v>-</v>
      </c>
      <c r="K194" s="50" t="str">
        <f t="shared" si="961"/>
        <v>-</v>
      </c>
      <c r="L194" s="6">
        <f>IFERROR(__xludf.DUMMYFUNCTION("IFERROR(
  VLOOKUP(
    A194,
    IMPORTRANGE(
      ""1ZHMy3vVUd_0MrSduXTe1etBb1HNpAlGwQr006ljwMiM"",
      ""GSC最新!A:R""
    ),
    7,
    FALSE
  ),
  0
)
"),0.0)</f>
        <v>0</v>
      </c>
      <c r="M194" s="6">
        <f>IFERROR(__xludf.DUMMYFUNCTION("IFERROR(
  VLOOKUP(
    A194,
    IMPORTRANGE(
      ""1ZHMy3vVUd_0MrSduXTe1etBb1HNpAlGwQr006ljwMiM"",
      ""GSC最新!A:R""
    ),
    10,
    FALSE
  ),
  0
)
"),0.0)</f>
        <v>0</v>
      </c>
      <c r="N194" s="6">
        <f>IFERROR(__xludf.DUMMYFUNCTION("IFERROR(
  VLOOKUP(
    A194,
    IMPORTRANGE(
      ""1ZHMy3vVUd_0MrSduXTe1etBb1HNpAlGwQr006ljwMiM"",
      ""GSC最新!A:R""
    ),
    13,
    FALSE
  ),
  0
)
"),0.0)</f>
        <v>0</v>
      </c>
      <c r="O194" s="6">
        <f>IFERROR(__xludf.DUMMYFUNCTION("IFERROR(
  VLOOKUP(
    A194,
    IMPORTRANGE(
      ""1ZHMy3vVUd_0MrSduXTe1etBb1HNpAlGwQr006ljwMiM"",
      ""GSC最新!A:R""
    ),
    16,
    FALSE
  ),
  0
)
"),0.0)</f>
        <v>0</v>
      </c>
      <c r="P194" s="51" t="str">
        <f t="shared" ref="P194:Q194" si="962">IFERROR(L194/N194,"-")</f>
        <v>-</v>
      </c>
      <c r="Q194" s="51" t="str">
        <f t="shared" si="962"/>
        <v>-</v>
      </c>
      <c r="R194" s="9">
        <f>IFERROR(__xludf.DUMMYFUNCTION("IFERROR(
  VLOOKUP(
    A194,
    IMPORTRANGE(
      ""1ZHMy3vVUd_0MrSduXTe1etBb1HNpAlGwQr006ljwMiM"",
      ""GSC最新!A:R""
    ),
    8,
    FALSE
  ),
  0
)
"),0.0)</f>
        <v>0</v>
      </c>
      <c r="S194" s="9">
        <f>IFERROR(__xludf.DUMMYFUNCTION("IFERROR(
  VLOOKUP(
    A194,
    IMPORTRANGE(
      ""1ZHMy3vVUd_0MrSduXTe1etBb1HNpAlGwQr006ljwMiM"",
      ""GSC最新!A:R""
    ),
    11,
    FALSE
  ),
  0
)
"),0.0)</f>
        <v>0</v>
      </c>
      <c r="T194" s="9">
        <f>IFERROR(__xludf.DUMMYFUNCTION("IFERROR(
  VLOOKUP(
    A194,
    IMPORTRANGE(
      ""1ZHMy3vVUd_0MrSduXTe1etBb1HNpAlGwQr006ljwMiM"",
      ""GSC最新!A:R""
    ),
    14,
    FALSE
  ),
  0
)
"),0.0)</f>
        <v>0</v>
      </c>
      <c r="U194" s="9">
        <f>IFERROR(__xludf.DUMMYFUNCTION("IFERROR(
  VLOOKUP(
    A194,
    IMPORTRANGE(
      ""1ZHMy3vVUd_0MrSduXTe1etBb1HNpAlGwQr006ljwMiM"",
      ""GSC最新!A:R""
    ),
    17,
    FALSE
  ),
  0
)
"),0.0)</f>
        <v>0</v>
      </c>
      <c r="V194" s="9">
        <f t="shared" ref="V194:W194" si="963">IFERROR(R194-T194,"-")</f>
        <v>0</v>
      </c>
      <c r="W194" s="9">
        <f t="shared" si="963"/>
        <v>0</v>
      </c>
      <c r="X194" s="65" t="str">
        <f>IFERROR(__xludf.DUMMYFUNCTION("IFERROR(
  VLOOKUP(
    A194,
    IMPORTRANGE(
      ""1ZHMy3vVUd_0MrSduXTe1etBb1HNpAlGwQr006ljwMiM"",
      ""GSC最新!A:R""
    ),
    9,
    FALSE
  ),
  0
)
"),"")</f>
        <v/>
      </c>
      <c r="Y194" s="65" t="str">
        <f>IFERROR(__xludf.DUMMYFUNCTION("IFERROR(
  VLOOKUP(
    A194,
    IMPORTRANGE(
      ""1ZHMy3vVUd_0MrSduXTe1etBb1HNpAlGwQr006ljwMiM"",
      ""GSC最新!A:R""
    ),
    12,
    FALSE
  ),
  0
)
"),"")</f>
        <v/>
      </c>
      <c r="Z194" s="65" t="str">
        <f>IFERROR(__xludf.DUMMYFUNCTION("IFERROR(
  VLOOKUP(
    A194,
    IMPORTRANGE(
      ""1ZHMy3vVUd_0MrSduXTe1etBb1HNpAlGwQr006ljwMiM"",
      ""GSC最新!A:R""
    ),
    15,
    FALSE
  ),
  0
)
"),"")</f>
        <v/>
      </c>
      <c r="AA194" s="65" t="str">
        <f>IFERROR(__xludf.DUMMYFUNCTION("IFERROR(
  VLOOKUP(
    A194,
    IMPORTRANGE(
      ""1ZHMy3vVUd_0MrSduXTe1etBb1HNpAlGwQr006ljwMiM"",
      ""GSC最新!A:R""
    ),
    18,
    FALSE
  ),
  0
)
"),"")</f>
        <v/>
      </c>
      <c r="AB194" s="65">
        <f t="shared" ref="AB194:AC194" si="964">X194-Z194</f>
        <v>0</v>
      </c>
      <c r="AC194" s="65">
        <f t="shared" si="964"/>
        <v>0</v>
      </c>
      <c r="AD194" s="53">
        <f>IFERROR(__xludf.DUMMYFUNCTION("IFERROR(
  VLOOKUP(
    A194,
    IMPORTRANGE(
      ""1ZHMy3vVUd_0MrSduXTe1etBb1HNpAlGwQr006ljwMiM"",
      ""GSC最新!A:F""
    ),
    6,
    FALSE
  ),
  0
)
"),46081.0)</f>
        <v>46081</v>
      </c>
      <c r="AE194" s="54">
        <f>IFERROR(__xludf.DUMMYFUNCTION("IFERROR(
  VLOOKUP(
    A194,
    IMPORTRANGE(
      ""1SCYQd7_cobOYqT0r_F0IqD4tE4rYn5y8Eup4PJTH8es"",
      ""Snapshot!A:M""
    ),
    5,
    FALSE
  ),
  ""-""
)
"),0.0)</f>
        <v>0</v>
      </c>
      <c r="AF194" s="54">
        <f>IFERROR(__xludf.DUMMYFUNCTION("IFERROR(
  VLOOKUP(
    A194,
    IMPORTRANGE(
      ""1SCYQd7_cobOYqT0r_F0IqD4tE4rYn5y8Eup4PJTH8es"",
      ""Snapshot!A:M""
    ),
    6,
    FALSE
  ),
  0
)
"),6.0)</f>
        <v>6</v>
      </c>
      <c r="AG194" s="54">
        <f>IFERROR(__xludf.DUMMYFUNCTION("IFERROR(
  VLOOKUP(
    A194,
    IMPORTRANGE(
      ""1SCYQd7_cobOYqT0r_F0IqD4tE4rYn5y8Eup4PJTH8es"",
      ""Snapshot!A:M""
    ),
    7,
    FALSE
  ),
  0
)
"),1084.0)</f>
        <v>1084</v>
      </c>
      <c r="AH194" s="54">
        <f>IFERROR(__xludf.DUMMYFUNCTION("IFERROR(
  VLOOKUP(
    A194,
    IMPORTRANGE(
      ""1SCYQd7_cobOYqT0r_F0IqD4tE4rYn5y8Eup4PJTH8es"",
      ""Snapshot!A:M""
    ),
    8,
    FALSE
  ),
  0
)
"),1.0)</f>
        <v>1</v>
      </c>
      <c r="AI194" s="54">
        <f>IFERROR(__xludf.DUMMYFUNCTION("IFERROR(
  VLOOKUP(
    A194,
    IMPORTRANGE(
      ""1SCYQd7_cobOYqT0r_F0IqD4tE4rYn5y8Eup4PJTH8es"",
      ""Snapshot!A:M""
    ),
    9,
    FALSE
  ),
  0
)
"),1.0)</f>
        <v>1</v>
      </c>
      <c r="AJ194" s="54">
        <f>IFERROR(__xludf.DUMMYFUNCTION("IFERROR(
  VLOOKUP(
    A194,
    IMPORTRANGE(
      ""1SCYQd7_cobOYqT0r_F0IqD4tE4rYn5y8Eup4PJTH8es"",
      ""Snapshot!A:M""
    ),
    13,
    FALSE
  ),
  0
)
"),3.0)</f>
        <v>3</v>
      </c>
      <c r="AK194" s="49">
        <f t="shared" ref="AK194:AL194" si="965">LEN(C194)</f>
        <v>84</v>
      </c>
      <c r="AL194" s="49">
        <f t="shared" si="965"/>
        <v>55</v>
      </c>
    </row>
    <row r="195">
      <c r="A195" s="3" t="s">
        <v>682</v>
      </c>
      <c r="B195" s="1" t="str">
        <f>IFERROR(__xludf.DUMMYFUNCTION("IFERROR(
  VLOOKUP(
    A195,
    IMPORTRANGE(
      ""1ZygntHC1J6IxzKbTidmOyf5nUyW4GCLurHCjexrLm_o"",
      ""HTMLキャッシュ!A:F""
    ),
    2,
    FALSE
  ),
  0
)
"),"NW")</f>
        <v>NW</v>
      </c>
      <c r="C195" s="1" t="str">
        <f>IFERROR(__xludf.DUMMYFUNCTION("IFERROR(
  VLOOKUP(
    A195,
    IMPORTRANGE(
      ""1ZygntHC1J6IxzKbTidmOyf5nUyW4GCLurHCjexrLm_o"",
      ""HTMLキャッシュ!A:F""
    ),
    5,
    FALSE
  ),
  0
)
"),"国公立大学現代文攻略（ごま書房）発売のお知らせ - 受験国語専門 読解ラボ東京 | 中学受験・大学受験対応の個別指導国語専門塾（オンライン・教室対応）")</f>
        <v>国公立大学現代文攻略（ごま書房）発売のお知らせ - 受験国語専門 読解ラボ東京 | 中学受験・大学受験対応の個別指導国語専門塾（オンライン・教室対応）</v>
      </c>
      <c r="D195" s="1" t="str">
        <f>IFERROR(__xludf.DUMMYFUNCTION("IFERROR(
  VLOOKUP(
    A195,
    IMPORTRANGE(
      ""1ZygntHC1J6IxzKbTidmOyf5nUyW4GCLurHCjexrLm_o        "",
      ""HTMLキャッシュ!A:F""
    ),
    6,
    FALSE
  ),
  0
)
"),"読解ラボ東京のホームページをご覧いただき、誠にありがとうございます。 代表の長島です。 拙著「国")</f>
        <v>読解ラボ東京のホームページをご覧いただき、誠にありがとうございます。 代表の長島です。 拙著「国</v>
      </c>
      <c r="E195" s="32">
        <f>IFERROR(__xludf.DUMMYFUNCTION("IFERROR(
  VLOOKUP(
    A195,
    IMPORTRANGE(
      ""1ZygntHC1J6IxzKbTidmOyf5nUyW4GCLurHCjexrLm_o        "",
      ""HTMLキャッシュ!A:F""
    ),
    3,
    FALSE
  ),
  0
)
"),43500.67297453704)</f>
        <v>43500.67297</v>
      </c>
      <c r="F195" s="49">
        <f>IFERROR(__xludf.DUMMYFUNCTION("IFERROR(
  VLOOKUP(
    A195,
    IMPORTRANGE(
      ""1ZHMy3vVUd_0MrSduXTe1etBb1HNpAlGwQr006ljwMiM"",
      ""GSC最新!A:F""
    ),
    2,
    FALSE
  ),
  0
)
"),0.0)</f>
        <v>0</v>
      </c>
      <c r="G195" s="49">
        <f>IFERROR(__xludf.DUMMYFUNCTION("IFERROR(
  VLOOKUP(
    A195,
    IMPORTRANGE(
      ""1ZHMy3vVUd_0MrSduXTe1etBb1HNpAlGwQr006ljwMiM"",
      ""GSC最新!A:F""
    ),
    3,
    FALSE
  ),
  0
)
"),0.0)</f>
        <v>0</v>
      </c>
      <c r="H195" s="49">
        <f>IFERROR(__xludf.DUMMYFUNCTION("IFERROR(
  VLOOKUP(
    A195,
    IMPORTRANGE(
      ""1ZHMy3vVUd_0MrSduXTe1etBb1HNpAlGwQr006ljwMiM"",
      ""GSC最新!A:F""
    ),
    4,
    FALSE
  ),
  0
)
"),0.0)</f>
        <v>0</v>
      </c>
      <c r="I195" s="49">
        <f>IFERROR(__xludf.DUMMYFUNCTION("IFERROR(
  VLOOKUP(
    A195,
    IMPORTRANGE(
      ""1ZHMy3vVUd_0MrSduXTe1etBb1HNpAlGwQr006ljwMiM"",
      ""GSC最新!A:F""
    ),
    5,
    FALSE
  ),
  0
)
"),0.0)</f>
        <v>0</v>
      </c>
      <c r="J195" s="50" t="str">
        <f t="shared" ref="J195:K195" si="966">IFERROR(F195/H195,"-")</f>
        <v>-</v>
      </c>
      <c r="K195" s="50" t="str">
        <f t="shared" si="966"/>
        <v>-</v>
      </c>
      <c r="L195" s="6">
        <f>IFERROR(__xludf.DUMMYFUNCTION("IFERROR(
  VLOOKUP(
    A195,
    IMPORTRANGE(
      ""1ZHMy3vVUd_0MrSduXTe1etBb1HNpAlGwQr006ljwMiM"",
      ""GSC最新!A:R""
    ),
    7,
    FALSE
  ),
  0
)
"),0.0)</f>
        <v>0</v>
      </c>
      <c r="M195" s="6">
        <f>IFERROR(__xludf.DUMMYFUNCTION("IFERROR(
  VLOOKUP(
    A195,
    IMPORTRANGE(
      ""1ZHMy3vVUd_0MrSduXTe1etBb1HNpAlGwQr006ljwMiM"",
      ""GSC最新!A:R""
    ),
    10,
    FALSE
  ),
  0
)
"),0.0)</f>
        <v>0</v>
      </c>
      <c r="N195" s="6">
        <f>IFERROR(__xludf.DUMMYFUNCTION("IFERROR(
  VLOOKUP(
    A195,
    IMPORTRANGE(
      ""1ZHMy3vVUd_0MrSduXTe1etBb1HNpAlGwQr006ljwMiM"",
      ""GSC最新!A:R""
    ),
    13,
    FALSE
  ),
  0
)
"),0.0)</f>
        <v>0</v>
      </c>
      <c r="O195" s="6">
        <f>IFERROR(__xludf.DUMMYFUNCTION("IFERROR(
  VLOOKUP(
    A195,
    IMPORTRANGE(
      ""1ZHMy3vVUd_0MrSduXTe1etBb1HNpAlGwQr006ljwMiM"",
      ""GSC最新!A:R""
    ),
    16,
    FALSE
  ),
  0
)
"),0.0)</f>
        <v>0</v>
      </c>
      <c r="P195" s="51" t="str">
        <f t="shared" ref="P195:Q195" si="967">IFERROR(L195/N195,"-")</f>
        <v>-</v>
      </c>
      <c r="Q195" s="51" t="str">
        <f t="shared" si="967"/>
        <v>-</v>
      </c>
      <c r="R195" s="9">
        <f>IFERROR(__xludf.DUMMYFUNCTION("IFERROR(
  VLOOKUP(
    A195,
    IMPORTRANGE(
      ""1ZHMy3vVUd_0MrSduXTe1etBb1HNpAlGwQr006ljwMiM"",
      ""GSC最新!A:R""
    ),
    8,
    FALSE
  ),
  0
)
"),0.0)</f>
        <v>0</v>
      </c>
      <c r="S195" s="9">
        <f>IFERROR(__xludf.DUMMYFUNCTION("IFERROR(
  VLOOKUP(
    A195,
    IMPORTRANGE(
      ""1ZHMy3vVUd_0MrSduXTe1etBb1HNpAlGwQr006ljwMiM"",
      ""GSC最新!A:R""
    ),
    11,
    FALSE
  ),
  0
)
"),0.0)</f>
        <v>0</v>
      </c>
      <c r="T195" s="9">
        <f>IFERROR(__xludf.DUMMYFUNCTION("IFERROR(
  VLOOKUP(
    A195,
    IMPORTRANGE(
      ""1ZHMy3vVUd_0MrSduXTe1etBb1HNpAlGwQr006ljwMiM"",
      ""GSC最新!A:R""
    ),
    14,
    FALSE
  ),
  0
)
"),0.0)</f>
        <v>0</v>
      </c>
      <c r="U195" s="9">
        <f>IFERROR(__xludf.DUMMYFUNCTION("IFERROR(
  VLOOKUP(
    A195,
    IMPORTRANGE(
      ""1ZHMy3vVUd_0MrSduXTe1etBb1HNpAlGwQr006ljwMiM"",
      ""GSC最新!A:R""
    ),
    17,
    FALSE
  ),
  0
)
"),0.0)</f>
        <v>0</v>
      </c>
      <c r="V195" s="9">
        <f t="shared" ref="V195:W195" si="968">IFERROR(R195-T195,"-")</f>
        <v>0</v>
      </c>
      <c r="W195" s="9">
        <f t="shared" si="968"/>
        <v>0</v>
      </c>
      <c r="X195" s="65" t="str">
        <f>IFERROR(__xludf.DUMMYFUNCTION("IFERROR(
  VLOOKUP(
    A195,
    IMPORTRANGE(
      ""1ZHMy3vVUd_0MrSduXTe1etBb1HNpAlGwQr006ljwMiM"",
      ""GSC最新!A:R""
    ),
    9,
    FALSE
  ),
  0
)
"),"")</f>
        <v/>
      </c>
      <c r="Y195" s="65" t="str">
        <f>IFERROR(__xludf.DUMMYFUNCTION("IFERROR(
  VLOOKUP(
    A195,
    IMPORTRANGE(
      ""1ZHMy3vVUd_0MrSduXTe1etBb1HNpAlGwQr006ljwMiM"",
      ""GSC最新!A:R""
    ),
    12,
    FALSE
  ),
  0
)
"),"")</f>
        <v/>
      </c>
      <c r="Z195" s="65" t="str">
        <f>IFERROR(__xludf.DUMMYFUNCTION("IFERROR(
  VLOOKUP(
    A195,
    IMPORTRANGE(
      ""1ZHMy3vVUd_0MrSduXTe1etBb1HNpAlGwQr006ljwMiM"",
      ""GSC最新!A:R""
    ),
    15,
    FALSE
  ),
  0
)
"),"")</f>
        <v/>
      </c>
      <c r="AA195" s="65" t="str">
        <f>IFERROR(__xludf.DUMMYFUNCTION("IFERROR(
  VLOOKUP(
    A195,
    IMPORTRANGE(
      ""1ZHMy3vVUd_0MrSduXTe1etBb1HNpAlGwQr006ljwMiM"",
      ""GSC最新!A:R""
    ),
    18,
    FALSE
  ),
  0
)
"),"")</f>
        <v/>
      </c>
      <c r="AB195" s="65">
        <f t="shared" ref="AB195:AC195" si="969">X195-Z195</f>
        <v>0</v>
      </c>
      <c r="AC195" s="65">
        <f t="shared" si="969"/>
        <v>0</v>
      </c>
      <c r="AD195" s="53">
        <f>IFERROR(__xludf.DUMMYFUNCTION("IFERROR(
  VLOOKUP(
    A195,
    IMPORTRANGE(
      ""1ZHMy3vVUd_0MrSduXTe1etBb1HNpAlGwQr006ljwMiM"",
      ""GSC最新!A:F""
    ),
    6,
    FALSE
  ),
  0
)
"),46081.0)</f>
        <v>46081</v>
      </c>
      <c r="AE195" s="54">
        <f>IFERROR(__xludf.DUMMYFUNCTION("IFERROR(
  VLOOKUP(
    A195,
    IMPORTRANGE(
      ""1SCYQd7_cobOYqT0r_F0IqD4tE4rYn5y8Eup4PJTH8es"",
      ""Snapshot!A:M""
    ),
    5,
    FALSE
  ),
  ""-""
)
"),0.0)</f>
        <v>0</v>
      </c>
      <c r="AF195" s="54">
        <f>IFERROR(__xludf.DUMMYFUNCTION("IFERROR(
  VLOOKUP(
    A195,
    IMPORTRANGE(
      ""1SCYQd7_cobOYqT0r_F0IqD4tE4rYn5y8Eup4PJTH8es"",
      ""Snapshot!A:M""
    ),
    6,
    FALSE
  ),
  0
)
"),0.0)</f>
        <v>0</v>
      </c>
      <c r="AG195" s="54">
        <f>IFERROR(__xludf.DUMMYFUNCTION("IFERROR(
  VLOOKUP(
    A195,
    IMPORTRANGE(
      ""1SCYQd7_cobOYqT0r_F0IqD4tE4rYn5y8Eup4PJTH8es"",
      ""Snapshot!A:M""
    ),
    7,
    FALSE
  ),
  0
)
"),203.0)</f>
        <v>203</v>
      </c>
      <c r="AH195" s="54">
        <f>IFERROR(__xludf.DUMMYFUNCTION("IFERROR(
  VLOOKUP(
    A195,
    IMPORTRANGE(
      ""1SCYQd7_cobOYqT0r_F0IqD4tE4rYn5y8Eup4PJTH8es"",
      ""Snapshot!A:M""
    ),
    8,
    FALSE
  ),
  0
)
"),0.0)</f>
        <v>0</v>
      </c>
      <c r="AI195" s="54">
        <f>IFERROR(__xludf.DUMMYFUNCTION("IFERROR(
  VLOOKUP(
    A195,
    IMPORTRANGE(
      ""1SCYQd7_cobOYqT0r_F0IqD4tE4rYn5y8Eup4PJTH8es"",
      ""Snapshot!A:M""
    ),
    9,
    FALSE
  ),
  0
)
"),1.0)</f>
        <v>1</v>
      </c>
      <c r="AJ195" s="54">
        <f>IFERROR(__xludf.DUMMYFUNCTION("IFERROR(
  VLOOKUP(
    A195,
    IMPORTRANGE(
      ""1SCYQd7_cobOYqT0r_F0IqD4tE4rYn5y8Eup4PJTH8es"",
      ""Snapshot!A:M""
    ),
    13,
    FALSE
  ),
  0
)
"),3.0)</f>
        <v>3</v>
      </c>
      <c r="AK195" s="49">
        <f t="shared" ref="AK195:AL195" si="970">LEN(C195)</f>
        <v>75</v>
      </c>
      <c r="AL195" s="49">
        <f t="shared" si="970"/>
        <v>48</v>
      </c>
    </row>
    <row r="196">
      <c r="A196" s="3" t="s">
        <v>683</v>
      </c>
      <c r="B196" s="1" t="str">
        <f>IFERROR(__xludf.DUMMYFUNCTION("IFERROR(
  VLOOKUP(
    A196,
    IMPORTRANGE(
      ""1ZygntHC1J6IxzKbTidmOyf5nUyW4GCLurHCjexrLm_o"",
      ""HTMLキャッシュ!A:F""
    ),
    2,
    FALSE
  ),
  0
)
"),"NW")</f>
        <v>NW</v>
      </c>
      <c r="C196" s="1" t="str">
        <f>IFERROR(__xludf.DUMMYFUNCTION("IFERROR(
  VLOOKUP(
    A196,
    IMPORTRANGE(
      ""1ZygntHC1J6IxzKbTidmOyf5nUyW4GCLurHCjexrLm_o"",
      ""HTMLキャッシュ!A:F""
    ),
    5,
    FALSE
  ),
  0
)
"),"2019年度夏期講習会開催のお知らせ - 受験国語専門 読解ラボ東京 | 中学受験・大学受験対応の個別指導国語専門塾（オンライン・教室対応）")</f>
        <v>2019年度夏期講習会開催のお知らせ - 受験国語専門 読解ラボ東京 | 中学受験・大学受験対応の個別指導国語専門塾（オンライン・教室対応）</v>
      </c>
      <c r="D196" s="1" t="str">
        <f>IFERROR(__xludf.DUMMYFUNCTION("IFERROR(
  VLOOKUP(
    A196,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96" s="32">
        <f>IFERROR(__xludf.DUMMYFUNCTION("IFERROR(
  VLOOKUP(
    A196,
    IMPORTRANGE(
      ""1ZygntHC1J6IxzKbTidmOyf5nUyW4GCLurHCjexrLm_o        "",
      ""HTMLキャッシュ!A:F""
    ),
    3,
    FALSE
  ),
  0
)
"),43638.527974537035)</f>
        <v>43638.52797</v>
      </c>
      <c r="F196" s="49">
        <f>IFERROR(__xludf.DUMMYFUNCTION("IFERROR(
  VLOOKUP(
    A196,
    IMPORTRANGE(
      ""1ZHMy3vVUd_0MrSduXTe1etBb1HNpAlGwQr006ljwMiM"",
      ""GSC最新!A:F""
    ),
    2,
    FALSE
  ),
  0
)
"),0.0)</f>
        <v>0</v>
      </c>
      <c r="G196" s="49">
        <f>IFERROR(__xludf.DUMMYFUNCTION("IFERROR(
  VLOOKUP(
    A196,
    IMPORTRANGE(
      ""1ZHMy3vVUd_0MrSduXTe1etBb1HNpAlGwQr006ljwMiM"",
      ""GSC最新!A:F""
    ),
    3,
    FALSE
  ),
  0
)
"),0.0)</f>
        <v>0</v>
      </c>
      <c r="H196" s="49">
        <f>IFERROR(__xludf.DUMMYFUNCTION("IFERROR(
  VLOOKUP(
    A196,
    IMPORTRANGE(
      ""1ZHMy3vVUd_0MrSduXTe1etBb1HNpAlGwQr006ljwMiM"",
      ""GSC最新!A:F""
    ),
    4,
    FALSE
  ),
  0
)
"),0.0)</f>
        <v>0</v>
      </c>
      <c r="I196" s="49">
        <f>IFERROR(__xludf.DUMMYFUNCTION("IFERROR(
  VLOOKUP(
    A196,
    IMPORTRANGE(
      ""1ZHMy3vVUd_0MrSduXTe1etBb1HNpAlGwQr006ljwMiM"",
      ""GSC最新!A:F""
    ),
    5,
    FALSE
  ),
  0
)
"),0.0)</f>
        <v>0</v>
      </c>
      <c r="J196" s="50" t="str">
        <f t="shared" ref="J196:K196" si="971">IFERROR(F196/H196,"-")</f>
        <v>-</v>
      </c>
      <c r="K196" s="50" t="str">
        <f t="shared" si="971"/>
        <v>-</v>
      </c>
      <c r="L196" s="6">
        <f>IFERROR(__xludf.DUMMYFUNCTION("IFERROR(
  VLOOKUP(
    A196,
    IMPORTRANGE(
      ""1ZHMy3vVUd_0MrSduXTe1etBb1HNpAlGwQr006ljwMiM"",
      ""GSC最新!A:R""
    ),
    7,
    FALSE
  ),
  0
)
"),0.0)</f>
        <v>0</v>
      </c>
      <c r="M196" s="6">
        <f>IFERROR(__xludf.DUMMYFUNCTION("IFERROR(
  VLOOKUP(
    A196,
    IMPORTRANGE(
      ""1ZHMy3vVUd_0MrSduXTe1etBb1HNpAlGwQr006ljwMiM"",
      ""GSC最新!A:R""
    ),
    10,
    FALSE
  ),
  0
)
"),0.0)</f>
        <v>0</v>
      </c>
      <c r="N196" s="6">
        <f>IFERROR(__xludf.DUMMYFUNCTION("IFERROR(
  VLOOKUP(
    A196,
    IMPORTRANGE(
      ""1ZHMy3vVUd_0MrSduXTe1etBb1HNpAlGwQr006ljwMiM"",
      ""GSC最新!A:R""
    ),
    13,
    FALSE
  ),
  0
)
"),0.0)</f>
        <v>0</v>
      </c>
      <c r="O196" s="6">
        <f>IFERROR(__xludf.DUMMYFUNCTION("IFERROR(
  VLOOKUP(
    A196,
    IMPORTRANGE(
      ""1ZHMy3vVUd_0MrSduXTe1etBb1HNpAlGwQr006ljwMiM"",
      ""GSC最新!A:R""
    ),
    16,
    FALSE
  ),
  0
)
"),0.0)</f>
        <v>0</v>
      </c>
      <c r="P196" s="51" t="str">
        <f t="shared" ref="P196:Q196" si="972">IFERROR(L196/N196,"-")</f>
        <v>-</v>
      </c>
      <c r="Q196" s="51" t="str">
        <f t="shared" si="972"/>
        <v>-</v>
      </c>
      <c r="R196" s="9">
        <f>IFERROR(__xludf.DUMMYFUNCTION("IFERROR(
  VLOOKUP(
    A196,
    IMPORTRANGE(
      ""1ZHMy3vVUd_0MrSduXTe1etBb1HNpAlGwQr006ljwMiM"",
      ""GSC最新!A:R""
    ),
    8,
    FALSE
  ),
  0
)
"),0.0)</f>
        <v>0</v>
      </c>
      <c r="S196" s="9">
        <f>IFERROR(__xludf.DUMMYFUNCTION("IFERROR(
  VLOOKUP(
    A196,
    IMPORTRANGE(
      ""1ZHMy3vVUd_0MrSduXTe1etBb1HNpAlGwQr006ljwMiM"",
      ""GSC最新!A:R""
    ),
    11,
    FALSE
  ),
  0
)
"),0.0)</f>
        <v>0</v>
      </c>
      <c r="T196" s="9">
        <f>IFERROR(__xludf.DUMMYFUNCTION("IFERROR(
  VLOOKUP(
    A196,
    IMPORTRANGE(
      ""1ZHMy3vVUd_0MrSduXTe1etBb1HNpAlGwQr006ljwMiM"",
      ""GSC最新!A:R""
    ),
    14,
    FALSE
  ),
  0
)
"),0.0)</f>
        <v>0</v>
      </c>
      <c r="U196" s="9">
        <f>IFERROR(__xludf.DUMMYFUNCTION("IFERROR(
  VLOOKUP(
    A196,
    IMPORTRANGE(
      ""1ZHMy3vVUd_0MrSduXTe1etBb1HNpAlGwQr006ljwMiM"",
      ""GSC最新!A:R""
    ),
    17,
    FALSE
  ),
  0
)
"),0.0)</f>
        <v>0</v>
      </c>
      <c r="V196" s="9">
        <f t="shared" ref="V196:W196" si="973">IFERROR(R196-T196,"-")</f>
        <v>0</v>
      </c>
      <c r="W196" s="9">
        <f t="shared" si="973"/>
        <v>0</v>
      </c>
      <c r="X196" s="65" t="str">
        <f>IFERROR(__xludf.DUMMYFUNCTION("IFERROR(
  VLOOKUP(
    A196,
    IMPORTRANGE(
      ""1ZHMy3vVUd_0MrSduXTe1etBb1HNpAlGwQr006ljwMiM"",
      ""GSC最新!A:R""
    ),
    9,
    FALSE
  ),
  0
)
"),"")</f>
        <v/>
      </c>
      <c r="Y196" s="65" t="str">
        <f>IFERROR(__xludf.DUMMYFUNCTION("IFERROR(
  VLOOKUP(
    A196,
    IMPORTRANGE(
      ""1ZHMy3vVUd_0MrSduXTe1etBb1HNpAlGwQr006ljwMiM"",
      ""GSC最新!A:R""
    ),
    12,
    FALSE
  ),
  0
)
"),"")</f>
        <v/>
      </c>
      <c r="Z196" s="65" t="str">
        <f>IFERROR(__xludf.DUMMYFUNCTION("IFERROR(
  VLOOKUP(
    A196,
    IMPORTRANGE(
      ""1ZHMy3vVUd_0MrSduXTe1etBb1HNpAlGwQr006ljwMiM"",
      ""GSC最新!A:R""
    ),
    15,
    FALSE
  ),
  0
)
"),"")</f>
        <v/>
      </c>
      <c r="AA196" s="65" t="str">
        <f>IFERROR(__xludf.DUMMYFUNCTION("IFERROR(
  VLOOKUP(
    A196,
    IMPORTRANGE(
      ""1ZHMy3vVUd_0MrSduXTe1etBb1HNpAlGwQr006ljwMiM"",
      ""GSC最新!A:R""
    ),
    18,
    FALSE
  ),
  0
)
"),"")</f>
        <v/>
      </c>
      <c r="AB196" s="65">
        <f t="shared" ref="AB196:AC196" si="974">X196-Z196</f>
        <v>0</v>
      </c>
      <c r="AC196" s="65">
        <f t="shared" si="974"/>
        <v>0</v>
      </c>
      <c r="AD196" s="53">
        <f>IFERROR(__xludf.DUMMYFUNCTION("IFERROR(
  VLOOKUP(
    A196,
    IMPORTRANGE(
      ""1ZHMy3vVUd_0MrSduXTe1etBb1HNpAlGwQr006ljwMiM"",
      ""GSC最新!A:F""
    ),
    6,
    FALSE
  ),
  0
)
"),46081.0)</f>
        <v>46081</v>
      </c>
      <c r="AE196" s="54">
        <f>IFERROR(__xludf.DUMMYFUNCTION("IFERROR(
  VLOOKUP(
    A196,
    IMPORTRANGE(
      ""1SCYQd7_cobOYqT0r_F0IqD4tE4rYn5y8Eup4PJTH8es"",
      ""Snapshot!A:M""
    ),
    5,
    FALSE
  ),
  ""-""
)
"),0.0)</f>
        <v>0</v>
      </c>
      <c r="AF196" s="54">
        <f>IFERROR(__xludf.DUMMYFUNCTION("IFERROR(
  VLOOKUP(
    A196,
    IMPORTRANGE(
      ""1SCYQd7_cobOYqT0r_F0IqD4tE4rYn5y8Eup4PJTH8es"",
      ""Snapshot!A:M""
    ),
    6,
    FALSE
  ),
  0
)
"),0.0)</f>
        <v>0</v>
      </c>
      <c r="AG196" s="54">
        <f>IFERROR(__xludf.DUMMYFUNCTION("IFERROR(
  VLOOKUP(
    A196,
    IMPORTRANGE(
      ""1SCYQd7_cobOYqT0r_F0IqD4tE4rYn5y8Eup4PJTH8es"",
      ""Snapshot!A:M""
    ),
    7,
    FALSE
  ),
  0
)
"),783.0)</f>
        <v>783</v>
      </c>
      <c r="AH196" s="54">
        <f>IFERROR(__xludf.DUMMYFUNCTION("IFERROR(
  VLOOKUP(
    A196,
    IMPORTRANGE(
      ""1SCYQd7_cobOYqT0r_F0IqD4tE4rYn5y8Eup4PJTH8es"",
      ""Snapshot!A:M""
    ),
    8,
    FALSE
  ),
  0
)
"),2.0)</f>
        <v>2</v>
      </c>
      <c r="AI196" s="54">
        <f>IFERROR(__xludf.DUMMYFUNCTION("IFERROR(
  VLOOKUP(
    A196,
    IMPORTRANGE(
      ""1SCYQd7_cobOYqT0r_F0IqD4tE4rYn5y8Eup4PJTH8es"",
      ""Snapshot!A:M""
    ),
    9,
    FALSE
  ),
  0
)
"),1.0)</f>
        <v>1</v>
      </c>
      <c r="AJ196" s="54">
        <f>IFERROR(__xludf.DUMMYFUNCTION("IFERROR(
  VLOOKUP(
    A196,
    IMPORTRANGE(
      ""1SCYQd7_cobOYqT0r_F0IqD4tE4rYn5y8Eup4PJTH8es"",
      ""Snapshot!A:M""
    ),
    13,
    FALSE
  ),
  0
)
"),3.0)</f>
        <v>3</v>
      </c>
      <c r="AK196" s="49">
        <f t="shared" ref="AK196:AL196" si="975">LEN(C196)</f>
        <v>70</v>
      </c>
      <c r="AL196" s="49">
        <f t="shared" si="975"/>
        <v>55</v>
      </c>
    </row>
    <row r="197">
      <c r="A197" s="3" t="s">
        <v>684</v>
      </c>
      <c r="B197" s="1" t="str">
        <f>IFERROR(__xludf.DUMMYFUNCTION("IFERROR(
  VLOOKUP(
    A197,
    IMPORTRANGE(
      ""1ZygntHC1J6IxzKbTidmOyf5nUyW4GCLurHCjexrLm_o"",
      ""HTMLキャッシュ!A:F""
    ),
    2,
    FALSE
  ),
  0
)
"),"NW")</f>
        <v>NW</v>
      </c>
      <c r="C197" s="1" t="str">
        <f>IFERROR(__xludf.DUMMYFUNCTION("IFERROR(
  VLOOKUP(
    A197,
    IMPORTRANGE(
      ""1ZygntHC1J6IxzKbTidmOyf5nUyW4GCLurHCjexrLm_o"",
      ""HTMLキャッシュ!A:F""
    ),
    5,
    FALSE
  ),
  0
)
"),"「１ヶ月完成・小５得点力養成≪出張≫講座」開講のお知らせ - 受験国語専門 読解ラボ東京 | 中学受験・大学受験対応の個別指導国語専門塾（オンライン・教室対応）")</f>
        <v>「１ヶ月完成・小５得点力養成≪出張≫講座」開講のお知らせ - 受験国語専門 読解ラボ東京 | 中学受験・大学受験対応の個別指導国語専門塾（オンライン・教室対応）</v>
      </c>
      <c r="D197" s="1" t="str">
        <f>IFERROR(__xludf.DUMMYFUNCTION("IFERROR(
  VLOOKUP(
    A197,
    IMPORTRANGE(
      ""1ZygntHC1J6IxzKbTidmOyf5nUyW4GCLurHCjexrLm_o        "",
      ""HTMLキャッシュ!A:F""
    ),
    6,
    FALSE
  ),
  0
)
"),"読解ラボ東京では、小学５年生を対象とした「１ヶ月完成・小５得点力養成≪出張≫講座」を開講致します。 ・国語の問")</f>
        <v>読解ラボ東京では、小学５年生を対象とした「１ヶ月完成・小５得点力養成≪出張≫講座」を開講致します。 ・国語の問</v>
      </c>
      <c r="E197" s="32">
        <f>IFERROR(__xludf.DUMMYFUNCTION("IFERROR(
  VLOOKUP(
    A197,
    IMPORTRANGE(
      ""1ZygntHC1J6IxzKbTidmOyf5nUyW4GCLurHCjexrLm_o        "",
      ""HTMLキャッシュ!A:F""
    ),
    3,
    FALSE
  ),
  0
)
"),43785.56186342592)</f>
        <v>43785.56186</v>
      </c>
      <c r="F197" s="49">
        <f>IFERROR(__xludf.DUMMYFUNCTION("IFERROR(
  VLOOKUP(
    A197,
    IMPORTRANGE(
      ""1ZHMy3vVUd_0MrSduXTe1etBb1HNpAlGwQr006ljwMiM"",
      ""GSC最新!A:F""
    ),
    2,
    FALSE
  ),
  0
)
"),0.0)</f>
        <v>0</v>
      </c>
      <c r="G197" s="49">
        <f>IFERROR(__xludf.DUMMYFUNCTION("IFERROR(
  VLOOKUP(
    A197,
    IMPORTRANGE(
      ""1ZHMy3vVUd_0MrSduXTe1etBb1HNpAlGwQr006ljwMiM"",
      ""GSC最新!A:F""
    ),
    3,
    FALSE
  ),
  0
)
"),0.0)</f>
        <v>0</v>
      </c>
      <c r="H197" s="49">
        <f>IFERROR(__xludf.DUMMYFUNCTION("IFERROR(
  VLOOKUP(
    A197,
    IMPORTRANGE(
      ""1ZHMy3vVUd_0MrSduXTe1etBb1HNpAlGwQr006ljwMiM"",
      ""GSC最新!A:F""
    ),
    4,
    FALSE
  ),
  0
)
"),0.0)</f>
        <v>0</v>
      </c>
      <c r="I197" s="49">
        <f>IFERROR(__xludf.DUMMYFUNCTION("IFERROR(
  VLOOKUP(
    A197,
    IMPORTRANGE(
      ""1ZHMy3vVUd_0MrSduXTe1etBb1HNpAlGwQr006ljwMiM"",
      ""GSC最新!A:F""
    ),
    5,
    FALSE
  ),
  0
)
"),0.0)</f>
        <v>0</v>
      </c>
      <c r="J197" s="50" t="str">
        <f t="shared" ref="J197:K197" si="976">IFERROR(F197/H197,"-")</f>
        <v>-</v>
      </c>
      <c r="K197" s="50" t="str">
        <f t="shared" si="976"/>
        <v>-</v>
      </c>
      <c r="L197" s="6">
        <f>IFERROR(__xludf.DUMMYFUNCTION("IFERROR(
  VLOOKUP(
    A197,
    IMPORTRANGE(
      ""1ZHMy3vVUd_0MrSduXTe1etBb1HNpAlGwQr006ljwMiM"",
      ""GSC最新!A:R""
    ),
    7,
    FALSE
  ),
  0
)
"),0.0)</f>
        <v>0</v>
      </c>
      <c r="M197" s="6">
        <f>IFERROR(__xludf.DUMMYFUNCTION("IFERROR(
  VLOOKUP(
    A197,
    IMPORTRANGE(
      ""1ZHMy3vVUd_0MrSduXTe1etBb1HNpAlGwQr006ljwMiM"",
      ""GSC最新!A:R""
    ),
    10,
    FALSE
  ),
  0
)
"),0.0)</f>
        <v>0</v>
      </c>
      <c r="N197" s="6">
        <f>IFERROR(__xludf.DUMMYFUNCTION("IFERROR(
  VLOOKUP(
    A197,
    IMPORTRANGE(
      ""1ZHMy3vVUd_0MrSduXTe1etBb1HNpAlGwQr006ljwMiM"",
      ""GSC最新!A:R""
    ),
    13,
    FALSE
  ),
  0
)
"),0.0)</f>
        <v>0</v>
      </c>
      <c r="O197" s="6">
        <f>IFERROR(__xludf.DUMMYFUNCTION("IFERROR(
  VLOOKUP(
    A197,
    IMPORTRANGE(
      ""1ZHMy3vVUd_0MrSduXTe1etBb1HNpAlGwQr006ljwMiM"",
      ""GSC最新!A:R""
    ),
    16,
    FALSE
  ),
  0
)
"),0.0)</f>
        <v>0</v>
      </c>
      <c r="P197" s="51" t="str">
        <f t="shared" ref="P197:Q197" si="977">IFERROR(L197/N197,"-")</f>
        <v>-</v>
      </c>
      <c r="Q197" s="51" t="str">
        <f t="shared" si="977"/>
        <v>-</v>
      </c>
      <c r="R197" s="9">
        <f>IFERROR(__xludf.DUMMYFUNCTION("IFERROR(
  VLOOKUP(
    A197,
    IMPORTRANGE(
      ""1ZHMy3vVUd_0MrSduXTe1etBb1HNpAlGwQr006ljwMiM"",
      ""GSC最新!A:R""
    ),
    8,
    FALSE
  ),
  0
)
"),0.0)</f>
        <v>0</v>
      </c>
      <c r="S197" s="9">
        <f>IFERROR(__xludf.DUMMYFUNCTION("IFERROR(
  VLOOKUP(
    A197,
    IMPORTRANGE(
      ""1ZHMy3vVUd_0MrSduXTe1etBb1HNpAlGwQr006ljwMiM"",
      ""GSC最新!A:R""
    ),
    11,
    FALSE
  ),
  0
)
"),0.0)</f>
        <v>0</v>
      </c>
      <c r="T197" s="9">
        <f>IFERROR(__xludf.DUMMYFUNCTION("IFERROR(
  VLOOKUP(
    A197,
    IMPORTRANGE(
      ""1ZHMy3vVUd_0MrSduXTe1etBb1HNpAlGwQr006ljwMiM"",
      ""GSC最新!A:R""
    ),
    14,
    FALSE
  ),
  0
)
"),0.0)</f>
        <v>0</v>
      </c>
      <c r="U197" s="9">
        <f>IFERROR(__xludf.DUMMYFUNCTION("IFERROR(
  VLOOKUP(
    A197,
    IMPORTRANGE(
      ""1ZHMy3vVUd_0MrSduXTe1etBb1HNpAlGwQr006ljwMiM"",
      ""GSC最新!A:R""
    ),
    17,
    FALSE
  ),
  0
)
"),0.0)</f>
        <v>0</v>
      </c>
      <c r="V197" s="9">
        <f t="shared" ref="V197:W197" si="978">IFERROR(R197-T197,"-")</f>
        <v>0</v>
      </c>
      <c r="W197" s="9">
        <f t="shared" si="978"/>
        <v>0</v>
      </c>
      <c r="X197" s="65" t="str">
        <f>IFERROR(__xludf.DUMMYFUNCTION("IFERROR(
  VLOOKUP(
    A197,
    IMPORTRANGE(
      ""1ZHMy3vVUd_0MrSduXTe1etBb1HNpAlGwQr006ljwMiM"",
      ""GSC最新!A:R""
    ),
    9,
    FALSE
  ),
  0
)
"),"")</f>
        <v/>
      </c>
      <c r="Y197" s="65" t="str">
        <f>IFERROR(__xludf.DUMMYFUNCTION("IFERROR(
  VLOOKUP(
    A197,
    IMPORTRANGE(
      ""1ZHMy3vVUd_0MrSduXTe1etBb1HNpAlGwQr006ljwMiM"",
      ""GSC最新!A:R""
    ),
    12,
    FALSE
  ),
  0
)
"),"")</f>
        <v/>
      </c>
      <c r="Z197" s="65" t="str">
        <f>IFERROR(__xludf.DUMMYFUNCTION("IFERROR(
  VLOOKUP(
    A197,
    IMPORTRANGE(
      ""1ZHMy3vVUd_0MrSduXTe1etBb1HNpAlGwQr006ljwMiM"",
      ""GSC最新!A:R""
    ),
    15,
    FALSE
  ),
  0
)
"),"")</f>
        <v/>
      </c>
      <c r="AA197" s="65" t="str">
        <f>IFERROR(__xludf.DUMMYFUNCTION("IFERROR(
  VLOOKUP(
    A197,
    IMPORTRANGE(
      ""1ZHMy3vVUd_0MrSduXTe1etBb1HNpAlGwQr006ljwMiM"",
      ""GSC最新!A:R""
    ),
    18,
    FALSE
  ),
  0
)
"),"")</f>
        <v/>
      </c>
      <c r="AB197" s="65">
        <f t="shared" ref="AB197:AC197" si="979">X197-Z197</f>
        <v>0</v>
      </c>
      <c r="AC197" s="65">
        <f t="shared" si="979"/>
        <v>0</v>
      </c>
      <c r="AD197" s="53">
        <f>IFERROR(__xludf.DUMMYFUNCTION("IFERROR(
  VLOOKUP(
    A197,
    IMPORTRANGE(
      ""1ZHMy3vVUd_0MrSduXTe1etBb1HNpAlGwQr006ljwMiM"",
      ""GSC最新!A:F""
    ),
    6,
    FALSE
  ),
  0
)
"),46081.0)</f>
        <v>46081</v>
      </c>
      <c r="AE197" s="54">
        <f>IFERROR(__xludf.DUMMYFUNCTION("IFERROR(
  VLOOKUP(
    A197,
    IMPORTRANGE(
      ""1SCYQd7_cobOYqT0r_F0IqD4tE4rYn5y8Eup4PJTH8es"",
      ""Snapshot!A:M""
    ),
    5,
    FALSE
  ),
  ""-""
)
"),2.0)</f>
        <v>2</v>
      </c>
      <c r="AF197" s="54">
        <f>IFERROR(__xludf.DUMMYFUNCTION("IFERROR(
  VLOOKUP(
    A197,
    IMPORTRANGE(
      ""1SCYQd7_cobOYqT0r_F0IqD4tE4rYn5y8Eup4PJTH8es"",
      ""Snapshot!A:M""
    ),
    6,
    FALSE
  ),
  0
)
"),8.0)</f>
        <v>8</v>
      </c>
      <c r="AG197" s="54">
        <f>IFERROR(__xludf.DUMMYFUNCTION("IFERROR(
  VLOOKUP(
    A197,
    IMPORTRANGE(
      ""1SCYQd7_cobOYqT0r_F0IqD4tE4rYn5y8Eup4PJTH8es"",
      ""Snapshot!A:M""
    ),
    7,
    FALSE
  ),
  0
)
"),1827.0)</f>
        <v>1827</v>
      </c>
      <c r="AH197" s="54">
        <f>IFERROR(__xludf.DUMMYFUNCTION("IFERROR(
  VLOOKUP(
    A197,
    IMPORTRANGE(
      ""1SCYQd7_cobOYqT0r_F0IqD4tE4rYn5y8Eup4PJTH8es"",
      ""Snapshot!A:M""
    ),
    8,
    FALSE
  ),
  0
)
"),0.0)</f>
        <v>0</v>
      </c>
      <c r="AI197" s="54">
        <f>IFERROR(__xludf.DUMMYFUNCTION("IFERROR(
  VLOOKUP(
    A197,
    IMPORTRANGE(
      ""1SCYQd7_cobOYqT0r_F0IqD4tE4rYn5y8Eup4PJTH8es"",
      ""Snapshot!A:M""
    ),
    9,
    FALSE
  ),
  0
)
"),1.0)</f>
        <v>1</v>
      </c>
      <c r="AJ197" s="54">
        <f>IFERROR(__xludf.DUMMYFUNCTION("IFERROR(
  VLOOKUP(
    A197,
    IMPORTRANGE(
      ""1SCYQd7_cobOYqT0r_F0IqD4tE4rYn5y8Eup4PJTH8es"",
      ""Snapshot!A:M""
    ),
    13,
    FALSE
  ),
  0
)
"),3.0)</f>
        <v>3</v>
      </c>
      <c r="AK197" s="49">
        <f t="shared" ref="AK197:AL197" si="980">LEN(C197)</f>
        <v>80</v>
      </c>
      <c r="AL197" s="49">
        <f t="shared" si="980"/>
        <v>55</v>
      </c>
    </row>
    <row r="198">
      <c r="A198" s="3" t="s">
        <v>685</v>
      </c>
      <c r="B198" s="1" t="str">
        <f>IFERROR(__xludf.DUMMYFUNCTION("IFERROR(
  VLOOKUP(
    A198,
    IMPORTRANGE(
      ""1ZygntHC1J6IxzKbTidmOyf5nUyW4GCLurHCjexrLm_o"",
      ""HTMLキャッシュ!A:F""
    ),
    2,
    FALSE
  ),
  0
)
"),"NW")</f>
        <v>NW</v>
      </c>
      <c r="C198" s="1" t="str">
        <f>IFERROR(__xludf.DUMMYFUNCTION("IFERROR(
  VLOOKUP(
    A198,
    IMPORTRANGE(
      ""1ZygntHC1J6IxzKbTidmOyf5nUyW4GCLurHCjexrLm_o"",
      ""HTMLキャッシュ!A:F""
    ),
    5,
    FALSE
  ),
  0
)
"),"2019年度冬期講習開講のお知らせ - 受験国語専門 読解ラボ東京 | 中学受験・大学受験対応の個別指導国語専門塾（オンライン・教室対応）")</f>
        <v>2019年度冬期講習開講のお知らせ - 受験国語専門 読解ラボ東京 | 中学受験・大学受験対応の個別指導国語専門塾（オンライン・教室対応）</v>
      </c>
      <c r="D198" s="1" t="str">
        <f>IFERROR(__xludf.DUMMYFUNCTION("IFERROR(
  VLOOKUP(
    A198,
    IMPORTRANGE(
      ""1ZygntHC1J6IxzKbTidmOyf5nUyW4GCLurHCjexrLm_o        "",
      ""HTMLキャッシュ!A:F""
    ),
    6,
    FALSE
  ),
  0
)
"),"当塾では冬期講習会を実施させて頂く運びとなりました。 現在当塾に通塾されている塾生の皆さんは勿論のこと、 普段")</f>
        <v>当塾では冬期講習会を実施させて頂く運びとなりました。 現在当塾に通塾されている塾生の皆さんは勿論のこと、 普段</v>
      </c>
      <c r="E198" s="32">
        <f>IFERROR(__xludf.DUMMYFUNCTION("IFERROR(
  VLOOKUP(
    A198,
    IMPORTRANGE(
      ""1ZygntHC1J6IxzKbTidmOyf5nUyW4GCLurHCjexrLm_o        "",
      ""HTMLキャッシュ!A:F""
    ),
    3,
    FALSE
  ),
  0
)
"),43791.555972222224)</f>
        <v>43791.55597</v>
      </c>
      <c r="F198" s="49">
        <f>IFERROR(__xludf.DUMMYFUNCTION("IFERROR(
  VLOOKUP(
    A198,
    IMPORTRANGE(
      ""1ZHMy3vVUd_0MrSduXTe1etBb1HNpAlGwQr006ljwMiM"",
      ""GSC最新!A:F""
    ),
    2,
    FALSE
  ),
  0
)
"),0.0)</f>
        <v>0</v>
      </c>
      <c r="G198" s="49">
        <f>IFERROR(__xludf.DUMMYFUNCTION("IFERROR(
  VLOOKUP(
    A198,
    IMPORTRANGE(
      ""1ZHMy3vVUd_0MrSduXTe1etBb1HNpAlGwQr006ljwMiM"",
      ""GSC最新!A:F""
    ),
    3,
    FALSE
  ),
  0
)
"),0.0)</f>
        <v>0</v>
      </c>
      <c r="H198" s="49">
        <f>IFERROR(__xludf.DUMMYFUNCTION("IFERROR(
  VLOOKUP(
    A198,
    IMPORTRANGE(
      ""1ZHMy3vVUd_0MrSduXTe1etBb1HNpAlGwQr006ljwMiM"",
      ""GSC最新!A:F""
    ),
    4,
    FALSE
  ),
  0
)
"),0.0)</f>
        <v>0</v>
      </c>
      <c r="I198" s="49">
        <f>IFERROR(__xludf.DUMMYFUNCTION("IFERROR(
  VLOOKUP(
    A198,
    IMPORTRANGE(
      ""1ZHMy3vVUd_0MrSduXTe1etBb1HNpAlGwQr006ljwMiM"",
      ""GSC最新!A:F""
    ),
    5,
    FALSE
  ),
  0
)
"),0.0)</f>
        <v>0</v>
      </c>
      <c r="J198" s="50" t="str">
        <f t="shared" ref="J198:K198" si="981">IFERROR(F198/H198,"-")</f>
        <v>-</v>
      </c>
      <c r="K198" s="50" t="str">
        <f t="shared" si="981"/>
        <v>-</v>
      </c>
      <c r="L198" s="6">
        <f>IFERROR(__xludf.DUMMYFUNCTION("IFERROR(
  VLOOKUP(
    A198,
    IMPORTRANGE(
      ""1ZHMy3vVUd_0MrSduXTe1etBb1HNpAlGwQr006ljwMiM"",
      ""GSC最新!A:R""
    ),
    7,
    FALSE
  ),
  0
)
"),0.0)</f>
        <v>0</v>
      </c>
      <c r="M198" s="6">
        <f>IFERROR(__xludf.DUMMYFUNCTION("IFERROR(
  VLOOKUP(
    A198,
    IMPORTRANGE(
      ""1ZHMy3vVUd_0MrSduXTe1etBb1HNpAlGwQr006ljwMiM"",
      ""GSC最新!A:R""
    ),
    10,
    FALSE
  ),
  0
)
"),0.0)</f>
        <v>0</v>
      </c>
      <c r="N198" s="6">
        <f>IFERROR(__xludf.DUMMYFUNCTION("IFERROR(
  VLOOKUP(
    A198,
    IMPORTRANGE(
      ""1ZHMy3vVUd_0MrSduXTe1etBb1HNpAlGwQr006ljwMiM"",
      ""GSC最新!A:R""
    ),
    13,
    FALSE
  ),
  0
)
"),0.0)</f>
        <v>0</v>
      </c>
      <c r="O198" s="6">
        <f>IFERROR(__xludf.DUMMYFUNCTION("IFERROR(
  VLOOKUP(
    A198,
    IMPORTRANGE(
      ""1ZHMy3vVUd_0MrSduXTe1etBb1HNpAlGwQr006ljwMiM"",
      ""GSC最新!A:R""
    ),
    16,
    FALSE
  ),
  0
)
"),0.0)</f>
        <v>0</v>
      </c>
      <c r="P198" s="51" t="str">
        <f t="shared" ref="P198:Q198" si="982">IFERROR(L198/N198,"-")</f>
        <v>-</v>
      </c>
      <c r="Q198" s="51" t="str">
        <f t="shared" si="982"/>
        <v>-</v>
      </c>
      <c r="R198" s="9">
        <f>IFERROR(__xludf.DUMMYFUNCTION("IFERROR(
  VLOOKUP(
    A198,
    IMPORTRANGE(
      ""1ZHMy3vVUd_0MrSduXTe1etBb1HNpAlGwQr006ljwMiM"",
      ""GSC最新!A:R""
    ),
    8,
    FALSE
  ),
  0
)
"),0.0)</f>
        <v>0</v>
      </c>
      <c r="S198" s="9">
        <f>IFERROR(__xludf.DUMMYFUNCTION("IFERROR(
  VLOOKUP(
    A198,
    IMPORTRANGE(
      ""1ZHMy3vVUd_0MrSduXTe1etBb1HNpAlGwQr006ljwMiM"",
      ""GSC最新!A:R""
    ),
    11,
    FALSE
  ),
  0
)
"),0.0)</f>
        <v>0</v>
      </c>
      <c r="T198" s="9">
        <f>IFERROR(__xludf.DUMMYFUNCTION("IFERROR(
  VLOOKUP(
    A198,
    IMPORTRANGE(
      ""1ZHMy3vVUd_0MrSduXTe1etBb1HNpAlGwQr006ljwMiM"",
      ""GSC最新!A:R""
    ),
    14,
    FALSE
  ),
  0
)
"),0.0)</f>
        <v>0</v>
      </c>
      <c r="U198" s="9">
        <f>IFERROR(__xludf.DUMMYFUNCTION("IFERROR(
  VLOOKUP(
    A198,
    IMPORTRANGE(
      ""1ZHMy3vVUd_0MrSduXTe1etBb1HNpAlGwQr006ljwMiM"",
      ""GSC最新!A:R""
    ),
    17,
    FALSE
  ),
  0
)
"),0.0)</f>
        <v>0</v>
      </c>
      <c r="V198" s="9">
        <f t="shared" ref="V198:W198" si="983">IFERROR(R198-T198,"-")</f>
        <v>0</v>
      </c>
      <c r="W198" s="9">
        <f t="shared" si="983"/>
        <v>0</v>
      </c>
      <c r="X198" s="65" t="str">
        <f>IFERROR(__xludf.DUMMYFUNCTION("IFERROR(
  VLOOKUP(
    A198,
    IMPORTRANGE(
      ""1ZHMy3vVUd_0MrSduXTe1etBb1HNpAlGwQr006ljwMiM"",
      ""GSC最新!A:R""
    ),
    9,
    FALSE
  ),
  0
)
"),"")</f>
        <v/>
      </c>
      <c r="Y198" s="65" t="str">
        <f>IFERROR(__xludf.DUMMYFUNCTION("IFERROR(
  VLOOKUP(
    A198,
    IMPORTRANGE(
      ""1ZHMy3vVUd_0MrSduXTe1etBb1HNpAlGwQr006ljwMiM"",
      ""GSC最新!A:R""
    ),
    12,
    FALSE
  ),
  0
)
"),"")</f>
        <v/>
      </c>
      <c r="Z198" s="65" t="str">
        <f>IFERROR(__xludf.DUMMYFUNCTION("IFERROR(
  VLOOKUP(
    A198,
    IMPORTRANGE(
      ""1ZHMy3vVUd_0MrSduXTe1etBb1HNpAlGwQr006ljwMiM"",
      ""GSC最新!A:R""
    ),
    15,
    FALSE
  ),
  0
)
"),"")</f>
        <v/>
      </c>
      <c r="AA198" s="65" t="str">
        <f>IFERROR(__xludf.DUMMYFUNCTION("IFERROR(
  VLOOKUP(
    A198,
    IMPORTRANGE(
      ""1ZHMy3vVUd_0MrSduXTe1etBb1HNpAlGwQr006ljwMiM"",
      ""GSC最新!A:R""
    ),
    18,
    FALSE
  ),
  0
)
"),"")</f>
        <v/>
      </c>
      <c r="AB198" s="65">
        <f t="shared" ref="AB198:AC198" si="984">X198-Z198</f>
        <v>0</v>
      </c>
      <c r="AC198" s="65">
        <f t="shared" si="984"/>
        <v>0</v>
      </c>
      <c r="AD198" s="53">
        <f>IFERROR(__xludf.DUMMYFUNCTION("IFERROR(
  VLOOKUP(
    A198,
    IMPORTRANGE(
      ""1ZHMy3vVUd_0MrSduXTe1etBb1HNpAlGwQr006ljwMiM"",
      ""GSC最新!A:F""
    ),
    6,
    FALSE
  ),
  0
)
"),46081.0)</f>
        <v>46081</v>
      </c>
      <c r="AE198" s="54">
        <f>IFERROR(__xludf.DUMMYFUNCTION("IFERROR(
  VLOOKUP(
    A198,
    IMPORTRANGE(
      ""1SCYQd7_cobOYqT0r_F0IqD4tE4rYn5y8Eup4PJTH8es"",
      ""Snapshot!A:M""
    ),
    5,
    FALSE
  ),
  ""-""
)
"),0.0)</f>
        <v>0</v>
      </c>
      <c r="AF198" s="54">
        <f>IFERROR(__xludf.DUMMYFUNCTION("IFERROR(
  VLOOKUP(
    A198,
    IMPORTRANGE(
      ""1SCYQd7_cobOYqT0r_F0IqD4tE4rYn5y8Eup4PJTH8es"",
      ""Snapshot!A:M""
    ),
    6,
    FALSE
  ),
  0
)
"),0.0)</f>
        <v>0</v>
      </c>
      <c r="AG198" s="54">
        <f>IFERROR(__xludf.DUMMYFUNCTION("IFERROR(
  VLOOKUP(
    A198,
    IMPORTRANGE(
      ""1SCYQd7_cobOYqT0r_F0IqD4tE4rYn5y8Eup4PJTH8es"",
      ""Snapshot!A:M""
    ),
    7,
    FALSE
  ),
  0
)
"),815.0)</f>
        <v>815</v>
      </c>
      <c r="AH198" s="54">
        <f>IFERROR(__xludf.DUMMYFUNCTION("IFERROR(
  VLOOKUP(
    A198,
    IMPORTRANGE(
      ""1SCYQd7_cobOYqT0r_F0IqD4tE4rYn5y8Eup4PJTH8es"",
      ""Snapshot!A:M""
    ),
    8,
    FALSE
  ),
  0
)
"),1.0)</f>
        <v>1</v>
      </c>
      <c r="AI198" s="54">
        <f>IFERROR(__xludf.DUMMYFUNCTION("IFERROR(
  VLOOKUP(
    A198,
    IMPORTRANGE(
      ""1SCYQd7_cobOYqT0r_F0IqD4tE4rYn5y8Eup4PJTH8es"",
      ""Snapshot!A:M""
    ),
    9,
    FALSE
  ),
  0
)
"),1.0)</f>
        <v>1</v>
      </c>
      <c r="AJ198" s="54">
        <f>IFERROR(__xludf.DUMMYFUNCTION("IFERROR(
  VLOOKUP(
    A198,
    IMPORTRANGE(
      ""1SCYQd7_cobOYqT0r_F0IqD4tE4rYn5y8Eup4PJTH8es"",
      ""Snapshot!A:M""
    ),
    13,
    FALSE
  ),
  0
)
"),3.0)</f>
        <v>3</v>
      </c>
      <c r="AK198" s="49">
        <f t="shared" ref="AK198:AL198" si="985">LEN(C198)</f>
        <v>69</v>
      </c>
      <c r="AL198" s="49">
        <f t="shared" si="985"/>
        <v>55</v>
      </c>
    </row>
    <row r="199">
      <c r="A199" s="3" t="s">
        <v>686</v>
      </c>
      <c r="B199" s="1" t="str">
        <f>IFERROR(__xludf.DUMMYFUNCTION("IFERROR(
  VLOOKUP(
    A199,
    IMPORTRANGE(
      ""1ZygntHC1J6IxzKbTidmOyf5nUyW4GCLurHCjexrLm_o"",
      ""HTMLキャッシュ!A:F""
    ),
    2,
    FALSE
  ),
  0
)
"),"NW")</f>
        <v>NW</v>
      </c>
      <c r="C199" s="1" t="str">
        <f>IFERROR(__xludf.DUMMYFUNCTION("IFERROR(
  VLOOKUP(
    A199,
    IMPORTRANGE(
      ""1ZygntHC1J6IxzKbTidmOyf5nUyW4GCLurHCjexrLm_o"",
      ""HTMLキャッシュ!A:F""
    ),
    5,
    FALSE
  ),
  0
)
"),"【小６】「得点力養成講座オンライン」開始のお知らせ - 受験国語専門 読解ラボ東京 | 中学受験・大学受験対応の個別指導国語専門塾（オンライン・教室対応）")</f>
        <v>【小６】「得点力養成講座オンライン」開始のお知らせ - 受験国語専門 読解ラボ東京 | 中学受験・大学受験対応の個別指導国語専門塾（オンライン・教室対応）</v>
      </c>
      <c r="D199" s="1" t="str">
        <f>IFERROR(__xludf.DUMMYFUNCTION("IFERROR(
  VLOOKUP(
    A199,
    IMPORTRANGE(
      ""1ZygntHC1J6IxzKbTidmOyf5nUyW4GCLurHCjexrLm_o        "",
      ""HTMLキャッシュ!A:F""
    ),
    6,
    FALSE
  ),
  0
)
"),"当塾では、得点力養成講座を開講しておりますが、この度、オンライン版である「得点力養成講座オンライン」を2020")</f>
        <v>当塾では、得点力養成講座を開講しておりますが、この度、オンライン版である「得点力養成講座オンライン」を2020</v>
      </c>
      <c r="E199" s="32">
        <f>IFERROR(__xludf.DUMMYFUNCTION("IFERROR(
  VLOOKUP(
    A199,
    IMPORTRANGE(
      ""1ZygntHC1J6IxzKbTidmOyf5nUyW4GCLurHCjexrLm_o        "",
      ""HTMLキャッシュ!A:F""
    ),
    3,
    FALSE
  ),
  0
)
"),43967.53219907408)</f>
        <v>43967.5322</v>
      </c>
      <c r="F199" s="49">
        <f>IFERROR(__xludf.DUMMYFUNCTION("IFERROR(
  VLOOKUP(
    A199,
    IMPORTRANGE(
      ""1ZHMy3vVUd_0MrSduXTe1etBb1HNpAlGwQr006ljwMiM"",
      ""GSC最新!A:F""
    ),
    2,
    FALSE
  ),
  0
)
"),0.0)</f>
        <v>0</v>
      </c>
      <c r="G199" s="49">
        <f>IFERROR(__xludf.DUMMYFUNCTION("IFERROR(
  VLOOKUP(
    A199,
    IMPORTRANGE(
      ""1ZHMy3vVUd_0MrSduXTe1etBb1HNpAlGwQr006ljwMiM"",
      ""GSC最新!A:F""
    ),
    3,
    FALSE
  ),
  0
)
"),0.0)</f>
        <v>0</v>
      </c>
      <c r="H199" s="49">
        <f>IFERROR(__xludf.DUMMYFUNCTION("IFERROR(
  VLOOKUP(
    A199,
    IMPORTRANGE(
      ""1ZHMy3vVUd_0MrSduXTe1etBb1HNpAlGwQr006ljwMiM"",
      ""GSC最新!A:F""
    ),
    4,
    FALSE
  ),
  0
)
"),0.0)</f>
        <v>0</v>
      </c>
      <c r="I199" s="49">
        <f>IFERROR(__xludf.DUMMYFUNCTION("IFERROR(
  VLOOKUP(
    A199,
    IMPORTRANGE(
      ""1ZHMy3vVUd_0MrSduXTe1etBb1HNpAlGwQr006ljwMiM"",
      ""GSC最新!A:F""
    ),
    5,
    FALSE
  ),
  0
)
"),0.0)</f>
        <v>0</v>
      </c>
      <c r="J199" s="50" t="str">
        <f t="shared" ref="J199:K199" si="986">IFERROR(F199/H199,"-")</f>
        <v>-</v>
      </c>
      <c r="K199" s="50" t="str">
        <f t="shared" si="986"/>
        <v>-</v>
      </c>
      <c r="L199" s="6">
        <f>IFERROR(__xludf.DUMMYFUNCTION("IFERROR(
  VLOOKUP(
    A199,
    IMPORTRANGE(
      ""1ZHMy3vVUd_0MrSduXTe1etBb1HNpAlGwQr006ljwMiM"",
      ""GSC最新!A:R""
    ),
    7,
    FALSE
  ),
  0
)
"),0.0)</f>
        <v>0</v>
      </c>
      <c r="M199" s="6">
        <f>IFERROR(__xludf.DUMMYFUNCTION("IFERROR(
  VLOOKUP(
    A199,
    IMPORTRANGE(
      ""1ZHMy3vVUd_0MrSduXTe1etBb1HNpAlGwQr006ljwMiM"",
      ""GSC最新!A:R""
    ),
    10,
    FALSE
  ),
  0
)
"),0.0)</f>
        <v>0</v>
      </c>
      <c r="N199" s="6">
        <f>IFERROR(__xludf.DUMMYFUNCTION("IFERROR(
  VLOOKUP(
    A199,
    IMPORTRANGE(
      ""1ZHMy3vVUd_0MrSduXTe1etBb1HNpAlGwQr006ljwMiM"",
      ""GSC最新!A:R""
    ),
    13,
    FALSE
  ),
  0
)
"),0.0)</f>
        <v>0</v>
      </c>
      <c r="O199" s="6">
        <f>IFERROR(__xludf.DUMMYFUNCTION("IFERROR(
  VLOOKUP(
    A199,
    IMPORTRANGE(
      ""1ZHMy3vVUd_0MrSduXTe1etBb1HNpAlGwQr006ljwMiM"",
      ""GSC最新!A:R""
    ),
    16,
    FALSE
  ),
  0
)
"),0.0)</f>
        <v>0</v>
      </c>
      <c r="P199" s="51" t="str">
        <f t="shared" ref="P199:Q199" si="987">IFERROR(L199/N199,"-")</f>
        <v>-</v>
      </c>
      <c r="Q199" s="51" t="str">
        <f t="shared" si="987"/>
        <v>-</v>
      </c>
      <c r="R199" s="9">
        <f>IFERROR(__xludf.DUMMYFUNCTION("IFERROR(
  VLOOKUP(
    A199,
    IMPORTRANGE(
      ""1ZHMy3vVUd_0MrSduXTe1etBb1HNpAlGwQr006ljwMiM"",
      ""GSC最新!A:R""
    ),
    8,
    FALSE
  ),
  0
)
"),0.0)</f>
        <v>0</v>
      </c>
      <c r="S199" s="9">
        <f>IFERROR(__xludf.DUMMYFUNCTION("IFERROR(
  VLOOKUP(
    A199,
    IMPORTRANGE(
      ""1ZHMy3vVUd_0MrSduXTe1etBb1HNpAlGwQr006ljwMiM"",
      ""GSC最新!A:R""
    ),
    11,
    FALSE
  ),
  0
)
"),0.0)</f>
        <v>0</v>
      </c>
      <c r="T199" s="9">
        <f>IFERROR(__xludf.DUMMYFUNCTION("IFERROR(
  VLOOKUP(
    A199,
    IMPORTRANGE(
      ""1ZHMy3vVUd_0MrSduXTe1etBb1HNpAlGwQr006ljwMiM"",
      ""GSC最新!A:R""
    ),
    14,
    FALSE
  ),
  0
)
"),0.0)</f>
        <v>0</v>
      </c>
      <c r="U199" s="9">
        <f>IFERROR(__xludf.DUMMYFUNCTION("IFERROR(
  VLOOKUP(
    A199,
    IMPORTRANGE(
      ""1ZHMy3vVUd_0MrSduXTe1etBb1HNpAlGwQr006ljwMiM"",
      ""GSC最新!A:R""
    ),
    17,
    FALSE
  ),
  0
)
"),0.0)</f>
        <v>0</v>
      </c>
      <c r="V199" s="9">
        <f t="shared" ref="V199:W199" si="988">IFERROR(R199-T199,"-")</f>
        <v>0</v>
      </c>
      <c r="W199" s="9">
        <f t="shared" si="988"/>
        <v>0</v>
      </c>
      <c r="X199" s="65" t="str">
        <f>IFERROR(__xludf.DUMMYFUNCTION("IFERROR(
  VLOOKUP(
    A199,
    IMPORTRANGE(
      ""1ZHMy3vVUd_0MrSduXTe1etBb1HNpAlGwQr006ljwMiM"",
      ""GSC最新!A:R""
    ),
    9,
    FALSE
  ),
  0
)
"),"")</f>
        <v/>
      </c>
      <c r="Y199" s="65" t="str">
        <f>IFERROR(__xludf.DUMMYFUNCTION("IFERROR(
  VLOOKUP(
    A199,
    IMPORTRANGE(
      ""1ZHMy3vVUd_0MrSduXTe1etBb1HNpAlGwQr006ljwMiM"",
      ""GSC最新!A:R""
    ),
    12,
    FALSE
  ),
  0
)
"),"")</f>
        <v/>
      </c>
      <c r="Z199" s="65" t="str">
        <f>IFERROR(__xludf.DUMMYFUNCTION("IFERROR(
  VLOOKUP(
    A199,
    IMPORTRANGE(
      ""1ZHMy3vVUd_0MrSduXTe1etBb1HNpAlGwQr006ljwMiM"",
      ""GSC最新!A:R""
    ),
    15,
    FALSE
  ),
  0
)
"),"")</f>
        <v/>
      </c>
      <c r="AA199" s="65" t="str">
        <f>IFERROR(__xludf.DUMMYFUNCTION("IFERROR(
  VLOOKUP(
    A199,
    IMPORTRANGE(
      ""1ZHMy3vVUd_0MrSduXTe1etBb1HNpAlGwQr006ljwMiM"",
      ""GSC最新!A:R""
    ),
    18,
    FALSE
  ),
  0
)
"),"")</f>
        <v/>
      </c>
      <c r="AB199" s="65">
        <f t="shared" ref="AB199:AC199" si="989">X199-Z199</f>
        <v>0</v>
      </c>
      <c r="AC199" s="65">
        <f t="shared" si="989"/>
        <v>0</v>
      </c>
      <c r="AD199" s="53">
        <f>IFERROR(__xludf.DUMMYFUNCTION("IFERROR(
  VLOOKUP(
    A199,
    IMPORTRANGE(
      ""1ZHMy3vVUd_0MrSduXTe1etBb1HNpAlGwQr006ljwMiM"",
      ""GSC最新!A:F""
    ),
    6,
    FALSE
  ),
  0
)
"),46081.0)</f>
        <v>46081</v>
      </c>
      <c r="AE199" s="54">
        <f>IFERROR(__xludf.DUMMYFUNCTION("IFERROR(
  VLOOKUP(
    A199,
    IMPORTRANGE(
      ""1SCYQd7_cobOYqT0r_F0IqD4tE4rYn5y8Eup4PJTH8es"",
      ""Snapshot!A:M""
    ),
    5,
    FALSE
  ),
  ""-""
)
"),1.0)</f>
        <v>1</v>
      </c>
      <c r="AF199" s="54">
        <f>IFERROR(__xludf.DUMMYFUNCTION("IFERROR(
  VLOOKUP(
    A199,
    IMPORTRANGE(
      ""1SCYQd7_cobOYqT0r_F0IqD4tE4rYn5y8Eup4PJTH8es"",
      ""Snapshot!A:M""
    ),
    6,
    FALSE
  ),
  0
)
"),5.0)</f>
        <v>5</v>
      </c>
      <c r="AG199" s="54">
        <f>IFERROR(__xludf.DUMMYFUNCTION("IFERROR(
  VLOOKUP(
    A199,
    IMPORTRANGE(
      ""1SCYQd7_cobOYqT0r_F0IqD4tE4rYn5y8Eup4PJTH8es"",
      ""Snapshot!A:M""
    ),
    7,
    FALSE
  ),
  0
)
"),638.0)</f>
        <v>638</v>
      </c>
      <c r="AH199" s="54">
        <f>IFERROR(__xludf.DUMMYFUNCTION("IFERROR(
  VLOOKUP(
    A199,
    IMPORTRANGE(
      ""1SCYQd7_cobOYqT0r_F0IqD4tE4rYn5y8Eup4PJTH8es"",
      ""Snapshot!A:M""
    ),
    8,
    FALSE
  ),
  0
)
"),2.0)</f>
        <v>2</v>
      </c>
      <c r="AI199" s="54">
        <f>IFERROR(__xludf.DUMMYFUNCTION("IFERROR(
  VLOOKUP(
    A199,
    IMPORTRANGE(
      ""1SCYQd7_cobOYqT0r_F0IqD4tE4rYn5y8Eup4PJTH8es"",
      ""Snapshot!A:M""
    ),
    9,
    FALSE
  ),
  0
)
"),1.0)</f>
        <v>1</v>
      </c>
      <c r="AJ199" s="54">
        <f>IFERROR(__xludf.DUMMYFUNCTION("IFERROR(
  VLOOKUP(
    A199,
    IMPORTRANGE(
      ""1SCYQd7_cobOYqT0r_F0IqD4tE4rYn5y8Eup4PJTH8es"",
      ""Snapshot!A:M""
    ),
    13,
    FALSE
  ),
  0
)
"),3.0)</f>
        <v>3</v>
      </c>
      <c r="AK199" s="49">
        <f t="shared" ref="AK199:AL199" si="990">LEN(C199)</f>
        <v>77</v>
      </c>
      <c r="AL199" s="49">
        <f t="shared" si="990"/>
        <v>55</v>
      </c>
    </row>
    <row r="200">
      <c r="A200" s="3" t="s">
        <v>687</v>
      </c>
      <c r="B200" s="1" t="str">
        <f>IFERROR(__xludf.DUMMYFUNCTION("IFERROR(
  VLOOKUP(
    A200,
    IMPORTRANGE(
      ""1ZygntHC1J6IxzKbTidmOyf5nUyW4GCLurHCjexrLm_o"",
      ""HTMLキャッシュ!A:F""
    ),
    2,
    FALSE
  ),
  0
)
"),"NW")</f>
        <v>NW</v>
      </c>
      <c r="C200" s="1" t="str">
        <f>IFERROR(__xludf.DUMMYFUNCTION("IFERROR(
  VLOOKUP(
    A200,
    IMPORTRANGE(
      ""1ZygntHC1J6IxzKbTidmOyf5nUyW4GCLurHCjexrLm_o"",
      ""HTMLキャッシュ!A:F""
    ),
    5,
    FALSE
  ),
  0
)
"),"【小6】得点力養成講座オンライン講座【短期集中】のお知らせ - 受験国語専門 読解ラボ東京 | 中学受験・大学受験対応の個別指導国語専門塾（オンライン・教室対応）")</f>
        <v>【小6】得点力養成講座オンライン講座【短期集中】のお知らせ - 受験国語専門 読解ラボ東京 | 中学受験・大学受験対応の個別指導国語専門塾（オンライン・教室対応）</v>
      </c>
      <c r="D200" s="1" t="str">
        <f>IFERROR(__xludf.DUMMYFUNCTION("IFERROR(
  VLOOKUP(
    A200,
    IMPORTRANGE(
      ""1ZygntHC1J6IxzKbTidmOyf5nUyW4GCLurHCjexrLm_o        "",
      ""HTMLキャッシュ!A:F""
    ),
    6,
    FALSE
  ),
  0
)
"),"当塾では、得点力養成講座のオンライン版である、「得点力養成講座オンライン」を開講しておりますが、この度、5月2")</f>
        <v>当塾では、得点力養成講座のオンライン版である、「得点力養成講座オンライン」を開講しておりますが、この度、5月2</v>
      </c>
      <c r="E200" s="32">
        <f>IFERROR(__xludf.DUMMYFUNCTION("IFERROR(
  VLOOKUP(
    A200,
    IMPORTRANGE(
      ""1ZygntHC1J6IxzKbTidmOyf5nUyW4GCLurHCjexrLm_o        "",
      ""HTMLキャッシュ!A:F""
    ),
    3,
    FALSE
  ),
  0
)
"),43967.55451388889)</f>
        <v>43967.55451</v>
      </c>
      <c r="F200" s="49">
        <f>IFERROR(__xludf.DUMMYFUNCTION("IFERROR(
  VLOOKUP(
    A200,
    IMPORTRANGE(
      ""1ZHMy3vVUd_0MrSduXTe1etBb1HNpAlGwQr006ljwMiM"",
      ""GSC最新!A:F""
    ),
    2,
    FALSE
  ),
  0
)
"),0.0)</f>
        <v>0</v>
      </c>
      <c r="G200" s="49">
        <f>IFERROR(__xludf.DUMMYFUNCTION("IFERROR(
  VLOOKUP(
    A200,
    IMPORTRANGE(
      ""1ZHMy3vVUd_0MrSduXTe1etBb1HNpAlGwQr006ljwMiM"",
      ""GSC最新!A:F""
    ),
    3,
    FALSE
  ),
  0
)
"),0.0)</f>
        <v>0</v>
      </c>
      <c r="H200" s="49">
        <f>IFERROR(__xludf.DUMMYFUNCTION("IFERROR(
  VLOOKUP(
    A200,
    IMPORTRANGE(
      ""1ZHMy3vVUd_0MrSduXTe1etBb1HNpAlGwQr006ljwMiM"",
      ""GSC最新!A:F""
    ),
    4,
    FALSE
  ),
  0
)
"),0.0)</f>
        <v>0</v>
      </c>
      <c r="I200" s="49">
        <f>IFERROR(__xludf.DUMMYFUNCTION("IFERROR(
  VLOOKUP(
    A200,
    IMPORTRANGE(
      ""1ZHMy3vVUd_0MrSduXTe1etBb1HNpAlGwQr006ljwMiM"",
      ""GSC最新!A:F""
    ),
    5,
    FALSE
  ),
  0
)
"),0.0)</f>
        <v>0</v>
      </c>
      <c r="J200" s="50" t="str">
        <f t="shared" ref="J200:K200" si="991">IFERROR(F200/H200,"-")</f>
        <v>-</v>
      </c>
      <c r="K200" s="50" t="str">
        <f t="shared" si="991"/>
        <v>-</v>
      </c>
      <c r="L200" s="6">
        <f>IFERROR(__xludf.DUMMYFUNCTION("IFERROR(
  VLOOKUP(
    A200,
    IMPORTRANGE(
      ""1ZHMy3vVUd_0MrSduXTe1etBb1HNpAlGwQr006ljwMiM"",
      ""GSC最新!A:R""
    ),
    7,
    FALSE
  ),
  0
)
"),0.0)</f>
        <v>0</v>
      </c>
      <c r="M200" s="6">
        <f>IFERROR(__xludf.DUMMYFUNCTION("IFERROR(
  VLOOKUP(
    A200,
    IMPORTRANGE(
      ""1ZHMy3vVUd_0MrSduXTe1etBb1HNpAlGwQr006ljwMiM"",
      ""GSC最新!A:R""
    ),
    10,
    FALSE
  ),
  0
)
"),0.0)</f>
        <v>0</v>
      </c>
      <c r="N200" s="6">
        <f>IFERROR(__xludf.DUMMYFUNCTION("IFERROR(
  VLOOKUP(
    A200,
    IMPORTRANGE(
      ""1ZHMy3vVUd_0MrSduXTe1etBb1HNpAlGwQr006ljwMiM"",
      ""GSC最新!A:R""
    ),
    13,
    FALSE
  ),
  0
)
"),0.0)</f>
        <v>0</v>
      </c>
      <c r="O200" s="6">
        <f>IFERROR(__xludf.DUMMYFUNCTION("IFERROR(
  VLOOKUP(
    A200,
    IMPORTRANGE(
      ""1ZHMy3vVUd_0MrSduXTe1etBb1HNpAlGwQr006ljwMiM"",
      ""GSC最新!A:R""
    ),
    16,
    FALSE
  ),
  0
)
"),4.0)</f>
        <v>4</v>
      </c>
      <c r="P200" s="51" t="str">
        <f t="shared" ref="P200:Q200" si="992">IFERROR(L200/N200,"-")</f>
        <v>-</v>
      </c>
      <c r="Q200" s="51">
        <f t="shared" si="992"/>
        <v>0</v>
      </c>
      <c r="R200" s="9">
        <f>IFERROR(__xludf.DUMMYFUNCTION("IFERROR(
  VLOOKUP(
    A200,
    IMPORTRANGE(
      ""1ZHMy3vVUd_0MrSduXTe1etBb1HNpAlGwQr006ljwMiM"",
      ""GSC最新!A:R""
    ),
    8,
    FALSE
  ),
  0
)
"),0.0)</f>
        <v>0</v>
      </c>
      <c r="S200" s="9">
        <f>IFERROR(__xludf.DUMMYFUNCTION("IFERROR(
  VLOOKUP(
    A200,
    IMPORTRANGE(
      ""1ZHMy3vVUd_0MrSduXTe1etBb1HNpAlGwQr006ljwMiM"",
      ""GSC最新!A:R""
    ),
    11,
    FALSE
  ),
  0
)
"),0.0)</f>
        <v>0</v>
      </c>
      <c r="T200" s="9">
        <f>IFERROR(__xludf.DUMMYFUNCTION("IFERROR(
  VLOOKUP(
    A200,
    IMPORTRANGE(
      ""1ZHMy3vVUd_0MrSduXTe1etBb1HNpAlGwQr006ljwMiM"",
      ""GSC最新!A:R""
    ),
    14,
    FALSE
  ),
  0
)
"),0.0)</f>
        <v>0</v>
      </c>
      <c r="U200" s="9">
        <f>IFERROR(__xludf.DUMMYFUNCTION("IFERROR(
  VLOOKUP(
    A200,
    IMPORTRANGE(
      ""1ZHMy3vVUd_0MrSduXTe1etBb1HNpAlGwQr006ljwMiM"",
      ""GSC最新!A:R""
    ),
    17,
    FALSE
  ),
  0
)
"),0.0)</f>
        <v>0</v>
      </c>
      <c r="V200" s="9">
        <f t="shared" ref="V200:W200" si="993">IFERROR(R200-T200,"-")</f>
        <v>0</v>
      </c>
      <c r="W200" s="9">
        <f t="shared" si="993"/>
        <v>0</v>
      </c>
      <c r="X200" s="65" t="str">
        <f>IFERROR(__xludf.DUMMYFUNCTION("IFERROR(
  VLOOKUP(
    A200,
    IMPORTRANGE(
      ""1ZHMy3vVUd_0MrSduXTe1etBb1HNpAlGwQr006ljwMiM"",
      ""GSC最新!A:R""
    ),
    9,
    FALSE
  ),
  0
)
"),"")</f>
        <v/>
      </c>
      <c r="Y200" s="65" t="str">
        <f>IFERROR(__xludf.DUMMYFUNCTION("IFERROR(
  VLOOKUP(
    A200,
    IMPORTRANGE(
      ""1ZHMy3vVUd_0MrSduXTe1etBb1HNpAlGwQr006ljwMiM"",
      ""GSC最新!A:R""
    ),
    12,
    FALSE
  ),
  0
)
"),"")</f>
        <v/>
      </c>
      <c r="Z200" s="65" t="str">
        <f>IFERROR(__xludf.DUMMYFUNCTION("IFERROR(
  VLOOKUP(
    A200,
    IMPORTRANGE(
      ""1ZHMy3vVUd_0MrSduXTe1etBb1HNpAlGwQr006ljwMiM"",
      ""GSC最新!A:R""
    ),
    15,
    FALSE
  ),
  0
)
"),"")</f>
        <v/>
      </c>
      <c r="AA200" s="65">
        <f>IFERROR(__xludf.DUMMYFUNCTION("IFERROR(
  VLOOKUP(
    A200,
    IMPORTRANGE(
      ""1ZHMy3vVUd_0MrSduXTe1etBb1HNpAlGwQr006ljwMiM"",
      ""GSC最新!A:R""
    ),
    18,
    FALSE
  ),
  0
)
"),9.0)</f>
        <v>9</v>
      </c>
      <c r="AB200" s="65">
        <f t="shared" ref="AB200:AC200" si="994">X200-Z200</f>
        <v>0</v>
      </c>
      <c r="AC200" s="65">
        <f t="shared" si="994"/>
        <v>-9</v>
      </c>
      <c r="AD200" s="53">
        <f>IFERROR(__xludf.DUMMYFUNCTION("IFERROR(
  VLOOKUP(
    A200,
    IMPORTRANGE(
      ""1ZHMy3vVUd_0MrSduXTe1etBb1HNpAlGwQr006ljwMiM"",
      ""GSC最新!A:F""
    ),
    6,
    FALSE
  ),
  0
)
"),46081.0)</f>
        <v>46081</v>
      </c>
      <c r="AE200" s="54">
        <f>IFERROR(__xludf.DUMMYFUNCTION("IFERROR(
  VLOOKUP(
    A200,
    IMPORTRANGE(
      ""1SCYQd7_cobOYqT0r_F0IqD4tE4rYn5y8Eup4PJTH8es"",
      ""Snapshot!A:M""
    ),
    5,
    FALSE
  ),
  ""-""
)
"),1.0)</f>
        <v>1</v>
      </c>
      <c r="AF200" s="54">
        <f>IFERROR(__xludf.DUMMYFUNCTION("IFERROR(
  VLOOKUP(
    A200,
    IMPORTRANGE(
      ""1SCYQd7_cobOYqT0r_F0IqD4tE4rYn5y8Eup4PJTH8es"",
      ""Snapshot!A:M""
    ),
    6,
    FALSE
  ),
  0
)
"),5.0)</f>
        <v>5</v>
      </c>
      <c r="AG200" s="54">
        <f>IFERROR(__xludf.DUMMYFUNCTION("IFERROR(
  VLOOKUP(
    A200,
    IMPORTRANGE(
      ""1SCYQd7_cobOYqT0r_F0IqD4tE4rYn5y8Eup4PJTH8es"",
      ""Snapshot!A:M""
    ),
    7,
    FALSE
  ),
  0
)
"),730.0)</f>
        <v>730</v>
      </c>
      <c r="AH200" s="54">
        <f>IFERROR(__xludf.DUMMYFUNCTION("IFERROR(
  VLOOKUP(
    A200,
    IMPORTRANGE(
      ""1SCYQd7_cobOYqT0r_F0IqD4tE4rYn5y8Eup4PJTH8es"",
      ""Snapshot!A:M""
    ),
    8,
    FALSE
  ),
  0
)
"),2.0)</f>
        <v>2</v>
      </c>
      <c r="AI200" s="54">
        <f>IFERROR(__xludf.DUMMYFUNCTION("IFERROR(
  VLOOKUP(
    A200,
    IMPORTRANGE(
      ""1SCYQd7_cobOYqT0r_F0IqD4tE4rYn5y8Eup4PJTH8es"",
      ""Snapshot!A:M""
    ),
    9,
    FALSE
  ),
  0
)
"),1.0)</f>
        <v>1</v>
      </c>
      <c r="AJ200" s="54">
        <f>IFERROR(__xludf.DUMMYFUNCTION("IFERROR(
  VLOOKUP(
    A200,
    IMPORTRANGE(
      ""1SCYQd7_cobOYqT0r_F0IqD4tE4rYn5y8Eup4PJTH8es"",
      ""Snapshot!A:M""
    ),
    13,
    FALSE
  ),
  0
)
"),3.0)</f>
        <v>3</v>
      </c>
      <c r="AK200" s="49">
        <f t="shared" ref="AK200:AL200" si="995">LEN(C200)</f>
        <v>81</v>
      </c>
      <c r="AL200" s="49">
        <f t="shared" si="995"/>
        <v>55</v>
      </c>
    </row>
    <row r="201">
      <c r="A201" s="3" t="s">
        <v>688</v>
      </c>
      <c r="B201" s="1" t="str">
        <f>IFERROR(__xludf.DUMMYFUNCTION("IFERROR(
  VLOOKUP(
    A201,
    IMPORTRANGE(
      ""1ZygntHC1J6IxzKbTidmOyf5nUyW4GCLurHCjexrLm_o"",
      ""HTMLキャッシュ!A:F""
    ),
    2,
    FALSE
  ),
  0
)
"),"NW")</f>
        <v>NW</v>
      </c>
      <c r="C201" s="1" t="str">
        <f>IFERROR(__xludf.DUMMYFUNCTION("IFERROR(
  VLOOKUP(
    A201,
    IMPORTRANGE(
      ""1ZygntHC1J6IxzKbTidmOyf5nUyW4GCLurHCjexrLm_o"",
      ""HTMLキャッシュ!A:F""
    ),
    5,
    FALSE
  ),
  0
)
"),"【大学受験】ハイレベル現代文～既存の現代文教育に対するアンチテーゼ～【オンライン】開講のお知らせ - 受験国語専門 読解ラボ東京 | 中学受験・大学受験対応の個別指導国語専門塾（オンライン・教室対応）")</f>
        <v>【大学受験】ハイレベル現代文～既存の現代文教育に対するアンチテーゼ～【オンライン】開講のお知らせ - 受験国語専門 読解ラボ東京 | 中学受験・大学受験対応の個別指導国語専門塾（オンライン・教室対応）</v>
      </c>
      <c r="D201" s="1" t="str">
        <f>IFERROR(__xludf.DUMMYFUNCTION("IFERROR(
  VLOOKUP(
    A201,
    IMPORTRANGE(
      ""1ZygntHC1J6IxzKbTidmOyf5nUyW4GCLurHCjexrLm_o        "",
      ""HTMLキャッシュ!A:F""
    ),
    6,
    FALSE
  ),
  0
)
"),"この度、現代文を得点源にしたい大学受験生を対象とした「ハイレベル現代文～既存の現代文教育に対するアンチテーゼ～")</f>
        <v>この度、現代文を得点源にしたい大学受験生を対象とした「ハイレベル現代文～既存の現代文教育に対するアンチテーゼ～</v>
      </c>
      <c r="E201" s="32">
        <f>IFERROR(__xludf.DUMMYFUNCTION("IFERROR(
  VLOOKUP(
    A201,
    IMPORTRANGE(
      ""1ZygntHC1J6IxzKbTidmOyf5nUyW4GCLurHCjexrLm_o        "",
      ""HTMLキャッシュ!A:F""
    ),
    3,
    FALSE
  ),
  0
)
"),43980.513240740744)</f>
        <v>43980.51324</v>
      </c>
      <c r="F201" s="49">
        <f>IFERROR(__xludf.DUMMYFUNCTION("IFERROR(
  VLOOKUP(
    A201,
    IMPORTRANGE(
      ""1ZHMy3vVUd_0MrSduXTe1etBb1HNpAlGwQr006ljwMiM"",
      ""GSC最新!A:F""
    ),
    2,
    FALSE
  ),
  0
)
"),0.0)</f>
        <v>0</v>
      </c>
      <c r="G201" s="49">
        <f>IFERROR(__xludf.DUMMYFUNCTION("IFERROR(
  VLOOKUP(
    A201,
    IMPORTRANGE(
      ""1ZHMy3vVUd_0MrSduXTe1etBb1HNpAlGwQr006ljwMiM"",
      ""GSC最新!A:F""
    ),
    3,
    FALSE
  ),
  0
)
"),0.0)</f>
        <v>0</v>
      </c>
      <c r="H201" s="49">
        <f>IFERROR(__xludf.DUMMYFUNCTION("IFERROR(
  VLOOKUP(
    A201,
    IMPORTRANGE(
      ""1ZHMy3vVUd_0MrSduXTe1etBb1HNpAlGwQr006ljwMiM"",
      ""GSC最新!A:F""
    ),
    4,
    FALSE
  ),
  0
)
"),0.0)</f>
        <v>0</v>
      </c>
      <c r="I201" s="49">
        <f>IFERROR(__xludf.DUMMYFUNCTION("IFERROR(
  VLOOKUP(
    A201,
    IMPORTRANGE(
      ""1ZHMy3vVUd_0MrSduXTe1etBb1HNpAlGwQr006ljwMiM"",
      ""GSC最新!A:F""
    ),
    5,
    FALSE
  ),
  0
)
"),0.0)</f>
        <v>0</v>
      </c>
      <c r="J201" s="50" t="str">
        <f t="shared" ref="J201:K201" si="996">IFERROR(F201/H201,"-")</f>
        <v>-</v>
      </c>
      <c r="K201" s="50" t="str">
        <f t="shared" si="996"/>
        <v>-</v>
      </c>
      <c r="L201" s="6">
        <f>IFERROR(__xludf.DUMMYFUNCTION("IFERROR(
  VLOOKUP(
    A201,
    IMPORTRANGE(
      ""1ZHMy3vVUd_0MrSduXTe1etBb1HNpAlGwQr006ljwMiM"",
      ""GSC最新!A:R""
    ),
    7,
    FALSE
  ),
  0
)
"),0.0)</f>
        <v>0</v>
      </c>
      <c r="M201" s="6">
        <f>IFERROR(__xludf.DUMMYFUNCTION("IFERROR(
  VLOOKUP(
    A201,
    IMPORTRANGE(
      ""1ZHMy3vVUd_0MrSduXTe1etBb1HNpAlGwQr006ljwMiM"",
      ""GSC最新!A:R""
    ),
    10,
    FALSE
  ),
  0
)
"),1.0)</f>
        <v>1</v>
      </c>
      <c r="N201" s="6">
        <f>IFERROR(__xludf.DUMMYFUNCTION("IFERROR(
  VLOOKUP(
    A201,
    IMPORTRANGE(
      ""1ZHMy3vVUd_0MrSduXTe1etBb1HNpAlGwQr006ljwMiM"",
      ""GSC最新!A:R""
    ),
    13,
    FALSE
  ),
  0
)
"),0.0)</f>
        <v>0</v>
      </c>
      <c r="O201" s="6">
        <f>IFERROR(__xludf.DUMMYFUNCTION("IFERROR(
  VLOOKUP(
    A201,
    IMPORTRANGE(
      ""1ZHMy3vVUd_0MrSduXTe1etBb1HNpAlGwQr006ljwMiM"",
      ""GSC最新!A:R""
    ),
    16,
    FALSE
  ),
  0
)
"),0.0)</f>
        <v>0</v>
      </c>
      <c r="P201" s="51" t="str">
        <f t="shared" ref="P201:Q201" si="997">IFERROR(L201/N201,"-")</f>
        <v>-</v>
      </c>
      <c r="Q201" s="51" t="str">
        <f t="shared" si="997"/>
        <v>-</v>
      </c>
      <c r="R201" s="9">
        <f>IFERROR(__xludf.DUMMYFUNCTION("IFERROR(
  VLOOKUP(
    A201,
    IMPORTRANGE(
      ""1ZHMy3vVUd_0MrSduXTe1etBb1HNpAlGwQr006ljwMiM"",
      ""GSC最新!A:R""
    ),
    8,
    FALSE
  ),
  0
)
"),0.0)</f>
        <v>0</v>
      </c>
      <c r="S201" s="9">
        <f>IFERROR(__xludf.DUMMYFUNCTION("IFERROR(
  VLOOKUP(
    A201,
    IMPORTRANGE(
      ""1ZHMy3vVUd_0MrSduXTe1etBb1HNpAlGwQr006ljwMiM"",
      ""GSC最新!A:R""
    ),
    11,
    FALSE
  ),
  0
)
"),0.0)</f>
        <v>0</v>
      </c>
      <c r="T201" s="9">
        <f>IFERROR(__xludf.DUMMYFUNCTION("IFERROR(
  VLOOKUP(
    A201,
    IMPORTRANGE(
      ""1ZHMy3vVUd_0MrSduXTe1etBb1HNpAlGwQr006ljwMiM"",
      ""GSC最新!A:R""
    ),
    14,
    FALSE
  ),
  0
)
"),0.0)</f>
        <v>0</v>
      </c>
      <c r="U201" s="9">
        <f>IFERROR(__xludf.DUMMYFUNCTION("IFERROR(
  VLOOKUP(
    A201,
    IMPORTRANGE(
      ""1ZHMy3vVUd_0MrSduXTe1etBb1HNpAlGwQr006ljwMiM"",
      ""GSC最新!A:R""
    ),
    17,
    FALSE
  ),
  0
)
"),0.0)</f>
        <v>0</v>
      </c>
      <c r="V201" s="9">
        <f t="shared" ref="V201:W201" si="998">IFERROR(R201-T201,"-")</f>
        <v>0</v>
      </c>
      <c r="W201" s="9">
        <f t="shared" si="998"/>
        <v>0</v>
      </c>
      <c r="X201" s="65" t="str">
        <f>IFERROR(__xludf.DUMMYFUNCTION("IFERROR(
  VLOOKUP(
    A201,
    IMPORTRANGE(
      ""1ZHMy3vVUd_0MrSduXTe1etBb1HNpAlGwQr006ljwMiM"",
      ""GSC最新!A:R""
    ),
    9,
    FALSE
  ),
  0
)
"),"")</f>
        <v/>
      </c>
      <c r="Y201" s="65">
        <f>IFERROR(__xludf.DUMMYFUNCTION("IFERROR(
  VLOOKUP(
    A201,
    IMPORTRANGE(
      ""1ZHMy3vVUd_0MrSduXTe1etBb1HNpAlGwQr006ljwMiM"",
      ""GSC最新!A:R""
    ),
    12,
    FALSE
  ),
  0
)
"),1.0)</f>
        <v>1</v>
      </c>
      <c r="Z201" s="65" t="str">
        <f>IFERROR(__xludf.DUMMYFUNCTION("IFERROR(
  VLOOKUP(
    A201,
    IMPORTRANGE(
      ""1ZHMy3vVUd_0MrSduXTe1etBb1HNpAlGwQr006ljwMiM"",
      ""GSC最新!A:R""
    ),
    15,
    FALSE
  ),
  0
)
"),"")</f>
        <v/>
      </c>
      <c r="AA201" s="65" t="str">
        <f>IFERROR(__xludf.DUMMYFUNCTION("IFERROR(
  VLOOKUP(
    A201,
    IMPORTRANGE(
      ""1ZHMy3vVUd_0MrSduXTe1etBb1HNpAlGwQr006ljwMiM"",
      ""GSC最新!A:R""
    ),
    18,
    FALSE
  ),
  0
)
"),"")</f>
        <v/>
      </c>
      <c r="AB201" s="65">
        <f t="shared" ref="AB201:AC201" si="999">X201-Z201</f>
        <v>0</v>
      </c>
      <c r="AC201" s="65">
        <f t="shared" si="999"/>
        <v>1</v>
      </c>
      <c r="AD201" s="53">
        <f>IFERROR(__xludf.DUMMYFUNCTION("IFERROR(
  VLOOKUP(
    A201,
    IMPORTRANGE(
      ""1ZHMy3vVUd_0MrSduXTe1etBb1HNpAlGwQr006ljwMiM"",
      ""GSC最新!A:F""
    ),
    6,
    FALSE
  ),
  0
)
"),46081.0)</f>
        <v>46081</v>
      </c>
      <c r="AE201" s="54">
        <f>IFERROR(__xludf.DUMMYFUNCTION("IFERROR(
  VLOOKUP(
    A201,
    IMPORTRANGE(
      ""1SCYQd7_cobOYqT0r_F0IqD4tE4rYn5y8Eup4PJTH8es"",
      ""Snapshot!A:M""
    ),
    5,
    FALSE
  ),
  ""-""
)
"),1.0)</f>
        <v>1</v>
      </c>
      <c r="AF201" s="54">
        <f>IFERROR(__xludf.DUMMYFUNCTION("IFERROR(
  VLOOKUP(
    A201,
    IMPORTRANGE(
      ""1SCYQd7_cobOYqT0r_F0IqD4tE4rYn5y8Eup4PJTH8es"",
      ""Snapshot!A:M""
    ),
    6,
    FALSE
  ),
  0
)
"),6.0)</f>
        <v>6</v>
      </c>
      <c r="AG201" s="54">
        <f>IFERROR(__xludf.DUMMYFUNCTION("IFERROR(
  VLOOKUP(
    A201,
    IMPORTRANGE(
      ""1SCYQd7_cobOYqT0r_F0IqD4tE4rYn5y8Eup4PJTH8es"",
      ""Snapshot!A:M""
    ),
    7,
    FALSE
  ),
  0
)
"),421.0)</f>
        <v>421</v>
      </c>
      <c r="AH201" s="54">
        <f>IFERROR(__xludf.DUMMYFUNCTION("IFERROR(
  VLOOKUP(
    A201,
    IMPORTRANGE(
      ""1SCYQd7_cobOYqT0r_F0IqD4tE4rYn5y8Eup4PJTH8es"",
      ""Snapshot!A:M""
    ),
    8,
    FALSE
  ),
  0
)
"),1.0)</f>
        <v>1</v>
      </c>
      <c r="AI201" s="54">
        <f>IFERROR(__xludf.DUMMYFUNCTION("IFERROR(
  VLOOKUP(
    A201,
    IMPORTRANGE(
      ""1SCYQd7_cobOYqT0r_F0IqD4tE4rYn5y8Eup4PJTH8es"",
      ""Snapshot!A:M""
    ),
    9,
    FALSE
  ),
  0
)
"),1.0)</f>
        <v>1</v>
      </c>
      <c r="AJ201" s="54">
        <f>IFERROR(__xludf.DUMMYFUNCTION("IFERROR(
  VLOOKUP(
    A201,
    IMPORTRANGE(
      ""1SCYQd7_cobOYqT0r_F0IqD4tE4rYn5y8Eup4PJTH8es"",
      ""Snapshot!A:M""
    ),
    13,
    FALSE
  ),
  0
)
"),3.0)</f>
        <v>3</v>
      </c>
      <c r="AK201" s="49">
        <f t="shared" ref="AK201:AL201" si="1000">LEN(C201)</f>
        <v>100</v>
      </c>
      <c r="AL201" s="49">
        <f t="shared" si="1000"/>
        <v>55</v>
      </c>
    </row>
    <row r="202">
      <c r="A202" s="3" t="s">
        <v>689</v>
      </c>
      <c r="B202" s="1" t="str">
        <f>IFERROR(__xludf.DUMMYFUNCTION("IFERROR(
  VLOOKUP(
    A202,
    IMPORTRANGE(
      ""1ZygntHC1J6IxzKbTidmOyf5nUyW4GCLurHCjexrLm_o"",
      ""HTMLキャッシュ!A:F""
    ),
    2,
    FALSE
  ),
  0
)
"),"NW")</f>
        <v>NW</v>
      </c>
      <c r="C202" s="1" t="str">
        <f>IFERROR(__xludf.DUMMYFUNCTION("IFERROR(
  VLOOKUP(
    A202,
    IMPORTRANGE(
      ""1ZygntHC1J6IxzKbTidmOyf5nUyW4GCLurHCjexrLm_o"",
      ""HTMLキャッシュ!A:F""
    ),
    5,
    FALSE
  ),
  0
)
"),"2020年度夏期講習会開催のお知らせ - 受験国語専門 読解ラボ東京 | 中学受験・大学受験対応の個別指導国語専門塾（オンライン・教室対応）")</f>
        <v>2020年度夏期講習会開催のお知らせ - 受験国語専門 読解ラボ東京 | 中学受験・大学受験対応の個別指導国語専門塾（オンライン・教室対応）</v>
      </c>
      <c r="D202" s="1" t="str">
        <f>IFERROR(__xludf.DUMMYFUNCTION("IFERROR(
  VLOOKUP(
    A202,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202" s="32">
        <f>IFERROR(__xludf.DUMMYFUNCTION("IFERROR(
  VLOOKUP(
    A202,
    IMPORTRANGE(
      ""1ZygntHC1J6IxzKbTidmOyf5nUyW4GCLurHCjexrLm_o        "",
      ""HTMLキャッシュ!A:F""
    ),
    3,
    FALSE
  ),
  0
)
"),46076.64113425926)</f>
        <v>46076.64113</v>
      </c>
      <c r="F202" s="49">
        <f>IFERROR(__xludf.DUMMYFUNCTION("IFERROR(
  VLOOKUP(
    A202,
    IMPORTRANGE(
      ""1ZHMy3vVUd_0MrSduXTe1etBb1HNpAlGwQr006ljwMiM"",
      ""GSC最新!A:F""
    ),
    2,
    FALSE
  ),
  0
)
"),0.0)</f>
        <v>0</v>
      </c>
      <c r="G202" s="49">
        <f>IFERROR(__xludf.DUMMYFUNCTION("IFERROR(
  VLOOKUP(
    A202,
    IMPORTRANGE(
      ""1ZHMy3vVUd_0MrSduXTe1etBb1HNpAlGwQr006ljwMiM"",
      ""GSC最新!A:F""
    ),
    3,
    FALSE
  ),
  0
)
"),0.0)</f>
        <v>0</v>
      </c>
      <c r="H202" s="49">
        <f>IFERROR(__xludf.DUMMYFUNCTION("IFERROR(
  VLOOKUP(
    A202,
    IMPORTRANGE(
      ""1ZHMy3vVUd_0MrSduXTe1etBb1HNpAlGwQr006ljwMiM"",
      ""GSC最新!A:F""
    ),
    4,
    FALSE
  ),
  0
)
"),0.0)</f>
        <v>0</v>
      </c>
      <c r="I202" s="49">
        <f>IFERROR(__xludf.DUMMYFUNCTION("IFERROR(
  VLOOKUP(
    A202,
    IMPORTRANGE(
      ""1ZHMy3vVUd_0MrSduXTe1etBb1HNpAlGwQr006ljwMiM"",
      ""GSC最新!A:F""
    ),
    5,
    FALSE
  ),
  0
)
"),0.0)</f>
        <v>0</v>
      </c>
      <c r="J202" s="50" t="str">
        <f t="shared" ref="J202:K202" si="1001">IFERROR(F202/H202,"-")</f>
        <v>-</v>
      </c>
      <c r="K202" s="50" t="str">
        <f t="shared" si="1001"/>
        <v>-</v>
      </c>
      <c r="L202" s="6">
        <f>IFERROR(__xludf.DUMMYFUNCTION("IFERROR(
  VLOOKUP(
    A202,
    IMPORTRANGE(
      ""1ZHMy3vVUd_0MrSduXTe1etBb1HNpAlGwQr006ljwMiM"",
      ""GSC最新!A:R""
    ),
    7,
    FALSE
  ),
  0
)
"),0.0)</f>
        <v>0</v>
      </c>
      <c r="M202" s="6">
        <f>IFERROR(__xludf.DUMMYFUNCTION("IFERROR(
  VLOOKUP(
    A202,
    IMPORTRANGE(
      ""1ZHMy3vVUd_0MrSduXTe1etBb1HNpAlGwQr006ljwMiM"",
      ""GSC最新!A:R""
    ),
    10,
    FALSE
  ),
  0
)
"),0.0)</f>
        <v>0</v>
      </c>
      <c r="N202" s="6">
        <f>IFERROR(__xludf.DUMMYFUNCTION("IFERROR(
  VLOOKUP(
    A202,
    IMPORTRANGE(
      ""1ZHMy3vVUd_0MrSduXTe1etBb1HNpAlGwQr006ljwMiM"",
      ""GSC最新!A:R""
    ),
    13,
    FALSE
  ),
  0
)
"),0.0)</f>
        <v>0</v>
      </c>
      <c r="O202" s="6">
        <f>IFERROR(__xludf.DUMMYFUNCTION("IFERROR(
  VLOOKUP(
    A202,
    IMPORTRANGE(
      ""1ZHMy3vVUd_0MrSduXTe1etBb1HNpAlGwQr006ljwMiM"",
      ""GSC最新!A:R""
    ),
    16,
    FALSE
  ),
  0
)
"),0.0)</f>
        <v>0</v>
      </c>
      <c r="P202" s="51" t="str">
        <f t="shared" ref="P202:Q202" si="1002">IFERROR(L202/N202,"-")</f>
        <v>-</v>
      </c>
      <c r="Q202" s="51" t="str">
        <f t="shared" si="1002"/>
        <v>-</v>
      </c>
      <c r="R202" s="9">
        <f>IFERROR(__xludf.DUMMYFUNCTION("IFERROR(
  VLOOKUP(
    A202,
    IMPORTRANGE(
      ""1ZHMy3vVUd_0MrSduXTe1etBb1HNpAlGwQr006ljwMiM"",
      ""GSC最新!A:R""
    ),
    8,
    FALSE
  ),
  0
)
"),0.0)</f>
        <v>0</v>
      </c>
      <c r="S202" s="9">
        <f>IFERROR(__xludf.DUMMYFUNCTION("IFERROR(
  VLOOKUP(
    A202,
    IMPORTRANGE(
      ""1ZHMy3vVUd_0MrSduXTe1etBb1HNpAlGwQr006ljwMiM"",
      ""GSC最新!A:R""
    ),
    11,
    FALSE
  ),
  0
)
"),0.0)</f>
        <v>0</v>
      </c>
      <c r="T202" s="9">
        <f>IFERROR(__xludf.DUMMYFUNCTION("IFERROR(
  VLOOKUP(
    A202,
    IMPORTRANGE(
      ""1ZHMy3vVUd_0MrSduXTe1etBb1HNpAlGwQr006ljwMiM"",
      ""GSC最新!A:R""
    ),
    14,
    FALSE
  ),
  0
)
"),0.0)</f>
        <v>0</v>
      </c>
      <c r="U202" s="9">
        <f>IFERROR(__xludf.DUMMYFUNCTION("IFERROR(
  VLOOKUP(
    A202,
    IMPORTRANGE(
      ""1ZHMy3vVUd_0MrSduXTe1etBb1HNpAlGwQr006ljwMiM"",
      ""GSC最新!A:R""
    ),
    17,
    FALSE
  ),
  0
)
"),0.0)</f>
        <v>0</v>
      </c>
      <c r="V202" s="9">
        <f t="shared" ref="V202:W202" si="1003">IFERROR(R202-T202,"-")</f>
        <v>0</v>
      </c>
      <c r="W202" s="9">
        <f t="shared" si="1003"/>
        <v>0</v>
      </c>
      <c r="X202" s="65" t="str">
        <f>IFERROR(__xludf.DUMMYFUNCTION("IFERROR(
  VLOOKUP(
    A202,
    IMPORTRANGE(
      ""1ZHMy3vVUd_0MrSduXTe1etBb1HNpAlGwQr006ljwMiM"",
      ""GSC最新!A:R""
    ),
    9,
    FALSE
  ),
  0
)
"),"")</f>
        <v/>
      </c>
      <c r="Y202" s="65" t="str">
        <f>IFERROR(__xludf.DUMMYFUNCTION("IFERROR(
  VLOOKUP(
    A202,
    IMPORTRANGE(
      ""1ZHMy3vVUd_0MrSduXTe1etBb1HNpAlGwQr006ljwMiM"",
      ""GSC最新!A:R""
    ),
    12,
    FALSE
  ),
  0
)
"),"")</f>
        <v/>
      </c>
      <c r="Z202" s="65" t="str">
        <f>IFERROR(__xludf.DUMMYFUNCTION("IFERROR(
  VLOOKUP(
    A202,
    IMPORTRANGE(
      ""1ZHMy3vVUd_0MrSduXTe1etBb1HNpAlGwQr006ljwMiM"",
      ""GSC最新!A:R""
    ),
    15,
    FALSE
  ),
  0
)
"),"")</f>
        <v/>
      </c>
      <c r="AA202" s="65" t="str">
        <f>IFERROR(__xludf.DUMMYFUNCTION("IFERROR(
  VLOOKUP(
    A202,
    IMPORTRANGE(
      ""1ZHMy3vVUd_0MrSduXTe1etBb1HNpAlGwQr006ljwMiM"",
      ""GSC最新!A:R""
    ),
    18,
    FALSE
  ),
  0
)
"),"")</f>
        <v/>
      </c>
      <c r="AB202" s="65">
        <f t="shared" ref="AB202:AC202" si="1004">X202-Z202</f>
        <v>0</v>
      </c>
      <c r="AC202" s="65">
        <f t="shared" si="1004"/>
        <v>0</v>
      </c>
      <c r="AD202" s="53">
        <f>IFERROR(__xludf.DUMMYFUNCTION("IFERROR(
  VLOOKUP(
    A202,
    IMPORTRANGE(
      ""1ZHMy3vVUd_0MrSduXTe1etBb1HNpAlGwQr006ljwMiM"",
      ""GSC最新!A:F""
    ),
    6,
    FALSE
  ),
  0
)
"),46081.0)</f>
        <v>46081</v>
      </c>
      <c r="AE202" s="54">
        <f>IFERROR(__xludf.DUMMYFUNCTION("IFERROR(
  VLOOKUP(
    A202,
    IMPORTRANGE(
      ""1SCYQd7_cobOYqT0r_F0IqD4tE4rYn5y8Eup4PJTH8es"",
      ""Snapshot!A:M""
    ),
    5,
    FALSE
  ),
  ""-""
)
"),0.0)</f>
        <v>0</v>
      </c>
      <c r="AF202" s="54">
        <f>IFERROR(__xludf.DUMMYFUNCTION("IFERROR(
  VLOOKUP(
    A202,
    IMPORTRANGE(
      ""1SCYQd7_cobOYqT0r_F0IqD4tE4rYn5y8Eup4PJTH8es"",
      ""Snapshot!A:M""
    ),
    6,
    FALSE
  ),
  0
)
"),0.0)</f>
        <v>0</v>
      </c>
      <c r="AG202" s="54">
        <f>IFERROR(__xludf.DUMMYFUNCTION("IFERROR(
  VLOOKUP(
    A202,
    IMPORTRANGE(
      ""1SCYQd7_cobOYqT0r_F0IqD4tE4rYn5y8Eup4PJTH8es"",
      ""Snapshot!A:M""
    ),
    7,
    FALSE
  ),
  0
)
"),967.0)</f>
        <v>967</v>
      </c>
      <c r="AH202" s="54">
        <f>IFERROR(__xludf.DUMMYFUNCTION("IFERROR(
  VLOOKUP(
    A202,
    IMPORTRANGE(
      ""1SCYQd7_cobOYqT0r_F0IqD4tE4rYn5y8Eup4PJTH8es"",
      ""Snapshot!A:M""
    ),
    8,
    FALSE
  ),
  0
)
"),2.0)</f>
        <v>2</v>
      </c>
      <c r="AI202" s="54">
        <f>IFERROR(__xludf.DUMMYFUNCTION("IFERROR(
  VLOOKUP(
    A202,
    IMPORTRANGE(
      ""1SCYQd7_cobOYqT0r_F0IqD4tE4rYn5y8Eup4PJTH8es"",
      ""Snapshot!A:M""
    ),
    9,
    FALSE
  ),
  0
)
"),3.0)</f>
        <v>3</v>
      </c>
      <c r="AJ202" s="54">
        <f>IFERROR(__xludf.DUMMYFUNCTION("IFERROR(
  VLOOKUP(
    A202,
    IMPORTRANGE(
      ""1SCYQd7_cobOYqT0r_F0IqD4tE4rYn5y8Eup4PJTH8es"",
      ""Snapshot!A:M""
    ),
    13,
    FALSE
  ),
  0
)
"),3.0)</f>
        <v>3</v>
      </c>
      <c r="AK202" s="49">
        <f t="shared" ref="AK202:AL202" si="1005">LEN(C202)</f>
        <v>70</v>
      </c>
      <c r="AL202" s="49">
        <f t="shared" si="1005"/>
        <v>55</v>
      </c>
    </row>
    <row r="203">
      <c r="A203" s="3" t="s">
        <v>690</v>
      </c>
      <c r="B203" s="1" t="str">
        <f>IFERROR(__xludf.DUMMYFUNCTION("IFERROR(
  VLOOKUP(
    A203,
    IMPORTRANGE(
      ""1ZygntHC1J6IxzKbTidmOyf5nUyW4GCLurHCjexrLm_o"",
      ""HTMLキャッシュ!A:F""
    ),
    2,
    FALSE
  ),
  0
)
"),"NW")</f>
        <v>NW</v>
      </c>
      <c r="C203" s="1" t="str">
        <f>IFERROR(__xludf.DUMMYFUNCTION("IFERROR(
  VLOOKUP(
    A203,
    IMPORTRANGE(
      ""1ZygntHC1J6IxzKbTidmOyf5nUyW4GCLurHCjexrLm_o"",
      ""HTMLキャッシュ!A:F""
    ),
    5,
    FALSE
  ),
  0
)
"),"「早稲田大突破セミナー」が11月3日(火)に開催されます！ - 受験国語専門 読解ラボ東京 | 中学受験・大学受験対応の個別指導国語専門塾（オンライン・教室対応）")</f>
        <v>「早稲田大突破セミナー」が11月3日(火)に開催されます！ - 受験国語専門 読解ラボ東京 | 中学受験・大学受験対応の個別指導国語専門塾（オンライン・教室対応）</v>
      </c>
      <c r="D203" s="1" t="str">
        <f>IFERROR(__xludf.DUMMYFUNCTION("IFERROR(
  VLOOKUP(
    A203,
    IMPORTRANGE(
      ""1ZygntHC1J6IxzKbTidmOyf5nUyW4GCLurHCjexrLm_o        "",
      ""HTMLキャッシュ!A:F""
    ),
    6,
    FALSE
  ),
  0
)
"),"早稲田大突破セミナー開催のお知らせ 中高一貫校専門塾エスコットにて、11月3日(火)に、「早稲田大突破セミナー")</f>
        <v>早稲田大突破セミナー開催のお知らせ 中高一貫校専門塾エスコットにて、11月3日(火)に、「早稲田大突破セミナー</v>
      </c>
      <c r="E203" s="32">
        <f>IFERROR(__xludf.DUMMYFUNCTION("IFERROR(
  VLOOKUP(
    A203,
    IMPORTRANGE(
      ""1ZygntHC1J6IxzKbTidmOyf5nUyW4GCLurHCjexrLm_o        "",
      ""HTMLキャッシュ!A:F""
    ),
    3,
    FALSE
  ),
  0
)
"),44126.53293981482)</f>
        <v>44126.53294</v>
      </c>
      <c r="F203" s="49">
        <f>IFERROR(__xludf.DUMMYFUNCTION("IFERROR(
  VLOOKUP(
    A203,
    IMPORTRANGE(
      ""1ZHMy3vVUd_0MrSduXTe1etBb1HNpAlGwQr006ljwMiM"",
      ""GSC最新!A:F""
    ),
    2,
    FALSE
  ),
  0
)
"),0.0)</f>
        <v>0</v>
      </c>
      <c r="G203" s="49">
        <f>IFERROR(__xludf.DUMMYFUNCTION("IFERROR(
  VLOOKUP(
    A203,
    IMPORTRANGE(
      ""1ZHMy3vVUd_0MrSduXTe1etBb1HNpAlGwQr006ljwMiM"",
      ""GSC最新!A:F""
    ),
    3,
    FALSE
  ),
  0
)
"),0.0)</f>
        <v>0</v>
      </c>
      <c r="H203" s="49">
        <f>IFERROR(__xludf.DUMMYFUNCTION("IFERROR(
  VLOOKUP(
    A203,
    IMPORTRANGE(
      ""1ZHMy3vVUd_0MrSduXTe1etBb1HNpAlGwQr006ljwMiM"",
      ""GSC最新!A:F""
    ),
    4,
    FALSE
  ),
  0
)
"),0.0)</f>
        <v>0</v>
      </c>
      <c r="I203" s="49">
        <f>IFERROR(__xludf.DUMMYFUNCTION("IFERROR(
  VLOOKUP(
    A203,
    IMPORTRANGE(
      ""1ZHMy3vVUd_0MrSduXTe1etBb1HNpAlGwQr006ljwMiM"",
      ""GSC最新!A:F""
    ),
    5,
    FALSE
  ),
  0
)
"),0.0)</f>
        <v>0</v>
      </c>
      <c r="J203" s="50" t="str">
        <f t="shared" ref="J203:K203" si="1006">IFERROR(F203/H203,"-")</f>
        <v>-</v>
      </c>
      <c r="K203" s="50" t="str">
        <f t="shared" si="1006"/>
        <v>-</v>
      </c>
      <c r="L203" s="6">
        <f>IFERROR(__xludf.DUMMYFUNCTION("IFERROR(
  VLOOKUP(
    A203,
    IMPORTRANGE(
      ""1ZHMy3vVUd_0MrSduXTe1etBb1HNpAlGwQr006ljwMiM"",
      ""GSC最新!A:R""
    ),
    7,
    FALSE
  ),
  0
)
"),0.0)</f>
        <v>0</v>
      </c>
      <c r="M203" s="6">
        <f>IFERROR(__xludf.DUMMYFUNCTION("IFERROR(
  VLOOKUP(
    A203,
    IMPORTRANGE(
      ""1ZHMy3vVUd_0MrSduXTe1etBb1HNpAlGwQr006ljwMiM"",
      ""GSC最新!A:R""
    ),
    10,
    FALSE
  ),
  0
)
"),0.0)</f>
        <v>0</v>
      </c>
      <c r="N203" s="6">
        <f>IFERROR(__xludf.DUMMYFUNCTION("IFERROR(
  VLOOKUP(
    A203,
    IMPORTRANGE(
      ""1ZHMy3vVUd_0MrSduXTe1etBb1HNpAlGwQr006ljwMiM"",
      ""GSC最新!A:R""
    ),
    13,
    FALSE
  ),
  0
)
"),0.0)</f>
        <v>0</v>
      </c>
      <c r="O203" s="6">
        <f>IFERROR(__xludf.DUMMYFUNCTION("IFERROR(
  VLOOKUP(
    A203,
    IMPORTRANGE(
      ""1ZHMy3vVUd_0MrSduXTe1etBb1HNpAlGwQr006ljwMiM"",
      ""GSC最新!A:R""
    ),
    16,
    FALSE
  ),
  0
)
"),0.0)</f>
        <v>0</v>
      </c>
      <c r="P203" s="51" t="str">
        <f t="shared" ref="P203:Q203" si="1007">IFERROR(L203/N203,"-")</f>
        <v>-</v>
      </c>
      <c r="Q203" s="51" t="str">
        <f t="shared" si="1007"/>
        <v>-</v>
      </c>
      <c r="R203" s="9">
        <f>IFERROR(__xludf.DUMMYFUNCTION("IFERROR(
  VLOOKUP(
    A203,
    IMPORTRANGE(
      ""1ZHMy3vVUd_0MrSduXTe1etBb1HNpAlGwQr006ljwMiM"",
      ""GSC最新!A:R""
    ),
    8,
    FALSE
  ),
  0
)
"),0.0)</f>
        <v>0</v>
      </c>
      <c r="S203" s="9">
        <f>IFERROR(__xludf.DUMMYFUNCTION("IFERROR(
  VLOOKUP(
    A203,
    IMPORTRANGE(
      ""1ZHMy3vVUd_0MrSduXTe1etBb1HNpAlGwQr006ljwMiM"",
      ""GSC最新!A:R""
    ),
    11,
    FALSE
  ),
  0
)
"),0.0)</f>
        <v>0</v>
      </c>
      <c r="T203" s="9">
        <f>IFERROR(__xludf.DUMMYFUNCTION("IFERROR(
  VLOOKUP(
    A203,
    IMPORTRANGE(
      ""1ZHMy3vVUd_0MrSduXTe1etBb1HNpAlGwQr006ljwMiM"",
      ""GSC最新!A:R""
    ),
    14,
    FALSE
  ),
  0
)
"),0.0)</f>
        <v>0</v>
      </c>
      <c r="U203" s="9">
        <f>IFERROR(__xludf.DUMMYFUNCTION("IFERROR(
  VLOOKUP(
    A203,
    IMPORTRANGE(
      ""1ZHMy3vVUd_0MrSduXTe1etBb1HNpAlGwQr006ljwMiM"",
      ""GSC最新!A:R""
    ),
    17,
    FALSE
  ),
  0
)
"),0.0)</f>
        <v>0</v>
      </c>
      <c r="V203" s="9">
        <f t="shared" ref="V203:W203" si="1008">IFERROR(R203-T203,"-")</f>
        <v>0</v>
      </c>
      <c r="W203" s="9">
        <f t="shared" si="1008"/>
        <v>0</v>
      </c>
      <c r="X203" s="65" t="str">
        <f>IFERROR(__xludf.DUMMYFUNCTION("IFERROR(
  VLOOKUP(
    A203,
    IMPORTRANGE(
      ""1ZHMy3vVUd_0MrSduXTe1etBb1HNpAlGwQr006ljwMiM"",
      ""GSC最新!A:R""
    ),
    9,
    FALSE
  ),
  0
)
"),"")</f>
        <v/>
      </c>
      <c r="Y203" s="65" t="str">
        <f>IFERROR(__xludf.DUMMYFUNCTION("IFERROR(
  VLOOKUP(
    A203,
    IMPORTRANGE(
      ""1ZHMy3vVUd_0MrSduXTe1etBb1HNpAlGwQr006ljwMiM"",
      ""GSC最新!A:R""
    ),
    12,
    FALSE
  ),
  0
)
"),"")</f>
        <v/>
      </c>
      <c r="Z203" s="65" t="str">
        <f>IFERROR(__xludf.DUMMYFUNCTION("IFERROR(
  VLOOKUP(
    A203,
    IMPORTRANGE(
      ""1ZHMy3vVUd_0MrSduXTe1etBb1HNpAlGwQr006ljwMiM"",
      ""GSC最新!A:R""
    ),
    15,
    FALSE
  ),
  0
)
"),"")</f>
        <v/>
      </c>
      <c r="AA203" s="65" t="str">
        <f>IFERROR(__xludf.DUMMYFUNCTION("IFERROR(
  VLOOKUP(
    A203,
    IMPORTRANGE(
      ""1ZHMy3vVUd_0MrSduXTe1etBb1HNpAlGwQr006ljwMiM"",
      ""GSC最新!A:R""
    ),
    18,
    FALSE
  ),
  0
)
"),"")</f>
        <v/>
      </c>
      <c r="AB203" s="65">
        <f t="shared" ref="AB203:AC203" si="1009">X203-Z203</f>
        <v>0</v>
      </c>
      <c r="AC203" s="65">
        <f t="shared" si="1009"/>
        <v>0</v>
      </c>
      <c r="AD203" s="53">
        <f>IFERROR(__xludf.DUMMYFUNCTION("IFERROR(
  VLOOKUP(
    A203,
    IMPORTRANGE(
      ""1ZHMy3vVUd_0MrSduXTe1etBb1HNpAlGwQr006ljwMiM"",
      ""GSC最新!A:F""
    ),
    6,
    FALSE
  ),
  0
)
"),46081.0)</f>
        <v>46081</v>
      </c>
      <c r="AE203" s="54">
        <f>IFERROR(__xludf.DUMMYFUNCTION("IFERROR(
  VLOOKUP(
    A203,
    IMPORTRANGE(
      ""1SCYQd7_cobOYqT0r_F0IqD4tE4rYn5y8Eup4PJTH8es"",
      ""Snapshot!A:M""
    ),
    5,
    FALSE
  ),
  ""-""
)
"),1.0)</f>
        <v>1</v>
      </c>
      <c r="AF203" s="54">
        <f>IFERROR(__xludf.DUMMYFUNCTION("IFERROR(
  VLOOKUP(
    A203,
    IMPORTRANGE(
      ""1SCYQd7_cobOYqT0r_F0IqD4tE4rYn5y8Eup4PJTH8es"",
      ""Snapshot!A:M""
    ),
    6,
    FALSE
  ),
  0
)
"),0.0)</f>
        <v>0</v>
      </c>
      <c r="AG203" s="54">
        <f>IFERROR(__xludf.DUMMYFUNCTION("IFERROR(
  VLOOKUP(
    A203,
    IMPORTRANGE(
      ""1SCYQd7_cobOYqT0r_F0IqD4tE4rYn5y8Eup4PJTH8es"",
      ""Snapshot!A:M""
    ),
    7,
    FALSE
  ),
  0
)
"),739.0)</f>
        <v>739</v>
      </c>
      <c r="AH203" s="54">
        <f>IFERROR(__xludf.DUMMYFUNCTION("IFERROR(
  VLOOKUP(
    A203,
    IMPORTRANGE(
      ""1SCYQd7_cobOYqT0r_F0IqD4tE4rYn5y8Eup4PJTH8es"",
      ""Snapshot!A:M""
    ),
    8,
    FALSE
  ),
  0
)
"),0.0)</f>
        <v>0</v>
      </c>
      <c r="AI203" s="54">
        <f>IFERROR(__xludf.DUMMYFUNCTION("IFERROR(
  VLOOKUP(
    A203,
    IMPORTRANGE(
      ""1SCYQd7_cobOYqT0r_F0IqD4tE4rYn5y8Eup4PJTH8es"",
      ""Snapshot!A:M""
    ),
    9,
    FALSE
  ),
  0
)
"),1.0)</f>
        <v>1</v>
      </c>
      <c r="AJ203" s="54">
        <f>IFERROR(__xludf.DUMMYFUNCTION("IFERROR(
  VLOOKUP(
    A203,
    IMPORTRANGE(
      ""1SCYQd7_cobOYqT0r_F0IqD4tE4rYn5y8Eup4PJTH8es"",
      ""Snapshot!A:M""
    ),
    13,
    FALSE
  ),
  0
)
"),3.0)</f>
        <v>3</v>
      </c>
      <c r="AK203" s="49">
        <f t="shared" ref="AK203:AL203" si="1010">LEN(C203)</f>
        <v>81</v>
      </c>
      <c r="AL203" s="49">
        <f t="shared" si="1010"/>
        <v>55</v>
      </c>
    </row>
    <row r="204">
      <c r="A204" s="3" t="s">
        <v>691</v>
      </c>
      <c r="B204" s="1" t="str">
        <f>IFERROR(__xludf.DUMMYFUNCTION("IFERROR(
  VLOOKUP(
    A204,
    IMPORTRANGE(
      ""1ZygntHC1J6IxzKbTidmOyf5nUyW4GCLurHCjexrLm_o"",
      ""HTMLキャッシュ!A:F""
    ),
    2,
    FALSE
  ),
  0
)
"),"NW")</f>
        <v>NW</v>
      </c>
      <c r="C204" s="1" t="str">
        <f>IFERROR(__xludf.DUMMYFUNCTION("IFERROR(
  VLOOKUP(
    A204,
    IMPORTRANGE(
      ""1ZygntHC1J6IxzKbTidmOyf5nUyW4GCLurHCjexrLm_o"",
      ""HTMLキャッシュ!A:F""
    ),
    5,
    FALSE
  ),
  0
)
"),"2021年度冬期講習開講のお知らせ - 受験国語専門 読解ラボ東京 | 中学受験・大学受験対応の個別指導国語専門塾（オンライン・教室対応）")</f>
        <v>2021年度冬期講習開講のお知らせ - 受験国語専門 読解ラボ東京 | 中学受験・大学受験対応の個別指導国語専門塾（オンライン・教室対応）</v>
      </c>
      <c r="D204" s="1" t="str">
        <f>IFERROR(__xludf.DUMMYFUNCTION("IFERROR(
  VLOOKUP(
    A204,
    IMPORTRANGE(
      ""1ZygntHC1J6IxzKbTidmOyf5nUyW4GCLurHCjexrLm_o        "",
      ""HTMLキャッシュ!A:F""
    ),
    6,
    FALSE
  ),
  0
)
"),"当塾では冬期講習会を実施いたします。現在、当塾に通う生徒の皆さんはもちろん、普段他塾に通われている生徒さんにも")</f>
        <v>当塾では冬期講習会を実施いたします。現在、当塾に通う生徒の皆さんはもちろん、普段他塾に通われている生徒さんにも</v>
      </c>
      <c r="E204" s="32">
        <f>IFERROR(__xludf.DUMMYFUNCTION("IFERROR(
  VLOOKUP(
    A204,
    IMPORTRANGE(
      ""1ZygntHC1J6IxzKbTidmOyf5nUyW4GCLurHCjexrLm_o        "",
      ""HTMLキャッシュ!A:F""
    ),
    3,
    FALSE
  ),
  0
)
"),45597.67020833334)</f>
        <v>45597.67021</v>
      </c>
      <c r="F204" s="49">
        <f>IFERROR(__xludf.DUMMYFUNCTION("IFERROR(
  VLOOKUP(
    A204,
    IMPORTRANGE(
      ""1ZHMy3vVUd_0MrSduXTe1etBb1HNpAlGwQr006ljwMiM"",
      ""GSC最新!A:F""
    ),
    2,
    FALSE
  ),
  0
)
"),0.0)</f>
        <v>0</v>
      </c>
      <c r="G204" s="49">
        <f>IFERROR(__xludf.DUMMYFUNCTION("IFERROR(
  VLOOKUP(
    A204,
    IMPORTRANGE(
      ""1ZHMy3vVUd_0MrSduXTe1etBb1HNpAlGwQr006ljwMiM"",
      ""GSC最新!A:F""
    ),
    3,
    FALSE
  ),
  0
)
"),0.0)</f>
        <v>0</v>
      </c>
      <c r="H204" s="49">
        <f>IFERROR(__xludf.DUMMYFUNCTION("IFERROR(
  VLOOKUP(
    A204,
    IMPORTRANGE(
      ""1ZHMy3vVUd_0MrSduXTe1etBb1HNpAlGwQr006ljwMiM"",
      ""GSC最新!A:F""
    ),
    4,
    FALSE
  ),
  0
)
"),1.0)</f>
        <v>1</v>
      </c>
      <c r="I204" s="49">
        <f>IFERROR(__xludf.DUMMYFUNCTION("IFERROR(
  VLOOKUP(
    A204,
    IMPORTRANGE(
      ""1ZHMy3vVUd_0MrSduXTe1etBb1HNpAlGwQr006ljwMiM"",
      ""GSC最新!A:F""
    ),
    5,
    FALSE
  ),
  0
)
"),2.0)</f>
        <v>2</v>
      </c>
      <c r="J204" s="50">
        <f t="shared" ref="J204:K204" si="1011">IFERROR(F204/H204,"-")</f>
        <v>0</v>
      </c>
      <c r="K204" s="50">
        <f t="shared" si="1011"/>
        <v>0</v>
      </c>
      <c r="L204" s="6">
        <f>IFERROR(__xludf.DUMMYFUNCTION("IFERROR(
  VLOOKUP(
    A204,
    IMPORTRANGE(
      ""1ZHMy3vVUd_0MrSduXTe1etBb1HNpAlGwQr006ljwMiM"",
      ""GSC最新!A:R""
    ),
    7,
    FALSE
  ),
  0
)
"),0.0)</f>
        <v>0</v>
      </c>
      <c r="M204" s="6">
        <f>IFERROR(__xludf.DUMMYFUNCTION("IFERROR(
  VLOOKUP(
    A204,
    IMPORTRANGE(
      ""1ZHMy3vVUd_0MrSduXTe1etBb1HNpAlGwQr006ljwMiM"",
      ""GSC最新!A:R""
    ),
    10,
    FALSE
  ),
  0
)
"),0.0)</f>
        <v>0</v>
      </c>
      <c r="N204" s="6">
        <f>IFERROR(__xludf.DUMMYFUNCTION("IFERROR(
  VLOOKUP(
    A204,
    IMPORTRANGE(
      ""1ZHMy3vVUd_0MrSduXTe1etBb1HNpAlGwQr006ljwMiM"",
      ""GSC最新!A:R""
    ),
    13,
    FALSE
  ),
  0
)
"),1.0)</f>
        <v>1</v>
      </c>
      <c r="O204" s="6">
        <f>IFERROR(__xludf.DUMMYFUNCTION("IFERROR(
  VLOOKUP(
    A204,
    IMPORTRANGE(
      ""1ZHMy3vVUd_0MrSduXTe1etBb1HNpAlGwQr006ljwMiM"",
      ""GSC最新!A:R""
    ),
    16,
    FALSE
  ),
  0
)
"),2.0)</f>
        <v>2</v>
      </c>
      <c r="P204" s="51">
        <f t="shared" ref="P204:Q204" si="1012">IFERROR(L204/N204,"-")</f>
        <v>0</v>
      </c>
      <c r="Q204" s="51">
        <f t="shared" si="1012"/>
        <v>0</v>
      </c>
      <c r="R204" s="9">
        <f>IFERROR(__xludf.DUMMYFUNCTION("IFERROR(
  VLOOKUP(
    A204,
    IMPORTRANGE(
      ""1ZHMy3vVUd_0MrSduXTe1etBb1HNpAlGwQr006ljwMiM"",
      ""GSC最新!A:R""
    ),
    8,
    FALSE
  ),
  0
)
"),0.0)</f>
        <v>0</v>
      </c>
      <c r="S204" s="9">
        <f>IFERROR(__xludf.DUMMYFUNCTION("IFERROR(
  VLOOKUP(
    A204,
    IMPORTRANGE(
      ""1ZHMy3vVUd_0MrSduXTe1etBb1HNpAlGwQr006ljwMiM"",
      ""GSC最新!A:R""
    ),
    11,
    FALSE
  ),
  0
)
"),0.0)</f>
        <v>0</v>
      </c>
      <c r="T204" s="9">
        <f>IFERROR(__xludf.DUMMYFUNCTION("IFERROR(
  VLOOKUP(
    A204,
    IMPORTRANGE(
      ""1ZHMy3vVUd_0MrSduXTe1etBb1HNpAlGwQr006ljwMiM"",
      ""GSC最新!A:R""
    ),
    14,
    FALSE
  ),
  0
)
"),1.0)</f>
        <v>1</v>
      </c>
      <c r="U204" s="9">
        <f>IFERROR(__xludf.DUMMYFUNCTION("IFERROR(
  VLOOKUP(
    A204,
    IMPORTRANGE(
      ""1ZHMy3vVUd_0MrSduXTe1etBb1HNpAlGwQr006ljwMiM"",
      ""GSC最新!A:R""
    ),
    17,
    FALSE
  ),
  0
)
"),1.0)</f>
        <v>1</v>
      </c>
      <c r="V204" s="9">
        <f t="shared" ref="V204:W204" si="1013">IFERROR(R204-T204,"-")</f>
        <v>-1</v>
      </c>
      <c r="W204" s="9">
        <f t="shared" si="1013"/>
        <v>-1</v>
      </c>
      <c r="X204" s="65" t="str">
        <f>IFERROR(__xludf.DUMMYFUNCTION("IFERROR(
  VLOOKUP(
    A204,
    IMPORTRANGE(
      ""1ZHMy3vVUd_0MrSduXTe1etBb1HNpAlGwQr006ljwMiM"",
      ""GSC最新!A:R""
    ),
    9,
    FALSE
  ),
  0
)
"),"")</f>
        <v/>
      </c>
      <c r="Y204" s="65" t="str">
        <f>IFERROR(__xludf.DUMMYFUNCTION("IFERROR(
  VLOOKUP(
    A204,
    IMPORTRANGE(
      ""1ZHMy3vVUd_0MrSduXTe1etBb1HNpAlGwQr006ljwMiM"",
      ""GSC最新!A:R""
    ),
    12,
    FALSE
  ),
  0
)
"),"")</f>
        <v/>
      </c>
      <c r="Z204" s="65">
        <f>IFERROR(__xludf.DUMMYFUNCTION("IFERROR(
  VLOOKUP(
    A204,
    IMPORTRANGE(
      ""1ZHMy3vVUd_0MrSduXTe1etBb1HNpAlGwQr006ljwMiM"",
      ""GSC最新!A:R""
    ),
    15,
    FALSE
  ),
  0
)
"),3.0)</f>
        <v>3</v>
      </c>
      <c r="AA204" s="65">
        <f>IFERROR(__xludf.DUMMYFUNCTION("IFERROR(
  VLOOKUP(
    A204,
    IMPORTRANGE(
      ""1ZHMy3vVUd_0MrSduXTe1etBb1HNpAlGwQr006ljwMiM"",
      ""GSC最新!A:R""
    ),
    18,
    FALSE
  ),
  0
)
"),2.5)</f>
        <v>2.5</v>
      </c>
      <c r="AB204" s="65">
        <f t="shared" ref="AB204:AC204" si="1014">X204-Z204</f>
        <v>-3</v>
      </c>
      <c r="AC204" s="65">
        <f t="shared" si="1014"/>
        <v>-2.5</v>
      </c>
      <c r="AD204" s="53">
        <f>IFERROR(__xludf.DUMMYFUNCTION("IFERROR(
  VLOOKUP(
    A204,
    IMPORTRANGE(
      ""1ZHMy3vVUd_0MrSduXTe1etBb1HNpAlGwQr006ljwMiM"",
      ""GSC最新!A:F""
    ),
    6,
    FALSE
  ),
  0
)
"),46081.0)</f>
        <v>46081</v>
      </c>
      <c r="AE204" s="54">
        <f>IFERROR(__xludf.DUMMYFUNCTION("IFERROR(
  VLOOKUP(
    A204,
    IMPORTRANGE(
      ""1SCYQd7_cobOYqT0r_F0IqD4tE4rYn5y8Eup4PJTH8es"",
      ""Snapshot!A:M""
    ),
    5,
    FALSE
  ),
  ""-""
)
"),0.0)</f>
        <v>0</v>
      </c>
      <c r="AF204" s="54">
        <f>IFERROR(__xludf.DUMMYFUNCTION("IFERROR(
  VLOOKUP(
    A204,
    IMPORTRANGE(
      ""1SCYQd7_cobOYqT0r_F0IqD4tE4rYn5y8Eup4PJTH8es"",
      ""Snapshot!A:M""
    ),
    6,
    FALSE
  ),
  0
)
"),0.0)</f>
        <v>0</v>
      </c>
      <c r="AG204" s="54">
        <f>IFERROR(__xludf.DUMMYFUNCTION("IFERROR(
  VLOOKUP(
    A204,
    IMPORTRANGE(
      ""1SCYQd7_cobOYqT0r_F0IqD4tE4rYn5y8Eup4PJTH8es"",
      ""Snapshot!A:M""
    ),
    7,
    FALSE
  ),
  0
)
"),673.0)</f>
        <v>673</v>
      </c>
      <c r="AH204" s="54">
        <f>IFERROR(__xludf.DUMMYFUNCTION("IFERROR(
  VLOOKUP(
    A204,
    IMPORTRANGE(
      ""1SCYQd7_cobOYqT0r_F0IqD4tE4rYn5y8Eup4PJTH8es"",
      ""Snapshot!A:M""
    ),
    8,
    FALSE
  ),
  0
)
"),3.0)</f>
        <v>3</v>
      </c>
      <c r="AI204" s="54">
        <f>IFERROR(__xludf.DUMMYFUNCTION("IFERROR(
  VLOOKUP(
    A204,
    IMPORTRANGE(
      ""1SCYQd7_cobOYqT0r_F0IqD4tE4rYn5y8Eup4PJTH8es"",
      ""Snapshot!A:M""
    ),
    9,
    FALSE
  ),
  0
)
"),1.0)</f>
        <v>1</v>
      </c>
      <c r="AJ204" s="54">
        <f>IFERROR(__xludf.DUMMYFUNCTION("IFERROR(
  VLOOKUP(
    A204,
    IMPORTRANGE(
      ""1SCYQd7_cobOYqT0r_F0IqD4tE4rYn5y8Eup4PJTH8es"",
      ""Snapshot!A:M""
    ),
    13,
    FALSE
  ),
  0
)
"),3.0)</f>
        <v>3</v>
      </c>
      <c r="AK204" s="49">
        <f t="shared" ref="AK204:AL204" si="1015">LEN(C204)</f>
        <v>69</v>
      </c>
      <c r="AL204" s="49">
        <f t="shared" si="1015"/>
        <v>55</v>
      </c>
    </row>
    <row r="205">
      <c r="A205" s="3" t="s">
        <v>692</v>
      </c>
      <c r="B205" s="1" t="str">
        <f>IFERROR(__xludf.DUMMYFUNCTION("IFERROR(
  VLOOKUP(
    A205,
    IMPORTRANGE(
      ""1ZygntHC1J6IxzKbTidmOyf5nUyW4GCLurHCjexrLm_o"",
      ""HTMLキャッシュ!A:F""
    ),
    2,
    FALSE
  ),
  0
)
"),"NW")</f>
        <v>NW</v>
      </c>
      <c r="C205" s="1" t="str">
        <f>IFERROR(__xludf.DUMMYFUNCTION("IFERROR(
  VLOOKUP(
    A205,
    IMPORTRANGE(
      ""1ZygntHC1J6IxzKbTidmOyf5nUyW4GCLurHCjexrLm_o"",
      ""HTMLキャッシュ!A:F""
    ),
    5,
    FALSE
  ),
  0
)
"),"2021年度春期講習のお知らせ【個別】 - 受験国語専門 読解ラボ東京 | 中学受験・大学受験対応の個別指導国語専門塾（オンライン・教室対応）")</f>
        <v>2021年度春期講習のお知らせ【個別】 - 受験国語専門 読解ラボ東京 | 中学受験・大学受験対応の個別指導国語専門塾（オンライン・教室対応）</v>
      </c>
      <c r="D205" s="1" t="str">
        <f>IFERROR(__xludf.DUMMYFUNCTION("IFERROR(
  VLOOKUP(
    A205,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205" s="32">
        <f>IFERROR(__xludf.DUMMYFUNCTION("IFERROR(
  VLOOKUP(
    A205,
    IMPORTRANGE(
      ""1ZygntHC1J6IxzKbTidmOyf5nUyW4GCLurHCjexrLm_o        "",
      ""HTMLキャッシュ!A:F""
    ),
    3,
    FALSE
  ),
  0
)
"),44263.668391203704)</f>
        <v>44263.66839</v>
      </c>
      <c r="F205" s="49">
        <f>IFERROR(__xludf.DUMMYFUNCTION("IFERROR(
  VLOOKUP(
    A205,
    IMPORTRANGE(
      ""1ZHMy3vVUd_0MrSduXTe1etBb1HNpAlGwQr006ljwMiM"",
      ""GSC最新!A:F""
    ),
    2,
    FALSE
  ),
  0
)
"),0.0)</f>
        <v>0</v>
      </c>
      <c r="G205" s="49">
        <f>IFERROR(__xludf.DUMMYFUNCTION("IFERROR(
  VLOOKUP(
    A205,
    IMPORTRANGE(
      ""1ZHMy3vVUd_0MrSduXTe1etBb1HNpAlGwQr006ljwMiM"",
      ""GSC最新!A:F""
    ),
    3,
    FALSE
  ),
  0
)
"),0.0)</f>
        <v>0</v>
      </c>
      <c r="H205" s="49">
        <f>IFERROR(__xludf.DUMMYFUNCTION("IFERROR(
  VLOOKUP(
    A205,
    IMPORTRANGE(
      ""1ZHMy3vVUd_0MrSduXTe1etBb1HNpAlGwQr006ljwMiM"",
      ""GSC最新!A:F""
    ),
    4,
    FALSE
  ),
  0
)
"),0.0)</f>
        <v>0</v>
      </c>
      <c r="I205" s="49">
        <f>IFERROR(__xludf.DUMMYFUNCTION("IFERROR(
  VLOOKUP(
    A205,
    IMPORTRANGE(
      ""1ZHMy3vVUd_0MrSduXTe1etBb1HNpAlGwQr006ljwMiM"",
      ""GSC最新!A:F""
    ),
    5,
    FALSE
  ),
  0
)
"),0.0)</f>
        <v>0</v>
      </c>
      <c r="J205" s="50" t="str">
        <f t="shared" ref="J205:K205" si="1016">IFERROR(F205/H205,"-")</f>
        <v>-</v>
      </c>
      <c r="K205" s="50" t="str">
        <f t="shared" si="1016"/>
        <v>-</v>
      </c>
      <c r="L205" s="6">
        <f>IFERROR(__xludf.DUMMYFUNCTION("IFERROR(
  VLOOKUP(
    A205,
    IMPORTRANGE(
      ""1ZHMy3vVUd_0MrSduXTe1etBb1HNpAlGwQr006ljwMiM"",
      ""GSC最新!A:R""
    ),
    7,
    FALSE
  ),
  0
)
"),0.0)</f>
        <v>0</v>
      </c>
      <c r="M205" s="6">
        <f>IFERROR(__xludf.DUMMYFUNCTION("IFERROR(
  VLOOKUP(
    A205,
    IMPORTRANGE(
      ""1ZHMy3vVUd_0MrSduXTe1etBb1HNpAlGwQr006ljwMiM"",
      ""GSC最新!A:R""
    ),
    10,
    FALSE
  ),
  0
)
"),0.0)</f>
        <v>0</v>
      </c>
      <c r="N205" s="6">
        <f>IFERROR(__xludf.DUMMYFUNCTION("IFERROR(
  VLOOKUP(
    A205,
    IMPORTRANGE(
      ""1ZHMy3vVUd_0MrSduXTe1etBb1HNpAlGwQr006ljwMiM"",
      ""GSC最新!A:R""
    ),
    13,
    FALSE
  ),
  0
)
"),0.0)</f>
        <v>0</v>
      </c>
      <c r="O205" s="6">
        <f>IFERROR(__xludf.DUMMYFUNCTION("IFERROR(
  VLOOKUP(
    A205,
    IMPORTRANGE(
      ""1ZHMy3vVUd_0MrSduXTe1etBb1HNpAlGwQr006ljwMiM"",
      ""GSC最新!A:R""
    ),
    16,
    FALSE
  ),
  0
)
"),0.0)</f>
        <v>0</v>
      </c>
      <c r="P205" s="51" t="str">
        <f t="shared" ref="P205:Q205" si="1017">IFERROR(L205/N205,"-")</f>
        <v>-</v>
      </c>
      <c r="Q205" s="51" t="str">
        <f t="shared" si="1017"/>
        <v>-</v>
      </c>
      <c r="R205" s="9">
        <f>IFERROR(__xludf.DUMMYFUNCTION("IFERROR(
  VLOOKUP(
    A205,
    IMPORTRANGE(
      ""1ZHMy3vVUd_0MrSduXTe1etBb1HNpAlGwQr006ljwMiM"",
      ""GSC最新!A:R""
    ),
    8,
    FALSE
  ),
  0
)
"),0.0)</f>
        <v>0</v>
      </c>
      <c r="S205" s="9">
        <f>IFERROR(__xludf.DUMMYFUNCTION("IFERROR(
  VLOOKUP(
    A205,
    IMPORTRANGE(
      ""1ZHMy3vVUd_0MrSduXTe1etBb1HNpAlGwQr006ljwMiM"",
      ""GSC最新!A:R""
    ),
    11,
    FALSE
  ),
  0
)
"),0.0)</f>
        <v>0</v>
      </c>
      <c r="T205" s="9">
        <f>IFERROR(__xludf.DUMMYFUNCTION("IFERROR(
  VLOOKUP(
    A205,
    IMPORTRANGE(
      ""1ZHMy3vVUd_0MrSduXTe1etBb1HNpAlGwQr006ljwMiM"",
      ""GSC最新!A:R""
    ),
    14,
    FALSE
  ),
  0
)
"),0.0)</f>
        <v>0</v>
      </c>
      <c r="U205" s="9">
        <f>IFERROR(__xludf.DUMMYFUNCTION("IFERROR(
  VLOOKUP(
    A205,
    IMPORTRANGE(
      ""1ZHMy3vVUd_0MrSduXTe1etBb1HNpAlGwQr006ljwMiM"",
      ""GSC最新!A:R""
    ),
    17,
    FALSE
  ),
  0
)
"),0.0)</f>
        <v>0</v>
      </c>
      <c r="V205" s="9">
        <f t="shared" ref="V205:W205" si="1018">IFERROR(R205-T205,"-")</f>
        <v>0</v>
      </c>
      <c r="W205" s="9">
        <f t="shared" si="1018"/>
        <v>0</v>
      </c>
      <c r="X205" s="65" t="str">
        <f>IFERROR(__xludf.DUMMYFUNCTION("IFERROR(
  VLOOKUP(
    A205,
    IMPORTRANGE(
      ""1ZHMy3vVUd_0MrSduXTe1etBb1HNpAlGwQr006ljwMiM"",
      ""GSC最新!A:R""
    ),
    9,
    FALSE
  ),
  0
)
"),"")</f>
        <v/>
      </c>
      <c r="Y205" s="65" t="str">
        <f>IFERROR(__xludf.DUMMYFUNCTION("IFERROR(
  VLOOKUP(
    A205,
    IMPORTRANGE(
      ""1ZHMy3vVUd_0MrSduXTe1etBb1HNpAlGwQr006ljwMiM"",
      ""GSC最新!A:R""
    ),
    12,
    FALSE
  ),
  0
)
"),"")</f>
        <v/>
      </c>
      <c r="Z205" s="65" t="str">
        <f>IFERROR(__xludf.DUMMYFUNCTION("IFERROR(
  VLOOKUP(
    A205,
    IMPORTRANGE(
      ""1ZHMy3vVUd_0MrSduXTe1etBb1HNpAlGwQr006ljwMiM"",
      ""GSC最新!A:R""
    ),
    15,
    FALSE
  ),
  0
)
"),"")</f>
        <v/>
      </c>
      <c r="AA205" s="65" t="str">
        <f>IFERROR(__xludf.DUMMYFUNCTION("IFERROR(
  VLOOKUP(
    A205,
    IMPORTRANGE(
      ""1ZHMy3vVUd_0MrSduXTe1etBb1HNpAlGwQr006ljwMiM"",
      ""GSC最新!A:R""
    ),
    18,
    FALSE
  ),
  0
)
"),"")</f>
        <v/>
      </c>
      <c r="AB205" s="65">
        <f t="shared" ref="AB205:AC205" si="1019">X205-Z205</f>
        <v>0</v>
      </c>
      <c r="AC205" s="65">
        <f t="shared" si="1019"/>
        <v>0</v>
      </c>
      <c r="AD205" s="53">
        <f>IFERROR(__xludf.DUMMYFUNCTION("IFERROR(
  VLOOKUP(
    A205,
    IMPORTRANGE(
      ""1ZHMy3vVUd_0MrSduXTe1etBb1HNpAlGwQr006ljwMiM"",
      ""GSC最新!A:F""
    ),
    6,
    FALSE
  ),
  0
)
"),46081.0)</f>
        <v>46081</v>
      </c>
      <c r="AE205" s="54">
        <f>IFERROR(__xludf.DUMMYFUNCTION("IFERROR(
  VLOOKUP(
    A205,
    IMPORTRANGE(
      ""1SCYQd7_cobOYqT0r_F0IqD4tE4rYn5y8Eup4PJTH8es"",
      ""Snapshot!A:M""
    ),
    5,
    FALSE
  ),
  ""-""
)
"),0.0)</f>
        <v>0</v>
      </c>
      <c r="AF205" s="54">
        <f>IFERROR(__xludf.DUMMYFUNCTION("IFERROR(
  VLOOKUP(
    A205,
    IMPORTRANGE(
      ""1SCYQd7_cobOYqT0r_F0IqD4tE4rYn5y8Eup4PJTH8es"",
      ""Snapshot!A:M""
    ),
    6,
    FALSE
  ),
  0
)
"),0.0)</f>
        <v>0</v>
      </c>
      <c r="AG205" s="54">
        <f>IFERROR(__xludf.DUMMYFUNCTION("IFERROR(
  VLOOKUP(
    A205,
    IMPORTRANGE(
      ""1SCYQd7_cobOYqT0r_F0IqD4tE4rYn5y8Eup4PJTH8es"",
      ""Snapshot!A:M""
    ),
    7,
    FALSE
  ),
  0
)
"),882.0)</f>
        <v>882</v>
      </c>
      <c r="AH205" s="54">
        <f>IFERROR(__xludf.DUMMYFUNCTION("IFERROR(
  VLOOKUP(
    A205,
    IMPORTRANGE(
      ""1SCYQd7_cobOYqT0r_F0IqD4tE4rYn5y8Eup4PJTH8es"",
      ""Snapshot!A:M""
    ),
    8,
    FALSE
  ),
  0
)
"),2.0)</f>
        <v>2</v>
      </c>
      <c r="AI205" s="54">
        <f>IFERROR(__xludf.DUMMYFUNCTION("IFERROR(
  VLOOKUP(
    A205,
    IMPORTRANGE(
      ""1SCYQd7_cobOYqT0r_F0IqD4tE4rYn5y8Eup4PJTH8es"",
      ""Snapshot!A:M""
    ),
    9,
    FALSE
  ),
  0
)
"),1.0)</f>
        <v>1</v>
      </c>
      <c r="AJ205" s="54">
        <f>IFERROR(__xludf.DUMMYFUNCTION("IFERROR(
  VLOOKUP(
    A205,
    IMPORTRANGE(
      ""1SCYQd7_cobOYqT0r_F0IqD4tE4rYn5y8Eup4PJTH8es"",
      ""Snapshot!A:M""
    ),
    13,
    FALSE
  ),
  0
)
"),3.0)</f>
        <v>3</v>
      </c>
      <c r="AK205" s="49">
        <f t="shared" ref="AK205:AL205" si="1020">LEN(C205)</f>
        <v>71</v>
      </c>
      <c r="AL205" s="49">
        <f t="shared" si="1020"/>
        <v>55</v>
      </c>
    </row>
    <row r="206">
      <c r="A206" s="3" t="s">
        <v>693</v>
      </c>
      <c r="B206" s="1" t="str">
        <f>IFERROR(__xludf.DUMMYFUNCTION("IFERROR(
  VLOOKUP(
    A206,
    IMPORTRANGE(
      ""1ZygntHC1J6IxzKbTidmOyf5nUyW4GCLurHCjexrLm_o"",
      ""HTMLキャッシュ!A:F""
    ),
    2,
    FALSE
  ),
  0
)
"),"NW")</f>
        <v>NW</v>
      </c>
      <c r="C206" s="1" t="str">
        <f>IFERROR(__xludf.DUMMYFUNCTION("IFERROR(
  VLOOKUP(
    A206,
    IMPORTRANGE(
      ""1ZygntHC1J6IxzKbTidmOyf5nUyW4GCLurHCjexrLm_o"",
      ""HTMLキャッシュ!A:F""
    ),
    5,
    FALSE
  ),
  0
)
"),"「基礎力Stadium 国語のトリガー」開校のお知らせ - 受験国語専門 読解ラボ東京 | 中学受験・大学受験対応の個別指導国語専門塾（オンライン・教室対応）")</f>
        <v>「基礎力Stadium 国語のトリガー」開校のお知らせ - 受験国語専門 読解ラボ東京 | 中学受験・大学受験対応の個別指導国語専門塾（オンライン・教室対応）</v>
      </c>
      <c r="D206" s="1" t="str">
        <f>IFERROR(__xludf.DUMMYFUNCTION("IFERROR(
  VLOOKUP(
    A206,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206" s="32">
        <f>IFERROR(__xludf.DUMMYFUNCTION("IFERROR(
  VLOOKUP(
    A206,
    IMPORTRANGE(
      ""1ZygntHC1J6IxzKbTidmOyf5nUyW4GCLurHCjexrLm_o        "",
      ""HTMLキャッシュ!A:F""
    ),
    3,
    FALSE
  ),
  0
)
"),44292.46417824074)</f>
        <v>44292.46418</v>
      </c>
      <c r="F206" s="49">
        <f>IFERROR(__xludf.DUMMYFUNCTION("IFERROR(
  VLOOKUP(
    A206,
    IMPORTRANGE(
      ""1ZHMy3vVUd_0MrSduXTe1etBb1HNpAlGwQr006ljwMiM"",
      ""GSC最新!A:F""
    ),
    2,
    FALSE
  ),
  0
)
"),0.0)</f>
        <v>0</v>
      </c>
      <c r="G206" s="49">
        <f>IFERROR(__xludf.DUMMYFUNCTION("IFERROR(
  VLOOKUP(
    A206,
    IMPORTRANGE(
      ""1ZHMy3vVUd_0MrSduXTe1etBb1HNpAlGwQr006ljwMiM"",
      ""GSC最新!A:F""
    ),
    3,
    FALSE
  ),
  0
)
"),0.0)</f>
        <v>0</v>
      </c>
      <c r="H206" s="49">
        <f>IFERROR(__xludf.DUMMYFUNCTION("IFERROR(
  VLOOKUP(
    A206,
    IMPORTRANGE(
      ""1ZHMy3vVUd_0MrSduXTe1etBb1HNpAlGwQr006ljwMiM"",
      ""GSC最新!A:F""
    ),
    4,
    FALSE
  ),
  0
)
"),0.0)</f>
        <v>0</v>
      </c>
      <c r="I206" s="49">
        <f>IFERROR(__xludf.DUMMYFUNCTION("IFERROR(
  VLOOKUP(
    A206,
    IMPORTRANGE(
      ""1ZHMy3vVUd_0MrSduXTe1etBb1HNpAlGwQr006ljwMiM"",
      ""GSC最新!A:F""
    ),
    5,
    FALSE
  ),
  0
)
"),0.0)</f>
        <v>0</v>
      </c>
      <c r="J206" s="50" t="str">
        <f t="shared" ref="J206:K206" si="1021">IFERROR(F206/H206,"-")</f>
        <v>-</v>
      </c>
      <c r="K206" s="50" t="str">
        <f t="shared" si="1021"/>
        <v>-</v>
      </c>
      <c r="L206" s="6">
        <f>IFERROR(__xludf.DUMMYFUNCTION("IFERROR(
  VLOOKUP(
    A206,
    IMPORTRANGE(
      ""1ZHMy3vVUd_0MrSduXTe1etBb1HNpAlGwQr006ljwMiM"",
      ""GSC最新!A:R""
    ),
    7,
    FALSE
  ),
  0
)
"),0.0)</f>
        <v>0</v>
      </c>
      <c r="M206" s="6">
        <f>IFERROR(__xludf.DUMMYFUNCTION("IFERROR(
  VLOOKUP(
    A206,
    IMPORTRANGE(
      ""1ZHMy3vVUd_0MrSduXTe1etBb1HNpAlGwQr006ljwMiM"",
      ""GSC最新!A:R""
    ),
    10,
    FALSE
  ),
  0
)
"),0.0)</f>
        <v>0</v>
      </c>
      <c r="N206" s="6">
        <f>IFERROR(__xludf.DUMMYFUNCTION("IFERROR(
  VLOOKUP(
    A206,
    IMPORTRANGE(
      ""1ZHMy3vVUd_0MrSduXTe1etBb1HNpAlGwQr006ljwMiM"",
      ""GSC最新!A:R""
    ),
    13,
    FALSE
  ),
  0
)
"),0.0)</f>
        <v>0</v>
      </c>
      <c r="O206" s="6">
        <f>IFERROR(__xludf.DUMMYFUNCTION("IFERROR(
  VLOOKUP(
    A206,
    IMPORTRANGE(
      ""1ZHMy3vVUd_0MrSduXTe1etBb1HNpAlGwQr006ljwMiM"",
      ""GSC最新!A:R""
    ),
    16,
    FALSE
  ),
  0
)
"),0.0)</f>
        <v>0</v>
      </c>
      <c r="P206" s="51" t="str">
        <f t="shared" ref="P206:Q206" si="1022">IFERROR(L206/N206,"-")</f>
        <v>-</v>
      </c>
      <c r="Q206" s="51" t="str">
        <f t="shared" si="1022"/>
        <v>-</v>
      </c>
      <c r="R206" s="9">
        <f>IFERROR(__xludf.DUMMYFUNCTION("IFERROR(
  VLOOKUP(
    A206,
    IMPORTRANGE(
      ""1ZHMy3vVUd_0MrSduXTe1etBb1HNpAlGwQr006ljwMiM"",
      ""GSC最新!A:R""
    ),
    8,
    FALSE
  ),
  0
)
"),0.0)</f>
        <v>0</v>
      </c>
      <c r="S206" s="9">
        <f>IFERROR(__xludf.DUMMYFUNCTION("IFERROR(
  VLOOKUP(
    A206,
    IMPORTRANGE(
      ""1ZHMy3vVUd_0MrSduXTe1etBb1HNpAlGwQr006ljwMiM"",
      ""GSC最新!A:R""
    ),
    11,
    FALSE
  ),
  0
)
"),0.0)</f>
        <v>0</v>
      </c>
      <c r="T206" s="9">
        <f>IFERROR(__xludf.DUMMYFUNCTION("IFERROR(
  VLOOKUP(
    A206,
    IMPORTRANGE(
      ""1ZHMy3vVUd_0MrSduXTe1etBb1HNpAlGwQr006ljwMiM"",
      ""GSC最新!A:R""
    ),
    14,
    FALSE
  ),
  0
)
"),0.0)</f>
        <v>0</v>
      </c>
      <c r="U206" s="9">
        <f>IFERROR(__xludf.DUMMYFUNCTION("IFERROR(
  VLOOKUP(
    A206,
    IMPORTRANGE(
      ""1ZHMy3vVUd_0MrSduXTe1etBb1HNpAlGwQr006ljwMiM"",
      ""GSC最新!A:R""
    ),
    17,
    FALSE
  ),
  0
)
"),0.0)</f>
        <v>0</v>
      </c>
      <c r="V206" s="9">
        <f t="shared" ref="V206:W206" si="1023">IFERROR(R206-T206,"-")</f>
        <v>0</v>
      </c>
      <c r="W206" s="9">
        <f t="shared" si="1023"/>
        <v>0</v>
      </c>
      <c r="X206" s="65" t="str">
        <f>IFERROR(__xludf.DUMMYFUNCTION("IFERROR(
  VLOOKUP(
    A206,
    IMPORTRANGE(
      ""1ZHMy3vVUd_0MrSduXTe1etBb1HNpAlGwQr006ljwMiM"",
      ""GSC最新!A:R""
    ),
    9,
    FALSE
  ),
  0
)
"),"")</f>
        <v/>
      </c>
      <c r="Y206" s="65" t="str">
        <f>IFERROR(__xludf.DUMMYFUNCTION("IFERROR(
  VLOOKUP(
    A206,
    IMPORTRANGE(
      ""1ZHMy3vVUd_0MrSduXTe1etBb1HNpAlGwQr006ljwMiM"",
      ""GSC最新!A:R""
    ),
    12,
    FALSE
  ),
  0
)
"),"")</f>
        <v/>
      </c>
      <c r="Z206" s="65" t="str">
        <f>IFERROR(__xludf.DUMMYFUNCTION("IFERROR(
  VLOOKUP(
    A206,
    IMPORTRANGE(
      ""1ZHMy3vVUd_0MrSduXTe1etBb1HNpAlGwQr006ljwMiM"",
      ""GSC最新!A:R""
    ),
    15,
    FALSE
  ),
  0
)
"),"")</f>
        <v/>
      </c>
      <c r="AA206" s="65" t="str">
        <f>IFERROR(__xludf.DUMMYFUNCTION("IFERROR(
  VLOOKUP(
    A206,
    IMPORTRANGE(
      ""1ZHMy3vVUd_0MrSduXTe1etBb1HNpAlGwQr006ljwMiM"",
      ""GSC最新!A:R""
    ),
    18,
    FALSE
  ),
  0
)
"),"")</f>
        <v/>
      </c>
      <c r="AB206" s="65">
        <f t="shared" ref="AB206:AC206" si="1024">X206-Z206</f>
        <v>0</v>
      </c>
      <c r="AC206" s="65">
        <f t="shared" si="1024"/>
        <v>0</v>
      </c>
      <c r="AD206" s="53">
        <f>IFERROR(__xludf.DUMMYFUNCTION("IFERROR(
  VLOOKUP(
    A206,
    IMPORTRANGE(
      ""1ZHMy3vVUd_0MrSduXTe1etBb1HNpAlGwQr006ljwMiM"",
      ""GSC最新!A:F""
    ),
    6,
    FALSE
  ),
  0
)
"),46081.0)</f>
        <v>46081</v>
      </c>
      <c r="AE206" s="54">
        <f>IFERROR(__xludf.DUMMYFUNCTION("IFERROR(
  VLOOKUP(
    A206,
    IMPORTRANGE(
      ""1SCYQd7_cobOYqT0r_F0IqD4tE4rYn5y8Eup4PJTH8es"",
      ""Snapshot!A:M""
    ),
    5,
    FALSE
  ),
  ""-""
)
"),0.0)</f>
        <v>0</v>
      </c>
      <c r="AF206" s="54">
        <f>IFERROR(__xludf.DUMMYFUNCTION("IFERROR(
  VLOOKUP(
    A206,
    IMPORTRANGE(
      ""1SCYQd7_cobOYqT0r_F0IqD4tE4rYn5y8Eup4PJTH8es"",
      ""Snapshot!A:M""
    ),
    6,
    FALSE
  ),
  0
)
"),0.0)</f>
        <v>0</v>
      </c>
      <c r="AG206" s="54">
        <f>IFERROR(__xludf.DUMMYFUNCTION("IFERROR(
  VLOOKUP(
    A206,
    IMPORTRANGE(
      ""1SCYQd7_cobOYqT0r_F0IqD4tE4rYn5y8Eup4PJTH8es"",
      ""Snapshot!A:M""
    ),
    7,
    FALSE
  ),
  0
)
"),139.0)</f>
        <v>139</v>
      </c>
      <c r="AH206" s="54">
        <f>IFERROR(__xludf.DUMMYFUNCTION("IFERROR(
  VLOOKUP(
    A206,
    IMPORTRANGE(
      ""1SCYQd7_cobOYqT0r_F0IqD4tE4rYn5y8Eup4PJTH8es"",
      ""Snapshot!A:M""
    ),
    8,
    FALSE
  ),
  0
)
"),0.0)</f>
        <v>0</v>
      </c>
      <c r="AI206" s="54">
        <f>IFERROR(__xludf.DUMMYFUNCTION("IFERROR(
  VLOOKUP(
    A206,
    IMPORTRANGE(
      ""1SCYQd7_cobOYqT0r_F0IqD4tE4rYn5y8Eup4PJTH8es"",
      ""Snapshot!A:M""
    ),
    9,
    FALSE
  ),
  0
)
"),1.0)</f>
        <v>1</v>
      </c>
      <c r="AJ206" s="54">
        <f>IFERROR(__xludf.DUMMYFUNCTION("IFERROR(
  VLOOKUP(
    A206,
    IMPORTRANGE(
      ""1SCYQd7_cobOYqT0r_F0IqD4tE4rYn5y8Eup4PJTH8es"",
      ""Snapshot!A:M""
    ),
    13,
    FALSE
  ),
  0
)
"),3.0)</f>
        <v>3</v>
      </c>
      <c r="AK206" s="49">
        <f t="shared" ref="AK206:AL206" si="1025">LEN(C206)</f>
        <v>79</v>
      </c>
      <c r="AL206" s="49">
        <f t="shared" si="1025"/>
        <v>55</v>
      </c>
    </row>
    <row r="207">
      <c r="A207" s="3" t="s">
        <v>694</v>
      </c>
      <c r="B207" s="1" t="str">
        <f>IFERROR(__xludf.DUMMYFUNCTION("IFERROR(
  VLOOKUP(
    A207,
    IMPORTRANGE(
      ""1ZygntHC1J6IxzKbTidmOyf5nUyW4GCLurHCjexrLm_o"",
      ""HTMLキャッシュ!A:F""
    ),
    2,
    FALSE
  ),
  0
)
"),"NW")</f>
        <v>NW</v>
      </c>
      <c r="C207" s="1" t="str">
        <f>IFERROR(__xludf.DUMMYFUNCTION("IFERROR(
  VLOOKUP(
    A207,
    IMPORTRANGE(
      ""1ZygntHC1J6IxzKbTidmOyf5nUyW4GCLurHCjexrLm_o"",
      ""HTMLキャッシュ!A:F""
    ),
    5,
    FALSE
  ),
  0
)
"),"「英語教室サポート」開校のお知らせ - 受験国語専門 読解ラボ東京 | 中学受験・大学受験対応の個別指導国語専門塾（オンライン・教室対応）")</f>
        <v>「英語教室サポート」開校のお知らせ - 受験国語専門 読解ラボ東京 | 中学受験・大学受験対応の個別指導国語専門塾（オンライン・教室対応）</v>
      </c>
      <c r="D207" s="1" t="str">
        <f>IFERROR(__xludf.DUMMYFUNCTION("IFERROR(
  VLOOKUP(
    A207,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207" s="32">
        <f>IFERROR(__xludf.DUMMYFUNCTION("IFERROR(
  VLOOKUP(
    A207,
    IMPORTRANGE(
      ""1ZygntHC1J6IxzKbTidmOyf5nUyW4GCLurHCjexrLm_o        "",
      ""HTMLキャッシュ!A:F""
    ),
    3,
    FALSE
  ),
  0
)
"),44292.45773148148)</f>
        <v>44292.45773</v>
      </c>
      <c r="F207" s="49">
        <f>IFERROR(__xludf.DUMMYFUNCTION("IFERROR(
  VLOOKUP(
    A207,
    IMPORTRANGE(
      ""1ZHMy3vVUd_0MrSduXTe1etBb1HNpAlGwQr006ljwMiM"",
      ""GSC最新!A:F""
    ),
    2,
    FALSE
  ),
  0
)
"),0.0)</f>
        <v>0</v>
      </c>
      <c r="G207" s="49">
        <f>IFERROR(__xludf.DUMMYFUNCTION("IFERROR(
  VLOOKUP(
    A207,
    IMPORTRANGE(
      ""1ZHMy3vVUd_0MrSduXTe1etBb1HNpAlGwQr006ljwMiM"",
      ""GSC最新!A:F""
    ),
    3,
    FALSE
  ),
  0
)
"),0.0)</f>
        <v>0</v>
      </c>
      <c r="H207" s="49">
        <f>IFERROR(__xludf.DUMMYFUNCTION("IFERROR(
  VLOOKUP(
    A207,
    IMPORTRANGE(
      ""1ZHMy3vVUd_0MrSduXTe1etBb1HNpAlGwQr006ljwMiM"",
      ""GSC最新!A:F""
    ),
    4,
    FALSE
  ),
  0
)
"),0.0)</f>
        <v>0</v>
      </c>
      <c r="I207" s="49">
        <f>IFERROR(__xludf.DUMMYFUNCTION("IFERROR(
  VLOOKUP(
    A207,
    IMPORTRANGE(
      ""1ZHMy3vVUd_0MrSduXTe1etBb1HNpAlGwQr006ljwMiM"",
      ""GSC最新!A:F""
    ),
    5,
    FALSE
  ),
  0
)
"),0.0)</f>
        <v>0</v>
      </c>
      <c r="J207" s="50" t="str">
        <f t="shared" ref="J207:K207" si="1026">IFERROR(F207/H207,"-")</f>
        <v>-</v>
      </c>
      <c r="K207" s="50" t="str">
        <f t="shared" si="1026"/>
        <v>-</v>
      </c>
      <c r="L207" s="6">
        <f>IFERROR(__xludf.DUMMYFUNCTION("IFERROR(
  VLOOKUP(
    A207,
    IMPORTRANGE(
      ""1ZHMy3vVUd_0MrSduXTe1etBb1HNpAlGwQr006ljwMiM"",
      ""GSC最新!A:R""
    ),
    7,
    FALSE
  ),
  0
)
"),2.0)</f>
        <v>2</v>
      </c>
      <c r="M207" s="6">
        <f>IFERROR(__xludf.DUMMYFUNCTION("IFERROR(
  VLOOKUP(
    A207,
    IMPORTRANGE(
      ""1ZHMy3vVUd_0MrSduXTe1etBb1HNpAlGwQr006ljwMiM"",
      ""GSC最新!A:R""
    ),
    10,
    FALSE
  ),
  0
)
"),2.0)</f>
        <v>2</v>
      </c>
      <c r="N207" s="6">
        <f>IFERROR(__xludf.DUMMYFUNCTION("IFERROR(
  VLOOKUP(
    A207,
    IMPORTRANGE(
      ""1ZHMy3vVUd_0MrSduXTe1etBb1HNpAlGwQr006ljwMiM"",
      ""GSC最新!A:R""
    ),
    13,
    FALSE
  ),
  0
)
"),0.0)</f>
        <v>0</v>
      </c>
      <c r="O207" s="6">
        <f>IFERROR(__xludf.DUMMYFUNCTION("IFERROR(
  VLOOKUP(
    A207,
    IMPORTRANGE(
      ""1ZHMy3vVUd_0MrSduXTe1etBb1HNpAlGwQr006ljwMiM"",
      ""GSC最新!A:R""
    ),
    16,
    FALSE
  ),
  0
)
"),0.0)</f>
        <v>0</v>
      </c>
      <c r="P207" s="51" t="str">
        <f t="shared" ref="P207:Q207" si="1027">IFERROR(L207/N207,"-")</f>
        <v>-</v>
      </c>
      <c r="Q207" s="51" t="str">
        <f t="shared" si="1027"/>
        <v>-</v>
      </c>
      <c r="R207" s="9">
        <f>IFERROR(__xludf.DUMMYFUNCTION("IFERROR(
  VLOOKUP(
    A207,
    IMPORTRANGE(
      ""1ZHMy3vVUd_0MrSduXTe1etBb1HNpAlGwQr006ljwMiM"",
      ""GSC最新!A:R""
    ),
    8,
    FALSE
  ),
  0
)
"),0.0)</f>
        <v>0</v>
      </c>
      <c r="S207" s="9">
        <f>IFERROR(__xludf.DUMMYFUNCTION("IFERROR(
  VLOOKUP(
    A207,
    IMPORTRANGE(
      ""1ZHMy3vVUd_0MrSduXTe1etBb1HNpAlGwQr006ljwMiM"",
      ""GSC最新!A:R""
    ),
    11,
    FALSE
  ),
  0
)
"),0.0)</f>
        <v>0</v>
      </c>
      <c r="T207" s="9">
        <f>IFERROR(__xludf.DUMMYFUNCTION("IFERROR(
  VLOOKUP(
    A207,
    IMPORTRANGE(
      ""1ZHMy3vVUd_0MrSduXTe1etBb1HNpAlGwQr006ljwMiM"",
      ""GSC最新!A:R""
    ),
    14,
    FALSE
  ),
  0
)
"),0.0)</f>
        <v>0</v>
      </c>
      <c r="U207" s="9">
        <f>IFERROR(__xludf.DUMMYFUNCTION("IFERROR(
  VLOOKUP(
    A207,
    IMPORTRANGE(
      ""1ZHMy3vVUd_0MrSduXTe1etBb1HNpAlGwQr006ljwMiM"",
      ""GSC最新!A:R""
    ),
    17,
    FALSE
  ),
  0
)
"),0.0)</f>
        <v>0</v>
      </c>
      <c r="V207" s="9">
        <f t="shared" ref="V207:W207" si="1028">IFERROR(R207-T207,"-")</f>
        <v>0</v>
      </c>
      <c r="W207" s="9">
        <f t="shared" si="1028"/>
        <v>0</v>
      </c>
      <c r="X207" s="65">
        <f>IFERROR(__xludf.DUMMYFUNCTION("IFERROR(
  VLOOKUP(
    A207,
    IMPORTRANGE(
      ""1ZHMy3vVUd_0MrSduXTe1etBb1HNpAlGwQr006ljwMiM"",
      ""GSC最新!A:R""
    ),
    9,
    FALSE
  ),
  0
)
"),6.5)</f>
        <v>6.5</v>
      </c>
      <c r="Y207" s="65">
        <f>IFERROR(__xludf.DUMMYFUNCTION("IFERROR(
  VLOOKUP(
    A207,
    IMPORTRANGE(
      ""1ZHMy3vVUd_0MrSduXTe1etBb1HNpAlGwQr006ljwMiM"",
      ""GSC最新!A:R""
    ),
    12,
    FALSE
  ),
  0
)
"),6.5)</f>
        <v>6.5</v>
      </c>
      <c r="Z207" s="65" t="str">
        <f>IFERROR(__xludf.DUMMYFUNCTION("IFERROR(
  VLOOKUP(
    A207,
    IMPORTRANGE(
      ""1ZHMy3vVUd_0MrSduXTe1etBb1HNpAlGwQr006ljwMiM"",
      ""GSC最新!A:R""
    ),
    15,
    FALSE
  ),
  0
)
"),"")</f>
        <v/>
      </c>
      <c r="AA207" s="65" t="str">
        <f>IFERROR(__xludf.DUMMYFUNCTION("IFERROR(
  VLOOKUP(
    A207,
    IMPORTRANGE(
      ""1ZHMy3vVUd_0MrSduXTe1etBb1HNpAlGwQr006ljwMiM"",
      ""GSC最新!A:R""
    ),
    18,
    FALSE
  ),
  0
)
"),"")</f>
        <v/>
      </c>
      <c r="AB207" s="65">
        <f t="shared" ref="AB207:AC207" si="1029">X207-Z207</f>
        <v>6.5</v>
      </c>
      <c r="AC207" s="65">
        <f t="shared" si="1029"/>
        <v>6.5</v>
      </c>
      <c r="AD207" s="53">
        <f>IFERROR(__xludf.DUMMYFUNCTION("IFERROR(
  VLOOKUP(
    A207,
    IMPORTRANGE(
      ""1ZHMy3vVUd_0MrSduXTe1etBb1HNpAlGwQr006ljwMiM"",
      ""GSC最新!A:F""
    ),
    6,
    FALSE
  ),
  0
)
"),46081.0)</f>
        <v>46081</v>
      </c>
      <c r="AE207" s="54">
        <f>IFERROR(__xludf.DUMMYFUNCTION("IFERROR(
  VLOOKUP(
    A207,
    IMPORTRANGE(
      ""1SCYQd7_cobOYqT0r_F0IqD4tE4rYn5y8Eup4PJTH8es"",
      ""Snapshot!A:M""
    ),
    5,
    FALSE
  ),
  ""-""
)
"),0.0)</f>
        <v>0</v>
      </c>
      <c r="AF207" s="54">
        <f>IFERROR(__xludf.DUMMYFUNCTION("IFERROR(
  VLOOKUP(
    A207,
    IMPORTRANGE(
      ""1SCYQd7_cobOYqT0r_F0IqD4tE4rYn5y8Eup4PJTH8es"",
      ""Snapshot!A:M""
    ),
    6,
    FALSE
  ),
  0
)
"),0.0)</f>
        <v>0</v>
      </c>
      <c r="AG207" s="54">
        <f>IFERROR(__xludf.DUMMYFUNCTION("IFERROR(
  VLOOKUP(
    A207,
    IMPORTRANGE(
      ""1SCYQd7_cobOYqT0r_F0IqD4tE4rYn5y8Eup4PJTH8es"",
      ""Snapshot!A:M""
    ),
    7,
    FALSE
  ),
  0
)
"),120.0)</f>
        <v>120</v>
      </c>
      <c r="AH207" s="54">
        <f>IFERROR(__xludf.DUMMYFUNCTION("IFERROR(
  VLOOKUP(
    A207,
    IMPORTRANGE(
      ""1SCYQd7_cobOYqT0r_F0IqD4tE4rYn5y8Eup4PJTH8es"",
      ""Snapshot!A:M""
    ),
    8,
    FALSE
  ),
  0
)
"),0.0)</f>
        <v>0</v>
      </c>
      <c r="AI207" s="54">
        <f>IFERROR(__xludf.DUMMYFUNCTION("IFERROR(
  VLOOKUP(
    A207,
    IMPORTRANGE(
      ""1SCYQd7_cobOYqT0r_F0IqD4tE4rYn5y8Eup4PJTH8es"",
      ""Snapshot!A:M""
    ),
    9,
    FALSE
  ),
  0
)
"),1.0)</f>
        <v>1</v>
      </c>
      <c r="AJ207" s="54">
        <f>IFERROR(__xludf.DUMMYFUNCTION("IFERROR(
  VLOOKUP(
    A207,
    IMPORTRANGE(
      ""1SCYQd7_cobOYqT0r_F0IqD4tE4rYn5y8Eup4PJTH8es"",
      ""Snapshot!A:M""
    ),
    13,
    FALSE
  ),
  0
)
"),3.0)</f>
        <v>3</v>
      </c>
      <c r="AK207" s="49">
        <f t="shared" ref="AK207:AL207" si="1030">LEN(C207)</f>
        <v>69</v>
      </c>
      <c r="AL207" s="49">
        <f t="shared" si="1030"/>
        <v>55</v>
      </c>
    </row>
    <row r="208">
      <c r="A208" s="3" t="s">
        <v>695</v>
      </c>
      <c r="B208" s="1" t="str">
        <f>IFERROR(__xludf.DUMMYFUNCTION("IFERROR(
  VLOOKUP(
    A208,
    IMPORTRANGE(
      ""1ZygntHC1J6IxzKbTidmOyf5nUyW4GCLurHCjexrLm_o"",
      ""HTMLキャッシュ!A:F""
    ),
    2,
    FALSE
  ),
  0
)
"),"NW")</f>
        <v>NW</v>
      </c>
      <c r="C208" s="1" t="str">
        <f>IFERROR(__xludf.DUMMYFUNCTION("IFERROR(
  VLOOKUP(
    A208,
    IMPORTRANGE(
      ""1ZygntHC1J6IxzKbTidmOyf5nUyW4GCLurHCjexrLm_o"",
      ""HTMLキャッシュ!A:F""
    ),
    5,
    FALSE
  ),
  0
)
"),"2021年度夏期講習開催のお知らせ - 受験国語専門 読解ラボ東京 | 中学受験・大学受験対応の個別指導国語専門塾（オンライン・教室対応）")</f>
        <v>2021年度夏期講習開催のお知らせ - 受験国語専門 読解ラボ東京 | 中学受験・大学受験対応の個別指導国語専門塾（オンライン・教室対応）</v>
      </c>
      <c r="D208" s="1" t="str">
        <f>IFERROR(__xludf.DUMMYFUNCTION("IFERROR(
  VLOOKUP(
    A208,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208" s="32">
        <f>IFERROR(__xludf.DUMMYFUNCTION("IFERROR(
  VLOOKUP(
    A208,
    IMPORTRANGE(
      ""1ZygntHC1J6IxzKbTidmOyf5nUyW4GCLurHCjexrLm_o        "",
      ""HTMLキャッシュ!A:F""
    ),
    3,
    FALSE
  ),
  0
)
"),46076.6190162037)</f>
        <v>46076.61902</v>
      </c>
      <c r="F208" s="49">
        <f>IFERROR(__xludf.DUMMYFUNCTION("IFERROR(
  VLOOKUP(
    A208,
    IMPORTRANGE(
      ""1ZHMy3vVUd_0MrSduXTe1etBb1HNpAlGwQr006ljwMiM"",
      ""GSC最新!A:F""
    ),
    2,
    FALSE
  ),
  0
)
"),0.0)</f>
        <v>0</v>
      </c>
      <c r="G208" s="49">
        <f>IFERROR(__xludf.DUMMYFUNCTION("IFERROR(
  VLOOKUP(
    A208,
    IMPORTRANGE(
      ""1ZHMy3vVUd_0MrSduXTe1etBb1HNpAlGwQr006ljwMiM"",
      ""GSC最新!A:F""
    ),
    3,
    FALSE
  ),
  0
)
"),0.0)</f>
        <v>0</v>
      </c>
      <c r="H208" s="49">
        <f>IFERROR(__xludf.DUMMYFUNCTION("IFERROR(
  VLOOKUP(
    A208,
    IMPORTRANGE(
      ""1ZHMy3vVUd_0MrSduXTe1etBb1HNpAlGwQr006ljwMiM"",
      ""GSC最新!A:F""
    ),
    4,
    FALSE
  ),
  0
)
"),0.0)</f>
        <v>0</v>
      </c>
      <c r="I208" s="49">
        <f>IFERROR(__xludf.DUMMYFUNCTION("IFERROR(
  VLOOKUP(
    A208,
    IMPORTRANGE(
      ""1ZHMy3vVUd_0MrSduXTe1etBb1HNpAlGwQr006ljwMiM"",
      ""GSC最新!A:F""
    ),
    5,
    FALSE
  ),
  0
)
"),0.0)</f>
        <v>0</v>
      </c>
      <c r="J208" s="50" t="str">
        <f t="shared" ref="J208:K208" si="1031">IFERROR(F208/H208,"-")</f>
        <v>-</v>
      </c>
      <c r="K208" s="50" t="str">
        <f t="shared" si="1031"/>
        <v>-</v>
      </c>
      <c r="L208" s="6">
        <f>IFERROR(__xludf.DUMMYFUNCTION("IFERROR(
  VLOOKUP(
    A208,
    IMPORTRANGE(
      ""1ZHMy3vVUd_0MrSduXTe1etBb1HNpAlGwQr006ljwMiM"",
      ""GSC最新!A:R""
    ),
    7,
    FALSE
  ),
  0
)
"),0.0)</f>
        <v>0</v>
      </c>
      <c r="M208" s="6">
        <f>IFERROR(__xludf.DUMMYFUNCTION("IFERROR(
  VLOOKUP(
    A208,
    IMPORTRANGE(
      ""1ZHMy3vVUd_0MrSduXTe1etBb1HNpAlGwQr006ljwMiM"",
      ""GSC最新!A:R""
    ),
    10,
    FALSE
  ),
  0
)
"),0.0)</f>
        <v>0</v>
      </c>
      <c r="N208" s="6">
        <f>IFERROR(__xludf.DUMMYFUNCTION("IFERROR(
  VLOOKUP(
    A208,
    IMPORTRANGE(
      ""1ZHMy3vVUd_0MrSduXTe1etBb1HNpAlGwQr006ljwMiM"",
      ""GSC最新!A:R""
    ),
    13,
    FALSE
  ),
  0
)
"),0.0)</f>
        <v>0</v>
      </c>
      <c r="O208" s="6">
        <f>IFERROR(__xludf.DUMMYFUNCTION("IFERROR(
  VLOOKUP(
    A208,
    IMPORTRANGE(
      ""1ZHMy3vVUd_0MrSduXTe1etBb1HNpAlGwQr006ljwMiM"",
      ""GSC最新!A:R""
    ),
    16,
    FALSE
  ),
  0
)
"),0.0)</f>
        <v>0</v>
      </c>
      <c r="P208" s="51" t="str">
        <f t="shared" ref="P208:Q208" si="1032">IFERROR(L208/N208,"-")</f>
        <v>-</v>
      </c>
      <c r="Q208" s="51" t="str">
        <f t="shared" si="1032"/>
        <v>-</v>
      </c>
      <c r="R208" s="9">
        <f>IFERROR(__xludf.DUMMYFUNCTION("IFERROR(
  VLOOKUP(
    A208,
    IMPORTRANGE(
      ""1ZHMy3vVUd_0MrSduXTe1etBb1HNpAlGwQr006ljwMiM"",
      ""GSC最新!A:R""
    ),
    8,
    FALSE
  ),
  0
)
"),0.0)</f>
        <v>0</v>
      </c>
      <c r="S208" s="9">
        <f>IFERROR(__xludf.DUMMYFUNCTION("IFERROR(
  VLOOKUP(
    A208,
    IMPORTRANGE(
      ""1ZHMy3vVUd_0MrSduXTe1etBb1HNpAlGwQr006ljwMiM"",
      ""GSC最新!A:R""
    ),
    11,
    FALSE
  ),
  0
)
"),0.0)</f>
        <v>0</v>
      </c>
      <c r="T208" s="9">
        <f>IFERROR(__xludf.DUMMYFUNCTION("IFERROR(
  VLOOKUP(
    A208,
    IMPORTRANGE(
      ""1ZHMy3vVUd_0MrSduXTe1etBb1HNpAlGwQr006ljwMiM"",
      ""GSC最新!A:R""
    ),
    14,
    FALSE
  ),
  0
)
"),0.0)</f>
        <v>0</v>
      </c>
      <c r="U208" s="9">
        <f>IFERROR(__xludf.DUMMYFUNCTION("IFERROR(
  VLOOKUP(
    A208,
    IMPORTRANGE(
      ""1ZHMy3vVUd_0MrSduXTe1etBb1HNpAlGwQr006ljwMiM"",
      ""GSC最新!A:R""
    ),
    17,
    FALSE
  ),
  0
)
"),0.0)</f>
        <v>0</v>
      </c>
      <c r="V208" s="9">
        <f t="shared" ref="V208:W208" si="1033">IFERROR(R208-T208,"-")</f>
        <v>0</v>
      </c>
      <c r="W208" s="9">
        <f t="shared" si="1033"/>
        <v>0</v>
      </c>
      <c r="X208" s="65" t="str">
        <f>IFERROR(__xludf.DUMMYFUNCTION("IFERROR(
  VLOOKUP(
    A208,
    IMPORTRANGE(
      ""1ZHMy3vVUd_0MrSduXTe1etBb1HNpAlGwQr006ljwMiM"",
      ""GSC最新!A:R""
    ),
    9,
    FALSE
  ),
  0
)
"),"")</f>
        <v/>
      </c>
      <c r="Y208" s="65" t="str">
        <f>IFERROR(__xludf.DUMMYFUNCTION("IFERROR(
  VLOOKUP(
    A208,
    IMPORTRANGE(
      ""1ZHMy3vVUd_0MrSduXTe1etBb1HNpAlGwQr006ljwMiM"",
      ""GSC最新!A:R""
    ),
    12,
    FALSE
  ),
  0
)
"),"")</f>
        <v/>
      </c>
      <c r="Z208" s="65" t="str">
        <f>IFERROR(__xludf.DUMMYFUNCTION("IFERROR(
  VLOOKUP(
    A208,
    IMPORTRANGE(
      ""1ZHMy3vVUd_0MrSduXTe1etBb1HNpAlGwQr006ljwMiM"",
      ""GSC最新!A:R""
    ),
    15,
    FALSE
  ),
  0
)
"),"")</f>
        <v/>
      </c>
      <c r="AA208" s="65" t="str">
        <f>IFERROR(__xludf.DUMMYFUNCTION("IFERROR(
  VLOOKUP(
    A208,
    IMPORTRANGE(
      ""1ZHMy3vVUd_0MrSduXTe1etBb1HNpAlGwQr006ljwMiM"",
      ""GSC最新!A:R""
    ),
    18,
    FALSE
  ),
  0
)
"),"")</f>
        <v/>
      </c>
      <c r="AB208" s="65">
        <f t="shared" ref="AB208:AC208" si="1034">X208-Z208</f>
        <v>0</v>
      </c>
      <c r="AC208" s="65">
        <f t="shared" si="1034"/>
        <v>0</v>
      </c>
      <c r="AD208" s="53">
        <f>IFERROR(__xludf.DUMMYFUNCTION("IFERROR(
  VLOOKUP(
    A208,
    IMPORTRANGE(
      ""1ZHMy3vVUd_0MrSduXTe1etBb1HNpAlGwQr006ljwMiM"",
      ""GSC最新!A:F""
    ),
    6,
    FALSE
  ),
  0
)
"),46081.0)</f>
        <v>46081</v>
      </c>
      <c r="AE208" s="54">
        <f>IFERROR(__xludf.DUMMYFUNCTION("IFERROR(
  VLOOKUP(
    A208,
    IMPORTRANGE(
      ""1SCYQd7_cobOYqT0r_F0IqD4tE4rYn5y8Eup4PJTH8es"",
      ""Snapshot!A:M""
    ),
    5,
    FALSE
  ),
  ""-""
)
"),0.0)</f>
        <v>0</v>
      </c>
      <c r="AF208" s="54">
        <f>IFERROR(__xludf.DUMMYFUNCTION("IFERROR(
  VLOOKUP(
    A208,
    IMPORTRANGE(
      ""1SCYQd7_cobOYqT0r_F0IqD4tE4rYn5y8Eup4PJTH8es"",
      ""Snapshot!A:M""
    ),
    6,
    FALSE
  ),
  0
)
"),0.0)</f>
        <v>0</v>
      </c>
      <c r="AG208" s="54">
        <f>IFERROR(__xludf.DUMMYFUNCTION("IFERROR(
  VLOOKUP(
    A208,
    IMPORTRANGE(
      ""1SCYQd7_cobOYqT0r_F0IqD4tE4rYn5y8Eup4PJTH8es"",
      ""Snapshot!A:M""
    ),
    7,
    FALSE
  ),
  0
)
"),975.0)</f>
        <v>975</v>
      </c>
      <c r="AH208" s="54">
        <f>IFERROR(__xludf.DUMMYFUNCTION("IFERROR(
  VLOOKUP(
    A208,
    IMPORTRANGE(
      ""1SCYQd7_cobOYqT0r_F0IqD4tE4rYn5y8Eup4PJTH8es"",
      ""Snapshot!A:M""
    ),
    8,
    FALSE
  ),
  0
)
"),2.0)</f>
        <v>2</v>
      </c>
      <c r="AI208" s="54">
        <f>IFERROR(__xludf.DUMMYFUNCTION("IFERROR(
  VLOOKUP(
    A208,
    IMPORTRANGE(
      ""1SCYQd7_cobOYqT0r_F0IqD4tE4rYn5y8Eup4PJTH8es"",
      ""Snapshot!A:M""
    ),
    9,
    FALSE
  ),
  0
)
"),3.0)</f>
        <v>3</v>
      </c>
      <c r="AJ208" s="54">
        <f>IFERROR(__xludf.DUMMYFUNCTION("IFERROR(
  VLOOKUP(
    A208,
    IMPORTRANGE(
      ""1SCYQd7_cobOYqT0r_F0IqD4tE4rYn5y8Eup4PJTH8es"",
      ""Snapshot!A:M""
    ),
    13,
    FALSE
  ),
  0
)
"),3.0)</f>
        <v>3</v>
      </c>
      <c r="AK208" s="49">
        <f t="shared" ref="AK208:AL208" si="1035">LEN(C208)</f>
        <v>69</v>
      </c>
      <c r="AL208" s="49">
        <f t="shared" si="1035"/>
        <v>55</v>
      </c>
    </row>
    <row r="209">
      <c r="A209" s="3" t="s">
        <v>696</v>
      </c>
      <c r="B209" s="1" t="str">
        <f>IFERROR(__xludf.DUMMYFUNCTION("IFERROR(
  VLOOKUP(
    A209,
    IMPORTRANGE(
      ""1ZygntHC1J6IxzKbTidmOyf5nUyW4GCLurHCjexrLm_o"",
      ""HTMLキャッシュ!A:F""
    ),
    2,
    FALSE
  ),
  0
)
"),"NW")</f>
        <v>NW</v>
      </c>
      <c r="C209" s="1" t="str">
        <f>IFERROR(__xludf.DUMMYFUNCTION("IFERROR(
  VLOOKUP(
    A209,
    IMPORTRANGE(
      ""1ZygntHC1J6IxzKbTidmOyf5nUyW4GCLurHCjexrLm_o"",
      ""HTMLキャッシュ!A:F""
    ),
    5,
    FALSE
  ),
  0
)
"),"【集団授業・小５】2021年度夏期体験講座のお知らせ【教室・オンライン】 - 受験国語専門 読解ラボ東京 | 中学受験・大学受験対応の個別指導国語専門塾（オンライン・教室対応）")</f>
        <v>【集団授業・小５】2021年度夏期体験講座のお知らせ【教室・オンライン】 - 受験国語専門 読解ラボ東京 | 中学受験・大学受験対応の個別指導国語専門塾（オンライン・教室対応）</v>
      </c>
      <c r="D209" s="1" t="str">
        <f>IFERROR(__xludf.DUMMYFUNCTION("IFERROR(
  VLOOKUP(
    A209,
    IMPORTRANGE(
      ""1ZygntHC1J6IxzKbTidmOyf5nUyW4GCLurHCjexrLm_o        "",
      ""HTMLキャッシュ!A:F""
    ),
    6,
    FALSE
  ),
  0
)
"),"読解ラボ東京では「小学５年生向け・夏期体験講座」を実施致します。 もちろん全講義を代表・長島が担当致します。")</f>
        <v>読解ラボ東京では「小学５年生向け・夏期体験講座」を実施致します。 もちろん全講義を代表・長島が担当致します。</v>
      </c>
      <c r="E209" s="32">
        <f>IFERROR(__xludf.DUMMYFUNCTION("IFERROR(
  VLOOKUP(
    A209,
    IMPORTRANGE(
      ""1ZygntHC1J6IxzKbTidmOyf5nUyW4GCLurHCjexrLm_o        "",
      ""HTMLキャッシュ!A:F""
    ),
    3,
    FALSE
  ),
  0
)
"),44386.572905092595)</f>
        <v>44386.57291</v>
      </c>
      <c r="F209" s="49">
        <f>IFERROR(__xludf.DUMMYFUNCTION("IFERROR(
  VLOOKUP(
    A209,
    IMPORTRANGE(
      ""1ZHMy3vVUd_0MrSduXTe1etBb1HNpAlGwQr006ljwMiM"",
      ""GSC最新!A:F""
    ),
    2,
    FALSE
  ),
  0
)
"),0.0)</f>
        <v>0</v>
      </c>
      <c r="G209" s="49">
        <f>IFERROR(__xludf.DUMMYFUNCTION("IFERROR(
  VLOOKUP(
    A209,
    IMPORTRANGE(
      ""1ZHMy3vVUd_0MrSduXTe1etBb1HNpAlGwQr006ljwMiM"",
      ""GSC最新!A:F""
    ),
    3,
    FALSE
  ),
  0
)
"),0.0)</f>
        <v>0</v>
      </c>
      <c r="H209" s="49">
        <f>IFERROR(__xludf.DUMMYFUNCTION("IFERROR(
  VLOOKUP(
    A209,
    IMPORTRANGE(
      ""1ZHMy3vVUd_0MrSduXTe1etBb1HNpAlGwQr006ljwMiM"",
      ""GSC最新!A:F""
    ),
    4,
    FALSE
  ),
  0
)
"),0.0)</f>
        <v>0</v>
      </c>
      <c r="I209" s="49">
        <f>IFERROR(__xludf.DUMMYFUNCTION("IFERROR(
  VLOOKUP(
    A209,
    IMPORTRANGE(
      ""1ZHMy3vVUd_0MrSduXTe1etBb1HNpAlGwQr006ljwMiM"",
      ""GSC最新!A:F""
    ),
    5,
    FALSE
  ),
  0
)
"),0.0)</f>
        <v>0</v>
      </c>
      <c r="J209" s="50" t="str">
        <f t="shared" ref="J209:K209" si="1036">IFERROR(F209/H209,"-")</f>
        <v>-</v>
      </c>
      <c r="K209" s="50" t="str">
        <f t="shared" si="1036"/>
        <v>-</v>
      </c>
      <c r="L209" s="6">
        <f>IFERROR(__xludf.DUMMYFUNCTION("IFERROR(
  VLOOKUP(
    A209,
    IMPORTRANGE(
      ""1ZHMy3vVUd_0MrSduXTe1etBb1HNpAlGwQr006ljwMiM"",
      ""GSC最新!A:R""
    ),
    7,
    FALSE
  ),
  0
)
"),8.0)</f>
        <v>8</v>
      </c>
      <c r="M209" s="6">
        <f>IFERROR(__xludf.DUMMYFUNCTION("IFERROR(
  VLOOKUP(
    A209,
    IMPORTRANGE(
      ""1ZHMy3vVUd_0MrSduXTe1etBb1HNpAlGwQr006ljwMiM"",
      ""GSC最新!A:R""
    ),
    10,
    FALSE
  ),
  0
)
"),8.0)</f>
        <v>8</v>
      </c>
      <c r="N209" s="6">
        <f>IFERROR(__xludf.DUMMYFUNCTION("IFERROR(
  VLOOKUP(
    A209,
    IMPORTRANGE(
      ""1ZHMy3vVUd_0MrSduXTe1etBb1HNpAlGwQr006ljwMiM"",
      ""GSC最新!A:R""
    ),
    13,
    FALSE
  ),
  0
)
"),0.0)</f>
        <v>0</v>
      </c>
      <c r="O209" s="6">
        <f>IFERROR(__xludf.DUMMYFUNCTION("IFERROR(
  VLOOKUP(
    A209,
    IMPORTRANGE(
      ""1ZHMy3vVUd_0MrSduXTe1etBb1HNpAlGwQr006ljwMiM"",
      ""GSC最新!A:R""
    ),
    16,
    FALSE
  ),
  0
)
"),0.0)</f>
        <v>0</v>
      </c>
      <c r="P209" s="51" t="str">
        <f t="shared" ref="P209:Q209" si="1037">IFERROR(L209/N209,"-")</f>
        <v>-</v>
      </c>
      <c r="Q209" s="51" t="str">
        <f t="shared" si="1037"/>
        <v>-</v>
      </c>
      <c r="R209" s="9">
        <f>IFERROR(__xludf.DUMMYFUNCTION("IFERROR(
  VLOOKUP(
    A209,
    IMPORTRANGE(
      ""1ZHMy3vVUd_0MrSduXTe1etBb1HNpAlGwQr006ljwMiM"",
      ""GSC最新!A:R""
    ),
    8,
    FALSE
  ),
  0
)
"),0.0)</f>
        <v>0</v>
      </c>
      <c r="S209" s="9">
        <f>IFERROR(__xludf.DUMMYFUNCTION("IFERROR(
  VLOOKUP(
    A209,
    IMPORTRANGE(
      ""1ZHMy3vVUd_0MrSduXTe1etBb1HNpAlGwQr006ljwMiM"",
      ""GSC最新!A:R""
    ),
    11,
    FALSE
  ),
  0
)
"),0.0)</f>
        <v>0</v>
      </c>
      <c r="T209" s="9">
        <f>IFERROR(__xludf.DUMMYFUNCTION("IFERROR(
  VLOOKUP(
    A209,
    IMPORTRANGE(
      ""1ZHMy3vVUd_0MrSduXTe1etBb1HNpAlGwQr006ljwMiM"",
      ""GSC最新!A:R""
    ),
    14,
    FALSE
  ),
  0
)
"),0.0)</f>
        <v>0</v>
      </c>
      <c r="U209" s="9">
        <f>IFERROR(__xludf.DUMMYFUNCTION("IFERROR(
  VLOOKUP(
    A209,
    IMPORTRANGE(
      ""1ZHMy3vVUd_0MrSduXTe1etBb1HNpAlGwQr006ljwMiM"",
      ""GSC最新!A:R""
    ),
    17,
    FALSE
  ),
  0
)
"),0.0)</f>
        <v>0</v>
      </c>
      <c r="V209" s="9">
        <f t="shared" ref="V209:W209" si="1038">IFERROR(R209-T209,"-")</f>
        <v>0</v>
      </c>
      <c r="W209" s="9">
        <f t="shared" si="1038"/>
        <v>0</v>
      </c>
      <c r="X209" s="65">
        <f>IFERROR(__xludf.DUMMYFUNCTION("IFERROR(
  VLOOKUP(
    A209,
    IMPORTRANGE(
      ""1ZHMy3vVUd_0MrSduXTe1etBb1HNpAlGwQr006ljwMiM"",
      ""GSC最新!A:R""
    ),
    9,
    FALSE
  ),
  0
)
"),4.875)</f>
        <v>4.875</v>
      </c>
      <c r="Y209" s="65">
        <f>IFERROR(__xludf.DUMMYFUNCTION("IFERROR(
  VLOOKUP(
    A209,
    IMPORTRANGE(
      ""1ZHMy3vVUd_0MrSduXTe1etBb1HNpAlGwQr006ljwMiM"",
      ""GSC最新!A:R""
    ),
    12,
    FALSE
  ),
  0
)
"),4.875)</f>
        <v>4.875</v>
      </c>
      <c r="Z209" s="65" t="str">
        <f>IFERROR(__xludf.DUMMYFUNCTION("IFERROR(
  VLOOKUP(
    A209,
    IMPORTRANGE(
      ""1ZHMy3vVUd_0MrSduXTe1etBb1HNpAlGwQr006ljwMiM"",
      ""GSC最新!A:R""
    ),
    15,
    FALSE
  ),
  0
)
"),"")</f>
        <v/>
      </c>
      <c r="AA209" s="65" t="str">
        <f>IFERROR(__xludf.DUMMYFUNCTION("IFERROR(
  VLOOKUP(
    A209,
    IMPORTRANGE(
      ""1ZHMy3vVUd_0MrSduXTe1etBb1HNpAlGwQr006ljwMiM"",
      ""GSC最新!A:R""
    ),
    18,
    FALSE
  ),
  0
)
"),"")</f>
        <v/>
      </c>
      <c r="AB209" s="65">
        <f t="shared" ref="AB209:AC209" si="1039">X209-Z209</f>
        <v>4.875</v>
      </c>
      <c r="AC209" s="65">
        <f t="shared" si="1039"/>
        <v>4.875</v>
      </c>
      <c r="AD209" s="53">
        <f>IFERROR(__xludf.DUMMYFUNCTION("IFERROR(
  VLOOKUP(
    A209,
    IMPORTRANGE(
      ""1ZHMy3vVUd_0MrSduXTe1etBb1HNpAlGwQr006ljwMiM"",
      ""GSC最新!A:F""
    ),
    6,
    FALSE
  ),
  0
)
"),46081.0)</f>
        <v>46081</v>
      </c>
      <c r="AE209" s="54">
        <f>IFERROR(__xludf.DUMMYFUNCTION("IFERROR(
  VLOOKUP(
    A209,
    IMPORTRANGE(
      ""1SCYQd7_cobOYqT0r_F0IqD4tE4rYn5y8Eup4PJTH8es"",
      ""Snapshot!A:M""
    ),
    5,
    FALSE
  ),
  ""-""
)
"),1.0)</f>
        <v>1</v>
      </c>
      <c r="AF209" s="54">
        <f>IFERROR(__xludf.DUMMYFUNCTION("IFERROR(
  VLOOKUP(
    A209,
    IMPORTRANGE(
      ""1SCYQd7_cobOYqT0r_F0IqD4tE4rYn5y8Eup4PJTH8es"",
      ""Snapshot!A:M""
    ),
    6,
    FALSE
  ),
  0
)
"),6.0)</f>
        <v>6</v>
      </c>
      <c r="AG209" s="54">
        <f>IFERROR(__xludf.DUMMYFUNCTION("IFERROR(
  VLOOKUP(
    A209,
    IMPORTRANGE(
      ""1SCYQd7_cobOYqT0r_F0IqD4tE4rYn5y8Eup4PJTH8es"",
      ""Snapshot!A:M""
    ),
    7,
    FALSE
  ),
  0
)
"),1238.0)</f>
        <v>1238</v>
      </c>
      <c r="AH209" s="54">
        <f>IFERROR(__xludf.DUMMYFUNCTION("IFERROR(
  VLOOKUP(
    A209,
    IMPORTRANGE(
      ""1SCYQd7_cobOYqT0r_F0IqD4tE4rYn5y8Eup4PJTH8es"",
      ""Snapshot!A:M""
    ),
    8,
    FALSE
  ),
  0
)
"),0.0)</f>
        <v>0</v>
      </c>
      <c r="AI209" s="54">
        <f>IFERROR(__xludf.DUMMYFUNCTION("IFERROR(
  VLOOKUP(
    A209,
    IMPORTRANGE(
      ""1SCYQd7_cobOYqT0r_F0IqD4tE4rYn5y8Eup4PJTH8es"",
      ""Snapshot!A:M""
    ),
    9,
    FALSE
  ),
  0
)
"),1.0)</f>
        <v>1</v>
      </c>
      <c r="AJ209" s="54">
        <f>IFERROR(__xludf.DUMMYFUNCTION("IFERROR(
  VLOOKUP(
    A209,
    IMPORTRANGE(
      ""1SCYQd7_cobOYqT0r_F0IqD4tE4rYn5y8Eup4PJTH8es"",
      ""Snapshot!A:M""
    ),
    13,
    FALSE
  ),
  0
)
"),3.0)</f>
        <v>3</v>
      </c>
      <c r="AK209" s="49">
        <f t="shared" ref="AK209:AL209" si="1040">LEN(C209)</f>
        <v>88</v>
      </c>
      <c r="AL209" s="49">
        <f t="shared" si="1040"/>
        <v>54</v>
      </c>
    </row>
    <row r="210">
      <c r="A210" s="3" t="s">
        <v>697</v>
      </c>
      <c r="B210" s="1" t="str">
        <f>IFERROR(__xludf.DUMMYFUNCTION("IFERROR(
  VLOOKUP(
    A210,
    IMPORTRANGE(
      ""1ZygntHC1J6IxzKbTidmOyf5nUyW4GCLurHCjexrLm_o"",
      ""HTMLキャッシュ!A:F""
    ),
    2,
    FALSE
  ),
  0
)
"),"NW")</f>
        <v>NW</v>
      </c>
      <c r="C210" s="1" t="str">
        <f>IFERROR(__xludf.DUMMYFUNCTION("IFERROR(
  VLOOKUP(
    A210,
    IMPORTRANGE(
      ""1ZygntHC1J6IxzKbTidmOyf5nUyW4GCLurHCjexrLm_o"",
      ""HTMLキャッシュ!A:F""
    ),
    5,
    FALSE
  ),
  0
)
"),"「小５得点力養成講座プライマル」開催のお知らせ - 受験国語専門 読解ラボ東京 | 中学受験・大学受験対応の個別指導国語専門塾（オンライン・教室対応）")</f>
        <v>「小５得点力養成講座プライマル」開催のお知らせ - 受験国語専門 読解ラボ東京 | 中学受験・大学受験対応の個別指導国語専門塾（オンライン・教室対応）</v>
      </c>
      <c r="D210" s="1" t="str">
        <f>IFERROR(__xludf.DUMMYFUNCTION("IFERROR(
  VLOOKUP(
    A210,
    IMPORTRANGE(
      ""1ZygntHC1J6IxzKbTidmOyf5nUyW4GCLurHCjexrLm_o        "",
      ""HTMLキャッシュ!A:F""
    ),
    6,
    FALSE
  ),
  0
)
"),"本日は表題の件につきましてお知らせさせて頂きます。 読解ラボ東京では、オンラインにて、小学５年生を対象とした「")</f>
        <v>本日は表題の件につきましてお知らせさせて頂きます。 読解ラボ東京では、オンラインにて、小学５年生を対象とした「</v>
      </c>
      <c r="E210" s="32">
        <f>IFERROR(__xludf.DUMMYFUNCTION("IFERROR(
  VLOOKUP(
    A210,
    IMPORTRANGE(
      ""1ZygntHC1J6IxzKbTidmOyf5nUyW4GCLurHCjexrLm_o        "",
      ""HTMLキャッシュ!A:F""
    ),
    3,
    FALSE
  ),
  0
)
"),44460.519780092596)</f>
        <v>44460.51978</v>
      </c>
      <c r="F210" s="49">
        <f>IFERROR(__xludf.DUMMYFUNCTION("IFERROR(
  VLOOKUP(
    A210,
    IMPORTRANGE(
      ""1ZHMy3vVUd_0MrSduXTe1etBb1HNpAlGwQr006ljwMiM"",
      ""GSC最新!A:F""
    ),
    2,
    FALSE
  ),
  0
)
"),0.0)</f>
        <v>0</v>
      </c>
      <c r="G210" s="49">
        <f>IFERROR(__xludf.DUMMYFUNCTION("IFERROR(
  VLOOKUP(
    A210,
    IMPORTRANGE(
      ""1ZHMy3vVUd_0MrSduXTe1etBb1HNpAlGwQr006ljwMiM"",
      ""GSC最新!A:F""
    ),
    3,
    FALSE
  ),
  0
)
"),0.0)</f>
        <v>0</v>
      </c>
      <c r="H210" s="49">
        <f>IFERROR(__xludf.DUMMYFUNCTION("IFERROR(
  VLOOKUP(
    A210,
    IMPORTRANGE(
      ""1ZHMy3vVUd_0MrSduXTe1etBb1HNpAlGwQr006ljwMiM"",
      ""GSC最新!A:F""
    ),
    4,
    FALSE
  ),
  0
)
"),0.0)</f>
        <v>0</v>
      </c>
      <c r="I210" s="49">
        <f>IFERROR(__xludf.DUMMYFUNCTION("IFERROR(
  VLOOKUP(
    A210,
    IMPORTRANGE(
      ""1ZHMy3vVUd_0MrSduXTe1etBb1HNpAlGwQr006ljwMiM"",
      ""GSC最新!A:F""
    ),
    5,
    FALSE
  ),
  0
)
"),0.0)</f>
        <v>0</v>
      </c>
      <c r="J210" s="50" t="str">
        <f t="shared" ref="J210:K210" si="1041">IFERROR(F210/H210,"-")</f>
        <v>-</v>
      </c>
      <c r="K210" s="50" t="str">
        <f t="shared" si="1041"/>
        <v>-</v>
      </c>
      <c r="L210" s="6">
        <f>IFERROR(__xludf.DUMMYFUNCTION("IFERROR(
  VLOOKUP(
    A210,
    IMPORTRANGE(
      ""1ZHMy3vVUd_0MrSduXTe1etBb1HNpAlGwQr006ljwMiM"",
      ""GSC最新!A:R""
    ),
    7,
    FALSE
  ),
  0
)
"),5.0)</f>
        <v>5</v>
      </c>
      <c r="M210" s="6">
        <f>IFERROR(__xludf.DUMMYFUNCTION("IFERROR(
  VLOOKUP(
    A210,
    IMPORTRANGE(
      ""1ZHMy3vVUd_0MrSduXTe1etBb1HNpAlGwQr006ljwMiM"",
      ""GSC最新!A:R""
    ),
    10,
    FALSE
  ),
  0
)
"),6.0)</f>
        <v>6</v>
      </c>
      <c r="N210" s="6">
        <f>IFERROR(__xludf.DUMMYFUNCTION("IFERROR(
  VLOOKUP(
    A210,
    IMPORTRANGE(
      ""1ZHMy3vVUd_0MrSduXTe1etBb1HNpAlGwQr006ljwMiM"",
      ""GSC最新!A:R""
    ),
    13,
    FALSE
  ),
  0
)
"),0.0)</f>
        <v>0</v>
      </c>
      <c r="O210" s="6">
        <f>IFERROR(__xludf.DUMMYFUNCTION("IFERROR(
  VLOOKUP(
    A210,
    IMPORTRANGE(
      ""1ZHMy3vVUd_0MrSduXTe1etBb1HNpAlGwQr006ljwMiM"",
      ""GSC最新!A:R""
    ),
    16,
    FALSE
  ),
  0
)
"),1.0)</f>
        <v>1</v>
      </c>
      <c r="P210" s="51" t="str">
        <f t="shared" ref="P210:Q210" si="1042">IFERROR(L210/N210,"-")</f>
        <v>-</v>
      </c>
      <c r="Q210" s="51">
        <f t="shared" si="1042"/>
        <v>6</v>
      </c>
      <c r="R210" s="9">
        <f>IFERROR(__xludf.DUMMYFUNCTION("IFERROR(
  VLOOKUP(
    A210,
    IMPORTRANGE(
      ""1ZHMy3vVUd_0MrSduXTe1etBb1HNpAlGwQr006ljwMiM"",
      ""GSC最新!A:R""
    ),
    8,
    FALSE
  ),
  0
)
"),0.0)</f>
        <v>0</v>
      </c>
      <c r="S210" s="9">
        <f>IFERROR(__xludf.DUMMYFUNCTION("IFERROR(
  VLOOKUP(
    A210,
    IMPORTRANGE(
      ""1ZHMy3vVUd_0MrSduXTe1etBb1HNpAlGwQr006ljwMiM"",
      ""GSC最新!A:R""
    ),
    11,
    FALSE
  ),
  0
)
"),0.0)</f>
        <v>0</v>
      </c>
      <c r="T210" s="9">
        <f>IFERROR(__xludf.DUMMYFUNCTION("IFERROR(
  VLOOKUP(
    A210,
    IMPORTRANGE(
      ""1ZHMy3vVUd_0MrSduXTe1etBb1HNpAlGwQr006ljwMiM"",
      ""GSC最新!A:R""
    ),
    14,
    FALSE
  ),
  0
)
"),0.0)</f>
        <v>0</v>
      </c>
      <c r="U210" s="9">
        <f>IFERROR(__xludf.DUMMYFUNCTION("IFERROR(
  VLOOKUP(
    A210,
    IMPORTRANGE(
      ""1ZHMy3vVUd_0MrSduXTe1etBb1HNpAlGwQr006ljwMiM"",
      ""GSC最新!A:R""
    ),
    17,
    FALSE
  ),
  0
)
"),0.0)</f>
        <v>0</v>
      </c>
      <c r="V210" s="9">
        <f t="shared" ref="V210:W210" si="1043">IFERROR(R210-T210,"-")</f>
        <v>0</v>
      </c>
      <c r="W210" s="9">
        <f t="shared" si="1043"/>
        <v>0</v>
      </c>
      <c r="X210" s="65">
        <f>IFERROR(__xludf.DUMMYFUNCTION("IFERROR(
  VLOOKUP(
    A210,
    IMPORTRANGE(
      ""1ZHMy3vVUd_0MrSduXTe1etBb1HNpAlGwQr006ljwMiM"",
      ""GSC最新!A:R""
    ),
    9,
    FALSE
  ),
  0
)
"),6.4)</f>
        <v>6.4</v>
      </c>
      <c r="Y210" s="65">
        <f>IFERROR(__xludf.DUMMYFUNCTION("IFERROR(
  VLOOKUP(
    A210,
    IMPORTRANGE(
      ""1ZHMy3vVUd_0MrSduXTe1etBb1HNpAlGwQr006ljwMiM"",
      ""GSC最新!A:R""
    ),
    12,
    FALSE
  ),
  0
)
"),7.0)</f>
        <v>7</v>
      </c>
      <c r="Z210" s="65" t="str">
        <f>IFERROR(__xludf.DUMMYFUNCTION("IFERROR(
  VLOOKUP(
    A210,
    IMPORTRANGE(
      ""1ZHMy3vVUd_0MrSduXTe1etBb1HNpAlGwQr006ljwMiM"",
      ""GSC最新!A:R""
    ),
    15,
    FALSE
  ),
  0
)
"),"")</f>
        <v/>
      </c>
      <c r="AA210" s="65">
        <f>IFERROR(__xludf.DUMMYFUNCTION("IFERROR(
  VLOOKUP(
    A210,
    IMPORTRANGE(
      ""1ZHMy3vVUd_0MrSduXTe1etBb1HNpAlGwQr006ljwMiM"",
      ""GSC最新!A:R""
    ),
    18,
    FALSE
  ),
  0
)
"),39.0)</f>
        <v>39</v>
      </c>
      <c r="AB210" s="65">
        <f t="shared" ref="AB210:AC210" si="1044">X210-Z210</f>
        <v>6.4</v>
      </c>
      <c r="AC210" s="65">
        <f t="shared" si="1044"/>
        <v>-32</v>
      </c>
      <c r="AD210" s="53">
        <f>IFERROR(__xludf.DUMMYFUNCTION("IFERROR(
  VLOOKUP(
    A210,
    IMPORTRANGE(
      ""1ZHMy3vVUd_0MrSduXTe1etBb1HNpAlGwQr006ljwMiM"",
      ""GSC最新!A:F""
    ),
    6,
    FALSE
  ),
  0
)
"),46081.0)</f>
        <v>46081</v>
      </c>
      <c r="AE210" s="54">
        <f>IFERROR(__xludf.DUMMYFUNCTION("IFERROR(
  VLOOKUP(
    A210,
    IMPORTRANGE(
      ""1SCYQd7_cobOYqT0r_F0IqD4tE4rYn5y8Eup4PJTH8es"",
      ""Snapshot!A:M""
    ),
    5,
    FALSE
  ),
  ""-""
)
"),2.0)</f>
        <v>2</v>
      </c>
      <c r="AF210" s="54">
        <f>IFERROR(__xludf.DUMMYFUNCTION("IFERROR(
  VLOOKUP(
    A210,
    IMPORTRANGE(
      ""1SCYQd7_cobOYqT0r_F0IqD4tE4rYn5y8Eup4PJTH8es"",
      ""Snapshot!A:M""
    ),
    6,
    FALSE
  ),
  0
)
"),13.0)</f>
        <v>13</v>
      </c>
      <c r="AG210" s="54">
        <f>IFERROR(__xludf.DUMMYFUNCTION("IFERROR(
  VLOOKUP(
    A210,
    IMPORTRANGE(
      ""1SCYQd7_cobOYqT0r_F0IqD4tE4rYn5y8Eup4PJTH8es"",
      ""Snapshot!A:M""
    ),
    7,
    FALSE
  ),
  0
)
"),2049.0)</f>
        <v>2049</v>
      </c>
      <c r="AH210" s="54">
        <f>IFERROR(__xludf.DUMMYFUNCTION("IFERROR(
  VLOOKUP(
    A210,
    IMPORTRANGE(
      ""1SCYQd7_cobOYqT0r_F0IqD4tE4rYn5y8Eup4PJTH8es"",
      ""Snapshot!A:M""
    ),
    8,
    FALSE
  ),
  0
)
"),0.0)</f>
        <v>0</v>
      </c>
      <c r="AI210" s="54">
        <f>IFERROR(__xludf.DUMMYFUNCTION("IFERROR(
  VLOOKUP(
    A210,
    IMPORTRANGE(
      ""1SCYQd7_cobOYqT0r_F0IqD4tE4rYn5y8Eup4PJTH8es"",
      ""Snapshot!A:M""
    ),
    9,
    FALSE
  ),
  0
)
"),1.0)</f>
        <v>1</v>
      </c>
      <c r="AJ210" s="54">
        <f>IFERROR(__xludf.DUMMYFUNCTION("IFERROR(
  VLOOKUP(
    A210,
    IMPORTRANGE(
      ""1SCYQd7_cobOYqT0r_F0IqD4tE4rYn5y8Eup4PJTH8es"",
      ""Snapshot!A:M""
    ),
    13,
    FALSE
  ),
  0
)
"),3.0)</f>
        <v>3</v>
      </c>
      <c r="AK210" s="49">
        <f t="shared" ref="AK210:AL210" si="1045">LEN(C210)</f>
        <v>75</v>
      </c>
      <c r="AL210" s="49">
        <f t="shared" si="1045"/>
        <v>55</v>
      </c>
    </row>
    <row r="211">
      <c r="A211" s="1" t="s">
        <v>698</v>
      </c>
      <c r="B211" s="1" t="str">
        <f>IFERROR(__xludf.DUMMYFUNCTION("IFERROR(
  VLOOKUP(
    A211,
    IMPORTRANGE(
      ""1ZygntHC1J6IxzKbTidmOyf5nUyW4GCLurHCjexrLm_o"",
      ""HTMLキャッシュ!A:F""
    ),
    2,
    FALSE
  ),
  0
)
"),"NW")</f>
        <v>NW</v>
      </c>
      <c r="C211" s="1" t="str">
        <f>IFERROR(__xludf.DUMMYFUNCTION("IFERROR(
  VLOOKUP(
    A211,
    IMPORTRANGE(
      ""1ZygntHC1J6IxzKbTidmOyf5nUyW4GCLurHCjexrLm_o"",
      ""HTMLキャッシュ!A:F""
    ),
    5,
    FALSE
  ),
  0
)
"),"2022年度夏期講習会のお知らせ - 受験国語専門 読解ラボ東京 | 中学受験・大学受験対応の個別指導国語専門塾（オンライン・教室対応）")</f>
        <v>2022年度夏期講習会のお知らせ - 受験国語専門 読解ラボ東京 | 中学受験・大学受験対応の個別指導国語専門塾（オンライン・教室対応）</v>
      </c>
      <c r="D211" s="1" t="str">
        <f>IFERROR(__xludf.DUMMYFUNCTION("IFERROR(
  VLOOKUP(
    A211,
    IMPORTRANGE(
      ""1ZygntHC1J6IxzKbTidmOyf5nUyW4GCLurHCjexrLm_o        "",
      ""HTMLキャッシュ!A:F""
    ),
    6,
    FALSE
  ),
  0
)
"),"夏休みは、受験生にとって勝負の時期であり、受験を1年以上先に控えているお子様にとっても、普段忙しくて取り組めな")</f>
        <v>夏休みは、受験生にとって勝負の時期であり、受験を1年以上先に控えているお子様にとっても、普段忙しくて取り組めな</v>
      </c>
      <c r="E211" s="32">
        <f>IFERROR(__xludf.DUMMYFUNCTION("IFERROR(
  VLOOKUP(
    A211,
    IMPORTRANGE(
      ""1ZygntHC1J6IxzKbTidmOyf5nUyW4GCLurHCjexrLm_o        "",
      ""HTMLキャッシュ!A:F""
    ),
    3,
    FALSE
  ),
  0
)
"),45592.61145833333)</f>
        <v>45592.61146</v>
      </c>
      <c r="F211" s="49">
        <f>IFERROR(__xludf.DUMMYFUNCTION("IFERROR(
  VLOOKUP(
    A211,
    IMPORTRANGE(
      ""1ZHMy3vVUd_0MrSduXTe1etBb1HNpAlGwQr006ljwMiM"",
      ""GSC最新!A:F""
    ),
    2,
    FALSE
  ),
  0
)
"),0.0)</f>
        <v>0</v>
      </c>
      <c r="G211" s="49">
        <f>IFERROR(__xludf.DUMMYFUNCTION("IFERROR(
  VLOOKUP(
    A211,
    IMPORTRANGE(
      ""1ZHMy3vVUd_0MrSduXTe1etBb1HNpAlGwQr006ljwMiM"",
      ""GSC最新!A:F""
    ),
    3,
    FALSE
  ),
  0
)
"),0.0)</f>
        <v>0</v>
      </c>
      <c r="H211" s="49">
        <f>IFERROR(__xludf.DUMMYFUNCTION("IFERROR(
  VLOOKUP(
    A211,
    IMPORTRANGE(
      ""1ZHMy3vVUd_0MrSduXTe1etBb1HNpAlGwQr006ljwMiM"",
      ""GSC最新!A:F""
    ),
    4,
    FALSE
  ),
  0
)
"),0.0)</f>
        <v>0</v>
      </c>
      <c r="I211" s="49">
        <f>IFERROR(__xludf.DUMMYFUNCTION("IFERROR(
  VLOOKUP(
    A211,
    IMPORTRANGE(
      ""1ZHMy3vVUd_0MrSduXTe1etBb1HNpAlGwQr006ljwMiM"",
      ""GSC最新!A:F""
    ),
    5,
    FALSE
  ),
  0
)
"),0.0)</f>
        <v>0</v>
      </c>
      <c r="J211" s="50" t="str">
        <f t="shared" ref="J211:K211" si="1046">IFERROR(F211/H211,"-")</f>
        <v>-</v>
      </c>
      <c r="K211" s="50" t="str">
        <f t="shared" si="1046"/>
        <v>-</v>
      </c>
      <c r="L211" s="6">
        <f>IFERROR(__xludf.DUMMYFUNCTION("IFERROR(
  VLOOKUP(
    A211,
    IMPORTRANGE(
      ""1ZHMy3vVUd_0MrSduXTe1etBb1HNpAlGwQr006ljwMiM"",
      ""GSC最新!A:R""
    ),
    7,
    FALSE
  ),
  0
)
"),0.0)</f>
        <v>0</v>
      </c>
      <c r="M211" s="6">
        <f>IFERROR(__xludf.DUMMYFUNCTION("IFERROR(
  VLOOKUP(
    A211,
    IMPORTRANGE(
      ""1ZHMy3vVUd_0MrSduXTe1etBb1HNpAlGwQr006ljwMiM"",
      ""GSC最新!A:R""
    ),
    10,
    FALSE
  ),
  0
)
"),0.0)</f>
        <v>0</v>
      </c>
      <c r="N211" s="6">
        <f>IFERROR(__xludf.DUMMYFUNCTION("IFERROR(
  VLOOKUP(
    A211,
    IMPORTRANGE(
      ""1ZHMy3vVUd_0MrSduXTe1etBb1HNpAlGwQr006ljwMiM"",
      ""GSC最新!A:R""
    ),
    13,
    FALSE
  ),
  0
)
"),0.0)</f>
        <v>0</v>
      </c>
      <c r="O211" s="6">
        <f>IFERROR(__xludf.DUMMYFUNCTION("IFERROR(
  VLOOKUP(
    A211,
    IMPORTRANGE(
      ""1ZHMy3vVUd_0MrSduXTe1etBb1HNpAlGwQr006ljwMiM"",
      ""GSC最新!A:R""
    ),
    16,
    FALSE
  ),
  0
)
"),0.0)</f>
        <v>0</v>
      </c>
      <c r="P211" s="51" t="str">
        <f t="shared" ref="P211:Q211" si="1047">IFERROR(L211/N211,"-")</f>
        <v>-</v>
      </c>
      <c r="Q211" s="51" t="str">
        <f t="shared" si="1047"/>
        <v>-</v>
      </c>
      <c r="R211" s="9">
        <f>IFERROR(__xludf.DUMMYFUNCTION("IFERROR(
  VLOOKUP(
    A211,
    IMPORTRANGE(
      ""1ZHMy3vVUd_0MrSduXTe1etBb1HNpAlGwQr006ljwMiM"",
      ""GSC最新!A:R""
    ),
    8,
    FALSE
  ),
  0
)
"),0.0)</f>
        <v>0</v>
      </c>
      <c r="S211" s="9">
        <f>IFERROR(__xludf.DUMMYFUNCTION("IFERROR(
  VLOOKUP(
    A211,
    IMPORTRANGE(
      ""1ZHMy3vVUd_0MrSduXTe1etBb1HNpAlGwQr006ljwMiM"",
      ""GSC最新!A:R""
    ),
    11,
    FALSE
  ),
  0
)
"),0.0)</f>
        <v>0</v>
      </c>
      <c r="T211" s="9">
        <f>IFERROR(__xludf.DUMMYFUNCTION("IFERROR(
  VLOOKUP(
    A211,
    IMPORTRANGE(
      ""1ZHMy3vVUd_0MrSduXTe1etBb1HNpAlGwQr006ljwMiM"",
      ""GSC最新!A:R""
    ),
    14,
    FALSE
  ),
  0
)
"),0.0)</f>
        <v>0</v>
      </c>
      <c r="U211" s="9">
        <f>IFERROR(__xludf.DUMMYFUNCTION("IFERROR(
  VLOOKUP(
    A211,
    IMPORTRANGE(
      ""1ZHMy3vVUd_0MrSduXTe1etBb1HNpAlGwQr006ljwMiM"",
      ""GSC最新!A:R""
    ),
    17,
    FALSE
  ),
  0
)
"),0.0)</f>
        <v>0</v>
      </c>
      <c r="V211" s="9">
        <f t="shared" ref="V211:W211" si="1048">IFERROR(R211-T211,"-")</f>
        <v>0</v>
      </c>
      <c r="W211" s="9">
        <f t="shared" si="1048"/>
        <v>0</v>
      </c>
      <c r="X211" s="65" t="str">
        <f>IFERROR(__xludf.DUMMYFUNCTION("IFERROR(
  VLOOKUP(
    A211,
    IMPORTRANGE(
      ""1ZHMy3vVUd_0MrSduXTe1etBb1HNpAlGwQr006ljwMiM"",
      ""GSC最新!A:R""
    ),
    9,
    FALSE
  ),
  0
)
"),"")</f>
        <v/>
      </c>
      <c r="Y211" s="65" t="str">
        <f>IFERROR(__xludf.DUMMYFUNCTION("IFERROR(
  VLOOKUP(
    A211,
    IMPORTRANGE(
      ""1ZHMy3vVUd_0MrSduXTe1etBb1HNpAlGwQr006ljwMiM"",
      ""GSC最新!A:R""
    ),
    12,
    FALSE
  ),
  0
)
"),"")</f>
        <v/>
      </c>
      <c r="Z211" s="65" t="str">
        <f>IFERROR(__xludf.DUMMYFUNCTION("IFERROR(
  VLOOKUP(
    A211,
    IMPORTRANGE(
      ""1ZHMy3vVUd_0MrSduXTe1etBb1HNpAlGwQr006ljwMiM"",
      ""GSC最新!A:R""
    ),
    15,
    FALSE
  ),
  0
)
"),"")</f>
        <v/>
      </c>
      <c r="AA211" s="65" t="str">
        <f>IFERROR(__xludf.DUMMYFUNCTION("IFERROR(
  VLOOKUP(
    A211,
    IMPORTRANGE(
      ""1ZHMy3vVUd_0MrSduXTe1etBb1HNpAlGwQr006ljwMiM"",
      ""GSC最新!A:R""
    ),
    18,
    FALSE
  ),
  0
)
"),"")</f>
        <v/>
      </c>
      <c r="AB211" s="65">
        <f t="shared" ref="AB211:AC211" si="1049">X211-Z211</f>
        <v>0</v>
      </c>
      <c r="AC211" s="65">
        <f t="shared" si="1049"/>
        <v>0</v>
      </c>
      <c r="AD211" s="53">
        <f>IFERROR(__xludf.DUMMYFUNCTION("IFERROR(
  VLOOKUP(
    A211,
    IMPORTRANGE(
      ""1ZHMy3vVUd_0MrSduXTe1etBb1HNpAlGwQr006ljwMiM"",
      ""GSC最新!A:F""
    ),
    6,
    FALSE
  ),
  0
)
"),46081.0)</f>
        <v>46081</v>
      </c>
      <c r="AE211" s="54">
        <f>IFERROR(__xludf.DUMMYFUNCTION("IFERROR(
  VLOOKUP(
    A211,
    IMPORTRANGE(
      ""1SCYQd7_cobOYqT0r_F0IqD4tE4rYn5y8Eup4PJTH8es"",
      ""Snapshot!A:M""
    ),
    5,
    FALSE
  ),
  ""-""
)
"),0.0)</f>
        <v>0</v>
      </c>
      <c r="AF211" s="54">
        <f>IFERROR(__xludf.DUMMYFUNCTION("IFERROR(
  VLOOKUP(
    A211,
    IMPORTRANGE(
      ""1SCYQd7_cobOYqT0r_F0IqD4tE4rYn5y8Eup4PJTH8es"",
      ""Snapshot!A:M""
    ),
    6,
    FALSE
  ),
  0
)
"),0.0)</f>
        <v>0</v>
      </c>
      <c r="AG211" s="54">
        <f>IFERROR(__xludf.DUMMYFUNCTION("IFERROR(
  VLOOKUP(
    A211,
    IMPORTRANGE(
      ""1SCYQd7_cobOYqT0r_F0IqD4tE4rYn5y8Eup4PJTH8es"",
      ""Snapshot!A:M""
    ),
    7,
    FALSE
  ),
  0
)
"),548.0)</f>
        <v>548</v>
      </c>
      <c r="AH211" s="54">
        <f>IFERROR(__xludf.DUMMYFUNCTION("IFERROR(
  VLOOKUP(
    A211,
    IMPORTRANGE(
      ""1SCYQd7_cobOYqT0r_F0IqD4tE4rYn5y8Eup4PJTH8es"",
      ""Snapshot!A:M""
    ),
    8,
    FALSE
  ),
  0
)
"),3.0)</f>
        <v>3</v>
      </c>
      <c r="AI211" s="54">
        <f>IFERROR(__xludf.DUMMYFUNCTION("IFERROR(
  VLOOKUP(
    A211,
    IMPORTRANGE(
      ""1SCYQd7_cobOYqT0r_F0IqD4tE4rYn5y8Eup4PJTH8es"",
      ""Snapshot!A:M""
    ),
    9,
    FALSE
  ),
  0
)
"),1.0)</f>
        <v>1</v>
      </c>
      <c r="AJ211" s="54">
        <f>IFERROR(__xludf.DUMMYFUNCTION("IFERROR(
  VLOOKUP(
    A211,
    IMPORTRANGE(
      ""1SCYQd7_cobOYqT0r_F0IqD4tE4rYn5y8Eup4PJTH8es"",
      ""Snapshot!A:M""
    ),
    13,
    FALSE
  ),
  0
)
"),3.0)</f>
        <v>3</v>
      </c>
      <c r="AK211" s="49">
        <f t="shared" ref="AK211:AL211" si="1050">LEN(C211)</f>
        <v>68</v>
      </c>
      <c r="AL211" s="49">
        <f t="shared" si="1050"/>
        <v>55</v>
      </c>
    </row>
    <row r="212">
      <c r="A212" s="1" t="s">
        <v>699</v>
      </c>
      <c r="B212" s="1" t="str">
        <f>IFERROR(__xludf.DUMMYFUNCTION("IFERROR(
  VLOOKUP(
    A212,
    IMPORTRANGE(
      ""1ZygntHC1J6IxzKbTidmOyf5nUyW4GCLurHCjexrLm_o"",
      ""HTMLキャッシュ!A:F""
    ),
    2,
    FALSE
  ),
  0
)
"),"NW")</f>
        <v>NW</v>
      </c>
      <c r="C212" s="1" t="str">
        <f>IFERROR(__xludf.DUMMYFUNCTION("IFERROR(
  VLOOKUP(
    A212,
    IMPORTRANGE(
      ""1ZygntHC1J6IxzKbTidmOyf5nUyW4GCLurHCjexrLm_o"",
      ""HTMLキャッシュ!A:F""
    ),
    5,
    FALSE
  ),
  0
)
"),"2022年度春期講習会のお知らせ - 受験国語専門 読解ラボ東京 | 中学受験・大学受験対応の個別指導国語専門塾（オンライン・教室対応）")</f>
        <v>2022年度春期講習会のお知らせ - 受験国語専門 読解ラボ東京 | 中学受験・大学受験対応の個別指導国語専門塾（オンライン・教室対応）</v>
      </c>
      <c r="D212" s="1" t="str">
        <f>IFERROR(__xludf.DUMMYFUNCTION("IFERROR(
  VLOOKUP(
    A212,
    IMPORTRANGE(
      ""1ZygntHC1J6IxzKbTidmOyf5nUyW4GCLurHCjexrLm_o        "",
      ""HTMLキャッシュ!A:F""
    ),
    6,
    FALSE
  ),
  0
)
"),"春休みは短いながらも、日頃の課題を解消し、実力を伸ばす絶好の機会です。 当塾では、この春休みを有意義に過ごして")</f>
        <v>春休みは短いながらも、日頃の課題を解消し、実力を伸ばす絶好の機会です。 当塾では、この春休みを有意義に過ごして</v>
      </c>
      <c r="E212" s="32">
        <f>IFERROR(__xludf.DUMMYFUNCTION("IFERROR(
  VLOOKUP(
    A212,
    IMPORTRANGE(
      ""1ZygntHC1J6IxzKbTidmOyf5nUyW4GCLurHCjexrLm_o        "",
      ""HTMLキャッシュ!A:F""
    ),
    3,
    FALSE
  ),
  0
)
"),46015.59799768519)</f>
        <v>46015.598</v>
      </c>
      <c r="F212" s="49">
        <f>IFERROR(__xludf.DUMMYFUNCTION("IFERROR(
  VLOOKUP(
    A212,
    IMPORTRANGE(
      ""1ZHMy3vVUd_0MrSduXTe1etBb1HNpAlGwQr006ljwMiM"",
      ""GSC最新!A:F""
    ),
    2,
    FALSE
  ),
  0
)
"),0.0)</f>
        <v>0</v>
      </c>
      <c r="G212" s="49">
        <f>IFERROR(__xludf.DUMMYFUNCTION("IFERROR(
  VLOOKUP(
    A212,
    IMPORTRANGE(
      ""1ZHMy3vVUd_0MrSduXTe1etBb1HNpAlGwQr006ljwMiM"",
      ""GSC最新!A:F""
    ),
    3,
    FALSE
  ),
  0
)
"),0.0)</f>
        <v>0</v>
      </c>
      <c r="H212" s="49">
        <f>IFERROR(__xludf.DUMMYFUNCTION("IFERROR(
  VLOOKUP(
    A212,
    IMPORTRANGE(
      ""1ZHMy3vVUd_0MrSduXTe1etBb1HNpAlGwQr006ljwMiM"",
      ""GSC最新!A:F""
    ),
    4,
    FALSE
  ),
  0
)
"),1.0)</f>
        <v>1</v>
      </c>
      <c r="I212" s="49">
        <f>IFERROR(__xludf.DUMMYFUNCTION("IFERROR(
  VLOOKUP(
    A212,
    IMPORTRANGE(
      ""1ZHMy3vVUd_0MrSduXTe1etBb1HNpAlGwQr006ljwMiM"",
      ""GSC最新!A:F""
    ),
    5,
    FALSE
  ),
  0
)
"),1.0)</f>
        <v>1</v>
      </c>
      <c r="J212" s="50">
        <f t="shared" ref="J212:K212" si="1051">IFERROR(F212/H212,"-")</f>
        <v>0</v>
      </c>
      <c r="K212" s="50">
        <f t="shared" si="1051"/>
        <v>0</v>
      </c>
      <c r="L212" s="6">
        <f>IFERROR(__xludf.DUMMYFUNCTION("IFERROR(
  VLOOKUP(
    A212,
    IMPORTRANGE(
      ""1ZHMy3vVUd_0MrSduXTe1etBb1HNpAlGwQr006ljwMiM"",
      ""GSC最新!A:R""
    ),
    7,
    FALSE
  ),
  0
)
"),0.0)</f>
        <v>0</v>
      </c>
      <c r="M212" s="6">
        <f>IFERROR(__xludf.DUMMYFUNCTION("IFERROR(
  VLOOKUP(
    A212,
    IMPORTRANGE(
      ""1ZHMy3vVUd_0MrSduXTe1etBb1HNpAlGwQr006ljwMiM"",
      ""GSC最新!A:R""
    ),
    10,
    FALSE
  ),
  0
)
"),0.0)</f>
        <v>0</v>
      </c>
      <c r="N212" s="6">
        <f>IFERROR(__xludf.DUMMYFUNCTION("IFERROR(
  VLOOKUP(
    A212,
    IMPORTRANGE(
      ""1ZHMy3vVUd_0MrSduXTe1etBb1HNpAlGwQr006ljwMiM"",
      ""GSC最新!A:R""
    ),
    13,
    FALSE
  ),
  0
)
"),7.0)</f>
        <v>7</v>
      </c>
      <c r="O212" s="6">
        <f>IFERROR(__xludf.DUMMYFUNCTION("IFERROR(
  VLOOKUP(
    A212,
    IMPORTRANGE(
      ""1ZHMy3vVUd_0MrSduXTe1etBb1HNpAlGwQr006ljwMiM"",
      ""GSC最新!A:R""
    ),
    16,
    FALSE
  ),
  0
)
"),7.0)</f>
        <v>7</v>
      </c>
      <c r="P212" s="51">
        <f t="shared" ref="P212:Q212" si="1052">IFERROR(L212/N212,"-")</f>
        <v>0</v>
      </c>
      <c r="Q212" s="51">
        <f t="shared" si="1052"/>
        <v>0</v>
      </c>
      <c r="R212" s="9">
        <f>IFERROR(__xludf.DUMMYFUNCTION("IFERROR(
  VLOOKUP(
    A212,
    IMPORTRANGE(
      ""1ZHMy3vVUd_0MrSduXTe1etBb1HNpAlGwQr006ljwMiM"",
      ""GSC最新!A:R""
    ),
    8,
    FALSE
  ),
  0
)
"),0.0)</f>
        <v>0</v>
      </c>
      <c r="S212" s="9">
        <f>IFERROR(__xludf.DUMMYFUNCTION("IFERROR(
  VLOOKUP(
    A212,
    IMPORTRANGE(
      ""1ZHMy3vVUd_0MrSduXTe1etBb1HNpAlGwQr006ljwMiM"",
      ""GSC最新!A:R""
    ),
    11,
    FALSE
  ),
  0
)
"),0.0)</f>
        <v>0</v>
      </c>
      <c r="T212" s="9">
        <f>IFERROR(__xludf.DUMMYFUNCTION("IFERROR(
  VLOOKUP(
    A212,
    IMPORTRANGE(
      ""1ZHMy3vVUd_0MrSduXTe1etBb1HNpAlGwQr006ljwMiM"",
      ""GSC最新!A:R""
    ),
    14,
    FALSE
  ),
  0
)
"),0.14285714285714285)</f>
        <v>0.1428571429</v>
      </c>
      <c r="U212" s="9">
        <f>IFERROR(__xludf.DUMMYFUNCTION("IFERROR(
  VLOOKUP(
    A212,
    IMPORTRANGE(
      ""1ZHMy3vVUd_0MrSduXTe1etBb1HNpAlGwQr006ljwMiM"",
      ""GSC最新!A:R""
    ),
    17,
    FALSE
  ),
  0
)
"),0.14285714285714285)</f>
        <v>0.1428571429</v>
      </c>
      <c r="V212" s="9">
        <f t="shared" ref="V212:W212" si="1053">IFERROR(R212-T212,"-")</f>
        <v>-0.1428571429</v>
      </c>
      <c r="W212" s="9">
        <f t="shared" si="1053"/>
        <v>-0.1428571429</v>
      </c>
      <c r="X212" s="65" t="str">
        <f>IFERROR(__xludf.DUMMYFUNCTION("IFERROR(
  VLOOKUP(
    A212,
    IMPORTRANGE(
      ""1ZHMy3vVUd_0MrSduXTe1etBb1HNpAlGwQr006ljwMiM"",
      ""GSC最新!A:R""
    ),
    9,
    FALSE
  ),
  0
)
"),"")</f>
        <v/>
      </c>
      <c r="Y212" s="65" t="str">
        <f>IFERROR(__xludf.DUMMYFUNCTION("IFERROR(
  VLOOKUP(
    A212,
    IMPORTRANGE(
      ""1ZHMy3vVUd_0MrSduXTe1etBb1HNpAlGwQr006ljwMiM"",
      ""GSC最新!A:R""
    ),
    12,
    FALSE
  ),
  0
)
"),"")</f>
        <v/>
      </c>
      <c r="Z212" s="65">
        <f>IFERROR(__xludf.DUMMYFUNCTION("IFERROR(
  VLOOKUP(
    A212,
    IMPORTRANGE(
      ""1ZHMy3vVUd_0MrSduXTe1etBb1HNpAlGwQr006ljwMiM"",
      ""GSC最新!A:R""
    ),
    15,
    FALSE
  ),
  0
)
"),6.285714285714286)</f>
        <v>6.285714286</v>
      </c>
      <c r="AA212" s="65">
        <f>IFERROR(__xludf.DUMMYFUNCTION("IFERROR(
  VLOOKUP(
    A212,
    IMPORTRANGE(
      ""1ZHMy3vVUd_0MrSduXTe1etBb1HNpAlGwQr006ljwMiM"",
      ""GSC最新!A:R""
    ),
    18,
    FALSE
  ),
  0
)
"),6.285714285714286)</f>
        <v>6.285714286</v>
      </c>
      <c r="AB212" s="65">
        <f t="shared" ref="AB212:AC212" si="1054">X212-Z212</f>
        <v>-6.285714286</v>
      </c>
      <c r="AC212" s="65">
        <f t="shared" si="1054"/>
        <v>-6.285714286</v>
      </c>
      <c r="AD212" s="53">
        <f>IFERROR(__xludf.DUMMYFUNCTION("IFERROR(
  VLOOKUP(
    A212,
    IMPORTRANGE(
      ""1ZHMy3vVUd_0MrSduXTe1etBb1HNpAlGwQr006ljwMiM"",
      ""GSC最新!A:F""
    ),
    6,
    FALSE
  ),
  0
)
"),46081.0)</f>
        <v>46081</v>
      </c>
      <c r="AE212" s="54">
        <f>IFERROR(__xludf.DUMMYFUNCTION("IFERROR(
  VLOOKUP(
    A212,
    IMPORTRANGE(
      ""1SCYQd7_cobOYqT0r_F0IqD4tE4rYn5y8Eup4PJTH8es"",
      ""Snapshot!A:M""
    ),
    5,
    FALSE
  ),
  ""-""
)
"),0.0)</f>
        <v>0</v>
      </c>
      <c r="AF212" s="54">
        <f>IFERROR(__xludf.DUMMYFUNCTION("IFERROR(
  VLOOKUP(
    A212,
    IMPORTRANGE(
      ""1SCYQd7_cobOYqT0r_F0IqD4tE4rYn5y8Eup4PJTH8es"",
      ""Snapshot!A:M""
    ),
    6,
    FALSE
  ),
  0
)
"),0.0)</f>
        <v>0</v>
      </c>
      <c r="AG212" s="54">
        <f>IFERROR(__xludf.DUMMYFUNCTION("IFERROR(
  VLOOKUP(
    A212,
    IMPORTRANGE(
      ""1SCYQd7_cobOYqT0r_F0IqD4tE4rYn5y8Eup4PJTH8es"",
      ""Snapshot!A:M""
    ),
    7,
    FALSE
  ),
  0
)
"),441.0)</f>
        <v>441</v>
      </c>
      <c r="AH212" s="54">
        <f>IFERROR(__xludf.DUMMYFUNCTION("IFERROR(
  VLOOKUP(
    A212,
    IMPORTRANGE(
      ""1SCYQd7_cobOYqT0r_F0IqD4tE4rYn5y8Eup4PJTH8es"",
      ""Snapshot!A:M""
    ),
    8,
    FALSE
  ),
  0
)
"),2.0)</f>
        <v>2</v>
      </c>
      <c r="AI212" s="54">
        <f>IFERROR(__xludf.DUMMYFUNCTION("IFERROR(
  VLOOKUP(
    A212,
    IMPORTRANGE(
      ""1SCYQd7_cobOYqT0r_F0IqD4tE4rYn5y8Eup4PJTH8es"",
      ""Snapshot!A:M""
    ),
    9,
    FALSE
  ),
  0
)
"),1.0)</f>
        <v>1</v>
      </c>
      <c r="AJ212" s="54">
        <f>IFERROR(__xludf.DUMMYFUNCTION("IFERROR(
  VLOOKUP(
    A212,
    IMPORTRANGE(
      ""1SCYQd7_cobOYqT0r_F0IqD4tE4rYn5y8Eup4PJTH8es"",
      ""Snapshot!A:M""
    ),
    13,
    FALSE
  ),
  0
)
"),3.0)</f>
        <v>3</v>
      </c>
      <c r="AK212" s="49">
        <f t="shared" ref="AK212:AL212" si="1055">LEN(C212)</f>
        <v>68</v>
      </c>
      <c r="AL212" s="49">
        <f t="shared" si="1055"/>
        <v>55</v>
      </c>
    </row>
    <row r="213">
      <c r="A213" s="1" t="s">
        <v>700</v>
      </c>
      <c r="B213" s="1" t="str">
        <f>IFERROR(__xludf.DUMMYFUNCTION("IFERROR(
  VLOOKUP(
    A213,
    IMPORTRANGE(
      ""1ZygntHC1J6IxzKbTidmOyf5nUyW4GCLurHCjexrLm_o"",
      ""HTMLキャッシュ!A:F""
    ),
    2,
    FALSE
  ),
  0
)
"),"NW")</f>
        <v>NW</v>
      </c>
      <c r="C213" s="1" t="str">
        <f>IFERROR(__xludf.DUMMYFUNCTION("IFERROR(
  VLOOKUP(
    A213,
    IMPORTRANGE(
      ""1ZygntHC1J6IxzKbTidmOyf5nUyW4GCLurHCjexrLm_o"",
      ""HTMLキャッシュ!A:F""
    ),
    5,
    FALSE
  ),
  0
)
"),"2022年度生徒募集のお知らせ【個別】 - 受験国語専門 読解ラボ東京 | 中学受験・大学受験対応の個別指導国語専門塾（オンライン・教室対応）")</f>
        <v>2022年度生徒募集のお知らせ【個別】 - 受験国語専門 読解ラボ東京 | 中学受験・大学受験対応の個別指導国語専門塾（オンライン・教室対応）</v>
      </c>
      <c r="D213" s="1" t="str">
        <f>IFERROR(__xludf.DUMMYFUNCTION("IFERROR(
  VLOOKUP(
    A213,
    IMPORTRANGE(
      ""1ZygntHC1J6IxzKbTidmOyf5nUyW4GCLurHCjexrLm_o        "",
      ""HTMLキャッシュ!A:F""
    ),
    6,
    FALSE
  ),
  0
)
"),"本日より、2022年度、「完全１対１」の個別指導の生徒募集を開始致します。 詳細については、下記をご覧下さいま")</f>
        <v>本日より、2022年度、「完全１対１」の個別指導の生徒募集を開始致します。 詳細については、下記をご覧下さいま</v>
      </c>
      <c r="E213" s="32">
        <f>IFERROR(__xludf.DUMMYFUNCTION("IFERROR(
  VLOOKUP(
    A213,
    IMPORTRANGE(
      ""1ZygntHC1J6IxzKbTidmOyf5nUyW4GCLurHCjexrLm_o        "",
      ""HTMLキャッシュ!A:F""
    ),
    3,
    FALSE
  ),
  0
)
"),45589.57069444445)</f>
        <v>45589.57069</v>
      </c>
      <c r="F213" s="49">
        <f>IFERROR(__xludf.DUMMYFUNCTION("IFERROR(
  VLOOKUP(
    A213,
    IMPORTRANGE(
      ""1ZHMy3vVUd_0MrSduXTe1etBb1HNpAlGwQr006ljwMiM"",
      ""GSC最新!A:F""
    ),
    2,
    FALSE
  ),
  0
)
"),0.0)</f>
        <v>0</v>
      </c>
      <c r="G213" s="49">
        <f>IFERROR(__xludf.DUMMYFUNCTION("IFERROR(
  VLOOKUP(
    A213,
    IMPORTRANGE(
      ""1ZHMy3vVUd_0MrSduXTe1etBb1HNpAlGwQr006ljwMiM"",
      ""GSC最新!A:F""
    ),
    3,
    FALSE
  ),
  0
)
"),0.0)</f>
        <v>0</v>
      </c>
      <c r="H213" s="49">
        <f>IFERROR(__xludf.DUMMYFUNCTION("IFERROR(
  VLOOKUP(
    A213,
    IMPORTRANGE(
      ""1ZHMy3vVUd_0MrSduXTe1etBb1HNpAlGwQr006ljwMiM"",
      ""GSC最新!A:F""
    ),
    4,
    FALSE
  ),
  0
)
"),0.0)</f>
        <v>0</v>
      </c>
      <c r="I213" s="49">
        <f>IFERROR(__xludf.DUMMYFUNCTION("IFERROR(
  VLOOKUP(
    A213,
    IMPORTRANGE(
      ""1ZHMy3vVUd_0MrSduXTe1etBb1HNpAlGwQr006ljwMiM"",
      ""GSC最新!A:F""
    ),
    5,
    FALSE
  ),
  0
)
"),0.0)</f>
        <v>0</v>
      </c>
      <c r="J213" s="50" t="str">
        <f t="shared" ref="J213:K213" si="1056">IFERROR(F213/H213,"-")</f>
        <v>-</v>
      </c>
      <c r="K213" s="50" t="str">
        <f t="shared" si="1056"/>
        <v>-</v>
      </c>
      <c r="L213" s="6">
        <f>IFERROR(__xludf.DUMMYFUNCTION("IFERROR(
  VLOOKUP(
    A213,
    IMPORTRANGE(
      ""1ZHMy3vVUd_0MrSduXTe1etBb1HNpAlGwQr006ljwMiM"",
      ""GSC最新!A:R""
    ),
    7,
    FALSE
  ),
  0
)
"),0.0)</f>
        <v>0</v>
      </c>
      <c r="M213" s="6">
        <f>IFERROR(__xludf.DUMMYFUNCTION("IFERROR(
  VLOOKUP(
    A213,
    IMPORTRANGE(
      ""1ZHMy3vVUd_0MrSduXTe1etBb1HNpAlGwQr006ljwMiM"",
      ""GSC最新!A:R""
    ),
    10,
    FALSE
  ),
  0
)
"),0.0)</f>
        <v>0</v>
      </c>
      <c r="N213" s="6">
        <f>IFERROR(__xludf.DUMMYFUNCTION("IFERROR(
  VLOOKUP(
    A213,
    IMPORTRANGE(
      ""1ZHMy3vVUd_0MrSduXTe1etBb1HNpAlGwQr006ljwMiM"",
      ""GSC最新!A:R""
    ),
    13,
    FALSE
  ),
  0
)
"),0.0)</f>
        <v>0</v>
      </c>
      <c r="O213" s="6">
        <f>IFERROR(__xludf.DUMMYFUNCTION("IFERROR(
  VLOOKUP(
    A213,
    IMPORTRANGE(
      ""1ZHMy3vVUd_0MrSduXTe1etBb1HNpAlGwQr006ljwMiM"",
      ""GSC最新!A:R""
    ),
    16,
    FALSE
  ),
  0
)
"),0.0)</f>
        <v>0</v>
      </c>
      <c r="P213" s="51" t="str">
        <f t="shared" ref="P213:Q213" si="1057">IFERROR(L213/N213,"-")</f>
        <v>-</v>
      </c>
      <c r="Q213" s="51" t="str">
        <f t="shared" si="1057"/>
        <v>-</v>
      </c>
      <c r="R213" s="9">
        <f>IFERROR(__xludf.DUMMYFUNCTION("IFERROR(
  VLOOKUP(
    A213,
    IMPORTRANGE(
      ""1ZHMy3vVUd_0MrSduXTe1etBb1HNpAlGwQr006ljwMiM"",
      ""GSC最新!A:R""
    ),
    8,
    FALSE
  ),
  0
)
"),0.0)</f>
        <v>0</v>
      </c>
      <c r="S213" s="9">
        <f>IFERROR(__xludf.DUMMYFUNCTION("IFERROR(
  VLOOKUP(
    A213,
    IMPORTRANGE(
      ""1ZHMy3vVUd_0MrSduXTe1etBb1HNpAlGwQr006ljwMiM"",
      ""GSC最新!A:R""
    ),
    11,
    FALSE
  ),
  0
)
"),0.0)</f>
        <v>0</v>
      </c>
      <c r="T213" s="9">
        <f>IFERROR(__xludf.DUMMYFUNCTION("IFERROR(
  VLOOKUP(
    A213,
    IMPORTRANGE(
      ""1ZHMy3vVUd_0MrSduXTe1etBb1HNpAlGwQr006ljwMiM"",
      ""GSC最新!A:R""
    ),
    14,
    FALSE
  ),
  0
)
"),0.0)</f>
        <v>0</v>
      </c>
      <c r="U213" s="9">
        <f>IFERROR(__xludf.DUMMYFUNCTION("IFERROR(
  VLOOKUP(
    A213,
    IMPORTRANGE(
      ""1ZHMy3vVUd_0MrSduXTe1etBb1HNpAlGwQr006ljwMiM"",
      ""GSC最新!A:R""
    ),
    17,
    FALSE
  ),
  0
)
"),0.0)</f>
        <v>0</v>
      </c>
      <c r="V213" s="9">
        <f t="shared" ref="V213:W213" si="1058">IFERROR(R213-T213,"-")</f>
        <v>0</v>
      </c>
      <c r="W213" s="9">
        <f t="shared" si="1058"/>
        <v>0</v>
      </c>
      <c r="X213" s="65" t="str">
        <f>IFERROR(__xludf.DUMMYFUNCTION("IFERROR(
  VLOOKUP(
    A213,
    IMPORTRANGE(
      ""1ZHMy3vVUd_0MrSduXTe1etBb1HNpAlGwQr006ljwMiM"",
      ""GSC最新!A:R""
    ),
    9,
    FALSE
  ),
  0
)
"),"")</f>
        <v/>
      </c>
      <c r="Y213" s="65" t="str">
        <f>IFERROR(__xludf.DUMMYFUNCTION("IFERROR(
  VLOOKUP(
    A213,
    IMPORTRANGE(
      ""1ZHMy3vVUd_0MrSduXTe1etBb1HNpAlGwQr006ljwMiM"",
      ""GSC最新!A:R""
    ),
    12,
    FALSE
  ),
  0
)
"),"")</f>
        <v/>
      </c>
      <c r="Z213" s="65" t="str">
        <f>IFERROR(__xludf.DUMMYFUNCTION("IFERROR(
  VLOOKUP(
    A213,
    IMPORTRANGE(
      ""1ZHMy3vVUd_0MrSduXTe1etBb1HNpAlGwQr006ljwMiM"",
      ""GSC最新!A:R""
    ),
    15,
    FALSE
  ),
  0
)
"),"")</f>
        <v/>
      </c>
      <c r="AA213" s="65" t="str">
        <f>IFERROR(__xludf.DUMMYFUNCTION("IFERROR(
  VLOOKUP(
    A213,
    IMPORTRANGE(
      ""1ZHMy3vVUd_0MrSduXTe1etBb1HNpAlGwQr006ljwMiM"",
      ""GSC最新!A:R""
    ),
    18,
    FALSE
  ),
  0
)
"),"")</f>
        <v/>
      </c>
      <c r="AB213" s="65">
        <f t="shared" ref="AB213:AC213" si="1059">X213-Z213</f>
        <v>0</v>
      </c>
      <c r="AC213" s="65">
        <f t="shared" si="1059"/>
        <v>0</v>
      </c>
      <c r="AD213" s="53">
        <f>IFERROR(__xludf.DUMMYFUNCTION("IFERROR(
  VLOOKUP(
    A213,
    IMPORTRANGE(
      ""1ZHMy3vVUd_0MrSduXTe1etBb1HNpAlGwQr006ljwMiM"",
      ""GSC最新!A:F""
    ),
    6,
    FALSE
  ),
  0
)
"),46081.0)</f>
        <v>46081</v>
      </c>
      <c r="AE213" s="54">
        <f>IFERROR(__xludf.DUMMYFUNCTION("IFERROR(
  VLOOKUP(
    A213,
    IMPORTRANGE(
      ""1SCYQd7_cobOYqT0r_F0IqD4tE4rYn5y8Eup4PJTH8es"",
      ""Snapshot!A:M""
    ),
    5,
    FALSE
  ),
  ""-""
)
"),0.0)</f>
        <v>0</v>
      </c>
      <c r="AF213" s="54">
        <f>IFERROR(__xludf.DUMMYFUNCTION("IFERROR(
  VLOOKUP(
    A213,
    IMPORTRANGE(
      ""1SCYQd7_cobOYqT0r_F0IqD4tE4rYn5y8Eup4PJTH8es"",
      ""Snapshot!A:M""
    ),
    6,
    FALSE
  ),
  0
)
"),0.0)</f>
        <v>0</v>
      </c>
      <c r="AG213" s="54">
        <f>IFERROR(__xludf.DUMMYFUNCTION("IFERROR(
  VLOOKUP(
    A213,
    IMPORTRANGE(
      ""1SCYQd7_cobOYqT0r_F0IqD4tE4rYn5y8Eup4PJTH8es"",
      ""Snapshot!A:M""
    ),
    7,
    FALSE
  ),
  0
)
"),364.0)</f>
        <v>364</v>
      </c>
      <c r="AH213" s="54">
        <f>IFERROR(__xludf.DUMMYFUNCTION("IFERROR(
  VLOOKUP(
    A213,
    IMPORTRANGE(
      ""1SCYQd7_cobOYqT0r_F0IqD4tE4rYn5y8Eup4PJTH8es"",
      ""Snapshot!A:M""
    ),
    8,
    FALSE
  ),
  0
)
"),3.0)</f>
        <v>3</v>
      </c>
      <c r="AI213" s="54">
        <f>IFERROR(__xludf.DUMMYFUNCTION("IFERROR(
  VLOOKUP(
    A213,
    IMPORTRANGE(
      ""1SCYQd7_cobOYqT0r_F0IqD4tE4rYn5y8Eup4PJTH8es"",
      ""Snapshot!A:M""
    ),
    9,
    FALSE
  ),
  0
)
"),1.0)</f>
        <v>1</v>
      </c>
      <c r="AJ213" s="54">
        <f>IFERROR(__xludf.DUMMYFUNCTION("IFERROR(
  VLOOKUP(
    A213,
    IMPORTRANGE(
      ""1SCYQd7_cobOYqT0r_F0IqD4tE4rYn5y8Eup4PJTH8es"",
      ""Snapshot!A:M""
    ),
    13,
    FALSE
  ),
  0
)
"),3.0)</f>
        <v>3</v>
      </c>
      <c r="AK213" s="49">
        <f t="shared" ref="AK213:AL213" si="1060">LEN(C213)</f>
        <v>71</v>
      </c>
      <c r="AL213" s="49">
        <f t="shared" si="1060"/>
        <v>55</v>
      </c>
    </row>
    <row r="214">
      <c r="A214" s="1" t="s">
        <v>701</v>
      </c>
      <c r="B214" s="1" t="str">
        <f>IFERROR(__xludf.DUMMYFUNCTION("IFERROR(
  VLOOKUP(
    A214,
    IMPORTRANGE(
      ""1ZygntHC1J6IxzKbTidmOyf5nUyW4GCLurHCjexrLm_o"",
      ""HTMLキャッシュ!A:F""
    ),
    2,
    FALSE
  ),
  0
)
"),"NW")</f>
        <v>NW</v>
      </c>
      <c r="C214" s="1" t="str">
        <f>IFERROR(__xludf.DUMMYFUNCTION("IFERROR(
  VLOOKUP(
    A214,
    IMPORTRANGE(
      ""1ZygntHC1J6IxzKbTidmOyf5nUyW4GCLurHCjexrLm_o"",
      ""HTMLキャッシュ!A:F""
    ),
    5,
    FALSE
  ),
  0
)
"),"2023年度夏期講習会のお知らせ - 受験国語専門 読解ラボ東京 | 中学受験・大学受験対応の個別指導国語専門塾（オンライン・教室対応）")</f>
        <v>2023年度夏期講習会のお知らせ - 受験国語専門 読解ラボ東京 | 中学受験・大学受験対応の個別指導国語専門塾（オンライン・教室対応）</v>
      </c>
      <c r="D214" s="1" t="str">
        <f>IFERROR(__xludf.DUMMYFUNCTION("IFERROR(
  VLOOKUP(
    A214,
    IMPORTRANGE(
      ""1ZygntHC1J6IxzKbTidmOyf5nUyW4GCLurHCjexrLm_o        "",
      ""HTMLキャッシュ!A:F""
    ),
    6,
    FALSE
  ),
  0
)
"),"夏休みは、受験生にとって勝負の時期であり、受験を1年以上先に控えているお子様にとっても、普段忙しくて取り組めな")</f>
        <v>夏休みは、受験生にとって勝負の時期であり、受験を1年以上先に控えているお子様にとっても、普段忙しくて取り組めな</v>
      </c>
      <c r="E214" s="32">
        <f>IFERROR(__xludf.DUMMYFUNCTION("IFERROR(
  VLOOKUP(
    A214,
    IMPORTRANGE(
      ""1ZygntHC1J6IxzKbTidmOyf5nUyW4GCLurHCjexrLm_o        "",
      ""HTMLキャッシュ!A:F""
    ),
    3,
    FALSE
  ),
  0
)
"),45592.61770833333)</f>
        <v>45592.61771</v>
      </c>
      <c r="F214" s="49">
        <f>IFERROR(__xludf.DUMMYFUNCTION("IFERROR(
  VLOOKUP(
    A214,
    IMPORTRANGE(
      ""1ZHMy3vVUd_0MrSduXTe1etBb1HNpAlGwQr006ljwMiM"",
      ""GSC最新!A:F""
    ),
    2,
    FALSE
  ),
  0
)
"),0.0)</f>
        <v>0</v>
      </c>
      <c r="G214" s="49">
        <f>IFERROR(__xludf.DUMMYFUNCTION("IFERROR(
  VLOOKUP(
    A214,
    IMPORTRANGE(
      ""1ZHMy3vVUd_0MrSduXTe1etBb1HNpAlGwQr006ljwMiM"",
      ""GSC最新!A:F""
    ),
    3,
    FALSE
  ),
  0
)
"),0.0)</f>
        <v>0</v>
      </c>
      <c r="H214" s="49">
        <f>IFERROR(__xludf.DUMMYFUNCTION("IFERROR(
  VLOOKUP(
    A214,
    IMPORTRANGE(
      ""1ZHMy3vVUd_0MrSduXTe1etBb1HNpAlGwQr006ljwMiM"",
      ""GSC最新!A:F""
    ),
    4,
    FALSE
  ),
  0
)
"),0.0)</f>
        <v>0</v>
      </c>
      <c r="I214" s="49">
        <f>IFERROR(__xludf.DUMMYFUNCTION("IFERROR(
  VLOOKUP(
    A214,
    IMPORTRANGE(
      ""1ZHMy3vVUd_0MrSduXTe1etBb1HNpAlGwQr006ljwMiM"",
      ""GSC最新!A:F""
    ),
    5,
    FALSE
  ),
  0
)
"),0.0)</f>
        <v>0</v>
      </c>
      <c r="J214" s="50" t="str">
        <f t="shared" ref="J214:K214" si="1061">IFERROR(F214/H214,"-")</f>
        <v>-</v>
      </c>
      <c r="K214" s="50" t="str">
        <f t="shared" si="1061"/>
        <v>-</v>
      </c>
      <c r="L214" s="6">
        <f>IFERROR(__xludf.DUMMYFUNCTION("IFERROR(
  VLOOKUP(
    A214,
    IMPORTRANGE(
      ""1ZHMy3vVUd_0MrSduXTe1etBb1HNpAlGwQr006ljwMiM"",
      ""GSC最新!A:R""
    ),
    7,
    FALSE
  ),
  0
)
"),0.0)</f>
        <v>0</v>
      </c>
      <c r="M214" s="6">
        <f>IFERROR(__xludf.DUMMYFUNCTION("IFERROR(
  VLOOKUP(
    A214,
    IMPORTRANGE(
      ""1ZHMy3vVUd_0MrSduXTe1etBb1HNpAlGwQr006ljwMiM"",
      ""GSC最新!A:R""
    ),
    10,
    FALSE
  ),
  0
)
"),0.0)</f>
        <v>0</v>
      </c>
      <c r="N214" s="6">
        <f>IFERROR(__xludf.DUMMYFUNCTION("IFERROR(
  VLOOKUP(
    A214,
    IMPORTRANGE(
      ""1ZHMy3vVUd_0MrSduXTe1etBb1HNpAlGwQr006ljwMiM"",
      ""GSC最新!A:R""
    ),
    13,
    FALSE
  ),
  0
)
"),1.0)</f>
        <v>1</v>
      </c>
      <c r="O214" s="6">
        <f>IFERROR(__xludf.DUMMYFUNCTION("IFERROR(
  VLOOKUP(
    A214,
    IMPORTRANGE(
      ""1ZHMy3vVUd_0MrSduXTe1etBb1HNpAlGwQr006ljwMiM"",
      ""GSC最新!A:R""
    ),
    16,
    FALSE
  ),
  0
)
"),1.0)</f>
        <v>1</v>
      </c>
      <c r="P214" s="51">
        <f t="shared" ref="P214:Q214" si="1062">IFERROR(L214/N214,"-")</f>
        <v>0</v>
      </c>
      <c r="Q214" s="51">
        <f t="shared" si="1062"/>
        <v>0</v>
      </c>
      <c r="R214" s="9">
        <f>IFERROR(__xludf.DUMMYFUNCTION("IFERROR(
  VLOOKUP(
    A214,
    IMPORTRANGE(
      ""1ZHMy3vVUd_0MrSduXTe1etBb1HNpAlGwQr006ljwMiM"",
      ""GSC最新!A:R""
    ),
    8,
    FALSE
  ),
  0
)
"),0.0)</f>
        <v>0</v>
      </c>
      <c r="S214" s="9">
        <f>IFERROR(__xludf.DUMMYFUNCTION("IFERROR(
  VLOOKUP(
    A214,
    IMPORTRANGE(
      ""1ZHMy3vVUd_0MrSduXTe1etBb1HNpAlGwQr006ljwMiM"",
      ""GSC最新!A:R""
    ),
    11,
    FALSE
  ),
  0
)
"),0.0)</f>
        <v>0</v>
      </c>
      <c r="T214" s="9">
        <f>IFERROR(__xludf.DUMMYFUNCTION("IFERROR(
  VLOOKUP(
    A214,
    IMPORTRANGE(
      ""1ZHMy3vVUd_0MrSduXTe1etBb1HNpAlGwQr006ljwMiM"",
      ""GSC最新!A:R""
    ),
    14,
    FALSE
  ),
  0
)
"),0.0)</f>
        <v>0</v>
      </c>
      <c r="U214" s="9">
        <f>IFERROR(__xludf.DUMMYFUNCTION("IFERROR(
  VLOOKUP(
    A214,
    IMPORTRANGE(
      ""1ZHMy3vVUd_0MrSduXTe1etBb1HNpAlGwQr006ljwMiM"",
      ""GSC最新!A:R""
    ),
    17,
    FALSE
  ),
  0
)
"),0.0)</f>
        <v>0</v>
      </c>
      <c r="V214" s="9">
        <f t="shared" ref="V214:W214" si="1063">IFERROR(R214-T214,"-")</f>
        <v>0</v>
      </c>
      <c r="W214" s="9">
        <f t="shared" si="1063"/>
        <v>0</v>
      </c>
      <c r="X214" s="65" t="str">
        <f>IFERROR(__xludf.DUMMYFUNCTION("IFERROR(
  VLOOKUP(
    A214,
    IMPORTRANGE(
      ""1ZHMy3vVUd_0MrSduXTe1etBb1HNpAlGwQr006ljwMiM"",
      ""GSC最新!A:R""
    ),
    9,
    FALSE
  ),
  0
)
"),"")</f>
        <v/>
      </c>
      <c r="Y214" s="65" t="str">
        <f>IFERROR(__xludf.DUMMYFUNCTION("IFERROR(
  VLOOKUP(
    A214,
    IMPORTRANGE(
      ""1ZHMy3vVUd_0MrSduXTe1etBb1HNpAlGwQr006ljwMiM"",
      ""GSC最新!A:R""
    ),
    12,
    FALSE
  ),
  0
)
"),"")</f>
        <v/>
      </c>
      <c r="Z214" s="65">
        <f>IFERROR(__xludf.DUMMYFUNCTION("IFERROR(
  VLOOKUP(
    A214,
    IMPORTRANGE(
      ""1ZHMy3vVUd_0MrSduXTe1etBb1HNpAlGwQr006ljwMiM"",
      ""GSC最新!A:R""
    ),
    15,
    FALSE
  ),
  0
)
"),5.0)</f>
        <v>5</v>
      </c>
      <c r="AA214" s="65">
        <f>IFERROR(__xludf.DUMMYFUNCTION("IFERROR(
  VLOOKUP(
    A214,
    IMPORTRANGE(
      ""1ZHMy3vVUd_0MrSduXTe1etBb1HNpAlGwQr006ljwMiM"",
      ""GSC最新!A:R""
    ),
    18,
    FALSE
  ),
  0
)
"),5.0)</f>
        <v>5</v>
      </c>
      <c r="AB214" s="65">
        <f t="shared" ref="AB214:AC214" si="1064">X214-Z214</f>
        <v>-5</v>
      </c>
      <c r="AC214" s="65">
        <f t="shared" si="1064"/>
        <v>-5</v>
      </c>
      <c r="AD214" s="53">
        <f>IFERROR(__xludf.DUMMYFUNCTION("IFERROR(
  VLOOKUP(
    A214,
    IMPORTRANGE(
      ""1ZHMy3vVUd_0MrSduXTe1etBb1HNpAlGwQr006ljwMiM"",
      ""GSC最新!A:F""
    ),
    6,
    FALSE
  ),
  0
)
"),46081.0)</f>
        <v>46081</v>
      </c>
      <c r="AE214" s="54">
        <f>IFERROR(__xludf.DUMMYFUNCTION("IFERROR(
  VLOOKUP(
    A214,
    IMPORTRANGE(
      ""1SCYQd7_cobOYqT0r_F0IqD4tE4rYn5y8Eup4PJTH8es"",
      ""Snapshot!A:M""
    ),
    5,
    FALSE
  ),
  ""-""
)
"),0.0)</f>
        <v>0</v>
      </c>
      <c r="AF214" s="54">
        <f>IFERROR(__xludf.DUMMYFUNCTION("IFERROR(
  VLOOKUP(
    A214,
    IMPORTRANGE(
      ""1SCYQd7_cobOYqT0r_F0IqD4tE4rYn5y8Eup4PJTH8es"",
      ""Snapshot!A:M""
    ),
    6,
    FALSE
  ),
  0
)
"),0.0)</f>
        <v>0</v>
      </c>
      <c r="AG214" s="54">
        <f>IFERROR(__xludf.DUMMYFUNCTION("IFERROR(
  VLOOKUP(
    A214,
    IMPORTRANGE(
      ""1SCYQd7_cobOYqT0r_F0IqD4tE4rYn5y8Eup4PJTH8es"",
      ""Snapshot!A:M""
    ),
    7,
    FALSE
  ),
  0
)
"),556.0)</f>
        <v>556</v>
      </c>
      <c r="AH214" s="54">
        <f>IFERROR(__xludf.DUMMYFUNCTION("IFERROR(
  VLOOKUP(
    A214,
    IMPORTRANGE(
      ""1SCYQd7_cobOYqT0r_F0IqD4tE4rYn5y8Eup4PJTH8es"",
      ""Snapshot!A:M""
    ),
    8,
    FALSE
  ),
  0
)
"),3.0)</f>
        <v>3</v>
      </c>
      <c r="AI214" s="54">
        <f>IFERROR(__xludf.DUMMYFUNCTION("IFERROR(
  VLOOKUP(
    A214,
    IMPORTRANGE(
      ""1SCYQd7_cobOYqT0r_F0IqD4tE4rYn5y8Eup4PJTH8es"",
      ""Snapshot!A:M""
    ),
    9,
    FALSE
  ),
  0
)
"),1.0)</f>
        <v>1</v>
      </c>
      <c r="AJ214" s="54">
        <f>IFERROR(__xludf.DUMMYFUNCTION("IFERROR(
  VLOOKUP(
    A214,
    IMPORTRANGE(
      ""1SCYQd7_cobOYqT0r_F0IqD4tE4rYn5y8Eup4PJTH8es"",
      ""Snapshot!A:M""
    ),
    13,
    FALSE
  ),
  0
)
"),3.0)</f>
        <v>3</v>
      </c>
      <c r="AK214" s="49">
        <f t="shared" ref="AK214:AL214" si="1065">LEN(C214)</f>
        <v>68</v>
      </c>
      <c r="AL214" s="49">
        <f t="shared" si="1065"/>
        <v>55</v>
      </c>
    </row>
    <row r="215">
      <c r="A215" s="1" t="s">
        <v>702</v>
      </c>
      <c r="B215" s="1" t="str">
        <f>IFERROR(__xludf.DUMMYFUNCTION("IFERROR(
  VLOOKUP(
    A215,
    IMPORTRANGE(
      ""1ZygntHC1J6IxzKbTidmOyf5nUyW4GCLurHCjexrLm_o"",
      ""HTMLキャッシュ!A:F""
    ),
    2,
    FALSE
  ),
  0
)
"),"NW")</f>
        <v>NW</v>
      </c>
      <c r="C215" s="1" t="str">
        <f>IFERROR(__xludf.DUMMYFUNCTION("IFERROR(
  VLOOKUP(
    A215,
    IMPORTRANGE(
      ""1ZygntHC1J6IxzKbTidmOyf5nUyW4GCLurHCjexrLm_o"",
      ""HTMLキャッシュ!A:F""
    ),
    5,
    FALSE
  ),
  0
)
"),"2023年度生徒募集のお知らせ【個別】 - 受験国語専門 読解ラボ東京 | 中学受験・大学受験対応の個別指導国語専門塾（オンライン・教室対応）")</f>
        <v>2023年度生徒募集のお知らせ【個別】 - 受験国語専門 読解ラボ東京 | 中学受験・大学受験対応の個別指導国語専門塾（オンライン・教室対応）</v>
      </c>
      <c r="D215" s="1" t="str">
        <f>IFERROR(__xludf.DUMMYFUNCTION("IFERROR(
  VLOOKUP(
    A215,
    IMPORTRANGE(
      ""1ZygntHC1J6IxzKbTidmOyf5nUyW4GCLurHCjexrLm_o        "",
      ""HTMLキャッシュ!A:F""
    ),
    6,
    FALSE
  ),
  0
)
"),"本日より、2023年度、「完全１対１」の個別指導の生徒募集を開始致します。 詳細については、下記をご覧下さい。")</f>
        <v>本日より、2023年度、「完全１対１」の個別指導の生徒募集を開始致します。 詳細については、下記をご覧下さい。</v>
      </c>
      <c r="E215" s="32">
        <f>IFERROR(__xludf.DUMMYFUNCTION("IFERROR(
  VLOOKUP(
    A215,
    IMPORTRANGE(
      ""1ZygntHC1J6IxzKbTidmOyf5nUyW4GCLurHCjexrLm_o        "",
      ""HTMLキャッシュ!A:F""
    ),
    3,
    FALSE
  ),
  0
)
"),45592.60543981481)</f>
        <v>45592.60544</v>
      </c>
      <c r="F215" s="49">
        <f>IFERROR(__xludf.DUMMYFUNCTION("IFERROR(
  VLOOKUP(
    A215,
    IMPORTRANGE(
      ""1ZHMy3vVUd_0MrSduXTe1etBb1HNpAlGwQr006ljwMiM"",
      ""GSC最新!A:F""
    ),
    2,
    FALSE
  ),
  0
)
"),0.0)</f>
        <v>0</v>
      </c>
      <c r="G215" s="49">
        <f>IFERROR(__xludf.DUMMYFUNCTION("IFERROR(
  VLOOKUP(
    A215,
    IMPORTRANGE(
      ""1ZHMy3vVUd_0MrSduXTe1etBb1HNpAlGwQr006ljwMiM"",
      ""GSC最新!A:F""
    ),
    3,
    FALSE
  ),
  0
)
"),0.0)</f>
        <v>0</v>
      </c>
      <c r="H215" s="49">
        <f>IFERROR(__xludf.DUMMYFUNCTION("IFERROR(
  VLOOKUP(
    A215,
    IMPORTRANGE(
      ""1ZHMy3vVUd_0MrSduXTe1etBb1HNpAlGwQr006ljwMiM"",
      ""GSC最新!A:F""
    ),
    4,
    FALSE
  ),
  0
)
"),0.0)</f>
        <v>0</v>
      </c>
      <c r="I215" s="49">
        <f>IFERROR(__xludf.DUMMYFUNCTION("IFERROR(
  VLOOKUP(
    A215,
    IMPORTRANGE(
      ""1ZHMy3vVUd_0MrSduXTe1etBb1HNpAlGwQr006ljwMiM"",
      ""GSC最新!A:F""
    ),
    5,
    FALSE
  ),
  0
)
"),0.0)</f>
        <v>0</v>
      </c>
      <c r="J215" s="50" t="str">
        <f t="shared" ref="J215:K215" si="1066">IFERROR(F215/H215,"-")</f>
        <v>-</v>
      </c>
      <c r="K215" s="50" t="str">
        <f t="shared" si="1066"/>
        <v>-</v>
      </c>
      <c r="L215" s="6">
        <f>IFERROR(__xludf.DUMMYFUNCTION("IFERROR(
  VLOOKUP(
    A215,
    IMPORTRANGE(
      ""1ZHMy3vVUd_0MrSduXTe1etBb1HNpAlGwQr006ljwMiM"",
      ""GSC最新!A:R""
    ),
    7,
    FALSE
  ),
  0
)
"),0.0)</f>
        <v>0</v>
      </c>
      <c r="M215" s="6">
        <f>IFERROR(__xludf.DUMMYFUNCTION("IFERROR(
  VLOOKUP(
    A215,
    IMPORTRANGE(
      ""1ZHMy3vVUd_0MrSduXTe1etBb1HNpAlGwQr006ljwMiM"",
      ""GSC最新!A:R""
    ),
    10,
    FALSE
  ),
  0
)
"),0.0)</f>
        <v>0</v>
      </c>
      <c r="N215" s="6">
        <f>IFERROR(__xludf.DUMMYFUNCTION("IFERROR(
  VLOOKUP(
    A215,
    IMPORTRANGE(
      ""1ZHMy3vVUd_0MrSduXTe1etBb1HNpAlGwQr006ljwMiM"",
      ""GSC最新!A:R""
    ),
    13,
    FALSE
  ),
  0
)
"),0.0)</f>
        <v>0</v>
      </c>
      <c r="O215" s="6">
        <f>IFERROR(__xludf.DUMMYFUNCTION("IFERROR(
  VLOOKUP(
    A215,
    IMPORTRANGE(
      ""1ZHMy3vVUd_0MrSduXTe1etBb1HNpAlGwQr006ljwMiM"",
      ""GSC最新!A:R""
    ),
    16,
    FALSE
  ),
  0
)
"),0.0)</f>
        <v>0</v>
      </c>
      <c r="P215" s="51" t="str">
        <f t="shared" ref="P215:Q215" si="1067">IFERROR(L215/N215,"-")</f>
        <v>-</v>
      </c>
      <c r="Q215" s="51" t="str">
        <f t="shared" si="1067"/>
        <v>-</v>
      </c>
      <c r="R215" s="9">
        <f>IFERROR(__xludf.DUMMYFUNCTION("IFERROR(
  VLOOKUP(
    A215,
    IMPORTRANGE(
      ""1ZHMy3vVUd_0MrSduXTe1etBb1HNpAlGwQr006ljwMiM"",
      ""GSC最新!A:R""
    ),
    8,
    FALSE
  ),
  0
)
"),0.0)</f>
        <v>0</v>
      </c>
      <c r="S215" s="9">
        <f>IFERROR(__xludf.DUMMYFUNCTION("IFERROR(
  VLOOKUP(
    A215,
    IMPORTRANGE(
      ""1ZHMy3vVUd_0MrSduXTe1etBb1HNpAlGwQr006ljwMiM"",
      ""GSC最新!A:R""
    ),
    11,
    FALSE
  ),
  0
)
"),0.0)</f>
        <v>0</v>
      </c>
      <c r="T215" s="9">
        <f>IFERROR(__xludf.DUMMYFUNCTION("IFERROR(
  VLOOKUP(
    A215,
    IMPORTRANGE(
      ""1ZHMy3vVUd_0MrSduXTe1etBb1HNpAlGwQr006ljwMiM"",
      ""GSC最新!A:R""
    ),
    14,
    FALSE
  ),
  0
)
"),0.0)</f>
        <v>0</v>
      </c>
      <c r="U215" s="9">
        <f>IFERROR(__xludf.DUMMYFUNCTION("IFERROR(
  VLOOKUP(
    A215,
    IMPORTRANGE(
      ""1ZHMy3vVUd_0MrSduXTe1etBb1HNpAlGwQr006ljwMiM"",
      ""GSC最新!A:R""
    ),
    17,
    FALSE
  ),
  0
)
"),0.0)</f>
        <v>0</v>
      </c>
      <c r="V215" s="9">
        <f t="shared" ref="V215:W215" si="1068">IFERROR(R215-T215,"-")</f>
        <v>0</v>
      </c>
      <c r="W215" s="9">
        <f t="shared" si="1068"/>
        <v>0</v>
      </c>
      <c r="X215" s="65" t="str">
        <f>IFERROR(__xludf.DUMMYFUNCTION("IFERROR(
  VLOOKUP(
    A215,
    IMPORTRANGE(
      ""1ZHMy3vVUd_0MrSduXTe1etBb1HNpAlGwQr006ljwMiM"",
      ""GSC最新!A:R""
    ),
    9,
    FALSE
  ),
  0
)
"),"")</f>
        <v/>
      </c>
      <c r="Y215" s="65" t="str">
        <f>IFERROR(__xludf.DUMMYFUNCTION("IFERROR(
  VLOOKUP(
    A215,
    IMPORTRANGE(
      ""1ZHMy3vVUd_0MrSduXTe1etBb1HNpAlGwQr006ljwMiM"",
      ""GSC最新!A:R""
    ),
    12,
    FALSE
  ),
  0
)
"),"")</f>
        <v/>
      </c>
      <c r="Z215" s="65" t="str">
        <f>IFERROR(__xludf.DUMMYFUNCTION("IFERROR(
  VLOOKUP(
    A215,
    IMPORTRANGE(
      ""1ZHMy3vVUd_0MrSduXTe1etBb1HNpAlGwQr006ljwMiM"",
      ""GSC最新!A:R""
    ),
    15,
    FALSE
  ),
  0
)
"),"")</f>
        <v/>
      </c>
      <c r="AA215" s="65" t="str">
        <f>IFERROR(__xludf.DUMMYFUNCTION("IFERROR(
  VLOOKUP(
    A215,
    IMPORTRANGE(
      ""1ZHMy3vVUd_0MrSduXTe1etBb1HNpAlGwQr006ljwMiM"",
      ""GSC最新!A:R""
    ),
    18,
    FALSE
  ),
  0
)
"),"")</f>
        <v/>
      </c>
      <c r="AB215" s="65">
        <f t="shared" ref="AB215:AC215" si="1069">X215-Z215</f>
        <v>0</v>
      </c>
      <c r="AC215" s="65">
        <f t="shared" si="1069"/>
        <v>0</v>
      </c>
      <c r="AD215" s="53">
        <f>IFERROR(__xludf.DUMMYFUNCTION("IFERROR(
  VLOOKUP(
    A215,
    IMPORTRANGE(
      ""1ZHMy3vVUd_0MrSduXTe1etBb1HNpAlGwQr006ljwMiM"",
      ""GSC最新!A:F""
    ),
    6,
    FALSE
  ),
  0
)
"),46081.0)</f>
        <v>46081</v>
      </c>
      <c r="AE215" s="54">
        <f>IFERROR(__xludf.DUMMYFUNCTION("IFERROR(
  VLOOKUP(
    A215,
    IMPORTRANGE(
      ""1SCYQd7_cobOYqT0r_F0IqD4tE4rYn5y8Eup4PJTH8es"",
      ""Snapshot!A:M""
    ),
    5,
    FALSE
  ),
  ""-""
)
"),0.0)</f>
        <v>0</v>
      </c>
      <c r="AF215" s="54">
        <f>IFERROR(__xludf.DUMMYFUNCTION("IFERROR(
  VLOOKUP(
    A215,
    IMPORTRANGE(
      ""1SCYQd7_cobOYqT0r_F0IqD4tE4rYn5y8Eup4PJTH8es"",
      ""Snapshot!A:M""
    ),
    6,
    FALSE
  ),
  0
)
"),0.0)</f>
        <v>0</v>
      </c>
      <c r="AG215" s="54">
        <f>IFERROR(__xludf.DUMMYFUNCTION("IFERROR(
  VLOOKUP(
    A215,
    IMPORTRANGE(
      ""1SCYQd7_cobOYqT0r_F0IqD4tE4rYn5y8Eup4PJTH8es"",
      ""Snapshot!A:M""
    ),
    7,
    FALSE
  ),
  0
)
"),355.0)</f>
        <v>355</v>
      </c>
      <c r="AH215" s="54">
        <f>IFERROR(__xludf.DUMMYFUNCTION("IFERROR(
  VLOOKUP(
    A215,
    IMPORTRANGE(
      ""1SCYQd7_cobOYqT0r_F0IqD4tE4rYn5y8Eup4PJTH8es"",
      ""Snapshot!A:M""
    ),
    8,
    FALSE
  ),
  0
)
"),3.0)</f>
        <v>3</v>
      </c>
      <c r="AI215" s="54">
        <f>IFERROR(__xludf.DUMMYFUNCTION("IFERROR(
  VLOOKUP(
    A215,
    IMPORTRANGE(
      ""1SCYQd7_cobOYqT0r_F0IqD4tE4rYn5y8Eup4PJTH8es"",
      ""Snapshot!A:M""
    ),
    9,
    FALSE
  ),
  0
)
"),1.0)</f>
        <v>1</v>
      </c>
      <c r="AJ215" s="54">
        <f>IFERROR(__xludf.DUMMYFUNCTION("IFERROR(
  VLOOKUP(
    A215,
    IMPORTRANGE(
      ""1SCYQd7_cobOYqT0r_F0IqD4tE4rYn5y8Eup4PJTH8es"",
      ""Snapshot!A:M""
    ),
    13,
    FALSE
  ),
  0
)
"),3.0)</f>
        <v>3</v>
      </c>
      <c r="AK215" s="49">
        <f t="shared" ref="AK215:AL215" si="1070">LEN(C215)</f>
        <v>71</v>
      </c>
      <c r="AL215" s="49">
        <f t="shared" si="1070"/>
        <v>55</v>
      </c>
    </row>
    <row r="216">
      <c r="A216" s="1" t="s">
        <v>703</v>
      </c>
      <c r="B216" s="1" t="str">
        <f>IFERROR(__xludf.DUMMYFUNCTION("IFERROR(
  VLOOKUP(
    A216,
    IMPORTRANGE(
      ""1ZygntHC1J6IxzKbTidmOyf5nUyW4GCLurHCjexrLm_o"",
      ""HTMLキャッシュ!A:F""
    ),
    2,
    FALSE
  ),
  0
)
"),"NW")</f>
        <v>NW</v>
      </c>
      <c r="C216" s="1" t="str">
        <f>IFERROR(__xludf.DUMMYFUNCTION("IFERROR(
  VLOOKUP(
    A216,
    IMPORTRANGE(
      ""1ZygntHC1J6IxzKbTidmOyf5nUyW4GCLurHCjexrLm_o"",
      ""HTMLキャッシュ!A:F""
    ),
    5,
    FALSE
  ),
  0
)
"),"2023年度冬期講習開講のお知らせ - 受験国語専門 読解ラボ東京 | 中学受験・大学受験対応の個別指導国語専門塾（オンライン・教室対応）")</f>
        <v>2023年度冬期講習開講のお知らせ - 受験国語専門 読解ラボ東京 | 中学受験・大学受験対応の個別指導国語専門塾（オンライン・教室対応）</v>
      </c>
      <c r="D216" s="1" t="str">
        <f>IFERROR(__xludf.DUMMYFUNCTION("IFERROR(
  VLOOKUP(
    A216,
    IMPORTRANGE(
      ""1ZygntHC1J6IxzKbTidmOyf5nUyW4GCLurHCjexrLm_o        "",
      ""HTMLキャッシュ!A:F""
    ),
    6,
    FALSE
  ),
  0
)
"),"当塾では2023年度冬期講習会を開催いたします。塾生の皆さんはもちろん、他塾に通われている生徒さんも大歓迎です")</f>
        <v>当塾では2023年度冬期講習会を開催いたします。塾生の皆さんはもちろん、他塾に通われている生徒さんも大歓迎です</v>
      </c>
      <c r="E216" s="32">
        <f>IFERROR(__xludf.DUMMYFUNCTION("IFERROR(
  VLOOKUP(
    A216,
    IMPORTRANGE(
      ""1ZygntHC1J6IxzKbTidmOyf5nUyW4GCLurHCjexrLm_o        "",
      ""HTMLキャッシュ!A:F""
    ),
    3,
    FALSE
  ),
  0
)
"),45592.61320601852)</f>
        <v>45592.61321</v>
      </c>
      <c r="F216" s="49">
        <f>IFERROR(__xludf.DUMMYFUNCTION("IFERROR(
  VLOOKUP(
    A216,
    IMPORTRANGE(
      ""1ZHMy3vVUd_0MrSduXTe1etBb1HNpAlGwQr006ljwMiM"",
      ""GSC最新!A:F""
    ),
    2,
    FALSE
  ),
  0
)
"),0.0)</f>
        <v>0</v>
      </c>
      <c r="G216" s="49">
        <f>IFERROR(__xludf.DUMMYFUNCTION("IFERROR(
  VLOOKUP(
    A216,
    IMPORTRANGE(
      ""1ZHMy3vVUd_0MrSduXTe1etBb1HNpAlGwQr006ljwMiM"",
      ""GSC最新!A:F""
    ),
    3,
    FALSE
  ),
  0
)
"),0.0)</f>
        <v>0</v>
      </c>
      <c r="H216" s="49">
        <f>IFERROR(__xludf.DUMMYFUNCTION("IFERROR(
  VLOOKUP(
    A216,
    IMPORTRANGE(
      ""1ZHMy3vVUd_0MrSduXTe1etBb1HNpAlGwQr006ljwMiM"",
      ""GSC最新!A:F""
    ),
    4,
    FALSE
  ),
  0
)
"),0.0)</f>
        <v>0</v>
      </c>
      <c r="I216" s="49">
        <f>IFERROR(__xludf.DUMMYFUNCTION("IFERROR(
  VLOOKUP(
    A216,
    IMPORTRANGE(
      ""1ZHMy3vVUd_0MrSduXTe1etBb1HNpAlGwQr006ljwMiM"",
      ""GSC最新!A:F""
    ),
    5,
    FALSE
  ),
  0
)
"),0.0)</f>
        <v>0</v>
      </c>
      <c r="J216" s="50" t="str">
        <f t="shared" ref="J216:K216" si="1071">IFERROR(F216/H216,"-")</f>
        <v>-</v>
      </c>
      <c r="K216" s="50" t="str">
        <f t="shared" si="1071"/>
        <v>-</v>
      </c>
      <c r="L216" s="6">
        <f>IFERROR(__xludf.DUMMYFUNCTION("IFERROR(
  VLOOKUP(
    A216,
    IMPORTRANGE(
      ""1ZHMy3vVUd_0MrSduXTe1etBb1HNpAlGwQr006ljwMiM"",
      ""GSC最新!A:R""
    ),
    7,
    FALSE
  ),
  0
)
"),0.0)</f>
        <v>0</v>
      </c>
      <c r="M216" s="6">
        <f>IFERROR(__xludf.DUMMYFUNCTION("IFERROR(
  VLOOKUP(
    A216,
    IMPORTRANGE(
      ""1ZHMy3vVUd_0MrSduXTe1etBb1HNpAlGwQr006ljwMiM"",
      ""GSC最新!A:R""
    ),
    10,
    FALSE
  ),
  0
)
"),0.0)</f>
        <v>0</v>
      </c>
      <c r="N216" s="6">
        <f>IFERROR(__xludf.DUMMYFUNCTION("IFERROR(
  VLOOKUP(
    A216,
    IMPORTRANGE(
      ""1ZHMy3vVUd_0MrSduXTe1etBb1HNpAlGwQr006ljwMiM"",
      ""GSC最新!A:R""
    ),
    13,
    FALSE
  ),
  0
)
"),0.0)</f>
        <v>0</v>
      </c>
      <c r="O216" s="6">
        <f>IFERROR(__xludf.DUMMYFUNCTION("IFERROR(
  VLOOKUP(
    A216,
    IMPORTRANGE(
      ""1ZHMy3vVUd_0MrSduXTe1etBb1HNpAlGwQr006ljwMiM"",
      ""GSC最新!A:R""
    ),
    16,
    FALSE
  ),
  0
)
"),2.0)</f>
        <v>2</v>
      </c>
      <c r="P216" s="51" t="str">
        <f t="shared" ref="P216:Q216" si="1072">IFERROR(L216/N216,"-")</f>
        <v>-</v>
      </c>
      <c r="Q216" s="51">
        <f t="shared" si="1072"/>
        <v>0</v>
      </c>
      <c r="R216" s="9">
        <f>IFERROR(__xludf.DUMMYFUNCTION("IFERROR(
  VLOOKUP(
    A216,
    IMPORTRANGE(
      ""1ZHMy3vVUd_0MrSduXTe1etBb1HNpAlGwQr006ljwMiM"",
      ""GSC最新!A:R""
    ),
    8,
    FALSE
  ),
  0
)
"),0.0)</f>
        <v>0</v>
      </c>
      <c r="S216" s="9">
        <f>IFERROR(__xludf.DUMMYFUNCTION("IFERROR(
  VLOOKUP(
    A216,
    IMPORTRANGE(
      ""1ZHMy3vVUd_0MrSduXTe1etBb1HNpAlGwQr006ljwMiM"",
      ""GSC最新!A:R""
    ),
    11,
    FALSE
  ),
  0
)
"),0.0)</f>
        <v>0</v>
      </c>
      <c r="T216" s="9">
        <f>IFERROR(__xludf.DUMMYFUNCTION("IFERROR(
  VLOOKUP(
    A216,
    IMPORTRANGE(
      ""1ZHMy3vVUd_0MrSduXTe1etBb1HNpAlGwQr006ljwMiM"",
      ""GSC最新!A:R""
    ),
    14,
    FALSE
  ),
  0
)
"),0.0)</f>
        <v>0</v>
      </c>
      <c r="U216" s="9">
        <f>IFERROR(__xludf.DUMMYFUNCTION("IFERROR(
  VLOOKUP(
    A216,
    IMPORTRANGE(
      ""1ZHMy3vVUd_0MrSduXTe1etBb1HNpAlGwQr006ljwMiM"",
      ""GSC最新!A:R""
    ),
    17,
    FALSE
  ),
  0
)
"),0.0)</f>
        <v>0</v>
      </c>
      <c r="V216" s="9">
        <f t="shared" ref="V216:W216" si="1073">IFERROR(R216-T216,"-")</f>
        <v>0</v>
      </c>
      <c r="W216" s="9">
        <f t="shared" si="1073"/>
        <v>0</v>
      </c>
      <c r="X216" s="65" t="str">
        <f>IFERROR(__xludf.DUMMYFUNCTION("IFERROR(
  VLOOKUP(
    A216,
    IMPORTRANGE(
      ""1ZHMy3vVUd_0MrSduXTe1etBb1HNpAlGwQr006ljwMiM"",
      ""GSC最新!A:R""
    ),
    9,
    FALSE
  ),
  0
)
"),"")</f>
        <v/>
      </c>
      <c r="Y216" s="65" t="str">
        <f>IFERROR(__xludf.DUMMYFUNCTION("IFERROR(
  VLOOKUP(
    A216,
    IMPORTRANGE(
      ""1ZHMy3vVUd_0MrSduXTe1etBb1HNpAlGwQr006ljwMiM"",
      ""GSC最新!A:R""
    ),
    12,
    FALSE
  ),
  0
)
"),"")</f>
        <v/>
      </c>
      <c r="Z216" s="65" t="str">
        <f>IFERROR(__xludf.DUMMYFUNCTION("IFERROR(
  VLOOKUP(
    A216,
    IMPORTRANGE(
      ""1ZHMy3vVUd_0MrSduXTe1etBb1HNpAlGwQr006ljwMiM"",
      ""GSC最新!A:R""
    ),
    15,
    FALSE
  ),
  0
)
"),"")</f>
        <v/>
      </c>
      <c r="AA216" s="65">
        <f>IFERROR(__xludf.DUMMYFUNCTION("IFERROR(
  VLOOKUP(
    A216,
    IMPORTRANGE(
      ""1ZHMy3vVUd_0MrSduXTe1etBb1HNpAlGwQr006ljwMiM"",
      ""GSC最新!A:R""
    ),
    18,
    FALSE
  ),
  0
)
"),2.0)</f>
        <v>2</v>
      </c>
      <c r="AB216" s="65">
        <f t="shared" ref="AB216:AC216" si="1074">X216-Z216</f>
        <v>0</v>
      </c>
      <c r="AC216" s="65">
        <f t="shared" si="1074"/>
        <v>-2</v>
      </c>
      <c r="AD216" s="53">
        <f>IFERROR(__xludf.DUMMYFUNCTION("IFERROR(
  VLOOKUP(
    A216,
    IMPORTRANGE(
      ""1ZHMy3vVUd_0MrSduXTe1etBb1HNpAlGwQr006ljwMiM"",
      ""GSC最新!A:F""
    ),
    6,
    FALSE
  ),
  0
)
"),46081.0)</f>
        <v>46081</v>
      </c>
      <c r="AE216" s="54">
        <f>IFERROR(__xludf.DUMMYFUNCTION("IFERROR(
  VLOOKUP(
    A216,
    IMPORTRANGE(
      ""1SCYQd7_cobOYqT0r_F0IqD4tE4rYn5y8Eup4PJTH8es"",
      ""Snapshot!A:M""
    ),
    5,
    FALSE
  ),
  ""-""
)
"),0.0)</f>
        <v>0</v>
      </c>
      <c r="AF216" s="54">
        <f>IFERROR(__xludf.DUMMYFUNCTION("IFERROR(
  VLOOKUP(
    A216,
    IMPORTRANGE(
      ""1SCYQd7_cobOYqT0r_F0IqD4tE4rYn5y8Eup4PJTH8es"",
      ""Snapshot!A:M""
    ),
    6,
    FALSE
  ),
  0
)
"),0.0)</f>
        <v>0</v>
      </c>
      <c r="AG216" s="54">
        <f>IFERROR(__xludf.DUMMYFUNCTION("IFERROR(
  VLOOKUP(
    A216,
    IMPORTRANGE(
      ""1SCYQd7_cobOYqT0r_F0IqD4tE4rYn5y8Eup4PJTH8es"",
      ""Snapshot!A:M""
    ),
    7,
    FALSE
  ),
  0
)
"),594.0)</f>
        <v>594</v>
      </c>
      <c r="AH216" s="54">
        <f>IFERROR(__xludf.DUMMYFUNCTION("IFERROR(
  VLOOKUP(
    A216,
    IMPORTRANGE(
      ""1SCYQd7_cobOYqT0r_F0IqD4tE4rYn5y8Eup4PJTH8es"",
      ""Snapshot!A:M""
    ),
    8,
    FALSE
  ),
  0
)
"),3.0)</f>
        <v>3</v>
      </c>
      <c r="AI216" s="54">
        <f>IFERROR(__xludf.DUMMYFUNCTION("IFERROR(
  VLOOKUP(
    A216,
    IMPORTRANGE(
      ""1SCYQd7_cobOYqT0r_F0IqD4tE4rYn5y8Eup4PJTH8es"",
      ""Snapshot!A:M""
    ),
    9,
    FALSE
  ),
  0
)
"),1.0)</f>
        <v>1</v>
      </c>
      <c r="AJ216" s="54">
        <f>IFERROR(__xludf.DUMMYFUNCTION("IFERROR(
  VLOOKUP(
    A216,
    IMPORTRANGE(
      ""1SCYQd7_cobOYqT0r_F0IqD4tE4rYn5y8Eup4PJTH8es"",
      ""Snapshot!A:M""
    ),
    13,
    FALSE
  ),
  0
)
"),3.0)</f>
        <v>3</v>
      </c>
      <c r="AK216" s="49">
        <f t="shared" ref="AK216:AL216" si="1075">LEN(C216)</f>
        <v>69</v>
      </c>
      <c r="AL216" s="49">
        <f t="shared" si="1075"/>
        <v>55</v>
      </c>
    </row>
    <row r="217">
      <c r="A217" s="1" t="s">
        <v>704</v>
      </c>
      <c r="B217" s="1" t="str">
        <f>IFERROR(__xludf.DUMMYFUNCTION("IFERROR(
  VLOOKUP(
    A217,
    IMPORTRANGE(
      ""1ZygntHC1J6IxzKbTidmOyf5nUyW4GCLurHCjexrLm_o"",
      ""HTMLキャッシュ!A:F""
    ),
    2,
    FALSE
  ),
  0
)
"),"NW")</f>
        <v>NW</v>
      </c>
      <c r="C217" s="1" t="str">
        <f>IFERROR(__xludf.DUMMYFUNCTION("IFERROR(
  VLOOKUP(
    A217,
    IMPORTRANGE(
      ""1ZygntHC1J6IxzKbTidmOyf5nUyW4GCLurHCjexrLm_o"",
      ""HTMLキャッシュ!A:F""
    ),
    5,
    FALSE
  ),
  0
)
"),"2024年度夏期講習会のお知らせ - 受験国語専門 読解ラボ東京 | 中学受験・大学受験対応の個別指導国語専門塾（オンライン・教室対応）")</f>
        <v>2024年度夏期講習会のお知らせ - 受験国語専門 読解ラボ東京 | 中学受験・大学受験対応の個別指導国語専門塾（オンライン・教室対応）</v>
      </c>
      <c r="D217" s="1" t="str">
        <f>IFERROR(__xludf.DUMMYFUNCTION("IFERROR(
  VLOOKUP(
    A217,
    IMPORTRANGE(
      ""1ZygntHC1J6IxzKbTidmOyf5nUyW4GCLurHCjexrLm_o        "",
      ""HTMLキャッシュ!A:F""
    ),
    6,
    FALSE
  ),
  0
)
"),"夏休みは、受験生にとって勝負の時期であり、受験を1年以上先に控えているお子様にとっても、普段忙しくて取り組めな")</f>
        <v>夏休みは、受験生にとって勝負の時期であり、受験を1年以上先に控えているお子様にとっても、普段忙しくて取り組めな</v>
      </c>
      <c r="E217" s="32">
        <f>IFERROR(__xludf.DUMMYFUNCTION("IFERROR(
  VLOOKUP(
    A217,
    IMPORTRANGE(
      ""1ZygntHC1J6IxzKbTidmOyf5nUyW4GCLurHCjexrLm_o        "",
      ""HTMLキャッシュ!A:F""
    ),
    3,
    FALSE
  ),
  0
)
"),45592.61802083333)</f>
        <v>45592.61802</v>
      </c>
      <c r="F217" s="49">
        <f>IFERROR(__xludf.DUMMYFUNCTION("IFERROR(
  VLOOKUP(
    A217,
    IMPORTRANGE(
      ""1ZHMy3vVUd_0MrSduXTe1etBb1HNpAlGwQr006ljwMiM"",
      ""GSC最新!A:F""
    ),
    2,
    FALSE
  ),
  0
)
"),0.0)</f>
        <v>0</v>
      </c>
      <c r="G217" s="49">
        <f>IFERROR(__xludf.DUMMYFUNCTION("IFERROR(
  VLOOKUP(
    A217,
    IMPORTRANGE(
      ""1ZHMy3vVUd_0MrSduXTe1etBb1HNpAlGwQr006ljwMiM"",
      ""GSC最新!A:F""
    ),
    3,
    FALSE
  ),
  0
)
"),0.0)</f>
        <v>0</v>
      </c>
      <c r="H217" s="49">
        <f>IFERROR(__xludf.DUMMYFUNCTION("IFERROR(
  VLOOKUP(
    A217,
    IMPORTRANGE(
      ""1ZHMy3vVUd_0MrSduXTe1etBb1HNpAlGwQr006ljwMiM"",
      ""GSC最新!A:F""
    ),
    4,
    FALSE
  ),
  0
)
"),0.0)</f>
        <v>0</v>
      </c>
      <c r="I217" s="49">
        <f>IFERROR(__xludf.DUMMYFUNCTION("IFERROR(
  VLOOKUP(
    A217,
    IMPORTRANGE(
      ""1ZHMy3vVUd_0MrSduXTe1etBb1HNpAlGwQr006ljwMiM"",
      ""GSC最新!A:F""
    ),
    5,
    FALSE
  ),
  0
)
"),0.0)</f>
        <v>0</v>
      </c>
      <c r="J217" s="50" t="str">
        <f t="shared" ref="J217:K217" si="1076">IFERROR(F217/H217,"-")</f>
        <v>-</v>
      </c>
      <c r="K217" s="50" t="str">
        <f t="shared" si="1076"/>
        <v>-</v>
      </c>
      <c r="L217" s="6">
        <f>IFERROR(__xludf.DUMMYFUNCTION("IFERROR(
  VLOOKUP(
    A217,
    IMPORTRANGE(
      ""1ZHMy3vVUd_0MrSduXTe1etBb1HNpAlGwQr006ljwMiM"",
      ""GSC最新!A:R""
    ),
    7,
    FALSE
  ),
  0
)
"),3.0)</f>
        <v>3</v>
      </c>
      <c r="M217" s="6">
        <f>IFERROR(__xludf.DUMMYFUNCTION("IFERROR(
  VLOOKUP(
    A217,
    IMPORTRANGE(
      ""1ZHMy3vVUd_0MrSduXTe1etBb1HNpAlGwQr006ljwMiM"",
      ""GSC最新!A:R""
    ),
    10,
    FALSE
  ),
  0
)
"),5.0)</f>
        <v>5</v>
      </c>
      <c r="N217" s="6">
        <f>IFERROR(__xludf.DUMMYFUNCTION("IFERROR(
  VLOOKUP(
    A217,
    IMPORTRANGE(
      ""1ZHMy3vVUd_0MrSduXTe1etBb1HNpAlGwQr006ljwMiM"",
      ""GSC最新!A:R""
    ),
    13,
    FALSE
  ),
  0
)
"),0.0)</f>
        <v>0</v>
      </c>
      <c r="O217" s="6">
        <f>IFERROR(__xludf.DUMMYFUNCTION("IFERROR(
  VLOOKUP(
    A217,
    IMPORTRANGE(
      ""1ZHMy3vVUd_0MrSduXTe1etBb1HNpAlGwQr006ljwMiM"",
      ""GSC最新!A:R""
    ),
    16,
    FALSE
  ),
  0
)
"),0.0)</f>
        <v>0</v>
      </c>
      <c r="P217" s="51" t="str">
        <f t="shared" ref="P217:Q217" si="1077">IFERROR(L217/N217,"-")</f>
        <v>-</v>
      </c>
      <c r="Q217" s="51" t="str">
        <f t="shared" si="1077"/>
        <v>-</v>
      </c>
      <c r="R217" s="9">
        <f>IFERROR(__xludf.DUMMYFUNCTION("IFERROR(
  VLOOKUP(
    A217,
    IMPORTRANGE(
      ""1ZHMy3vVUd_0MrSduXTe1etBb1HNpAlGwQr006ljwMiM"",
      ""GSC最新!A:R""
    ),
    8,
    FALSE
  ),
  0
)
"),0.0)</f>
        <v>0</v>
      </c>
      <c r="S217" s="9">
        <f>IFERROR(__xludf.DUMMYFUNCTION("IFERROR(
  VLOOKUP(
    A217,
    IMPORTRANGE(
      ""1ZHMy3vVUd_0MrSduXTe1etBb1HNpAlGwQr006ljwMiM"",
      ""GSC最新!A:R""
    ),
    11,
    FALSE
  ),
  0
)
"),0.0)</f>
        <v>0</v>
      </c>
      <c r="T217" s="9">
        <f>IFERROR(__xludf.DUMMYFUNCTION("IFERROR(
  VLOOKUP(
    A217,
    IMPORTRANGE(
      ""1ZHMy3vVUd_0MrSduXTe1etBb1HNpAlGwQr006ljwMiM"",
      ""GSC最新!A:R""
    ),
    14,
    FALSE
  ),
  0
)
"),0.0)</f>
        <v>0</v>
      </c>
      <c r="U217" s="9">
        <f>IFERROR(__xludf.DUMMYFUNCTION("IFERROR(
  VLOOKUP(
    A217,
    IMPORTRANGE(
      ""1ZHMy3vVUd_0MrSduXTe1etBb1HNpAlGwQr006ljwMiM"",
      ""GSC最新!A:R""
    ),
    17,
    FALSE
  ),
  0
)
"),0.0)</f>
        <v>0</v>
      </c>
      <c r="V217" s="9">
        <f t="shared" ref="V217:W217" si="1078">IFERROR(R217-T217,"-")</f>
        <v>0</v>
      </c>
      <c r="W217" s="9">
        <f t="shared" si="1078"/>
        <v>0</v>
      </c>
      <c r="X217" s="65">
        <f>IFERROR(__xludf.DUMMYFUNCTION("IFERROR(
  VLOOKUP(
    A217,
    IMPORTRANGE(
      ""1ZHMy3vVUd_0MrSduXTe1etBb1HNpAlGwQr006ljwMiM"",
      ""GSC最新!A:R""
    ),
    9,
    FALSE
  ),
  0
)
"),11.666666666666666)</f>
        <v>11.66666667</v>
      </c>
      <c r="Y217" s="65">
        <f>IFERROR(__xludf.DUMMYFUNCTION("IFERROR(
  VLOOKUP(
    A217,
    IMPORTRANGE(
      ""1ZHMy3vVUd_0MrSduXTe1etBb1HNpAlGwQr006ljwMiM"",
      ""GSC最新!A:R""
    ),
    12,
    FALSE
  ),
  0
)
"),24.6)</f>
        <v>24.6</v>
      </c>
      <c r="Z217" s="65" t="str">
        <f>IFERROR(__xludf.DUMMYFUNCTION("IFERROR(
  VLOOKUP(
    A217,
    IMPORTRANGE(
      ""1ZHMy3vVUd_0MrSduXTe1etBb1HNpAlGwQr006ljwMiM"",
      ""GSC最新!A:R""
    ),
    15,
    FALSE
  ),
  0
)
"),"")</f>
        <v/>
      </c>
      <c r="AA217" s="65" t="str">
        <f>IFERROR(__xludf.DUMMYFUNCTION("IFERROR(
  VLOOKUP(
    A217,
    IMPORTRANGE(
      ""1ZHMy3vVUd_0MrSduXTe1etBb1HNpAlGwQr006ljwMiM"",
      ""GSC最新!A:R""
    ),
    18,
    FALSE
  ),
  0
)
"),"")</f>
        <v/>
      </c>
      <c r="AB217" s="65">
        <f t="shared" ref="AB217:AC217" si="1079">X217-Z217</f>
        <v>11.66666667</v>
      </c>
      <c r="AC217" s="65">
        <f t="shared" si="1079"/>
        <v>24.6</v>
      </c>
      <c r="AD217" s="53">
        <f>IFERROR(__xludf.DUMMYFUNCTION("IFERROR(
  VLOOKUP(
    A217,
    IMPORTRANGE(
      ""1ZHMy3vVUd_0MrSduXTe1etBb1HNpAlGwQr006ljwMiM"",
      ""GSC最新!A:F""
    ),
    6,
    FALSE
  ),
  0
)
"),46081.0)</f>
        <v>46081</v>
      </c>
      <c r="AE217" s="54">
        <f>IFERROR(__xludf.DUMMYFUNCTION("IFERROR(
  VLOOKUP(
    A217,
    IMPORTRANGE(
      ""1SCYQd7_cobOYqT0r_F0IqD4tE4rYn5y8Eup4PJTH8es"",
      ""Snapshot!A:M""
    ),
    5,
    FALSE
  ),
  ""-""
)
"),0.0)</f>
        <v>0</v>
      </c>
      <c r="AF217" s="54">
        <f>IFERROR(__xludf.DUMMYFUNCTION("IFERROR(
  VLOOKUP(
    A217,
    IMPORTRANGE(
      ""1SCYQd7_cobOYqT0r_F0IqD4tE4rYn5y8Eup4PJTH8es"",
      ""Snapshot!A:M""
    ),
    6,
    FALSE
  ),
  0
)
"),0.0)</f>
        <v>0</v>
      </c>
      <c r="AG217" s="54">
        <f>IFERROR(__xludf.DUMMYFUNCTION("IFERROR(
  VLOOKUP(
    A217,
    IMPORTRANGE(
      ""1SCYQd7_cobOYqT0r_F0IqD4tE4rYn5y8Eup4PJTH8es"",
      ""Snapshot!A:M""
    ),
    7,
    FALSE
  ),
  0
)
"),556.0)</f>
        <v>556</v>
      </c>
      <c r="AH217" s="54">
        <f>IFERROR(__xludf.DUMMYFUNCTION("IFERROR(
  VLOOKUP(
    A217,
    IMPORTRANGE(
      ""1SCYQd7_cobOYqT0r_F0IqD4tE4rYn5y8Eup4PJTH8es"",
      ""Snapshot!A:M""
    ),
    8,
    FALSE
  ),
  0
)
"),3.0)</f>
        <v>3</v>
      </c>
      <c r="AI217" s="54">
        <f>IFERROR(__xludf.DUMMYFUNCTION("IFERROR(
  VLOOKUP(
    A217,
    IMPORTRANGE(
      ""1SCYQd7_cobOYqT0r_F0IqD4tE4rYn5y8Eup4PJTH8es"",
      ""Snapshot!A:M""
    ),
    9,
    FALSE
  ),
  0
)
"),1.0)</f>
        <v>1</v>
      </c>
      <c r="AJ217" s="54">
        <f>IFERROR(__xludf.DUMMYFUNCTION("IFERROR(
  VLOOKUP(
    A217,
    IMPORTRANGE(
      ""1SCYQd7_cobOYqT0r_F0IqD4tE4rYn5y8Eup4PJTH8es"",
      ""Snapshot!A:M""
    ),
    13,
    FALSE
  ),
  0
)
"),3.0)</f>
        <v>3</v>
      </c>
      <c r="AK217" s="49">
        <f t="shared" ref="AK217:AL217" si="1080">LEN(C217)</f>
        <v>68</v>
      </c>
      <c r="AL217" s="49">
        <f t="shared" si="1080"/>
        <v>55</v>
      </c>
    </row>
    <row r="218">
      <c r="A218" s="1" t="s">
        <v>705</v>
      </c>
      <c r="B218" s="1" t="str">
        <f>IFERROR(__xludf.DUMMYFUNCTION("IFERROR(
  VLOOKUP(
    A218,
    IMPORTRANGE(
      ""1ZygntHC1J6IxzKbTidmOyf5nUyW4GCLurHCjexrLm_o"",
      ""HTMLキャッシュ!A:F""
    ),
    2,
    FALSE
  ),
  0
)
"),"NW")</f>
        <v>NW</v>
      </c>
      <c r="C218" s="1" t="str">
        <f>IFERROR(__xludf.DUMMYFUNCTION("IFERROR(
  VLOOKUP(
    A218,
    IMPORTRANGE(
      ""1ZygntHC1J6IxzKbTidmOyf5nUyW4GCLurHCjexrLm_o"",
      ""HTMLキャッシュ!A:F""
    ),
    5,
    FALSE
  ),
  0
)
"),"2024年度春期講習会のお知らせ - 受験国語専門 読解ラボ東京 | 中学受験・大学受験対応の個別指導国語専門塾（オンライン・教室対応）")</f>
        <v>2024年度春期講習会のお知らせ - 受験国語専門 読解ラボ東京 | 中学受験・大学受験対応の個別指導国語専門塾（オンライン・教室対応）</v>
      </c>
      <c r="D218" s="1" t="str">
        <f>IFERROR(__xludf.DUMMYFUNCTION("IFERROR(
  VLOOKUP(
    A218,
    IMPORTRANGE(
      ""1ZygntHC1J6IxzKbTidmOyf5nUyW4GCLurHCjexrLm_o        "",
      ""HTMLキャッシュ!A:F""
    ),
    6,
    FALSE
  ),
  0
)
"),"春休みは短いながらも、日頃の課題を解消し、実力を伸ばす絶好の機会です。 当塾では、この春休みを有意義に過ごして")</f>
        <v>春休みは短いながらも、日頃の課題を解消し、実力を伸ばす絶好の機会です。 当塾では、この春休みを有意義に過ごして</v>
      </c>
      <c r="E218" s="32">
        <f>IFERROR(__xludf.DUMMYFUNCTION("IFERROR(
  VLOOKUP(
    A218,
    IMPORTRANGE(
      ""1ZygntHC1J6IxzKbTidmOyf5nUyW4GCLurHCjexrLm_o        "",
      ""HTMLキャッシュ!A:F""
    ),
    3,
    FALSE
  ),
  0
)
"),46017.68615740741)</f>
        <v>46017.68616</v>
      </c>
      <c r="F218" s="49">
        <f>IFERROR(__xludf.DUMMYFUNCTION("IFERROR(
  VLOOKUP(
    A218,
    IMPORTRANGE(
      ""1ZHMy3vVUd_0MrSduXTe1etBb1HNpAlGwQr006ljwMiM"",
      ""GSC最新!A:F""
    ),
    2,
    FALSE
  ),
  0
)
"),0.0)</f>
        <v>0</v>
      </c>
      <c r="G218" s="49">
        <f>IFERROR(__xludf.DUMMYFUNCTION("IFERROR(
  VLOOKUP(
    A218,
    IMPORTRANGE(
      ""1ZHMy3vVUd_0MrSduXTe1etBb1HNpAlGwQr006ljwMiM"",
      ""GSC最新!A:F""
    ),
    3,
    FALSE
  ),
  0
)
"),0.0)</f>
        <v>0</v>
      </c>
      <c r="H218" s="49">
        <f>IFERROR(__xludf.DUMMYFUNCTION("IFERROR(
  VLOOKUP(
    A218,
    IMPORTRANGE(
      ""1ZHMy3vVUd_0MrSduXTe1etBb1HNpAlGwQr006ljwMiM"",
      ""GSC最新!A:F""
    ),
    4,
    FALSE
  ),
  0
)
"),0.0)</f>
        <v>0</v>
      </c>
      <c r="I218" s="49">
        <f>IFERROR(__xludf.DUMMYFUNCTION("IFERROR(
  VLOOKUP(
    A218,
    IMPORTRANGE(
      ""1ZHMy3vVUd_0MrSduXTe1etBb1HNpAlGwQr006ljwMiM"",
      ""GSC最新!A:F""
    ),
    5,
    FALSE
  ),
  0
)
"),0.0)</f>
        <v>0</v>
      </c>
      <c r="J218" s="50" t="str">
        <f t="shared" ref="J218:K218" si="1081">IFERROR(F218/H218,"-")</f>
        <v>-</v>
      </c>
      <c r="K218" s="50" t="str">
        <f t="shared" si="1081"/>
        <v>-</v>
      </c>
      <c r="L218" s="6">
        <f>IFERROR(__xludf.DUMMYFUNCTION("IFERROR(
  VLOOKUP(
    A218,
    IMPORTRANGE(
      ""1ZHMy3vVUd_0MrSduXTe1etBb1HNpAlGwQr006ljwMiM"",
      ""GSC最新!A:R""
    ),
    7,
    FALSE
  ),
  0
)
"),0.0)</f>
        <v>0</v>
      </c>
      <c r="M218" s="6">
        <f>IFERROR(__xludf.DUMMYFUNCTION("IFERROR(
  VLOOKUP(
    A218,
    IMPORTRANGE(
      ""1ZHMy3vVUd_0MrSduXTe1etBb1HNpAlGwQr006ljwMiM"",
      ""GSC最新!A:R""
    ),
    10,
    FALSE
  ),
  0
)
"),1.0)</f>
        <v>1</v>
      </c>
      <c r="N218" s="6">
        <f>IFERROR(__xludf.DUMMYFUNCTION("IFERROR(
  VLOOKUP(
    A218,
    IMPORTRANGE(
      ""1ZHMy3vVUd_0MrSduXTe1etBb1HNpAlGwQr006ljwMiM"",
      ""GSC最新!A:R""
    ),
    13,
    FALSE
  ),
  0
)
"),0.0)</f>
        <v>0</v>
      </c>
      <c r="O218" s="6">
        <f>IFERROR(__xludf.DUMMYFUNCTION("IFERROR(
  VLOOKUP(
    A218,
    IMPORTRANGE(
      ""1ZHMy3vVUd_0MrSduXTe1etBb1HNpAlGwQr006ljwMiM"",
      ""GSC最新!A:R""
    ),
    16,
    FALSE
  ),
  0
)
"),0.0)</f>
        <v>0</v>
      </c>
      <c r="P218" s="51" t="str">
        <f t="shared" ref="P218:Q218" si="1082">IFERROR(L218/N218,"-")</f>
        <v>-</v>
      </c>
      <c r="Q218" s="51" t="str">
        <f t="shared" si="1082"/>
        <v>-</v>
      </c>
      <c r="R218" s="9">
        <f>IFERROR(__xludf.DUMMYFUNCTION("IFERROR(
  VLOOKUP(
    A218,
    IMPORTRANGE(
      ""1ZHMy3vVUd_0MrSduXTe1etBb1HNpAlGwQr006ljwMiM"",
      ""GSC最新!A:R""
    ),
    8,
    FALSE
  ),
  0
)
"),0.0)</f>
        <v>0</v>
      </c>
      <c r="S218" s="9">
        <f>IFERROR(__xludf.DUMMYFUNCTION("IFERROR(
  VLOOKUP(
    A218,
    IMPORTRANGE(
      ""1ZHMy3vVUd_0MrSduXTe1etBb1HNpAlGwQr006ljwMiM"",
      ""GSC最新!A:R""
    ),
    11,
    FALSE
  ),
  0
)
"),0.0)</f>
        <v>0</v>
      </c>
      <c r="T218" s="9">
        <f>IFERROR(__xludf.DUMMYFUNCTION("IFERROR(
  VLOOKUP(
    A218,
    IMPORTRANGE(
      ""1ZHMy3vVUd_0MrSduXTe1etBb1HNpAlGwQr006ljwMiM"",
      ""GSC最新!A:R""
    ),
    14,
    FALSE
  ),
  0
)
"),0.0)</f>
        <v>0</v>
      </c>
      <c r="U218" s="9">
        <f>IFERROR(__xludf.DUMMYFUNCTION("IFERROR(
  VLOOKUP(
    A218,
    IMPORTRANGE(
      ""1ZHMy3vVUd_0MrSduXTe1etBb1HNpAlGwQr006ljwMiM"",
      ""GSC最新!A:R""
    ),
    17,
    FALSE
  ),
  0
)
"),0.0)</f>
        <v>0</v>
      </c>
      <c r="V218" s="9">
        <f t="shared" ref="V218:W218" si="1083">IFERROR(R218-T218,"-")</f>
        <v>0</v>
      </c>
      <c r="W218" s="9">
        <f t="shared" si="1083"/>
        <v>0</v>
      </c>
      <c r="X218" s="65" t="str">
        <f>IFERROR(__xludf.DUMMYFUNCTION("IFERROR(
  VLOOKUP(
    A218,
    IMPORTRANGE(
      ""1ZHMy3vVUd_0MrSduXTe1etBb1HNpAlGwQr006ljwMiM"",
      ""GSC最新!A:R""
    ),
    9,
    FALSE
  ),
  0
)
"),"")</f>
        <v/>
      </c>
      <c r="Y218" s="65">
        <f>IFERROR(__xludf.DUMMYFUNCTION("IFERROR(
  VLOOKUP(
    A218,
    IMPORTRANGE(
      ""1ZHMy3vVUd_0MrSduXTe1etBb1HNpAlGwQr006ljwMiM"",
      ""GSC最新!A:R""
    ),
    12,
    FALSE
  ),
  0
)
"),2.0)</f>
        <v>2</v>
      </c>
      <c r="Z218" s="65" t="str">
        <f>IFERROR(__xludf.DUMMYFUNCTION("IFERROR(
  VLOOKUP(
    A218,
    IMPORTRANGE(
      ""1ZHMy3vVUd_0MrSduXTe1etBb1HNpAlGwQr006ljwMiM"",
      ""GSC最新!A:R""
    ),
    15,
    FALSE
  ),
  0
)
"),"")</f>
        <v/>
      </c>
      <c r="AA218" s="65" t="str">
        <f>IFERROR(__xludf.DUMMYFUNCTION("IFERROR(
  VLOOKUP(
    A218,
    IMPORTRANGE(
      ""1ZHMy3vVUd_0MrSduXTe1etBb1HNpAlGwQr006ljwMiM"",
      ""GSC最新!A:R""
    ),
    18,
    FALSE
  ),
  0
)
"),"")</f>
        <v/>
      </c>
      <c r="AB218" s="65">
        <f t="shared" ref="AB218:AC218" si="1084">X218-Z218</f>
        <v>0</v>
      </c>
      <c r="AC218" s="65">
        <f t="shared" si="1084"/>
        <v>2</v>
      </c>
      <c r="AD218" s="53">
        <f>IFERROR(__xludf.DUMMYFUNCTION("IFERROR(
  VLOOKUP(
    A218,
    IMPORTRANGE(
      ""1ZHMy3vVUd_0MrSduXTe1etBb1HNpAlGwQr006ljwMiM"",
      ""GSC最新!A:F""
    ),
    6,
    FALSE
  ),
  0
)
"),46081.0)</f>
        <v>46081</v>
      </c>
      <c r="AE218" s="54">
        <f>IFERROR(__xludf.DUMMYFUNCTION("IFERROR(
  VLOOKUP(
    A218,
    IMPORTRANGE(
      ""1SCYQd7_cobOYqT0r_F0IqD4tE4rYn5y8Eup4PJTH8es"",
      ""Snapshot!A:M""
    ),
    5,
    FALSE
  ),
  ""-""
)
"),0.0)</f>
        <v>0</v>
      </c>
      <c r="AF218" s="54">
        <f>IFERROR(__xludf.DUMMYFUNCTION("IFERROR(
  VLOOKUP(
    A218,
    IMPORTRANGE(
      ""1SCYQd7_cobOYqT0r_F0IqD4tE4rYn5y8Eup4PJTH8es"",
      ""Snapshot!A:M""
    ),
    6,
    FALSE
  ),
  0
)
"),0.0)</f>
        <v>0</v>
      </c>
      <c r="AG218" s="54">
        <f>IFERROR(__xludf.DUMMYFUNCTION("IFERROR(
  VLOOKUP(
    A218,
    IMPORTRANGE(
      ""1SCYQd7_cobOYqT0r_F0IqD4tE4rYn5y8Eup4PJTH8es"",
      ""Snapshot!A:M""
    ),
    7,
    FALSE
  ),
  0
)
"),449.0)</f>
        <v>449</v>
      </c>
      <c r="AH218" s="54">
        <f>IFERROR(__xludf.DUMMYFUNCTION("IFERROR(
  VLOOKUP(
    A218,
    IMPORTRANGE(
      ""1SCYQd7_cobOYqT0r_F0IqD4tE4rYn5y8Eup4PJTH8es"",
      ""Snapshot!A:M""
    ),
    8,
    FALSE
  ),
  0
)
"),2.0)</f>
        <v>2</v>
      </c>
      <c r="AI218" s="54">
        <f>IFERROR(__xludf.DUMMYFUNCTION("IFERROR(
  VLOOKUP(
    A218,
    IMPORTRANGE(
      ""1SCYQd7_cobOYqT0r_F0IqD4tE4rYn5y8Eup4PJTH8es"",
      ""Snapshot!A:M""
    ),
    9,
    FALSE
  ),
  0
)
"),1.0)</f>
        <v>1</v>
      </c>
      <c r="AJ218" s="54">
        <f>IFERROR(__xludf.DUMMYFUNCTION("IFERROR(
  VLOOKUP(
    A218,
    IMPORTRANGE(
      ""1SCYQd7_cobOYqT0r_F0IqD4tE4rYn5y8Eup4PJTH8es"",
      ""Snapshot!A:M""
    ),
    13,
    FALSE
  ),
  0
)
"),3.0)</f>
        <v>3</v>
      </c>
      <c r="AK218" s="49">
        <f t="shared" ref="AK218:AL218" si="1085">LEN(C218)</f>
        <v>68</v>
      </c>
      <c r="AL218" s="49">
        <f t="shared" si="1085"/>
        <v>55</v>
      </c>
    </row>
    <row r="219">
      <c r="A219" s="1" t="s">
        <v>706</v>
      </c>
      <c r="B219" s="1" t="str">
        <f>IFERROR(__xludf.DUMMYFUNCTION("IFERROR(
  VLOOKUP(
    A219,
    IMPORTRANGE(
      ""1ZygntHC1J6IxzKbTidmOyf5nUyW4GCLurHCjexrLm_o"",
      ""HTMLキャッシュ!A:F""
    ),
    2,
    FALSE
  ),
  0
)
"),"NW")</f>
        <v>NW</v>
      </c>
      <c r="C219" s="1" t="str">
        <f>IFERROR(__xludf.DUMMYFUNCTION("IFERROR(
  VLOOKUP(
    A219,
    IMPORTRANGE(
      ""1ZygntHC1J6IxzKbTidmOyf5nUyW4GCLurHCjexrLm_o"",
      ""HTMLキャッシュ!A:F""
    ),
    5,
    FALSE
  ),
  0
)
"),"2024年度生徒募集のお知らせ【個別】 - 受験国語専門 読解ラボ東京 | 中学受験・大学受験対応の個別指導国語専門塾（オンライン・教室対応）")</f>
        <v>2024年度生徒募集のお知らせ【個別】 - 受験国語専門 読解ラボ東京 | 中学受験・大学受験対応の個別指導国語専門塾（オンライン・教室対応）</v>
      </c>
      <c r="D219" s="1" t="str">
        <f>IFERROR(__xludf.DUMMYFUNCTION("IFERROR(
  VLOOKUP(
    A219,
    IMPORTRANGE(
      ""1ZygntHC1J6IxzKbTidmOyf5nUyW4GCLurHCjexrLm_o        "",
      ""HTMLキャッシュ!A:F""
    ),
    6,
    FALSE
  ),
  0
)
"),"本日より、2024年度、「完全１対１」の個別指導の生徒募集を開始致します。 詳細については、下記をご覧下さい。")</f>
        <v>本日より、2024年度、「完全１対１」の個別指導の生徒募集を開始致します。 詳細については、下記をご覧下さい。</v>
      </c>
      <c r="E219" s="32">
        <f>IFERROR(__xludf.DUMMYFUNCTION("IFERROR(
  VLOOKUP(
    A219,
    IMPORTRANGE(
      ""1ZygntHC1J6IxzKbTidmOyf5nUyW4GCLurHCjexrLm_o        "",
      ""HTMLキャッシュ!A:F""
    ),
    3,
    FALSE
  ),
  0
)
"),45592.61622685185)</f>
        <v>45592.61623</v>
      </c>
      <c r="F219" s="49">
        <f>IFERROR(__xludf.DUMMYFUNCTION("IFERROR(
  VLOOKUP(
    A219,
    IMPORTRANGE(
      ""1ZHMy3vVUd_0MrSduXTe1etBb1HNpAlGwQr006ljwMiM"",
      ""GSC最新!A:F""
    ),
    2,
    FALSE
  ),
  0
)
"),0.0)</f>
        <v>0</v>
      </c>
      <c r="G219" s="49">
        <f>IFERROR(__xludf.DUMMYFUNCTION("IFERROR(
  VLOOKUP(
    A219,
    IMPORTRANGE(
      ""1ZHMy3vVUd_0MrSduXTe1etBb1HNpAlGwQr006ljwMiM"",
      ""GSC最新!A:F""
    ),
    3,
    FALSE
  ),
  0
)
"),0.0)</f>
        <v>0</v>
      </c>
      <c r="H219" s="49">
        <f>IFERROR(__xludf.DUMMYFUNCTION("IFERROR(
  VLOOKUP(
    A219,
    IMPORTRANGE(
      ""1ZHMy3vVUd_0MrSduXTe1etBb1HNpAlGwQr006ljwMiM"",
      ""GSC最新!A:F""
    ),
    4,
    FALSE
  ),
  0
)
"),0.0)</f>
        <v>0</v>
      </c>
      <c r="I219" s="49">
        <f>IFERROR(__xludf.DUMMYFUNCTION("IFERROR(
  VLOOKUP(
    A219,
    IMPORTRANGE(
      ""1ZHMy3vVUd_0MrSduXTe1etBb1HNpAlGwQr006ljwMiM"",
      ""GSC最新!A:F""
    ),
    5,
    FALSE
  ),
  0
)
"),0.0)</f>
        <v>0</v>
      </c>
      <c r="J219" s="50" t="str">
        <f t="shared" ref="J219:K219" si="1086">IFERROR(F219/H219,"-")</f>
        <v>-</v>
      </c>
      <c r="K219" s="50" t="str">
        <f t="shared" si="1086"/>
        <v>-</v>
      </c>
      <c r="L219" s="6">
        <f>IFERROR(__xludf.DUMMYFUNCTION("IFERROR(
  VLOOKUP(
    A219,
    IMPORTRANGE(
      ""1ZHMy3vVUd_0MrSduXTe1etBb1HNpAlGwQr006ljwMiM"",
      ""GSC最新!A:R""
    ),
    7,
    FALSE
  ),
  0
)
"),0.0)</f>
        <v>0</v>
      </c>
      <c r="M219" s="6">
        <f>IFERROR(__xludf.DUMMYFUNCTION("IFERROR(
  VLOOKUP(
    A219,
    IMPORTRANGE(
      ""1ZHMy3vVUd_0MrSduXTe1etBb1HNpAlGwQr006ljwMiM"",
      ""GSC最新!A:R""
    ),
    10,
    FALSE
  ),
  0
)
"),0.0)</f>
        <v>0</v>
      </c>
      <c r="N219" s="6">
        <f>IFERROR(__xludf.DUMMYFUNCTION("IFERROR(
  VLOOKUP(
    A219,
    IMPORTRANGE(
      ""1ZHMy3vVUd_0MrSduXTe1etBb1HNpAlGwQr006ljwMiM"",
      ""GSC最新!A:R""
    ),
    13,
    FALSE
  ),
  0
)
"),0.0)</f>
        <v>0</v>
      </c>
      <c r="O219" s="6">
        <f>IFERROR(__xludf.DUMMYFUNCTION("IFERROR(
  VLOOKUP(
    A219,
    IMPORTRANGE(
      ""1ZHMy3vVUd_0MrSduXTe1etBb1HNpAlGwQr006ljwMiM"",
      ""GSC最新!A:R""
    ),
    16,
    FALSE
  ),
  0
)
"),0.0)</f>
        <v>0</v>
      </c>
      <c r="P219" s="51" t="str">
        <f t="shared" ref="P219:Q219" si="1087">IFERROR(L219/N219,"-")</f>
        <v>-</v>
      </c>
      <c r="Q219" s="51" t="str">
        <f t="shared" si="1087"/>
        <v>-</v>
      </c>
      <c r="R219" s="9">
        <f>IFERROR(__xludf.DUMMYFUNCTION("IFERROR(
  VLOOKUP(
    A219,
    IMPORTRANGE(
      ""1ZHMy3vVUd_0MrSduXTe1etBb1HNpAlGwQr006ljwMiM"",
      ""GSC最新!A:R""
    ),
    8,
    FALSE
  ),
  0
)
"),0.0)</f>
        <v>0</v>
      </c>
      <c r="S219" s="9">
        <f>IFERROR(__xludf.DUMMYFUNCTION("IFERROR(
  VLOOKUP(
    A219,
    IMPORTRANGE(
      ""1ZHMy3vVUd_0MrSduXTe1etBb1HNpAlGwQr006ljwMiM"",
      ""GSC最新!A:R""
    ),
    11,
    FALSE
  ),
  0
)
"),0.0)</f>
        <v>0</v>
      </c>
      <c r="T219" s="9">
        <f>IFERROR(__xludf.DUMMYFUNCTION("IFERROR(
  VLOOKUP(
    A219,
    IMPORTRANGE(
      ""1ZHMy3vVUd_0MrSduXTe1etBb1HNpAlGwQr006ljwMiM"",
      ""GSC最新!A:R""
    ),
    14,
    FALSE
  ),
  0
)
"),0.0)</f>
        <v>0</v>
      </c>
      <c r="U219" s="9">
        <f>IFERROR(__xludf.DUMMYFUNCTION("IFERROR(
  VLOOKUP(
    A219,
    IMPORTRANGE(
      ""1ZHMy3vVUd_0MrSduXTe1etBb1HNpAlGwQr006ljwMiM"",
      ""GSC最新!A:R""
    ),
    17,
    FALSE
  ),
  0
)
"),0.0)</f>
        <v>0</v>
      </c>
      <c r="V219" s="9">
        <f t="shared" ref="V219:W219" si="1088">IFERROR(R219-T219,"-")</f>
        <v>0</v>
      </c>
      <c r="W219" s="9">
        <f t="shared" si="1088"/>
        <v>0</v>
      </c>
      <c r="X219" s="65" t="str">
        <f>IFERROR(__xludf.DUMMYFUNCTION("IFERROR(
  VLOOKUP(
    A219,
    IMPORTRANGE(
      ""1ZHMy3vVUd_0MrSduXTe1etBb1HNpAlGwQr006ljwMiM"",
      ""GSC最新!A:R""
    ),
    9,
    FALSE
  ),
  0
)
"),"")</f>
        <v/>
      </c>
      <c r="Y219" s="65" t="str">
        <f>IFERROR(__xludf.DUMMYFUNCTION("IFERROR(
  VLOOKUP(
    A219,
    IMPORTRANGE(
      ""1ZHMy3vVUd_0MrSduXTe1etBb1HNpAlGwQr006ljwMiM"",
      ""GSC最新!A:R""
    ),
    12,
    FALSE
  ),
  0
)
"),"")</f>
        <v/>
      </c>
      <c r="Z219" s="65" t="str">
        <f>IFERROR(__xludf.DUMMYFUNCTION("IFERROR(
  VLOOKUP(
    A219,
    IMPORTRANGE(
      ""1ZHMy3vVUd_0MrSduXTe1etBb1HNpAlGwQr006ljwMiM"",
      ""GSC最新!A:R""
    ),
    15,
    FALSE
  ),
  0
)
"),"")</f>
        <v/>
      </c>
      <c r="AA219" s="65" t="str">
        <f>IFERROR(__xludf.DUMMYFUNCTION("IFERROR(
  VLOOKUP(
    A219,
    IMPORTRANGE(
      ""1ZHMy3vVUd_0MrSduXTe1etBb1HNpAlGwQr006ljwMiM"",
      ""GSC最新!A:R""
    ),
    18,
    FALSE
  ),
  0
)
"),"")</f>
        <v/>
      </c>
      <c r="AB219" s="65">
        <f t="shared" ref="AB219:AC219" si="1089">X219-Z219</f>
        <v>0</v>
      </c>
      <c r="AC219" s="65">
        <f t="shared" si="1089"/>
        <v>0</v>
      </c>
      <c r="AD219" s="53">
        <f>IFERROR(__xludf.DUMMYFUNCTION("IFERROR(
  VLOOKUP(
    A219,
    IMPORTRANGE(
      ""1ZHMy3vVUd_0MrSduXTe1etBb1HNpAlGwQr006ljwMiM"",
      ""GSC最新!A:F""
    ),
    6,
    FALSE
  ),
  0
)
"),46081.0)</f>
        <v>46081</v>
      </c>
      <c r="AE219" s="54">
        <f>IFERROR(__xludf.DUMMYFUNCTION("IFERROR(
  VLOOKUP(
    A219,
    IMPORTRANGE(
      ""1SCYQd7_cobOYqT0r_F0IqD4tE4rYn5y8Eup4PJTH8es"",
      ""Snapshot!A:M""
    ),
    5,
    FALSE
  ),
  ""-""
)
"),0.0)</f>
        <v>0</v>
      </c>
      <c r="AF219" s="54">
        <f>IFERROR(__xludf.DUMMYFUNCTION("IFERROR(
  VLOOKUP(
    A219,
    IMPORTRANGE(
      ""1SCYQd7_cobOYqT0r_F0IqD4tE4rYn5y8Eup4PJTH8es"",
      ""Snapshot!A:M""
    ),
    6,
    FALSE
  ),
  0
)
"),0.0)</f>
        <v>0</v>
      </c>
      <c r="AG219" s="54">
        <f>IFERROR(__xludf.DUMMYFUNCTION("IFERROR(
  VLOOKUP(
    A219,
    IMPORTRANGE(
      ""1SCYQd7_cobOYqT0r_F0IqD4tE4rYn5y8Eup4PJTH8es"",
      ""Snapshot!A:M""
    ),
    7,
    FALSE
  ),
  0
)
"),355.0)</f>
        <v>355</v>
      </c>
      <c r="AH219" s="54">
        <f>IFERROR(__xludf.DUMMYFUNCTION("IFERROR(
  VLOOKUP(
    A219,
    IMPORTRANGE(
      ""1SCYQd7_cobOYqT0r_F0IqD4tE4rYn5y8Eup4PJTH8es"",
      ""Snapshot!A:M""
    ),
    8,
    FALSE
  ),
  0
)
"),3.0)</f>
        <v>3</v>
      </c>
      <c r="AI219" s="54">
        <f>IFERROR(__xludf.DUMMYFUNCTION("IFERROR(
  VLOOKUP(
    A219,
    IMPORTRANGE(
      ""1SCYQd7_cobOYqT0r_F0IqD4tE4rYn5y8Eup4PJTH8es"",
      ""Snapshot!A:M""
    ),
    9,
    FALSE
  ),
  0
)
"),1.0)</f>
        <v>1</v>
      </c>
      <c r="AJ219" s="54">
        <f>IFERROR(__xludf.DUMMYFUNCTION("IFERROR(
  VLOOKUP(
    A219,
    IMPORTRANGE(
      ""1SCYQd7_cobOYqT0r_F0IqD4tE4rYn5y8Eup4PJTH8es"",
      ""Snapshot!A:M""
    ),
    13,
    FALSE
  ),
  0
)
"),3.0)</f>
        <v>3</v>
      </c>
      <c r="AK219" s="49">
        <f t="shared" ref="AK219:AL219" si="1090">LEN(C219)</f>
        <v>71</v>
      </c>
      <c r="AL219" s="49">
        <f t="shared" si="1090"/>
        <v>55</v>
      </c>
    </row>
    <row r="220">
      <c r="A220" s="1" t="s">
        <v>707</v>
      </c>
      <c r="B220" s="1" t="str">
        <f>IFERROR(__xludf.DUMMYFUNCTION("IFERROR(
  VLOOKUP(
    A220,
    IMPORTRANGE(
      ""1ZygntHC1J6IxzKbTidmOyf5nUyW4GCLurHCjexrLm_o"",
      ""HTMLキャッシュ!A:F""
    ),
    2,
    FALSE
  ),
  0
)
"),"NW")</f>
        <v>NW</v>
      </c>
      <c r="C220" s="1" t="str">
        <f>IFERROR(__xludf.DUMMYFUNCTION("IFERROR(
  VLOOKUP(
    A220,
    IMPORTRANGE(
      ""1ZygntHC1J6IxzKbTidmOyf5nUyW4GCLurHCjexrLm_o"",
      ""HTMLキャッシュ!A:F""
    ),
    5,
    FALSE
  ),
  0
)
"),"2025年 夏期講習 開講のお知らせ - 受験国語専門 読解ラボ東京 | 中学受験・大学受験対応の個別指導国語専門塾（オンライン・教室対応）")</f>
        <v>2025年 夏期講習 開講のお知らせ - 受験国語専門 読解ラボ東京 | 中学受験・大学受験対応の個別指導国語専門塾（オンライン・教室対応）</v>
      </c>
      <c r="D220" s="1" t="str">
        <f>IFERROR(__xludf.DUMMYFUNCTION("IFERROR(
  VLOOKUP(
    A220,
    IMPORTRANGE(
      ""1ZygntHC1J6IxzKbTidmOyf5nUyW4GCLurHCjexrLm_o        "",
      ""HTMLキャッシュ!A:F""
    ),
    6,
    FALSE
  ),
  0
)
"),"夏休みは、受験生にとって勝負の時期です。また、受験が1年以上先のお子様にとっても、普段は取り組みにくい課題に集")</f>
        <v>夏休みは、受験生にとって勝負の時期です。また、受験が1年以上先のお子様にとっても、普段は取り組みにくい課題に集</v>
      </c>
      <c r="E220" s="32">
        <f>IFERROR(__xludf.DUMMYFUNCTION("IFERROR(
  VLOOKUP(
    A220,
    IMPORTRANGE(
      ""1ZygntHC1J6IxzKbTidmOyf5nUyW4GCLurHCjexrLm_o        "",
      ""HTMLキャッシュ!A:F""
    ),
    3,
    FALSE
  ),
  0
)
"),45968.71732638889)</f>
        <v>45968.71733</v>
      </c>
      <c r="F220" s="49">
        <f>IFERROR(__xludf.DUMMYFUNCTION("IFERROR(
  VLOOKUP(
    A220,
    IMPORTRANGE(
      ""1ZHMy3vVUd_0MrSduXTe1etBb1HNpAlGwQr006ljwMiM"",
      ""GSC最新!A:F""
    ),
    2,
    FALSE
  ),
  0
)
"),0.0)</f>
        <v>0</v>
      </c>
      <c r="G220" s="49">
        <f>IFERROR(__xludf.DUMMYFUNCTION("IFERROR(
  VLOOKUP(
    A220,
    IMPORTRANGE(
      ""1ZHMy3vVUd_0MrSduXTe1etBb1HNpAlGwQr006ljwMiM"",
      ""GSC最新!A:F""
    ),
    3,
    FALSE
  ),
  0
)
"),0.0)</f>
        <v>0</v>
      </c>
      <c r="H220" s="49">
        <f>IFERROR(__xludf.DUMMYFUNCTION("IFERROR(
  VLOOKUP(
    A220,
    IMPORTRANGE(
      ""1ZHMy3vVUd_0MrSduXTe1etBb1HNpAlGwQr006ljwMiM"",
      ""GSC最新!A:F""
    ),
    4,
    FALSE
  ),
  0
)
"),0.0)</f>
        <v>0</v>
      </c>
      <c r="I220" s="49">
        <f>IFERROR(__xludf.DUMMYFUNCTION("IFERROR(
  VLOOKUP(
    A220,
    IMPORTRANGE(
      ""1ZHMy3vVUd_0MrSduXTe1etBb1HNpAlGwQr006ljwMiM"",
      ""GSC最新!A:F""
    ),
    5,
    FALSE
  ),
  0
)
"),0.0)</f>
        <v>0</v>
      </c>
      <c r="J220" s="50" t="str">
        <f t="shared" ref="J220:K220" si="1091">IFERROR(F220/H220,"-")</f>
        <v>-</v>
      </c>
      <c r="K220" s="50" t="str">
        <f t="shared" si="1091"/>
        <v>-</v>
      </c>
      <c r="L220" s="6">
        <f>IFERROR(__xludf.DUMMYFUNCTION("IFERROR(
  VLOOKUP(
    A220,
    IMPORTRANGE(
      ""1ZHMy3vVUd_0MrSduXTe1etBb1HNpAlGwQr006ljwMiM"",
      ""GSC最新!A:R""
    ),
    7,
    FALSE
  ),
  0
)
"),2.0)</f>
        <v>2</v>
      </c>
      <c r="M220" s="6">
        <f>IFERROR(__xludf.DUMMYFUNCTION("IFERROR(
  VLOOKUP(
    A220,
    IMPORTRANGE(
      ""1ZHMy3vVUd_0MrSduXTe1etBb1HNpAlGwQr006ljwMiM"",
      ""GSC最新!A:R""
    ),
    10,
    FALSE
  ),
  0
)
"),6.0)</f>
        <v>6</v>
      </c>
      <c r="N220" s="6">
        <f>IFERROR(__xludf.DUMMYFUNCTION("IFERROR(
  VLOOKUP(
    A220,
    IMPORTRANGE(
      ""1ZHMy3vVUd_0MrSduXTe1etBb1HNpAlGwQr006ljwMiM"",
      ""GSC最新!A:R""
    ),
    13,
    FALSE
  ),
  0
)
"),0.0)</f>
        <v>0</v>
      </c>
      <c r="O220" s="6">
        <f>IFERROR(__xludf.DUMMYFUNCTION("IFERROR(
  VLOOKUP(
    A220,
    IMPORTRANGE(
      ""1ZHMy3vVUd_0MrSduXTe1etBb1HNpAlGwQr006ljwMiM"",
      ""GSC最新!A:R""
    ),
    16,
    FALSE
  ),
  0
)
"),0.0)</f>
        <v>0</v>
      </c>
      <c r="P220" s="51" t="str">
        <f t="shared" ref="P220:Q220" si="1092">IFERROR(L220/N220,"-")</f>
        <v>-</v>
      </c>
      <c r="Q220" s="51" t="str">
        <f t="shared" si="1092"/>
        <v>-</v>
      </c>
      <c r="R220" s="9">
        <f>IFERROR(__xludf.DUMMYFUNCTION("IFERROR(
  VLOOKUP(
    A220,
    IMPORTRANGE(
      ""1ZHMy3vVUd_0MrSduXTe1etBb1HNpAlGwQr006ljwMiM"",
      ""GSC最新!A:R""
    ),
    8,
    FALSE
  ),
  0
)
"),0.0)</f>
        <v>0</v>
      </c>
      <c r="S220" s="9">
        <f>IFERROR(__xludf.DUMMYFUNCTION("IFERROR(
  VLOOKUP(
    A220,
    IMPORTRANGE(
      ""1ZHMy3vVUd_0MrSduXTe1etBb1HNpAlGwQr006ljwMiM"",
      ""GSC最新!A:R""
    ),
    11,
    FALSE
  ),
  0
)
"),0.0)</f>
        <v>0</v>
      </c>
      <c r="T220" s="9">
        <f>IFERROR(__xludf.DUMMYFUNCTION("IFERROR(
  VLOOKUP(
    A220,
    IMPORTRANGE(
      ""1ZHMy3vVUd_0MrSduXTe1etBb1HNpAlGwQr006ljwMiM"",
      ""GSC最新!A:R""
    ),
    14,
    FALSE
  ),
  0
)
"),0.0)</f>
        <v>0</v>
      </c>
      <c r="U220" s="9">
        <f>IFERROR(__xludf.DUMMYFUNCTION("IFERROR(
  VLOOKUP(
    A220,
    IMPORTRANGE(
      ""1ZHMy3vVUd_0MrSduXTe1etBb1HNpAlGwQr006ljwMiM"",
      ""GSC最新!A:R""
    ),
    17,
    FALSE
  ),
  0
)
"),0.0)</f>
        <v>0</v>
      </c>
      <c r="V220" s="9">
        <f t="shared" ref="V220:W220" si="1093">IFERROR(R220-T220,"-")</f>
        <v>0</v>
      </c>
      <c r="W220" s="9">
        <f t="shared" si="1093"/>
        <v>0</v>
      </c>
      <c r="X220" s="65">
        <f>IFERROR(__xludf.DUMMYFUNCTION("IFERROR(
  VLOOKUP(
    A220,
    IMPORTRANGE(
      ""1ZHMy3vVUd_0MrSduXTe1etBb1HNpAlGwQr006ljwMiM"",
      ""GSC最新!A:R""
    ),
    9,
    FALSE
  ),
  0
)
"),9.5)</f>
        <v>9.5</v>
      </c>
      <c r="Y220" s="65">
        <f>IFERROR(__xludf.DUMMYFUNCTION("IFERROR(
  VLOOKUP(
    A220,
    IMPORTRANGE(
      ""1ZHMy3vVUd_0MrSduXTe1etBb1HNpAlGwQr006ljwMiM"",
      ""GSC最新!A:R""
    ),
    12,
    FALSE
  ),
  0
)
"),5.0)</f>
        <v>5</v>
      </c>
      <c r="Z220" s="65" t="str">
        <f>IFERROR(__xludf.DUMMYFUNCTION("IFERROR(
  VLOOKUP(
    A220,
    IMPORTRANGE(
      ""1ZHMy3vVUd_0MrSduXTe1etBb1HNpAlGwQr006ljwMiM"",
      ""GSC最新!A:R""
    ),
    15,
    FALSE
  ),
  0
)
"),"")</f>
        <v/>
      </c>
      <c r="AA220" s="65" t="str">
        <f>IFERROR(__xludf.DUMMYFUNCTION("IFERROR(
  VLOOKUP(
    A220,
    IMPORTRANGE(
      ""1ZHMy3vVUd_0MrSduXTe1etBb1HNpAlGwQr006ljwMiM"",
      ""GSC最新!A:R""
    ),
    18,
    FALSE
  ),
  0
)
"),"")</f>
        <v/>
      </c>
      <c r="AB220" s="65">
        <f t="shared" ref="AB220:AC220" si="1094">X220-Z220</f>
        <v>9.5</v>
      </c>
      <c r="AC220" s="65">
        <f t="shared" si="1094"/>
        <v>5</v>
      </c>
      <c r="AD220" s="53">
        <f>IFERROR(__xludf.DUMMYFUNCTION("IFERROR(
  VLOOKUP(
    A220,
    IMPORTRANGE(
      ""1ZHMy3vVUd_0MrSduXTe1etBb1HNpAlGwQr006ljwMiM"",
      ""GSC最新!A:F""
    ),
    6,
    FALSE
  ),
  0
)
"),46081.0)</f>
        <v>46081</v>
      </c>
      <c r="AE220" s="54">
        <f>IFERROR(__xludf.DUMMYFUNCTION("IFERROR(
  VLOOKUP(
    A220,
    IMPORTRANGE(
      ""1SCYQd7_cobOYqT0r_F0IqD4tE4rYn5y8Eup4PJTH8es"",
      ""Snapshot!A:M""
    ),
    5,
    FALSE
  ),
  ""-""
)
"),0.0)</f>
        <v>0</v>
      </c>
      <c r="AF220" s="54">
        <f>IFERROR(__xludf.DUMMYFUNCTION("IFERROR(
  VLOOKUP(
    A220,
    IMPORTRANGE(
      ""1SCYQd7_cobOYqT0r_F0IqD4tE4rYn5y8Eup4PJTH8es"",
      ""Snapshot!A:M""
    ),
    6,
    FALSE
  ),
  0
)
"),6.0)</f>
        <v>6</v>
      </c>
      <c r="AG220" s="54">
        <f>IFERROR(__xludf.DUMMYFUNCTION("IFERROR(
  VLOOKUP(
    A220,
    IMPORTRANGE(
      ""1SCYQd7_cobOYqT0r_F0IqD4tE4rYn5y8Eup4PJTH8es"",
      ""Snapshot!A:M""
    ),
    7,
    FALSE
  ),
  0
)
"),570.0)</f>
        <v>570</v>
      </c>
      <c r="AH220" s="54">
        <f>IFERROR(__xludf.DUMMYFUNCTION("IFERROR(
  VLOOKUP(
    A220,
    IMPORTRANGE(
      ""1SCYQd7_cobOYqT0r_F0IqD4tE4rYn5y8Eup4PJTH8es"",
      ""Snapshot!A:M""
    ),
    8,
    FALSE
  ),
  0
)
"),1.0)</f>
        <v>1</v>
      </c>
      <c r="AI220" s="54">
        <f>IFERROR(__xludf.DUMMYFUNCTION("IFERROR(
  VLOOKUP(
    A220,
    IMPORTRANGE(
      ""1SCYQd7_cobOYqT0r_F0IqD4tE4rYn5y8Eup4PJTH8es"",
      ""Snapshot!A:M""
    ),
    9,
    FALSE
  ),
  0
)
"),1.0)</f>
        <v>1</v>
      </c>
      <c r="AJ220" s="54">
        <f>IFERROR(__xludf.DUMMYFUNCTION("IFERROR(
  VLOOKUP(
    A220,
    IMPORTRANGE(
      ""1SCYQd7_cobOYqT0r_F0IqD4tE4rYn5y8Eup4PJTH8es"",
      ""Snapshot!A:M""
    ),
    13,
    FALSE
  ),
  0
)
"),3.0)</f>
        <v>3</v>
      </c>
      <c r="AK220" s="49">
        <f t="shared" ref="AK220:AL220" si="1095">LEN(C220)</f>
        <v>70</v>
      </c>
      <c r="AL220" s="49">
        <f t="shared" si="1095"/>
        <v>55</v>
      </c>
    </row>
    <row r="221">
      <c r="A221" s="1" t="s">
        <v>708</v>
      </c>
      <c r="B221" s="1" t="str">
        <f>IFERROR(__xludf.DUMMYFUNCTION("IFERROR(
  VLOOKUP(
    A221,
    IMPORTRANGE(
      ""1ZygntHC1J6IxzKbTidmOyf5nUyW4GCLurHCjexrLm_o"",
      ""HTMLキャッシュ!A:F""
    ),
    2,
    FALSE
  ),
  0
)
"),"NW")</f>
        <v>NW</v>
      </c>
      <c r="C221" s="1" t="str">
        <f>IFERROR(__xludf.DUMMYFUNCTION("IFERROR(
  VLOOKUP(
    A221,
    IMPORTRANGE(
      ""1ZygntHC1J6IxzKbTidmOyf5nUyW4GCLurHCjexrLm_o"",
      ""HTMLキャッシュ!A:F""
    ),
    5,
    FALSE
  ),
  0
)
"),"2025年 春期講習 開講のお知らせ - 受験国語専門 読解ラボ東京 | 中学受験・大学受験対応の個別指導国語専門塾（オンライン・教室対応）")</f>
        <v>2025年 春期講習 開講のお知らせ - 受験国語専門 読解ラボ東京 | 中学受験・大学受験対応の個別指導国語専門塾（オンライン・教室対応）</v>
      </c>
      <c r="D221" s="1" t="str">
        <f>IFERROR(__xludf.DUMMYFUNCTION("IFERROR(
  VLOOKUP(
    A221,
    IMPORTRANGE(
      ""1ZygntHC1J6IxzKbTidmOyf5nUyW4GCLurHCjexrLm_o        "",
      ""HTMLキャッシュ!A:F""
    ),
    6,
    FALSE
  ),
  0
)
"),"春休みは短い期間ですが、日頃の課題を解消し、実力をぐっと伸ばすチャンスです。 読解ラボ東京では、2025年度")</f>
        <v>春休みは短い期間ですが、日頃の課題を解消し、実力をぐっと伸ばすチャンスです。 読解ラボ東京では、2025年度</v>
      </c>
      <c r="E221" s="32">
        <f>IFERROR(__xludf.DUMMYFUNCTION("IFERROR(
  VLOOKUP(
    A221,
    IMPORTRANGE(
      ""1ZygntHC1J6IxzKbTidmOyf5nUyW4GCLurHCjexrLm_o        "",
      ""HTMLキャッシュ!A:F""
    ),
    3,
    FALSE
  ),
  0
)
"),46015.59924768518)</f>
        <v>46015.59925</v>
      </c>
      <c r="F221" s="49">
        <f>IFERROR(__xludf.DUMMYFUNCTION("IFERROR(
  VLOOKUP(
    A221,
    IMPORTRANGE(
      ""1ZHMy3vVUd_0MrSduXTe1etBb1HNpAlGwQr006ljwMiM"",
      ""GSC最新!A:F""
    ),
    2,
    FALSE
  ),
  0
)
"),0.0)</f>
        <v>0</v>
      </c>
      <c r="G221" s="49">
        <f>IFERROR(__xludf.DUMMYFUNCTION("IFERROR(
  VLOOKUP(
    A221,
    IMPORTRANGE(
      ""1ZHMy3vVUd_0MrSduXTe1etBb1HNpAlGwQr006ljwMiM"",
      ""GSC最新!A:F""
    ),
    3,
    FALSE
  ),
  0
)
"),0.0)</f>
        <v>0</v>
      </c>
      <c r="H221" s="49">
        <f>IFERROR(__xludf.DUMMYFUNCTION("IFERROR(
  VLOOKUP(
    A221,
    IMPORTRANGE(
      ""1ZHMy3vVUd_0MrSduXTe1etBb1HNpAlGwQr006ljwMiM"",
      ""GSC最新!A:F""
    ),
    4,
    FALSE
  ),
  0
)
"),0.0)</f>
        <v>0</v>
      </c>
      <c r="I221" s="49">
        <f>IFERROR(__xludf.DUMMYFUNCTION("IFERROR(
  VLOOKUP(
    A221,
    IMPORTRANGE(
      ""1ZHMy3vVUd_0MrSduXTe1etBb1HNpAlGwQr006ljwMiM"",
      ""GSC最新!A:F""
    ),
    5,
    FALSE
  ),
  0
)
"),0.0)</f>
        <v>0</v>
      </c>
      <c r="J221" s="50" t="str">
        <f t="shared" ref="J221:K221" si="1096">IFERROR(F221/H221,"-")</f>
        <v>-</v>
      </c>
      <c r="K221" s="50" t="str">
        <f t="shared" si="1096"/>
        <v>-</v>
      </c>
      <c r="L221" s="6">
        <f>IFERROR(__xludf.DUMMYFUNCTION("IFERROR(
  VLOOKUP(
    A221,
    IMPORTRANGE(
      ""1ZHMy3vVUd_0MrSduXTe1etBb1HNpAlGwQr006ljwMiM"",
      ""GSC最新!A:R""
    ),
    7,
    FALSE
  ),
  0
)
"),0.0)</f>
        <v>0</v>
      </c>
      <c r="M221" s="6">
        <f>IFERROR(__xludf.DUMMYFUNCTION("IFERROR(
  VLOOKUP(
    A221,
    IMPORTRANGE(
      ""1ZHMy3vVUd_0MrSduXTe1etBb1HNpAlGwQr006ljwMiM"",
      ""GSC最新!A:R""
    ),
    10,
    FALSE
  ),
  0
)
"),2.0)</f>
        <v>2</v>
      </c>
      <c r="N221" s="6">
        <f>IFERROR(__xludf.DUMMYFUNCTION("IFERROR(
  VLOOKUP(
    A221,
    IMPORTRANGE(
      ""1ZHMy3vVUd_0MrSduXTe1etBb1HNpAlGwQr006ljwMiM"",
      ""GSC最新!A:R""
    ),
    13,
    FALSE
  ),
  0
)
"),0.0)</f>
        <v>0</v>
      </c>
      <c r="O221" s="6">
        <f>IFERROR(__xludf.DUMMYFUNCTION("IFERROR(
  VLOOKUP(
    A221,
    IMPORTRANGE(
      ""1ZHMy3vVUd_0MrSduXTe1etBb1HNpAlGwQr006ljwMiM"",
      ""GSC最新!A:R""
    ),
    16,
    FALSE
  ),
  0
)
"),0.0)</f>
        <v>0</v>
      </c>
      <c r="P221" s="51" t="str">
        <f t="shared" ref="P221:Q221" si="1097">IFERROR(L221/N221,"-")</f>
        <v>-</v>
      </c>
      <c r="Q221" s="51" t="str">
        <f t="shared" si="1097"/>
        <v>-</v>
      </c>
      <c r="R221" s="9">
        <f>IFERROR(__xludf.DUMMYFUNCTION("IFERROR(
  VLOOKUP(
    A221,
    IMPORTRANGE(
      ""1ZHMy3vVUd_0MrSduXTe1etBb1HNpAlGwQr006ljwMiM"",
      ""GSC最新!A:R""
    ),
    8,
    FALSE
  ),
  0
)
"),0.0)</f>
        <v>0</v>
      </c>
      <c r="S221" s="9">
        <f>IFERROR(__xludf.DUMMYFUNCTION("IFERROR(
  VLOOKUP(
    A221,
    IMPORTRANGE(
      ""1ZHMy3vVUd_0MrSduXTe1etBb1HNpAlGwQr006ljwMiM"",
      ""GSC最新!A:R""
    ),
    11,
    FALSE
  ),
  0
)
"),0.0)</f>
        <v>0</v>
      </c>
      <c r="T221" s="9">
        <f>IFERROR(__xludf.DUMMYFUNCTION("IFERROR(
  VLOOKUP(
    A221,
    IMPORTRANGE(
      ""1ZHMy3vVUd_0MrSduXTe1etBb1HNpAlGwQr006ljwMiM"",
      ""GSC最新!A:R""
    ),
    14,
    FALSE
  ),
  0
)
"),0.0)</f>
        <v>0</v>
      </c>
      <c r="U221" s="9">
        <f>IFERROR(__xludf.DUMMYFUNCTION("IFERROR(
  VLOOKUP(
    A221,
    IMPORTRANGE(
      ""1ZHMy3vVUd_0MrSduXTe1etBb1HNpAlGwQr006ljwMiM"",
      ""GSC最新!A:R""
    ),
    17,
    FALSE
  ),
  0
)
"),0.0)</f>
        <v>0</v>
      </c>
      <c r="V221" s="9">
        <f t="shared" ref="V221:W221" si="1098">IFERROR(R221-T221,"-")</f>
        <v>0</v>
      </c>
      <c r="W221" s="9">
        <f t="shared" si="1098"/>
        <v>0</v>
      </c>
      <c r="X221" s="65" t="str">
        <f>IFERROR(__xludf.DUMMYFUNCTION("IFERROR(
  VLOOKUP(
    A221,
    IMPORTRANGE(
      ""1ZHMy3vVUd_0MrSduXTe1etBb1HNpAlGwQr006ljwMiM"",
      ""GSC最新!A:R""
    ),
    9,
    FALSE
  ),
  0
)
"),"")</f>
        <v/>
      </c>
      <c r="Y221" s="65">
        <f>IFERROR(__xludf.DUMMYFUNCTION("IFERROR(
  VLOOKUP(
    A221,
    IMPORTRANGE(
      ""1ZHMy3vVUd_0MrSduXTe1etBb1HNpAlGwQr006ljwMiM"",
      ""GSC最新!A:R""
    ),
    12,
    FALSE
  ),
  0
)
"),7.5)</f>
        <v>7.5</v>
      </c>
      <c r="Z221" s="65" t="str">
        <f>IFERROR(__xludf.DUMMYFUNCTION("IFERROR(
  VLOOKUP(
    A221,
    IMPORTRANGE(
      ""1ZHMy3vVUd_0MrSduXTe1etBb1HNpAlGwQr006ljwMiM"",
      ""GSC最新!A:R""
    ),
    15,
    FALSE
  ),
  0
)
"),"")</f>
        <v/>
      </c>
      <c r="AA221" s="65" t="str">
        <f>IFERROR(__xludf.DUMMYFUNCTION("IFERROR(
  VLOOKUP(
    A221,
    IMPORTRANGE(
      ""1ZHMy3vVUd_0MrSduXTe1etBb1HNpAlGwQr006ljwMiM"",
      ""GSC最新!A:R""
    ),
    18,
    FALSE
  ),
  0
)
"),"")</f>
        <v/>
      </c>
      <c r="AB221" s="65">
        <f t="shared" ref="AB221:AC221" si="1099">X221-Z221</f>
        <v>0</v>
      </c>
      <c r="AC221" s="65">
        <f t="shared" si="1099"/>
        <v>7.5</v>
      </c>
      <c r="AD221" s="53">
        <f>IFERROR(__xludf.DUMMYFUNCTION("IFERROR(
  VLOOKUP(
    A221,
    IMPORTRANGE(
      ""1ZHMy3vVUd_0MrSduXTe1etBb1HNpAlGwQr006ljwMiM"",
      ""GSC最新!A:F""
    ),
    6,
    FALSE
  ),
  0
)
"),46081.0)</f>
        <v>46081</v>
      </c>
      <c r="AE221" s="54">
        <f>IFERROR(__xludf.DUMMYFUNCTION("IFERROR(
  VLOOKUP(
    A221,
    IMPORTRANGE(
      ""1SCYQd7_cobOYqT0r_F0IqD4tE4rYn5y8Eup4PJTH8es"",
      ""Snapshot!A:M""
    ),
    5,
    FALSE
  ),
  ""-""
)
"),0.0)</f>
        <v>0</v>
      </c>
      <c r="AF221" s="54">
        <f>IFERROR(__xludf.DUMMYFUNCTION("IFERROR(
  VLOOKUP(
    A221,
    IMPORTRANGE(
      ""1SCYQd7_cobOYqT0r_F0IqD4tE4rYn5y8Eup4PJTH8es"",
      ""Snapshot!A:M""
    ),
    6,
    FALSE
  ),
  0
)
"),5.0)</f>
        <v>5</v>
      </c>
      <c r="AG221" s="54">
        <f>IFERROR(__xludf.DUMMYFUNCTION("IFERROR(
  VLOOKUP(
    A221,
    IMPORTRANGE(
      ""1SCYQd7_cobOYqT0r_F0IqD4tE4rYn5y8Eup4PJTH8es"",
      ""Snapshot!A:M""
    ),
    7,
    FALSE
  ),
  0
)
"),468.0)</f>
        <v>468</v>
      </c>
      <c r="AH221" s="54">
        <f>IFERROR(__xludf.DUMMYFUNCTION("IFERROR(
  VLOOKUP(
    A221,
    IMPORTRANGE(
      ""1SCYQd7_cobOYqT0r_F0IqD4tE4rYn5y8Eup4PJTH8es"",
      ""Snapshot!A:M""
    ),
    8,
    FALSE
  ),
  0
)
"),2.0)</f>
        <v>2</v>
      </c>
      <c r="AI221" s="54">
        <f>IFERROR(__xludf.DUMMYFUNCTION("IFERROR(
  VLOOKUP(
    A221,
    IMPORTRANGE(
      ""1SCYQd7_cobOYqT0r_F0IqD4tE4rYn5y8Eup4PJTH8es"",
      ""Snapshot!A:M""
    ),
    9,
    FALSE
  ),
  0
)
"),1.0)</f>
        <v>1</v>
      </c>
      <c r="AJ221" s="54">
        <f>IFERROR(__xludf.DUMMYFUNCTION("IFERROR(
  VLOOKUP(
    A221,
    IMPORTRANGE(
      ""1SCYQd7_cobOYqT0r_F0IqD4tE4rYn5y8Eup4PJTH8es"",
      ""Snapshot!A:M""
    ),
    13,
    FALSE
  ),
  0
)
"),3.0)</f>
        <v>3</v>
      </c>
      <c r="AK221" s="49">
        <f t="shared" ref="AK221:AL221" si="1100">LEN(C221)</f>
        <v>70</v>
      </c>
      <c r="AL221" s="49">
        <f t="shared" si="1100"/>
        <v>54</v>
      </c>
    </row>
    <row r="222">
      <c r="A222" s="1" t="s">
        <v>709</v>
      </c>
      <c r="B222" s="1" t="str">
        <f>IFERROR(__xludf.DUMMYFUNCTION("IFERROR(
  VLOOKUP(
    A222,
    IMPORTRANGE(
      ""1ZygntHC1J6IxzKbTidmOyf5nUyW4GCLurHCjexrLm_o"",
      ""HTMLキャッシュ!A:F""
    ),
    2,
    FALSE
  ),
  0
)
"),"NW")</f>
        <v>NW</v>
      </c>
      <c r="C222" s="1" t="str">
        <f>IFERROR(__xludf.DUMMYFUNCTION("IFERROR(
  VLOOKUP(
    A222,
    IMPORTRANGE(
      ""1ZygntHC1J6IxzKbTidmOyf5nUyW4GCLurHCjexrLm_o"",
      ""HTMLキャッシュ!A:F""
    ),
    5,
    FALSE
  ),
  0
)
"),"2023年度春期講習会のお知らせ - 受験国語専門 読解ラボ東京 | 中学受験・大学受験対応の個別指導国語専門塾（オンライン・教室対応）")</f>
        <v>2023年度春期講習会のお知らせ - 受験国語専門 読解ラボ東京 | 中学受験・大学受験対応の個別指導国語専門塾（オンライン・教室対応）</v>
      </c>
      <c r="D222" s="1" t="str">
        <f>IFERROR(__xludf.DUMMYFUNCTION("IFERROR(
  VLOOKUP(
    A222,
    IMPORTRANGE(
      ""1ZygntHC1J6IxzKbTidmOyf5nUyW4GCLurHCjexrLm_o        "",
      ""HTMLキャッシュ!A:F""
    ),
    6,
    FALSE
  ),
  0
)
"),"春休みは短いながらも、日頃の課題を解消し、実力を伸ばす絶好の機会です。 当塾では、この春休みを有意義に過ごして")</f>
        <v>春休みは短いながらも、日頃の課題を解消し、実力を伸ばす絶好の機会です。 当塾では、この春休みを有意義に過ごして</v>
      </c>
      <c r="E222" s="32">
        <f>IFERROR(__xludf.DUMMYFUNCTION("IFERROR(
  VLOOKUP(
    A222,
    IMPORTRANGE(
      ""1ZygntHC1J6IxzKbTidmOyf5nUyW4GCLurHCjexrLm_o        "",
      ""HTMLキャッシュ!A:F""
    ),
    3,
    FALSE
  ),
  0
)
"),46015.59993055555)</f>
        <v>46015.59993</v>
      </c>
      <c r="F222" s="49">
        <f>IFERROR(__xludf.DUMMYFUNCTION("IFERROR(
  VLOOKUP(
    A222,
    IMPORTRANGE(
      ""1ZHMy3vVUd_0MrSduXTe1etBb1HNpAlGwQr006ljwMiM"",
      ""GSC最新!A:F""
    ),
    2,
    FALSE
  ),
  0
)
"),0.0)</f>
        <v>0</v>
      </c>
      <c r="G222" s="49">
        <f>IFERROR(__xludf.DUMMYFUNCTION("IFERROR(
  VLOOKUP(
    A222,
    IMPORTRANGE(
      ""1ZHMy3vVUd_0MrSduXTe1etBb1HNpAlGwQr006ljwMiM"",
      ""GSC最新!A:F""
    ),
    3,
    FALSE
  ),
  0
)
"),0.0)</f>
        <v>0</v>
      </c>
      <c r="H222" s="49">
        <f>IFERROR(__xludf.DUMMYFUNCTION("IFERROR(
  VLOOKUP(
    A222,
    IMPORTRANGE(
      ""1ZHMy3vVUd_0MrSduXTe1etBb1HNpAlGwQr006ljwMiM"",
      ""GSC最新!A:F""
    ),
    4,
    FALSE
  ),
  0
)
"),1.0)</f>
        <v>1</v>
      </c>
      <c r="I222" s="49">
        <f>IFERROR(__xludf.DUMMYFUNCTION("IFERROR(
  VLOOKUP(
    A222,
    IMPORTRANGE(
      ""1ZHMy3vVUd_0MrSduXTe1etBb1HNpAlGwQr006ljwMiM"",
      ""GSC最新!A:F""
    ),
    5,
    FALSE
  ),
  0
)
"),1.0)</f>
        <v>1</v>
      </c>
      <c r="J222" s="50">
        <f t="shared" ref="J222:K222" si="1101">IFERROR(F222/H222,"-")</f>
        <v>0</v>
      </c>
      <c r="K222" s="50">
        <f t="shared" si="1101"/>
        <v>0</v>
      </c>
      <c r="L222" s="6">
        <f>IFERROR(__xludf.DUMMYFUNCTION("IFERROR(
  VLOOKUP(
    A222,
    IMPORTRANGE(
      ""1ZHMy3vVUd_0MrSduXTe1etBb1HNpAlGwQr006ljwMiM"",
      ""GSC最新!A:R""
    ),
    7,
    FALSE
  ),
  0
)
"),1.0)</f>
        <v>1</v>
      </c>
      <c r="M222" s="6">
        <f>IFERROR(__xludf.DUMMYFUNCTION("IFERROR(
  VLOOKUP(
    A222,
    IMPORTRANGE(
      ""1ZHMy3vVUd_0MrSduXTe1etBb1HNpAlGwQr006ljwMiM"",
      ""GSC最新!A:R""
    ),
    10,
    FALSE
  ),
  0
)
"),1.0)</f>
        <v>1</v>
      </c>
      <c r="N222" s="6">
        <f>IFERROR(__xludf.DUMMYFUNCTION("IFERROR(
  VLOOKUP(
    A222,
    IMPORTRANGE(
      ""1ZHMy3vVUd_0MrSduXTe1etBb1HNpAlGwQr006ljwMiM"",
      ""GSC最新!A:R""
    ),
    13,
    FALSE
  ),
  0
)
"),8.0)</f>
        <v>8</v>
      </c>
      <c r="O222" s="6">
        <f>IFERROR(__xludf.DUMMYFUNCTION("IFERROR(
  VLOOKUP(
    A222,
    IMPORTRANGE(
      ""1ZHMy3vVUd_0MrSduXTe1etBb1HNpAlGwQr006ljwMiM"",
      ""GSC最新!A:R""
    ),
    16,
    FALSE
  ),
  0
)
"),8.0)</f>
        <v>8</v>
      </c>
      <c r="P222" s="51">
        <f t="shared" ref="P222:Q222" si="1102">IFERROR(L222/N222,"-")</f>
        <v>0.125</v>
      </c>
      <c r="Q222" s="51">
        <f t="shared" si="1102"/>
        <v>0.125</v>
      </c>
      <c r="R222" s="9">
        <f>IFERROR(__xludf.DUMMYFUNCTION("IFERROR(
  VLOOKUP(
    A222,
    IMPORTRANGE(
      ""1ZHMy3vVUd_0MrSduXTe1etBb1HNpAlGwQr006ljwMiM"",
      ""GSC最新!A:R""
    ),
    8,
    FALSE
  ),
  0
)
"),0.0)</f>
        <v>0</v>
      </c>
      <c r="S222" s="9">
        <f>IFERROR(__xludf.DUMMYFUNCTION("IFERROR(
  VLOOKUP(
    A222,
    IMPORTRANGE(
      ""1ZHMy3vVUd_0MrSduXTe1etBb1HNpAlGwQr006ljwMiM"",
      ""GSC最新!A:R""
    ),
    11,
    FALSE
  ),
  0
)
"),0.0)</f>
        <v>0</v>
      </c>
      <c r="T222" s="9">
        <f>IFERROR(__xludf.DUMMYFUNCTION("IFERROR(
  VLOOKUP(
    A222,
    IMPORTRANGE(
      ""1ZHMy3vVUd_0MrSduXTe1etBb1HNpAlGwQr006ljwMiM"",
      ""GSC最新!A:R""
    ),
    14,
    FALSE
  ),
  0
)
"),0.125)</f>
        <v>0.125</v>
      </c>
      <c r="U222" s="9">
        <f>IFERROR(__xludf.DUMMYFUNCTION("IFERROR(
  VLOOKUP(
    A222,
    IMPORTRANGE(
      ""1ZHMy3vVUd_0MrSduXTe1etBb1HNpAlGwQr006ljwMiM"",
      ""GSC最新!A:R""
    ),
    17,
    FALSE
  ),
  0
)
"),0.125)</f>
        <v>0.125</v>
      </c>
      <c r="V222" s="9">
        <f t="shared" ref="V222:W222" si="1103">IFERROR(R222-T222,"-")</f>
        <v>-0.125</v>
      </c>
      <c r="W222" s="9">
        <f t="shared" si="1103"/>
        <v>-0.125</v>
      </c>
      <c r="X222" s="65">
        <f>IFERROR(__xludf.DUMMYFUNCTION("IFERROR(
  VLOOKUP(
    A222,
    IMPORTRANGE(
      ""1ZHMy3vVUd_0MrSduXTe1etBb1HNpAlGwQr006ljwMiM"",
      ""GSC最新!A:R""
    ),
    9,
    FALSE
  ),
  0
)
"),8.0)</f>
        <v>8</v>
      </c>
      <c r="Y222" s="65">
        <f>IFERROR(__xludf.DUMMYFUNCTION("IFERROR(
  VLOOKUP(
    A222,
    IMPORTRANGE(
      ""1ZHMy3vVUd_0MrSduXTe1etBb1HNpAlGwQr006ljwMiM"",
      ""GSC最新!A:R""
    ),
    12,
    FALSE
  ),
  0
)
"),8.0)</f>
        <v>8</v>
      </c>
      <c r="Z222" s="65">
        <f>IFERROR(__xludf.DUMMYFUNCTION("IFERROR(
  VLOOKUP(
    A222,
    IMPORTRANGE(
      ""1ZHMy3vVUd_0MrSduXTe1etBb1HNpAlGwQr006ljwMiM"",
      ""GSC最新!A:R""
    ),
    15,
    FALSE
  ),
  0
)
"),5.375)</f>
        <v>5.375</v>
      </c>
      <c r="AA222" s="65">
        <f>IFERROR(__xludf.DUMMYFUNCTION("IFERROR(
  VLOOKUP(
    A222,
    IMPORTRANGE(
      ""1ZHMy3vVUd_0MrSduXTe1etBb1HNpAlGwQr006ljwMiM"",
      ""GSC最新!A:R""
    ),
    18,
    FALSE
  ),
  0
)
"),5.375)</f>
        <v>5.375</v>
      </c>
      <c r="AB222" s="65">
        <f t="shared" ref="AB222:AC222" si="1104">X222-Z222</f>
        <v>2.625</v>
      </c>
      <c r="AC222" s="65">
        <f t="shared" si="1104"/>
        <v>2.625</v>
      </c>
      <c r="AD222" s="53">
        <f>IFERROR(__xludf.DUMMYFUNCTION("IFERROR(
  VLOOKUP(
    A222,
    IMPORTRANGE(
      ""1ZHMy3vVUd_0MrSduXTe1etBb1HNpAlGwQr006ljwMiM"",
      ""GSC最新!A:F""
    ),
    6,
    FALSE
  ),
  0
)
"),46081.0)</f>
        <v>46081</v>
      </c>
      <c r="AE222" s="54">
        <f>IFERROR(__xludf.DUMMYFUNCTION("IFERROR(
  VLOOKUP(
    A222,
    IMPORTRANGE(
      ""1SCYQd7_cobOYqT0r_F0IqD4tE4rYn5y8Eup4PJTH8es"",
      ""Snapshot!A:M""
    ),
    5,
    FALSE
  ),
  ""-""
)
"),0.0)</f>
        <v>0</v>
      </c>
      <c r="AF222" s="54">
        <f>IFERROR(__xludf.DUMMYFUNCTION("IFERROR(
  VLOOKUP(
    A222,
    IMPORTRANGE(
      ""1SCYQd7_cobOYqT0r_F0IqD4tE4rYn5y8Eup4PJTH8es"",
      ""Snapshot!A:M""
    ),
    6,
    FALSE
  ),
  0
)
"),0.0)</f>
        <v>0</v>
      </c>
      <c r="AG222" s="54">
        <f>IFERROR(__xludf.DUMMYFUNCTION("IFERROR(
  VLOOKUP(
    A222,
    IMPORTRANGE(
      ""1SCYQd7_cobOYqT0r_F0IqD4tE4rYn5y8Eup4PJTH8es"",
      ""Snapshot!A:M""
    ),
    7,
    FALSE
  ),
  0
)
"),449.0)</f>
        <v>449</v>
      </c>
      <c r="AH222" s="54">
        <f>IFERROR(__xludf.DUMMYFUNCTION("IFERROR(
  VLOOKUP(
    A222,
    IMPORTRANGE(
      ""1SCYQd7_cobOYqT0r_F0IqD4tE4rYn5y8Eup4PJTH8es"",
      ""Snapshot!A:M""
    ),
    8,
    FALSE
  ),
  0
)
"),2.0)</f>
        <v>2</v>
      </c>
      <c r="AI222" s="54">
        <f>IFERROR(__xludf.DUMMYFUNCTION("IFERROR(
  VLOOKUP(
    A222,
    IMPORTRANGE(
      ""1SCYQd7_cobOYqT0r_F0IqD4tE4rYn5y8Eup4PJTH8es"",
      ""Snapshot!A:M""
    ),
    9,
    FALSE
  ),
  0
)
"),1.0)</f>
        <v>1</v>
      </c>
      <c r="AJ222" s="54">
        <f>IFERROR(__xludf.DUMMYFUNCTION("IFERROR(
  VLOOKUP(
    A222,
    IMPORTRANGE(
      ""1SCYQd7_cobOYqT0r_F0IqD4tE4rYn5y8Eup4PJTH8es"",
      ""Snapshot!A:M""
    ),
    13,
    FALSE
  ),
  0
)
"),3.0)</f>
        <v>3</v>
      </c>
      <c r="AK222" s="49">
        <f t="shared" ref="AK222:AL222" si="1105">LEN(C222)</f>
        <v>68</v>
      </c>
      <c r="AL222" s="49">
        <f t="shared" si="1105"/>
        <v>55</v>
      </c>
    </row>
    <row r="223">
      <c r="A223" s="3" t="s">
        <v>710</v>
      </c>
      <c r="B223" s="1" t="str">
        <f>IFERROR(__xludf.DUMMYFUNCTION("IFERROR(
  VLOOKUP(
    A223,
    IMPORTRANGE(
      ""1ZygntHC1J6IxzKbTidmOyf5nUyW4GCLurHCjexrLm_o"",
      ""HTMLキャッシュ!A:F""
    ),
    2,
    FALSE
  ),
  0
)
"),"MC")</f>
        <v>MC</v>
      </c>
      <c r="C223" s="1" t="str">
        <f>IFERROR(__xludf.DUMMYFUNCTION("IFERROR(
  VLOOKUP(
    A223,
    IMPORTRANGE(
      ""1ZygntHC1J6IxzKbTidmOyf5nUyW4GCLurHCjexrLm_o"",
      ""HTMLキャッシュ!A:F""
    ),
    5,
    FALSE
  ),
  0
)
"),"指導方針 - 受験国語専門 読解ラボ東京 | 中学受験・大学受験対応の個別指導国語専門塾（オンライン・教室対応）")</f>
        <v>指導方針 - 受験国語専門 読解ラボ東京 | 中学受験・大学受験対応の個別指導国語専門塾（オンライン・教室対応）</v>
      </c>
      <c r="D223" s="1" t="str">
        <f>IFERROR(__xludf.DUMMYFUNCTION("IFERROR(
  VLOOKUP(
    A223,
    IMPORTRANGE(
      ""1ZygntHC1J6IxzKbTidmOyf5nUyW4GCLurHCjexrLm_o        "",
      ""HTMLキャッシュ!A:F""
    ),
    6,
    FALSE
  ),
  0
)
"),"国語には才能が必要？ 中学受験の国語や大学受験の現代文について、どのような印象をお持ちでしょうか。「勉強しても")</f>
        <v>国語には才能が必要？ 中学受験の国語や大学受験の現代文について、どのような印象をお持ちでしょうか。「勉強しても</v>
      </c>
      <c r="E223" s="32">
        <f>IFERROR(__xludf.DUMMYFUNCTION("IFERROR(
  VLOOKUP(
    A223,
    IMPORTRANGE(
      ""1ZygntHC1J6IxzKbTidmOyf5nUyW4GCLurHCjexrLm_o        "",
      ""HTMLキャッシュ!A:F""
    ),
    3,
    FALSE
  ),
  0
)
"),46031.79740740741)</f>
        <v>46031.79741</v>
      </c>
      <c r="F223" s="49">
        <f>IFERROR(__xludf.DUMMYFUNCTION("IFERROR(
  VLOOKUP(
    A223,
    IMPORTRANGE(
      ""1ZHMy3vVUd_0MrSduXTe1etBb1HNpAlGwQr006ljwMiM"",
      ""GSC最新!A:F""
    ),
    2,
    FALSE
  ),
  0
)
"),0.0)</f>
        <v>0</v>
      </c>
      <c r="G223" s="49">
        <f>IFERROR(__xludf.DUMMYFUNCTION("IFERROR(
  VLOOKUP(
    A223,
    IMPORTRANGE(
      ""1ZHMy3vVUd_0MrSduXTe1etBb1HNpAlGwQr006ljwMiM"",
      ""GSC最新!A:F""
    ),
    3,
    FALSE
  ),
  0
)
"),0.0)</f>
        <v>0</v>
      </c>
      <c r="H223" s="49">
        <f>IFERROR(__xludf.DUMMYFUNCTION("IFERROR(
  VLOOKUP(
    A223,
    IMPORTRANGE(
      ""1ZHMy3vVUd_0MrSduXTe1etBb1HNpAlGwQr006ljwMiM"",
      ""GSC最新!A:F""
    ),
    4,
    FALSE
  ),
  0
)
"),0.0)</f>
        <v>0</v>
      </c>
      <c r="I223" s="49">
        <f>IFERROR(__xludf.DUMMYFUNCTION("IFERROR(
  VLOOKUP(
    A223,
    IMPORTRANGE(
      ""1ZHMy3vVUd_0MrSduXTe1etBb1HNpAlGwQr006ljwMiM"",
      ""GSC最新!A:F""
    ),
    5,
    FALSE
  ),
  0
)
"),0.0)</f>
        <v>0</v>
      </c>
      <c r="J223" s="50" t="str">
        <f t="shared" ref="J223:K223" si="1106">IFERROR(F223/H223,"-")</f>
        <v>-</v>
      </c>
      <c r="K223" s="50" t="str">
        <f t="shared" si="1106"/>
        <v>-</v>
      </c>
      <c r="L223" s="6">
        <f>IFERROR(__xludf.DUMMYFUNCTION("IFERROR(
  VLOOKUP(
    A223,
    IMPORTRANGE(
      ""1ZHMy3vVUd_0MrSduXTe1etBb1HNpAlGwQr006ljwMiM"",
      ""GSC最新!A:R""
    ),
    7,
    FALSE
  ),
  0
)
"),0.0)</f>
        <v>0</v>
      </c>
      <c r="M223" s="6">
        <f>IFERROR(__xludf.DUMMYFUNCTION("IFERROR(
  VLOOKUP(
    A223,
    IMPORTRANGE(
      ""1ZHMy3vVUd_0MrSduXTe1etBb1HNpAlGwQr006ljwMiM"",
      ""GSC最新!A:R""
    ),
    10,
    FALSE
  ),
  0
)
"),0.0)</f>
        <v>0</v>
      </c>
      <c r="N223" s="6">
        <f>IFERROR(__xludf.DUMMYFUNCTION("IFERROR(
  VLOOKUP(
    A223,
    IMPORTRANGE(
      ""1ZHMy3vVUd_0MrSduXTe1etBb1HNpAlGwQr006ljwMiM"",
      ""GSC最新!A:R""
    ),
    13,
    FALSE
  ),
  0
)
"),0.0)</f>
        <v>0</v>
      </c>
      <c r="O223" s="6">
        <f>IFERROR(__xludf.DUMMYFUNCTION("IFERROR(
  VLOOKUP(
    A223,
    IMPORTRANGE(
      ""1ZHMy3vVUd_0MrSduXTe1etBb1HNpAlGwQr006ljwMiM"",
      ""GSC最新!A:R""
    ),
    16,
    FALSE
  ),
  0
)
"),1.0)</f>
        <v>1</v>
      </c>
      <c r="P223" s="51" t="str">
        <f t="shared" ref="P223:Q223" si="1107">IFERROR(L223/N223,"-")</f>
        <v>-</v>
      </c>
      <c r="Q223" s="51">
        <f t="shared" si="1107"/>
        <v>0</v>
      </c>
      <c r="R223" s="9">
        <f>IFERROR(__xludf.DUMMYFUNCTION("IFERROR(
  VLOOKUP(
    A223,
    IMPORTRANGE(
      ""1ZHMy3vVUd_0MrSduXTe1etBb1HNpAlGwQr006ljwMiM"",
      ""GSC最新!A:R""
    ),
    8,
    FALSE
  ),
  0
)
"),0.0)</f>
        <v>0</v>
      </c>
      <c r="S223" s="9">
        <f>IFERROR(__xludf.DUMMYFUNCTION("IFERROR(
  VLOOKUP(
    A223,
    IMPORTRANGE(
      ""1ZHMy3vVUd_0MrSduXTe1etBb1HNpAlGwQr006ljwMiM"",
      ""GSC最新!A:R""
    ),
    11,
    FALSE
  ),
  0
)
"),0.0)</f>
        <v>0</v>
      </c>
      <c r="T223" s="9">
        <f>IFERROR(__xludf.DUMMYFUNCTION("IFERROR(
  VLOOKUP(
    A223,
    IMPORTRANGE(
      ""1ZHMy3vVUd_0MrSduXTe1etBb1HNpAlGwQr006ljwMiM"",
      ""GSC最新!A:R""
    ),
    14,
    FALSE
  ),
  0
)
"),0.0)</f>
        <v>0</v>
      </c>
      <c r="U223" s="9">
        <f>IFERROR(__xludf.DUMMYFUNCTION("IFERROR(
  VLOOKUP(
    A223,
    IMPORTRANGE(
      ""1ZHMy3vVUd_0MrSduXTe1etBb1HNpAlGwQr006ljwMiM"",
      ""GSC最新!A:R""
    ),
    17,
    FALSE
  ),
  0
)
"),0.0)</f>
        <v>0</v>
      </c>
      <c r="V223" s="9">
        <f t="shared" ref="V223:W223" si="1108">IFERROR(R223-T223,"-")</f>
        <v>0</v>
      </c>
      <c r="W223" s="9">
        <f t="shared" si="1108"/>
        <v>0</v>
      </c>
      <c r="X223" s="65" t="str">
        <f>IFERROR(__xludf.DUMMYFUNCTION("IFERROR(
  VLOOKUP(
    A223,
    IMPORTRANGE(
      ""1ZHMy3vVUd_0MrSduXTe1etBb1HNpAlGwQr006ljwMiM"",
      ""GSC最新!A:R""
    ),
    9,
    FALSE
  ),
  0
)
"),"")</f>
        <v/>
      </c>
      <c r="Y223" s="65" t="str">
        <f>IFERROR(__xludf.DUMMYFUNCTION("IFERROR(
  VLOOKUP(
    A223,
    IMPORTRANGE(
      ""1ZHMy3vVUd_0MrSduXTe1etBb1HNpAlGwQr006ljwMiM"",
      ""GSC最新!A:R""
    ),
    12,
    FALSE
  ),
  0
)
"),"")</f>
        <v/>
      </c>
      <c r="Z223" s="65" t="str">
        <f>IFERROR(__xludf.DUMMYFUNCTION("IFERROR(
  VLOOKUP(
    A223,
    IMPORTRANGE(
      ""1ZHMy3vVUd_0MrSduXTe1etBb1HNpAlGwQr006ljwMiM"",
      ""GSC最新!A:R""
    ),
    15,
    FALSE
  ),
  0
)
"),"")</f>
        <v/>
      </c>
      <c r="AA223" s="65">
        <f>IFERROR(__xludf.DUMMYFUNCTION("IFERROR(
  VLOOKUP(
    A223,
    IMPORTRANGE(
      ""1ZHMy3vVUd_0MrSduXTe1etBb1HNpAlGwQr006ljwMiM"",
      ""GSC最新!A:R""
    ),
    18,
    FALSE
  ),
  0
)
"),11.0)</f>
        <v>11</v>
      </c>
      <c r="AB223" s="65">
        <f t="shared" ref="AB223:AC223" si="1109">X223-Z223</f>
        <v>0</v>
      </c>
      <c r="AC223" s="65">
        <f t="shared" si="1109"/>
        <v>-11</v>
      </c>
      <c r="AD223" s="53">
        <f>IFERROR(__xludf.DUMMYFUNCTION("IFERROR(
  VLOOKUP(
    A223,
    IMPORTRANGE(
      ""1ZHMy3vVUd_0MrSduXTe1etBb1HNpAlGwQr006ljwMiM"",
      ""GSC最新!A:F""
    ),
    6,
    FALSE
  ),
  0
)
"),46081.0)</f>
        <v>46081</v>
      </c>
      <c r="AE223" s="54">
        <f>IFERROR(__xludf.DUMMYFUNCTION("IFERROR(
  VLOOKUP(
    A223,
    IMPORTRANGE(
      ""1SCYQd7_cobOYqT0r_F0IqD4tE4rYn5y8Eup4PJTH8es"",
      ""Snapshot!A:M""
    ),
    5,
    FALSE
  ),
  ""-""
)
"),3.0)</f>
        <v>3</v>
      </c>
      <c r="AF223" s="54">
        <f>IFERROR(__xludf.DUMMYFUNCTION("IFERROR(
  VLOOKUP(
    A223,
    IMPORTRANGE(
      ""1SCYQd7_cobOYqT0r_F0IqD4tE4rYn5y8Eup4PJTH8es"",
      ""Snapshot!A:M""
    ),
    6,
    FALSE
  ),
  0
)
"),1.0)</f>
        <v>1</v>
      </c>
      <c r="AG223" s="54">
        <f>IFERROR(__xludf.DUMMYFUNCTION("IFERROR(
  VLOOKUP(
    A223,
    IMPORTRANGE(
      ""1SCYQd7_cobOYqT0r_F0IqD4tE4rYn5y8Eup4PJTH8es"",
      ""Snapshot!A:M""
    ),
    7,
    FALSE
  ),
  0
)
"),1247.0)</f>
        <v>1247</v>
      </c>
      <c r="AH223" s="54">
        <f>IFERROR(__xludf.DUMMYFUNCTION("IFERROR(
  VLOOKUP(
    A223,
    IMPORTRANGE(
      ""1SCYQd7_cobOYqT0r_F0IqD4tE4rYn5y8Eup4PJTH8es"",
      ""Snapshot!A:M""
    ),
    8,
    FALSE
  ),
  0
)
"),1.0)</f>
        <v>1</v>
      </c>
      <c r="AI223" s="54">
        <f>IFERROR(__xludf.DUMMYFUNCTION("IFERROR(
  VLOOKUP(
    A223,
    IMPORTRANGE(
      ""1SCYQd7_cobOYqT0r_F0IqD4tE4rYn5y8Eup4PJTH8es"",
      ""Snapshot!A:M""
    ),
    9,
    FALSE
  ),
  0
)
"),1.0)</f>
        <v>1</v>
      </c>
      <c r="AJ223" s="54">
        <f>IFERROR(__xludf.DUMMYFUNCTION("IFERROR(
  VLOOKUP(
    A223,
    IMPORTRANGE(
      ""1SCYQd7_cobOYqT0r_F0IqD4tE4rYn5y8Eup4PJTH8es"",
      ""Snapshot!A:M""
    ),
    13,
    FALSE
  ),
  0
)
"),2.0)</f>
        <v>2</v>
      </c>
      <c r="AK223" s="49">
        <f t="shared" ref="AK223:AL223" si="1110">LEN(C223)</f>
        <v>56</v>
      </c>
      <c r="AL223" s="49">
        <f t="shared" si="1110"/>
        <v>55</v>
      </c>
    </row>
    <row r="224">
      <c r="A224" s="3" t="s">
        <v>333</v>
      </c>
      <c r="B224" s="1" t="str">
        <f>IFERROR(__xludf.DUMMYFUNCTION("IFERROR(
  VLOOKUP(
    A224,
    IMPORTRANGE(
      ""1ZygntHC1J6IxzKbTidmOyf5nUyW4GCLurHCjexrLm_o"",
      ""HTMLキャッシュ!A:F""
    ),
    2,
    FALSE
  ),
  0
)
"),"SP")</f>
        <v>SP</v>
      </c>
      <c r="C224" s="1" t="str">
        <f>IFERROR(__xludf.DUMMYFUNCTION("IFERROR(
  VLOOKUP(
    A224,
    IMPORTRANGE(
      ""1ZygntHC1J6IxzKbTidmOyf5nUyW4GCLurHCjexrLm_o"",
      ""HTMLキャッシュ!A:F""
    ),
    5,
    FALSE
  ),
  0
)
"),"中学受験の完全1対1国語個別指導講座｜得点力強化オンライン塾")</f>
        <v>中学受験の完全1対1国語個別指導講座｜得点力強化オンライン塾</v>
      </c>
      <c r="D224" s="1" t="str">
        <f>IFERROR(__xludf.DUMMYFUNCTION("IFERROR(
  VLOOKUP(
    A224,
    IMPORTRANGE(
      ""1ZygntHC1J6IxzKbTidmOyf5nUyW4GCLurHCjexrLm_o        "",
      ""HTMLキャッシュ!A:F""
    ),
    6,
    FALSE
  ),
  0
)
"),"国語が伸び悩む受験生へ。完全1対1の個別指導で根拠把握・記述力を徹底強化し合格力を育成。オンライン体験受付中、今すぐ相談可")</f>
        <v>国語が伸び悩む受験生へ。完全1対1の個別指導で根拠把握・記述力を徹底強化し合格力を育成。オンライン体験受付中、今すぐ相談可</v>
      </c>
      <c r="E224" s="32">
        <f>IFERROR(__xludf.DUMMYFUNCTION("IFERROR(
  VLOOKUP(
    A224,
    IMPORTRANGE(
      ""1ZygntHC1J6IxzKbTidmOyf5nUyW4GCLurHCjexrLm_o        "",
      ""HTMLキャッシュ!A:F""
    ),
    3,
    FALSE
  ),
  0
)
"),46081.71608796297)</f>
        <v>46081.71609</v>
      </c>
      <c r="F224" s="49">
        <f>IFERROR(__xludf.DUMMYFUNCTION("IFERROR(
  VLOOKUP(
    A224,
    IMPORTRANGE(
      ""1ZHMy3vVUd_0MrSduXTe1etBb1HNpAlGwQr006ljwMiM"",
      ""GSC最新!A:F""
    ),
    2,
    FALSE
  ),
  0
)
"),0.0)</f>
        <v>0</v>
      </c>
      <c r="G224" s="49">
        <f>IFERROR(__xludf.DUMMYFUNCTION("IFERROR(
  VLOOKUP(
    A224,
    IMPORTRANGE(
      ""1ZHMy3vVUd_0MrSduXTe1etBb1HNpAlGwQr006ljwMiM"",
      ""GSC最新!A:F""
    ),
    3,
    FALSE
  ),
  0
)
"),0.0)</f>
        <v>0</v>
      </c>
      <c r="H224" s="49">
        <f>IFERROR(__xludf.DUMMYFUNCTION("IFERROR(
  VLOOKUP(
    A224,
    IMPORTRANGE(
      ""1ZHMy3vVUd_0MrSduXTe1etBb1HNpAlGwQr006ljwMiM"",
      ""GSC最新!A:F""
    ),
    4,
    FALSE
  ),
  0
)
"),1.0)</f>
        <v>1</v>
      </c>
      <c r="I224" s="49">
        <f>IFERROR(__xludf.DUMMYFUNCTION("IFERROR(
  VLOOKUP(
    A224,
    IMPORTRANGE(
      ""1ZHMy3vVUd_0MrSduXTe1etBb1HNpAlGwQr006ljwMiM"",
      ""GSC最新!A:F""
    ),
    5,
    FALSE
  ),
  0
)
"),1.0)</f>
        <v>1</v>
      </c>
      <c r="J224" s="50">
        <f t="shared" ref="J224:K224" si="1111">IFERROR(F224/H224,"-")</f>
        <v>0</v>
      </c>
      <c r="K224" s="50">
        <f t="shared" si="1111"/>
        <v>0</v>
      </c>
      <c r="L224" s="6">
        <f>IFERROR(__xludf.DUMMYFUNCTION("IFERROR(
  VLOOKUP(
    A224,
    IMPORTRANGE(
      ""1ZHMy3vVUd_0MrSduXTe1etBb1HNpAlGwQr006ljwMiM"",
      ""GSC最新!A:R""
    ),
    7,
    FALSE
  ),
  0
)
"),6.0)</f>
        <v>6</v>
      </c>
      <c r="M224" s="6">
        <f>IFERROR(__xludf.DUMMYFUNCTION("IFERROR(
  VLOOKUP(
    A224,
    IMPORTRANGE(
      ""1ZHMy3vVUd_0MrSduXTe1etBb1HNpAlGwQr006ljwMiM"",
      ""GSC最新!A:R""
    ),
    10,
    FALSE
  ),
  0
)
"),23.0)</f>
        <v>23</v>
      </c>
      <c r="N224" s="6">
        <f>IFERROR(__xludf.DUMMYFUNCTION("IFERROR(
  VLOOKUP(
    A224,
    IMPORTRANGE(
      ""1ZHMy3vVUd_0MrSduXTe1etBb1HNpAlGwQr006ljwMiM"",
      ""GSC最新!A:R""
    ),
    13,
    FALSE
  ),
  0
)
"),10.0)</f>
        <v>10</v>
      </c>
      <c r="O224" s="6">
        <f>IFERROR(__xludf.DUMMYFUNCTION("IFERROR(
  VLOOKUP(
    A224,
    IMPORTRANGE(
      ""1ZHMy3vVUd_0MrSduXTe1etBb1HNpAlGwQr006ljwMiM"",
      ""GSC最新!A:R""
    ),
    16,
    FALSE
  ),
  0
)
"),41.0)</f>
        <v>41</v>
      </c>
      <c r="P224" s="51">
        <f t="shared" ref="P224:Q224" si="1112">IFERROR(L224/N224,"-")</f>
        <v>0.6</v>
      </c>
      <c r="Q224" s="51">
        <f t="shared" si="1112"/>
        <v>0.5609756098</v>
      </c>
      <c r="R224" s="9">
        <f>IFERROR(__xludf.DUMMYFUNCTION("IFERROR(
  VLOOKUP(
    A224,
    IMPORTRANGE(
      ""1ZHMy3vVUd_0MrSduXTe1etBb1HNpAlGwQr006ljwMiM"",
      ""GSC最新!A:R""
    ),
    8,
    FALSE
  ),
  0
)
"),0.0)</f>
        <v>0</v>
      </c>
      <c r="S224" s="9">
        <f>IFERROR(__xludf.DUMMYFUNCTION("IFERROR(
  VLOOKUP(
    A224,
    IMPORTRANGE(
      ""1ZHMy3vVUd_0MrSduXTe1etBb1HNpAlGwQr006ljwMiM"",
      ""GSC最新!A:R""
    ),
    11,
    FALSE
  ),
  0
)
"),0.0)</f>
        <v>0</v>
      </c>
      <c r="T224" s="9">
        <f>IFERROR(__xludf.DUMMYFUNCTION("IFERROR(
  VLOOKUP(
    A224,
    IMPORTRANGE(
      ""1ZHMy3vVUd_0MrSduXTe1etBb1HNpAlGwQr006ljwMiM"",
      ""GSC最新!A:R""
    ),
    14,
    FALSE
  ),
  0
)
"),0.1)</f>
        <v>0.1</v>
      </c>
      <c r="U224" s="9">
        <f>IFERROR(__xludf.DUMMYFUNCTION("IFERROR(
  VLOOKUP(
    A224,
    IMPORTRANGE(
      ""1ZHMy3vVUd_0MrSduXTe1etBb1HNpAlGwQr006ljwMiM"",
      ""GSC最新!A:R""
    ),
    17,
    FALSE
  ),
  0
)
"),0.024390243902439025)</f>
        <v>0.0243902439</v>
      </c>
      <c r="V224" s="9">
        <f t="shared" ref="V224:W224" si="1113">IFERROR(R224-T224,"-")</f>
        <v>-0.1</v>
      </c>
      <c r="W224" s="9">
        <f t="shared" si="1113"/>
        <v>-0.0243902439</v>
      </c>
      <c r="X224" s="65">
        <f>IFERROR(__xludf.DUMMYFUNCTION("IFERROR(
  VLOOKUP(
    A224,
    IMPORTRANGE(
      ""1ZHMy3vVUd_0MrSduXTe1etBb1HNpAlGwQr006ljwMiM"",
      ""GSC最新!A:R""
    ),
    9,
    FALSE
  ),
  0
)
"),43.5)</f>
        <v>43.5</v>
      </c>
      <c r="Y224" s="65">
        <f>IFERROR(__xludf.DUMMYFUNCTION("IFERROR(
  VLOOKUP(
    A224,
    IMPORTRANGE(
      ""1ZHMy3vVUd_0MrSduXTe1etBb1HNpAlGwQr006ljwMiM"",
      ""GSC最新!A:R""
    ),
    12,
    FALSE
  ),
  0
)
"),18.52173913043478)</f>
        <v>18.52173913</v>
      </c>
      <c r="Z224" s="65">
        <f>IFERROR(__xludf.DUMMYFUNCTION("IFERROR(
  VLOOKUP(
    A224,
    IMPORTRANGE(
      ""1ZHMy3vVUd_0MrSduXTe1etBb1HNpAlGwQr006ljwMiM"",
      ""GSC最新!A:R""
    ),
    15,
    FALSE
  ),
  0
)
"),7.5)</f>
        <v>7.5</v>
      </c>
      <c r="AA224" s="65">
        <f>IFERROR(__xludf.DUMMYFUNCTION("IFERROR(
  VLOOKUP(
    A224,
    IMPORTRANGE(
      ""1ZHMy3vVUd_0MrSduXTe1etBb1HNpAlGwQr006ljwMiM"",
      ""GSC最新!A:R""
    ),
    18,
    FALSE
  ),
  0
)
"),30.390243902439025)</f>
        <v>30.3902439</v>
      </c>
      <c r="AB224" s="65">
        <f t="shared" ref="AB224:AC224" si="1114">X224-Z224</f>
        <v>36</v>
      </c>
      <c r="AC224" s="65">
        <f t="shared" si="1114"/>
        <v>-11.86850477</v>
      </c>
      <c r="AD224" s="53">
        <f>IFERROR(__xludf.DUMMYFUNCTION("IFERROR(
  VLOOKUP(
    A224,
    IMPORTRANGE(
      ""1ZHMy3vVUd_0MrSduXTe1etBb1HNpAlGwQr006ljwMiM"",
      ""GSC最新!A:F""
    ),
    6,
    FALSE
  ),
  0
)
"),46081.0)</f>
        <v>46081</v>
      </c>
      <c r="AE224" s="54">
        <f>IFERROR(__xludf.DUMMYFUNCTION("IFERROR(
  VLOOKUP(
    A224,
    IMPORTRANGE(
      ""1SCYQd7_cobOYqT0r_F0IqD4tE4rYn5y8Eup4PJTH8es"",
      ""Snapshot!A:M""
    ),
    5,
    FALSE
  ),
  ""-""
)
"),4.0)</f>
        <v>4</v>
      </c>
      <c r="AF224" s="54">
        <f>IFERROR(__xludf.DUMMYFUNCTION("IFERROR(
  VLOOKUP(
    A224,
    IMPORTRANGE(
      ""1SCYQd7_cobOYqT0r_F0IqD4tE4rYn5y8Eup4PJTH8es"",
      ""Snapshot!A:M""
    ),
    6,
    FALSE
  ),
  0
)
"),7.0)</f>
        <v>7</v>
      </c>
      <c r="AG224" s="54">
        <f>IFERROR(__xludf.DUMMYFUNCTION("IFERROR(
  VLOOKUP(
    A224,
    IMPORTRANGE(
      ""1SCYQd7_cobOYqT0r_F0IqD4tE4rYn5y8Eup4PJTH8es"",
      ""Snapshot!A:M""
    ),
    7,
    FALSE
  ),
  0
)
"),4923.0)</f>
        <v>4923</v>
      </c>
      <c r="AH224" s="54">
        <f>IFERROR(__xludf.DUMMYFUNCTION("IFERROR(
  VLOOKUP(
    A224,
    IMPORTRANGE(
      ""1SCYQd7_cobOYqT0r_F0IqD4tE4rYn5y8Eup4PJTH8es"",
      ""Snapshot!A:M""
    ),
    8,
    FALSE
  ),
  0
)
"),3.0)</f>
        <v>3</v>
      </c>
      <c r="AI224" s="54">
        <f>IFERROR(__xludf.DUMMYFUNCTION("IFERROR(
  VLOOKUP(
    A224,
    IMPORTRANGE(
      ""1SCYQd7_cobOYqT0r_F0IqD4tE4rYn5y8Eup4PJTH8es"",
      ""Snapshot!A:M""
    ),
    9,
    FALSE
  ),
  0
)
"),1.0)</f>
        <v>1</v>
      </c>
      <c r="AJ224" s="54">
        <f>IFERROR(__xludf.DUMMYFUNCTION("IFERROR(
  VLOOKUP(
    A224,
    IMPORTRANGE(
      ""1SCYQd7_cobOYqT0r_F0IqD4tE4rYn5y8Eup4PJTH8es"",
      ""Snapshot!A:M""
    ),
    13,
    FALSE
  ),
  0
)
"),3.0)</f>
        <v>3</v>
      </c>
      <c r="AK224" s="49">
        <f t="shared" ref="AK224:AL224" si="1115">LEN(C224)</f>
        <v>30</v>
      </c>
      <c r="AL224" s="49">
        <f t="shared" si="1115"/>
        <v>61</v>
      </c>
    </row>
    <row r="225">
      <c r="A225" s="3" t="s">
        <v>340</v>
      </c>
      <c r="B225" s="1" t="str">
        <f>IFERROR(__xludf.DUMMYFUNCTION("IFERROR(
  VLOOKUP(
    A225,
    IMPORTRANGE(
      ""1ZygntHC1J6IxzKbTidmOyf5nUyW4GCLurHCjexrLm_o"",
      ""HTMLキャッシュ!A:F""
    ),
    2,
    FALSE
  ),
  0
)
"),"SP")</f>
        <v>SP</v>
      </c>
      <c r="C225" s="1" t="str">
        <f>IFERROR(__xludf.DUMMYFUNCTION("IFERROR(
  VLOOKUP(
    A225,
    IMPORTRANGE(
      ""1ZygntHC1J6IxzKbTidmOyf5nUyW4GCLurHCjexrLm_o"",
      ""HTMLキャッシュ!A:F""
    ),
    5,
    FALSE
  ),
  0
)
"),"中学受験国語10分集中個別指導講座｜得点力強化オンライン塾")</f>
        <v>中学受験国語10分集中個別指導講座｜得点力強化オンライン塾</v>
      </c>
      <c r="D225" s="1" t="str">
        <f>IFERROR(__xludf.DUMMYFUNCTION("IFERROR(
  VLOOKUP(
    A225,
    IMPORTRANGE(
      ""1ZygntHC1J6IxzKbTidmOyf5nUyW4GCLurHCjexrLm_o        "",
      ""HTMLキャッシュ!A:F""
    ),
    6,
    FALSE
  ),
  0
)
"),"集中が続かない小学生へ。10分オンライン個別指導で厳選問題を深掘りし思考力を定着。月8回対応、体験相談受付中")</f>
        <v>集中が続かない小学生へ。10分オンライン個別指導で厳選問題を深掘りし思考力を定着。月8回対応、体験相談受付中</v>
      </c>
      <c r="E225" s="32">
        <f>IFERROR(__xludf.DUMMYFUNCTION("IFERROR(
  VLOOKUP(
    A225,
    IMPORTRANGE(
      ""1ZygntHC1J6IxzKbTidmOyf5nUyW4GCLurHCjexrLm_o        "",
      ""HTMLキャッシュ!A:F""
    ),
    3,
    FALSE
  ),
  0
)
"),46081.7662037037)</f>
        <v>46081.7662</v>
      </c>
      <c r="F225" s="49">
        <f>IFERROR(__xludf.DUMMYFUNCTION("IFERROR(
  VLOOKUP(
    A225,
    IMPORTRANGE(
      ""1ZHMy3vVUd_0MrSduXTe1etBb1HNpAlGwQr006ljwMiM"",
      ""GSC最新!A:F""
    ),
    2,
    FALSE
  ),
  0
)
"),0.0)</f>
        <v>0</v>
      </c>
      <c r="G225" s="49">
        <f>IFERROR(__xludf.DUMMYFUNCTION("IFERROR(
  VLOOKUP(
    A225,
    IMPORTRANGE(
      ""1ZHMy3vVUd_0MrSduXTe1etBb1HNpAlGwQr006ljwMiM"",
      ""GSC最新!A:F""
    ),
    3,
    FALSE
  ),
  0
)
"),0.0)</f>
        <v>0</v>
      </c>
      <c r="H225" s="49">
        <f>IFERROR(__xludf.DUMMYFUNCTION("IFERROR(
  VLOOKUP(
    A225,
    IMPORTRANGE(
      ""1ZHMy3vVUd_0MrSduXTe1etBb1HNpAlGwQr006ljwMiM"",
      ""GSC最新!A:F""
    ),
    4,
    FALSE
  ),
  0
)
"),0.0)</f>
        <v>0</v>
      </c>
      <c r="I225" s="49">
        <f>IFERROR(__xludf.DUMMYFUNCTION("IFERROR(
  VLOOKUP(
    A225,
    IMPORTRANGE(
      ""1ZHMy3vVUd_0MrSduXTe1etBb1HNpAlGwQr006ljwMiM"",
      ""GSC最新!A:F""
    ),
    5,
    FALSE
  ),
  0
)
"),0.0)</f>
        <v>0</v>
      </c>
      <c r="J225" s="50" t="str">
        <f t="shared" ref="J225:K225" si="1116">IFERROR(F225/H225,"-")</f>
        <v>-</v>
      </c>
      <c r="K225" s="50" t="str">
        <f t="shared" si="1116"/>
        <v>-</v>
      </c>
      <c r="L225" s="6">
        <f>IFERROR(__xludf.DUMMYFUNCTION("IFERROR(
  VLOOKUP(
    A225,
    IMPORTRANGE(
      ""1ZHMy3vVUd_0MrSduXTe1etBb1HNpAlGwQr006ljwMiM"",
      ""GSC最新!A:R""
    ),
    7,
    FALSE
  ),
  0
)
"),1.0)</f>
        <v>1</v>
      </c>
      <c r="M225" s="6">
        <f>IFERROR(__xludf.DUMMYFUNCTION("IFERROR(
  VLOOKUP(
    A225,
    IMPORTRANGE(
      ""1ZHMy3vVUd_0MrSduXTe1etBb1HNpAlGwQr006ljwMiM"",
      ""GSC最新!A:R""
    ),
    10,
    FALSE
  ),
  0
)
"),4.0)</f>
        <v>4</v>
      </c>
      <c r="N225" s="6">
        <f>IFERROR(__xludf.DUMMYFUNCTION("IFERROR(
  VLOOKUP(
    A225,
    IMPORTRANGE(
      ""1ZHMy3vVUd_0MrSduXTe1etBb1HNpAlGwQr006ljwMiM"",
      ""GSC最新!A:R""
    ),
    13,
    FALSE
  ),
  0
)
"),0.0)</f>
        <v>0</v>
      </c>
      <c r="O225" s="6">
        <f>IFERROR(__xludf.DUMMYFUNCTION("IFERROR(
  VLOOKUP(
    A225,
    IMPORTRANGE(
      ""1ZHMy3vVUd_0MrSduXTe1etBb1HNpAlGwQr006ljwMiM"",
      ""GSC最新!A:R""
    ),
    16,
    FALSE
  ),
  0
)
"),0.0)</f>
        <v>0</v>
      </c>
      <c r="P225" s="51" t="str">
        <f t="shared" ref="P225:Q225" si="1117">IFERROR(L225/N225,"-")</f>
        <v>-</v>
      </c>
      <c r="Q225" s="51" t="str">
        <f t="shared" si="1117"/>
        <v>-</v>
      </c>
      <c r="R225" s="9">
        <f>IFERROR(__xludf.DUMMYFUNCTION("IFERROR(
  VLOOKUP(
    A225,
    IMPORTRANGE(
      ""1ZHMy3vVUd_0MrSduXTe1etBb1HNpAlGwQr006ljwMiM"",
      ""GSC最新!A:R""
    ),
    8,
    FALSE
  ),
  0
)
"),0.0)</f>
        <v>0</v>
      </c>
      <c r="S225" s="9">
        <f>IFERROR(__xludf.DUMMYFUNCTION("IFERROR(
  VLOOKUP(
    A225,
    IMPORTRANGE(
      ""1ZHMy3vVUd_0MrSduXTe1etBb1HNpAlGwQr006ljwMiM"",
      ""GSC最新!A:R""
    ),
    11,
    FALSE
  ),
  0
)
"),0.0)</f>
        <v>0</v>
      </c>
      <c r="T225" s="9">
        <f>IFERROR(__xludf.DUMMYFUNCTION("IFERROR(
  VLOOKUP(
    A225,
    IMPORTRANGE(
      ""1ZHMy3vVUd_0MrSduXTe1etBb1HNpAlGwQr006ljwMiM"",
      ""GSC最新!A:R""
    ),
    14,
    FALSE
  ),
  0
)
"),0.0)</f>
        <v>0</v>
      </c>
      <c r="U225" s="9">
        <f>IFERROR(__xludf.DUMMYFUNCTION("IFERROR(
  VLOOKUP(
    A225,
    IMPORTRANGE(
      ""1ZHMy3vVUd_0MrSduXTe1etBb1HNpAlGwQr006ljwMiM"",
      ""GSC最新!A:R""
    ),
    17,
    FALSE
  ),
  0
)
"),0.0)</f>
        <v>0</v>
      </c>
      <c r="V225" s="9">
        <f t="shared" ref="V225:W225" si="1118">IFERROR(R225-T225,"-")</f>
        <v>0</v>
      </c>
      <c r="W225" s="9">
        <f t="shared" si="1118"/>
        <v>0</v>
      </c>
      <c r="X225" s="65">
        <f>IFERROR(__xludf.DUMMYFUNCTION("IFERROR(
  VLOOKUP(
    A225,
    IMPORTRANGE(
      ""1ZHMy3vVUd_0MrSduXTe1etBb1HNpAlGwQr006ljwMiM"",
      ""GSC最新!A:R""
    ),
    9,
    FALSE
  ),
  0
)
"),8.0)</f>
        <v>8</v>
      </c>
      <c r="Y225" s="65">
        <f>IFERROR(__xludf.DUMMYFUNCTION("IFERROR(
  VLOOKUP(
    A225,
    IMPORTRANGE(
      ""1ZHMy3vVUd_0MrSduXTe1etBb1HNpAlGwQr006ljwMiM"",
      ""GSC最新!A:R""
    ),
    12,
    FALSE
  ),
  0
)
"),5.5)</f>
        <v>5.5</v>
      </c>
      <c r="Z225" s="65" t="str">
        <f>IFERROR(__xludf.DUMMYFUNCTION("IFERROR(
  VLOOKUP(
    A225,
    IMPORTRANGE(
      ""1ZHMy3vVUd_0MrSduXTe1etBb1HNpAlGwQr006ljwMiM"",
      ""GSC最新!A:R""
    ),
    15,
    FALSE
  ),
  0
)
"),"")</f>
        <v/>
      </c>
      <c r="AA225" s="65" t="str">
        <f>IFERROR(__xludf.DUMMYFUNCTION("IFERROR(
  VLOOKUP(
    A225,
    IMPORTRANGE(
      ""1ZHMy3vVUd_0MrSduXTe1etBb1HNpAlGwQr006ljwMiM"",
      ""GSC最新!A:R""
    ),
    18,
    FALSE
  ),
  0
)
"),"")</f>
        <v/>
      </c>
      <c r="AB225" s="65">
        <f t="shared" ref="AB225:AC225" si="1119">X225-Z225</f>
        <v>8</v>
      </c>
      <c r="AC225" s="65">
        <f t="shared" si="1119"/>
        <v>5.5</v>
      </c>
      <c r="AD225" s="53">
        <f>IFERROR(__xludf.DUMMYFUNCTION("IFERROR(
  VLOOKUP(
    A225,
    IMPORTRANGE(
      ""1ZHMy3vVUd_0MrSduXTe1etBb1HNpAlGwQr006ljwMiM"",
      ""GSC最新!A:F""
    ),
    6,
    FALSE
  ),
  0
)
"),46081.0)</f>
        <v>46081</v>
      </c>
      <c r="AE225" s="54">
        <f>IFERROR(__xludf.DUMMYFUNCTION("IFERROR(
  VLOOKUP(
    A225,
    IMPORTRANGE(
      ""1SCYQd7_cobOYqT0r_F0IqD4tE4rYn5y8Eup4PJTH8es"",
      ""Snapshot!A:M""
    ),
    5,
    FALSE
  ),
  ""-""
)
"),8.0)</f>
        <v>8</v>
      </c>
      <c r="AF225" s="54">
        <f>IFERROR(__xludf.DUMMYFUNCTION("IFERROR(
  VLOOKUP(
    A225,
    IMPORTRANGE(
      ""1SCYQd7_cobOYqT0r_F0IqD4tE4rYn5y8Eup4PJTH8es"",
      ""Snapshot!A:M""
    ),
    6,
    FALSE
  ),
  0
)
"),0.0)</f>
        <v>0</v>
      </c>
      <c r="AG225" s="54">
        <f>IFERROR(__xludf.DUMMYFUNCTION("IFERROR(
  VLOOKUP(
    A225,
    IMPORTRANGE(
      ""1SCYQd7_cobOYqT0r_F0IqD4tE4rYn5y8Eup4PJTH8es"",
      ""Snapshot!A:M""
    ),
    7,
    FALSE
  ),
  0
)
"),1335.0)</f>
        <v>1335</v>
      </c>
      <c r="AH225" s="54">
        <f>IFERROR(__xludf.DUMMYFUNCTION("IFERROR(
  VLOOKUP(
    A225,
    IMPORTRANGE(
      ""1SCYQd7_cobOYqT0r_F0IqD4tE4rYn5y8Eup4PJTH8es"",
      ""Snapshot!A:M""
    ),
    8,
    FALSE
  ),
  0
)
"),2.0)</f>
        <v>2</v>
      </c>
      <c r="AI225" s="54">
        <f>IFERROR(__xludf.DUMMYFUNCTION("IFERROR(
  VLOOKUP(
    A225,
    IMPORTRANGE(
      ""1SCYQd7_cobOYqT0r_F0IqD4tE4rYn5y8Eup4PJTH8es"",
      ""Snapshot!A:M""
    ),
    9,
    FALSE
  ),
  0
)
"),0.0)</f>
        <v>0</v>
      </c>
      <c r="AJ225" s="54">
        <f>IFERROR(__xludf.DUMMYFUNCTION("IFERROR(
  VLOOKUP(
    A225,
    IMPORTRANGE(
      ""1SCYQd7_cobOYqT0r_F0IqD4tE4rYn5y8Eup4PJTH8es"",
      ""Snapshot!A:M""
    ),
    13,
    FALSE
  ),
  0
)
"),3.0)</f>
        <v>3</v>
      </c>
      <c r="AK225" s="49">
        <f t="shared" ref="AK225:AL225" si="1120">LEN(C225)</f>
        <v>29</v>
      </c>
      <c r="AL225" s="49">
        <f t="shared" si="1120"/>
        <v>54</v>
      </c>
    </row>
    <row r="226">
      <c r="A226" s="3" t="s">
        <v>131</v>
      </c>
      <c r="B226" s="1" t="str">
        <f>IFERROR(__xludf.DUMMYFUNCTION("IFERROR(
  VLOOKUP(
    A226,
    IMPORTRANGE(
      ""1ZygntHC1J6IxzKbTidmOyf5nUyW4GCLurHCjexrLm_o"",
      ""HTMLキャッシュ!A:F""
    ),
    2,
    FALSE
  ),
  0
)
"),"-")</f>
        <v>-</v>
      </c>
      <c r="C226" s="1" t="str">
        <f>IFERROR(__xludf.DUMMYFUNCTION("IFERROR(
  VLOOKUP(
    A226,
    IMPORTRANGE(
      ""1ZygntHC1J6IxzKbTidmOyf5nUyW4GCLurHCjexrLm_o"",
      ""HTMLキャッシュ!A:F""
    ),
    5,
    FALSE
  ),
  0
)
"),"2017年度募集開始のお知らせ - 受験国語専門 読解ラボ東京 | 中学受験・大学受験対応の個別指導国語専門塾（オンライン・教室対応）")</f>
        <v>2017年度募集開始のお知らせ - 受験国語専門 読解ラボ東京 | 中学受験・大学受験対応の個別指導国語専門塾（オンライン・教室対応）</v>
      </c>
      <c r="D226" s="1" t="str">
        <f>IFERROR(__xludf.DUMMYFUNCTION("IFERROR(
  VLOOKUP(
    A226,
    IMPORTRANGE(
      ""1ZygntHC1J6IxzKbTidmOyf5nUyW4GCLurHCjexrLm_o        "",
      ""HTMLキャッシュ!A:F""
    ),
    6,
    FALSE
  ),
  0
)
"),"「受験国語専門 読解ラボ東京」は東京都千代田区・四ツ谷駅から徒歩２分の四谷教室にて「完全１対１の国語個別指導」")</f>
        <v>「受験国語専門 読解ラボ東京」は東京都千代田区・四ツ谷駅から徒歩２分の四谷教室にて「完全１対１の国語個別指導」</v>
      </c>
      <c r="E226" s="32">
        <f>IFERROR(__xludf.DUMMYFUNCTION("IFERROR(
  VLOOKUP(
    A226,
    IMPORTRANGE(
      ""1ZygntHC1J6IxzKbTidmOyf5nUyW4GCLurHCjexrLm_o        "",
      ""HTMLキャッシュ!A:F""
    ),
    3,
    FALSE
  ),
  0
)
"),43511.64931712963)</f>
        <v>43511.64932</v>
      </c>
      <c r="F226" s="49">
        <f>IFERROR(__xludf.DUMMYFUNCTION("IFERROR(
  VLOOKUP(
    A226,
    IMPORTRANGE(
      ""1ZHMy3vVUd_0MrSduXTe1etBb1HNpAlGwQr006ljwMiM"",
      ""GSC最新!A:F""
    ),
    2,
    FALSE
  ),
  0
)
"),0.0)</f>
        <v>0</v>
      </c>
      <c r="G226" s="49">
        <f>IFERROR(__xludf.DUMMYFUNCTION("IFERROR(
  VLOOKUP(
    A226,
    IMPORTRANGE(
      ""1ZHMy3vVUd_0MrSduXTe1etBb1HNpAlGwQr006ljwMiM"",
      ""GSC最新!A:F""
    ),
    3,
    FALSE
  ),
  0
)
"),0.0)</f>
        <v>0</v>
      </c>
      <c r="H226" s="49">
        <f>IFERROR(__xludf.DUMMYFUNCTION("IFERROR(
  VLOOKUP(
    A226,
    IMPORTRANGE(
      ""1ZHMy3vVUd_0MrSduXTe1etBb1HNpAlGwQr006ljwMiM"",
      ""GSC最新!A:F""
    ),
    4,
    FALSE
  ),
  0
)
"),0.0)</f>
        <v>0</v>
      </c>
      <c r="I226" s="49">
        <f>IFERROR(__xludf.DUMMYFUNCTION("IFERROR(
  VLOOKUP(
    A226,
    IMPORTRANGE(
      ""1ZHMy3vVUd_0MrSduXTe1etBb1HNpAlGwQr006ljwMiM"",
      ""GSC最新!A:F""
    ),
    5,
    FALSE
  ),
  0
)
"),0.0)</f>
        <v>0</v>
      </c>
      <c r="J226" s="50" t="str">
        <f t="shared" ref="J226:K226" si="1121">IFERROR(F226/H226,"-")</f>
        <v>-</v>
      </c>
      <c r="K226" s="50" t="str">
        <f t="shared" si="1121"/>
        <v>-</v>
      </c>
      <c r="L226" s="6">
        <f>IFERROR(__xludf.DUMMYFUNCTION("IFERROR(
  VLOOKUP(
    A226,
    IMPORTRANGE(
      ""1ZHMy3vVUd_0MrSduXTe1etBb1HNpAlGwQr006ljwMiM"",
      ""GSC最新!A:R""
    ),
    7,
    FALSE
  ),
  0
)
"),0.0)</f>
        <v>0</v>
      </c>
      <c r="M226" s="6">
        <f>IFERROR(__xludf.DUMMYFUNCTION("IFERROR(
  VLOOKUP(
    A226,
    IMPORTRANGE(
      ""1ZHMy3vVUd_0MrSduXTe1etBb1HNpAlGwQr006ljwMiM"",
      ""GSC最新!A:R""
    ),
    10,
    FALSE
  ),
  0
)
"),0.0)</f>
        <v>0</v>
      </c>
      <c r="N226" s="6">
        <f>IFERROR(__xludf.DUMMYFUNCTION("IFERROR(
  VLOOKUP(
    A226,
    IMPORTRANGE(
      ""1ZHMy3vVUd_0MrSduXTe1etBb1HNpAlGwQr006ljwMiM"",
      ""GSC最新!A:R""
    ),
    13,
    FALSE
  ),
  0
)
"),0.0)</f>
        <v>0</v>
      </c>
      <c r="O226" s="6">
        <f>IFERROR(__xludf.DUMMYFUNCTION("IFERROR(
  VLOOKUP(
    A226,
    IMPORTRANGE(
      ""1ZHMy3vVUd_0MrSduXTe1etBb1HNpAlGwQr006ljwMiM"",
      ""GSC最新!A:R""
    ),
    16,
    FALSE
  ),
  0
)
"),0.0)</f>
        <v>0</v>
      </c>
      <c r="P226" s="51" t="str">
        <f t="shared" ref="P226:Q226" si="1122">IFERROR(L226/N226,"-")</f>
        <v>-</v>
      </c>
      <c r="Q226" s="51" t="str">
        <f t="shared" si="1122"/>
        <v>-</v>
      </c>
      <c r="R226" s="9">
        <f>IFERROR(__xludf.DUMMYFUNCTION("IFERROR(
  VLOOKUP(
    A226,
    IMPORTRANGE(
      ""1ZHMy3vVUd_0MrSduXTe1etBb1HNpAlGwQr006ljwMiM"",
      ""GSC最新!A:R""
    ),
    8,
    FALSE
  ),
  0
)
"),0.0)</f>
        <v>0</v>
      </c>
      <c r="S226" s="9">
        <f>IFERROR(__xludf.DUMMYFUNCTION("IFERROR(
  VLOOKUP(
    A226,
    IMPORTRANGE(
      ""1ZHMy3vVUd_0MrSduXTe1etBb1HNpAlGwQr006ljwMiM"",
      ""GSC最新!A:R""
    ),
    11,
    FALSE
  ),
  0
)
"),0.0)</f>
        <v>0</v>
      </c>
      <c r="T226" s="9">
        <f>IFERROR(__xludf.DUMMYFUNCTION("IFERROR(
  VLOOKUP(
    A226,
    IMPORTRANGE(
      ""1ZHMy3vVUd_0MrSduXTe1etBb1HNpAlGwQr006ljwMiM"",
      ""GSC最新!A:R""
    ),
    14,
    FALSE
  ),
  0
)
"),0.0)</f>
        <v>0</v>
      </c>
      <c r="U226" s="9">
        <f>IFERROR(__xludf.DUMMYFUNCTION("IFERROR(
  VLOOKUP(
    A226,
    IMPORTRANGE(
      ""1ZHMy3vVUd_0MrSduXTe1etBb1HNpAlGwQr006ljwMiM"",
      ""GSC最新!A:R""
    ),
    17,
    FALSE
  ),
  0
)
"),0.0)</f>
        <v>0</v>
      </c>
      <c r="V226" s="9">
        <f t="shared" ref="V226:W226" si="1123">IFERROR(R226-T226,"-")</f>
        <v>0</v>
      </c>
      <c r="W226" s="9">
        <f t="shared" si="1123"/>
        <v>0</v>
      </c>
      <c r="X226" s="65" t="str">
        <f>IFERROR(__xludf.DUMMYFUNCTION("IFERROR(
  VLOOKUP(
    A226,
    IMPORTRANGE(
      ""1ZHMy3vVUd_0MrSduXTe1etBb1HNpAlGwQr006ljwMiM"",
      ""GSC最新!A:R""
    ),
    9,
    FALSE
  ),
  0
)
"),"")</f>
        <v/>
      </c>
      <c r="Y226" s="65" t="str">
        <f>IFERROR(__xludf.DUMMYFUNCTION("IFERROR(
  VLOOKUP(
    A226,
    IMPORTRANGE(
      ""1ZHMy3vVUd_0MrSduXTe1etBb1HNpAlGwQr006ljwMiM"",
      ""GSC最新!A:R""
    ),
    12,
    FALSE
  ),
  0
)
"),"")</f>
        <v/>
      </c>
      <c r="Z226" s="65" t="str">
        <f>IFERROR(__xludf.DUMMYFUNCTION("IFERROR(
  VLOOKUP(
    A226,
    IMPORTRANGE(
      ""1ZHMy3vVUd_0MrSduXTe1etBb1HNpAlGwQr006ljwMiM"",
      ""GSC最新!A:R""
    ),
    15,
    FALSE
  ),
  0
)
"),"")</f>
        <v/>
      </c>
      <c r="AA226" s="65" t="str">
        <f>IFERROR(__xludf.DUMMYFUNCTION("IFERROR(
  VLOOKUP(
    A226,
    IMPORTRANGE(
      ""1ZHMy3vVUd_0MrSduXTe1etBb1HNpAlGwQr006ljwMiM"",
      ""GSC最新!A:R""
    ),
    18,
    FALSE
  ),
  0
)
"),"")</f>
        <v/>
      </c>
      <c r="AB226" s="65">
        <f t="shared" ref="AB226:AC226" si="1124">X226-Z226</f>
        <v>0</v>
      </c>
      <c r="AC226" s="65">
        <f t="shared" si="1124"/>
        <v>0</v>
      </c>
      <c r="AD226" s="53">
        <f>IFERROR(__xludf.DUMMYFUNCTION("IFERROR(
  VLOOKUP(
    A226,
    IMPORTRANGE(
      ""1ZHMy3vVUd_0MrSduXTe1etBb1HNpAlGwQr006ljwMiM"",
      ""GSC最新!A:F""
    ),
    6,
    FALSE
  ),
  0
)
"),46081.0)</f>
        <v>46081</v>
      </c>
      <c r="AE226" s="54">
        <f>IFERROR(__xludf.DUMMYFUNCTION("IFERROR(
  VLOOKUP(
    A226,
    IMPORTRANGE(
      ""1SCYQd7_cobOYqT0r_F0IqD4tE4rYn5y8Eup4PJTH8es"",
      ""Snapshot!A:M""
    ),
    5,
    FALSE
  ),
  ""-""
)
"),9.0)</f>
        <v>9</v>
      </c>
      <c r="AF226" s="54">
        <f>IFERROR(__xludf.DUMMYFUNCTION("IFERROR(
  VLOOKUP(
    A226,
    IMPORTRANGE(
      ""1SCYQd7_cobOYqT0r_F0IqD4tE4rYn5y8Eup4PJTH8es"",
      ""Snapshot!A:M""
    ),
    6,
    FALSE
  ),
  0
)
"),12.0)</f>
        <v>12</v>
      </c>
      <c r="AG226" s="54">
        <f>IFERROR(__xludf.DUMMYFUNCTION("IFERROR(
  VLOOKUP(
    A226,
    IMPORTRANGE(
      ""1SCYQd7_cobOYqT0r_F0IqD4tE4rYn5y8Eup4PJTH8es"",
      ""Snapshot!A:M""
    ),
    7,
    FALSE
  ),
  0
)
"),3562.0)</f>
        <v>3562</v>
      </c>
      <c r="AH226" s="54">
        <f>IFERROR(__xludf.DUMMYFUNCTION("IFERROR(
  VLOOKUP(
    A226,
    IMPORTRANGE(
      ""1SCYQd7_cobOYqT0r_F0IqD4tE4rYn5y8Eup4PJTH8es"",
      ""Snapshot!A:M""
    ),
    8,
    FALSE
  ),
  0
)
"),4.0)</f>
        <v>4</v>
      </c>
      <c r="AI226" s="54">
        <f>IFERROR(__xludf.DUMMYFUNCTION("IFERROR(
  VLOOKUP(
    A226,
    IMPORTRANGE(
      ""1SCYQd7_cobOYqT0r_F0IqD4tE4rYn5y8Eup4PJTH8es"",
      ""Snapshot!A:M""
    ),
    9,
    FALSE
  ),
  0
)
"),1.0)</f>
        <v>1</v>
      </c>
      <c r="AJ226" s="54">
        <f>IFERROR(__xludf.DUMMYFUNCTION("IFERROR(
  VLOOKUP(
    A226,
    IMPORTRANGE(
      ""1SCYQd7_cobOYqT0r_F0IqD4tE4rYn5y8Eup4PJTH8es"",
      ""Snapshot!A:M""
    ),
    13,
    FALSE
  ),
  0
)
"),2.0)</f>
        <v>2</v>
      </c>
      <c r="AK226" s="49">
        <f t="shared" ref="AK226:AL226" si="1125">LEN(C226)</f>
        <v>67</v>
      </c>
      <c r="AL226" s="49">
        <f t="shared" si="1125"/>
        <v>55</v>
      </c>
    </row>
    <row r="227">
      <c r="A227" s="3" t="s">
        <v>133</v>
      </c>
      <c r="B227" s="1" t="str">
        <f>IFERROR(__xludf.DUMMYFUNCTION("IFERROR(
  VLOOKUP(
    A227,
    IMPORTRANGE(
      ""1ZygntHC1J6IxzKbTidmOyf5nUyW4GCLurHCjexrLm_o"",
      ""HTMLキャッシュ!A:F""
    ),
    2,
    FALSE
  ),
  0
)
"),"-")</f>
        <v>-</v>
      </c>
      <c r="C227" s="1" t="str">
        <f>IFERROR(__xludf.DUMMYFUNCTION("IFERROR(
  VLOOKUP(
    A227,
    IMPORTRANGE(
      ""1ZygntHC1J6IxzKbTidmOyf5nUyW4GCLurHCjexrLm_o"",
      ""HTMLキャッシュ!A:F""
    ),
    5,
    FALSE
  ),
  0
)
"),"2018年度募集開始のお知らせ - 受験国語専門 読解ラボ東京 | 中学受験・大学受験対応の個別指導国語専門塾（オンライン・教室対応）")</f>
        <v>2018年度募集開始のお知らせ - 受験国語専門 読解ラボ東京 | 中学受験・大学受験対応の個別指導国語専門塾（オンライン・教室対応）</v>
      </c>
      <c r="D227" s="1" t="str">
        <f>IFERROR(__xludf.DUMMYFUNCTION("IFERROR(
  VLOOKUP(
    A227,
    IMPORTRANGE(
      ""1ZygntHC1J6IxzKbTidmOyf5nUyW4GCLurHCjexrLm_o        "",
      ""HTMLキャッシュ!A:F""
    ),
    6,
    FALSE
  ),
  0
)
"),"「受験国語専門 読解ラボ東京」は東京都千代田区・四ツ谷駅から徒歩２分の四谷教室にて「完全１対１の国語個別指導」")</f>
        <v>「受験国語専門 読解ラボ東京」は東京都千代田区・四ツ谷駅から徒歩２分の四谷教室にて「完全１対１の国語個別指導」</v>
      </c>
      <c r="E227" s="32">
        <f>IFERROR(__xludf.DUMMYFUNCTION("IFERROR(
  VLOOKUP(
    A227,
    IMPORTRANGE(
      ""1ZygntHC1J6IxzKbTidmOyf5nUyW4GCLurHCjexrLm_o        "",
      ""HTMLキャッシュ!A:F""
    ),
    3,
    FALSE
  ),
  0
)
"),43616.67423611111)</f>
        <v>43616.67424</v>
      </c>
      <c r="F227" s="49">
        <f>IFERROR(__xludf.DUMMYFUNCTION("IFERROR(
  VLOOKUP(
    A227,
    IMPORTRANGE(
      ""1ZHMy3vVUd_0MrSduXTe1etBb1HNpAlGwQr006ljwMiM"",
      ""GSC最新!A:F""
    ),
    2,
    FALSE
  ),
  0
)
"),0.0)</f>
        <v>0</v>
      </c>
      <c r="G227" s="49">
        <f>IFERROR(__xludf.DUMMYFUNCTION("IFERROR(
  VLOOKUP(
    A227,
    IMPORTRANGE(
      ""1ZHMy3vVUd_0MrSduXTe1etBb1HNpAlGwQr006ljwMiM"",
      ""GSC最新!A:F""
    ),
    3,
    FALSE
  ),
  0
)
"),0.0)</f>
        <v>0</v>
      </c>
      <c r="H227" s="49">
        <f>IFERROR(__xludf.DUMMYFUNCTION("IFERROR(
  VLOOKUP(
    A227,
    IMPORTRANGE(
      ""1ZHMy3vVUd_0MrSduXTe1etBb1HNpAlGwQr006ljwMiM"",
      ""GSC最新!A:F""
    ),
    4,
    FALSE
  ),
  0
)
"),0.0)</f>
        <v>0</v>
      </c>
      <c r="I227" s="49">
        <f>IFERROR(__xludf.DUMMYFUNCTION("IFERROR(
  VLOOKUP(
    A227,
    IMPORTRANGE(
      ""1ZHMy3vVUd_0MrSduXTe1etBb1HNpAlGwQr006ljwMiM"",
      ""GSC最新!A:F""
    ),
    5,
    FALSE
  ),
  0
)
"),0.0)</f>
        <v>0</v>
      </c>
      <c r="J227" s="50" t="str">
        <f t="shared" ref="J227:K227" si="1126">IFERROR(F227/H227,"-")</f>
        <v>-</v>
      </c>
      <c r="K227" s="50" t="str">
        <f t="shared" si="1126"/>
        <v>-</v>
      </c>
      <c r="L227" s="6">
        <f>IFERROR(__xludf.DUMMYFUNCTION("IFERROR(
  VLOOKUP(
    A227,
    IMPORTRANGE(
      ""1ZHMy3vVUd_0MrSduXTe1etBb1HNpAlGwQr006ljwMiM"",
      ""GSC最新!A:R""
    ),
    7,
    FALSE
  ),
  0
)
"),0.0)</f>
        <v>0</v>
      </c>
      <c r="M227" s="6">
        <f>IFERROR(__xludf.DUMMYFUNCTION("IFERROR(
  VLOOKUP(
    A227,
    IMPORTRANGE(
      ""1ZHMy3vVUd_0MrSduXTe1etBb1HNpAlGwQr006ljwMiM"",
      ""GSC最新!A:R""
    ),
    10,
    FALSE
  ),
  0
)
"),0.0)</f>
        <v>0</v>
      </c>
      <c r="N227" s="6">
        <f>IFERROR(__xludf.DUMMYFUNCTION("IFERROR(
  VLOOKUP(
    A227,
    IMPORTRANGE(
      ""1ZHMy3vVUd_0MrSduXTe1etBb1HNpAlGwQr006ljwMiM"",
      ""GSC最新!A:R""
    ),
    13,
    FALSE
  ),
  0
)
"),0.0)</f>
        <v>0</v>
      </c>
      <c r="O227" s="6">
        <f>IFERROR(__xludf.DUMMYFUNCTION("IFERROR(
  VLOOKUP(
    A227,
    IMPORTRANGE(
      ""1ZHMy3vVUd_0MrSduXTe1etBb1HNpAlGwQr006ljwMiM"",
      ""GSC最新!A:R""
    ),
    16,
    FALSE
  ),
  0
)
"),0.0)</f>
        <v>0</v>
      </c>
      <c r="P227" s="51" t="str">
        <f t="shared" ref="P227:Q227" si="1127">IFERROR(L227/N227,"-")</f>
        <v>-</v>
      </c>
      <c r="Q227" s="51" t="str">
        <f t="shared" si="1127"/>
        <v>-</v>
      </c>
      <c r="R227" s="9">
        <f>IFERROR(__xludf.DUMMYFUNCTION("IFERROR(
  VLOOKUP(
    A227,
    IMPORTRANGE(
      ""1ZHMy3vVUd_0MrSduXTe1etBb1HNpAlGwQr006ljwMiM"",
      ""GSC最新!A:R""
    ),
    8,
    FALSE
  ),
  0
)
"),0.0)</f>
        <v>0</v>
      </c>
      <c r="S227" s="9">
        <f>IFERROR(__xludf.DUMMYFUNCTION("IFERROR(
  VLOOKUP(
    A227,
    IMPORTRANGE(
      ""1ZHMy3vVUd_0MrSduXTe1etBb1HNpAlGwQr006ljwMiM"",
      ""GSC最新!A:R""
    ),
    11,
    FALSE
  ),
  0
)
"),0.0)</f>
        <v>0</v>
      </c>
      <c r="T227" s="9">
        <f>IFERROR(__xludf.DUMMYFUNCTION("IFERROR(
  VLOOKUP(
    A227,
    IMPORTRANGE(
      ""1ZHMy3vVUd_0MrSduXTe1etBb1HNpAlGwQr006ljwMiM"",
      ""GSC最新!A:R""
    ),
    14,
    FALSE
  ),
  0
)
"),0.0)</f>
        <v>0</v>
      </c>
      <c r="U227" s="9">
        <f>IFERROR(__xludf.DUMMYFUNCTION("IFERROR(
  VLOOKUP(
    A227,
    IMPORTRANGE(
      ""1ZHMy3vVUd_0MrSduXTe1etBb1HNpAlGwQr006ljwMiM"",
      ""GSC最新!A:R""
    ),
    17,
    FALSE
  ),
  0
)
"),0.0)</f>
        <v>0</v>
      </c>
      <c r="V227" s="9">
        <f t="shared" ref="V227:W227" si="1128">IFERROR(R227-T227,"-")</f>
        <v>0</v>
      </c>
      <c r="W227" s="9">
        <f t="shared" si="1128"/>
        <v>0</v>
      </c>
      <c r="X227" s="65" t="str">
        <f>IFERROR(__xludf.DUMMYFUNCTION("IFERROR(
  VLOOKUP(
    A227,
    IMPORTRANGE(
      ""1ZHMy3vVUd_0MrSduXTe1etBb1HNpAlGwQr006ljwMiM"",
      ""GSC最新!A:R""
    ),
    9,
    FALSE
  ),
  0
)
"),"")</f>
        <v/>
      </c>
      <c r="Y227" s="65" t="str">
        <f>IFERROR(__xludf.DUMMYFUNCTION("IFERROR(
  VLOOKUP(
    A227,
    IMPORTRANGE(
      ""1ZHMy3vVUd_0MrSduXTe1etBb1HNpAlGwQr006ljwMiM"",
      ""GSC最新!A:R""
    ),
    12,
    FALSE
  ),
  0
)
"),"")</f>
        <v/>
      </c>
      <c r="Z227" s="65" t="str">
        <f>IFERROR(__xludf.DUMMYFUNCTION("IFERROR(
  VLOOKUP(
    A227,
    IMPORTRANGE(
      ""1ZHMy3vVUd_0MrSduXTe1etBb1HNpAlGwQr006ljwMiM"",
      ""GSC最新!A:R""
    ),
    15,
    FALSE
  ),
  0
)
"),"")</f>
        <v/>
      </c>
      <c r="AA227" s="65" t="str">
        <f>IFERROR(__xludf.DUMMYFUNCTION("IFERROR(
  VLOOKUP(
    A227,
    IMPORTRANGE(
      ""1ZHMy3vVUd_0MrSduXTe1etBb1HNpAlGwQr006ljwMiM"",
      ""GSC最新!A:R""
    ),
    18,
    FALSE
  ),
  0
)
"),"")</f>
        <v/>
      </c>
      <c r="AB227" s="65">
        <f t="shared" ref="AB227:AC227" si="1129">X227-Z227</f>
        <v>0</v>
      </c>
      <c r="AC227" s="65">
        <f t="shared" si="1129"/>
        <v>0</v>
      </c>
      <c r="AD227" s="53">
        <f>IFERROR(__xludf.DUMMYFUNCTION("IFERROR(
  VLOOKUP(
    A227,
    IMPORTRANGE(
      ""1ZHMy3vVUd_0MrSduXTe1etBb1HNpAlGwQr006ljwMiM"",
      ""GSC最新!A:F""
    ),
    6,
    FALSE
  ),
  0
)
"),46081.0)</f>
        <v>46081</v>
      </c>
      <c r="AE227" s="54">
        <f>IFERROR(__xludf.DUMMYFUNCTION("IFERROR(
  VLOOKUP(
    A227,
    IMPORTRANGE(
      ""1SCYQd7_cobOYqT0r_F0IqD4tE4rYn5y8Eup4PJTH8es"",
      ""Snapshot!A:M""
    ),
    5,
    FALSE
  ),
  ""-""
)
"),8.0)</f>
        <v>8</v>
      </c>
      <c r="AF227" s="54">
        <f>IFERROR(__xludf.DUMMYFUNCTION("IFERROR(
  VLOOKUP(
    A227,
    IMPORTRANGE(
      ""1SCYQd7_cobOYqT0r_F0IqD4tE4rYn5y8Eup4PJTH8es"",
      ""Snapshot!A:M""
    ),
    6,
    FALSE
  ),
  0
)
"),10.0)</f>
        <v>10</v>
      </c>
      <c r="AG227" s="54">
        <f>IFERROR(__xludf.DUMMYFUNCTION("IFERROR(
  VLOOKUP(
    A227,
    IMPORTRANGE(
      ""1SCYQd7_cobOYqT0r_F0IqD4tE4rYn5y8Eup4PJTH8es"",
      ""Snapshot!A:M""
    ),
    7,
    FALSE
  ),
  0
)
"),3348.0)</f>
        <v>3348</v>
      </c>
      <c r="AH227" s="54">
        <f>IFERROR(__xludf.DUMMYFUNCTION("IFERROR(
  VLOOKUP(
    A227,
    IMPORTRANGE(
      ""1SCYQd7_cobOYqT0r_F0IqD4tE4rYn5y8Eup4PJTH8es"",
      ""Snapshot!A:M""
    ),
    8,
    FALSE
  ),
  0
)
"),4.0)</f>
        <v>4</v>
      </c>
      <c r="AI227" s="54">
        <f>IFERROR(__xludf.DUMMYFUNCTION("IFERROR(
  VLOOKUP(
    A227,
    IMPORTRANGE(
      ""1SCYQd7_cobOYqT0r_F0IqD4tE4rYn5y8Eup4PJTH8es"",
      ""Snapshot!A:M""
    ),
    9,
    FALSE
  ),
  0
)
"),1.0)</f>
        <v>1</v>
      </c>
      <c r="AJ227" s="54">
        <f>IFERROR(__xludf.DUMMYFUNCTION("IFERROR(
  VLOOKUP(
    A227,
    IMPORTRANGE(
      ""1SCYQd7_cobOYqT0r_F0IqD4tE4rYn5y8Eup4PJTH8es"",
      ""Snapshot!A:M""
    ),
    13,
    FALSE
  ),
  0
)
"),2.0)</f>
        <v>2</v>
      </c>
      <c r="AK227" s="49">
        <f t="shared" ref="AK227:AL227" si="1130">LEN(C227)</f>
        <v>67</v>
      </c>
      <c r="AL227" s="49">
        <f t="shared" si="1130"/>
        <v>55</v>
      </c>
    </row>
    <row r="228">
      <c r="A228" s="3" t="s">
        <v>711</v>
      </c>
      <c r="B228" s="1" t="str">
        <f>IFERROR(__xludf.DUMMYFUNCTION("IFERROR(
  VLOOKUP(
    A228,
    IMPORTRANGE(
      ""1ZygntHC1J6IxzKbTidmOyf5nUyW4GCLurHCjexrLm_o"",
      ""HTMLキャッシュ!A:F""
    ),
    2,
    FALSE
  ),
  0
)
"),"MC")</f>
        <v>MC</v>
      </c>
      <c r="C228" s="1" t="str">
        <f>IFERROR(__xludf.DUMMYFUNCTION("IFERROR(
  VLOOKUP(
    A228,
    IMPORTRANGE(
      ""1ZygntHC1J6IxzKbTidmOyf5nUyW4GCLurHCjexrLm_o"",
      ""HTMLキャッシュ!A:F""
    ),
    5,
    FALSE
  ),
  0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D228" s="1" t="str">
        <f>IFERROR(__xludf.DUMMYFUNCTION("IFERROR(
  VLOOKUP(
    A228,
    IMPORTRANGE(
      ""1ZygntHC1J6IxzKbTidmOyf5nUyW4GCLurHCjexrLm_o        "",
      ""HTMLキャッシュ!A:F""
    ),
    6,
    FALSE
  ),
  0
)
"),"読解ラボ 代表 長島康二が出版した本を紹介させていただきます。 塾の全体像はこちら 【中学受験】保護者のための")</f>
        <v>読解ラボ 代表 長島康二が出版した本を紹介させていただきます。 塾の全体像はこちら 【中学受験】保護者のための</v>
      </c>
      <c r="E228" s="32">
        <f>IFERROR(__xludf.DUMMYFUNCTION("IFERROR(
  VLOOKUP(
    A228,
    IMPORTRANGE(
      ""1ZygntHC1J6IxzKbTidmOyf5nUyW4GCLurHCjexrLm_o        "",
      ""HTMLキャッシュ!A:F""
    ),
    3,
    FALSE
  ),
  0
)
"),46043.82680555555)</f>
        <v>46043.82681</v>
      </c>
      <c r="F228" s="49">
        <f>IFERROR(__xludf.DUMMYFUNCTION("IFERROR(
  VLOOKUP(
    A228,
    IMPORTRANGE(
      ""1ZHMy3vVUd_0MrSduXTe1etBb1HNpAlGwQr006ljwMiM"",
      ""GSC最新!A:F""
    ),
    2,
    FALSE
  ),
  0
)
"),0.0)</f>
        <v>0</v>
      </c>
      <c r="G228" s="49">
        <f>IFERROR(__xludf.DUMMYFUNCTION("IFERROR(
  VLOOKUP(
    A228,
    IMPORTRANGE(
      ""1ZHMy3vVUd_0MrSduXTe1etBb1HNpAlGwQr006ljwMiM"",
      ""GSC最新!A:F""
    ),
    3,
    FALSE
  ),
  0
)
"),0.0)</f>
        <v>0</v>
      </c>
      <c r="H228" s="49">
        <f>IFERROR(__xludf.DUMMYFUNCTION("IFERROR(
  VLOOKUP(
    A228,
    IMPORTRANGE(
      ""1ZHMy3vVUd_0MrSduXTe1etBb1HNpAlGwQr006ljwMiM"",
      ""GSC最新!A:F""
    ),
    4,
    FALSE
  ),
  0
)
"),0.0)</f>
        <v>0</v>
      </c>
      <c r="I228" s="49">
        <f>IFERROR(__xludf.DUMMYFUNCTION("IFERROR(
  VLOOKUP(
    A228,
    IMPORTRANGE(
      ""1ZHMy3vVUd_0MrSduXTe1etBb1HNpAlGwQr006ljwMiM"",
      ""GSC最新!A:F""
    ),
    5,
    FALSE
  ),
  0
)
"),0.0)</f>
        <v>0</v>
      </c>
      <c r="J228" s="50" t="str">
        <f t="shared" ref="J228:K228" si="1131">IFERROR(F228/H228,"-")</f>
        <v>-</v>
      </c>
      <c r="K228" s="50" t="str">
        <f t="shared" si="1131"/>
        <v>-</v>
      </c>
      <c r="L228" s="6">
        <f>IFERROR(__xludf.DUMMYFUNCTION("IFERROR(
  VLOOKUP(
    A228,
    IMPORTRANGE(
      ""1ZHMy3vVUd_0MrSduXTe1etBb1HNpAlGwQr006ljwMiM"",
      ""GSC最新!A:R""
    ),
    7,
    FALSE
  ),
  0
)
"),31.0)</f>
        <v>31</v>
      </c>
      <c r="M228" s="6">
        <f>IFERROR(__xludf.DUMMYFUNCTION("IFERROR(
  VLOOKUP(
    A228,
    IMPORTRANGE(
      ""1ZHMy3vVUd_0MrSduXTe1etBb1HNpAlGwQr006ljwMiM"",
      ""GSC最新!A:R""
    ),
    10,
    FALSE
  ),
  0
)
"),48.0)</f>
        <v>48</v>
      </c>
      <c r="N228" s="6">
        <f>IFERROR(__xludf.DUMMYFUNCTION("IFERROR(
  VLOOKUP(
    A228,
    IMPORTRANGE(
      ""1ZHMy3vVUd_0MrSduXTe1etBb1HNpAlGwQr006ljwMiM"",
      ""GSC最新!A:R""
    ),
    13,
    FALSE
  ),
  0
)
"),10.0)</f>
        <v>10</v>
      </c>
      <c r="O228" s="6">
        <f>IFERROR(__xludf.DUMMYFUNCTION("IFERROR(
  VLOOKUP(
    A228,
    IMPORTRANGE(
      ""1ZHMy3vVUd_0MrSduXTe1etBb1HNpAlGwQr006ljwMiM"",
      ""GSC最新!A:R""
    ),
    16,
    FALSE
  ),
  0
)
"),44.0)</f>
        <v>44</v>
      </c>
      <c r="P228" s="51">
        <f t="shared" ref="P228:Q228" si="1132">IFERROR(L228/N228,"-")</f>
        <v>3.1</v>
      </c>
      <c r="Q228" s="51">
        <f t="shared" si="1132"/>
        <v>1.090909091</v>
      </c>
      <c r="R228" s="9">
        <f>IFERROR(__xludf.DUMMYFUNCTION("IFERROR(
  VLOOKUP(
    A228,
    IMPORTRANGE(
      ""1ZHMy3vVUd_0MrSduXTe1etBb1HNpAlGwQr006ljwMiM"",
      ""GSC最新!A:R""
    ),
    8,
    FALSE
  ),
  0
)
"),0.0)</f>
        <v>0</v>
      </c>
      <c r="S228" s="9">
        <f>IFERROR(__xludf.DUMMYFUNCTION("IFERROR(
  VLOOKUP(
    A228,
    IMPORTRANGE(
      ""1ZHMy3vVUd_0MrSduXTe1etBb1HNpAlGwQr006ljwMiM"",
      ""GSC最新!A:R""
    ),
    11,
    FALSE
  ),
  0
)
"),0.0)</f>
        <v>0</v>
      </c>
      <c r="T228" s="9">
        <f>IFERROR(__xludf.DUMMYFUNCTION("IFERROR(
  VLOOKUP(
    A228,
    IMPORTRANGE(
      ""1ZHMy3vVUd_0MrSduXTe1etBb1HNpAlGwQr006ljwMiM"",
      ""GSC最新!A:R""
    ),
    14,
    FALSE
  ),
  0
)
"),0.0)</f>
        <v>0</v>
      </c>
      <c r="U228" s="9">
        <f>IFERROR(__xludf.DUMMYFUNCTION("IFERROR(
  VLOOKUP(
    A228,
    IMPORTRANGE(
      ""1ZHMy3vVUd_0MrSduXTe1etBb1HNpAlGwQr006ljwMiM"",
      ""GSC最新!A:R""
    ),
    17,
    FALSE
  ),
  0
)
"),0.0)</f>
        <v>0</v>
      </c>
      <c r="V228" s="9">
        <f t="shared" ref="V228:W228" si="1133">IFERROR(R228-T228,"-")</f>
        <v>0</v>
      </c>
      <c r="W228" s="9">
        <f t="shared" si="1133"/>
        <v>0</v>
      </c>
      <c r="X228" s="65">
        <f>IFERROR(__xludf.DUMMYFUNCTION("IFERROR(
  VLOOKUP(
    A228,
    IMPORTRANGE(
      ""1ZHMy3vVUd_0MrSduXTe1etBb1HNpAlGwQr006ljwMiM"",
      ""GSC最新!A:R""
    ),
    9,
    FALSE
  ),
  0
)
"),13.419354838709678)</f>
        <v>13.41935484</v>
      </c>
      <c r="Y228" s="65">
        <f>IFERROR(__xludf.DUMMYFUNCTION("IFERROR(
  VLOOKUP(
    A228,
    IMPORTRANGE(
      ""1ZHMy3vVUd_0MrSduXTe1etBb1HNpAlGwQr006ljwMiM"",
      ""GSC最新!A:R""
    ),
    12,
    FALSE
  ),
  0
)
"),12.708333333333334)</f>
        <v>12.70833333</v>
      </c>
      <c r="Z228" s="65">
        <f>IFERROR(__xludf.DUMMYFUNCTION("IFERROR(
  VLOOKUP(
    A228,
    IMPORTRANGE(
      ""1ZHMy3vVUd_0MrSduXTe1etBb1HNpAlGwQr006ljwMiM"",
      ""GSC最新!A:R""
    ),
    15,
    FALSE
  ),
  0
)
"),19.1)</f>
        <v>19.1</v>
      </c>
      <c r="AA228" s="65">
        <f>IFERROR(__xludf.DUMMYFUNCTION("IFERROR(
  VLOOKUP(
    A228,
    IMPORTRANGE(
      ""1ZHMy3vVUd_0MrSduXTe1etBb1HNpAlGwQr006ljwMiM"",
      ""GSC最新!A:R""
    ),
    18,
    FALSE
  ),
  0
)
"),16.56818181818182)</f>
        <v>16.56818182</v>
      </c>
      <c r="AB228" s="65">
        <f t="shared" ref="AB228:AC228" si="1134">X228-Z228</f>
        <v>-5.680645161</v>
      </c>
      <c r="AC228" s="65">
        <f t="shared" si="1134"/>
        <v>-3.859848485</v>
      </c>
      <c r="AD228" s="53">
        <f>IFERROR(__xludf.DUMMYFUNCTION("IFERROR(
  VLOOKUP(
    A228,
    IMPORTRANGE(
      ""1ZHMy3vVUd_0MrSduXTe1etBb1HNpAlGwQr006ljwMiM"",
      ""GSC最新!A:F""
    ),
    6,
    FALSE
  ),
  0
)
"),46081.0)</f>
        <v>46081</v>
      </c>
      <c r="AE228" s="54">
        <f>IFERROR(__xludf.DUMMYFUNCTION("IFERROR(
  VLOOKUP(
    A228,
    IMPORTRANGE(
      ""1SCYQd7_cobOYqT0r_F0IqD4tE4rYn5y8Eup4PJTH8es"",
      ""Snapshot!A:M""
    ),
    5,
    FALSE
  ),
  ""-""
)
"),5.0)</f>
        <v>5</v>
      </c>
      <c r="AF228" s="54">
        <f>IFERROR(__xludf.DUMMYFUNCTION("IFERROR(
  VLOOKUP(
    A228,
    IMPORTRANGE(
      ""1SCYQd7_cobOYqT0r_F0IqD4tE4rYn5y8Eup4PJTH8es"",
      ""Snapshot!A:M""
    ),
    6,
    FALSE
  ),
  0
)
"),0.0)</f>
        <v>0</v>
      </c>
      <c r="AG228" s="54">
        <f>IFERROR(__xludf.DUMMYFUNCTION("IFERROR(
  VLOOKUP(
    A228,
    IMPORTRANGE(
      ""1SCYQd7_cobOYqT0r_F0IqD4tE4rYn5y8Eup4PJTH8es"",
      ""Snapshot!A:M""
    ),
    7,
    FALSE
  ),
  0
)
"),1618.0)</f>
        <v>1618</v>
      </c>
      <c r="AH228" s="54">
        <f>IFERROR(__xludf.DUMMYFUNCTION("IFERROR(
  VLOOKUP(
    A228,
    IMPORTRANGE(
      ""1SCYQd7_cobOYqT0r_F0IqD4tE4rYn5y8Eup4PJTH8es"",
      ""Snapshot!A:M""
    ),
    8,
    FALSE
  ),
  0
)
"),6.0)</f>
        <v>6</v>
      </c>
      <c r="AI228" s="54">
        <f>IFERROR(__xludf.DUMMYFUNCTION("IFERROR(
  VLOOKUP(
    A228,
    IMPORTRANGE(
      ""1SCYQd7_cobOYqT0r_F0IqD4tE4rYn5y8Eup4PJTH8es"",
      ""Snapshot!A:M""
    ),
    9,
    FALSE
  ),
  0
)
"),1.0)</f>
        <v>1</v>
      </c>
      <c r="AJ228" s="54">
        <f>IFERROR(__xludf.DUMMYFUNCTION("IFERROR(
  VLOOKUP(
    A228,
    IMPORTRANGE(
      ""1SCYQd7_cobOYqT0r_F0IqD4tE4rYn5y8Eup4PJTH8es"",
      ""Snapshot!A:M""
    ),
    13,
    FALSE
  ),
  0
)
"),2.0)</f>
        <v>2</v>
      </c>
      <c r="AK228" s="49">
        <f t="shared" ref="AK228:AL228" si="1135">LEN(C228)</f>
        <v>54</v>
      </c>
      <c r="AL228" s="49">
        <f t="shared" si="1135"/>
        <v>55</v>
      </c>
    </row>
    <row r="229">
      <c r="A229" s="3" t="s">
        <v>135</v>
      </c>
      <c r="B229" s="1" t="str">
        <f>IFERROR(__xludf.DUMMYFUNCTION("IFERROR(
  VLOOKUP(
    A229,
    IMPORTRANGE(
      ""1ZygntHC1J6IxzKbTidmOyf5nUyW4GCLurHCjexrLm_o"",
      ""HTMLキャッシュ!A:F""
    ),
    2,
    FALSE
  ),
  0
)
"),"-")</f>
        <v>-</v>
      </c>
      <c r="C229" s="1" t="str">
        <f>IFERROR(__xludf.DUMMYFUNCTION("IFERROR(
  VLOOKUP(
    A229,
    IMPORTRANGE(
      ""1ZygntHC1J6IxzKbTidmOyf5nUyW4GCLurHCjexrLm_o"",
      ""HTMLキャッシュ!A:F""
    ),
    5,
    FALSE
  ),
  0
)
"),"購入特典 - 受験国語専門 読解ラボ東京 | 中学受験・大学受験対応の個別指導国語専門塾（オンライン・教室対応）")</f>
        <v>購入特典 - 受験国語専門 読解ラボ東京 | 中学受験・大学受験対応の個別指導国語専門塾（オンライン・教室対応）</v>
      </c>
      <c r="D229" s="1" t="str">
        <f>IFERROR(__xludf.DUMMYFUNCTION("IFERROR(
  VLOOKUP(
    A229,
    IMPORTRANGE(
      ""1ZygntHC1J6IxzKbTidmOyf5nUyW4GCLurHCjexrLm_o        "",
      ""HTMLキャッシュ!A:F""
    ),
    6,
    FALSE
  ),
  0
)
"),"導入編 第十講")</f>
        <v>導入編 第十講</v>
      </c>
      <c r="E229" s="32">
        <f>IFERROR(__xludf.DUMMYFUNCTION("IFERROR(
  VLOOKUP(
    A229,
    IMPORTRANGE(
      ""1ZygntHC1J6IxzKbTidmOyf5nUyW4GCLurHCjexrLm_o        "",
      ""HTMLキャッシュ!A:F""
    ),
    3,
    FALSE
  ),
  0
)
"),45970.590625)</f>
        <v>45970.59063</v>
      </c>
      <c r="F229" s="49">
        <f>IFERROR(__xludf.DUMMYFUNCTION("IFERROR(
  VLOOKUP(
    A229,
    IMPORTRANGE(
      ""1ZHMy3vVUd_0MrSduXTe1etBb1HNpAlGwQr006ljwMiM"",
      ""GSC最新!A:F""
    ),
    2,
    FALSE
  ),
  0
)
"),0.0)</f>
        <v>0</v>
      </c>
      <c r="G229" s="49">
        <f>IFERROR(__xludf.DUMMYFUNCTION("IFERROR(
  VLOOKUP(
    A229,
    IMPORTRANGE(
      ""1ZHMy3vVUd_0MrSduXTe1etBb1HNpAlGwQr006ljwMiM"",
      ""GSC最新!A:F""
    ),
    3,
    FALSE
  ),
  0
)
"),0.0)</f>
        <v>0</v>
      </c>
      <c r="H229" s="49">
        <f>IFERROR(__xludf.DUMMYFUNCTION("IFERROR(
  VLOOKUP(
    A229,
    IMPORTRANGE(
      ""1ZHMy3vVUd_0MrSduXTe1etBb1HNpAlGwQr006ljwMiM"",
      ""GSC最新!A:F""
    ),
    4,
    FALSE
  ),
  0
)
"),0.0)</f>
        <v>0</v>
      </c>
      <c r="I229" s="49">
        <f>IFERROR(__xludf.DUMMYFUNCTION("IFERROR(
  VLOOKUP(
    A229,
    IMPORTRANGE(
      ""1ZHMy3vVUd_0MrSduXTe1etBb1HNpAlGwQr006ljwMiM"",
      ""GSC最新!A:F""
    ),
    5,
    FALSE
  ),
  0
)
"),0.0)</f>
        <v>0</v>
      </c>
      <c r="J229" s="50" t="str">
        <f t="shared" ref="J229:K229" si="1136">IFERROR(F229/H229,"-")</f>
        <v>-</v>
      </c>
      <c r="K229" s="50" t="str">
        <f t="shared" si="1136"/>
        <v>-</v>
      </c>
      <c r="L229" s="6">
        <f>IFERROR(__xludf.DUMMYFUNCTION("IFERROR(
  VLOOKUP(
    A229,
    IMPORTRANGE(
      ""1ZHMy3vVUd_0MrSduXTe1etBb1HNpAlGwQr006ljwMiM"",
      ""GSC最新!A:R""
    ),
    7,
    FALSE
  ),
  0
)
"),0.0)</f>
        <v>0</v>
      </c>
      <c r="M229" s="6">
        <f>IFERROR(__xludf.DUMMYFUNCTION("IFERROR(
  VLOOKUP(
    A229,
    IMPORTRANGE(
      ""1ZHMy3vVUd_0MrSduXTe1etBb1HNpAlGwQr006ljwMiM"",
      ""GSC最新!A:R""
    ),
    10,
    FALSE
  ),
  0
)
"),2.0)</f>
        <v>2</v>
      </c>
      <c r="N229" s="6">
        <f>IFERROR(__xludf.DUMMYFUNCTION("IFERROR(
  VLOOKUP(
    A229,
    IMPORTRANGE(
      ""1ZHMy3vVUd_0MrSduXTe1etBb1HNpAlGwQr006ljwMiM"",
      ""GSC最新!A:R""
    ),
    13,
    FALSE
  ),
  0
)
"),0.0)</f>
        <v>0</v>
      </c>
      <c r="O229" s="6">
        <f>IFERROR(__xludf.DUMMYFUNCTION("IFERROR(
  VLOOKUP(
    A229,
    IMPORTRANGE(
      ""1ZHMy3vVUd_0MrSduXTe1etBb1HNpAlGwQr006ljwMiM"",
      ""GSC最新!A:R""
    ),
    16,
    FALSE
  ),
  0
)
"),0.0)</f>
        <v>0</v>
      </c>
      <c r="P229" s="51" t="str">
        <f t="shared" ref="P229:Q229" si="1137">IFERROR(L229/N229,"-")</f>
        <v>-</v>
      </c>
      <c r="Q229" s="51" t="str">
        <f t="shared" si="1137"/>
        <v>-</v>
      </c>
      <c r="R229" s="9">
        <f>IFERROR(__xludf.DUMMYFUNCTION("IFERROR(
  VLOOKUP(
    A229,
    IMPORTRANGE(
      ""1ZHMy3vVUd_0MrSduXTe1etBb1HNpAlGwQr006ljwMiM"",
      ""GSC最新!A:R""
    ),
    8,
    FALSE
  ),
  0
)
"),0.0)</f>
        <v>0</v>
      </c>
      <c r="S229" s="9">
        <f>IFERROR(__xludf.DUMMYFUNCTION("IFERROR(
  VLOOKUP(
    A229,
    IMPORTRANGE(
      ""1ZHMy3vVUd_0MrSduXTe1etBb1HNpAlGwQr006ljwMiM"",
      ""GSC最新!A:R""
    ),
    11,
    FALSE
  ),
  0
)
"),0.0)</f>
        <v>0</v>
      </c>
      <c r="T229" s="9">
        <f>IFERROR(__xludf.DUMMYFUNCTION("IFERROR(
  VLOOKUP(
    A229,
    IMPORTRANGE(
      ""1ZHMy3vVUd_0MrSduXTe1etBb1HNpAlGwQr006ljwMiM"",
      ""GSC最新!A:R""
    ),
    14,
    FALSE
  ),
  0
)
"),0.0)</f>
        <v>0</v>
      </c>
      <c r="U229" s="9">
        <f>IFERROR(__xludf.DUMMYFUNCTION("IFERROR(
  VLOOKUP(
    A229,
    IMPORTRANGE(
      ""1ZHMy3vVUd_0MrSduXTe1etBb1HNpAlGwQr006ljwMiM"",
      ""GSC最新!A:R""
    ),
    17,
    FALSE
  ),
  0
)
"),0.0)</f>
        <v>0</v>
      </c>
      <c r="V229" s="9">
        <f t="shared" ref="V229:W229" si="1138">IFERROR(R229-T229,"-")</f>
        <v>0</v>
      </c>
      <c r="W229" s="9">
        <f t="shared" si="1138"/>
        <v>0</v>
      </c>
      <c r="X229" s="65" t="str">
        <f>IFERROR(__xludf.DUMMYFUNCTION("IFERROR(
  VLOOKUP(
    A229,
    IMPORTRANGE(
      ""1ZHMy3vVUd_0MrSduXTe1etBb1HNpAlGwQr006ljwMiM"",
      ""GSC最新!A:R""
    ),
    9,
    FALSE
  ),
  0
)
"),"")</f>
        <v/>
      </c>
      <c r="Y229" s="65">
        <f>IFERROR(__xludf.DUMMYFUNCTION("IFERROR(
  VLOOKUP(
    A229,
    IMPORTRANGE(
      ""1ZHMy3vVUd_0MrSduXTe1etBb1HNpAlGwQr006ljwMiM"",
      ""GSC最新!A:R""
    ),
    12,
    FALSE
  ),
  0
)
"),3.5)</f>
        <v>3.5</v>
      </c>
      <c r="Z229" s="65" t="str">
        <f>IFERROR(__xludf.DUMMYFUNCTION("IFERROR(
  VLOOKUP(
    A229,
    IMPORTRANGE(
      ""1ZHMy3vVUd_0MrSduXTe1etBb1HNpAlGwQr006ljwMiM"",
      ""GSC最新!A:R""
    ),
    15,
    FALSE
  ),
  0
)
"),"")</f>
        <v/>
      </c>
      <c r="AA229" s="65" t="str">
        <f>IFERROR(__xludf.DUMMYFUNCTION("IFERROR(
  VLOOKUP(
    A229,
    IMPORTRANGE(
      ""1ZHMy3vVUd_0MrSduXTe1etBb1HNpAlGwQr006ljwMiM"",
      ""GSC最新!A:R""
    ),
    18,
    FALSE
  ),
  0
)
"),"")</f>
        <v/>
      </c>
      <c r="AB229" s="65">
        <f t="shared" ref="AB229:AC229" si="1139">X229-Z229</f>
        <v>0</v>
      </c>
      <c r="AC229" s="65">
        <f t="shared" si="1139"/>
        <v>3.5</v>
      </c>
      <c r="AD229" s="53">
        <f>IFERROR(__xludf.DUMMYFUNCTION("IFERROR(
  VLOOKUP(
    A229,
    IMPORTRANGE(
      ""1ZHMy3vVUd_0MrSduXTe1etBb1HNpAlGwQr006ljwMiM"",
      ""GSC最新!A:F""
    ),
    6,
    FALSE
  ),
  0
)
"),46081.0)</f>
        <v>46081</v>
      </c>
      <c r="AE229" s="54">
        <f>IFERROR(__xludf.DUMMYFUNCTION("IFERROR(
  VLOOKUP(
    A229,
    IMPORTRANGE(
      ""1SCYQd7_cobOYqT0r_F0IqD4tE4rYn5y8Eup4PJTH8es"",
      ""Snapshot!A:M""
    ),
    5,
    FALSE
  ),
  ""-""
)
"),0.0)</f>
        <v>0</v>
      </c>
      <c r="AF229" s="54">
        <f>IFERROR(__xludf.DUMMYFUNCTION("IFERROR(
  VLOOKUP(
    A229,
    IMPORTRANGE(
      ""1SCYQd7_cobOYqT0r_F0IqD4tE4rYn5y8Eup4PJTH8es"",
      ""Snapshot!A:M""
    ),
    6,
    FALSE
  ),
  0
)
"),0.0)</f>
        <v>0</v>
      </c>
      <c r="AG229" s="54">
        <f>IFERROR(__xludf.DUMMYFUNCTION("IFERROR(
  VLOOKUP(
    A229,
    IMPORTRANGE(
      ""1SCYQd7_cobOYqT0r_F0IqD4tE4rYn5y8Eup4PJTH8es"",
      ""Snapshot!A:M""
    ),
    7,
    FALSE
  ),
  0
)
"),7.0)</f>
        <v>7</v>
      </c>
      <c r="AH229" s="54">
        <f>IFERROR(__xludf.DUMMYFUNCTION("IFERROR(
  VLOOKUP(
    A229,
    IMPORTRANGE(
      ""1SCYQd7_cobOYqT0r_F0IqD4tE4rYn5y8Eup4PJTH8es"",
      ""Snapshot!A:M""
    ),
    8,
    FALSE
  ),
  0
)
"),0.0)</f>
        <v>0</v>
      </c>
      <c r="AI229" s="54">
        <f>IFERROR(__xludf.DUMMYFUNCTION("IFERROR(
  VLOOKUP(
    A229,
    IMPORTRANGE(
      ""1SCYQd7_cobOYqT0r_F0IqD4tE4rYn5y8Eup4PJTH8es"",
      ""Snapshot!A:M""
    ),
    9,
    FALSE
  ),
  0
)
"),1.0)</f>
        <v>1</v>
      </c>
      <c r="AJ229" s="54">
        <f>IFERROR(__xludf.DUMMYFUNCTION("IFERROR(
  VLOOKUP(
    A229,
    IMPORTRANGE(
      ""1SCYQd7_cobOYqT0r_F0IqD4tE4rYn5y8Eup4PJTH8es"",
      ""Snapshot!A:M""
    ),
    13,
    FALSE
  ),
  0
)
"),2.0)</f>
        <v>2</v>
      </c>
      <c r="AK229" s="49">
        <f t="shared" ref="AK229:AL229" si="1140">LEN(C229)</f>
        <v>56</v>
      </c>
      <c r="AL229" s="49">
        <f t="shared" si="1140"/>
        <v>7</v>
      </c>
    </row>
    <row r="230">
      <c r="A230" s="3" t="s">
        <v>137</v>
      </c>
      <c r="B230" s="1" t="str">
        <f>IFERROR(__xludf.DUMMYFUNCTION("IFERROR(
  VLOOKUP(
    A230,
    IMPORTRANGE(
      ""1ZygntHC1J6IxzKbTidmOyf5nUyW4GCLurHCjexrLm_o"",
      ""HTMLキャッシュ!A:F""
    ),
    2,
    FALSE
  ),
  0
)
"),"-")</f>
        <v>-</v>
      </c>
      <c r="C230" s="1" t="str">
        <f>IFERROR(__xludf.DUMMYFUNCTION("IFERROR(
  VLOOKUP(
    A230,
    IMPORTRANGE(
      ""1ZygntHC1J6IxzKbTidmOyf5nUyW4GCLurHCjexrLm_o"",
      ""HTMLキャッシュ!A:F""
    ),
    5,
    FALSE
  ),
  0
)
"),"集団授業 - 受験国語専門 読解ラボ東京 | 中学受験・大学受験対応の個別指導国語専門塾（オンライン・教室対応）")</f>
        <v>集団授業 - 受験国語専門 読解ラボ東京 | 中学受験・大学受験対応の個別指導国語専門塾（オンライン・教室対応）</v>
      </c>
      <c r="D230" s="1" t="str">
        <f>IFERROR(__xludf.DUMMYFUNCTION("IFERROR(
  VLOOKUP(
    A230,
    IMPORTRANGE(
      ""1ZygntHC1J6IxzKbTidmOyf5nUyW4GCLurHCjexrLm_o        "",
      ""HTMLキャッシュ!A:F""
    ),
    6,
    FALSE
  ),
  0
)
"),"集団授業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集団授業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30" s="32">
        <f>IFERROR(__xludf.DUMMYFUNCTION("IFERROR(
  VLOOKUP(
    A230,
    IMPORTRANGE(
      ""1ZygntHC1J6IxzKbTidmOyf5nUyW4GCLurHCjexrLm_o        "",
      ""HTMLキャッシュ!A:F""
    ),
    3,
    FALSE
  ),
  0
)
"),25569.375)</f>
        <v>25569.375</v>
      </c>
      <c r="F230" s="49">
        <f>IFERROR(__xludf.DUMMYFUNCTION("IFERROR(
  VLOOKUP(
    A230,
    IMPORTRANGE(
      ""1ZHMy3vVUd_0MrSduXTe1etBb1HNpAlGwQr006ljwMiM"",
      ""GSC最新!A:F""
    ),
    2,
    FALSE
  ),
  0
)
"),0.0)</f>
        <v>0</v>
      </c>
      <c r="G230" s="49">
        <f>IFERROR(__xludf.DUMMYFUNCTION("IFERROR(
  VLOOKUP(
    A230,
    IMPORTRANGE(
      ""1ZHMy3vVUd_0MrSduXTe1etBb1HNpAlGwQr006ljwMiM"",
      ""GSC最新!A:F""
    ),
    3,
    FALSE
  ),
  0
)
"),0.0)</f>
        <v>0</v>
      </c>
      <c r="H230" s="49">
        <f>IFERROR(__xludf.DUMMYFUNCTION("IFERROR(
  VLOOKUP(
    A230,
    IMPORTRANGE(
      ""1ZHMy3vVUd_0MrSduXTe1etBb1HNpAlGwQr006ljwMiM"",
      ""GSC最新!A:F""
    ),
    4,
    FALSE
  ),
  0
)
"),0.0)</f>
        <v>0</v>
      </c>
      <c r="I230" s="49">
        <f>IFERROR(__xludf.DUMMYFUNCTION("IFERROR(
  VLOOKUP(
    A230,
    IMPORTRANGE(
      ""1ZHMy3vVUd_0MrSduXTe1etBb1HNpAlGwQr006ljwMiM"",
      ""GSC最新!A:F""
    ),
    5,
    FALSE
  ),
  0
)
"),0.0)</f>
        <v>0</v>
      </c>
      <c r="J230" s="50" t="str">
        <f t="shared" ref="J230:K230" si="1141">IFERROR(F230/H230,"-")</f>
        <v>-</v>
      </c>
      <c r="K230" s="50" t="str">
        <f t="shared" si="1141"/>
        <v>-</v>
      </c>
      <c r="L230" s="6">
        <f>IFERROR(__xludf.DUMMYFUNCTION("IFERROR(
  VLOOKUP(
    A230,
    IMPORTRANGE(
      ""1ZHMy3vVUd_0MrSduXTe1etBb1HNpAlGwQr006ljwMiM"",
      ""GSC最新!A:R""
    ),
    7,
    FALSE
  ),
  0
)
"),0.0)</f>
        <v>0</v>
      </c>
      <c r="M230" s="6">
        <f>IFERROR(__xludf.DUMMYFUNCTION("IFERROR(
  VLOOKUP(
    A230,
    IMPORTRANGE(
      ""1ZHMy3vVUd_0MrSduXTe1etBb1HNpAlGwQr006ljwMiM"",
      ""GSC最新!A:R""
    ),
    10,
    FALSE
  ),
  0
)
"),0.0)</f>
        <v>0</v>
      </c>
      <c r="N230" s="6">
        <f>IFERROR(__xludf.DUMMYFUNCTION("IFERROR(
  VLOOKUP(
    A230,
    IMPORTRANGE(
      ""1ZHMy3vVUd_0MrSduXTe1etBb1HNpAlGwQr006ljwMiM"",
      ""GSC最新!A:R""
    ),
    13,
    FALSE
  ),
  0
)
"),0.0)</f>
        <v>0</v>
      </c>
      <c r="O230" s="6">
        <f>IFERROR(__xludf.DUMMYFUNCTION("IFERROR(
  VLOOKUP(
    A230,
    IMPORTRANGE(
      ""1ZHMy3vVUd_0MrSduXTe1etBb1HNpAlGwQr006ljwMiM"",
      ""GSC最新!A:R""
    ),
    16,
    FALSE
  ),
  0
)
"),0.0)</f>
        <v>0</v>
      </c>
      <c r="P230" s="51" t="str">
        <f t="shared" ref="P230:Q230" si="1142">IFERROR(L230/N230,"-")</f>
        <v>-</v>
      </c>
      <c r="Q230" s="51" t="str">
        <f t="shared" si="1142"/>
        <v>-</v>
      </c>
      <c r="R230" s="9">
        <f>IFERROR(__xludf.DUMMYFUNCTION("IFERROR(
  VLOOKUP(
    A230,
    IMPORTRANGE(
      ""1ZHMy3vVUd_0MrSduXTe1etBb1HNpAlGwQr006ljwMiM"",
      ""GSC最新!A:R""
    ),
    8,
    FALSE
  ),
  0
)
"),0.0)</f>
        <v>0</v>
      </c>
      <c r="S230" s="9">
        <f>IFERROR(__xludf.DUMMYFUNCTION("IFERROR(
  VLOOKUP(
    A230,
    IMPORTRANGE(
      ""1ZHMy3vVUd_0MrSduXTe1etBb1HNpAlGwQr006ljwMiM"",
      ""GSC最新!A:R""
    ),
    11,
    FALSE
  ),
  0
)
"),0.0)</f>
        <v>0</v>
      </c>
      <c r="T230" s="9">
        <f>IFERROR(__xludf.DUMMYFUNCTION("IFERROR(
  VLOOKUP(
    A230,
    IMPORTRANGE(
      ""1ZHMy3vVUd_0MrSduXTe1etBb1HNpAlGwQr006ljwMiM"",
      ""GSC最新!A:R""
    ),
    14,
    FALSE
  ),
  0
)
"),0.0)</f>
        <v>0</v>
      </c>
      <c r="U230" s="9">
        <f>IFERROR(__xludf.DUMMYFUNCTION("IFERROR(
  VLOOKUP(
    A230,
    IMPORTRANGE(
      ""1ZHMy3vVUd_0MrSduXTe1etBb1HNpAlGwQr006ljwMiM"",
      ""GSC最新!A:R""
    ),
    17,
    FALSE
  ),
  0
)
"),0.0)</f>
        <v>0</v>
      </c>
      <c r="V230" s="9">
        <f t="shared" ref="V230:W230" si="1143">IFERROR(R230-T230,"-")</f>
        <v>0</v>
      </c>
      <c r="W230" s="9">
        <f t="shared" si="1143"/>
        <v>0</v>
      </c>
      <c r="X230" s="65" t="str">
        <f>IFERROR(__xludf.DUMMYFUNCTION("IFERROR(
  VLOOKUP(
    A230,
    IMPORTRANGE(
      ""1ZHMy3vVUd_0MrSduXTe1etBb1HNpAlGwQr006ljwMiM"",
      ""GSC最新!A:R""
    ),
    9,
    FALSE
  ),
  0
)
"),"")</f>
        <v/>
      </c>
      <c r="Y230" s="65" t="str">
        <f>IFERROR(__xludf.DUMMYFUNCTION("IFERROR(
  VLOOKUP(
    A230,
    IMPORTRANGE(
      ""1ZHMy3vVUd_0MrSduXTe1etBb1HNpAlGwQr006ljwMiM"",
      ""GSC最新!A:R""
    ),
    12,
    FALSE
  ),
  0
)
"),"")</f>
        <v/>
      </c>
      <c r="Z230" s="65" t="str">
        <f>IFERROR(__xludf.DUMMYFUNCTION("IFERROR(
  VLOOKUP(
    A230,
    IMPORTRANGE(
      ""1ZHMy3vVUd_0MrSduXTe1etBb1HNpAlGwQr006ljwMiM"",
      ""GSC最新!A:R""
    ),
    15,
    FALSE
  ),
  0
)
"),"")</f>
        <v/>
      </c>
      <c r="AA230" s="65" t="str">
        <f>IFERROR(__xludf.DUMMYFUNCTION("IFERROR(
  VLOOKUP(
    A230,
    IMPORTRANGE(
      ""1ZHMy3vVUd_0MrSduXTe1etBb1HNpAlGwQr006ljwMiM"",
      ""GSC最新!A:R""
    ),
    18,
    FALSE
  ),
  0
)
"),"")</f>
        <v/>
      </c>
      <c r="AB230" s="65">
        <f t="shared" ref="AB230:AC230" si="1144">X230-Z230</f>
        <v>0</v>
      </c>
      <c r="AC230" s="65">
        <f t="shared" si="1144"/>
        <v>0</v>
      </c>
      <c r="AD230" s="53">
        <f>IFERROR(__xludf.DUMMYFUNCTION("IFERROR(
  VLOOKUP(
    A230,
    IMPORTRANGE(
      ""1ZHMy3vVUd_0MrSduXTe1etBb1HNpAlGwQr006ljwMiM"",
      ""GSC最新!A:F""
    ),
    6,
    FALSE
  ),
  0
)
"),46081.0)</f>
        <v>46081</v>
      </c>
      <c r="AE230" s="54">
        <f>IFERROR(__xludf.DUMMYFUNCTION("IFERROR(
  VLOOKUP(
    A230,
    IMPORTRANGE(
      ""1SCYQd7_cobOYqT0r_F0IqD4tE4rYn5y8Eup4PJTH8es"",
      ""Snapshot!A:M""
    ),
    5,
    FALSE
  ),
  ""-""
)
"),0.0)</f>
        <v>0</v>
      </c>
      <c r="AF230" s="54">
        <f>IFERROR(__xludf.DUMMYFUNCTION("IFERROR(
  VLOOKUP(
    A230,
    IMPORTRANGE(
      ""1SCYQd7_cobOYqT0r_F0IqD4tE4rYn5y8Eup4PJTH8es"",
      ""Snapshot!A:M""
    ),
    6,
    FALSE
  ),
  0
)
"),0.0)</f>
        <v>0</v>
      </c>
      <c r="AG230" s="54">
        <f>IFERROR(__xludf.DUMMYFUNCTION("IFERROR(
  VLOOKUP(
    A230,
    IMPORTRANGE(
      ""1SCYQd7_cobOYqT0r_F0IqD4tE4rYn5y8Eup4PJTH8es"",
      ""Snapshot!A:M""
    ),
    7,
    FALSE
  ),
  0
)
"),0.0)</f>
        <v>0</v>
      </c>
      <c r="AH230" s="54">
        <f>IFERROR(__xludf.DUMMYFUNCTION("IFERROR(
  VLOOKUP(
    A230,
    IMPORTRANGE(
      ""1SCYQd7_cobOYqT0r_F0IqD4tE4rYn5y8Eup4PJTH8es"",
      ""Snapshot!A:M""
    ),
    8,
    FALSE
  ),
  0
)
"),0.0)</f>
        <v>0</v>
      </c>
      <c r="AI230" s="54">
        <f>IFERROR(__xludf.DUMMYFUNCTION("IFERROR(
  VLOOKUP(
    A230,
    IMPORTRANGE(
      ""1SCYQd7_cobOYqT0r_F0IqD4tE4rYn5y8Eup4PJTH8es"",
      ""Snapshot!A:M""
    ),
    9,
    FALSE
  ),
  0
)
"),0.0)</f>
        <v>0</v>
      </c>
      <c r="AJ230" s="54">
        <f>IFERROR(__xludf.DUMMYFUNCTION("IFERROR(
  VLOOKUP(
    A230,
    IMPORTRANGE(
      ""1SCYQd7_cobOYqT0r_F0IqD4tE4rYn5y8Eup4PJTH8es"",
      ""Snapshot!A:M""
    ),
    13,
    FALSE
  ),
  0
)
"),2.0)</f>
        <v>2</v>
      </c>
      <c r="AK230" s="49">
        <f t="shared" ref="AK230:AL230" si="1145">LEN(C230)</f>
        <v>56</v>
      </c>
      <c r="AL230" s="49">
        <f t="shared" si="1145"/>
        <v>134</v>
      </c>
    </row>
    <row r="231">
      <c r="A231" s="3" t="s">
        <v>139</v>
      </c>
      <c r="B231" s="1" t="str">
        <f>IFERROR(__xludf.DUMMYFUNCTION("IFERROR(
  VLOOKUP(
    A231,
    IMPORTRANGE(
      ""1ZygntHC1J6IxzKbTidmOyf5nUyW4GCLurHCjexrLm_o"",
      ""HTMLキャッシュ!A:F""
    ),
    2,
    FALSE
  ),
  0
)
"),"-")</f>
        <v>-</v>
      </c>
      <c r="C231" s="1" t="str">
        <f>IFERROR(__xludf.DUMMYFUNCTION("IFERROR(
  VLOOKUP(
    A231,
    IMPORTRANGE(
      ""1ZygntHC1J6IxzKbTidmOyf5nUyW4GCLurHCjexrLm_o"",
      ""HTMLキャッシュ!A:F""
    ),
    5,
    FALSE
  ),
  0
)
"),"１対１個別 - 受験国語専門 読解ラボ東京 | 中学受験・大学受験対応の個別指導国語専門塾（オンライン・教室対応）")</f>
        <v>１対１個別 - 受験国語専門 読解ラボ東京 | 中学受験・大学受験対応の個別指導国語専門塾（オンライン・教室対応）</v>
      </c>
      <c r="D231" s="1" t="str">
        <f>IFERROR(__xludf.DUMMYFUNCTION("IFERROR(
  VLOOKUP(
    A231,
    IMPORTRANGE(
      ""1ZygntHC1J6IxzKbTidmOyf5nUyW4GCLurHCjexrLm_o        "",
      ""HTMLキャッシュ!A:F""
    ),
    6,
    FALSE
  ),
  0
)
"),"１対１個別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１対１個別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31" s="32">
        <f>IFERROR(__xludf.DUMMYFUNCTION("IFERROR(
  VLOOKUP(
    A231,
    IMPORTRANGE(
      ""1ZygntHC1J6IxzKbTidmOyf5nUyW4GCLurHCjexrLm_o        "",
      ""HTMLキャッシュ!A:F""
    ),
    3,
    FALSE
  ),
  0
)
"),25569.375)</f>
        <v>25569.375</v>
      </c>
      <c r="F231" s="49">
        <f>IFERROR(__xludf.DUMMYFUNCTION("IFERROR(
  VLOOKUP(
    A231,
    IMPORTRANGE(
      ""1ZHMy3vVUd_0MrSduXTe1etBb1HNpAlGwQr006ljwMiM"",
      ""GSC最新!A:F""
    ),
    2,
    FALSE
  ),
  0
)
"),0.0)</f>
        <v>0</v>
      </c>
      <c r="G231" s="49">
        <f>IFERROR(__xludf.DUMMYFUNCTION("IFERROR(
  VLOOKUP(
    A231,
    IMPORTRANGE(
      ""1ZHMy3vVUd_0MrSduXTe1etBb1HNpAlGwQr006ljwMiM"",
      ""GSC最新!A:F""
    ),
    3,
    FALSE
  ),
  0
)
"),0.0)</f>
        <v>0</v>
      </c>
      <c r="H231" s="49">
        <f>IFERROR(__xludf.DUMMYFUNCTION("IFERROR(
  VLOOKUP(
    A231,
    IMPORTRANGE(
      ""1ZHMy3vVUd_0MrSduXTe1etBb1HNpAlGwQr006ljwMiM"",
      ""GSC最新!A:F""
    ),
    4,
    FALSE
  ),
  0
)
"),0.0)</f>
        <v>0</v>
      </c>
      <c r="I231" s="49">
        <f>IFERROR(__xludf.DUMMYFUNCTION("IFERROR(
  VLOOKUP(
    A231,
    IMPORTRANGE(
      ""1ZHMy3vVUd_0MrSduXTe1etBb1HNpAlGwQr006ljwMiM"",
      ""GSC最新!A:F""
    ),
    5,
    FALSE
  ),
  0
)
"),0.0)</f>
        <v>0</v>
      </c>
      <c r="J231" s="50" t="str">
        <f t="shared" ref="J231:K231" si="1146">IFERROR(F231/H231,"-")</f>
        <v>-</v>
      </c>
      <c r="K231" s="50" t="str">
        <f t="shared" si="1146"/>
        <v>-</v>
      </c>
      <c r="L231" s="6">
        <f>IFERROR(__xludf.DUMMYFUNCTION("IFERROR(
  VLOOKUP(
    A231,
    IMPORTRANGE(
      ""1ZHMy3vVUd_0MrSduXTe1etBb1HNpAlGwQr006ljwMiM"",
      ""GSC最新!A:R""
    ),
    7,
    FALSE
  ),
  0
)
"),2.0)</f>
        <v>2</v>
      </c>
      <c r="M231" s="6">
        <f>IFERROR(__xludf.DUMMYFUNCTION("IFERROR(
  VLOOKUP(
    A231,
    IMPORTRANGE(
      ""1ZHMy3vVUd_0MrSduXTe1etBb1HNpAlGwQr006ljwMiM"",
      ""GSC最新!A:R""
    ),
    10,
    FALSE
  ),
  0
)
"),3.0)</f>
        <v>3</v>
      </c>
      <c r="N231" s="6">
        <f>IFERROR(__xludf.DUMMYFUNCTION("IFERROR(
  VLOOKUP(
    A231,
    IMPORTRANGE(
      ""1ZHMy3vVUd_0MrSduXTe1etBb1HNpAlGwQr006ljwMiM"",
      ""GSC最新!A:R""
    ),
    13,
    FALSE
  ),
  0
)
"),0.0)</f>
        <v>0</v>
      </c>
      <c r="O231" s="6">
        <f>IFERROR(__xludf.DUMMYFUNCTION("IFERROR(
  VLOOKUP(
    A231,
    IMPORTRANGE(
      ""1ZHMy3vVUd_0MrSduXTe1etBb1HNpAlGwQr006ljwMiM"",
      ""GSC最新!A:R""
    ),
    16,
    FALSE
  ),
  0
)
"),0.0)</f>
        <v>0</v>
      </c>
      <c r="P231" s="51" t="str">
        <f t="shared" ref="P231:Q231" si="1147">IFERROR(L231/N231,"-")</f>
        <v>-</v>
      </c>
      <c r="Q231" s="51" t="str">
        <f t="shared" si="1147"/>
        <v>-</v>
      </c>
      <c r="R231" s="9">
        <f>IFERROR(__xludf.DUMMYFUNCTION("IFERROR(
  VLOOKUP(
    A231,
    IMPORTRANGE(
      ""1ZHMy3vVUd_0MrSduXTe1etBb1HNpAlGwQr006ljwMiM"",
      ""GSC最新!A:R""
    ),
    8,
    FALSE
  ),
  0
)
"),0.0)</f>
        <v>0</v>
      </c>
      <c r="S231" s="9">
        <f>IFERROR(__xludf.DUMMYFUNCTION("IFERROR(
  VLOOKUP(
    A231,
    IMPORTRANGE(
      ""1ZHMy3vVUd_0MrSduXTe1etBb1HNpAlGwQr006ljwMiM"",
      ""GSC最新!A:R""
    ),
    11,
    FALSE
  ),
  0
)
"),0.0)</f>
        <v>0</v>
      </c>
      <c r="T231" s="9">
        <f>IFERROR(__xludf.DUMMYFUNCTION("IFERROR(
  VLOOKUP(
    A231,
    IMPORTRANGE(
      ""1ZHMy3vVUd_0MrSduXTe1etBb1HNpAlGwQr006ljwMiM"",
      ""GSC最新!A:R""
    ),
    14,
    FALSE
  ),
  0
)
"),0.0)</f>
        <v>0</v>
      </c>
      <c r="U231" s="9">
        <f>IFERROR(__xludf.DUMMYFUNCTION("IFERROR(
  VLOOKUP(
    A231,
    IMPORTRANGE(
      ""1ZHMy3vVUd_0MrSduXTe1etBb1HNpAlGwQr006ljwMiM"",
      ""GSC最新!A:R""
    ),
    17,
    FALSE
  ),
  0
)
"),0.0)</f>
        <v>0</v>
      </c>
      <c r="V231" s="9">
        <f t="shared" ref="V231:W231" si="1148">IFERROR(R231-T231,"-")</f>
        <v>0</v>
      </c>
      <c r="W231" s="9">
        <f t="shared" si="1148"/>
        <v>0</v>
      </c>
      <c r="X231" s="65">
        <f>IFERROR(__xludf.DUMMYFUNCTION("IFERROR(
  VLOOKUP(
    A231,
    IMPORTRANGE(
      ""1ZHMy3vVUd_0MrSduXTe1etBb1HNpAlGwQr006ljwMiM"",
      ""GSC最新!A:R""
    ),
    9,
    FALSE
  ),
  0
)
"),8.0)</f>
        <v>8</v>
      </c>
      <c r="Y231" s="65">
        <f>IFERROR(__xludf.DUMMYFUNCTION("IFERROR(
  VLOOKUP(
    A231,
    IMPORTRANGE(
      ""1ZHMy3vVUd_0MrSduXTe1etBb1HNpAlGwQr006ljwMiM"",
      ""GSC最新!A:R""
    ),
    12,
    FALSE
  ),
  0
)
"),8.666666666666668)</f>
        <v>8.666666667</v>
      </c>
      <c r="Z231" s="65" t="str">
        <f>IFERROR(__xludf.DUMMYFUNCTION("IFERROR(
  VLOOKUP(
    A231,
    IMPORTRANGE(
      ""1ZHMy3vVUd_0MrSduXTe1etBb1HNpAlGwQr006ljwMiM"",
      ""GSC最新!A:R""
    ),
    15,
    FALSE
  ),
  0
)
"),"")</f>
        <v/>
      </c>
      <c r="AA231" s="65" t="str">
        <f>IFERROR(__xludf.DUMMYFUNCTION("IFERROR(
  VLOOKUP(
    A231,
    IMPORTRANGE(
      ""1ZHMy3vVUd_0MrSduXTe1etBb1HNpAlGwQr006ljwMiM"",
      ""GSC最新!A:R""
    ),
    18,
    FALSE
  ),
  0
)
"),"")</f>
        <v/>
      </c>
      <c r="AB231" s="65">
        <f t="shared" ref="AB231:AC231" si="1149">X231-Z231</f>
        <v>8</v>
      </c>
      <c r="AC231" s="65">
        <f t="shared" si="1149"/>
        <v>8.666666667</v>
      </c>
      <c r="AD231" s="53">
        <f>IFERROR(__xludf.DUMMYFUNCTION("IFERROR(
  VLOOKUP(
    A231,
    IMPORTRANGE(
      ""1ZHMy3vVUd_0MrSduXTe1etBb1HNpAlGwQr006ljwMiM"",
      ""GSC最新!A:F""
    ),
    6,
    FALSE
  ),
  0
)
"),46081.0)</f>
        <v>46081</v>
      </c>
      <c r="AE231" s="54">
        <f>IFERROR(__xludf.DUMMYFUNCTION("IFERROR(
  VLOOKUP(
    A231,
    IMPORTRANGE(
      ""1SCYQd7_cobOYqT0r_F0IqD4tE4rYn5y8Eup4PJTH8es"",
      ""Snapshot!A:M""
    ),
    5,
    FALSE
  ),
  ""-""
)
"),0.0)</f>
        <v>0</v>
      </c>
      <c r="AF231" s="54">
        <f>IFERROR(__xludf.DUMMYFUNCTION("IFERROR(
  VLOOKUP(
    A231,
    IMPORTRANGE(
      ""1SCYQd7_cobOYqT0r_F0IqD4tE4rYn5y8Eup4PJTH8es"",
      ""Snapshot!A:M""
    ),
    6,
    FALSE
  ),
  0
)
"),0.0)</f>
        <v>0</v>
      </c>
      <c r="AG231" s="54">
        <f>IFERROR(__xludf.DUMMYFUNCTION("IFERROR(
  VLOOKUP(
    A231,
    IMPORTRANGE(
      ""1SCYQd7_cobOYqT0r_F0IqD4tE4rYn5y8Eup4PJTH8es"",
      ""Snapshot!A:M""
    ),
    7,
    FALSE
  ),
  0
)
"),0.0)</f>
        <v>0</v>
      </c>
      <c r="AH231" s="54">
        <f>IFERROR(__xludf.DUMMYFUNCTION("IFERROR(
  VLOOKUP(
    A231,
    IMPORTRANGE(
      ""1SCYQd7_cobOYqT0r_F0IqD4tE4rYn5y8Eup4PJTH8es"",
      ""Snapshot!A:M""
    ),
    8,
    FALSE
  ),
  0
)
"),0.0)</f>
        <v>0</v>
      </c>
      <c r="AI231" s="54">
        <f>IFERROR(__xludf.DUMMYFUNCTION("IFERROR(
  VLOOKUP(
    A231,
    IMPORTRANGE(
      ""1SCYQd7_cobOYqT0r_F0IqD4tE4rYn5y8Eup4PJTH8es"",
      ""Snapshot!A:M""
    ),
    9,
    FALSE
  ),
  0
)
"),0.0)</f>
        <v>0</v>
      </c>
      <c r="AJ231" s="54">
        <f>IFERROR(__xludf.DUMMYFUNCTION("IFERROR(
  VLOOKUP(
    A231,
    IMPORTRANGE(
      ""1SCYQd7_cobOYqT0r_F0IqD4tE4rYn5y8Eup4PJTH8es"",
      ""Snapshot!A:M""
    ),
    13,
    FALSE
  ),
  0
)
"),2.0)</f>
        <v>2</v>
      </c>
      <c r="AK231" s="49">
        <f t="shared" ref="AK231:AL231" si="1150">LEN(C231)</f>
        <v>57</v>
      </c>
      <c r="AL231" s="49">
        <f t="shared" si="1150"/>
        <v>135</v>
      </c>
    </row>
    <row r="232">
      <c r="A232" s="3" t="s">
        <v>342</v>
      </c>
      <c r="B232" s="1" t="str">
        <f>IFERROR(__xludf.DUMMYFUNCTION("IFERROR(
  VLOOKUP(
    A232,
    IMPORTRANGE(
      ""1ZygntHC1J6IxzKbTidmOyf5nUyW4GCLurHCjexrLm_o"",
      ""HTMLキャッシュ!A:F""
    ),
    2,
    FALSE
  ),
  0
)
"),"SP")</f>
        <v>SP</v>
      </c>
      <c r="C232" s="1" t="str">
        <f>IFERROR(__xludf.DUMMYFUNCTION("IFERROR(
  VLOOKUP(
    A232,
    IMPORTRANGE(
      ""1ZygntHC1J6IxzKbTidmOyf5nUyW4GCLurHCjexrLm_o"",
      ""HTMLキャッシュ!A:F""
    ),
    5,
    FALSE
  ),
  0
)
"),"国語夏期講習の個別指導プログラム｜読解記述力強化オンライン塾")</f>
        <v>国語夏期講習の個別指導プログラム｜読解記述力強化オンライン塾</v>
      </c>
      <c r="D232" s="1" t="str">
        <f>IFERROR(__xludf.DUMMYFUNCTION("IFERROR(
  VLOOKUP(
    A232,
    IMPORTRANGE(
      ""1ZygntHC1J6IxzKbTidmOyf5nUyW4GCLurHCjexrLm_o        "",
      ""HTMLキャッシュ!A:F""
    ),
    6,
    FALSE
  ),
  0
)
"),"夏に国語の読解と記述力を徹底強化する個別指導。教室・オンライン対応、体験申込受付中。受講日程選択後すぐ申込可")</f>
        <v>夏に国語の読解と記述力を徹底強化する個別指導。教室・オンライン対応、体験申込受付中。受講日程選択後すぐ申込可</v>
      </c>
      <c r="E232" s="32">
        <f>IFERROR(__xludf.DUMMYFUNCTION("IFERROR(
  VLOOKUP(
    A232,
    IMPORTRANGE(
      ""1ZygntHC1J6IxzKbTidmOyf5nUyW4GCLurHCjexrLm_o        "",
      ""HTMLキャッシュ!A:F""
    ),
    3,
    FALSE
  ),
  0
)
"),46081.728946759256)</f>
        <v>46081.72895</v>
      </c>
      <c r="F232" s="49">
        <f>IFERROR(__xludf.DUMMYFUNCTION("IFERROR(
  VLOOKUP(
    A232,
    IMPORTRANGE(
      ""1ZHMy3vVUd_0MrSduXTe1etBb1HNpAlGwQr006ljwMiM"",
      ""GSC最新!A:F""
    ),
    2,
    FALSE
  ),
  0
)
"),0.0)</f>
        <v>0</v>
      </c>
      <c r="G232" s="49">
        <f>IFERROR(__xludf.DUMMYFUNCTION("IFERROR(
  VLOOKUP(
    A232,
    IMPORTRANGE(
      ""1ZHMy3vVUd_0MrSduXTe1etBb1HNpAlGwQr006ljwMiM"",
      ""GSC最新!A:F""
    ),
    3,
    FALSE
  ),
  0
)
"),0.0)</f>
        <v>0</v>
      </c>
      <c r="H232" s="49">
        <f>IFERROR(__xludf.DUMMYFUNCTION("IFERROR(
  VLOOKUP(
    A232,
    IMPORTRANGE(
      ""1ZHMy3vVUd_0MrSduXTe1etBb1HNpAlGwQr006ljwMiM"",
      ""GSC最新!A:F""
    ),
    4,
    FALSE
  ),
  0
)
"),0.0)</f>
        <v>0</v>
      </c>
      <c r="I232" s="49">
        <f>IFERROR(__xludf.DUMMYFUNCTION("IFERROR(
  VLOOKUP(
    A232,
    IMPORTRANGE(
      ""1ZHMy3vVUd_0MrSduXTe1etBb1HNpAlGwQr006ljwMiM"",
      ""GSC最新!A:F""
    ),
    5,
    FALSE
  ),
  0
)
"),0.0)</f>
        <v>0</v>
      </c>
      <c r="J232" s="50" t="str">
        <f t="shared" ref="J232:K232" si="1151">IFERROR(F232/H232,"-")</f>
        <v>-</v>
      </c>
      <c r="K232" s="50" t="str">
        <f t="shared" si="1151"/>
        <v>-</v>
      </c>
      <c r="L232" s="6">
        <f>IFERROR(__xludf.DUMMYFUNCTION("IFERROR(
  VLOOKUP(
    A232,
    IMPORTRANGE(
      ""1ZHMy3vVUd_0MrSduXTe1etBb1HNpAlGwQr006ljwMiM"",
      ""GSC最新!A:R""
    ),
    7,
    FALSE
  ),
  0
)
"),0.0)</f>
        <v>0</v>
      </c>
      <c r="M232" s="6">
        <f>IFERROR(__xludf.DUMMYFUNCTION("IFERROR(
  VLOOKUP(
    A232,
    IMPORTRANGE(
      ""1ZHMy3vVUd_0MrSduXTe1etBb1HNpAlGwQr006ljwMiM"",
      ""GSC最新!A:R""
    ),
    10,
    FALSE
  ),
  0
)
"),0.0)</f>
        <v>0</v>
      </c>
      <c r="N232" s="6">
        <f>IFERROR(__xludf.DUMMYFUNCTION("IFERROR(
  VLOOKUP(
    A232,
    IMPORTRANGE(
      ""1ZHMy3vVUd_0MrSduXTe1etBb1HNpAlGwQr006ljwMiM"",
      ""GSC最新!A:R""
    ),
    13,
    FALSE
  ),
  0
)
"),0.0)</f>
        <v>0</v>
      </c>
      <c r="O232" s="6">
        <f>IFERROR(__xludf.DUMMYFUNCTION("IFERROR(
  VLOOKUP(
    A232,
    IMPORTRANGE(
      ""1ZHMy3vVUd_0MrSduXTe1etBb1HNpAlGwQr006ljwMiM"",
      ""GSC最新!A:R""
    ),
    16,
    FALSE
  ),
  0
)
"),0.0)</f>
        <v>0</v>
      </c>
      <c r="P232" s="51" t="str">
        <f t="shared" ref="P232:Q232" si="1152">IFERROR(L232/N232,"-")</f>
        <v>-</v>
      </c>
      <c r="Q232" s="51" t="str">
        <f t="shared" si="1152"/>
        <v>-</v>
      </c>
      <c r="R232" s="9">
        <f>IFERROR(__xludf.DUMMYFUNCTION("IFERROR(
  VLOOKUP(
    A232,
    IMPORTRANGE(
      ""1ZHMy3vVUd_0MrSduXTe1etBb1HNpAlGwQr006ljwMiM"",
      ""GSC最新!A:R""
    ),
    8,
    FALSE
  ),
  0
)
"),0.0)</f>
        <v>0</v>
      </c>
      <c r="S232" s="9">
        <f>IFERROR(__xludf.DUMMYFUNCTION("IFERROR(
  VLOOKUP(
    A232,
    IMPORTRANGE(
      ""1ZHMy3vVUd_0MrSduXTe1etBb1HNpAlGwQr006ljwMiM"",
      ""GSC最新!A:R""
    ),
    11,
    FALSE
  ),
  0
)
"),0.0)</f>
        <v>0</v>
      </c>
      <c r="T232" s="9">
        <f>IFERROR(__xludf.DUMMYFUNCTION("IFERROR(
  VLOOKUP(
    A232,
    IMPORTRANGE(
      ""1ZHMy3vVUd_0MrSduXTe1etBb1HNpAlGwQr006ljwMiM"",
      ""GSC最新!A:R""
    ),
    14,
    FALSE
  ),
  0
)
"),0.0)</f>
        <v>0</v>
      </c>
      <c r="U232" s="9">
        <f>IFERROR(__xludf.DUMMYFUNCTION("IFERROR(
  VLOOKUP(
    A232,
    IMPORTRANGE(
      ""1ZHMy3vVUd_0MrSduXTe1etBb1HNpAlGwQr006ljwMiM"",
      ""GSC最新!A:R""
    ),
    17,
    FALSE
  ),
  0
)
"),0.0)</f>
        <v>0</v>
      </c>
      <c r="V232" s="9">
        <f t="shared" ref="V232:W232" si="1153">IFERROR(R232-T232,"-")</f>
        <v>0</v>
      </c>
      <c r="W232" s="9">
        <f t="shared" si="1153"/>
        <v>0</v>
      </c>
      <c r="X232" s="65" t="str">
        <f>IFERROR(__xludf.DUMMYFUNCTION("IFERROR(
  VLOOKUP(
    A232,
    IMPORTRANGE(
      ""1ZHMy3vVUd_0MrSduXTe1etBb1HNpAlGwQr006ljwMiM"",
      ""GSC最新!A:R""
    ),
    9,
    FALSE
  ),
  0
)
"),"")</f>
        <v/>
      </c>
      <c r="Y232" s="65" t="str">
        <f>IFERROR(__xludf.DUMMYFUNCTION("IFERROR(
  VLOOKUP(
    A232,
    IMPORTRANGE(
      ""1ZHMy3vVUd_0MrSduXTe1etBb1HNpAlGwQr006ljwMiM"",
      ""GSC最新!A:R""
    ),
    12,
    FALSE
  ),
  0
)
"),"")</f>
        <v/>
      </c>
      <c r="Z232" s="65" t="str">
        <f>IFERROR(__xludf.DUMMYFUNCTION("IFERROR(
  VLOOKUP(
    A232,
    IMPORTRANGE(
      ""1ZHMy3vVUd_0MrSduXTe1etBb1HNpAlGwQr006ljwMiM"",
      ""GSC最新!A:R""
    ),
    15,
    FALSE
  ),
  0
)
"),"")</f>
        <v/>
      </c>
      <c r="AA232" s="65" t="str">
        <f>IFERROR(__xludf.DUMMYFUNCTION("IFERROR(
  VLOOKUP(
    A232,
    IMPORTRANGE(
      ""1ZHMy3vVUd_0MrSduXTe1etBb1HNpAlGwQr006ljwMiM"",
      ""GSC最新!A:R""
    ),
    18,
    FALSE
  ),
  0
)
"),"")</f>
        <v/>
      </c>
      <c r="AB232" s="65">
        <f t="shared" ref="AB232:AC232" si="1154">X232-Z232</f>
        <v>0</v>
      </c>
      <c r="AC232" s="65">
        <f t="shared" si="1154"/>
        <v>0</v>
      </c>
      <c r="AD232" s="53">
        <f>IFERROR(__xludf.DUMMYFUNCTION("IFERROR(
  VLOOKUP(
    A232,
    IMPORTRANGE(
      ""1ZHMy3vVUd_0MrSduXTe1etBb1HNpAlGwQr006ljwMiM"",
      ""GSC最新!A:F""
    ),
    6,
    FALSE
  ),
  0
)
"),46081.0)</f>
        <v>46081</v>
      </c>
      <c r="AE232" s="54">
        <f>IFERROR(__xludf.DUMMYFUNCTION("IFERROR(
  VLOOKUP(
    A232,
    IMPORTRANGE(
      ""1SCYQd7_cobOYqT0r_F0IqD4tE4rYn5y8Eup4PJTH8es"",
      ""Snapshot!A:M""
    ),
    5,
    FALSE
  ),
  ""-""
)
"),1.0)</f>
        <v>1</v>
      </c>
      <c r="AF232" s="54">
        <f>IFERROR(__xludf.DUMMYFUNCTION("IFERROR(
  VLOOKUP(
    A232,
    IMPORTRANGE(
      ""1SCYQd7_cobOYqT0r_F0IqD4tE4rYn5y8Eup4PJTH8es"",
      ""Snapshot!A:M""
    ),
    6,
    FALSE
  ),
  0
)
"),0.0)</f>
        <v>0</v>
      </c>
      <c r="AG232" s="54">
        <f>IFERROR(__xludf.DUMMYFUNCTION("IFERROR(
  VLOOKUP(
    A232,
    IMPORTRANGE(
      ""1SCYQd7_cobOYqT0r_F0IqD4tE4rYn5y8Eup4PJTH8es"",
      ""Snapshot!A:M""
    ),
    7,
    FALSE
  ),
  0
)
"),885.0)</f>
        <v>885</v>
      </c>
      <c r="AH232" s="54">
        <f>IFERROR(__xludf.DUMMYFUNCTION("IFERROR(
  VLOOKUP(
    A232,
    IMPORTRANGE(
      ""1SCYQd7_cobOYqT0r_F0IqD4tE4rYn5y8Eup4PJTH8es"",
      ""Snapshot!A:M""
    ),
    8,
    FALSE
  ),
  0
)
"),1.0)</f>
        <v>1</v>
      </c>
      <c r="AI232" s="54">
        <f>IFERROR(__xludf.DUMMYFUNCTION("IFERROR(
  VLOOKUP(
    A232,
    IMPORTRANGE(
      ""1SCYQd7_cobOYqT0r_F0IqD4tE4rYn5y8Eup4PJTH8es"",
      ""Snapshot!A:M""
    ),
    9,
    FALSE
  ),
  0
)
"),1.0)</f>
        <v>1</v>
      </c>
      <c r="AJ232" s="54">
        <f>IFERROR(__xludf.DUMMYFUNCTION("IFERROR(
  VLOOKUP(
    A232,
    IMPORTRANGE(
      ""1SCYQd7_cobOYqT0r_F0IqD4tE4rYn5y8Eup4PJTH8es"",
      ""Snapshot!A:M""
    ),
    13,
    FALSE
  ),
  0
)
"),2.0)</f>
        <v>2</v>
      </c>
      <c r="AK232" s="49">
        <f t="shared" ref="AK232:AL232" si="1155">LEN(C232)</f>
        <v>30</v>
      </c>
      <c r="AL232" s="49">
        <f t="shared" si="1155"/>
        <v>54</v>
      </c>
    </row>
    <row r="233">
      <c r="A233" s="3" t="s">
        <v>141</v>
      </c>
      <c r="B233" s="1" t="str">
        <f>IFERROR(__xludf.DUMMYFUNCTION("IFERROR(
  VLOOKUP(
    A233,
    IMPORTRANGE(
      ""1ZygntHC1J6IxzKbTidmOyf5nUyW4GCLurHCjexrLm_o"",
      ""HTMLキャッシュ!A:F""
    ),
    2,
    FALSE
  ),
  0
)
"),"-")</f>
        <v>-</v>
      </c>
      <c r="C233" s="1" t="str">
        <f>IFERROR(__xludf.DUMMYFUNCTION("IFERROR(
  VLOOKUP(
    A233,
    IMPORTRANGE(
      ""1ZygntHC1J6IxzKbTidmOyf5nUyW4GCLurHCjexrLm_o"",
      ""HTMLキャッシュ!A:F""
    ),
    5,
    FALSE
  ),
  0
)
"),"SAPIX - 受験国語専門 読解ラボ東京 | 中学受験・大学受験対応の個別指導国語専門塾（オンライン・教室対応）")</f>
        <v>SAPIX - 受験国語専門 読解ラボ東京 | 中学受験・大学受験対応の個別指導国語専門塾（オンライン・教室対応）</v>
      </c>
      <c r="D233" s="1" t="str">
        <f>IFERROR(__xludf.DUMMYFUNCTION("IFERROR(
  VLOOKUP(
    A233,
    IMPORTRANGE(
      ""1ZygntHC1J6IxzKbTidmOyf5nUyW4GCLurHCjexrLm_o        "",
      ""HTMLキャッシュ!A:F""
    ),
    6,
    FALSE
  ),
  0
)
"),"SAPIX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SAPIX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33" s="32">
        <f>IFERROR(__xludf.DUMMYFUNCTION("IFERROR(
  VLOOKUP(
    A233,
    IMPORTRANGE(
      ""1ZygntHC1J6IxzKbTidmOyf5nUyW4GCLurHCjexrLm_o        "",
      ""HTMLキャッシュ!A:F""
    ),
    3,
    FALSE
  ),
  0
)
"),25569.375)</f>
        <v>25569.375</v>
      </c>
      <c r="F233" s="49">
        <f>IFERROR(__xludf.DUMMYFUNCTION("IFERROR(
  VLOOKUP(
    A233,
    IMPORTRANGE(
      ""1ZHMy3vVUd_0MrSduXTe1etBb1HNpAlGwQr006ljwMiM"",
      ""GSC最新!A:F""
    ),
    2,
    FALSE
  ),
  0
)
"),0.0)</f>
        <v>0</v>
      </c>
      <c r="G233" s="49">
        <f>IFERROR(__xludf.DUMMYFUNCTION("IFERROR(
  VLOOKUP(
    A233,
    IMPORTRANGE(
      ""1ZHMy3vVUd_0MrSduXTe1etBb1HNpAlGwQr006ljwMiM"",
      ""GSC最新!A:F""
    ),
    3,
    FALSE
  ),
  0
)
"),0.0)</f>
        <v>0</v>
      </c>
      <c r="H233" s="49">
        <f>IFERROR(__xludf.DUMMYFUNCTION("IFERROR(
  VLOOKUP(
    A233,
    IMPORTRANGE(
      ""1ZHMy3vVUd_0MrSduXTe1etBb1HNpAlGwQr006ljwMiM"",
      ""GSC最新!A:F""
    ),
    4,
    FALSE
  ),
  0
)
"),0.0)</f>
        <v>0</v>
      </c>
      <c r="I233" s="49">
        <f>IFERROR(__xludf.DUMMYFUNCTION("IFERROR(
  VLOOKUP(
    A233,
    IMPORTRANGE(
      ""1ZHMy3vVUd_0MrSduXTe1etBb1HNpAlGwQr006ljwMiM"",
      ""GSC最新!A:F""
    ),
    5,
    FALSE
  ),
  0
)
"),0.0)</f>
        <v>0</v>
      </c>
      <c r="J233" s="50" t="str">
        <f t="shared" ref="J233:K233" si="1156">IFERROR(F233/H233,"-")</f>
        <v>-</v>
      </c>
      <c r="K233" s="50" t="str">
        <f t="shared" si="1156"/>
        <v>-</v>
      </c>
      <c r="L233" s="6">
        <f>IFERROR(__xludf.DUMMYFUNCTION("IFERROR(
  VLOOKUP(
    A233,
    IMPORTRANGE(
      ""1ZHMy3vVUd_0MrSduXTe1etBb1HNpAlGwQr006ljwMiM"",
      ""GSC最新!A:R""
    ),
    7,
    FALSE
  ),
  0
)
"),1.0)</f>
        <v>1</v>
      </c>
      <c r="M233" s="6">
        <f>IFERROR(__xludf.DUMMYFUNCTION("IFERROR(
  VLOOKUP(
    A233,
    IMPORTRANGE(
      ""1ZHMy3vVUd_0MrSduXTe1etBb1HNpAlGwQr006ljwMiM"",
      ""GSC最新!A:R""
    ),
    10,
    FALSE
  ),
  0
)
"),3.0)</f>
        <v>3</v>
      </c>
      <c r="N233" s="6">
        <f>IFERROR(__xludf.DUMMYFUNCTION("IFERROR(
  VLOOKUP(
    A233,
    IMPORTRANGE(
      ""1ZHMy3vVUd_0MrSduXTe1etBb1HNpAlGwQr006ljwMiM"",
      ""GSC最新!A:R""
    ),
    13,
    FALSE
  ),
  0
)
"),1.0)</f>
        <v>1</v>
      </c>
      <c r="O233" s="6">
        <f>IFERROR(__xludf.DUMMYFUNCTION("IFERROR(
  VLOOKUP(
    A233,
    IMPORTRANGE(
      ""1ZHMy3vVUd_0MrSduXTe1etBb1HNpAlGwQr006ljwMiM"",
      ""GSC最新!A:R""
    ),
    16,
    FALSE
  ),
  0
)
"),1.0)</f>
        <v>1</v>
      </c>
      <c r="P233" s="51">
        <f t="shared" ref="P233:Q233" si="1157">IFERROR(L233/N233,"-")</f>
        <v>1</v>
      </c>
      <c r="Q233" s="51">
        <f t="shared" si="1157"/>
        <v>3</v>
      </c>
      <c r="R233" s="9">
        <f>IFERROR(__xludf.DUMMYFUNCTION("IFERROR(
  VLOOKUP(
    A233,
    IMPORTRANGE(
      ""1ZHMy3vVUd_0MrSduXTe1etBb1HNpAlGwQr006ljwMiM"",
      ""GSC最新!A:R""
    ),
    8,
    FALSE
  ),
  0
)
"),0.0)</f>
        <v>0</v>
      </c>
      <c r="S233" s="9">
        <f>IFERROR(__xludf.DUMMYFUNCTION("IFERROR(
  VLOOKUP(
    A233,
    IMPORTRANGE(
      ""1ZHMy3vVUd_0MrSduXTe1etBb1HNpAlGwQr006ljwMiM"",
      ""GSC最新!A:R""
    ),
    11,
    FALSE
  ),
  0
)
"),0.0)</f>
        <v>0</v>
      </c>
      <c r="T233" s="9">
        <f>IFERROR(__xludf.DUMMYFUNCTION("IFERROR(
  VLOOKUP(
    A233,
    IMPORTRANGE(
      ""1ZHMy3vVUd_0MrSduXTe1etBb1HNpAlGwQr006ljwMiM"",
      ""GSC最新!A:R""
    ),
    14,
    FALSE
  ),
  0
)
"),0.0)</f>
        <v>0</v>
      </c>
      <c r="U233" s="9">
        <f>IFERROR(__xludf.DUMMYFUNCTION("IFERROR(
  VLOOKUP(
    A233,
    IMPORTRANGE(
      ""1ZHMy3vVUd_0MrSduXTe1etBb1HNpAlGwQr006ljwMiM"",
      ""GSC最新!A:R""
    ),
    17,
    FALSE
  ),
  0
)
"),0.0)</f>
        <v>0</v>
      </c>
      <c r="V233" s="9">
        <f t="shared" ref="V233:W233" si="1158">IFERROR(R233-T233,"-")</f>
        <v>0</v>
      </c>
      <c r="W233" s="9">
        <f t="shared" si="1158"/>
        <v>0</v>
      </c>
      <c r="X233" s="65">
        <f>IFERROR(__xludf.DUMMYFUNCTION("IFERROR(
  VLOOKUP(
    A233,
    IMPORTRANGE(
      ""1ZHMy3vVUd_0MrSduXTe1etBb1HNpAlGwQr006ljwMiM"",
      ""GSC最新!A:R""
    ),
    9,
    FALSE
  ),
  0
)
"),19.0)</f>
        <v>19</v>
      </c>
      <c r="Y233" s="65">
        <f>IFERROR(__xludf.DUMMYFUNCTION("IFERROR(
  VLOOKUP(
    A233,
    IMPORTRANGE(
      ""1ZHMy3vVUd_0MrSduXTe1etBb1HNpAlGwQr006ljwMiM"",
      ""GSC最新!A:R""
    ),
    12,
    FALSE
  ),
  0
)
"),8.0)</f>
        <v>8</v>
      </c>
      <c r="Z233" s="65">
        <f>IFERROR(__xludf.DUMMYFUNCTION("IFERROR(
  VLOOKUP(
    A233,
    IMPORTRANGE(
      ""1ZHMy3vVUd_0MrSduXTe1etBb1HNpAlGwQr006ljwMiM"",
      ""GSC最新!A:R""
    ),
    15,
    FALSE
  ),
  0
)
"),23.0)</f>
        <v>23</v>
      </c>
      <c r="AA233" s="65">
        <f>IFERROR(__xludf.DUMMYFUNCTION("IFERROR(
  VLOOKUP(
    A233,
    IMPORTRANGE(
      ""1ZHMy3vVUd_0MrSduXTe1etBb1HNpAlGwQr006ljwMiM"",
      ""GSC最新!A:R""
    ),
    18,
    FALSE
  ),
  0
)
"),23.0)</f>
        <v>23</v>
      </c>
      <c r="AB233" s="65">
        <f t="shared" ref="AB233:AC233" si="1159">X233-Z233</f>
        <v>-4</v>
      </c>
      <c r="AC233" s="65">
        <f t="shared" si="1159"/>
        <v>-15</v>
      </c>
      <c r="AD233" s="53">
        <f>IFERROR(__xludf.DUMMYFUNCTION("IFERROR(
  VLOOKUP(
    A233,
    IMPORTRANGE(
      ""1ZHMy3vVUd_0MrSduXTe1etBb1HNpAlGwQr006ljwMiM"",
      ""GSC最新!A:F""
    ),
    6,
    FALSE
  ),
  0
)
"),46081.0)</f>
        <v>46081</v>
      </c>
      <c r="AE233" s="54">
        <f>IFERROR(__xludf.DUMMYFUNCTION("IFERROR(
  VLOOKUP(
    A233,
    IMPORTRANGE(
      ""1SCYQd7_cobOYqT0r_F0IqD4tE4rYn5y8Eup4PJTH8es"",
      ""Snapshot!A:M""
    ),
    5,
    FALSE
  ),
  ""-""
)
"),0.0)</f>
        <v>0</v>
      </c>
      <c r="AF233" s="54">
        <f>IFERROR(__xludf.DUMMYFUNCTION("IFERROR(
  VLOOKUP(
    A233,
    IMPORTRANGE(
      ""1SCYQd7_cobOYqT0r_F0IqD4tE4rYn5y8Eup4PJTH8es"",
      ""Snapshot!A:M""
    ),
    6,
    FALSE
  ),
  0
)
"),0.0)</f>
        <v>0</v>
      </c>
      <c r="AG233" s="54">
        <f>IFERROR(__xludf.DUMMYFUNCTION("IFERROR(
  VLOOKUP(
    A233,
    IMPORTRANGE(
      ""1SCYQd7_cobOYqT0r_F0IqD4tE4rYn5y8Eup4PJTH8es"",
      ""Snapshot!A:M""
    ),
    7,
    FALSE
  ),
  0
)
"),0.0)</f>
        <v>0</v>
      </c>
      <c r="AH233" s="54">
        <f>IFERROR(__xludf.DUMMYFUNCTION("IFERROR(
  VLOOKUP(
    A233,
    IMPORTRANGE(
      ""1SCYQd7_cobOYqT0r_F0IqD4tE4rYn5y8Eup4PJTH8es"",
      ""Snapshot!A:M""
    ),
    8,
    FALSE
  ),
  0
)
"),0.0)</f>
        <v>0</v>
      </c>
      <c r="AI233" s="54">
        <f>IFERROR(__xludf.DUMMYFUNCTION("IFERROR(
  VLOOKUP(
    A233,
    IMPORTRANGE(
      ""1SCYQd7_cobOYqT0r_F0IqD4tE4rYn5y8Eup4PJTH8es"",
      ""Snapshot!A:M""
    ),
    9,
    FALSE
  ),
  0
)
"),0.0)</f>
        <v>0</v>
      </c>
      <c r="AJ233" s="54">
        <f>IFERROR(__xludf.DUMMYFUNCTION("IFERROR(
  VLOOKUP(
    A233,
    IMPORTRANGE(
      ""1SCYQd7_cobOYqT0r_F0IqD4tE4rYn5y8Eup4PJTH8es"",
      ""Snapshot!A:M""
    ),
    13,
    FALSE
  ),
  0
)
"),2.0)</f>
        <v>2</v>
      </c>
      <c r="AK233" s="49">
        <f t="shared" ref="AK233:AL233" si="1160">LEN(C233)</f>
        <v>57</v>
      </c>
      <c r="AL233" s="49">
        <f t="shared" si="1160"/>
        <v>135</v>
      </c>
    </row>
    <row r="234">
      <c r="A234" s="1" t="s">
        <v>143</v>
      </c>
      <c r="B234" s="1" t="str">
        <f>IFERROR(__xludf.DUMMYFUNCTION("IFERROR(
  VLOOKUP(
    A234,
    IMPORTRANGE(
      ""1ZygntHC1J6IxzKbTidmOyf5nUyW4GCLurHCjexrLm_o"",
      ""HTMLキャッシュ!A:F""
    ),
    2,
    FALSE
  ),
  0
)
"),"-")</f>
        <v>-</v>
      </c>
      <c r="C234" s="1" t="str">
        <f>IFERROR(__xludf.DUMMYFUNCTION("IFERROR(
  VLOOKUP(
    A234,
    IMPORTRANGE(
      ""1ZygntHC1J6IxzKbTidmOyf5nUyW4GCLurHCjexrLm_o"",
      ""HTMLキャッシュ!A:F""
    ),
    5,
    FALSE
  ),
  0
)
"),"サピックス - 受験国語専門 読解ラボ東京 | 中学受験・大学受験対応の個別指導国語専門塾（オンライン・教室対応）")</f>
        <v>サピックス - 受験国語専門 読解ラボ東京 | 中学受験・大学受験対応の個別指導国語専門塾（オンライン・教室対応）</v>
      </c>
      <c r="D234" s="1" t="str">
        <f>IFERROR(__xludf.DUMMYFUNCTION("IFERROR(
  VLOOKUP(
    A234,
    IMPORTRANGE(
      ""1ZygntHC1J6IxzKbTidmOyf5nUyW4GCLurHCjexrLm_o        "",
      ""HTMLキャッシュ!A:F""
    ),
    6,
    FALSE
  ),
  0
)
"),"サピックス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サピックス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34" s="32">
        <f>IFERROR(__xludf.DUMMYFUNCTION("IFERROR(
  VLOOKUP(
    A234,
    IMPORTRANGE(
      ""1ZygntHC1J6IxzKbTidmOyf5nUyW4GCLurHCjexrLm_o        "",
      ""HTMLキャッシュ!A:F""
    ),
    3,
    FALSE
  ),
  0
)
"),25569.375)</f>
        <v>25569.375</v>
      </c>
      <c r="F234" s="49">
        <f>IFERROR(__xludf.DUMMYFUNCTION("IFERROR(
  VLOOKUP(
    A234,
    IMPORTRANGE(
      ""1ZHMy3vVUd_0MrSduXTe1etBb1HNpAlGwQr006ljwMiM"",
      ""GSC最新!A:F""
    ),
    2,
    FALSE
  ),
  0
)
"),0.0)</f>
        <v>0</v>
      </c>
      <c r="G234" s="49">
        <f>IFERROR(__xludf.DUMMYFUNCTION("IFERROR(
  VLOOKUP(
    A234,
    IMPORTRANGE(
      ""1ZHMy3vVUd_0MrSduXTe1etBb1HNpAlGwQr006ljwMiM"",
      ""GSC最新!A:F""
    ),
    3,
    FALSE
  ),
  0
)
"),0.0)</f>
        <v>0</v>
      </c>
      <c r="H234" s="49">
        <f>IFERROR(__xludf.DUMMYFUNCTION("IFERROR(
  VLOOKUP(
    A234,
    IMPORTRANGE(
      ""1ZHMy3vVUd_0MrSduXTe1etBb1HNpAlGwQr006ljwMiM"",
      ""GSC最新!A:F""
    ),
    4,
    FALSE
  ),
  0
)
"),0.0)</f>
        <v>0</v>
      </c>
      <c r="I234" s="49">
        <f>IFERROR(__xludf.DUMMYFUNCTION("IFERROR(
  VLOOKUP(
    A234,
    IMPORTRANGE(
      ""1ZHMy3vVUd_0MrSduXTe1etBb1HNpAlGwQr006ljwMiM"",
      ""GSC最新!A:F""
    ),
    5,
    FALSE
  ),
  0
)
"),0.0)</f>
        <v>0</v>
      </c>
      <c r="J234" s="50" t="str">
        <f t="shared" ref="J234:K234" si="1161">IFERROR(F234/H234,"-")</f>
        <v>-</v>
      </c>
      <c r="K234" s="50" t="str">
        <f t="shared" si="1161"/>
        <v>-</v>
      </c>
      <c r="L234" s="6">
        <f>IFERROR(__xludf.DUMMYFUNCTION("IFERROR(
  VLOOKUP(
    A234,
    IMPORTRANGE(
      ""1ZHMy3vVUd_0MrSduXTe1etBb1HNpAlGwQr006ljwMiM"",
      ""GSC最新!A:R""
    ),
    7,
    FALSE
  ),
  0
)
"),0.0)</f>
        <v>0</v>
      </c>
      <c r="M234" s="6">
        <f>IFERROR(__xludf.DUMMYFUNCTION("IFERROR(
  VLOOKUP(
    A234,
    IMPORTRANGE(
      ""1ZHMy3vVUd_0MrSduXTe1etBb1HNpAlGwQr006ljwMiM"",
      ""GSC最新!A:R""
    ),
    10,
    FALSE
  ),
  0
)
"),0.0)</f>
        <v>0</v>
      </c>
      <c r="N234" s="6">
        <f>IFERROR(__xludf.DUMMYFUNCTION("IFERROR(
  VLOOKUP(
    A234,
    IMPORTRANGE(
      ""1ZHMy3vVUd_0MrSduXTe1etBb1HNpAlGwQr006ljwMiM"",
      ""GSC最新!A:R""
    ),
    13,
    FALSE
  ),
  0
)
"),0.0)</f>
        <v>0</v>
      </c>
      <c r="O234" s="6">
        <f>IFERROR(__xludf.DUMMYFUNCTION("IFERROR(
  VLOOKUP(
    A234,
    IMPORTRANGE(
      ""1ZHMy3vVUd_0MrSduXTe1etBb1HNpAlGwQr006ljwMiM"",
      ""GSC最新!A:R""
    ),
    16,
    FALSE
  ),
  0
)
"),19.0)</f>
        <v>19</v>
      </c>
      <c r="P234" s="51" t="str">
        <f t="shared" ref="P234:Q234" si="1162">IFERROR(L234/N234,"-")</f>
        <v>-</v>
      </c>
      <c r="Q234" s="51">
        <f t="shared" si="1162"/>
        <v>0</v>
      </c>
      <c r="R234" s="9">
        <f>IFERROR(__xludf.DUMMYFUNCTION("IFERROR(
  VLOOKUP(
    A234,
    IMPORTRANGE(
      ""1ZHMy3vVUd_0MrSduXTe1etBb1HNpAlGwQr006ljwMiM"",
      ""GSC最新!A:R""
    ),
    8,
    FALSE
  ),
  0
)
"),0.0)</f>
        <v>0</v>
      </c>
      <c r="S234" s="9">
        <f>IFERROR(__xludf.DUMMYFUNCTION("IFERROR(
  VLOOKUP(
    A234,
    IMPORTRANGE(
      ""1ZHMy3vVUd_0MrSduXTe1etBb1HNpAlGwQr006ljwMiM"",
      ""GSC最新!A:R""
    ),
    11,
    FALSE
  ),
  0
)
"),0.0)</f>
        <v>0</v>
      </c>
      <c r="T234" s="9">
        <f>IFERROR(__xludf.DUMMYFUNCTION("IFERROR(
  VLOOKUP(
    A234,
    IMPORTRANGE(
      ""1ZHMy3vVUd_0MrSduXTe1etBb1HNpAlGwQr006ljwMiM"",
      ""GSC最新!A:R""
    ),
    14,
    FALSE
  ),
  0
)
"),0.0)</f>
        <v>0</v>
      </c>
      <c r="U234" s="9">
        <f>IFERROR(__xludf.DUMMYFUNCTION("IFERROR(
  VLOOKUP(
    A234,
    IMPORTRANGE(
      ""1ZHMy3vVUd_0MrSduXTe1etBb1HNpAlGwQr006ljwMiM"",
      ""GSC最新!A:R""
    ),
    17,
    FALSE
  ),
  0
)
"),0.0)</f>
        <v>0</v>
      </c>
      <c r="V234" s="9">
        <f t="shared" ref="V234:W234" si="1163">IFERROR(R234-T234,"-")</f>
        <v>0</v>
      </c>
      <c r="W234" s="9">
        <f t="shared" si="1163"/>
        <v>0</v>
      </c>
      <c r="X234" s="65" t="str">
        <f>IFERROR(__xludf.DUMMYFUNCTION("IFERROR(
  VLOOKUP(
    A234,
    IMPORTRANGE(
      ""1ZHMy3vVUd_0MrSduXTe1etBb1HNpAlGwQr006ljwMiM"",
      ""GSC最新!A:R""
    ),
    9,
    FALSE
  ),
  0
)
"),"")</f>
        <v/>
      </c>
      <c r="Y234" s="65" t="str">
        <f>IFERROR(__xludf.DUMMYFUNCTION("IFERROR(
  VLOOKUP(
    A234,
    IMPORTRANGE(
      ""1ZHMy3vVUd_0MrSduXTe1etBb1HNpAlGwQr006ljwMiM"",
      ""GSC最新!A:R""
    ),
    12,
    FALSE
  ),
  0
)
"),"")</f>
        <v/>
      </c>
      <c r="Z234" s="65" t="str">
        <f>IFERROR(__xludf.DUMMYFUNCTION("IFERROR(
  VLOOKUP(
    A234,
    IMPORTRANGE(
      ""1ZHMy3vVUd_0MrSduXTe1etBb1HNpAlGwQr006ljwMiM"",
      ""GSC最新!A:R""
    ),
    15,
    FALSE
  ),
  0
)
"),"")</f>
        <v/>
      </c>
      <c r="AA234" s="65">
        <f>IFERROR(__xludf.DUMMYFUNCTION("IFERROR(
  VLOOKUP(
    A234,
    IMPORTRANGE(
      ""1ZHMy3vVUd_0MrSduXTe1etBb1HNpAlGwQr006ljwMiM"",
      ""GSC最新!A:R""
    ),
    18,
    FALSE
  ),
  0
)
"),66.0)</f>
        <v>66</v>
      </c>
      <c r="AB234" s="65">
        <f t="shared" ref="AB234:AC234" si="1164">X234-Z234</f>
        <v>0</v>
      </c>
      <c r="AC234" s="65">
        <f t="shared" si="1164"/>
        <v>-66</v>
      </c>
      <c r="AD234" s="53">
        <f>IFERROR(__xludf.DUMMYFUNCTION("IFERROR(
  VLOOKUP(
    A234,
    IMPORTRANGE(
      ""1ZHMy3vVUd_0MrSduXTe1etBb1HNpAlGwQr006ljwMiM"",
      ""GSC最新!A:F""
    ),
    6,
    FALSE
  ),
  0
)
"),46081.0)</f>
        <v>46081</v>
      </c>
      <c r="AE234" s="54">
        <f>IFERROR(__xludf.DUMMYFUNCTION("IFERROR(
  VLOOKUP(
    A234,
    IMPORTRANGE(
      ""1SCYQd7_cobOYqT0r_F0IqD4tE4rYn5y8Eup4PJTH8es"",
      ""Snapshot!A:M""
    ),
    5,
    FALSE
  ),
  ""-""
)
"),0.0)</f>
        <v>0</v>
      </c>
      <c r="AF234" s="54">
        <f>IFERROR(__xludf.DUMMYFUNCTION("IFERROR(
  VLOOKUP(
    A234,
    IMPORTRANGE(
      ""1SCYQd7_cobOYqT0r_F0IqD4tE4rYn5y8Eup4PJTH8es"",
      ""Snapshot!A:M""
    ),
    6,
    FALSE
  ),
  0
)
"),0.0)</f>
        <v>0</v>
      </c>
      <c r="AG234" s="54">
        <f>IFERROR(__xludf.DUMMYFUNCTION("IFERROR(
  VLOOKUP(
    A234,
    IMPORTRANGE(
      ""1SCYQd7_cobOYqT0r_F0IqD4tE4rYn5y8Eup4PJTH8es"",
      ""Snapshot!A:M""
    ),
    7,
    FALSE
  ),
  0
)
"),0.0)</f>
        <v>0</v>
      </c>
      <c r="AH234" s="54">
        <f>IFERROR(__xludf.DUMMYFUNCTION("IFERROR(
  VLOOKUP(
    A234,
    IMPORTRANGE(
      ""1SCYQd7_cobOYqT0r_F0IqD4tE4rYn5y8Eup4PJTH8es"",
      ""Snapshot!A:M""
    ),
    8,
    FALSE
  ),
  0
)
"),0.0)</f>
        <v>0</v>
      </c>
      <c r="AI234" s="54">
        <f>IFERROR(__xludf.DUMMYFUNCTION("IFERROR(
  VLOOKUP(
    A234,
    IMPORTRANGE(
      ""1SCYQd7_cobOYqT0r_F0IqD4tE4rYn5y8Eup4PJTH8es"",
      ""Snapshot!A:M""
    ),
    9,
    FALSE
  ),
  0
)
"),0.0)</f>
        <v>0</v>
      </c>
      <c r="AJ234" s="54">
        <f>IFERROR(__xludf.DUMMYFUNCTION("IFERROR(
  VLOOKUP(
    A234,
    IMPORTRANGE(
      ""1SCYQd7_cobOYqT0r_F0IqD4tE4rYn5y8Eup4PJTH8es"",
      ""Snapshot!A:M""
    ),
    13,
    FALSE
  ),
  0
)
"),2.0)</f>
        <v>2</v>
      </c>
      <c r="AK234" s="49">
        <f t="shared" ref="AK234:AL234" si="1165">LEN(C234)</f>
        <v>57</v>
      </c>
      <c r="AL234" s="49">
        <f t="shared" si="1165"/>
        <v>135</v>
      </c>
    </row>
    <row r="235">
      <c r="A235" s="1" t="s">
        <v>145</v>
      </c>
      <c r="B235" s="1" t="str">
        <f>IFERROR(__xludf.DUMMYFUNCTION("IFERROR(
  VLOOKUP(
    A235,
    IMPORTRANGE(
      ""1ZygntHC1J6IxzKbTidmOyf5nUyW4GCLurHCjexrLm_o"",
      ""HTMLキャッシュ!A:F""
    ),
    2,
    FALSE
  ),
  0
)
"),"-")</f>
        <v>-</v>
      </c>
      <c r="C235" s="1" t="str">
        <f>IFERROR(__xludf.DUMMYFUNCTION("IFERROR(
  VLOOKUP(
    A235,
    IMPORTRANGE(
      ""1ZygntHC1J6IxzKbTidmOyf5nUyW4GCLurHCjexrLm_o"",
      ""HTMLキャッシュ!A:F""
    ),
    5,
    FALSE
  ),
  0
)
"),"テスト - 受験国語専門 読解ラボ東京 | 中学受験・大学受験対応の個別指導国語専門塾（オンライン・教室対応）")</f>
        <v>テスト - 受験国語専門 読解ラボ東京 | 中学受験・大学受験対応の個別指導国語専門塾（オンライン・教室対応）</v>
      </c>
      <c r="D235" s="1" t="str">
        <f>IFERROR(__xludf.DUMMYFUNCTION("IFERROR(
  VLOOKUP(
    A235,
    IMPORTRANGE(
      ""1ZygntHC1J6IxzKbTidmOyf5nUyW4GCLurHCjexrLm_o        "",
      ""HTMLキャッシュ!A:F""
    ),
    6,
    FALSE
  ),
  0
)
"),"テスト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テスト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35" s="32">
        <f>IFERROR(__xludf.DUMMYFUNCTION("IFERROR(
  VLOOKUP(
    A235,
    IMPORTRANGE(
      ""1ZygntHC1J6IxzKbTidmOyf5nUyW4GCLurHCjexrLm_o        "",
      ""HTMLキャッシュ!A:F""
    ),
    3,
    FALSE
  ),
  0
)
"),25569.375)</f>
        <v>25569.375</v>
      </c>
      <c r="F235" s="49">
        <f>IFERROR(__xludf.DUMMYFUNCTION("IFERROR(
  VLOOKUP(
    A235,
    IMPORTRANGE(
      ""1ZHMy3vVUd_0MrSduXTe1etBb1HNpAlGwQr006ljwMiM"",
      ""GSC最新!A:F""
    ),
    2,
    FALSE
  ),
  0
)
"),0.0)</f>
        <v>0</v>
      </c>
      <c r="G235" s="49">
        <f>IFERROR(__xludf.DUMMYFUNCTION("IFERROR(
  VLOOKUP(
    A235,
    IMPORTRANGE(
      ""1ZHMy3vVUd_0MrSduXTe1etBb1HNpAlGwQr006ljwMiM"",
      ""GSC最新!A:F""
    ),
    3,
    FALSE
  ),
  0
)
"),0.0)</f>
        <v>0</v>
      </c>
      <c r="H235" s="49">
        <f>IFERROR(__xludf.DUMMYFUNCTION("IFERROR(
  VLOOKUP(
    A235,
    IMPORTRANGE(
      ""1ZHMy3vVUd_0MrSduXTe1etBb1HNpAlGwQr006ljwMiM"",
      ""GSC最新!A:F""
    ),
    4,
    FALSE
  ),
  0
)
"),0.0)</f>
        <v>0</v>
      </c>
      <c r="I235" s="49">
        <f>IFERROR(__xludf.DUMMYFUNCTION("IFERROR(
  VLOOKUP(
    A235,
    IMPORTRANGE(
      ""1ZHMy3vVUd_0MrSduXTe1etBb1HNpAlGwQr006ljwMiM"",
      ""GSC最新!A:F""
    ),
    5,
    FALSE
  ),
  0
)
"),0.0)</f>
        <v>0</v>
      </c>
      <c r="J235" s="50" t="str">
        <f t="shared" ref="J235:K235" si="1166">IFERROR(F235/H235,"-")</f>
        <v>-</v>
      </c>
      <c r="K235" s="50" t="str">
        <f t="shared" si="1166"/>
        <v>-</v>
      </c>
      <c r="L235" s="6">
        <f>IFERROR(__xludf.DUMMYFUNCTION("IFERROR(
  VLOOKUP(
    A235,
    IMPORTRANGE(
      ""1ZHMy3vVUd_0MrSduXTe1etBb1HNpAlGwQr006ljwMiM"",
      ""GSC最新!A:R""
    ),
    7,
    FALSE
  ),
  0
)
"),0.0)</f>
        <v>0</v>
      </c>
      <c r="M235" s="6">
        <f>IFERROR(__xludf.DUMMYFUNCTION("IFERROR(
  VLOOKUP(
    A235,
    IMPORTRANGE(
      ""1ZHMy3vVUd_0MrSduXTe1etBb1HNpAlGwQr006ljwMiM"",
      ""GSC最新!A:R""
    ),
    10,
    FALSE
  ),
  0
)
"),0.0)</f>
        <v>0</v>
      </c>
      <c r="N235" s="6">
        <f>IFERROR(__xludf.DUMMYFUNCTION("IFERROR(
  VLOOKUP(
    A235,
    IMPORTRANGE(
      ""1ZHMy3vVUd_0MrSduXTe1etBb1HNpAlGwQr006ljwMiM"",
      ""GSC最新!A:R""
    ),
    13,
    FALSE
  ),
  0
)
"),0.0)</f>
        <v>0</v>
      </c>
      <c r="O235" s="6">
        <f>IFERROR(__xludf.DUMMYFUNCTION("IFERROR(
  VLOOKUP(
    A235,
    IMPORTRANGE(
      ""1ZHMy3vVUd_0MrSduXTe1etBb1HNpAlGwQr006ljwMiM"",
      ""GSC最新!A:R""
    ),
    16,
    FALSE
  ),
  0
)
"),0.0)</f>
        <v>0</v>
      </c>
      <c r="P235" s="51" t="str">
        <f t="shared" ref="P235:Q235" si="1167">IFERROR(L235/N235,"-")</f>
        <v>-</v>
      </c>
      <c r="Q235" s="51" t="str">
        <f t="shared" si="1167"/>
        <v>-</v>
      </c>
      <c r="R235" s="9">
        <f>IFERROR(__xludf.DUMMYFUNCTION("IFERROR(
  VLOOKUP(
    A235,
    IMPORTRANGE(
      ""1ZHMy3vVUd_0MrSduXTe1etBb1HNpAlGwQr006ljwMiM"",
      ""GSC最新!A:R""
    ),
    8,
    FALSE
  ),
  0
)
"),0.0)</f>
        <v>0</v>
      </c>
      <c r="S235" s="9">
        <f>IFERROR(__xludf.DUMMYFUNCTION("IFERROR(
  VLOOKUP(
    A235,
    IMPORTRANGE(
      ""1ZHMy3vVUd_0MrSduXTe1etBb1HNpAlGwQr006ljwMiM"",
      ""GSC最新!A:R""
    ),
    11,
    FALSE
  ),
  0
)
"),0.0)</f>
        <v>0</v>
      </c>
      <c r="T235" s="9">
        <f>IFERROR(__xludf.DUMMYFUNCTION("IFERROR(
  VLOOKUP(
    A235,
    IMPORTRANGE(
      ""1ZHMy3vVUd_0MrSduXTe1etBb1HNpAlGwQr006ljwMiM"",
      ""GSC最新!A:R""
    ),
    14,
    FALSE
  ),
  0
)
"),0.0)</f>
        <v>0</v>
      </c>
      <c r="U235" s="9">
        <f>IFERROR(__xludf.DUMMYFUNCTION("IFERROR(
  VLOOKUP(
    A235,
    IMPORTRANGE(
      ""1ZHMy3vVUd_0MrSduXTe1etBb1HNpAlGwQr006ljwMiM"",
      ""GSC最新!A:R""
    ),
    17,
    FALSE
  ),
  0
)
"),0.0)</f>
        <v>0</v>
      </c>
      <c r="V235" s="9">
        <f t="shared" ref="V235:W235" si="1168">IFERROR(R235-T235,"-")</f>
        <v>0</v>
      </c>
      <c r="W235" s="9">
        <f t="shared" si="1168"/>
        <v>0</v>
      </c>
      <c r="X235" s="65" t="str">
        <f>IFERROR(__xludf.DUMMYFUNCTION("IFERROR(
  VLOOKUP(
    A235,
    IMPORTRANGE(
      ""1ZHMy3vVUd_0MrSduXTe1etBb1HNpAlGwQr006ljwMiM"",
      ""GSC最新!A:R""
    ),
    9,
    FALSE
  ),
  0
)
"),"")</f>
        <v/>
      </c>
      <c r="Y235" s="65" t="str">
        <f>IFERROR(__xludf.DUMMYFUNCTION("IFERROR(
  VLOOKUP(
    A235,
    IMPORTRANGE(
      ""1ZHMy3vVUd_0MrSduXTe1etBb1HNpAlGwQr006ljwMiM"",
      ""GSC最新!A:R""
    ),
    12,
    FALSE
  ),
  0
)
"),"")</f>
        <v/>
      </c>
      <c r="Z235" s="65" t="str">
        <f>IFERROR(__xludf.DUMMYFUNCTION("IFERROR(
  VLOOKUP(
    A235,
    IMPORTRANGE(
      ""1ZHMy3vVUd_0MrSduXTe1etBb1HNpAlGwQr006ljwMiM"",
      ""GSC最新!A:R""
    ),
    15,
    FALSE
  ),
  0
)
"),"")</f>
        <v/>
      </c>
      <c r="AA235" s="65" t="str">
        <f>IFERROR(__xludf.DUMMYFUNCTION("IFERROR(
  VLOOKUP(
    A235,
    IMPORTRANGE(
      ""1ZHMy3vVUd_0MrSduXTe1etBb1HNpAlGwQr006ljwMiM"",
      ""GSC最新!A:R""
    ),
    18,
    FALSE
  ),
  0
)
"),"")</f>
        <v/>
      </c>
      <c r="AB235" s="65">
        <f t="shared" ref="AB235:AC235" si="1169">X235-Z235</f>
        <v>0</v>
      </c>
      <c r="AC235" s="65">
        <f t="shared" si="1169"/>
        <v>0</v>
      </c>
      <c r="AD235" s="53">
        <f>IFERROR(__xludf.DUMMYFUNCTION("IFERROR(
  VLOOKUP(
    A235,
    IMPORTRANGE(
      ""1ZHMy3vVUd_0MrSduXTe1etBb1HNpAlGwQr006ljwMiM"",
      ""GSC最新!A:F""
    ),
    6,
    FALSE
  ),
  0
)
"),46081.0)</f>
        <v>46081</v>
      </c>
      <c r="AE235" s="54">
        <f>IFERROR(__xludf.DUMMYFUNCTION("IFERROR(
  VLOOKUP(
    A235,
    IMPORTRANGE(
      ""1SCYQd7_cobOYqT0r_F0IqD4tE4rYn5y8Eup4PJTH8es"",
      ""Snapshot!A:M""
    ),
    5,
    FALSE
  ),
  ""-""
)
"),0.0)</f>
        <v>0</v>
      </c>
      <c r="AF235" s="54">
        <f>IFERROR(__xludf.DUMMYFUNCTION("IFERROR(
  VLOOKUP(
    A235,
    IMPORTRANGE(
      ""1SCYQd7_cobOYqT0r_F0IqD4tE4rYn5y8Eup4PJTH8es"",
      ""Snapshot!A:M""
    ),
    6,
    FALSE
  ),
  0
)
"),0.0)</f>
        <v>0</v>
      </c>
      <c r="AG235" s="54">
        <f>IFERROR(__xludf.DUMMYFUNCTION("IFERROR(
  VLOOKUP(
    A235,
    IMPORTRANGE(
      ""1SCYQd7_cobOYqT0r_F0IqD4tE4rYn5y8Eup4PJTH8es"",
      ""Snapshot!A:M""
    ),
    7,
    FALSE
  ),
  0
)
"),0.0)</f>
        <v>0</v>
      </c>
      <c r="AH235" s="54">
        <f>IFERROR(__xludf.DUMMYFUNCTION("IFERROR(
  VLOOKUP(
    A235,
    IMPORTRANGE(
      ""1SCYQd7_cobOYqT0r_F0IqD4tE4rYn5y8Eup4PJTH8es"",
      ""Snapshot!A:M""
    ),
    8,
    FALSE
  ),
  0
)
"),0.0)</f>
        <v>0</v>
      </c>
      <c r="AI235" s="54">
        <f>IFERROR(__xludf.DUMMYFUNCTION("IFERROR(
  VLOOKUP(
    A235,
    IMPORTRANGE(
      ""1SCYQd7_cobOYqT0r_F0IqD4tE4rYn5y8Eup4PJTH8es"",
      ""Snapshot!A:M""
    ),
    9,
    FALSE
  ),
  0
)
"),0.0)</f>
        <v>0</v>
      </c>
      <c r="AJ235" s="54">
        <f>IFERROR(__xludf.DUMMYFUNCTION("IFERROR(
  VLOOKUP(
    A235,
    IMPORTRANGE(
      ""1SCYQd7_cobOYqT0r_F0IqD4tE4rYn5y8Eup4PJTH8es"",
      ""Snapshot!A:M""
    ),
    13,
    FALSE
  ),
  0
)
"),2.0)</f>
        <v>2</v>
      </c>
      <c r="AK235" s="49">
        <f t="shared" ref="AK235:AL235" si="1170">LEN(C235)</f>
        <v>55</v>
      </c>
      <c r="AL235" s="49">
        <f t="shared" si="1170"/>
        <v>133</v>
      </c>
    </row>
    <row r="236">
      <c r="A236" s="1" t="s">
        <v>147</v>
      </c>
      <c r="B236" s="1" t="str">
        <f>IFERROR(__xludf.DUMMYFUNCTION("IFERROR(
  VLOOKUP(
    A236,
    IMPORTRANGE(
      ""1ZygntHC1J6IxzKbTidmOyf5nUyW4GCLurHCjexrLm_o"",
      ""HTMLキャッシュ!A:F""
    ),
    2,
    FALSE
  ),
  0
)
"),"-")</f>
        <v>-</v>
      </c>
      <c r="C236" s="1" t="str">
        <f>IFERROR(__xludf.DUMMYFUNCTION("IFERROR(
  VLOOKUP(
    A236,
    IMPORTRANGE(
      ""1ZygntHC1J6IxzKbTidmOyf5nUyW4GCLurHCjexrLm_o"",
      ""HTMLキャッシュ!A:F""
    ),
    5,
    FALSE
  ),
  0
)
"),"過去問 - 受験国語専門 読解ラボ東京 | 中学受験・大学受験対応の個別指導国語専門塾（オンライン・教室対応）")</f>
        <v>過去問 - 受験国語専門 読解ラボ東京 | 中学受験・大学受験対応の個別指導国語専門塾（オンライン・教室対応）</v>
      </c>
      <c r="D236" s="1" t="str">
        <f>IFERROR(__xludf.DUMMYFUNCTION("IFERROR(
  VLOOKUP(
    A236,
    IMPORTRANGE(
      ""1ZygntHC1J6IxzKbTidmOyf5nUyW4GCLurHCjexrLm_o        "",
      ""HTMLキャッシュ!A:F""
    ),
    6,
    FALSE
  ),
  0
)
"),"過去問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過去問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36" s="32">
        <f>IFERROR(__xludf.DUMMYFUNCTION("IFERROR(
  VLOOKUP(
    A236,
    IMPORTRANGE(
      ""1ZygntHC1J6IxzKbTidmOyf5nUyW4GCLurHCjexrLm_o        "",
      ""HTMLキャッシュ!A:F""
    ),
    3,
    FALSE
  ),
  0
)
"),25569.375)</f>
        <v>25569.375</v>
      </c>
      <c r="F236" s="49">
        <f>IFERROR(__xludf.DUMMYFUNCTION("IFERROR(
  VLOOKUP(
    A236,
    IMPORTRANGE(
      ""1ZHMy3vVUd_0MrSduXTe1etBb1HNpAlGwQr006ljwMiM"",
      ""GSC最新!A:F""
    ),
    2,
    FALSE
  ),
  0
)
"),0.0)</f>
        <v>0</v>
      </c>
      <c r="G236" s="49">
        <f>IFERROR(__xludf.DUMMYFUNCTION("IFERROR(
  VLOOKUP(
    A236,
    IMPORTRANGE(
      ""1ZHMy3vVUd_0MrSduXTe1etBb1HNpAlGwQr006ljwMiM"",
      ""GSC最新!A:F""
    ),
    3,
    FALSE
  ),
  0
)
"),0.0)</f>
        <v>0</v>
      </c>
      <c r="H236" s="49">
        <f>IFERROR(__xludf.DUMMYFUNCTION("IFERROR(
  VLOOKUP(
    A236,
    IMPORTRANGE(
      ""1ZHMy3vVUd_0MrSduXTe1etBb1HNpAlGwQr006ljwMiM"",
      ""GSC最新!A:F""
    ),
    4,
    FALSE
  ),
  0
)
"),0.0)</f>
        <v>0</v>
      </c>
      <c r="I236" s="49">
        <f>IFERROR(__xludf.DUMMYFUNCTION("IFERROR(
  VLOOKUP(
    A236,
    IMPORTRANGE(
      ""1ZHMy3vVUd_0MrSduXTe1etBb1HNpAlGwQr006ljwMiM"",
      ""GSC最新!A:F""
    ),
    5,
    FALSE
  ),
  0
)
"),0.0)</f>
        <v>0</v>
      </c>
      <c r="J236" s="50" t="str">
        <f t="shared" ref="J236:K236" si="1171">IFERROR(F236/H236,"-")</f>
        <v>-</v>
      </c>
      <c r="K236" s="50" t="str">
        <f t="shared" si="1171"/>
        <v>-</v>
      </c>
      <c r="L236" s="6">
        <f>IFERROR(__xludf.DUMMYFUNCTION("IFERROR(
  VLOOKUP(
    A236,
    IMPORTRANGE(
      ""1ZHMy3vVUd_0MrSduXTe1etBb1HNpAlGwQr006ljwMiM"",
      ""GSC最新!A:R""
    ),
    7,
    FALSE
  ),
  0
)
"),0.0)</f>
        <v>0</v>
      </c>
      <c r="M236" s="6">
        <f>IFERROR(__xludf.DUMMYFUNCTION("IFERROR(
  VLOOKUP(
    A236,
    IMPORTRANGE(
      ""1ZHMy3vVUd_0MrSduXTe1etBb1HNpAlGwQr006ljwMiM"",
      ""GSC最新!A:R""
    ),
    10,
    FALSE
  ),
  0
)
"),0.0)</f>
        <v>0</v>
      </c>
      <c r="N236" s="6">
        <f>IFERROR(__xludf.DUMMYFUNCTION("IFERROR(
  VLOOKUP(
    A236,
    IMPORTRANGE(
      ""1ZHMy3vVUd_0MrSduXTe1etBb1HNpAlGwQr006ljwMiM"",
      ""GSC最新!A:R""
    ),
    13,
    FALSE
  ),
  0
)
"),0.0)</f>
        <v>0</v>
      </c>
      <c r="O236" s="6">
        <f>IFERROR(__xludf.DUMMYFUNCTION("IFERROR(
  VLOOKUP(
    A236,
    IMPORTRANGE(
      ""1ZHMy3vVUd_0MrSduXTe1etBb1HNpAlGwQr006ljwMiM"",
      ""GSC最新!A:R""
    ),
    16,
    FALSE
  ),
  0
)
"),0.0)</f>
        <v>0</v>
      </c>
      <c r="P236" s="51" t="str">
        <f t="shared" ref="P236:Q236" si="1172">IFERROR(L236/N236,"-")</f>
        <v>-</v>
      </c>
      <c r="Q236" s="51" t="str">
        <f t="shared" si="1172"/>
        <v>-</v>
      </c>
      <c r="R236" s="9">
        <f>IFERROR(__xludf.DUMMYFUNCTION("IFERROR(
  VLOOKUP(
    A236,
    IMPORTRANGE(
      ""1ZHMy3vVUd_0MrSduXTe1etBb1HNpAlGwQr006ljwMiM"",
      ""GSC最新!A:R""
    ),
    8,
    FALSE
  ),
  0
)
"),0.0)</f>
        <v>0</v>
      </c>
      <c r="S236" s="9">
        <f>IFERROR(__xludf.DUMMYFUNCTION("IFERROR(
  VLOOKUP(
    A236,
    IMPORTRANGE(
      ""1ZHMy3vVUd_0MrSduXTe1etBb1HNpAlGwQr006ljwMiM"",
      ""GSC最新!A:R""
    ),
    11,
    FALSE
  ),
  0
)
"),0.0)</f>
        <v>0</v>
      </c>
      <c r="T236" s="9">
        <f>IFERROR(__xludf.DUMMYFUNCTION("IFERROR(
  VLOOKUP(
    A236,
    IMPORTRANGE(
      ""1ZHMy3vVUd_0MrSduXTe1etBb1HNpAlGwQr006ljwMiM"",
      ""GSC最新!A:R""
    ),
    14,
    FALSE
  ),
  0
)
"),0.0)</f>
        <v>0</v>
      </c>
      <c r="U236" s="9">
        <f>IFERROR(__xludf.DUMMYFUNCTION("IFERROR(
  VLOOKUP(
    A236,
    IMPORTRANGE(
      ""1ZHMy3vVUd_0MrSduXTe1etBb1HNpAlGwQr006ljwMiM"",
      ""GSC最新!A:R""
    ),
    17,
    FALSE
  ),
  0
)
"),0.0)</f>
        <v>0</v>
      </c>
      <c r="V236" s="9">
        <f t="shared" ref="V236:W236" si="1173">IFERROR(R236-T236,"-")</f>
        <v>0</v>
      </c>
      <c r="W236" s="9">
        <f t="shared" si="1173"/>
        <v>0</v>
      </c>
      <c r="X236" s="65" t="str">
        <f>IFERROR(__xludf.DUMMYFUNCTION("IFERROR(
  VLOOKUP(
    A236,
    IMPORTRANGE(
      ""1ZHMy3vVUd_0MrSduXTe1etBb1HNpAlGwQr006ljwMiM"",
      ""GSC最新!A:R""
    ),
    9,
    FALSE
  ),
  0
)
"),"")</f>
        <v/>
      </c>
      <c r="Y236" s="65" t="str">
        <f>IFERROR(__xludf.DUMMYFUNCTION("IFERROR(
  VLOOKUP(
    A236,
    IMPORTRANGE(
      ""1ZHMy3vVUd_0MrSduXTe1etBb1HNpAlGwQr006ljwMiM"",
      ""GSC最新!A:R""
    ),
    12,
    FALSE
  ),
  0
)
"),"")</f>
        <v/>
      </c>
      <c r="Z236" s="65" t="str">
        <f>IFERROR(__xludf.DUMMYFUNCTION("IFERROR(
  VLOOKUP(
    A236,
    IMPORTRANGE(
      ""1ZHMy3vVUd_0MrSduXTe1etBb1HNpAlGwQr006ljwMiM"",
      ""GSC最新!A:R""
    ),
    15,
    FALSE
  ),
  0
)
"),"")</f>
        <v/>
      </c>
      <c r="AA236" s="65" t="str">
        <f>IFERROR(__xludf.DUMMYFUNCTION("IFERROR(
  VLOOKUP(
    A236,
    IMPORTRANGE(
      ""1ZHMy3vVUd_0MrSduXTe1etBb1HNpAlGwQr006ljwMiM"",
      ""GSC最新!A:R""
    ),
    18,
    FALSE
  ),
  0
)
"),"")</f>
        <v/>
      </c>
      <c r="AB236" s="65">
        <f t="shared" ref="AB236:AC236" si="1174">X236-Z236</f>
        <v>0</v>
      </c>
      <c r="AC236" s="65">
        <f t="shared" si="1174"/>
        <v>0</v>
      </c>
      <c r="AD236" s="53">
        <f>IFERROR(__xludf.DUMMYFUNCTION("IFERROR(
  VLOOKUP(
    A236,
    IMPORTRANGE(
      ""1ZHMy3vVUd_0MrSduXTe1etBb1HNpAlGwQr006ljwMiM"",
      ""GSC最新!A:F""
    ),
    6,
    FALSE
  ),
  0
)
"),46081.0)</f>
        <v>46081</v>
      </c>
      <c r="AE236" s="54">
        <f>IFERROR(__xludf.DUMMYFUNCTION("IFERROR(
  VLOOKUP(
    A236,
    IMPORTRANGE(
      ""1SCYQd7_cobOYqT0r_F0IqD4tE4rYn5y8Eup4PJTH8es"",
      ""Snapshot!A:M""
    ),
    5,
    FALSE
  ),
  ""-""
)
"),0.0)</f>
        <v>0</v>
      </c>
      <c r="AF236" s="54">
        <f>IFERROR(__xludf.DUMMYFUNCTION("IFERROR(
  VLOOKUP(
    A236,
    IMPORTRANGE(
      ""1SCYQd7_cobOYqT0r_F0IqD4tE4rYn5y8Eup4PJTH8es"",
      ""Snapshot!A:M""
    ),
    6,
    FALSE
  ),
  0
)
"),0.0)</f>
        <v>0</v>
      </c>
      <c r="AG236" s="54">
        <f>IFERROR(__xludf.DUMMYFUNCTION("IFERROR(
  VLOOKUP(
    A236,
    IMPORTRANGE(
      ""1SCYQd7_cobOYqT0r_F0IqD4tE4rYn5y8Eup4PJTH8es"",
      ""Snapshot!A:M""
    ),
    7,
    FALSE
  ),
  0
)
"),0.0)</f>
        <v>0</v>
      </c>
      <c r="AH236" s="54">
        <f>IFERROR(__xludf.DUMMYFUNCTION("IFERROR(
  VLOOKUP(
    A236,
    IMPORTRANGE(
      ""1SCYQd7_cobOYqT0r_F0IqD4tE4rYn5y8Eup4PJTH8es"",
      ""Snapshot!A:M""
    ),
    8,
    FALSE
  ),
  0
)
"),0.0)</f>
        <v>0</v>
      </c>
      <c r="AI236" s="54">
        <f>IFERROR(__xludf.DUMMYFUNCTION("IFERROR(
  VLOOKUP(
    A236,
    IMPORTRANGE(
      ""1SCYQd7_cobOYqT0r_F0IqD4tE4rYn5y8Eup4PJTH8es"",
      ""Snapshot!A:M""
    ),
    9,
    FALSE
  ),
  0
)
"),0.0)</f>
        <v>0</v>
      </c>
      <c r="AJ236" s="54">
        <f>IFERROR(__xludf.DUMMYFUNCTION("IFERROR(
  VLOOKUP(
    A236,
    IMPORTRANGE(
      ""1SCYQd7_cobOYqT0r_F0IqD4tE4rYn5y8Eup4PJTH8es"",
      ""Snapshot!A:M""
    ),
    13,
    FALSE
  ),
  0
)
"),2.0)</f>
        <v>2</v>
      </c>
      <c r="AK236" s="49">
        <f t="shared" ref="AK236:AL236" si="1175">LEN(C236)</f>
        <v>55</v>
      </c>
      <c r="AL236" s="49">
        <f t="shared" si="1175"/>
        <v>133</v>
      </c>
    </row>
    <row r="237">
      <c r="A237" s="1" t="s">
        <v>149</v>
      </c>
      <c r="B237" s="1" t="str">
        <f>IFERROR(__xludf.DUMMYFUNCTION("IFERROR(
  VLOOKUP(
    A237,
    IMPORTRANGE(
      ""1ZygntHC1J6IxzKbTidmOyf5nUyW4GCLurHCjexrLm_o"",
      ""HTMLキャッシュ!A:F""
    ),
    2,
    FALSE
  ),
  0
)
"),"-")</f>
        <v>-</v>
      </c>
      <c r="C237" s="1" t="str">
        <f>IFERROR(__xludf.DUMMYFUNCTION("IFERROR(
  VLOOKUP(
    A237,
    IMPORTRANGE(
      ""1ZygntHC1J6IxzKbTidmOyf5nUyW4GCLurHCjexrLm_o"",
      ""HTMLキャッシュ!A:F""
    ),
    5,
    FALSE
  ),
  0
)
"),"過去問解説 早稲田 - 受験国語専門 読解ラボ東京 | 中学受験・大学受験対応の個別指導国語専門塾（オンライン・教室対応）")</f>
        <v>過去問解説 早稲田 - 受験国語専門 読解ラボ東京 | 中学受験・大学受験対応の個別指導国語専門塾（オンライン・教室対応）</v>
      </c>
      <c r="D237" s="1" t="str">
        <f>IFERROR(__xludf.DUMMYFUNCTION("IFERROR(
  VLOOKUP(
    A237,
    IMPORTRANGE(
      ""1ZygntHC1J6IxzKbTidmOyf5nUyW4GCLurHCjexrLm_o        "",
      ""HTMLキャッシュ!A:F""
    ),
    6,
    FALSE
  ),
  0
)
"),"過去問解説　早稲田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過去問解説　早稲田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37" s="32">
        <f>IFERROR(__xludf.DUMMYFUNCTION("IFERROR(
  VLOOKUP(
    A237,
    IMPORTRANGE(
      ""1ZygntHC1J6IxzKbTidmOyf5nUyW4GCLurHCjexrLm_o        "",
      ""HTMLキャッシュ!A:F""
    ),
    3,
    FALSE
  ),
  0
)
"),25569.375)</f>
        <v>25569.375</v>
      </c>
      <c r="F237" s="49">
        <f>IFERROR(__xludf.DUMMYFUNCTION("IFERROR(
  VLOOKUP(
    A237,
    IMPORTRANGE(
      ""1ZHMy3vVUd_0MrSduXTe1etBb1HNpAlGwQr006ljwMiM"",
      ""GSC最新!A:F""
    ),
    2,
    FALSE
  ),
  0
)
"),0.0)</f>
        <v>0</v>
      </c>
      <c r="G237" s="49">
        <f>IFERROR(__xludf.DUMMYFUNCTION("IFERROR(
  VLOOKUP(
    A237,
    IMPORTRANGE(
      ""1ZHMy3vVUd_0MrSduXTe1etBb1HNpAlGwQr006ljwMiM"",
      ""GSC最新!A:F""
    ),
    3,
    FALSE
  ),
  0
)
"),0.0)</f>
        <v>0</v>
      </c>
      <c r="H237" s="49">
        <f>IFERROR(__xludf.DUMMYFUNCTION("IFERROR(
  VLOOKUP(
    A237,
    IMPORTRANGE(
      ""1ZHMy3vVUd_0MrSduXTe1etBb1HNpAlGwQr006ljwMiM"",
      ""GSC最新!A:F""
    ),
    4,
    FALSE
  ),
  0
)
"),0.0)</f>
        <v>0</v>
      </c>
      <c r="I237" s="49">
        <f>IFERROR(__xludf.DUMMYFUNCTION("IFERROR(
  VLOOKUP(
    A237,
    IMPORTRANGE(
      ""1ZHMy3vVUd_0MrSduXTe1etBb1HNpAlGwQr006ljwMiM"",
      ""GSC最新!A:F""
    ),
    5,
    FALSE
  ),
  0
)
"),0.0)</f>
        <v>0</v>
      </c>
      <c r="J237" s="50" t="str">
        <f t="shared" ref="J237:K237" si="1176">IFERROR(F237/H237,"-")</f>
        <v>-</v>
      </c>
      <c r="K237" s="50" t="str">
        <f t="shared" si="1176"/>
        <v>-</v>
      </c>
      <c r="L237" s="6">
        <f>IFERROR(__xludf.DUMMYFUNCTION("IFERROR(
  VLOOKUP(
    A237,
    IMPORTRANGE(
      ""1ZHMy3vVUd_0MrSduXTe1etBb1HNpAlGwQr006ljwMiM"",
      ""GSC最新!A:R""
    ),
    7,
    FALSE
  ),
  0
)
"),0.0)</f>
        <v>0</v>
      </c>
      <c r="M237" s="6">
        <f>IFERROR(__xludf.DUMMYFUNCTION("IFERROR(
  VLOOKUP(
    A237,
    IMPORTRANGE(
      ""1ZHMy3vVUd_0MrSduXTe1etBb1HNpAlGwQr006ljwMiM"",
      ""GSC最新!A:R""
    ),
    10,
    FALSE
  ),
  0
)
"),0.0)</f>
        <v>0</v>
      </c>
      <c r="N237" s="6">
        <f>IFERROR(__xludf.DUMMYFUNCTION("IFERROR(
  VLOOKUP(
    A237,
    IMPORTRANGE(
      ""1ZHMy3vVUd_0MrSduXTe1etBb1HNpAlGwQr006ljwMiM"",
      ""GSC最新!A:R""
    ),
    13,
    FALSE
  ),
  0
)
"),0.0)</f>
        <v>0</v>
      </c>
      <c r="O237" s="6">
        <f>IFERROR(__xludf.DUMMYFUNCTION("IFERROR(
  VLOOKUP(
    A237,
    IMPORTRANGE(
      ""1ZHMy3vVUd_0MrSduXTe1etBb1HNpAlGwQr006ljwMiM"",
      ""GSC最新!A:R""
    ),
    16,
    FALSE
  ),
  0
)
"),0.0)</f>
        <v>0</v>
      </c>
      <c r="P237" s="51" t="str">
        <f t="shared" ref="P237:Q237" si="1177">IFERROR(L237/N237,"-")</f>
        <v>-</v>
      </c>
      <c r="Q237" s="51" t="str">
        <f t="shared" si="1177"/>
        <v>-</v>
      </c>
      <c r="R237" s="9">
        <f>IFERROR(__xludf.DUMMYFUNCTION("IFERROR(
  VLOOKUP(
    A237,
    IMPORTRANGE(
      ""1ZHMy3vVUd_0MrSduXTe1etBb1HNpAlGwQr006ljwMiM"",
      ""GSC最新!A:R""
    ),
    8,
    FALSE
  ),
  0
)
"),0.0)</f>
        <v>0</v>
      </c>
      <c r="S237" s="9">
        <f>IFERROR(__xludf.DUMMYFUNCTION("IFERROR(
  VLOOKUP(
    A237,
    IMPORTRANGE(
      ""1ZHMy3vVUd_0MrSduXTe1etBb1HNpAlGwQr006ljwMiM"",
      ""GSC最新!A:R""
    ),
    11,
    FALSE
  ),
  0
)
"),0.0)</f>
        <v>0</v>
      </c>
      <c r="T237" s="9">
        <f>IFERROR(__xludf.DUMMYFUNCTION("IFERROR(
  VLOOKUP(
    A237,
    IMPORTRANGE(
      ""1ZHMy3vVUd_0MrSduXTe1etBb1HNpAlGwQr006ljwMiM"",
      ""GSC最新!A:R""
    ),
    14,
    FALSE
  ),
  0
)
"),0.0)</f>
        <v>0</v>
      </c>
      <c r="U237" s="9">
        <f>IFERROR(__xludf.DUMMYFUNCTION("IFERROR(
  VLOOKUP(
    A237,
    IMPORTRANGE(
      ""1ZHMy3vVUd_0MrSduXTe1etBb1HNpAlGwQr006ljwMiM"",
      ""GSC最新!A:R""
    ),
    17,
    FALSE
  ),
  0
)
"),0.0)</f>
        <v>0</v>
      </c>
      <c r="V237" s="9">
        <f t="shared" ref="V237:W237" si="1178">IFERROR(R237-T237,"-")</f>
        <v>0</v>
      </c>
      <c r="W237" s="9">
        <f t="shared" si="1178"/>
        <v>0</v>
      </c>
      <c r="X237" s="65" t="str">
        <f>IFERROR(__xludf.DUMMYFUNCTION("IFERROR(
  VLOOKUP(
    A237,
    IMPORTRANGE(
      ""1ZHMy3vVUd_0MrSduXTe1etBb1HNpAlGwQr006ljwMiM"",
      ""GSC最新!A:R""
    ),
    9,
    FALSE
  ),
  0
)
"),"")</f>
        <v/>
      </c>
      <c r="Y237" s="65" t="str">
        <f>IFERROR(__xludf.DUMMYFUNCTION("IFERROR(
  VLOOKUP(
    A237,
    IMPORTRANGE(
      ""1ZHMy3vVUd_0MrSduXTe1etBb1HNpAlGwQr006ljwMiM"",
      ""GSC最新!A:R""
    ),
    12,
    FALSE
  ),
  0
)
"),"")</f>
        <v/>
      </c>
      <c r="Z237" s="65" t="str">
        <f>IFERROR(__xludf.DUMMYFUNCTION("IFERROR(
  VLOOKUP(
    A237,
    IMPORTRANGE(
      ""1ZHMy3vVUd_0MrSduXTe1etBb1HNpAlGwQr006ljwMiM"",
      ""GSC最新!A:R""
    ),
    15,
    FALSE
  ),
  0
)
"),"")</f>
        <v/>
      </c>
      <c r="AA237" s="65" t="str">
        <f>IFERROR(__xludf.DUMMYFUNCTION("IFERROR(
  VLOOKUP(
    A237,
    IMPORTRANGE(
      ""1ZHMy3vVUd_0MrSduXTe1etBb1HNpAlGwQr006ljwMiM"",
      ""GSC最新!A:R""
    ),
    18,
    FALSE
  ),
  0
)
"),"")</f>
        <v/>
      </c>
      <c r="AB237" s="65">
        <f t="shared" ref="AB237:AC237" si="1179">X237-Z237</f>
        <v>0</v>
      </c>
      <c r="AC237" s="65">
        <f t="shared" si="1179"/>
        <v>0</v>
      </c>
      <c r="AD237" s="53">
        <f>IFERROR(__xludf.DUMMYFUNCTION("IFERROR(
  VLOOKUP(
    A237,
    IMPORTRANGE(
      ""1ZHMy3vVUd_0MrSduXTe1etBb1HNpAlGwQr006ljwMiM"",
      ""GSC最新!A:F""
    ),
    6,
    FALSE
  ),
  0
)
"),46081.0)</f>
        <v>46081</v>
      </c>
      <c r="AE237" s="54" t="str">
        <f>IFERROR(__xludf.DUMMYFUNCTION("IFERROR(
  VLOOKUP(
    A237,
    IMPORTRANGE(
      ""1SCYQd7_cobOYqT0r_F0IqD4tE4rYn5y8Eup4PJTH8es"",
      ""Snapshot!A:M""
    ),
    5,
    FALSE
  ),
  ""-""
)
"),"-")</f>
        <v>-</v>
      </c>
      <c r="AF237" s="54">
        <f>IFERROR(__xludf.DUMMYFUNCTION("IFERROR(
  VLOOKUP(
    A237,
    IMPORTRANGE(
      ""1SCYQd7_cobOYqT0r_F0IqD4tE4rYn5y8Eup4PJTH8es"",
      ""Snapshot!A:M""
    ),
    6,
    FALSE
  ),
  0
)
"),0.0)</f>
        <v>0</v>
      </c>
      <c r="AG237" s="54">
        <f>IFERROR(__xludf.DUMMYFUNCTION("IFERROR(
  VLOOKUP(
    A237,
    IMPORTRANGE(
      ""1SCYQd7_cobOYqT0r_F0IqD4tE4rYn5y8Eup4PJTH8es"",
      ""Snapshot!A:M""
    ),
    7,
    FALSE
  ),
  0
)
"),0.0)</f>
        <v>0</v>
      </c>
      <c r="AH237" s="54">
        <f>IFERROR(__xludf.DUMMYFUNCTION("IFERROR(
  VLOOKUP(
    A237,
    IMPORTRANGE(
      ""1SCYQd7_cobOYqT0r_F0IqD4tE4rYn5y8Eup4PJTH8es"",
      ""Snapshot!A:M""
    ),
    8,
    FALSE
  ),
  0
)
"),0.0)</f>
        <v>0</v>
      </c>
      <c r="AI237" s="54">
        <f>IFERROR(__xludf.DUMMYFUNCTION("IFERROR(
  VLOOKUP(
    A237,
    IMPORTRANGE(
      ""1SCYQd7_cobOYqT0r_F0IqD4tE4rYn5y8Eup4PJTH8es"",
      ""Snapshot!A:M""
    ),
    9,
    FALSE
  ),
  0
)
"),0.0)</f>
        <v>0</v>
      </c>
      <c r="AJ237" s="54">
        <f>IFERROR(__xludf.DUMMYFUNCTION("IFERROR(
  VLOOKUP(
    A237,
    IMPORTRANGE(
      ""1SCYQd7_cobOYqT0r_F0IqD4tE4rYn5y8Eup4PJTH8es"",
      ""Snapshot!A:M""
    ),
    13,
    FALSE
  ),
  0
)
"),0.0)</f>
        <v>0</v>
      </c>
      <c r="AK237" s="49">
        <f t="shared" ref="AK237:AL237" si="1180">LEN(C237)</f>
        <v>61</v>
      </c>
      <c r="AL237" s="49">
        <f t="shared" si="1180"/>
        <v>139</v>
      </c>
    </row>
    <row r="238">
      <c r="A238" s="1" t="s">
        <v>151</v>
      </c>
      <c r="B238" s="1" t="str">
        <f>IFERROR(__xludf.DUMMYFUNCTION("IFERROR(
  VLOOKUP(
    A238,
    IMPORTRANGE(
      ""1ZygntHC1J6IxzKbTidmOyf5nUyW4GCLurHCjexrLm_o"",
      ""HTMLキャッシュ!A:F""
    ),
    2,
    FALSE
  ),
  0
)
"),"-")</f>
        <v>-</v>
      </c>
      <c r="C238" s="1" t="str">
        <f>IFERROR(__xludf.DUMMYFUNCTION("IFERROR(
  VLOOKUP(
    A238,
    IMPORTRANGE(
      ""1ZygntHC1J6IxzKbTidmOyf5nUyW4GCLurHCjexrLm_o"",
      ""HTMLキャッシュ!A:F""
    ),
    5,
    FALSE
  ),
  0
)
"),"過去問解説 豊島岡女子 - 受験国語専門 読解ラボ東京 | 中学受験・大学受験対応の個別指導国語専門塾（オンライン・教室対応）")</f>
        <v>過去問解説 豊島岡女子 - 受験国語専門 読解ラボ東京 | 中学受験・大学受験対応の個別指導国語専門塾（オンライン・教室対応）</v>
      </c>
      <c r="D238" s="1" t="str">
        <f>IFERROR(__xludf.DUMMYFUNCTION("IFERROR(
  VLOOKUP(
    A238,
    IMPORTRANGE(
      ""1ZygntHC1J6IxzKbTidmOyf5nUyW4GCLurHCjexrLm_o        "",
      ""HTMLキャッシュ!A:F""
    ),
    6,
    FALSE
  ),
  0
)
"),"過去問解説　豊島岡女子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過去問解説　豊島岡女子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38" s="32">
        <f>IFERROR(__xludf.DUMMYFUNCTION("IFERROR(
  VLOOKUP(
    A238,
    IMPORTRANGE(
      ""1ZygntHC1J6IxzKbTidmOyf5nUyW4GCLurHCjexrLm_o        "",
      ""HTMLキャッシュ!A:F""
    ),
    3,
    FALSE
  ),
  0
)
"),25569.375)</f>
        <v>25569.375</v>
      </c>
      <c r="F238" s="49">
        <f>IFERROR(__xludf.DUMMYFUNCTION("IFERROR(
  VLOOKUP(
    A238,
    IMPORTRANGE(
      ""1ZHMy3vVUd_0MrSduXTe1etBb1HNpAlGwQr006ljwMiM"",
      ""GSC最新!A:F""
    ),
    2,
    FALSE
  ),
  0
)
"),0.0)</f>
        <v>0</v>
      </c>
      <c r="G238" s="49">
        <f>IFERROR(__xludf.DUMMYFUNCTION("IFERROR(
  VLOOKUP(
    A238,
    IMPORTRANGE(
      ""1ZHMy3vVUd_0MrSduXTe1etBb1HNpAlGwQr006ljwMiM"",
      ""GSC最新!A:F""
    ),
    3,
    FALSE
  ),
  0
)
"),0.0)</f>
        <v>0</v>
      </c>
      <c r="H238" s="49">
        <f>IFERROR(__xludf.DUMMYFUNCTION("IFERROR(
  VLOOKUP(
    A238,
    IMPORTRANGE(
      ""1ZHMy3vVUd_0MrSduXTe1etBb1HNpAlGwQr006ljwMiM"",
      ""GSC最新!A:F""
    ),
    4,
    FALSE
  ),
  0
)
"),0.0)</f>
        <v>0</v>
      </c>
      <c r="I238" s="49">
        <f>IFERROR(__xludf.DUMMYFUNCTION("IFERROR(
  VLOOKUP(
    A238,
    IMPORTRANGE(
      ""1ZHMy3vVUd_0MrSduXTe1etBb1HNpAlGwQr006ljwMiM"",
      ""GSC最新!A:F""
    ),
    5,
    FALSE
  ),
  0
)
"),2.0)</f>
        <v>2</v>
      </c>
      <c r="J238" s="50" t="str">
        <f t="shared" ref="J238:K238" si="1181">IFERROR(F238/H238,"-")</f>
        <v>-</v>
      </c>
      <c r="K238" s="50">
        <f t="shared" si="1181"/>
        <v>0</v>
      </c>
      <c r="L238" s="6">
        <f>IFERROR(__xludf.DUMMYFUNCTION("IFERROR(
  VLOOKUP(
    A238,
    IMPORTRANGE(
      ""1ZHMy3vVUd_0MrSduXTe1etBb1HNpAlGwQr006ljwMiM"",
      ""GSC最新!A:R""
    ),
    7,
    FALSE
  ),
  0
)
"),9.0)</f>
        <v>9</v>
      </c>
      <c r="M238" s="6">
        <f>IFERROR(__xludf.DUMMYFUNCTION("IFERROR(
  VLOOKUP(
    A238,
    IMPORTRANGE(
      ""1ZHMy3vVUd_0MrSduXTe1etBb1HNpAlGwQr006ljwMiM"",
      ""GSC最新!A:R""
    ),
    10,
    FALSE
  ),
  0
)
"),16.0)</f>
        <v>16</v>
      </c>
      <c r="N238" s="6">
        <f>IFERROR(__xludf.DUMMYFUNCTION("IFERROR(
  VLOOKUP(
    A238,
    IMPORTRANGE(
      ""1ZHMy3vVUd_0MrSduXTe1etBb1HNpAlGwQr006ljwMiM"",
      ""GSC最新!A:R""
    ),
    13,
    FALSE
  ),
  0
)
"),30.0)</f>
        <v>30</v>
      </c>
      <c r="O238" s="6">
        <f>IFERROR(__xludf.DUMMYFUNCTION("IFERROR(
  VLOOKUP(
    A238,
    IMPORTRANGE(
      ""1ZHMy3vVUd_0MrSduXTe1etBb1HNpAlGwQr006ljwMiM"",
      ""GSC最新!A:R""
    ),
    16,
    FALSE
  ),
  0
)
"),570.0)</f>
        <v>570</v>
      </c>
      <c r="P238" s="51">
        <f t="shared" ref="P238:Q238" si="1182">IFERROR(L238/N238,"-")</f>
        <v>0.3</v>
      </c>
      <c r="Q238" s="51">
        <f t="shared" si="1182"/>
        <v>0.02807017544</v>
      </c>
      <c r="R238" s="9">
        <f>IFERROR(__xludf.DUMMYFUNCTION("IFERROR(
  VLOOKUP(
    A238,
    IMPORTRANGE(
      ""1ZHMy3vVUd_0MrSduXTe1etBb1HNpAlGwQr006ljwMiM"",
      ""GSC最新!A:R""
    ),
    8,
    FALSE
  ),
  0
)
"),0.0)</f>
        <v>0</v>
      </c>
      <c r="S238" s="9">
        <f>IFERROR(__xludf.DUMMYFUNCTION("IFERROR(
  VLOOKUP(
    A238,
    IMPORTRANGE(
      ""1ZHMy3vVUd_0MrSduXTe1etBb1HNpAlGwQr006ljwMiM"",
      ""GSC最新!A:R""
    ),
    11,
    FALSE
  ),
  0
)
"),0.0)</f>
        <v>0</v>
      </c>
      <c r="T238" s="9">
        <f>IFERROR(__xludf.DUMMYFUNCTION("IFERROR(
  VLOOKUP(
    A238,
    IMPORTRANGE(
      ""1ZHMy3vVUd_0MrSduXTe1etBb1HNpAlGwQr006ljwMiM"",
      ""GSC最新!A:R""
    ),
    14,
    FALSE
  ),
  0
)
"),0.0)</f>
        <v>0</v>
      </c>
      <c r="U238" s="9">
        <f>IFERROR(__xludf.DUMMYFUNCTION("IFERROR(
  VLOOKUP(
    A238,
    IMPORTRANGE(
      ""1ZHMy3vVUd_0MrSduXTe1etBb1HNpAlGwQr006ljwMiM"",
      ""GSC最新!A:R""
    ),
    17,
    FALSE
  ),
  0
)
"),0.0035087719298245615)</f>
        <v>0.00350877193</v>
      </c>
      <c r="V238" s="9">
        <f t="shared" ref="V238:W238" si="1183">IFERROR(R238-T238,"-")</f>
        <v>0</v>
      </c>
      <c r="W238" s="9">
        <f t="shared" si="1183"/>
        <v>-0.00350877193</v>
      </c>
      <c r="X238" s="65">
        <f>IFERROR(__xludf.DUMMYFUNCTION("IFERROR(
  VLOOKUP(
    A238,
    IMPORTRANGE(
      ""1ZHMy3vVUd_0MrSduXTe1etBb1HNpAlGwQr006ljwMiM"",
      ""GSC最新!A:R""
    ),
    9,
    FALSE
  ),
  0
)
"),6.555555555555555)</f>
        <v>6.555555556</v>
      </c>
      <c r="Y238" s="65">
        <f>IFERROR(__xludf.DUMMYFUNCTION("IFERROR(
  VLOOKUP(
    A238,
    IMPORTRANGE(
      ""1ZHMy3vVUd_0MrSduXTe1etBb1HNpAlGwQr006ljwMiM"",
      ""GSC最新!A:R""
    ),
    12,
    FALSE
  ),
  0
)
"),16.875)</f>
        <v>16.875</v>
      </c>
      <c r="Z238" s="65">
        <f>IFERROR(__xludf.DUMMYFUNCTION("IFERROR(
  VLOOKUP(
    A238,
    IMPORTRANGE(
      ""1ZHMy3vVUd_0MrSduXTe1etBb1HNpAlGwQr006ljwMiM"",
      ""GSC最新!A:R""
    ),
    15,
    FALSE
  ),
  0
)
"),76.6)</f>
        <v>76.6</v>
      </c>
      <c r="AA238" s="65">
        <f>IFERROR(__xludf.DUMMYFUNCTION("IFERROR(
  VLOOKUP(
    A238,
    IMPORTRANGE(
      ""1ZHMy3vVUd_0MrSduXTe1etBb1HNpAlGwQr006ljwMiM"",
      ""GSC最新!A:R""
    ),
    18,
    FALSE
  ),
  0
)
"),52.56666666666667)</f>
        <v>52.56666667</v>
      </c>
      <c r="AB238" s="65">
        <f t="shared" ref="AB238:AC238" si="1184">X238-Z238</f>
        <v>-70.04444444</v>
      </c>
      <c r="AC238" s="65">
        <f t="shared" si="1184"/>
        <v>-35.69166667</v>
      </c>
      <c r="AD238" s="53">
        <f>IFERROR(__xludf.DUMMYFUNCTION("IFERROR(
  VLOOKUP(
    A238,
    IMPORTRANGE(
      ""1ZHMy3vVUd_0MrSduXTe1etBb1HNpAlGwQr006ljwMiM"",
      ""GSC最新!A:F""
    ),
    6,
    FALSE
  ),
  0
)
"),46081.0)</f>
        <v>46081</v>
      </c>
      <c r="AE238" s="54" t="str">
        <f>IFERROR(__xludf.DUMMYFUNCTION("IFERROR(
  VLOOKUP(
    A238,
    IMPORTRANGE(
      ""1SCYQd7_cobOYqT0r_F0IqD4tE4rYn5y8Eup4PJTH8es"",
      ""Snapshot!A:M""
    ),
    5,
    FALSE
  ),
  ""-""
)
"),"-")</f>
        <v>-</v>
      </c>
      <c r="AF238" s="54">
        <f>IFERROR(__xludf.DUMMYFUNCTION("IFERROR(
  VLOOKUP(
    A238,
    IMPORTRANGE(
      ""1SCYQd7_cobOYqT0r_F0IqD4tE4rYn5y8Eup4PJTH8es"",
      ""Snapshot!A:M""
    ),
    6,
    FALSE
  ),
  0
)
"),0.0)</f>
        <v>0</v>
      </c>
      <c r="AG238" s="54">
        <f>IFERROR(__xludf.DUMMYFUNCTION("IFERROR(
  VLOOKUP(
    A238,
    IMPORTRANGE(
      ""1SCYQd7_cobOYqT0r_F0IqD4tE4rYn5y8Eup4PJTH8es"",
      ""Snapshot!A:M""
    ),
    7,
    FALSE
  ),
  0
)
"),0.0)</f>
        <v>0</v>
      </c>
      <c r="AH238" s="54">
        <f>IFERROR(__xludf.DUMMYFUNCTION("IFERROR(
  VLOOKUP(
    A238,
    IMPORTRANGE(
      ""1SCYQd7_cobOYqT0r_F0IqD4tE4rYn5y8Eup4PJTH8es"",
      ""Snapshot!A:M""
    ),
    8,
    FALSE
  ),
  0
)
"),0.0)</f>
        <v>0</v>
      </c>
      <c r="AI238" s="54">
        <f>IFERROR(__xludf.DUMMYFUNCTION("IFERROR(
  VLOOKUP(
    A238,
    IMPORTRANGE(
      ""1SCYQd7_cobOYqT0r_F0IqD4tE4rYn5y8Eup4PJTH8es"",
      ""Snapshot!A:M""
    ),
    9,
    FALSE
  ),
  0
)
"),0.0)</f>
        <v>0</v>
      </c>
      <c r="AJ238" s="54">
        <f>IFERROR(__xludf.DUMMYFUNCTION("IFERROR(
  VLOOKUP(
    A238,
    IMPORTRANGE(
      ""1SCYQd7_cobOYqT0r_F0IqD4tE4rYn5y8Eup4PJTH8es"",
      ""Snapshot!A:M""
    ),
    13,
    FALSE
  ),
  0
)
"),0.0)</f>
        <v>0</v>
      </c>
      <c r="AK238" s="49">
        <f t="shared" ref="AK238:AL238" si="1185">LEN(C238)</f>
        <v>63</v>
      </c>
      <c r="AL238" s="49">
        <f t="shared" si="1185"/>
        <v>141</v>
      </c>
    </row>
    <row r="239">
      <c r="A239" s="1" t="s">
        <v>153</v>
      </c>
      <c r="B239" s="1" t="str">
        <f>IFERROR(__xludf.DUMMYFUNCTION("IFERROR(
  VLOOKUP(
    A239,
    IMPORTRANGE(
      ""1ZygntHC1J6IxzKbTidmOyf5nUyW4GCLurHCjexrLm_o"",
      ""HTMLキャッシュ!A:F""
    ),
    2,
    FALSE
  ),
  0
)
"),"-")</f>
        <v>-</v>
      </c>
      <c r="C239" s="1" t="str">
        <f>IFERROR(__xludf.DUMMYFUNCTION("IFERROR(
  VLOOKUP(
    A239,
    IMPORTRANGE(
      ""1ZygntHC1J6IxzKbTidmOyf5nUyW4GCLurHCjexrLm_o"",
      ""HTMLキャッシュ!A:F""
    ),
    5,
    FALSE
  ),
  0
)
"),"現代文 指導方針 - 受験国語専門 読解ラボ東京 | 中学受験・大学受験対応の個別指導国語専門塾（オンライン・教室対応）")</f>
        <v>現代文 指導方針 - 受験国語専門 読解ラボ東京 | 中学受験・大学受験対応の個別指導国語専門塾（オンライン・教室対応）</v>
      </c>
      <c r="D239" s="1" t="str">
        <f>IFERROR(__xludf.DUMMYFUNCTION("IFERROR(
  VLOOKUP(
    A239,
    IMPORTRANGE(
      ""1ZygntHC1J6IxzKbTidmOyf5nUyW4GCLurHCjexrLm_o        "",
      ""HTMLキャッシュ!A:F""
    ),
    6,
    FALSE
  ),
  0
)
"),"現代文　指導方針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現代文　指導方針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39" s="32">
        <f>IFERROR(__xludf.DUMMYFUNCTION("IFERROR(
  VLOOKUP(
    A239,
    IMPORTRANGE(
      ""1ZygntHC1J6IxzKbTidmOyf5nUyW4GCLurHCjexrLm_o        "",
      ""HTMLキャッシュ!A:F""
    ),
    3,
    FALSE
  ),
  0
)
"),25569.375)</f>
        <v>25569.375</v>
      </c>
      <c r="F239" s="49">
        <f>IFERROR(__xludf.DUMMYFUNCTION("IFERROR(
  VLOOKUP(
    A239,
    IMPORTRANGE(
      ""1ZHMy3vVUd_0MrSduXTe1etBb1HNpAlGwQr006ljwMiM"",
      ""GSC最新!A:F""
    ),
    2,
    FALSE
  ),
  0
)
"),0.0)</f>
        <v>0</v>
      </c>
      <c r="G239" s="49">
        <f>IFERROR(__xludf.DUMMYFUNCTION("IFERROR(
  VLOOKUP(
    A239,
    IMPORTRANGE(
      ""1ZHMy3vVUd_0MrSduXTe1etBb1HNpAlGwQr006ljwMiM"",
      ""GSC最新!A:F""
    ),
    3,
    FALSE
  ),
  0
)
"),0.0)</f>
        <v>0</v>
      </c>
      <c r="H239" s="49">
        <f>IFERROR(__xludf.DUMMYFUNCTION("IFERROR(
  VLOOKUP(
    A239,
    IMPORTRANGE(
      ""1ZHMy3vVUd_0MrSduXTe1etBb1HNpAlGwQr006ljwMiM"",
      ""GSC最新!A:F""
    ),
    4,
    FALSE
  ),
  0
)
"),0.0)</f>
        <v>0</v>
      </c>
      <c r="I239" s="49">
        <f>IFERROR(__xludf.DUMMYFUNCTION("IFERROR(
  VLOOKUP(
    A239,
    IMPORTRANGE(
      ""1ZHMy3vVUd_0MrSduXTe1etBb1HNpAlGwQr006ljwMiM"",
      ""GSC最新!A:F""
    ),
    5,
    FALSE
  ),
  0
)
"),0.0)</f>
        <v>0</v>
      </c>
      <c r="J239" s="50" t="str">
        <f t="shared" ref="J239:K239" si="1186">IFERROR(F239/H239,"-")</f>
        <v>-</v>
      </c>
      <c r="K239" s="50" t="str">
        <f t="shared" si="1186"/>
        <v>-</v>
      </c>
      <c r="L239" s="6">
        <f>IFERROR(__xludf.DUMMYFUNCTION("IFERROR(
  VLOOKUP(
    A239,
    IMPORTRANGE(
      ""1ZHMy3vVUd_0MrSduXTe1etBb1HNpAlGwQr006ljwMiM"",
      ""GSC最新!A:R""
    ),
    7,
    FALSE
  ),
  0
)
"),0.0)</f>
        <v>0</v>
      </c>
      <c r="M239" s="6">
        <f>IFERROR(__xludf.DUMMYFUNCTION("IFERROR(
  VLOOKUP(
    A239,
    IMPORTRANGE(
      ""1ZHMy3vVUd_0MrSduXTe1etBb1HNpAlGwQr006ljwMiM"",
      ""GSC最新!A:R""
    ),
    10,
    FALSE
  ),
  0
)
"),0.0)</f>
        <v>0</v>
      </c>
      <c r="N239" s="6">
        <f>IFERROR(__xludf.DUMMYFUNCTION("IFERROR(
  VLOOKUP(
    A239,
    IMPORTRANGE(
      ""1ZHMy3vVUd_0MrSduXTe1etBb1HNpAlGwQr006ljwMiM"",
      ""GSC最新!A:R""
    ),
    13,
    FALSE
  ),
  0
)
"),0.0)</f>
        <v>0</v>
      </c>
      <c r="O239" s="6">
        <f>IFERROR(__xludf.DUMMYFUNCTION("IFERROR(
  VLOOKUP(
    A239,
    IMPORTRANGE(
      ""1ZHMy3vVUd_0MrSduXTe1etBb1HNpAlGwQr006ljwMiM"",
      ""GSC最新!A:R""
    ),
    16,
    FALSE
  ),
  0
)
"),0.0)</f>
        <v>0</v>
      </c>
      <c r="P239" s="51" t="str">
        <f t="shared" ref="P239:Q239" si="1187">IFERROR(L239/N239,"-")</f>
        <v>-</v>
      </c>
      <c r="Q239" s="51" t="str">
        <f t="shared" si="1187"/>
        <v>-</v>
      </c>
      <c r="R239" s="9">
        <f>IFERROR(__xludf.DUMMYFUNCTION("IFERROR(
  VLOOKUP(
    A239,
    IMPORTRANGE(
      ""1ZHMy3vVUd_0MrSduXTe1etBb1HNpAlGwQr006ljwMiM"",
      ""GSC最新!A:R""
    ),
    8,
    FALSE
  ),
  0
)
"),0.0)</f>
        <v>0</v>
      </c>
      <c r="S239" s="9">
        <f>IFERROR(__xludf.DUMMYFUNCTION("IFERROR(
  VLOOKUP(
    A239,
    IMPORTRANGE(
      ""1ZHMy3vVUd_0MrSduXTe1etBb1HNpAlGwQr006ljwMiM"",
      ""GSC最新!A:R""
    ),
    11,
    FALSE
  ),
  0
)
"),0.0)</f>
        <v>0</v>
      </c>
      <c r="T239" s="9">
        <f>IFERROR(__xludf.DUMMYFUNCTION("IFERROR(
  VLOOKUP(
    A239,
    IMPORTRANGE(
      ""1ZHMy3vVUd_0MrSduXTe1etBb1HNpAlGwQr006ljwMiM"",
      ""GSC最新!A:R""
    ),
    14,
    FALSE
  ),
  0
)
"),0.0)</f>
        <v>0</v>
      </c>
      <c r="U239" s="9">
        <f>IFERROR(__xludf.DUMMYFUNCTION("IFERROR(
  VLOOKUP(
    A239,
    IMPORTRANGE(
      ""1ZHMy3vVUd_0MrSduXTe1etBb1HNpAlGwQr006ljwMiM"",
      ""GSC最新!A:R""
    ),
    17,
    FALSE
  ),
  0
)
"),0.0)</f>
        <v>0</v>
      </c>
      <c r="V239" s="9">
        <f t="shared" ref="V239:W239" si="1188">IFERROR(R239-T239,"-")</f>
        <v>0</v>
      </c>
      <c r="W239" s="9">
        <f t="shared" si="1188"/>
        <v>0</v>
      </c>
      <c r="X239" s="65" t="str">
        <f>IFERROR(__xludf.DUMMYFUNCTION("IFERROR(
  VLOOKUP(
    A239,
    IMPORTRANGE(
      ""1ZHMy3vVUd_0MrSduXTe1etBb1HNpAlGwQr006ljwMiM"",
      ""GSC最新!A:R""
    ),
    9,
    FALSE
  ),
  0
)
"),"")</f>
        <v/>
      </c>
      <c r="Y239" s="65" t="str">
        <f>IFERROR(__xludf.DUMMYFUNCTION("IFERROR(
  VLOOKUP(
    A239,
    IMPORTRANGE(
      ""1ZHMy3vVUd_0MrSduXTe1etBb1HNpAlGwQr006ljwMiM"",
      ""GSC最新!A:R""
    ),
    12,
    FALSE
  ),
  0
)
"),"")</f>
        <v/>
      </c>
      <c r="Z239" s="65" t="str">
        <f>IFERROR(__xludf.DUMMYFUNCTION("IFERROR(
  VLOOKUP(
    A239,
    IMPORTRANGE(
      ""1ZHMy3vVUd_0MrSduXTe1etBb1HNpAlGwQr006ljwMiM"",
      ""GSC最新!A:R""
    ),
    15,
    FALSE
  ),
  0
)
"),"")</f>
        <v/>
      </c>
      <c r="AA239" s="65" t="str">
        <f>IFERROR(__xludf.DUMMYFUNCTION("IFERROR(
  VLOOKUP(
    A239,
    IMPORTRANGE(
      ""1ZHMy3vVUd_0MrSduXTe1etBb1HNpAlGwQr006ljwMiM"",
      ""GSC最新!A:R""
    ),
    18,
    FALSE
  ),
  0
)
"),"")</f>
        <v/>
      </c>
      <c r="AB239" s="65">
        <f t="shared" ref="AB239:AC239" si="1189">X239-Z239</f>
        <v>0</v>
      </c>
      <c r="AC239" s="65">
        <f t="shared" si="1189"/>
        <v>0</v>
      </c>
      <c r="AD239" s="53">
        <f>IFERROR(__xludf.DUMMYFUNCTION("IFERROR(
  VLOOKUP(
    A239,
    IMPORTRANGE(
      ""1ZHMy3vVUd_0MrSduXTe1etBb1HNpAlGwQr006ljwMiM"",
      ""GSC最新!A:F""
    ),
    6,
    FALSE
  ),
  0
)
"),46081.0)</f>
        <v>46081</v>
      </c>
      <c r="AE239" s="54" t="str">
        <f>IFERROR(__xludf.DUMMYFUNCTION("IFERROR(
  VLOOKUP(
    A239,
    IMPORTRANGE(
      ""1SCYQd7_cobOYqT0r_F0IqD4tE4rYn5y8Eup4PJTH8es"",
      ""Snapshot!A:M""
    ),
    5,
    FALSE
  ),
  ""-""
)
"),"-")</f>
        <v>-</v>
      </c>
      <c r="AF239" s="54">
        <f>IFERROR(__xludf.DUMMYFUNCTION("IFERROR(
  VLOOKUP(
    A239,
    IMPORTRANGE(
      ""1SCYQd7_cobOYqT0r_F0IqD4tE4rYn5y8Eup4PJTH8es"",
      ""Snapshot!A:M""
    ),
    6,
    FALSE
  ),
  0
)
"),0.0)</f>
        <v>0</v>
      </c>
      <c r="AG239" s="54">
        <f>IFERROR(__xludf.DUMMYFUNCTION("IFERROR(
  VLOOKUP(
    A239,
    IMPORTRANGE(
      ""1SCYQd7_cobOYqT0r_F0IqD4tE4rYn5y8Eup4PJTH8es"",
      ""Snapshot!A:M""
    ),
    7,
    FALSE
  ),
  0
)
"),0.0)</f>
        <v>0</v>
      </c>
      <c r="AH239" s="54">
        <f>IFERROR(__xludf.DUMMYFUNCTION("IFERROR(
  VLOOKUP(
    A239,
    IMPORTRANGE(
      ""1SCYQd7_cobOYqT0r_F0IqD4tE4rYn5y8Eup4PJTH8es"",
      ""Snapshot!A:M""
    ),
    8,
    FALSE
  ),
  0
)
"),0.0)</f>
        <v>0</v>
      </c>
      <c r="AI239" s="54">
        <f>IFERROR(__xludf.DUMMYFUNCTION("IFERROR(
  VLOOKUP(
    A239,
    IMPORTRANGE(
      ""1SCYQd7_cobOYqT0r_F0IqD4tE4rYn5y8Eup4PJTH8es"",
      ""Snapshot!A:M""
    ),
    9,
    FALSE
  ),
  0
)
"),0.0)</f>
        <v>0</v>
      </c>
      <c r="AJ239" s="54">
        <f>IFERROR(__xludf.DUMMYFUNCTION("IFERROR(
  VLOOKUP(
    A239,
    IMPORTRANGE(
      ""1SCYQd7_cobOYqT0r_F0IqD4tE4rYn5y8Eup4PJTH8es"",
      ""Snapshot!A:M""
    ),
    13,
    FALSE
  ),
  0
)
"),0.0)</f>
        <v>0</v>
      </c>
      <c r="AK239" s="49">
        <f t="shared" ref="AK239:AL239" si="1190">LEN(C239)</f>
        <v>60</v>
      </c>
      <c r="AL239" s="49">
        <f t="shared" si="1190"/>
        <v>138</v>
      </c>
    </row>
    <row r="240">
      <c r="A240" s="1" t="s">
        <v>155</v>
      </c>
      <c r="B240" s="1" t="str">
        <f>IFERROR(__xludf.DUMMYFUNCTION("IFERROR(
  VLOOKUP(
    A240,
    IMPORTRANGE(
      ""1ZygntHC1J6IxzKbTidmOyf5nUyW4GCLurHCjexrLm_o"",
      ""HTMLキャッシュ!A:F""
    ),
    2,
    FALSE
  ),
  0
)
"),"-")</f>
        <v>-</v>
      </c>
      <c r="C240" s="1" t="str">
        <f>IFERROR(__xludf.DUMMYFUNCTION("IFERROR(
  VLOOKUP(
    A240,
    IMPORTRANGE(
      ""1ZygntHC1J6IxzKbTidmOyf5nUyW4GCLurHCjexrLm_o"",
      ""HTMLキャッシュ!A:F""
    ),
    5,
    FALSE
  ),
  0
)
"),"効率的 - 受験国語専門 読解ラボ東京 | 中学受験・大学受験対応の個別指導国語専門塾（オンライン・教室対応）")</f>
        <v>効率的 - 受験国語専門 読解ラボ東京 | 中学受験・大学受験対応の個別指導国語専門塾（オンライン・教室対応）</v>
      </c>
      <c r="D240" s="1" t="str">
        <f>IFERROR(__xludf.DUMMYFUNCTION("IFERROR(
  VLOOKUP(
    A240,
    IMPORTRANGE(
      ""1ZygntHC1J6IxzKbTidmOyf5nUyW4GCLurHCjexrLm_o        "",
      ""HTMLキャッシュ!A:F""
    ),
    6,
    FALSE
  ),
  0
)
"),"効率的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効率的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0" s="32">
        <f>IFERROR(__xludf.DUMMYFUNCTION("IFERROR(
  VLOOKUP(
    A240,
    IMPORTRANGE(
      ""1ZygntHC1J6IxzKbTidmOyf5nUyW4GCLurHCjexrLm_o        "",
      ""HTMLキャッシュ!A:F""
    ),
    3,
    FALSE
  ),
  0
)
"),25569.375)</f>
        <v>25569.375</v>
      </c>
      <c r="F240" s="49">
        <f>IFERROR(__xludf.DUMMYFUNCTION("IFERROR(
  VLOOKUP(
    A240,
    IMPORTRANGE(
      ""1ZHMy3vVUd_0MrSduXTe1etBb1HNpAlGwQr006ljwMiM"",
      ""GSC最新!A:F""
    ),
    2,
    FALSE
  ),
  0
)
"),0.0)</f>
        <v>0</v>
      </c>
      <c r="G240" s="49">
        <f>IFERROR(__xludf.DUMMYFUNCTION("IFERROR(
  VLOOKUP(
    A240,
    IMPORTRANGE(
      ""1ZHMy3vVUd_0MrSduXTe1etBb1HNpAlGwQr006ljwMiM"",
      ""GSC最新!A:F""
    ),
    3,
    FALSE
  ),
  0
)
"),0.0)</f>
        <v>0</v>
      </c>
      <c r="H240" s="49">
        <f>IFERROR(__xludf.DUMMYFUNCTION("IFERROR(
  VLOOKUP(
    A240,
    IMPORTRANGE(
      ""1ZHMy3vVUd_0MrSduXTe1etBb1HNpAlGwQr006ljwMiM"",
      ""GSC最新!A:F""
    ),
    4,
    FALSE
  ),
  0
)
"),0.0)</f>
        <v>0</v>
      </c>
      <c r="I240" s="49">
        <f>IFERROR(__xludf.DUMMYFUNCTION("IFERROR(
  VLOOKUP(
    A240,
    IMPORTRANGE(
      ""1ZHMy3vVUd_0MrSduXTe1etBb1HNpAlGwQr006ljwMiM"",
      ""GSC最新!A:F""
    ),
    5,
    FALSE
  ),
  0
)
"),0.0)</f>
        <v>0</v>
      </c>
      <c r="J240" s="50" t="str">
        <f t="shared" ref="J240:K240" si="1191">IFERROR(F240/H240,"-")</f>
        <v>-</v>
      </c>
      <c r="K240" s="50" t="str">
        <f t="shared" si="1191"/>
        <v>-</v>
      </c>
      <c r="L240" s="6">
        <f>IFERROR(__xludf.DUMMYFUNCTION("IFERROR(
  VLOOKUP(
    A240,
    IMPORTRANGE(
      ""1ZHMy3vVUd_0MrSduXTe1etBb1HNpAlGwQr006ljwMiM"",
      ""GSC最新!A:R""
    ),
    7,
    FALSE
  ),
  0
)
"),0.0)</f>
        <v>0</v>
      </c>
      <c r="M240" s="6">
        <f>IFERROR(__xludf.DUMMYFUNCTION("IFERROR(
  VLOOKUP(
    A240,
    IMPORTRANGE(
      ""1ZHMy3vVUd_0MrSduXTe1etBb1HNpAlGwQr006ljwMiM"",
      ""GSC最新!A:R""
    ),
    10,
    FALSE
  ),
  0
)
"),0.0)</f>
        <v>0</v>
      </c>
      <c r="N240" s="6">
        <f>IFERROR(__xludf.DUMMYFUNCTION("IFERROR(
  VLOOKUP(
    A240,
    IMPORTRANGE(
      ""1ZHMy3vVUd_0MrSduXTe1etBb1HNpAlGwQr006ljwMiM"",
      ""GSC最新!A:R""
    ),
    13,
    FALSE
  ),
  0
)
"),0.0)</f>
        <v>0</v>
      </c>
      <c r="O240" s="6">
        <f>IFERROR(__xludf.DUMMYFUNCTION("IFERROR(
  VLOOKUP(
    A240,
    IMPORTRANGE(
      ""1ZHMy3vVUd_0MrSduXTe1etBb1HNpAlGwQr006ljwMiM"",
      ""GSC最新!A:R""
    ),
    16,
    FALSE
  ),
  0
)
"),0.0)</f>
        <v>0</v>
      </c>
      <c r="P240" s="51" t="str">
        <f t="shared" ref="P240:Q240" si="1192">IFERROR(L240/N240,"-")</f>
        <v>-</v>
      </c>
      <c r="Q240" s="51" t="str">
        <f t="shared" si="1192"/>
        <v>-</v>
      </c>
      <c r="R240" s="9">
        <f>IFERROR(__xludf.DUMMYFUNCTION("IFERROR(
  VLOOKUP(
    A240,
    IMPORTRANGE(
      ""1ZHMy3vVUd_0MrSduXTe1etBb1HNpAlGwQr006ljwMiM"",
      ""GSC最新!A:R""
    ),
    8,
    FALSE
  ),
  0
)
"),0.0)</f>
        <v>0</v>
      </c>
      <c r="S240" s="9">
        <f>IFERROR(__xludf.DUMMYFUNCTION("IFERROR(
  VLOOKUP(
    A240,
    IMPORTRANGE(
      ""1ZHMy3vVUd_0MrSduXTe1etBb1HNpAlGwQr006ljwMiM"",
      ""GSC最新!A:R""
    ),
    11,
    FALSE
  ),
  0
)
"),0.0)</f>
        <v>0</v>
      </c>
      <c r="T240" s="9">
        <f>IFERROR(__xludf.DUMMYFUNCTION("IFERROR(
  VLOOKUP(
    A240,
    IMPORTRANGE(
      ""1ZHMy3vVUd_0MrSduXTe1etBb1HNpAlGwQr006ljwMiM"",
      ""GSC最新!A:R""
    ),
    14,
    FALSE
  ),
  0
)
"),0.0)</f>
        <v>0</v>
      </c>
      <c r="U240" s="9">
        <f>IFERROR(__xludf.DUMMYFUNCTION("IFERROR(
  VLOOKUP(
    A240,
    IMPORTRANGE(
      ""1ZHMy3vVUd_0MrSduXTe1etBb1HNpAlGwQr006ljwMiM"",
      ""GSC最新!A:R""
    ),
    17,
    FALSE
  ),
  0
)
"),0.0)</f>
        <v>0</v>
      </c>
      <c r="V240" s="9">
        <f t="shared" ref="V240:W240" si="1193">IFERROR(R240-T240,"-")</f>
        <v>0</v>
      </c>
      <c r="W240" s="9">
        <f t="shared" si="1193"/>
        <v>0</v>
      </c>
      <c r="X240" s="65" t="str">
        <f>IFERROR(__xludf.DUMMYFUNCTION("IFERROR(
  VLOOKUP(
    A240,
    IMPORTRANGE(
      ""1ZHMy3vVUd_0MrSduXTe1etBb1HNpAlGwQr006ljwMiM"",
      ""GSC最新!A:R""
    ),
    9,
    FALSE
  ),
  0
)
"),"")</f>
        <v/>
      </c>
      <c r="Y240" s="65" t="str">
        <f>IFERROR(__xludf.DUMMYFUNCTION("IFERROR(
  VLOOKUP(
    A240,
    IMPORTRANGE(
      ""1ZHMy3vVUd_0MrSduXTe1etBb1HNpAlGwQr006ljwMiM"",
      ""GSC最新!A:R""
    ),
    12,
    FALSE
  ),
  0
)
"),"")</f>
        <v/>
      </c>
      <c r="Z240" s="65" t="str">
        <f>IFERROR(__xludf.DUMMYFUNCTION("IFERROR(
  VLOOKUP(
    A240,
    IMPORTRANGE(
      ""1ZHMy3vVUd_0MrSduXTe1etBb1HNpAlGwQr006ljwMiM"",
      ""GSC最新!A:R""
    ),
    15,
    FALSE
  ),
  0
)
"),"")</f>
        <v/>
      </c>
      <c r="AA240" s="65" t="str">
        <f>IFERROR(__xludf.DUMMYFUNCTION("IFERROR(
  VLOOKUP(
    A240,
    IMPORTRANGE(
      ""1ZHMy3vVUd_0MrSduXTe1etBb1HNpAlGwQr006ljwMiM"",
      ""GSC最新!A:R""
    ),
    18,
    FALSE
  ),
  0
)
"),"")</f>
        <v/>
      </c>
      <c r="AB240" s="65">
        <f t="shared" ref="AB240:AC240" si="1194">X240-Z240</f>
        <v>0</v>
      </c>
      <c r="AC240" s="65">
        <f t="shared" si="1194"/>
        <v>0</v>
      </c>
      <c r="AD240" s="53">
        <f>IFERROR(__xludf.DUMMYFUNCTION("IFERROR(
  VLOOKUP(
    A240,
    IMPORTRANGE(
      ""1ZHMy3vVUd_0MrSduXTe1etBb1HNpAlGwQr006ljwMiM"",
      ""GSC最新!A:F""
    ),
    6,
    FALSE
  ),
  0
)
"),46081.0)</f>
        <v>46081</v>
      </c>
      <c r="AE240" s="54">
        <f>IFERROR(__xludf.DUMMYFUNCTION("IFERROR(
  VLOOKUP(
    A240,
    IMPORTRANGE(
      ""1SCYQd7_cobOYqT0r_F0IqD4tE4rYn5y8Eup4PJTH8es"",
      ""Snapshot!A:M""
    ),
    5,
    FALSE
  ),
  ""-""
)
"),0.0)</f>
        <v>0</v>
      </c>
      <c r="AF240" s="54">
        <f>IFERROR(__xludf.DUMMYFUNCTION("IFERROR(
  VLOOKUP(
    A240,
    IMPORTRANGE(
      ""1SCYQd7_cobOYqT0r_F0IqD4tE4rYn5y8Eup4PJTH8es"",
      ""Snapshot!A:M""
    ),
    6,
    FALSE
  ),
  0
)
"),0.0)</f>
        <v>0</v>
      </c>
      <c r="AG240" s="54">
        <f>IFERROR(__xludf.DUMMYFUNCTION("IFERROR(
  VLOOKUP(
    A240,
    IMPORTRANGE(
      ""1SCYQd7_cobOYqT0r_F0IqD4tE4rYn5y8Eup4PJTH8es"",
      ""Snapshot!A:M""
    ),
    7,
    FALSE
  ),
  0
)
"),0.0)</f>
        <v>0</v>
      </c>
      <c r="AH240" s="54">
        <f>IFERROR(__xludf.DUMMYFUNCTION("IFERROR(
  VLOOKUP(
    A240,
    IMPORTRANGE(
      ""1SCYQd7_cobOYqT0r_F0IqD4tE4rYn5y8Eup4PJTH8es"",
      ""Snapshot!A:M""
    ),
    8,
    FALSE
  ),
  0
)
"),0.0)</f>
        <v>0</v>
      </c>
      <c r="AI240" s="54">
        <f>IFERROR(__xludf.DUMMYFUNCTION("IFERROR(
  VLOOKUP(
    A240,
    IMPORTRANGE(
      ""1SCYQd7_cobOYqT0r_F0IqD4tE4rYn5y8Eup4PJTH8es"",
      ""Snapshot!A:M""
    ),
    9,
    FALSE
  ),
  0
)
"),0.0)</f>
        <v>0</v>
      </c>
      <c r="AJ240" s="54">
        <f>IFERROR(__xludf.DUMMYFUNCTION("IFERROR(
  VLOOKUP(
    A240,
    IMPORTRANGE(
      ""1SCYQd7_cobOYqT0r_F0IqD4tE4rYn5y8Eup4PJTH8es"",
      ""Snapshot!A:M""
    ),
    13,
    FALSE
  ),
  0
)
"),2.0)</f>
        <v>2</v>
      </c>
      <c r="AK240" s="49">
        <f t="shared" ref="AK240:AL240" si="1195">LEN(C240)</f>
        <v>55</v>
      </c>
      <c r="AL240" s="49">
        <f t="shared" si="1195"/>
        <v>133</v>
      </c>
    </row>
    <row r="241">
      <c r="A241" s="1" t="s">
        <v>157</v>
      </c>
      <c r="B241" s="1" t="str">
        <f>IFERROR(__xludf.DUMMYFUNCTION("IFERROR(
  VLOOKUP(
    A241,
    IMPORTRANGE(
      ""1ZygntHC1J6IxzKbTidmOyf5nUyW4GCLurHCjexrLm_o"",
      ""HTMLキャッシュ!A:F""
    ),
    2,
    FALSE
  ),
  0
)
"),"-")</f>
        <v>-</v>
      </c>
      <c r="C241" s="1" t="str">
        <f>IFERROR(__xludf.DUMMYFUNCTION("IFERROR(
  VLOOKUP(
    A241,
    IMPORTRANGE(
      ""1ZygntHC1J6IxzKbTidmOyf5nUyW4GCLurHCjexrLm_o"",
      ""HTMLキャッシュ!A:F""
    ),
    5,
    FALSE
  ),
  0
)
"),"国語 テスト 心構え - 受験国語専門 読解ラボ東京 | 中学受験・大学受験対応の個別指導国語専門塾（オンライン・教室対応）")</f>
        <v>国語 テスト 心構え - 受験国語専門 読解ラボ東京 | 中学受験・大学受験対応の個別指導国語専門塾（オンライン・教室対応）</v>
      </c>
      <c r="D241" s="1" t="str">
        <f>IFERROR(__xludf.DUMMYFUNCTION("IFERROR(
  VLOOKUP(
    A241,
    IMPORTRANGE(
      ""1ZygntHC1J6IxzKbTidmOyf5nUyW4GCLurHCjexrLm_o        "",
      ""HTMLキャッシュ!A:F""
    ),
    6,
    FALSE
  ),
  0
)
"),"国語　テスト　心構え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国語　テスト　心構え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1" s="32">
        <f>IFERROR(__xludf.DUMMYFUNCTION("IFERROR(
  VLOOKUP(
    A241,
    IMPORTRANGE(
      ""1ZygntHC1J6IxzKbTidmOyf5nUyW4GCLurHCjexrLm_o        "",
      ""HTMLキャッシュ!A:F""
    ),
    3,
    FALSE
  ),
  0
)
"),25569.375)</f>
        <v>25569.375</v>
      </c>
      <c r="F241" s="49">
        <f>IFERROR(__xludf.DUMMYFUNCTION("IFERROR(
  VLOOKUP(
    A241,
    IMPORTRANGE(
      ""1ZHMy3vVUd_0MrSduXTe1etBb1HNpAlGwQr006ljwMiM"",
      ""GSC最新!A:F""
    ),
    2,
    FALSE
  ),
  0
)
"),0.0)</f>
        <v>0</v>
      </c>
      <c r="G241" s="49">
        <f>IFERROR(__xludf.DUMMYFUNCTION("IFERROR(
  VLOOKUP(
    A241,
    IMPORTRANGE(
      ""1ZHMy3vVUd_0MrSduXTe1etBb1HNpAlGwQr006ljwMiM"",
      ""GSC最新!A:F""
    ),
    3,
    FALSE
  ),
  0
)
"),0.0)</f>
        <v>0</v>
      </c>
      <c r="H241" s="49">
        <f>IFERROR(__xludf.DUMMYFUNCTION("IFERROR(
  VLOOKUP(
    A241,
    IMPORTRANGE(
      ""1ZHMy3vVUd_0MrSduXTe1etBb1HNpAlGwQr006ljwMiM"",
      ""GSC最新!A:F""
    ),
    4,
    FALSE
  ),
  0
)
"),0.0)</f>
        <v>0</v>
      </c>
      <c r="I241" s="49">
        <f>IFERROR(__xludf.DUMMYFUNCTION("IFERROR(
  VLOOKUP(
    A241,
    IMPORTRANGE(
      ""1ZHMy3vVUd_0MrSduXTe1etBb1HNpAlGwQr006ljwMiM"",
      ""GSC最新!A:F""
    ),
    5,
    FALSE
  ),
  0
)
"),0.0)</f>
        <v>0</v>
      </c>
      <c r="J241" s="50" t="str">
        <f t="shared" ref="J241:K241" si="1196">IFERROR(F241/H241,"-")</f>
        <v>-</v>
      </c>
      <c r="K241" s="50" t="str">
        <f t="shared" si="1196"/>
        <v>-</v>
      </c>
      <c r="L241" s="6">
        <f>IFERROR(__xludf.DUMMYFUNCTION("IFERROR(
  VLOOKUP(
    A241,
    IMPORTRANGE(
      ""1ZHMy3vVUd_0MrSduXTe1etBb1HNpAlGwQr006ljwMiM"",
      ""GSC最新!A:R""
    ),
    7,
    FALSE
  ),
  0
)
"),0.0)</f>
        <v>0</v>
      </c>
      <c r="M241" s="6">
        <f>IFERROR(__xludf.DUMMYFUNCTION("IFERROR(
  VLOOKUP(
    A241,
    IMPORTRANGE(
      ""1ZHMy3vVUd_0MrSduXTe1etBb1HNpAlGwQr006ljwMiM"",
      ""GSC最新!A:R""
    ),
    10,
    FALSE
  ),
  0
)
"),0.0)</f>
        <v>0</v>
      </c>
      <c r="N241" s="6">
        <f>IFERROR(__xludf.DUMMYFUNCTION("IFERROR(
  VLOOKUP(
    A241,
    IMPORTRANGE(
      ""1ZHMy3vVUd_0MrSduXTe1etBb1HNpAlGwQr006ljwMiM"",
      ""GSC最新!A:R""
    ),
    13,
    FALSE
  ),
  0
)
"),0.0)</f>
        <v>0</v>
      </c>
      <c r="O241" s="6">
        <f>IFERROR(__xludf.DUMMYFUNCTION("IFERROR(
  VLOOKUP(
    A241,
    IMPORTRANGE(
      ""1ZHMy3vVUd_0MrSduXTe1etBb1HNpAlGwQr006ljwMiM"",
      ""GSC最新!A:R""
    ),
    16,
    FALSE
  ),
  0
)
"),0.0)</f>
        <v>0</v>
      </c>
      <c r="P241" s="51" t="str">
        <f t="shared" ref="P241:Q241" si="1197">IFERROR(L241/N241,"-")</f>
        <v>-</v>
      </c>
      <c r="Q241" s="51" t="str">
        <f t="shared" si="1197"/>
        <v>-</v>
      </c>
      <c r="R241" s="9">
        <f>IFERROR(__xludf.DUMMYFUNCTION("IFERROR(
  VLOOKUP(
    A241,
    IMPORTRANGE(
      ""1ZHMy3vVUd_0MrSduXTe1etBb1HNpAlGwQr006ljwMiM"",
      ""GSC最新!A:R""
    ),
    8,
    FALSE
  ),
  0
)
"),0.0)</f>
        <v>0</v>
      </c>
      <c r="S241" s="9">
        <f>IFERROR(__xludf.DUMMYFUNCTION("IFERROR(
  VLOOKUP(
    A241,
    IMPORTRANGE(
      ""1ZHMy3vVUd_0MrSduXTe1etBb1HNpAlGwQr006ljwMiM"",
      ""GSC最新!A:R""
    ),
    11,
    FALSE
  ),
  0
)
"),0.0)</f>
        <v>0</v>
      </c>
      <c r="T241" s="9">
        <f>IFERROR(__xludf.DUMMYFUNCTION("IFERROR(
  VLOOKUP(
    A241,
    IMPORTRANGE(
      ""1ZHMy3vVUd_0MrSduXTe1etBb1HNpAlGwQr006ljwMiM"",
      ""GSC最新!A:R""
    ),
    14,
    FALSE
  ),
  0
)
"),0.0)</f>
        <v>0</v>
      </c>
      <c r="U241" s="9">
        <f>IFERROR(__xludf.DUMMYFUNCTION("IFERROR(
  VLOOKUP(
    A241,
    IMPORTRANGE(
      ""1ZHMy3vVUd_0MrSduXTe1etBb1HNpAlGwQr006ljwMiM"",
      ""GSC最新!A:R""
    ),
    17,
    FALSE
  ),
  0
)
"),0.0)</f>
        <v>0</v>
      </c>
      <c r="V241" s="9">
        <f t="shared" ref="V241:W241" si="1198">IFERROR(R241-T241,"-")</f>
        <v>0</v>
      </c>
      <c r="W241" s="9">
        <f t="shared" si="1198"/>
        <v>0</v>
      </c>
      <c r="X241" s="65" t="str">
        <f>IFERROR(__xludf.DUMMYFUNCTION("IFERROR(
  VLOOKUP(
    A241,
    IMPORTRANGE(
      ""1ZHMy3vVUd_0MrSduXTe1etBb1HNpAlGwQr006ljwMiM"",
      ""GSC最新!A:R""
    ),
    9,
    FALSE
  ),
  0
)
"),"")</f>
        <v/>
      </c>
      <c r="Y241" s="65" t="str">
        <f>IFERROR(__xludf.DUMMYFUNCTION("IFERROR(
  VLOOKUP(
    A241,
    IMPORTRANGE(
      ""1ZHMy3vVUd_0MrSduXTe1etBb1HNpAlGwQr006ljwMiM"",
      ""GSC最新!A:R""
    ),
    12,
    FALSE
  ),
  0
)
"),"")</f>
        <v/>
      </c>
      <c r="Z241" s="65" t="str">
        <f>IFERROR(__xludf.DUMMYFUNCTION("IFERROR(
  VLOOKUP(
    A241,
    IMPORTRANGE(
      ""1ZHMy3vVUd_0MrSduXTe1etBb1HNpAlGwQr006ljwMiM"",
      ""GSC最新!A:R""
    ),
    15,
    FALSE
  ),
  0
)
"),"")</f>
        <v/>
      </c>
      <c r="AA241" s="65" t="str">
        <f>IFERROR(__xludf.DUMMYFUNCTION("IFERROR(
  VLOOKUP(
    A241,
    IMPORTRANGE(
      ""1ZHMy3vVUd_0MrSduXTe1etBb1HNpAlGwQr006ljwMiM"",
      ""GSC最新!A:R""
    ),
    18,
    FALSE
  ),
  0
)
"),"")</f>
        <v/>
      </c>
      <c r="AB241" s="65">
        <f t="shared" ref="AB241:AC241" si="1199">X241-Z241</f>
        <v>0</v>
      </c>
      <c r="AC241" s="65">
        <f t="shared" si="1199"/>
        <v>0</v>
      </c>
      <c r="AD241" s="53">
        <f>IFERROR(__xludf.DUMMYFUNCTION("IFERROR(
  VLOOKUP(
    A241,
    IMPORTRANGE(
      ""1ZHMy3vVUd_0MrSduXTe1etBb1HNpAlGwQr006ljwMiM"",
      ""GSC最新!A:F""
    ),
    6,
    FALSE
  ),
  0
)
"),46081.0)</f>
        <v>46081</v>
      </c>
      <c r="AE241" s="54" t="str">
        <f>IFERROR(__xludf.DUMMYFUNCTION("IFERROR(
  VLOOKUP(
    A241,
    IMPORTRANGE(
      ""1SCYQd7_cobOYqT0r_F0IqD4tE4rYn5y8Eup4PJTH8es"",
      ""Snapshot!A:M""
    ),
    5,
    FALSE
  ),
  ""-""
)
"),"-")</f>
        <v>-</v>
      </c>
      <c r="AF241" s="54">
        <f>IFERROR(__xludf.DUMMYFUNCTION("IFERROR(
  VLOOKUP(
    A241,
    IMPORTRANGE(
      ""1SCYQd7_cobOYqT0r_F0IqD4tE4rYn5y8Eup4PJTH8es"",
      ""Snapshot!A:M""
    ),
    6,
    FALSE
  ),
  0
)
"),0.0)</f>
        <v>0</v>
      </c>
      <c r="AG241" s="54">
        <f>IFERROR(__xludf.DUMMYFUNCTION("IFERROR(
  VLOOKUP(
    A241,
    IMPORTRANGE(
      ""1SCYQd7_cobOYqT0r_F0IqD4tE4rYn5y8Eup4PJTH8es"",
      ""Snapshot!A:M""
    ),
    7,
    FALSE
  ),
  0
)
"),0.0)</f>
        <v>0</v>
      </c>
      <c r="AH241" s="54">
        <f>IFERROR(__xludf.DUMMYFUNCTION("IFERROR(
  VLOOKUP(
    A241,
    IMPORTRANGE(
      ""1SCYQd7_cobOYqT0r_F0IqD4tE4rYn5y8Eup4PJTH8es"",
      ""Snapshot!A:M""
    ),
    8,
    FALSE
  ),
  0
)
"),0.0)</f>
        <v>0</v>
      </c>
      <c r="AI241" s="54">
        <f>IFERROR(__xludf.DUMMYFUNCTION("IFERROR(
  VLOOKUP(
    A241,
    IMPORTRANGE(
      ""1SCYQd7_cobOYqT0r_F0IqD4tE4rYn5y8Eup4PJTH8es"",
      ""Snapshot!A:M""
    ),
    9,
    FALSE
  ),
  0
)
"),0.0)</f>
        <v>0</v>
      </c>
      <c r="AJ241" s="54">
        <f>IFERROR(__xludf.DUMMYFUNCTION("IFERROR(
  VLOOKUP(
    A241,
    IMPORTRANGE(
      ""1SCYQd7_cobOYqT0r_F0IqD4tE4rYn5y8Eup4PJTH8es"",
      ""Snapshot!A:M""
    ),
    13,
    FALSE
  ),
  0
)
"),0.0)</f>
        <v>0</v>
      </c>
      <c r="AK241" s="49">
        <f t="shared" ref="AK241:AL241" si="1200">LEN(C241)</f>
        <v>62</v>
      </c>
      <c r="AL241" s="49">
        <f t="shared" si="1200"/>
        <v>140</v>
      </c>
    </row>
    <row r="242">
      <c r="A242" s="1" t="s">
        <v>159</v>
      </c>
      <c r="B242" s="1" t="str">
        <f>IFERROR(__xludf.DUMMYFUNCTION("IFERROR(
  VLOOKUP(
    A242,
    IMPORTRANGE(
      ""1ZygntHC1J6IxzKbTidmOyf5nUyW4GCLurHCjexrLm_o"",
      ""HTMLキャッシュ!A:F""
    ),
    2,
    FALSE
  ),
  0
)
"),"-")</f>
        <v>-</v>
      </c>
      <c r="C242" s="1" t="str">
        <f>IFERROR(__xludf.DUMMYFUNCTION("IFERROR(
  VLOOKUP(
    A242,
    IMPORTRANGE(
      ""1ZygntHC1J6IxzKbTidmOyf5nUyW4GCLurHCjexrLm_o"",
      ""HTMLキャッシュ!A:F""
    ),
    5,
    FALSE
  ),
  0
)
"),"国語 苦手 学習法 - 受験国語専門 読解ラボ東京 | 中学受験・大学受験対応の個別指導国語専門塾（オンライン・教室対応）")</f>
        <v>国語 苦手 学習法 - 受験国語専門 読解ラボ東京 | 中学受験・大学受験対応の個別指導国語専門塾（オンライン・教室対応）</v>
      </c>
      <c r="D242" s="1" t="str">
        <f>IFERROR(__xludf.DUMMYFUNCTION("IFERROR(
  VLOOKUP(
    A242,
    IMPORTRANGE(
      ""1ZygntHC1J6IxzKbTidmOyf5nUyW4GCLurHCjexrLm_o        "",
      ""HTMLキャッシュ!A:F""
    ),
    6,
    FALSE
  ),
  0
)
"),"国語　苦手　学習法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国語　苦手　学習法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2" s="32">
        <f>IFERROR(__xludf.DUMMYFUNCTION("IFERROR(
  VLOOKUP(
    A242,
    IMPORTRANGE(
      ""1ZygntHC1J6IxzKbTidmOyf5nUyW4GCLurHCjexrLm_o        "",
      ""HTMLキャッシュ!A:F""
    ),
    3,
    FALSE
  ),
  0
)
"),25569.375)</f>
        <v>25569.375</v>
      </c>
      <c r="F242" s="49">
        <f>IFERROR(__xludf.DUMMYFUNCTION("IFERROR(
  VLOOKUP(
    A242,
    IMPORTRANGE(
      ""1ZHMy3vVUd_0MrSduXTe1etBb1HNpAlGwQr006ljwMiM"",
      ""GSC最新!A:F""
    ),
    2,
    FALSE
  ),
  0
)
"),0.0)</f>
        <v>0</v>
      </c>
      <c r="G242" s="49">
        <f>IFERROR(__xludf.DUMMYFUNCTION("IFERROR(
  VLOOKUP(
    A242,
    IMPORTRANGE(
      ""1ZHMy3vVUd_0MrSduXTe1etBb1HNpAlGwQr006ljwMiM"",
      ""GSC最新!A:F""
    ),
    3,
    FALSE
  ),
  0
)
"),0.0)</f>
        <v>0</v>
      </c>
      <c r="H242" s="49">
        <f>IFERROR(__xludf.DUMMYFUNCTION("IFERROR(
  VLOOKUP(
    A242,
    IMPORTRANGE(
      ""1ZHMy3vVUd_0MrSduXTe1etBb1HNpAlGwQr006ljwMiM"",
      ""GSC最新!A:F""
    ),
    4,
    FALSE
  ),
  0
)
"),0.0)</f>
        <v>0</v>
      </c>
      <c r="I242" s="49">
        <f>IFERROR(__xludf.DUMMYFUNCTION("IFERROR(
  VLOOKUP(
    A242,
    IMPORTRANGE(
      ""1ZHMy3vVUd_0MrSduXTe1etBb1HNpAlGwQr006ljwMiM"",
      ""GSC最新!A:F""
    ),
    5,
    FALSE
  ),
  0
)
"),0.0)</f>
        <v>0</v>
      </c>
      <c r="J242" s="50" t="str">
        <f t="shared" ref="J242:K242" si="1201">IFERROR(F242/H242,"-")</f>
        <v>-</v>
      </c>
      <c r="K242" s="50" t="str">
        <f t="shared" si="1201"/>
        <v>-</v>
      </c>
      <c r="L242" s="6">
        <f>IFERROR(__xludf.DUMMYFUNCTION("IFERROR(
  VLOOKUP(
    A242,
    IMPORTRANGE(
      ""1ZHMy3vVUd_0MrSduXTe1etBb1HNpAlGwQr006ljwMiM"",
      ""GSC最新!A:R""
    ),
    7,
    FALSE
  ),
  0
)
"),0.0)</f>
        <v>0</v>
      </c>
      <c r="M242" s="6">
        <f>IFERROR(__xludf.DUMMYFUNCTION("IFERROR(
  VLOOKUP(
    A242,
    IMPORTRANGE(
      ""1ZHMy3vVUd_0MrSduXTe1etBb1HNpAlGwQr006ljwMiM"",
      ""GSC最新!A:R""
    ),
    10,
    FALSE
  ),
  0
)
"),1.0)</f>
        <v>1</v>
      </c>
      <c r="N242" s="6">
        <f>IFERROR(__xludf.DUMMYFUNCTION("IFERROR(
  VLOOKUP(
    A242,
    IMPORTRANGE(
      ""1ZHMy3vVUd_0MrSduXTe1etBb1HNpAlGwQr006ljwMiM"",
      ""GSC最新!A:R""
    ),
    13,
    FALSE
  ),
  0
)
"),0.0)</f>
        <v>0</v>
      </c>
      <c r="O242" s="6">
        <f>IFERROR(__xludf.DUMMYFUNCTION("IFERROR(
  VLOOKUP(
    A242,
    IMPORTRANGE(
      ""1ZHMy3vVUd_0MrSduXTe1etBb1HNpAlGwQr006ljwMiM"",
      ""GSC最新!A:R""
    ),
    16,
    FALSE
  ),
  0
)
"),0.0)</f>
        <v>0</v>
      </c>
      <c r="P242" s="51" t="str">
        <f t="shared" ref="P242:Q242" si="1202">IFERROR(L242/N242,"-")</f>
        <v>-</v>
      </c>
      <c r="Q242" s="51" t="str">
        <f t="shared" si="1202"/>
        <v>-</v>
      </c>
      <c r="R242" s="9">
        <f>IFERROR(__xludf.DUMMYFUNCTION("IFERROR(
  VLOOKUP(
    A242,
    IMPORTRANGE(
      ""1ZHMy3vVUd_0MrSduXTe1etBb1HNpAlGwQr006ljwMiM"",
      ""GSC最新!A:R""
    ),
    8,
    FALSE
  ),
  0
)
"),0.0)</f>
        <v>0</v>
      </c>
      <c r="S242" s="9">
        <f>IFERROR(__xludf.DUMMYFUNCTION("IFERROR(
  VLOOKUP(
    A242,
    IMPORTRANGE(
      ""1ZHMy3vVUd_0MrSduXTe1etBb1HNpAlGwQr006ljwMiM"",
      ""GSC最新!A:R""
    ),
    11,
    FALSE
  ),
  0
)
"),0.0)</f>
        <v>0</v>
      </c>
      <c r="T242" s="9">
        <f>IFERROR(__xludf.DUMMYFUNCTION("IFERROR(
  VLOOKUP(
    A242,
    IMPORTRANGE(
      ""1ZHMy3vVUd_0MrSduXTe1etBb1HNpAlGwQr006ljwMiM"",
      ""GSC最新!A:R""
    ),
    14,
    FALSE
  ),
  0
)
"),0.0)</f>
        <v>0</v>
      </c>
      <c r="U242" s="9">
        <f>IFERROR(__xludf.DUMMYFUNCTION("IFERROR(
  VLOOKUP(
    A242,
    IMPORTRANGE(
      ""1ZHMy3vVUd_0MrSduXTe1etBb1HNpAlGwQr006ljwMiM"",
      ""GSC最新!A:R""
    ),
    17,
    FALSE
  ),
  0
)
"),0.0)</f>
        <v>0</v>
      </c>
      <c r="V242" s="9">
        <f t="shared" ref="V242:W242" si="1203">IFERROR(R242-T242,"-")</f>
        <v>0</v>
      </c>
      <c r="W242" s="9">
        <f t="shared" si="1203"/>
        <v>0</v>
      </c>
      <c r="X242" s="65" t="str">
        <f>IFERROR(__xludf.DUMMYFUNCTION("IFERROR(
  VLOOKUP(
    A242,
    IMPORTRANGE(
      ""1ZHMy3vVUd_0MrSduXTe1etBb1HNpAlGwQr006ljwMiM"",
      ""GSC最新!A:R""
    ),
    9,
    FALSE
  ),
  0
)
"),"")</f>
        <v/>
      </c>
      <c r="Y242" s="65">
        <f>IFERROR(__xludf.DUMMYFUNCTION("IFERROR(
  VLOOKUP(
    A242,
    IMPORTRANGE(
      ""1ZHMy3vVUd_0MrSduXTe1etBb1HNpAlGwQr006ljwMiM"",
      ""GSC最新!A:R""
    ),
    12,
    FALSE
  ),
  0
)
"),10.0)</f>
        <v>10</v>
      </c>
      <c r="Z242" s="65" t="str">
        <f>IFERROR(__xludf.DUMMYFUNCTION("IFERROR(
  VLOOKUP(
    A242,
    IMPORTRANGE(
      ""1ZHMy3vVUd_0MrSduXTe1etBb1HNpAlGwQr006ljwMiM"",
      ""GSC最新!A:R""
    ),
    15,
    FALSE
  ),
  0
)
"),"")</f>
        <v/>
      </c>
      <c r="AA242" s="65" t="str">
        <f>IFERROR(__xludf.DUMMYFUNCTION("IFERROR(
  VLOOKUP(
    A242,
    IMPORTRANGE(
      ""1ZHMy3vVUd_0MrSduXTe1etBb1HNpAlGwQr006ljwMiM"",
      ""GSC最新!A:R""
    ),
    18,
    FALSE
  ),
  0
)
"),"")</f>
        <v/>
      </c>
      <c r="AB242" s="65">
        <f t="shared" ref="AB242:AC242" si="1204">X242-Z242</f>
        <v>0</v>
      </c>
      <c r="AC242" s="65">
        <f t="shared" si="1204"/>
        <v>10</v>
      </c>
      <c r="AD242" s="53">
        <f>IFERROR(__xludf.DUMMYFUNCTION("IFERROR(
  VLOOKUP(
    A242,
    IMPORTRANGE(
      ""1ZHMy3vVUd_0MrSduXTe1etBb1HNpAlGwQr006ljwMiM"",
      ""GSC最新!A:F""
    ),
    6,
    FALSE
  ),
  0
)
"),46081.0)</f>
        <v>46081</v>
      </c>
      <c r="AE242" s="54" t="str">
        <f>IFERROR(__xludf.DUMMYFUNCTION("IFERROR(
  VLOOKUP(
    A242,
    IMPORTRANGE(
      ""1SCYQd7_cobOYqT0r_F0IqD4tE4rYn5y8Eup4PJTH8es"",
      ""Snapshot!A:M""
    ),
    5,
    FALSE
  ),
  ""-""
)
"),"-")</f>
        <v>-</v>
      </c>
      <c r="AF242" s="54">
        <f>IFERROR(__xludf.DUMMYFUNCTION("IFERROR(
  VLOOKUP(
    A242,
    IMPORTRANGE(
      ""1SCYQd7_cobOYqT0r_F0IqD4tE4rYn5y8Eup4PJTH8es"",
      ""Snapshot!A:M""
    ),
    6,
    FALSE
  ),
  0
)
"),0.0)</f>
        <v>0</v>
      </c>
      <c r="AG242" s="54">
        <f>IFERROR(__xludf.DUMMYFUNCTION("IFERROR(
  VLOOKUP(
    A242,
    IMPORTRANGE(
      ""1SCYQd7_cobOYqT0r_F0IqD4tE4rYn5y8Eup4PJTH8es"",
      ""Snapshot!A:M""
    ),
    7,
    FALSE
  ),
  0
)
"),0.0)</f>
        <v>0</v>
      </c>
      <c r="AH242" s="54">
        <f>IFERROR(__xludf.DUMMYFUNCTION("IFERROR(
  VLOOKUP(
    A242,
    IMPORTRANGE(
      ""1SCYQd7_cobOYqT0r_F0IqD4tE4rYn5y8Eup4PJTH8es"",
      ""Snapshot!A:M""
    ),
    8,
    FALSE
  ),
  0
)
"),0.0)</f>
        <v>0</v>
      </c>
      <c r="AI242" s="54">
        <f>IFERROR(__xludf.DUMMYFUNCTION("IFERROR(
  VLOOKUP(
    A242,
    IMPORTRANGE(
      ""1SCYQd7_cobOYqT0r_F0IqD4tE4rYn5y8Eup4PJTH8es"",
      ""Snapshot!A:M""
    ),
    9,
    FALSE
  ),
  0
)
"),0.0)</f>
        <v>0</v>
      </c>
      <c r="AJ242" s="54">
        <f>IFERROR(__xludf.DUMMYFUNCTION("IFERROR(
  VLOOKUP(
    A242,
    IMPORTRANGE(
      ""1SCYQd7_cobOYqT0r_F0IqD4tE4rYn5y8Eup4PJTH8es"",
      ""Snapshot!A:M""
    ),
    13,
    FALSE
  ),
  0
)
"),0.0)</f>
        <v>0</v>
      </c>
      <c r="AK242" s="49">
        <f t="shared" ref="AK242:AL242" si="1205">LEN(C242)</f>
        <v>61</v>
      </c>
      <c r="AL242" s="49">
        <f t="shared" si="1205"/>
        <v>139</v>
      </c>
    </row>
    <row r="243">
      <c r="A243" s="1" t="s">
        <v>161</v>
      </c>
      <c r="B243" s="1" t="str">
        <f>IFERROR(__xludf.DUMMYFUNCTION("IFERROR(
  VLOOKUP(
    A243,
    IMPORTRANGE(
      ""1ZygntHC1J6IxzKbTidmOyf5nUyW4GCLurHCjexrLm_o"",
      ""HTMLキャッシュ!A:F""
    ),
    2,
    FALSE
  ),
  0
)
"),"-")</f>
        <v>-</v>
      </c>
      <c r="C243" s="1" t="str">
        <f>IFERROR(__xludf.DUMMYFUNCTION("IFERROR(
  VLOOKUP(
    A243,
    IMPORTRANGE(
      ""1ZygntHC1J6IxzKbTidmOyf5nUyW4GCLurHCjexrLm_o"",
      ""HTMLキャッシュ!A:F""
    ),
    5,
    FALSE
  ),
  0
)
"),"国語 - 受験国語専門 読解ラボ東京 | 中学受験・大学受験対応の個別指導国語専門塾（オンライン・教室対応）")</f>
        <v>国語 - 受験国語専門 読解ラボ東京 | 中学受験・大学受験対応の個別指導国語専門塾（オンライン・教室対応）</v>
      </c>
      <c r="D243" s="1" t="str">
        <f>IFERROR(__xludf.DUMMYFUNCTION("IFERROR(
  VLOOKUP(
    A243,
    IMPORTRANGE(
      ""1ZygntHC1J6IxzKbTidmOyf5nUyW4GCLurHCjexrLm_o        "",
      ""HTMLキャッシュ!A:F""
    ),
    6,
    FALSE
  ),
  0
)
"),"国語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国語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3" s="32">
        <f>IFERROR(__xludf.DUMMYFUNCTION("IFERROR(
  VLOOKUP(
    A243,
    IMPORTRANGE(
      ""1ZygntHC1J6IxzKbTidmOyf5nUyW4GCLurHCjexrLm_o        "",
      ""HTMLキャッシュ!A:F""
    ),
    3,
    FALSE
  ),
  0
)
"),25569.375)</f>
        <v>25569.375</v>
      </c>
      <c r="F243" s="49">
        <f>IFERROR(__xludf.DUMMYFUNCTION("IFERROR(
  VLOOKUP(
    A243,
    IMPORTRANGE(
      ""1ZHMy3vVUd_0MrSduXTe1etBb1HNpAlGwQr006ljwMiM"",
      ""GSC最新!A:F""
    ),
    2,
    FALSE
  ),
  0
)
"),0.0)</f>
        <v>0</v>
      </c>
      <c r="G243" s="49">
        <f>IFERROR(__xludf.DUMMYFUNCTION("IFERROR(
  VLOOKUP(
    A243,
    IMPORTRANGE(
      ""1ZHMy3vVUd_0MrSduXTe1etBb1HNpAlGwQr006ljwMiM"",
      ""GSC最新!A:F""
    ),
    3,
    FALSE
  ),
  0
)
"),0.0)</f>
        <v>0</v>
      </c>
      <c r="H243" s="49">
        <f>IFERROR(__xludf.DUMMYFUNCTION("IFERROR(
  VLOOKUP(
    A243,
    IMPORTRANGE(
      ""1ZHMy3vVUd_0MrSduXTe1etBb1HNpAlGwQr006ljwMiM"",
      ""GSC最新!A:F""
    ),
    4,
    FALSE
  ),
  0
)
"),0.0)</f>
        <v>0</v>
      </c>
      <c r="I243" s="49">
        <f>IFERROR(__xludf.DUMMYFUNCTION("IFERROR(
  VLOOKUP(
    A243,
    IMPORTRANGE(
      ""1ZHMy3vVUd_0MrSduXTe1etBb1HNpAlGwQr006ljwMiM"",
      ""GSC最新!A:F""
    ),
    5,
    FALSE
  ),
  0
)
"),0.0)</f>
        <v>0</v>
      </c>
      <c r="J243" s="50" t="str">
        <f t="shared" ref="J243:K243" si="1206">IFERROR(F243/H243,"-")</f>
        <v>-</v>
      </c>
      <c r="K243" s="50" t="str">
        <f t="shared" si="1206"/>
        <v>-</v>
      </c>
      <c r="L243" s="6">
        <f>IFERROR(__xludf.DUMMYFUNCTION("IFERROR(
  VLOOKUP(
    A243,
    IMPORTRANGE(
      ""1ZHMy3vVUd_0MrSduXTe1etBb1HNpAlGwQr006ljwMiM"",
      ""GSC最新!A:R""
    ),
    7,
    FALSE
  ),
  0
)
"),2.0)</f>
        <v>2</v>
      </c>
      <c r="M243" s="6">
        <f>IFERROR(__xludf.DUMMYFUNCTION("IFERROR(
  VLOOKUP(
    A243,
    IMPORTRANGE(
      ""1ZHMy3vVUd_0MrSduXTe1etBb1HNpAlGwQr006ljwMiM"",
      ""GSC最新!A:R""
    ),
    10,
    FALSE
  ),
  0
)
"),7.0)</f>
        <v>7</v>
      </c>
      <c r="N243" s="6">
        <f>IFERROR(__xludf.DUMMYFUNCTION("IFERROR(
  VLOOKUP(
    A243,
    IMPORTRANGE(
      ""1ZHMy3vVUd_0MrSduXTe1etBb1HNpAlGwQr006ljwMiM"",
      ""GSC最新!A:R""
    ),
    13,
    FALSE
  ),
  0
)
"),2.0)</f>
        <v>2</v>
      </c>
      <c r="O243" s="6">
        <f>IFERROR(__xludf.DUMMYFUNCTION("IFERROR(
  VLOOKUP(
    A243,
    IMPORTRANGE(
      ""1ZHMy3vVUd_0MrSduXTe1etBb1HNpAlGwQr006ljwMiM"",
      ""GSC最新!A:R""
    ),
    16,
    FALSE
  ),
  0
)
"),2.0)</f>
        <v>2</v>
      </c>
      <c r="P243" s="51">
        <f t="shared" ref="P243:Q243" si="1207">IFERROR(L243/N243,"-")</f>
        <v>1</v>
      </c>
      <c r="Q243" s="51">
        <f t="shared" si="1207"/>
        <v>3.5</v>
      </c>
      <c r="R243" s="9">
        <f>IFERROR(__xludf.DUMMYFUNCTION("IFERROR(
  VLOOKUP(
    A243,
    IMPORTRANGE(
      ""1ZHMy3vVUd_0MrSduXTe1etBb1HNpAlGwQr006ljwMiM"",
      ""GSC最新!A:R""
    ),
    8,
    FALSE
  ),
  0
)
"),0.0)</f>
        <v>0</v>
      </c>
      <c r="S243" s="9">
        <f>IFERROR(__xludf.DUMMYFUNCTION("IFERROR(
  VLOOKUP(
    A243,
    IMPORTRANGE(
      ""1ZHMy3vVUd_0MrSduXTe1etBb1HNpAlGwQr006ljwMiM"",
      ""GSC最新!A:R""
    ),
    11,
    FALSE
  ),
  0
)
"),0.0)</f>
        <v>0</v>
      </c>
      <c r="T243" s="9">
        <f>IFERROR(__xludf.DUMMYFUNCTION("IFERROR(
  VLOOKUP(
    A243,
    IMPORTRANGE(
      ""1ZHMy3vVUd_0MrSduXTe1etBb1HNpAlGwQr006ljwMiM"",
      ""GSC最新!A:R""
    ),
    14,
    FALSE
  ),
  0
)
"),0.0)</f>
        <v>0</v>
      </c>
      <c r="U243" s="9">
        <f>IFERROR(__xludf.DUMMYFUNCTION("IFERROR(
  VLOOKUP(
    A243,
    IMPORTRANGE(
      ""1ZHMy3vVUd_0MrSduXTe1etBb1HNpAlGwQr006ljwMiM"",
      ""GSC最新!A:R""
    ),
    17,
    FALSE
  ),
  0
)
"),0.0)</f>
        <v>0</v>
      </c>
      <c r="V243" s="9">
        <f t="shared" ref="V243:W243" si="1208">IFERROR(R243-T243,"-")</f>
        <v>0</v>
      </c>
      <c r="W243" s="9">
        <f t="shared" si="1208"/>
        <v>0</v>
      </c>
      <c r="X243" s="65">
        <f>IFERROR(__xludf.DUMMYFUNCTION("IFERROR(
  VLOOKUP(
    A243,
    IMPORTRANGE(
      ""1ZHMy3vVUd_0MrSduXTe1etBb1HNpAlGwQr006ljwMiM"",
      ""GSC最新!A:R""
    ),
    9,
    FALSE
  ),
  0
)
"),32.0)</f>
        <v>32</v>
      </c>
      <c r="Y243" s="65">
        <f>IFERROR(__xludf.DUMMYFUNCTION("IFERROR(
  VLOOKUP(
    A243,
    IMPORTRANGE(
      ""1ZHMy3vVUd_0MrSduXTe1etBb1HNpAlGwQr006ljwMiM"",
      ""GSC最新!A:R""
    ),
    12,
    FALSE
  ),
  0
)
"),12.428571428571429)</f>
        <v>12.42857143</v>
      </c>
      <c r="Z243" s="65">
        <f>IFERROR(__xludf.DUMMYFUNCTION("IFERROR(
  VLOOKUP(
    A243,
    IMPORTRANGE(
      ""1ZHMy3vVUd_0MrSduXTe1etBb1HNpAlGwQr006ljwMiM"",
      ""GSC最新!A:R""
    ),
    15,
    FALSE
  ),
  0
)
"),51.5)</f>
        <v>51.5</v>
      </c>
      <c r="AA243" s="65">
        <f>IFERROR(__xludf.DUMMYFUNCTION("IFERROR(
  VLOOKUP(
    A243,
    IMPORTRANGE(
      ""1ZHMy3vVUd_0MrSduXTe1etBb1HNpAlGwQr006ljwMiM"",
      ""GSC最新!A:R""
    ),
    18,
    FALSE
  ),
  0
)
"),51.5)</f>
        <v>51.5</v>
      </c>
      <c r="AB243" s="65">
        <f t="shared" ref="AB243:AC243" si="1209">X243-Z243</f>
        <v>-19.5</v>
      </c>
      <c r="AC243" s="65">
        <f t="shared" si="1209"/>
        <v>-39.07142857</v>
      </c>
      <c r="AD243" s="53">
        <f>IFERROR(__xludf.DUMMYFUNCTION("IFERROR(
  VLOOKUP(
    A243,
    IMPORTRANGE(
      ""1ZHMy3vVUd_0MrSduXTe1etBb1HNpAlGwQr006ljwMiM"",
      ""GSC最新!A:F""
    ),
    6,
    FALSE
  ),
  0
)
"),46081.0)</f>
        <v>46081</v>
      </c>
      <c r="AE243" s="54">
        <f>IFERROR(__xludf.DUMMYFUNCTION("IFERROR(
  VLOOKUP(
    A243,
    IMPORTRANGE(
      ""1SCYQd7_cobOYqT0r_F0IqD4tE4rYn5y8Eup4PJTH8es"",
      ""Snapshot!A:M""
    ),
    5,
    FALSE
  ),
  ""-""
)
"),0.0)</f>
        <v>0</v>
      </c>
      <c r="AF243" s="54">
        <f>IFERROR(__xludf.DUMMYFUNCTION("IFERROR(
  VLOOKUP(
    A243,
    IMPORTRANGE(
      ""1SCYQd7_cobOYqT0r_F0IqD4tE4rYn5y8Eup4PJTH8es"",
      ""Snapshot!A:M""
    ),
    6,
    FALSE
  ),
  0
)
"),0.0)</f>
        <v>0</v>
      </c>
      <c r="AG243" s="54">
        <f>IFERROR(__xludf.DUMMYFUNCTION("IFERROR(
  VLOOKUP(
    A243,
    IMPORTRANGE(
      ""1SCYQd7_cobOYqT0r_F0IqD4tE4rYn5y8Eup4PJTH8es"",
      ""Snapshot!A:M""
    ),
    7,
    FALSE
  ),
  0
)
"),0.0)</f>
        <v>0</v>
      </c>
      <c r="AH243" s="54">
        <f>IFERROR(__xludf.DUMMYFUNCTION("IFERROR(
  VLOOKUP(
    A243,
    IMPORTRANGE(
      ""1SCYQd7_cobOYqT0r_F0IqD4tE4rYn5y8Eup4PJTH8es"",
      ""Snapshot!A:M""
    ),
    8,
    FALSE
  ),
  0
)
"),0.0)</f>
        <v>0</v>
      </c>
      <c r="AI243" s="54">
        <f>IFERROR(__xludf.DUMMYFUNCTION("IFERROR(
  VLOOKUP(
    A243,
    IMPORTRANGE(
      ""1SCYQd7_cobOYqT0r_F0IqD4tE4rYn5y8Eup4PJTH8es"",
      ""Snapshot!A:M""
    ),
    9,
    FALSE
  ),
  0
)
"),0.0)</f>
        <v>0</v>
      </c>
      <c r="AJ243" s="54">
        <f>IFERROR(__xludf.DUMMYFUNCTION("IFERROR(
  VLOOKUP(
    A243,
    IMPORTRANGE(
      ""1SCYQd7_cobOYqT0r_F0IqD4tE4rYn5y8Eup4PJTH8es"",
      ""Snapshot!A:M""
    ),
    13,
    FALSE
  ),
  0
)
"),2.0)</f>
        <v>2</v>
      </c>
      <c r="AK243" s="49">
        <f t="shared" ref="AK243:AL243" si="1210">LEN(C243)</f>
        <v>54</v>
      </c>
      <c r="AL243" s="49">
        <f t="shared" si="1210"/>
        <v>132</v>
      </c>
    </row>
    <row r="244">
      <c r="A244" s="1" t="s">
        <v>163</v>
      </c>
      <c r="B244" s="1" t="str">
        <f>IFERROR(__xludf.DUMMYFUNCTION("IFERROR(
  VLOOKUP(
    A244,
    IMPORTRANGE(
      ""1ZygntHC1J6IxzKbTidmOyf5nUyW4GCLurHCjexrLm_o"",
      ""HTMLキャッシュ!A:F""
    ),
    2,
    FALSE
  ),
  0
)
"),"-")</f>
        <v>-</v>
      </c>
      <c r="C244" s="1" t="str">
        <f>IFERROR(__xludf.DUMMYFUNCTION("IFERROR(
  VLOOKUP(
    A244,
    IMPORTRANGE(
      ""1ZygntHC1J6IxzKbTidmOyf5nUyW4GCLurHCjexrLm_o"",
      ""HTMLキャッシュ!A:F""
    ),
    5,
    FALSE
  ),
  0
)
"),"時間が足りない - 受験国語専門 読解ラボ東京 | 中学受験・大学受験対応の個別指導国語専門塾（オンライン・教室対応）")</f>
        <v>時間が足りない - 受験国語専門 読解ラボ東京 | 中学受験・大学受験対応の個別指導国語専門塾（オンライン・教室対応）</v>
      </c>
      <c r="D244" s="1" t="str">
        <f>IFERROR(__xludf.DUMMYFUNCTION("IFERROR(
  VLOOKUP(
    A244,
    IMPORTRANGE(
      ""1ZygntHC1J6IxzKbTidmOyf5nUyW4GCLurHCjexrLm_o        "",
      ""HTMLキャッシュ!A:F""
    ),
    6,
    FALSE
  ),
  0
)
"),"時間が足りない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時間が足りない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4" s="32">
        <f>IFERROR(__xludf.DUMMYFUNCTION("IFERROR(
  VLOOKUP(
    A244,
    IMPORTRANGE(
      ""1ZygntHC1J6IxzKbTidmOyf5nUyW4GCLurHCjexrLm_o        "",
      ""HTMLキャッシュ!A:F""
    ),
    3,
    FALSE
  ),
  0
)
"),25569.375)</f>
        <v>25569.375</v>
      </c>
      <c r="F244" s="49">
        <f>IFERROR(__xludf.DUMMYFUNCTION("IFERROR(
  VLOOKUP(
    A244,
    IMPORTRANGE(
      ""1ZHMy3vVUd_0MrSduXTe1etBb1HNpAlGwQr006ljwMiM"",
      ""GSC最新!A:F""
    ),
    2,
    FALSE
  ),
  0
)
"),0.0)</f>
        <v>0</v>
      </c>
      <c r="G244" s="49">
        <f>IFERROR(__xludf.DUMMYFUNCTION("IFERROR(
  VLOOKUP(
    A244,
    IMPORTRANGE(
      ""1ZHMy3vVUd_0MrSduXTe1etBb1HNpAlGwQr006ljwMiM"",
      ""GSC最新!A:F""
    ),
    3,
    FALSE
  ),
  0
)
"),0.0)</f>
        <v>0</v>
      </c>
      <c r="H244" s="49">
        <f>IFERROR(__xludf.DUMMYFUNCTION("IFERROR(
  VLOOKUP(
    A244,
    IMPORTRANGE(
      ""1ZHMy3vVUd_0MrSduXTe1etBb1HNpAlGwQr006ljwMiM"",
      ""GSC最新!A:F""
    ),
    4,
    FALSE
  ),
  0
)
"),0.0)</f>
        <v>0</v>
      </c>
      <c r="I244" s="49">
        <f>IFERROR(__xludf.DUMMYFUNCTION("IFERROR(
  VLOOKUP(
    A244,
    IMPORTRANGE(
      ""1ZHMy3vVUd_0MrSduXTe1etBb1HNpAlGwQr006ljwMiM"",
      ""GSC最新!A:F""
    ),
    5,
    FALSE
  ),
  0
)
"),0.0)</f>
        <v>0</v>
      </c>
      <c r="J244" s="50" t="str">
        <f t="shared" ref="J244:K244" si="1211">IFERROR(F244/H244,"-")</f>
        <v>-</v>
      </c>
      <c r="K244" s="50" t="str">
        <f t="shared" si="1211"/>
        <v>-</v>
      </c>
      <c r="L244" s="6">
        <f>IFERROR(__xludf.DUMMYFUNCTION("IFERROR(
  VLOOKUP(
    A244,
    IMPORTRANGE(
      ""1ZHMy3vVUd_0MrSduXTe1etBb1HNpAlGwQr006ljwMiM"",
      ""GSC最新!A:R""
    ),
    7,
    FALSE
  ),
  0
)
"),0.0)</f>
        <v>0</v>
      </c>
      <c r="M244" s="6">
        <f>IFERROR(__xludf.DUMMYFUNCTION("IFERROR(
  VLOOKUP(
    A244,
    IMPORTRANGE(
      ""1ZHMy3vVUd_0MrSduXTe1etBb1HNpAlGwQr006ljwMiM"",
      ""GSC最新!A:R""
    ),
    10,
    FALSE
  ),
  0
)
"),0.0)</f>
        <v>0</v>
      </c>
      <c r="N244" s="6">
        <f>IFERROR(__xludf.DUMMYFUNCTION("IFERROR(
  VLOOKUP(
    A244,
    IMPORTRANGE(
      ""1ZHMy3vVUd_0MrSduXTe1etBb1HNpAlGwQr006ljwMiM"",
      ""GSC最新!A:R""
    ),
    13,
    FALSE
  ),
  0
)
"),0.0)</f>
        <v>0</v>
      </c>
      <c r="O244" s="6">
        <f>IFERROR(__xludf.DUMMYFUNCTION("IFERROR(
  VLOOKUP(
    A244,
    IMPORTRANGE(
      ""1ZHMy3vVUd_0MrSduXTe1etBb1HNpAlGwQr006ljwMiM"",
      ""GSC最新!A:R""
    ),
    16,
    FALSE
  ),
  0
)
"),0.0)</f>
        <v>0</v>
      </c>
      <c r="P244" s="51" t="str">
        <f t="shared" ref="P244:Q244" si="1212">IFERROR(L244/N244,"-")</f>
        <v>-</v>
      </c>
      <c r="Q244" s="51" t="str">
        <f t="shared" si="1212"/>
        <v>-</v>
      </c>
      <c r="R244" s="9">
        <f>IFERROR(__xludf.DUMMYFUNCTION("IFERROR(
  VLOOKUP(
    A244,
    IMPORTRANGE(
      ""1ZHMy3vVUd_0MrSduXTe1etBb1HNpAlGwQr006ljwMiM"",
      ""GSC最新!A:R""
    ),
    8,
    FALSE
  ),
  0
)
"),0.0)</f>
        <v>0</v>
      </c>
      <c r="S244" s="9">
        <f>IFERROR(__xludf.DUMMYFUNCTION("IFERROR(
  VLOOKUP(
    A244,
    IMPORTRANGE(
      ""1ZHMy3vVUd_0MrSduXTe1etBb1HNpAlGwQr006ljwMiM"",
      ""GSC最新!A:R""
    ),
    11,
    FALSE
  ),
  0
)
"),0.0)</f>
        <v>0</v>
      </c>
      <c r="T244" s="9">
        <f>IFERROR(__xludf.DUMMYFUNCTION("IFERROR(
  VLOOKUP(
    A244,
    IMPORTRANGE(
      ""1ZHMy3vVUd_0MrSduXTe1etBb1HNpAlGwQr006ljwMiM"",
      ""GSC最新!A:R""
    ),
    14,
    FALSE
  ),
  0
)
"),0.0)</f>
        <v>0</v>
      </c>
      <c r="U244" s="9">
        <f>IFERROR(__xludf.DUMMYFUNCTION("IFERROR(
  VLOOKUP(
    A244,
    IMPORTRANGE(
      ""1ZHMy3vVUd_0MrSduXTe1etBb1HNpAlGwQr006ljwMiM"",
      ""GSC最新!A:R""
    ),
    17,
    FALSE
  ),
  0
)
"),0.0)</f>
        <v>0</v>
      </c>
      <c r="V244" s="9">
        <f t="shared" ref="V244:W244" si="1213">IFERROR(R244-T244,"-")</f>
        <v>0</v>
      </c>
      <c r="W244" s="9">
        <f t="shared" si="1213"/>
        <v>0</v>
      </c>
      <c r="X244" s="65" t="str">
        <f>IFERROR(__xludf.DUMMYFUNCTION("IFERROR(
  VLOOKUP(
    A244,
    IMPORTRANGE(
      ""1ZHMy3vVUd_0MrSduXTe1etBb1HNpAlGwQr006ljwMiM"",
      ""GSC最新!A:R""
    ),
    9,
    FALSE
  ),
  0
)
"),"")</f>
        <v/>
      </c>
      <c r="Y244" s="65" t="str">
        <f>IFERROR(__xludf.DUMMYFUNCTION("IFERROR(
  VLOOKUP(
    A244,
    IMPORTRANGE(
      ""1ZHMy3vVUd_0MrSduXTe1etBb1HNpAlGwQr006ljwMiM"",
      ""GSC最新!A:R""
    ),
    12,
    FALSE
  ),
  0
)
"),"")</f>
        <v/>
      </c>
      <c r="Z244" s="65" t="str">
        <f>IFERROR(__xludf.DUMMYFUNCTION("IFERROR(
  VLOOKUP(
    A244,
    IMPORTRANGE(
      ""1ZHMy3vVUd_0MrSduXTe1etBb1HNpAlGwQr006ljwMiM"",
      ""GSC最新!A:R""
    ),
    15,
    FALSE
  ),
  0
)
"),"")</f>
        <v/>
      </c>
      <c r="AA244" s="65" t="str">
        <f>IFERROR(__xludf.DUMMYFUNCTION("IFERROR(
  VLOOKUP(
    A244,
    IMPORTRANGE(
      ""1ZHMy3vVUd_0MrSduXTe1etBb1HNpAlGwQr006ljwMiM"",
      ""GSC最新!A:R""
    ),
    18,
    FALSE
  ),
  0
)
"),"")</f>
        <v/>
      </c>
      <c r="AB244" s="65">
        <f t="shared" ref="AB244:AC244" si="1214">X244-Z244</f>
        <v>0</v>
      </c>
      <c r="AC244" s="65">
        <f t="shared" si="1214"/>
        <v>0</v>
      </c>
      <c r="AD244" s="53">
        <f>IFERROR(__xludf.DUMMYFUNCTION("IFERROR(
  VLOOKUP(
    A244,
    IMPORTRANGE(
      ""1ZHMy3vVUd_0MrSduXTe1etBb1HNpAlGwQr006ljwMiM"",
      ""GSC最新!A:F""
    ),
    6,
    FALSE
  ),
  0
)
"),46081.0)</f>
        <v>46081</v>
      </c>
      <c r="AE244" s="54">
        <f>IFERROR(__xludf.DUMMYFUNCTION("IFERROR(
  VLOOKUP(
    A244,
    IMPORTRANGE(
      ""1SCYQd7_cobOYqT0r_F0IqD4tE4rYn5y8Eup4PJTH8es"",
      ""Snapshot!A:M""
    ),
    5,
    FALSE
  ),
  ""-""
)
"),0.0)</f>
        <v>0</v>
      </c>
      <c r="AF244" s="54">
        <f>IFERROR(__xludf.DUMMYFUNCTION("IFERROR(
  VLOOKUP(
    A244,
    IMPORTRANGE(
      ""1SCYQd7_cobOYqT0r_F0IqD4tE4rYn5y8Eup4PJTH8es"",
      ""Snapshot!A:M""
    ),
    6,
    FALSE
  ),
  0
)
"),0.0)</f>
        <v>0</v>
      </c>
      <c r="AG244" s="54">
        <f>IFERROR(__xludf.DUMMYFUNCTION("IFERROR(
  VLOOKUP(
    A244,
    IMPORTRANGE(
      ""1SCYQd7_cobOYqT0r_F0IqD4tE4rYn5y8Eup4PJTH8es"",
      ""Snapshot!A:M""
    ),
    7,
    FALSE
  ),
  0
)
"),0.0)</f>
        <v>0</v>
      </c>
      <c r="AH244" s="54">
        <f>IFERROR(__xludf.DUMMYFUNCTION("IFERROR(
  VLOOKUP(
    A244,
    IMPORTRANGE(
      ""1SCYQd7_cobOYqT0r_F0IqD4tE4rYn5y8Eup4PJTH8es"",
      ""Snapshot!A:M""
    ),
    8,
    FALSE
  ),
  0
)
"),0.0)</f>
        <v>0</v>
      </c>
      <c r="AI244" s="54">
        <f>IFERROR(__xludf.DUMMYFUNCTION("IFERROR(
  VLOOKUP(
    A244,
    IMPORTRANGE(
      ""1SCYQd7_cobOYqT0r_F0IqD4tE4rYn5y8Eup4PJTH8es"",
      ""Snapshot!A:M""
    ),
    9,
    FALSE
  ),
  0
)
"),0.0)</f>
        <v>0</v>
      </c>
      <c r="AJ244" s="54">
        <f>IFERROR(__xludf.DUMMYFUNCTION("IFERROR(
  VLOOKUP(
    A244,
    IMPORTRANGE(
      ""1SCYQd7_cobOYqT0r_F0IqD4tE4rYn5y8Eup4PJTH8es"",
      ""Snapshot!A:M""
    ),
    13,
    FALSE
  ),
  0
)
"),2.0)</f>
        <v>2</v>
      </c>
      <c r="AK244" s="49">
        <f t="shared" ref="AK244:AL244" si="1215">LEN(C244)</f>
        <v>59</v>
      </c>
      <c r="AL244" s="49">
        <f t="shared" si="1215"/>
        <v>137</v>
      </c>
    </row>
    <row r="245">
      <c r="A245" s="1" t="s">
        <v>165</v>
      </c>
      <c r="B245" s="1" t="str">
        <f>IFERROR(__xludf.DUMMYFUNCTION("IFERROR(
  VLOOKUP(
    A245,
    IMPORTRANGE(
      ""1ZygntHC1J6IxzKbTidmOyf5nUyW4GCLurHCjexrLm_o"",
      ""HTMLキャッシュ!A:F""
    ),
    2,
    FALSE
  ),
  0
)
"),"-")</f>
        <v>-</v>
      </c>
      <c r="C245" s="1" t="str">
        <f>IFERROR(__xludf.DUMMYFUNCTION("IFERROR(
  VLOOKUP(
    A245,
    IMPORTRANGE(
      ""1ZygntHC1J6IxzKbTidmOyf5nUyW4GCLurHCjexrLm_o"",
      ""HTMLキャッシュ!A:F""
    ),
    5,
    FALSE
  ),
  0
)
"),"出版 学習法 偏差値 - 受験国語専門 読解ラボ東京 | 中学受験・大学受験対応の個別指導国語専門塾（オンライン・教室対応）")</f>
        <v>出版 学習法 偏差値 - 受験国語専門 読解ラボ東京 | 中学受験・大学受験対応の個別指導国語専門塾（オンライン・教室対応）</v>
      </c>
      <c r="D245" s="1" t="str">
        <f>IFERROR(__xludf.DUMMYFUNCTION("IFERROR(
  VLOOKUP(
    A245,
    IMPORTRANGE(
      ""1ZygntHC1J6IxzKbTidmOyf5nUyW4GCLurHCjexrLm_o        "",
      ""HTMLキャッシュ!A:F""
    ),
    6,
    FALSE
  ),
  0
)
"),"出版　学習法　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出版　学習法　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5" s="32">
        <f>IFERROR(__xludf.DUMMYFUNCTION("IFERROR(
  VLOOKUP(
    A245,
    IMPORTRANGE(
      ""1ZygntHC1J6IxzKbTidmOyf5nUyW4GCLurHCjexrLm_o        "",
      ""HTMLキャッシュ!A:F""
    ),
    3,
    FALSE
  ),
  0
)
"),25569.375)</f>
        <v>25569.375</v>
      </c>
      <c r="F245" s="49">
        <f>IFERROR(__xludf.DUMMYFUNCTION("IFERROR(
  VLOOKUP(
    A245,
    IMPORTRANGE(
      ""1ZHMy3vVUd_0MrSduXTe1etBb1HNpAlGwQr006ljwMiM"",
      ""GSC最新!A:F""
    ),
    2,
    FALSE
  ),
  0
)
"),0.0)</f>
        <v>0</v>
      </c>
      <c r="G245" s="49">
        <f>IFERROR(__xludf.DUMMYFUNCTION("IFERROR(
  VLOOKUP(
    A245,
    IMPORTRANGE(
      ""1ZHMy3vVUd_0MrSduXTe1etBb1HNpAlGwQr006ljwMiM"",
      ""GSC最新!A:F""
    ),
    3,
    FALSE
  ),
  0
)
"),0.0)</f>
        <v>0</v>
      </c>
      <c r="H245" s="49">
        <f>IFERROR(__xludf.DUMMYFUNCTION("IFERROR(
  VLOOKUP(
    A245,
    IMPORTRANGE(
      ""1ZHMy3vVUd_0MrSduXTe1etBb1HNpAlGwQr006ljwMiM"",
      ""GSC最新!A:F""
    ),
    4,
    FALSE
  ),
  0
)
"),0.0)</f>
        <v>0</v>
      </c>
      <c r="I245" s="49">
        <f>IFERROR(__xludf.DUMMYFUNCTION("IFERROR(
  VLOOKUP(
    A245,
    IMPORTRANGE(
      ""1ZHMy3vVUd_0MrSduXTe1etBb1HNpAlGwQr006ljwMiM"",
      ""GSC最新!A:F""
    ),
    5,
    FALSE
  ),
  0
)
"),0.0)</f>
        <v>0</v>
      </c>
      <c r="J245" s="50" t="str">
        <f t="shared" ref="J245:K245" si="1216">IFERROR(F245/H245,"-")</f>
        <v>-</v>
      </c>
      <c r="K245" s="50" t="str">
        <f t="shared" si="1216"/>
        <v>-</v>
      </c>
      <c r="L245" s="6">
        <f>IFERROR(__xludf.DUMMYFUNCTION("IFERROR(
  VLOOKUP(
    A245,
    IMPORTRANGE(
      ""1ZHMy3vVUd_0MrSduXTe1etBb1HNpAlGwQr006ljwMiM"",
      ""GSC最新!A:R""
    ),
    7,
    FALSE
  ),
  0
)
"),0.0)</f>
        <v>0</v>
      </c>
      <c r="M245" s="6">
        <f>IFERROR(__xludf.DUMMYFUNCTION("IFERROR(
  VLOOKUP(
    A245,
    IMPORTRANGE(
      ""1ZHMy3vVUd_0MrSduXTe1etBb1HNpAlGwQr006ljwMiM"",
      ""GSC最新!A:R""
    ),
    10,
    FALSE
  ),
  0
)
"),0.0)</f>
        <v>0</v>
      </c>
      <c r="N245" s="6">
        <f>IFERROR(__xludf.DUMMYFUNCTION("IFERROR(
  VLOOKUP(
    A245,
    IMPORTRANGE(
      ""1ZHMy3vVUd_0MrSduXTe1etBb1HNpAlGwQr006ljwMiM"",
      ""GSC最新!A:R""
    ),
    13,
    FALSE
  ),
  0
)
"),0.0)</f>
        <v>0</v>
      </c>
      <c r="O245" s="6">
        <f>IFERROR(__xludf.DUMMYFUNCTION("IFERROR(
  VLOOKUP(
    A245,
    IMPORTRANGE(
      ""1ZHMy3vVUd_0MrSduXTe1etBb1HNpAlGwQr006ljwMiM"",
      ""GSC最新!A:R""
    ),
    16,
    FALSE
  ),
  0
)
"),0.0)</f>
        <v>0</v>
      </c>
      <c r="P245" s="51" t="str">
        <f t="shared" ref="P245:Q245" si="1217">IFERROR(L245/N245,"-")</f>
        <v>-</v>
      </c>
      <c r="Q245" s="51" t="str">
        <f t="shared" si="1217"/>
        <v>-</v>
      </c>
      <c r="R245" s="9">
        <f>IFERROR(__xludf.DUMMYFUNCTION("IFERROR(
  VLOOKUP(
    A245,
    IMPORTRANGE(
      ""1ZHMy3vVUd_0MrSduXTe1etBb1HNpAlGwQr006ljwMiM"",
      ""GSC最新!A:R""
    ),
    8,
    FALSE
  ),
  0
)
"),0.0)</f>
        <v>0</v>
      </c>
      <c r="S245" s="9">
        <f>IFERROR(__xludf.DUMMYFUNCTION("IFERROR(
  VLOOKUP(
    A245,
    IMPORTRANGE(
      ""1ZHMy3vVUd_0MrSduXTe1etBb1HNpAlGwQr006ljwMiM"",
      ""GSC最新!A:R""
    ),
    11,
    FALSE
  ),
  0
)
"),0.0)</f>
        <v>0</v>
      </c>
      <c r="T245" s="9">
        <f>IFERROR(__xludf.DUMMYFUNCTION("IFERROR(
  VLOOKUP(
    A245,
    IMPORTRANGE(
      ""1ZHMy3vVUd_0MrSduXTe1etBb1HNpAlGwQr006ljwMiM"",
      ""GSC最新!A:R""
    ),
    14,
    FALSE
  ),
  0
)
"),0.0)</f>
        <v>0</v>
      </c>
      <c r="U245" s="9">
        <f>IFERROR(__xludf.DUMMYFUNCTION("IFERROR(
  VLOOKUP(
    A245,
    IMPORTRANGE(
      ""1ZHMy3vVUd_0MrSduXTe1etBb1HNpAlGwQr006ljwMiM"",
      ""GSC最新!A:R""
    ),
    17,
    FALSE
  ),
  0
)
"),0.0)</f>
        <v>0</v>
      </c>
      <c r="V245" s="9">
        <f t="shared" ref="V245:W245" si="1218">IFERROR(R245-T245,"-")</f>
        <v>0</v>
      </c>
      <c r="W245" s="9">
        <f t="shared" si="1218"/>
        <v>0</v>
      </c>
      <c r="X245" s="65" t="str">
        <f>IFERROR(__xludf.DUMMYFUNCTION("IFERROR(
  VLOOKUP(
    A245,
    IMPORTRANGE(
      ""1ZHMy3vVUd_0MrSduXTe1etBb1HNpAlGwQr006ljwMiM"",
      ""GSC最新!A:R""
    ),
    9,
    FALSE
  ),
  0
)
"),"")</f>
        <v/>
      </c>
      <c r="Y245" s="65" t="str">
        <f>IFERROR(__xludf.DUMMYFUNCTION("IFERROR(
  VLOOKUP(
    A245,
    IMPORTRANGE(
      ""1ZHMy3vVUd_0MrSduXTe1etBb1HNpAlGwQr006ljwMiM"",
      ""GSC最新!A:R""
    ),
    12,
    FALSE
  ),
  0
)
"),"")</f>
        <v/>
      </c>
      <c r="Z245" s="65" t="str">
        <f>IFERROR(__xludf.DUMMYFUNCTION("IFERROR(
  VLOOKUP(
    A245,
    IMPORTRANGE(
      ""1ZHMy3vVUd_0MrSduXTe1etBb1HNpAlGwQr006ljwMiM"",
      ""GSC最新!A:R""
    ),
    15,
    FALSE
  ),
  0
)
"),"")</f>
        <v/>
      </c>
      <c r="AA245" s="65" t="str">
        <f>IFERROR(__xludf.DUMMYFUNCTION("IFERROR(
  VLOOKUP(
    A245,
    IMPORTRANGE(
      ""1ZHMy3vVUd_0MrSduXTe1etBb1HNpAlGwQr006ljwMiM"",
      ""GSC最新!A:R""
    ),
    18,
    FALSE
  ),
  0
)
"),"")</f>
        <v/>
      </c>
      <c r="AB245" s="65">
        <f t="shared" ref="AB245:AC245" si="1219">X245-Z245</f>
        <v>0</v>
      </c>
      <c r="AC245" s="65">
        <f t="shared" si="1219"/>
        <v>0</v>
      </c>
      <c r="AD245" s="53">
        <f>IFERROR(__xludf.DUMMYFUNCTION("IFERROR(
  VLOOKUP(
    A245,
    IMPORTRANGE(
      ""1ZHMy3vVUd_0MrSduXTe1etBb1HNpAlGwQr006ljwMiM"",
      ""GSC最新!A:F""
    ),
    6,
    FALSE
  ),
  0
)
"),46081.0)</f>
        <v>46081</v>
      </c>
      <c r="AE245" s="54" t="str">
        <f>IFERROR(__xludf.DUMMYFUNCTION("IFERROR(
  VLOOKUP(
    A245,
    IMPORTRANGE(
      ""1SCYQd7_cobOYqT0r_F0IqD4tE4rYn5y8Eup4PJTH8es"",
      ""Snapshot!A:M""
    ),
    5,
    FALSE
  ),
  ""-""
)
"),"-")</f>
        <v>-</v>
      </c>
      <c r="AF245" s="54">
        <f>IFERROR(__xludf.DUMMYFUNCTION("IFERROR(
  VLOOKUP(
    A245,
    IMPORTRANGE(
      ""1SCYQd7_cobOYqT0r_F0IqD4tE4rYn5y8Eup4PJTH8es"",
      ""Snapshot!A:M""
    ),
    6,
    FALSE
  ),
  0
)
"),0.0)</f>
        <v>0</v>
      </c>
      <c r="AG245" s="54">
        <f>IFERROR(__xludf.DUMMYFUNCTION("IFERROR(
  VLOOKUP(
    A245,
    IMPORTRANGE(
      ""1SCYQd7_cobOYqT0r_F0IqD4tE4rYn5y8Eup4PJTH8es"",
      ""Snapshot!A:M""
    ),
    7,
    FALSE
  ),
  0
)
"),0.0)</f>
        <v>0</v>
      </c>
      <c r="AH245" s="54">
        <f>IFERROR(__xludf.DUMMYFUNCTION("IFERROR(
  VLOOKUP(
    A245,
    IMPORTRANGE(
      ""1SCYQd7_cobOYqT0r_F0IqD4tE4rYn5y8Eup4PJTH8es"",
      ""Snapshot!A:M""
    ),
    8,
    FALSE
  ),
  0
)
"),0.0)</f>
        <v>0</v>
      </c>
      <c r="AI245" s="54">
        <f>IFERROR(__xludf.DUMMYFUNCTION("IFERROR(
  VLOOKUP(
    A245,
    IMPORTRANGE(
      ""1SCYQd7_cobOYqT0r_F0IqD4tE4rYn5y8Eup4PJTH8es"",
      ""Snapshot!A:M""
    ),
    9,
    FALSE
  ),
  0
)
"),0.0)</f>
        <v>0</v>
      </c>
      <c r="AJ245" s="54">
        <f>IFERROR(__xludf.DUMMYFUNCTION("IFERROR(
  VLOOKUP(
    A245,
    IMPORTRANGE(
      ""1SCYQd7_cobOYqT0r_F0IqD4tE4rYn5y8Eup4PJTH8es"",
      ""Snapshot!A:M""
    ),
    13,
    FALSE
  ),
  0
)
"),0.0)</f>
        <v>0</v>
      </c>
      <c r="AK245" s="49">
        <f t="shared" ref="AK245:AL245" si="1220">LEN(C245)</f>
        <v>62</v>
      </c>
      <c r="AL245" s="49">
        <f t="shared" si="1220"/>
        <v>140</v>
      </c>
    </row>
    <row r="246">
      <c r="A246" s="1" t="s">
        <v>167</v>
      </c>
      <c r="B246" s="1" t="str">
        <f>IFERROR(__xludf.DUMMYFUNCTION("IFERROR(
  VLOOKUP(
    A246,
    IMPORTRANGE(
      ""1ZygntHC1J6IxzKbTidmOyf5nUyW4GCLurHCjexrLm_o"",
      ""HTMLキャッシュ!A:F""
    ),
    2,
    FALSE
  ),
  0
)
"),"-")</f>
        <v>-</v>
      </c>
      <c r="C246" s="1" t="str">
        <f>IFERROR(__xludf.DUMMYFUNCTION("IFERROR(
  VLOOKUP(
    A246,
    IMPORTRANGE(
      ""1ZygntHC1J6IxzKbTidmOyf5nUyW4GCLurHCjexrLm_o"",
      ""HTMLキャッシュ!A:F""
    ),
    5,
    FALSE
  ),
  0
)
"),"小学生 - 受験国語専門 読解ラボ東京 | 中学受験・大学受験対応の個別指導国語専門塾（オンライン・教室対応）")</f>
        <v>小学生 - 受験国語専門 読解ラボ東京 | 中学受験・大学受験対応の個別指導国語専門塾（オンライン・教室対応）</v>
      </c>
      <c r="D246" s="1" t="str">
        <f>IFERROR(__xludf.DUMMYFUNCTION("IFERROR(
  VLOOKUP(
    A246,
    IMPORTRANGE(
      ""1ZygntHC1J6IxzKbTidmOyf5nUyW4GCLurHCjexrLm_o        "",
      ""HTMLキャッシュ!A:F""
    ),
    6,
    FALSE
  ),
  0
)
"),"小学生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小学生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6" s="32">
        <f>IFERROR(__xludf.DUMMYFUNCTION("IFERROR(
  VLOOKUP(
    A246,
    IMPORTRANGE(
      ""1ZygntHC1J6IxzKbTidmOyf5nUyW4GCLurHCjexrLm_o        "",
      ""HTMLキャッシュ!A:F""
    ),
    3,
    FALSE
  ),
  0
)
"),25569.375)</f>
        <v>25569.375</v>
      </c>
      <c r="F246" s="49">
        <f>IFERROR(__xludf.DUMMYFUNCTION("IFERROR(
  VLOOKUP(
    A246,
    IMPORTRANGE(
      ""1ZHMy3vVUd_0MrSduXTe1etBb1HNpAlGwQr006ljwMiM"",
      ""GSC最新!A:F""
    ),
    2,
    FALSE
  ),
  0
)
"),0.0)</f>
        <v>0</v>
      </c>
      <c r="G246" s="49">
        <f>IFERROR(__xludf.DUMMYFUNCTION("IFERROR(
  VLOOKUP(
    A246,
    IMPORTRANGE(
      ""1ZHMy3vVUd_0MrSduXTe1etBb1HNpAlGwQr006ljwMiM"",
      ""GSC最新!A:F""
    ),
    3,
    FALSE
  ),
  0
)
"),0.0)</f>
        <v>0</v>
      </c>
      <c r="H246" s="49">
        <f>IFERROR(__xludf.DUMMYFUNCTION("IFERROR(
  VLOOKUP(
    A246,
    IMPORTRANGE(
      ""1ZHMy3vVUd_0MrSduXTe1etBb1HNpAlGwQr006ljwMiM"",
      ""GSC最新!A:F""
    ),
    4,
    FALSE
  ),
  0
)
"),0.0)</f>
        <v>0</v>
      </c>
      <c r="I246" s="49">
        <f>IFERROR(__xludf.DUMMYFUNCTION("IFERROR(
  VLOOKUP(
    A246,
    IMPORTRANGE(
      ""1ZHMy3vVUd_0MrSduXTe1etBb1HNpAlGwQr006ljwMiM"",
      ""GSC最新!A:F""
    ),
    5,
    FALSE
  ),
  0
)
"),0.0)</f>
        <v>0</v>
      </c>
      <c r="J246" s="50" t="str">
        <f t="shared" ref="J246:K246" si="1221">IFERROR(F246/H246,"-")</f>
        <v>-</v>
      </c>
      <c r="K246" s="50" t="str">
        <f t="shared" si="1221"/>
        <v>-</v>
      </c>
      <c r="L246" s="6">
        <f>IFERROR(__xludf.DUMMYFUNCTION("IFERROR(
  VLOOKUP(
    A246,
    IMPORTRANGE(
      ""1ZHMy3vVUd_0MrSduXTe1etBb1HNpAlGwQr006ljwMiM"",
      ""GSC最新!A:R""
    ),
    7,
    FALSE
  ),
  0
)
"),0.0)</f>
        <v>0</v>
      </c>
      <c r="M246" s="6">
        <f>IFERROR(__xludf.DUMMYFUNCTION("IFERROR(
  VLOOKUP(
    A246,
    IMPORTRANGE(
      ""1ZHMy3vVUd_0MrSduXTe1etBb1HNpAlGwQr006ljwMiM"",
      ""GSC最新!A:R""
    ),
    10,
    FALSE
  ),
  0
)
"),0.0)</f>
        <v>0</v>
      </c>
      <c r="N246" s="6">
        <f>IFERROR(__xludf.DUMMYFUNCTION("IFERROR(
  VLOOKUP(
    A246,
    IMPORTRANGE(
      ""1ZHMy3vVUd_0MrSduXTe1etBb1HNpAlGwQr006ljwMiM"",
      ""GSC最新!A:R""
    ),
    13,
    FALSE
  ),
  0
)
"),0.0)</f>
        <v>0</v>
      </c>
      <c r="O246" s="6">
        <f>IFERROR(__xludf.DUMMYFUNCTION("IFERROR(
  VLOOKUP(
    A246,
    IMPORTRANGE(
      ""1ZHMy3vVUd_0MrSduXTe1etBb1HNpAlGwQr006ljwMiM"",
      ""GSC最新!A:R""
    ),
    16,
    FALSE
  ),
  0
)
"),0.0)</f>
        <v>0</v>
      </c>
      <c r="P246" s="51" t="str">
        <f t="shared" ref="P246:Q246" si="1222">IFERROR(L246/N246,"-")</f>
        <v>-</v>
      </c>
      <c r="Q246" s="51" t="str">
        <f t="shared" si="1222"/>
        <v>-</v>
      </c>
      <c r="R246" s="9">
        <f>IFERROR(__xludf.DUMMYFUNCTION("IFERROR(
  VLOOKUP(
    A246,
    IMPORTRANGE(
      ""1ZHMy3vVUd_0MrSduXTe1etBb1HNpAlGwQr006ljwMiM"",
      ""GSC最新!A:R""
    ),
    8,
    FALSE
  ),
  0
)
"),0.0)</f>
        <v>0</v>
      </c>
      <c r="S246" s="9">
        <f>IFERROR(__xludf.DUMMYFUNCTION("IFERROR(
  VLOOKUP(
    A246,
    IMPORTRANGE(
      ""1ZHMy3vVUd_0MrSduXTe1etBb1HNpAlGwQr006ljwMiM"",
      ""GSC最新!A:R""
    ),
    11,
    FALSE
  ),
  0
)
"),0.0)</f>
        <v>0</v>
      </c>
      <c r="T246" s="9">
        <f>IFERROR(__xludf.DUMMYFUNCTION("IFERROR(
  VLOOKUP(
    A246,
    IMPORTRANGE(
      ""1ZHMy3vVUd_0MrSduXTe1etBb1HNpAlGwQr006ljwMiM"",
      ""GSC最新!A:R""
    ),
    14,
    FALSE
  ),
  0
)
"),0.0)</f>
        <v>0</v>
      </c>
      <c r="U246" s="9">
        <f>IFERROR(__xludf.DUMMYFUNCTION("IFERROR(
  VLOOKUP(
    A246,
    IMPORTRANGE(
      ""1ZHMy3vVUd_0MrSduXTe1etBb1HNpAlGwQr006ljwMiM"",
      ""GSC最新!A:R""
    ),
    17,
    FALSE
  ),
  0
)
"),0.0)</f>
        <v>0</v>
      </c>
      <c r="V246" s="9">
        <f t="shared" ref="V246:W246" si="1223">IFERROR(R246-T246,"-")</f>
        <v>0</v>
      </c>
      <c r="W246" s="9">
        <f t="shared" si="1223"/>
        <v>0</v>
      </c>
      <c r="X246" s="65" t="str">
        <f>IFERROR(__xludf.DUMMYFUNCTION("IFERROR(
  VLOOKUP(
    A246,
    IMPORTRANGE(
      ""1ZHMy3vVUd_0MrSduXTe1etBb1HNpAlGwQr006ljwMiM"",
      ""GSC最新!A:R""
    ),
    9,
    FALSE
  ),
  0
)
"),"")</f>
        <v/>
      </c>
      <c r="Y246" s="65" t="str">
        <f>IFERROR(__xludf.DUMMYFUNCTION("IFERROR(
  VLOOKUP(
    A246,
    IMPORTRANGE(
      ""1ZHMy3vVUd_0MrSduXTe1etBb1HNpAlGwQr006ljwMiM"",
      ""GSC最新!A:R""
    ),
    12,
    FALSE
  ),
  0
)
"),"")</f>
        <v/>
      </c>
      <c r="Z246" s="65" t="str">
        <f>IFERROR(__xludf.DUMMYFUNCTION("IFERROR(
  VLOOKUP(
    A246,
    IMPORTRANGE(
      ""1ZHMy3vVUd_0MrSduXTe1etBb1HNpAlGwQr006ljwMiM"",
      ""GSC最新!A:R""
    ),
    15,
    FALSE
  ),
  0
)
"),"")</f>
        <v/>
      </c>
      <c r="AA246" s="65" t="str">
        <f>IFERROR(__xludf.DUMMYFUNCTION("IFERROR(
  VLOOKUP(
    A246,
    IMPORTRANGE(
      ""1ZHMy3vVUd_0MrSduXTe1etBb1HNpAlGwQr006ljwMiM"",
      ""GSC最新!A:R""
    ),
    18,
    FALSE
  ),
  0
)
"),"")</f>
        <v/>
      </c>
      <c r="AB246" s="65">
        <f t="shared" ref="AB246:AC246" si="1224">X246-Z246</f>
        <v>0</v>
      </c>
      <c r="AC246" s="65">
        <f t="shared" si="1224"/>
        <v>0</v>
      </c>
      <c r="AD246" s="53">
        <f>IFERROR(__xludf.DUMMYFUNCTION("IFERROR(
  VLOOKUP(
    A246,
    IMPORTRANGE(
      ""1ZHMy3vVUd_0MrSduXTe1etBb1HNpAlGwQr006ljwMiM"",
      ""GSC最新!A:F""
    ),
    6,
    FALSE
  ),
  0
)
"),46081.0)</f>
        <v>46081</v>
      </c>
      <c r="AE246" s="54">
        <f>IFERROR(__xludf.DUMMYFUNCTION("IFERROR(
  VLOOKUP(
    A246,
    IMPORTRANGE(
      ""1SCYQd7_cobOYqT0r_F0IqD4tE4rYn5y8Eup4PJTH8es"",
      ""Snapshot!A:M""
    ),
    5,
    FALSE
  ),
  ""-""
)
"),0.0)</f>
        <v>0</v>
      </c>
      <c r="AF246" s="54">
        <f>IFERROR(__xludf.DUMMYFUNCTION("IFERROR(
  VLOOKUP(
    A246,
    IMPORTRANGE(
      ""1SCYQd7_cobOYqT0r_F0IqD4tE4rYn5y8Eup4PJTH8es"",
      ""Snapshot!A:M""
    ),
    6,
    FALSE
  ),
  0
)
"),0.0)</f>
        <v>0</v>
      </c>
      <c r="AG246" s="54">
        <f>IFERROR(__xludf.DUMMYFUNCTION("IFERROR(
  VLOOKUP(
    A246,
    IMPORTRANGE(
      ""1SCYQd7_cobOYqT0r_F0IqD4tE4rYn5y8Eup4PJTH8es"",
      ""Snapshot!A:M""
    ),
    7,
    FALSE
  ),
  0
)
"),0.0)</f>
        <v>0</v>
      </c>
      <c r="AH246" s="54">
        <f>IFERROR(__xludf.DUMMYFUNCTION("IFERROR(
  VLOOKUP(
    A246,
    IMPORTRANGE(
      ""1SCYQd7_cobOYqT0r_F0IqD4tE4rYn5y8Eup4PJTH8es"",
      ""Snapshot!A:M""
    ),
    8,
    FALSE
  ),
  0
)
"),0.0)</f>
        <v>0</v>
      </c>
      <c r="AI246" s="54">
        <f>IFERROR(__xludf.DUMMYFUNCTION("IFERROR(
  VLOOKUP(
    A246,
    IMPORTRANGE(
      ""1SCYQd7_cobOYqT0r_F0IqD4tE4rYn5y8Eup4PJTH8es"",
      ""Snapshot!A:M""
    ),
    9,
    FALSE
  ),
  0
)
"),0.0)</f>
        <v>0</v>
      </c>
      <c r="AJ246" s="54">
        <f>IFERROR(__xludf.DUMMYFUNCTION("IFERROR(
  VLOOKUP(
    A246,
    IMPORTRANGE(
      ""1SCYQd7_cobOYqT0r_F0IqD4tE4rYn5y8Eup4PJTH8es"",
      ""Snapshot!A:M""
    ),
    13,
    FALSE
  ),
  0
)
"),2.0)</f>
        <v>2</v>
      </c>
      <c r="AK246" s="49">
        <f t="shared" ref="AK246:AL246" si="1225">LEN(C246)</f>
        <v>55</v>
      </c>
      <c r="AL246" s="49">
        <f t="shared" si="1225"/>
        <v>133</v>
      </c>
    </row>
    <row r="247">
      <c r="A247" s="1" t="s">
        <v>169</v>
      </c>
      <c r="B247" s="1" t="str">
        <f>IFERROR(__xludf.DUMMYFUNCTION("IFERROR(
  VLOOKUP(
    A247,
    IMPORTRANGE(
      ""1ZygntHC1J6IxzKbTidmOyf5nUyW4GCLurHCjexrLm_o"",
      ""HTMLキャッシュ!A:F""
    ),
    2,
    FALSE
  ),
  0
)
"),"-")</f>
        <v>-</v>
      </c>
      <c r="C247" s="1" t="str">
        <f>IFERROR(__xludf.DUMMYFUNCTION("IFERROR(
  VLOOKUP(
    A247,
    IMPORTRANGE(
      ""1ZygntHC1J6IxzKbTidmOyf5nUyW4GCLurHCjexrLm_o"",
      ""HTMLキャッシュ!A:F""
    ),
    5,
    FALSE
  ),
  0
)
"),"中学受験 - 受験国語専門 読解ラボ東京 | 中学受験・大学受験対応の個別指導国語専門塾（オンライン・教室対応）")</f>
        <v>中学受験 - 受験国語専門 読解ラボ東京 | 中学受験・大学受験対応の個別指導国語専門塾（オンライン・教室対応）</v>
      </c>
      <c r="D247" s="1" t="str">
        <f>IFERROR(__xludf.DUMMYFUNCTION("IFERROR(
  VLOOKUP(
    A247,
    IMPORTRANGE(
      ""1ZygntHC1J6IxzKbTidmOyf5nUyW4GCLurHCjexrLm_o        "",
      ""HTMLキャッシュ!A:F""
    ),
    6,
    FALSE
  ),
  0
)
"),"中学受験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中学受験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7" s="32">
        <f>IFERROR(__xludf.DUMMYFUNCTION("IFERROR(
  VLOOKUP(
    A247,
    IMPORTRANGE(
      ""1ZygntHC1J6IxzKbTidmOyf5nUyW4GCLurHCjexrLm_o        "",
      ""HTMLキャッシュ!A:F""
    ),
    3,
    FALSE
  ),
  0
)
"),25569.375)</f>
        <v>25569.375</v>
      </c>
      <c r="F247" s="49">
        <f>IFERROR(__xludf.DUMMYFUNCTION("IFERROR(
  VLOOKUP(
    A247,
    IMPORTRANGE(
      ""1ZHMy3vVUd_0MrSduXTe1etBb1HNpAlGwQr006ljwMiM"",
      ""GSC最新!A:F""
    ),
    2,
    FALSE
  ),
  0
)
"),0.0)</f>
        <v>0</v>
      </c>
      <c r="G247" s="49">
        <f>IFERROR(__xludf.DUMMYFUNCTION("IFERROR(
  VLOOKUP(
    A247,
    IMPORTRANGE(
      ""1ZHMy3vVUd_0MrSduXTe1etBb1HNpAlGwQr006ljwMiM"",
      ""GSC最新!A:F""
    ),
    3,
    FALSE
  ),
  0
)
"),0.0)</f>
        <v>0</v>
      </c>
      <c r="H247" s="49">
        <f>IFERROR(__xludf.DUMMYFUNCTION("IFERROR(
  VLOOKUP(
    A247,
    IMPORTRANGE(
      ""1ZHMy3vVUd_0MrSduXTe1etBb1HNpAlGwQr006ljwMiM"",
      ""GSC最新!A:F""
    ),
    4,
    FALSE
  ),
  0
)
"),0.0)</f>
        <v>0</v>
      </c>
      <c r="I247" s="49">
        <f>IFERROR(__xludf.DUMMYFUNCTION("IFERROR(
  VLOOKUP(
    A247,
    IMPORTRANGE(
      ""1ZHMy3vVUd_0MrSduXTe1etBb1HNpAlGwQr006ljwMiM"",
      ""GSC最新!A:F""
    ),
    5,
    FALSE
  ),
  0
)
"),0.0)</f>
        <v>0</v>
      </c>
      <c r="J247" s="50" t="str">
        <f t="shared" ref="J247:K247" si="1226">IFERROR(F247/H247,"-")</f>
        <v>-</v>
      </c>
      <c r="K247" s="50" t="str">
        <f t="shared" si="1226"/>
        <v>-</v>
      </c>
      <c r="L247" s="6">
        <f>IFERROR(__xludf.DUMMYFUNCTION("IFERROR(
  VLOOKUP(
    A247,
    IMPORTRANGE(
      ""1ZHMy3vVUd_0MrSduXTe1etBb1HNpAlGwQr006ljwMiM"",
      ""GSC最新!A:R""
    ),
    7,
    FALSE
  ),
  0
)
"),0.0)</f>
        <v>0</v>
      </c>
      <c r="M247" s="6">
        <f>IFERROR(__xludf.DUMMYFUNCTION("IFERROR(
  VLOOKUP(
    A247,
    IMPORTRANGE(
      ""1ZHMy3vVUd_0MrSduXTe1etBb1HNpAlGwQr006ljwMiM"",
      ""GSC最新!A:R""
    ),
    10,
    FALSE
  ),
  0
)
"),0.0)</f>
        <v>0</v>
      </c>
      <c r="N247" s="6">
        <f>IFERROR(__xludf.DUMMYFUNCTION("IFERROR(
  VLOOKUP(
    A247,
    IMPORTRANGE(
      ""1ZHMy3vVUd_0MrSduXTe1etBb1HNpAlGwQr006ljwMiM"",
      ""GSC最新!A:R""
    ),
    13,
    FALSE
  ),
  0
)
"),0.0)</f>
        <v>0</v>
      </c>
      <c r="O247" s="6">
        <f>IFERROR(__xludf.DUMMYFUNCTION("IFERROR(
  VLOOKUP(
    A247,
    IMPORTRANGE(
      ""1ZHMy3vVUd_0MrSduXTe1etBb1HNpAlGwQr006ljwMiM"",
      ""GSC最新!A:R""
    ),
    16,
    FALSE
  ),
  0
)
"),0.0)</f>
        <v>0</v>
      </c>
      <c r="P247" s="51" t="str">
        <f t="shared" ref="P247:Q247" si="1227">IFERROR(L247/N247,"-")</f>
        <v>-</v>
      </c>
      <c r="Q247" s="51" t="str">
        <f t="shared" si="1227"/>
        <v>-</v>
      </c>
      <c r="R247" s="9">
        <f>IFERROR(__xludf.DUMMYFUNCTION("IFERROR(
  VLOOKUP(
    A247,
    IMPORTRANGE(
      ""1ZHMy3vVUd_0MrSduXTe1etBb1HNpAlGwQr006ljwMiM"",
      ""GSC最新!A:R""
    ),
    8,
    FALSE
  ),
  0
)
"),0.0)</f>
        <v>0</v>
      </c>
      <c r="S247" s="9">
        <f>IFERROR(__xludf.DUMMYFUNCTION("IFERROR(
  VLOOKUP(
    A247,
    IMPORTRANGE(
      ""1ZHMy3vVUd_0MrSduXTe1etBb1HNpAlGwQr006ljwMiM"",
      ""GSC最新!A:R""
    ),
    11,
    FALSE
  ),
  0
)
"),0.0)</f>
        <v>0</v>
      </c>
      <c r="T247" s="9">
        <f>IFERROR(__xludf.DUMMYFUNCTION("IFERROR(
  VLOOKUP(
    A247,
    IMPORTRANGE(
      ""1ZHMy3vVUd_0MrSduXTe1etBb1HNpAlGwQr006ljwMiM"",
      ""GSC最新!A:R""
    ),
    14,
    FALSE
  ),
  0
)
"),0.0)</f>
        <v>0</v>
      </c>
      <c r="U247" s="9">
        <f>IFERROR(__xludf.DUMMYFUNCTION("IFERROR(
  VLOOKUP(
    A247,
    IMPORTRANGE(
      ""1ZHMy3vVUd_0MrSduXTe1etBb1HNpAlGwQr006ljwMiM"",
      ""GSC最新!A:R""
    ),
    17,
    FALSE
  ),
  0
)
"),0.0)</f>
        <v>0</v>
      </c>
      <c r="V247" s="9">
        <f t="shared" ref="V247:W247" si="1228">IFERROR(R247-T247,"-")</f>
        <v>0</v>
      </c>
      <c r="W247" s="9">
        <f t="shared" si="1228"/>
        <v>0</v>
      </c>
      <c r="X247" s="65" t="str">
        <f>IFERROR(__xludf.DUMMYFUNCTION("IFERROR(
  VLOOKUP(
    A247,
    IMPORTRANGE(
      ""1ZHMy3vVUd_0MrSduXTe1etBb1HNpAlGwQr006ljwMiM"",
      ""GSC最新!A:R""
    ),
    9,
    FALSE
  ),
  0
)
"),"")</f>
        <v/>
      </c>
      <c r="Y247" s="65" t="str">
        <f>IFERROR(__xludf.DUMMYFUNCTION("IFERROR(
  VLOOKUP(
    A247,
    IMPORTRANGE(
      ""1ZHMy3vVUd_0MrSduXTe1etBb1HNpAlGwQr006ljwMiM"",
      ""GSC最新!A:R""
    ),
    12,
    FALSE
  ),
  0
)
"),"")</f>
        <v/>
      </c>
      <c r="Z247" s="65" t="str">
        <f>IFERROR(__xludf.DUMMYFUNCTION("IFERROR(
  VLOOKUP(
    A247,
    IMPORTRANGE(
      ""1ZHMy3vVUd_0MrSduXTe1etBb1HNpAlGwQr006ljwMiM"",
      ""GSC最新!A:R""
    ),
    15,
    FALSE
  ),
  0
)
"),"")</f>
        <v/>
      </c>
      <c r="AA247" s="65" t="str">
        <f>IFERROR(__xludf.DUMMYFUNCTION("IFERROR(
  VLOOKUP(
    A247,
    IMPORTRANGE(
      ""1ZHMy3vVUd_0MrSduXTe1etBb1HNpAlGwQr006ljwMiM"",
      ""GSC最新!A:R""
    ),
    18,
    FALSE
  ),
  0
)
"),"")</f>
        <v/>
      </c>
      <c r="AB247" s="65">
        <f t="shared" ref="AB247:AC247" si="1229">X247-Z247</f>
        <v>0</v>
      </c>
      <c r="AC247" s="65">
        <f t="shared" si="1229"/>
        <v>0</v>
      </c>
      <c r="AD247" s="53">
        <f>IFERROR(__xludf.DUMMYFUNCTION("IFERROR(
  VLOOKUP(
    A247,
    IMPORTRANGE(
      ""1ZHMy3vVUd_0MrSduXTe1etBb1HNpAlGwQr006ljwMiM"",
      ""GSC最新!A:F""
    ),
    6,
    FALSE
  ),
  0
)
"),46081.0)</f>
        <v>46081</v>
      </c>
      <c r="AE247" s="54">
        <f>IFERROR(__xludf.DUMMYFUNCTION("IFERROR(
  VLOOKUP(
    A247,
    IMPORTRANGE(
      ""1SCYQd7_cobOYqT0r_F0IqD4tE4rYn5y8Eup4PJTH8es"",
      ""Snapshot!A:M""
    ),
    5,
    FALSE
  ),
  ""-""
)
"),0.0)</f>
        <v>0</v>
      </c>
      <c r="AF247" s="54">
        <f>IFERROR(__xludf.DUMMYFUNCTION("IFERROR(
  VLOOKUP(
    A247,
    IMPORTRANGE(
      ""1SCYQd7_cobOYqT0r_F0IqD4tE4rYn5y8Eup4PJTH8es"",
      ""Snapshot!A:M""
    ),
    6,
    FALSE
  ),
  0
)
"),0.0)</f>
        <v>0</v>
      </c>
      <c r="AG247" s="54">
        <f>IFERROR(__xludf.DUMMYFUNCTION("IFERROR(
  VLOOKUP(
    A247,
    IMPORTRANGE(
      ""1SCYQd7_cobOYqT0r_F0IqD4tE4rYn5y8Eup4PJTH8es"",
      ""Snapshot!A:M""
    ),
    7,
    FALSE
  ),
  0
)
"),0.0)</f>
        <v>0</v>
      </c>
      <c r="AH247" s="54">
        <f>IFERROR(__xludf.DUMMYFUNCTION("IFERROR(
  VLOOKUP(
    A247,
    IMPORTRANGE(
      ""1SCYQd7_cobOYqT0r_F0IqD4tE4rYn5y8Eup4PJTH8es"",
      ""Snapshot!A:M""
    ),
    8,
    FALSE
  ),
  0
)
"),0.0)</f>
        <v>0</v>
      </c>
      <c r="AI247" s="54">
        <f>IFERROR(__xludf.DUMMYFUNCTION("IFERROR(
  VLOOKUP(
    A247,
    IMPORTRANGE(
      ""1SCYQd7_cobOYqT0r_F0IqD4tE4rYn5y8Eup4PJTH8es"",
      ""Snapshot!A:M""
    ),
    9,
    FALSE
  ),
  0
)
"),0.0)</f>
        <v>0</v>
      </c>
      <c r="AJ247" s="54">
        <f>IFERROR(__xludf.DUMMYFUNCTION("IFERROR(
  VLOOKUP(
    A247,
    IMPORTRANGE(
      ""1SCYQd7_cobOYqT0r_F0IqD4tE4rYn5y8Eup4PJTH8es"",
      ""Snapshot!A:M""
    ),
    13,
    FALSE
  ),
  0
)
"),2.0)</f>
        <v>2</v>
      </c>
      <c r="AK247" s="49">
        <f t="shared" ref="AK247:AL247" si="1230">LEN(C247)</f>
        <v>56</v>
      </c>
      <c r="AL247" s="49">
        <f t="shared" si="1230"/>
        <v>134</v>
      </c>
    </row>
    <row r="248">
      <c r="A248" s="1" t="s">
        <v>171</v>
      </c>
      <c r="B248" s="1" t="str">
        <f>IFERROR(__xludf.DUMMYFUNCTION("IFERROR(
  VLOOKUP(
    A248,
    IMPORTRANGE(
      ""1ZygntHC1J6IxzKbTidmOyf5nUyW4GCLurHCjexrLm_o"",
      ""HTMLキャッシュ!A:F""
    ),
    2,
    FALSE
  ),
  0
)
"),"-")</f>
        <v>-</v>
      </c>
      <c r="C248" s="1" t="str">
        <f>IFERROR(__xludf.DUMMYFUNCTION("IFERROR(
  VLOOKUP(
    A248,
    IMPORTRANGE(
      ""1ZygntHC1J6IxzKbTidmOyf5nUyW4GCLurHCjexrLm_o"",
      ""HTMLキャッシュ!A:F""
    ),
    5,
    FALSE
  ),
  0
)
"),"長文読解 - 受験国語専門 読解ラボ東京 | 中学受験・大学受験対応の個別指導国語専門塾（オンライン・教室対応）")</f>
        <v>長文読解 - 受験国語専門 読解ラボ東京 | 中学受験・大学受験対応の個別指導国語専門塾（オンライン・教室対応）</v>
      </c>
      <c r="D248" s="1" t="str">
        <f>IFERROR(__xludf.DUMMYFUNCTION("IFERROR(
  VLOOKUP(
    A248,
    IMPORTRANGE(
      ""1ZygntHC1J6IxzKbTidmOyf5nUyW4GCLurHCjexrLm_o        "",
      ""HTMLキャッシュ!A:F""
    ),
    6,
    FALSE
  ),
  0
)
"),"長文読解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長文読解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8" s="32">
        <f>IFERROR(__xludf.DUMMYFUNCTION("IFERROR(
  VLOOKUP(
    A248,
    IMPORTRANGE(
      ""1ZygntHC1J6IxzKbTidmOyf5nUyW4GCLurHCjexrLm_o        "",
      ""HTMLキャッシュ!A:F""
    ),
    3,
    FALSE
  ),
  0
)
"),25569.375)</f>
        <v>25569.375</v>
      </c>
      <c r="F248" s="49">
        <f>IFERROR(__xludf.DUMMYFUNCTION("IFERROR(
  VLOOKUP(
    A248,
    IMPORTRANGE(
      ""1ZHMy3vVUd_0MrSduXTe1etBb1HNpAlGwQr006ljwMiM"",
      ""GSC最新!A:F""
    ),
    2,
    FALSE
  ),
  0
)
"),0.0)</f>
        <v>0</v>
      </c>
      <c r="G248" s="49">
        <f>IFERROR(__xludf.DUMMYFUNCTION("IFERROR(
  VLOOKUP(
    A248,
    IMPORTRANGE(
      ""1ZHMy3vVUd_0MrSduXTe1etBb1HNpAlGwQr006ljwMiM"",
      ""GSC最新!A:F""
    ),
    3,
    FALSE
  ),
  0
)
"),0.0)</f>
        <v>0</v>
      </c>
      <c r="H248" s="49">
        <f>IFERROR(__xludf.DUMMYFUNCTION("IFERROR(
  VLOOKUP(
    A248,
    IMPORTRANGE(
      ""1ZHMy3vVUd_0MrSduXTe1etBb1HNpAlGwQr006ljwMiM"",
      ""GSC最新!A:F""
    ),
    4,
    FALSE
  ),
  0
)
"),0.0)</f>
        <v>0</v>
      </c>
      <c r="I248" s="49">
        <f>IFERROR(__xludf.DUMMYFUNCTION("IFERROR(
  VLOOKUP(
    A248,
    IMPORTRANGE(
      ""1ZHMy3vVUd_0MrSduXTe1etBb1HNpAlGwQr006ljwMiM"",
      ""GSC最新!A:F""
    ),
    5,
    FALSE
  ),
  0
)
"),0.0)</f>
        <v>0</v>
      </c>
      <c r="J248" s="50" t="str">
        <f t="shared" ref="J248:K248" si="1231">IFERROR(F248/H248,"-")</f>
        <v>-</v>
      </c>
      <c r="K248" s="50" t="str">
        <f t="shared" si="1231"/>
        <v>-</v>
      </c>
      <c r="L248" s="6">
        <f>IFERROR(__xludf.DUMMYFUNCTION("IFERROR(
  VLOOKUP(
    A248,
    IMPORTRANGE(
      ""1ZHMy3vVUd_0MrSduXTe1etBb1HNpAlGwQr006ljwMiM"",
      ""GSC最新!A:R""
    ),
    7,
    FALSE
  ),
  0
)
"),0.0)</f>
        <v>0</v>
      </c>
      <c r="M248" s="6">
        <f>IFERROR(__xludf.DUMMYFUNCTION("IFERROR(
  VLOOKUP(
    A248,
    IMPORTRANGE(
      ""1ZHMy3vVUd_0MrSduXTe1etBb1HNpAlGwQr006ljwMiM"",
      ""GSC最新!A:R""
    ),
    10,
    FALSE
  ),
  0
)
"),1.0)</f>
        <v>1</v>
      </c>
      <c r="N248" s="6">
        <f>IFERROR(__xludf.DUMMYFUNCTION("IFERROR(
  VLOOKUP(
    A248,
    IMPORTRANGE(
      ""1ZHMy3vVUd_0MrSduXTe1etBb1HNpAlGwQr006ljwMiM"",
      ""GSC最新!A:R""
    ),
    13,
    FALSE
  ),
  0
)
"),0.0)</f>
        <v>0</v>
      </c>
      <c r="O248" s="6">
        <f>IFERROR(__xludf.DUMMYFUNCTION("IFERROR(
  VLOOKUP(
    A248,
    IMPORTRANGE(
      ""1ZHMy3vVUd_0MrSduXTe1etBb1HNpAlGwQr006ljwMiM"",
      ""GSC最新!A:R""
    ),
    16,
    FALSE
  ),
  0
)
"),0.0)</f>
        <v>0</v>
      </c>
      <c r="P248" s="51" t="str">
        <f t="shared" ref="P248:Q248" si="1232">IFERROR(L248/N248,"-")</f>
        <v>-</v>
      </c>
      <c r="Q248" s="51" t="str">
        <f t="shared" si="1232"/>
        <v>-</v>
      </c>
      <c r="R248" s="9">
        <f>IFERROR(__xludf.DUMMYFUNCTION("IFERROR(
  VLOOKUP(
    A248,
    IMPORTRANGE(
      ""1ZHMy3vVUd_0MrSduXTe1etBb1HNpAlGwQr006ljwMiM"",
      ""GSC最新!A:R""
    ),
    8,
    FALSE
  ),
  0
)
"),0.0)</f>
        <v>0</v>
      </c>
      <c r="S248" s="9">
        <f>IFERROR(__xludf.DUMMYFUNCTION("IFERROR(
  VLOOKUP(
    A248,
    IMPORTRANGE(
      ""1ZHMy3vVUd_0MrSduXTe1etBb1HNpAlGwQr006ljwMiM"",
      ""GSC最新!A:R""
    ),
    11,
    FALSE
  ),
  0
)
"),0.0)</f>
        <v>0</v>
      </c>
      <c r="T248" s="9">
        <f>IFERROR(__xludf.DUMMYFUNCTION("IFERROR(
  VLOOKUP(
    A248,
    IMPORTRANGE(
      ""1ZHMy3vVUd_0MrSduXTe1etBb1HNpAlGwQr006ljwMiM"",
      ""GSC最新!A:R""
    ),
    14,
    FALSE
  ),
  0
)
"),0.0)</f>
        <v>0</v>
      </c>
      <c r="U248" s="9">
        <f>IFERROR(__xludf.DUMMYFUNCTION("IFERROR(
  VLOOKUP(
    A248,
    IMPORTRANGE(
      ""1ZHMy3vVUd_0MrSduXTe1etBb1HNpAlGwQr006ljwMiM"",
      ""GSC最新!A:R""
    ),
    17,
    FALSE
  ),
  0
)
"),0.0)</f>
        <v>0</v>
      </c>
      <c r="V248" s="9">
        <f t="shared" ref="V248:W248" si="1233">IFERROR(R248-T248,"-")</f>
        <v>0</v>
      </c>
      <c r="W248" s="9">
        <f t="shared" si="1233"/>
        <v>0</v>
      </c>
      <c r="X248" s="65" t="str">
        <f>IFERROR(__xludf.DUMMYFUNCTION("IFERROR(
  VLOOKUP(
    A248,
    IMPORTRANGE(
      ""1ZHMy3vVUd_0MrSduXTe1etBb1HNpAlGwQr006ljwMiM"",
      ""GSC最新!A:R""
    ),
    9,
    FALSE
  ),
  0
)
"),"")</f>
        <v/>
      </c>
      <c r="Y248" s="65">
        <f>IFERROR(__xludf.DUMMYFUNCTION("IFERROR(
  VLOOKUP(
    A248,
    IMPORTRANGE(
      ""1ZHMy3vVUd_0MrSduXTe1etBb1HNpAlGwQr006ljwMiM"",
      ""GSC最新!A:R""
    ),
    12,
    FALSE
  ),
  0
)
"),8.0)</f>
        <v>8</v>
      </c>
      <c r="Z248" s="65" t="str">
        <f>IFERROR(__xludf.DUMMYFUNCTION("IFERROR(
  VLOOKUP(
    A248,
    IMPORTRANGE(
      ""1ZHMy3vVUd_0MrSduXTe1etBb1HNpAlGwQr006ljwMiM"",
      ""GSC最新!A:R""
    ),
    15,
    FALSE
  ),
  0
)
"),"")</f>
        <v/>
      </c>
      <c r="AA248" s="65" t="str">
        <f>IFERROR(__xludf.DUMMYFUNCTION("IFERROR(
  VLOOKUP(
    A248,
    IMPORTRANGE(
      ""1ZHMy3vVUd_0MrSduXTe1etBb1HNpAlGwQr006ljwMiM"",
      ""GSC最新!A:R""
    ),
    18,
    FALSE
  ),
  0
)
"),"")</f>
        <v/>
      </c>
      <c r="AB248" s="65">
        <f t="shared" ref="AB248:AC248" si="1234">X248-Z248</f>
        <v>0</v>
      </c>
      <c r="AC248" s="65">
        <f t="shared" si="1234"/>
        <v>8</v>
      </c>
      <c r="AD248" s="53">
        <f>IFERROR(__xludf.DUMMYFUNCTION("IFERROR(
  VLOOKUP(
    A248,
    IMPORTRANGE(
      ""1ZHMy3vVUd_0MrSduXTe1etBb1HNpAlGwQr006ljwMiM"",
      ""GSC最新!A:F""
    ),
    6,
    FALSE
  ),
  0
)
"),46081.0)</f>
        <v>46081</v>
      </c>
      <c r="AE248" s="54">
        <f>IFERROR(__xludf.DUMMYFUNCTION("IFERROR(
  VLOOKUP(
    A248,
    IMPORTRANGE(
      ""1SCYQd7_cobOYqT0r_F0IqD4tE4rYn5y8Eup4PJTH8es"",
      ""Snapshot!A:M""
    ),
    5,
    FALSE
  ),
  ""-""
)
"),0.0)</f>
        <v>0</v>
      </c>
      <c r="AF248" s="54">
        <f>IFERROR(__xludf.DUMMYFUNCTION("IFERROR(
  VLOOKUP(
    A248,
    IMPORTRANGE(
      ""1SCYQd7_cobOYqT0r_F0IqD4tE4rYn5y8Eup4PJTH8es"",
      ""Snapshot!A:M""
    ),
    6,
    FALSE
  ),
  0
)
"),0.0)</f>
        <v>0</v>
      </c>
      <c r="AG248" s="54">
        <f>IFERROR(__xludf.DUMMYFUNCTION("IFERROR(
  VLOOKUP(
    A248,
    IMPORTRANGE(
      ""1SCYQd7_cobOYqT0r_F0IqD4tE4rYn5y8Eup4PJTH8es"",
      ""Snapshot!A:M""
    ),
    7,
    FALSE
  ),
  0
)
"),0.0)</f>
        <v>0</v>
      </c>
      <c r="AH248" s="54">
        <f>IFERROR(__xludf.DUMMYFUNCTION("IFERROR(
  VLOOKUP(
    A248,
    IMPORTRANGE(
      ""1SCYQd7_cobOYqT0r_F0IqD4tE4rYn5y8Eup4PJTH8es"",
      ""Snapshot!A:M""
    ),
    8,
    FALSE
  ),
  0
)
"),0.0)</f>
        <v>0</v>
      </c>
      <c r="AI248" s="54">
        <f>IFERROR(__xludf.DUMMYFUNCTION("IFERROR(
  VLOOKUP(
    A248,
    IMPORTRANGE(
      ""1SCYQd7_cobOYqT0r_F0IqD4tE4rYn5y8Eup4PJTH8es"",
      ""Snapshot!A:M""
    ),
    9,
    FALSE
  ),
  0
)
"),0.0)</f>
        <v>0</v>
      </c>
      <c r="AJ248" s="54">
        <f>IFERROR(__xludf.DUMMYFUNCTION("IFERROR(
  VLOOKUP(
    A248,
    IMPORTRANGE(
      ""1SCYQd7_cobOYqT0r_F0IqD4tE4rYn5y8Eup4PJTH8es"",
      ""Snapshot!A:M""
    ),
    13,
    FALSE
  ),
  0
)
"),2.0)</f>
        <v>2</v>
      </c>
      <c r="AK248" s="49">
        <f t="shared" ref="AK248:AL248" si="1235">LEN(C248)</f>
        <v>56</v>
      </c>
      <c r="AL248" s="49">
        <f t="shared" si="1235"/>
        <v>134</v>
      </c>
    </row>
    <row r="249">
      <c r="A249" s="1" t="s">
        <v>173</v>
      </c>
      <c r="B249" s="1" t="str">
        <f>IFERROR(__xludf.DUMMYFUNCTION("IFERROR(
  VLOOKUP(
    A249,
    IMPORTRANGE(
      ""1ZygntHC1J6IxzKbTidmOyf5nUyW4GCLurHCjexrLm_o"",
      ""HTMLキャッシュ!A:F""
    ),
    2,
    FALSE
  ),
  0
)
"),"-")</f>
        <v>-</v>
      </c>
      <c r="C249" s="1" t="str">
        <f>IFERROR(__xludf.DUMMYFUNCTION("IFERROR(
  VLOOKUP(
    A249,
    IMPORTRANGE(
      ""1ZygntHC1J6IxzKbTidmOyf5nUyW4GCLurHCjexrLm_o"",
      ""HTMLキャッシュ!A:F""
    ),
    5,
    FALSE
  ),
  0
)
"),"文法 - 受験国語専門 読解ラボ東京 | 中学受験・大学受験対応の個別指導国語専門塾（オンライン・教室対応）")</f>
        <v>文法 - 受験国語専門 読解ラボ東京 | 中学受験・大学受験対応の個別指導国語専門塾（オンライン・教室対応）</v>
      </c>
      <c r="D249" s="1" t="str">
        <f>IFERROR(__xludf.DUMMYFUNCTION("IFERROR(
  VLOOKUP(
    A249,
    IMPORTRANGE(
      ""1ZygntHC1J6IxzKbTidmOyf5nUyW4GCLurHCjexrLm_o        "",
      ""HTMLキャッシュ!A:F""
    ),
    6,
    FALSE
  ),
  0
)
"),"文法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文法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9" s="32">
        <f>IFERROR(__xludf.DUMMYFUNCTION("IFERROR(
  VLOOKUP(
    A249,
    IMPORTRANGE(
      ""1ZygntHC1J6IxzKbTidmOyf5nUyW4GCLurHCjexrLm_o        "",
      ""HTMLキャッシュ!A:F""
    ),
    3,
    FALSE
  ),
  0
)
"),25569.375)</f>
        <v>25569.375</v>
      </c>
      <c r="F249" s="49">
        <f>IFERROR(__xludf.DUMMYFUNCTION("IFERROR(
  VLOOKUP(
    A249,
    IMPORTRANGE(
      ""1ZHMy3vVUd_0MrSduXTe1etBb1HNpAlGwQr006ljwMiM"",
      ""GSC最新!A:F""
    ),
    2,
    FALSE
  ),
  0
)
"),0.0)</f>
        <v>0</v>
      </c>
      <c r="G249" s="49">
        <f>IFERROR(__xludf.DUMMYFUNCTION("IFERROR(
  VLOOKUP(
    A249,
    IMPORTRANGE(
      ""1ZHMy3vVUd_0MrSduXTe1etBb1HNpAlGwQr006ljwMiM"",
      ""GSC最新!A:F""
    ),
    3,
    FALSE
  ),
  0
)
"),0.0)</f>
        <v>0</v>
      </c>
      <c r="H249" s="49">
        <f>IFERROR(__xludf.DUMMYFUNCTION("IFERROR(
  VLOOKUP(
    A249,
    IMPORTRANGE(
      ""1ZHMy3vVUd_0MrSduXTe1etBb1HNpAlGwQr006ljwMiM"",
      ""GSC最新!A:F""
    ),
    4,
    FALSE
  ),
  0
)
"),0.0)</f>
        <v>0</v>
      </c>
      <c r="I249" s="49">
        <f>IFERROR(__xludf.DUMMYFUNCTION("IFERROR(
  VLOOKUP(
    A249,
    IMPORTRANGE(
      ""1ZHMy3vVUd_0MrSduXTe1etBb1HNpAlGwQr006ljwMiM"",
      ""GSC最新!A:F""
    ),
    5,
    FALSE
  ),
  0
)
"),1.0)</f>
        <v>1</v>
      </c>
      <c r="J249" s="50" t="str">
        <f t="shared" ref="J249:K249" si="1236">IFERROR(F249/H249,"-")</f>
        <v>-</v>
      </c>
      <c r="K249" s="50">
        <f t="shared" si="1236"/>
        <v>0</v>
      </c>
      <c r="L249" s="6">
        <f>IFERROR(__xludf.DUMMYFUNCTION("IFERROR(
  VLOOKUP(
    A249,
    IMPORTRANGE(
      ""1ZHMy3vVUd_0MrSduXTe1etBb1HNpAlGwQr006ljwMiM"",
      ""GSC最新!A:R""
    ),
    7,
    FALSE
  ),
  0
)
"),0.0)</f>
        <v>0</v>
      </c>
      <c r="M249" s="6">
        <f>IFERROR(__xludf.DUMMYFUNCTION("IFERROR(
  VLOOKUP(
    A249,
    IMPORTRANGE(
      ""1ZHMy3vVUd_0MrSduXTe1etBb1HNpAlGwQr006ljwMiM"",
      ""GSC最新!A:R""
    ),
    10,
    FALSE
  ),
  0
)
"),0.0)</f>
        <v>0</v>
      </c>
      <c r="N249" s="6">
        <f>IFERROR(__xludf.DUMMYFUNCTION("IFERROR(
  VLOOKUP(
    A249,
    IMPORTRANGE(
      ""1ZHMy3vVUd_0MrSduXTe1etBb1HNpAlGwQr006ljwMiM"",
      ""GSC最新!A:R""
    ),
    13,
    FALSE
  ),
  0
)
"),0.0)</f>
        <v>0</v>
      </c>
      <c r="O249" s="6">
        <f>IFERROR(__xludf.DUMMYFUNCTION("IFERROR(
  VLOOKUP(
    A249,
    IMPORTRANGE(
      ""1ZHMy3vVUd_0MrSduXTe1etBb1HNpAlGwQr006ljwMiM"",
      ""GSC最新!A:R""
    ),
    16,
    FALSE
  ),
  0
)
"),4.0)</f>
        <v>4</v>
      </c>
      <c r="P249" s="51" t="str">
        <f t="shared" ref="P249:Q249" si="1237">IFERROR(L249/N249,"-")</f>
        <v>-</v>
      </c>
      <c r="Q249" s="51">
        <f t="shared" si="1237"/>
        <v>0</v>
      </c>
      <c r="R249" s="9">
        <f>IFERROR(__xludf.DUMMYFUNCTION("IFERROR(
  VLOOKUP(
    A249,
    IMPORTRANGE(
      ""1ZHMy3vVUd_0MrSduXTe1etBb1HNpAlGwQr006ljwMiM"",
      ""GSC最新!A:R""
    ),
    8,
    FALSE
  ),
  0
)
"),0.0)</f>
        <v>0</v>
      </c>
      <c r="S249" s="9">
        <f>IFERROR(__xludf.DUMMYFUNCTION("IFERROR(
  VLOOKUP(
    A249,
    IMPORTRANGE(
      ""1ZHMy3vVUd_0MrSduXTe1etBb1HNpAlGwQr006ljwMiM"",
      ""GSC最新!A:R""
    ),
    11,
    FALSE
  ),
  0
)
"),0.0)</f>
        <v>0</v>
      </c>
      <c r="T249" s="9">
        <f>IFERROR(__xludf.DUMMYFUNCTION("IFERROR(
  VLOOKUP(
    A249,
    IMPORTRANGE(
      ""1ZHMy3vVUd_0MrSduXTe1etBb1HNpAlGwQr006ljwMiM"",
      ""GSC最新!A:R""
    ),
    14,
    FALSE
  ),
  0
)
"),0.0)</f>
        <v>0</v>
      </c>
      <c r="U249" s="9">
        <f>IFERROR(__xludf.DUMMYFUNCTION("IFERROR(
  VLOOKUP(
    A249,
    IMPORTRANGE(
      ""1ZHMy3vVUd_0MrSduXTe1etBb1HNpAlGwQr006ljwMiM"",
      ""GSC最新!A:R""
    ),
    17,
    FALSE
  ),
  0
)
"),0.25)</f>
        <v>0.25</v>
      </c>
      <c r="V249" s="9">
        <f t="shared" ref="V249:W249" si="1238">IFERROR(R249-T249,"-")</f>
        <v>0</v>
      </c>
      <c r="W249" s="9">
        <f t="shared" si="1238"/>
        <v>-0.25</v>
      </c>
      <c r="X249" s="65" t="str">
        <f>IFERROR(__xludf.DUMMYFUNCTION("IFERROR(
  VLOOKUP(
    A249,
    IMPORTRANGE(
      ""1ZHMy3vVUd_0MrSduXTe1etBb1HNpAlGwQr006ljwMiM"",
      ""GSC最新!A:R""
    ),
    9,
    FALSE
  ),
  0
)
"),"")</f>
        <v/>
      </c>
      <c r="Y249" s="65" t="str">
        <f>IFERROR(__xludf.DUMMYFUNCTION("IFERROR(
  VLOOKUP(
    A249,
    IMPORTRANGE(
      ""1ZHMy3vVUd_0MrSduXTe1etBb1HNpAlGwQr006ljwMiM"",
      ""GSC最新!A:R""
    ),
    12,
    FALSE
  ),
  0
)
"),"")</f>
        <v/>
      </c>
      <c r="Z249" s="65" t="str">
        <f>IFERROR(__xludf.DUMMYFUNCTION("IFERROR(
  VLOOKUP(
    A249,
    IMPORTRANGE(
      ""1ZHMy3vVUd_0MrSduXTe1etBb1HNpAlGwQr006ljwMiM"",
      ""GSC最新!A:R""
    ),
    15,
    FALSE
  ),
  0
)
"),"")</f>
        <v/>
      </c>
      <c r="AA249" s="65">
        <f>IFERROR(__xludf.DUMMYFUNCTION("IFERROR(
  VLOOKUP(
    A249,
    IMPORTRANGE(
      ""1ZHMy3vVUd_0MrSduXTe1etBb1HNpAlGwQr006ljwMiM"",
      ""GSC最新!A:R""
    ),
    18,
    FALSE
  ),
  0
)
"),8.25)</f>
        <v>8.25</v>
      </c>
      <c r="AB249" s="65">
        <f t="shared" ref="AB249:AC249" si="1239">X249-Z249</f>
        <v>0</v>
      </c>
      <c r="AC249" s="65">
        <f t="shared" si="1239"/>
        <v>-8.25</v>
      </c>
      <c r="AD249" s="53">
        <f>IFERROR(__xludf.DUMMYFUNCTION("IFERROR(
  VLOOKUP(
    A249,
    IMPORTRANGE(
      ""1ZHMy3vVUd_0MrSduXTe1etBb1HNpAlGwQr006ljwMiM"",
      ""GSC最新!A:F""
    ),
    6,
    FALSE
  ),
  0
)
"),46081.0)</f>
        <v>46081</v>
      </c>
      <c r="AE249" s="54">
        <f>IFERROR(__xludf.DUMMYFUNCTION("IFERROR(
  VLOOKUP(
    A249,
    IMPORTRANGE(
      ""1SCYQd7_cobOYqT0r_F0IqD4tE4rYn5y8Eup4PJTH8es"",
      ""Snapshot!A:M""
    ),
    5,
    FALSE
  ),
  ""-""
)
"),0.0)</f>
        <v>0</v>
      </c>
      <c r="AF249" s="54">
        <f>IFERROR(__xludf.DUMMYFUNCTION("IFERROR(
  VLOOKUP(
    A249,
    IMPORTRANGE(
      ""1SCYQd7_cobOYqT0r_F0IqD4tE4rYn5y8Eup4PJTH8es"",
      ""Snapshot!A:M""
    ),
    6,
    FALSE
  ),
  0
)
"),0.0)</f>
        <v>0</v>
      </c>
      <c r="AG249" s="54">
        <f>IFERROR(__xludf.DUMMYFUNCTION("IFERROR(
  VLOOKUP(
    A249,
    IMPORTRANGE(
      ""1SCYQd7_cobOYqT0r_F0IqD4tE4rYn5y8Eup4PJTH8es"",
      ""Snapshot!A:M""
    ),
    7,
    FALSE
  ),
  0
)
"),0.0)</f>
        <v>0</v>
      </c>
      <c r="AH249" s="54">
        <f>IFERROR(__xludf.DUMMYFUNCTION("IFERROR(
  VLOOKUP(
    A249,
    IMPORTRANGE(
      ""1SCYQd7_cobOYqT0r_F0IqD4tE4rYn5y8Eup4PJTH8es"",
      ""Snapshot!A:M""
    ),
    8,
    FALSE
  ),
  0
)
"),0.0)</f>
        <v>0</v>
      </c>
      <c r="AI249" s="54">
        <f>IFERROR(__xludf.DUMMYFUNCTION("IFERROR(
  VLOOKUP(
    A249,
    IMPORTRANGE(
      ""1SCYQd7_cobOYqT0r_F0IqD4tE4rYn5y8Eup4PJTH8es"",
      ""Snapshot!A:M""
    ),
    9,
    FALSE
  ),
  0
)
"),0.0)</f>
        <v>0</v>
      </c>
      <c r="AJ249" s="54">
        <f>IFERROR(__xludf.DUMMYFUNCTION("IFERROR(
  VLOOKUP(
    A249,
    IMPORTRANGE(
      ""1SCYQd7_cobOYqT0r_F0IqD4tE4rYn5y8Eup4PJTH8es"",
      ""Snapshot!A:M""
    ),
    13,
    FALSE
  ),
  0
)
"),2.0)</f>
        <v>2</v>
      </c>
      <c r="AK249" s="49">
        <f t="shared" ref="AK249:AL249" si="1240">LEN(C249)</f>
        <v>54</v>
      </c>
      <c r="AL249" s="49">
        <f t="shared" si="1240"/>
        <v>132</v>
      </c>
    </row>
    <row r="250">
      <c r="A250" s="1" t="s">
        <v>175</v>
      </c>
      <c r="B250" s="1" t="str">
        <f>IFERROR(__xludf.DUMMYFUNCTION("IFERROR(
  VLOOKUP(
    A250,
    IMPORTRANGE(
      ""1ZygntHC1J6IxzKbTidmOyf5nUyW4GCLurHCjexrLm_o"",
      ""HTMLキャッシュ!A:F""
    ),
    2,
    FALSE
  ),
  0
)
"),"-")</f>
        <v>-</v>
      </c>
      <c r="C250" s="1" t="str">
        <f>IFERROR(__xludf.DUMMYFUNCTION("IFERROR(
  VLOOKUP(
    A250,
    IMPORTRANGE(
      ""1ZygntHC1J6IxzKbTidmOyf5nUyW4GCLurHCjexrLm_o"",
      ""HTMLキャッシュ!A:F""
    ),
    5,
    FALSE
  ),
  0
)
"),"偏差値 - 受験国語専門 読解ラボ東京 | 中学受験・大学受験対応の個別指導国語専門塾（オンライン・教室対応）")</f>
        <v>偏差値 - 受験国語専門 読解ラボ東京 | 中学受験・大学受験対応の個別指導国語専門塾（オンライン・教室対応）</v>
      </c>
      <c r="D250" s="1" t="str">
        <f>IFERROR(__xludf.DUMMYFUNCTION("IFERROR(
  VLOOKUP(
    A250,
    IMPORTRANGE(
      ""1ZygntHC1J6IxzKbTidmOyf5nUyW4GCLurHCjexrLm_o        "",
      ""HTMLキャッシュ!A:F""
    ),
    6,
    FALSE
  ),
  0
)
"),"偏差値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50" s="32">
        <f>IFERROR(__xludf.DUMMYFUNCTION("IFERROR(
  VLOOKUP(
    A250,
    IMPORTRANGE(
      ""1ZygntHC1J6IxzKbTidmOyf5nUyW4GCLurHCjexrLm_o        "",
      ""HTMLキャッシュ!A:F""
    ),
    3,
    FALSE
  ),
  0
)
"),25569.375)</f>
        <v>25569.375</v>
      </c>
      <c r="F250" s="49">
        <f>IFERROR(__xludf.DUMMYFUNCTION("IFERROR(
  VLOOKUP(
    A250,
    IMPORTRANGE(
      ""1ZHMy3vVUd_0MrSduXTe1etBb1HNpAlGwQr006ljwMiM"",
      ""GSC最新!A:F""
    ),
    2,
    FALSE
  ),
  0
)
"),0.0)</f>
        <v>0</v>
      </c>
      <c r="G250" s="49">
        <f>IFERROR(__xludf.DUMMYFUNCTION("IFERROR(
  VLOOKUP(
    A250,
    IMPORTRANGE(
      ""1ZHMy3vVUd_0MrSduXTe1etBb1HNpAlGwQr006ljwMiM"",
      ""GSC最新!A:F""
    ),
    3,
    FALSE
  ),
  0
)
"),0.0)</f>
        <v>0</v>
      </c>
      <c r="H250" s="49">
        <f>IFERROR(__xludf.DUMMYFUNCTION("IFERROR(
  VLOOKUP(
    A250,
    IMPORTRANGE(
      ""1ZHMy3vVUd_0MrSduXTe1etBb1HNpAlGwQr006ljwMiM"",
      ""GSC最新!A:F""
    ),
    4,
    FALSE
  ),
  0
)
"),0.0)</f>
        <v>0</v>
      </c>
      <c r="I250" s="49">
        <f>IFERROR(__xludf.DUMMYFUNCTION("IFERROR(
  VLOOKUP(
    A250,
    IMPORTRANGE(
      ""1ZHMy3vVUd_0MrSduXTe1etBb1HNpAlGwQr006ljwMiM"",
      ""GSC最新!A:F""
    ),
    5,
    FALSE
  ),
  0
)
"),0.0)</f>
        <v>0</v>
      </c>
      <c r="J250" s="50" t="str">
        <f t="shared" ref="J250:K250" si="1241">IFERROR(F250/H250,"-")</f>
        <v>-</v>
      </c>
      <c r="K250" s="50" t="str">
        <f t="shared" si="1241"/>
        <v>-</v>
      </c>
      <c r="L250" s="6">
        <f>IFERROR(__xludf.DUMMYFUNCTION("IFERROR(
  VLOOKUP(
    A250,
    IMPORTRANGE(
      ""1ZHMy3vVUd_0MrSduXTe1etBb1HNpAlGwQr006ljwMiM"",
      ""GSC最新!A:R""
    ),
    7,
    FALSE
  ),
  0
)
"),0.0)</f>
        <v>0</v>
      </c>
      <c r="M250" s="6">
        <f>IFERROR(__xludf.DUMMYFUNCTION("IFERROR(
  VLOOKUP(
    A250,
    IMPORTRANGE(
      ""1ZHMy3vVUd_0MrSduXTe1etBb1HNpAlGwQr006ljwMiM"",
      ""GSC最新!A:R""
    ),
    10,
    FALSE
  ),
  0
)
"),0.0)</f>
        <v>0</v>
      </c>
      <c r="N250" s="6">
        <f>IFERROR(__xludf.DUMMYFUNCTION("IFERROR(
  VLOOKUP(
    A250,
    IMPORTRANGE(
      ""1ZHMy3vVUd_0MrSduXTe1etBb1HNpAlGwQr006ljwMiM"",
      ""GSC最新!A:R""
    ),
    13,
    FALSE
  ),
  0
)
"),0.0)</f>
        <v>0</v>
      </c>
      <c r="O250" s="6">
        <f>IFERROR(__xludf.DUMMYFUNCTION("IFERROR(
  VLOOKUP(
    A250,
    IMPORTRANGE(
      ""1ZHMy3vVUd_0MrSduXTe1etBb1HNpAlGwQr006ljwMiM"",
      ""GSC最新!A:R""
    ),
    16,
    FALSE
  ),
  0
)
"),0.0)</f>
        <v>0</v>
      </c>
      <c r="P250" s="51" t="str">
        <f t="shared" ref="P250:Q250" si="1242">IFERROR(L250/N250,"-")</f>
        <v>-</v>
      </c>
      <c r="Q250" s="51" t="str">
        <f t="shared" si="1242"/>
        <v>-</v>
      </c>
      <c r="R250" s="9">
        <f>IFERROR(__xludf.DUMMYFUNCTION("IFERROR(
  VLOOKUP(
    A250,
    IMPORTRANGE(
      ""1ZHMy3vVUd_0MrSduXTe1etBb1HNpAlGwQr006ljwMiM"",
      ""GSC最新!A:R""
    ),
    8,
    FALSE
  ),
  0
)
"),0.0)</f>
        <v>0</v>
      </c>
      <c r="S250" s="9">
        <f>IFERROR(__xludf.DUMMYFUNCTION("IFERROR(
  VLOOKUP(
    A250,
    IMPORTRANGE(
      ""1ZHMy3vVUd_0MrSduXTe1etBb1HNpAlGwQr006ljwMiM"",
      ""GSC最新!A:R""
    ),
    11,
    FALSE
  ),
  0
)
"),0.0)</f>
        <v>0</v>
      </c>
      <c r="T250" s="9">
        <f>IFERROR(__xludf.DUMMYFUNCTION("IFERROR(
  VLOOKUP(
    A250,
    IMPORTRANGE(
      ""1ZHMy3vVUd_0MrSduXTe1etBb1HNpAlGwQr006ljwMiM"",
      ""GSC最新!A:R""
    ),
    14,
    FALSE
  ),
  0
)
"),0.0)</f>
        <v>0</v>
      </c>
      <c r="U250" s="9">
        <f>IFERROR(__xludf.DUMMYFUNCTION("IFERROR(
  VLOOKUP(
    A250,
    IMPORTRANGE(
      ""1ZHMy3vVUd_0MrSduXTe1etBb1HNpAlGwQr006ljwMiM"",
      ""GSC最新!A:R""
    ),
    17,
    FALSE
  ),
  0
)
"),0.0)</f>
        <v>0</v>
      </c>
      <c r="V250" s="9">
        <f t="shared" ref="V250:W250" si="1243">IFERROR(R250-T250,"-")</f>
        <v>0</v>
      </c>
      <c r="W250" s="9">
        <f t="shared" si="1243"/>
        <v>0</v>
      </c>
      <c r="X250" s="65" t="str">
        <f>IFERROR(__xludf.DUMMYFUNCTION("IFERROR(
  VLOOKUP(
    A250,
    IMPORTRANGE(
      ""1ZHMy3vVUd_0MrSduXTe1etBb1HNpAlGwQr006ljwMiM"",
      ""GSC最新!A:R""
    ),
    9,
    FALSE
  ),
  0
)
"),"")</f>
        <v/>
      </c>
      <c r="Y250" s="65" t="str">
        <f>IFERROR(__xludf.DUMMYFUNCTION("IFERROR(
  VLOOKUP(
    A250,
    IMPORTRANGE(
      ""1ZHMy3vVUd_0MrSduXTe1etBb1HNpAlGwQr006ljwMiM"",
      ""GSC最新!A:R""
    ),
    12,
    FALSE
  ),
  0
)
"),"")</f>
        <v/>
      </c>
      <c r="Z250" s="65" t="str">
        <f>IFERROR(__xludf.DUMMYFUNCTION("IFERROR(
  VLOOKUP(
    A250,
    IMPORTRANGE(
      ""1ZHMy3vVUd_0MrSduXTe1etBb1HNpAlGwQr006ljwMiM"",
      ""GSC最新!A:R""
    ),
    15,
    FALSE
  ),
  0
)
"),"")</f>
        <v/>
      </c>
      <c r="AA250" s="65" t="str">
        <f>IFERROR(__xludf.DUMMYFUNCTION("IFERROR(
  VLOOKUP(
    A250,
    IMPORTRANGE(
      ""1ZHMy3vVUd_0MrSduXTe1etBb1HNpAlGwQr006ljwMiM"",
      ""GSC最新!A:R""
    ),
    18,
    FALSE
  ),
  0
)
"),"")</f>
        <v/>
      </c>
      <c r="AB250" s="65">
        <f t="shared" ref="AB250:AC250" si="1244">X250-Z250</f>
        <v>0</v>
      </c>
      <c r="AC250" s="65">
        <f t="shared" si="1244"/>
        <v>0</v>
      </c>
      <c r="AD250" s="53">
        <f>IFERROR(__xludf.DUMMYFUNCTION("IFERROR(
  VLOOKUP(
    A250,
    IMPORTRANGE(
      ""1ZHMy3vVUd_0MrSduXTe1etBb1HNpAlGwQr006ljwMiM"",
      ""GSC最新!A:F""
    ),
    6,
    FALSE
  ),
  0
)
"),46081.0)</f>
        <v>46081</v>
      </c>
      <c r="AE250" s="54">
        <f>IFERROR(__xludf.DUMMYFUNCTION("IFERROR(
  VLOOKUP(
    A250,
    IMPORTRANGE(
      ""1SCYQd7_cobOYqT0r_F0IqD4tE4rYn5y8Eup4PJTH8es"",
      ""Snapshot!A:M""
    ),
    5,
    FALSE
  ),
  ""-""
)
"),0.0)</f>
        <v>0</v>
      </c>
      <c r="AF250" s="54">
        <f>IFERROR(__xludf.DUMMYFUNCTION("IFERROR(
  VLOOKUP(
    A250,
    IMPORTRANGE(
      ""1SCYQd7_cobOYqT0r_F0IqD4tE4rYn5y8Eup4PJTH8es"",
      ""Snapshot!A:M""
    ),
    6,
    FALSE
  ),
  0
)
"),0.0)</f>
        <v>0</v>
      </c>
      <c r="AG250" s="54">
        <f>IFERROR(__xludf.DUMMYFUNCTION("IFERROR(
  VLOOKUP(
    A250,
    IMPORTRANGE(
      ""1SCYQd7_cobOYqT0r_F0IqD4tE4rYn5y8Eup4PJTH8es"",
      ""Snapshot!A:M""
    ),
    7,
    FALSE
  ),
  0
)
"),0.0)</f>
        <v>0</v>
      </c>
      <c r="AH250" s="54">
        <f>IFERROR(__xludf.DUMMYFUNCTION("IFERROR(
  VLOOKUP(
    A250,
    IMPORTRANGE(
      ""1SCYQd7_cobOYqT0r_F0IqD4tE4rYn5y8Eup4PJTH8es"",
      ""Snapshot!A:M""
    ),
    8,
    FALSE
  ),
  0
)
"),0.0)</f>
        <v>0</v>
      </c>
      <c r="AI250" s="54">
        <f>IFERROR(__xludf.DUMMYFUNCTION("IFERROR(
  VLOOKUP(
    A250,
    IMPORTRANGE(
      ""1SCYQd7_cobOYqT0r_F0IqD4tE4rYn5y8Eup4PJTH8es"",
      ""Snapshot!A:M""
    ),
    9,
    FALSE
  ),
  0
)
"),0.0)</f>
        <v>0</v>
      </c>
      <c r="AJ250" s="54">
        <f>IFERROR(__xludf.DUMMYFUNCTION("IFERROR(
  VLOOKUP(
    A250,
    IMPORTRANGE(
      ""1SCYQd7_cobOYqT0r_F0IqD4tE4rYn5y8Eup4PJTH8es"",
      ""Snapshot!A:M""
    ),
    13,
    FALSE
  ),
  0
)
"),2.0)</f>
        <v>2</v>
      </c>
      <c r="AK250" s="49">
        <f t="shared" ref="AK250:AL250" si="1245">LEN(C250)</f>
        <v>55</v>
      </c>
      <c r="AL250" s="49">
        <f t="shared" si="1245"/>
        <v>133</v>
      </c>
    </row>
    <row r="251">
      <c r="A251" s="3" t="s">
        <v>712</v>
      </c>
      <c r="B251" s="1" t="str">
        <f>IFERROR(__xludf.DUMMYFUNCTION("IFERROR(
  VLOOKUP(
    A251,
    IMPORTRANGE(
      ""1ZygntHC1J6IxzKbTidmOyf5nUyW4GCLurHCjexrLm_o"",
      ""HTMLキャッシュ!A:F""
    ),
    2,
    FALSE
  ),
  0
)
"),"ST")</f>
        <v>ST</v>
      </c>
      <c r="C251" s="1" t="str">
        <f>IFERROR(__xludf.DUMMYFUNCTION("IFERROR(
  VLOOKUP(
    A251,
    IMPORTRANGE(
      ""1ZygntHC1J6IxzKbTidmOyf5nUyW4GCLurHCjexrLm_o"",
      ""HTMLキャッシュ!A:F""
    ),
    5,
    FALSE
  ),
  0
)
"),"ご面談実施可能時間帯 - 受験国語専門 読解ラボ東京 | 中学受験・大学受験対応の個別指導国語専門塾（オンライン・教室対応）")</f>
        <v>ご面談実施可能時間帯 - 受験国語専門 読解ラボ東京 | 中学受験・大学受験対応の個別指導国語専門塾（オンライン・教室対応）</v>
      </c>
      <c r="D251" s="1" t="str">
        <f>IFERROR(__xludf.DUMMYFUNCTION("IFERROR(
  VLOOKUP(
    A251,
    IMPORTRANGE(
      ""1ZygntHC1J6IxzKbTidmOyf5nUyW4GCLurHCjexrLm_o        "",
      ""HTMLキャッシュ!A:F""
    ),
    6,
    FALSE
  ),
  0
)
"),"")</f>
        <v/>
      </c>
      <c r="E251" s="32">
        <f>IFERROR(__xludf.DUMMYFUNCTION("IFERROR(
  VLOOKUP(
    A251,
    IMPORTRANGE(
      ""1ZygntHC1J6IxzKbTidmOyf5nUyW4GCLurHCjexrLm_o        "",
      ""HTMLキャッシュ!A:F""
    ),
    3,
    FALSE
  ),
  0
)
"),45979.64144675926)</f>
        <v>45979.64145</v>
      </c>
      <c r="F251" s="49">
        <f>IFERROR(__xludf.DUMMYFUNCTION("IFERROR(
  VLOOKUP(
    A251,
    IMPORTRANGE(
      ""1ZHMy3vVUd_0MrSduXTe1etBb1HNpAlGwQr006ljwMiM"",
      ""GSC最新!A:F""
    ),
    2,
    FALSE
  ),
  0
)
"),0.0)</f>
        <v>0</v>
      </c>
      <c r="G251" s="49">
        <f>IFERROR(__xludf.DUMMYFUNCTION("IFERROR(
  VLOOKUP(
    A251,
    IMPORTRANGE(
      ""1ZHMy3vVUd_0MrSduXTe1etBb1HNpAlGwQr006ljwMiM"",
      ""GSC最新!A:F""
    ),
    3,
    FALSE
  ),
  0
)
"),0.0)</f>
        <v>0</v>
      </c>
      <c r="H251" s="49">
        <f>IFERROR(__xludf.DUMMYFUNCTION("IFERROR(
  VLOOKUP(
    A251,
    IMPORTRANGE(
      ""1ZHMy3vVUd_0MrSduXTe1etBb1HNpAlGwQr006ljwMiM"",
      ""GSC最新!A:F""
    ),
    4,
    FALSE
  ),
  0
)
"),0.0)</f>
        <v>0</v>
      </c>
      <c r="I251" s="49">
        <f>IFERROR(__xludf.DUMMYFUNCTION("IFERROR(
  VLOOKUP(
    A251,
    IMPORTRANGE(
      ""1ZHMy3vVUd_0MrSduXTe1etBb1HNpAlGwQr006ljwMiM"",
      ""GSC最新!A:F""
    ),
    5,
    FALSE
  ),
  0
)
"),0.0)</f>
        <v>0</v>
      </c>
      <c r="J251" s="50" t="str">
        <f t="shared" ref="J251:K251" si="1246">IFERROR(F251/H251,"-")</f>
        <v>-</v>
      </c>
      <c r="K251" s="50" t="str">
        <f t="shared" si="1246"/>
        <v>-</v>
      </c>
      <c r="L251" s="6">
        <f>IFERROR(__xludf.DUMMYFUNCTION("IFERROR(
  VLOOKUP(
    A251,
    IMPORTRANGE(
      ""1ZHMy3vVUd_0MrSduXTe1etBb1HNpAlGwQr006ljwMiM"",
      ""GSC最新!A:R""
    ),
    7,
    FALSE
  ),
  0
)
"),1.0)</f>
        <v>1</v>
      </c>
      <c r="M251" s="6">
        <f>IFERROR(__xludf.DUMMYFUNCTION("IFERROR(
  VLOOKUP(
    A251,
    IMPORTRANGE(
      ""1ZHMy3vVUd_0MrSduXTe1etBb1HNpAlGwQr006ljwMiM"",
      ""GSC最新!A:R""
    ),
    10,
    FALSE
  ),
  0
)
"),3.0)</f>
        <v>3</v>
      </c>
      <c r="N251" s="6">
        <f>IFERROR(__xludf.DUMMYFUNCTION("IFERROR(
  VLOOKUP(
    A251,
    IMPORTRANGE(
      ""1ZHMy3vVUd_0MrSduXTe1etBb1HNpAlGwQr006ljwMiM"",
      ""GSC最新!A:R""
    ),
    13,
    FALSE
  ),
  0
)
"),1.0)</f>
        <v>1</v>
      </c>
      <c r="O251" s="6">
        <f>IFERROR(__xludf.DUMMYFUNCTION("IFERROR(
  VLOOKUP(
    A251,
    IMPORTRANGE(
      ""1ZHMy3vVUd_0MrSduXTe1etBb1HNpAlGwQr006ljwMiM"",
      ""GSC最新!A:R""
    ),
    16,
    FALSE
  ),
  0
)
"),3.0)</f>
        <v>3</v>
      </c>
      <c r="P251" s="51">
        <f t="shared" ref="P251:Q251" si="1247">IFERROR(L251/N251,"-")</f>
        <v>1</v>
      </c>
      <c r="Q251" s="51">
        <f t="shared" si="1247"/>
        <v>1</v>
      </c>
      <c r="R251" s="9">
        <f>IFERROR(__xludf.DUMMYFUNCTION("IFERROR(
  VLOOKUP(
    A251,
    IMPORTRANGE(
      ""1ZHMy3vVUd_0MrSduXTe1etBb1HNpAlGwQr006ljwMiM"",
      ""GSC最新!A:R""
    ),
    8,
    FALSE
  ),
  0
)
"),0.0)</f>
        <v>0</v>
      </c>
      <c r="S251" s="9">
        <f>IFERROR(__xludf.DUMMYFUNCTION("IFERROR(
  VLOOKUP(
    A251,
    IMPORTRANGE(
      ""1ZHMy3vVUd_0MrSduXTe1etBb1HNpAlGwQr006ljwMiM"",
      ""GSC最新!A:R""
    ),
    11,
    FALSE
  ),
  0
)
"),0.0)</f>
        <v>0</v>
      </c>
      <c r="T251" s="9">
        <f>IFERROR(__xludf.DUMMYFUNCTION("IFERROR(
  VLOOKUP(
    A251,
    IMPORTRANGE(
      ""1ZHMy3vVUd_0MrSduXTe1etBb1HNpAlGwQr006ljwMiM"",
      ""GSC最新!A:R""
    ),
    14,
    FALSE
  ),
  0
)
"),0.0)</f>
        <v>0</v>
      </c>
      <c r="U251" s="9">
        <f>IFERROR(__xludf.DUMMYFUNCTION("IFERROR(
  VLOOKUP(
    A251,
    IMPORTRANGE(
      ""1ZHMy3vVUd_0MrSduXTe1etBb1HNpAlGwQr006ljwMiM"",
      ""GSC最新!A:R""
    ),
    17,
    FALSE
  ),
  0
)
"),0.0)</f>
        <v>0</v>
      </c>
      <c r="V251" s="9">
        <f t="shared" ref="V251:W251" si="1248">IFERROR(R251-T251,"-")</f>
        <v>0</v>
      </c>
      <c r="W251" s="9">
        <f t="shared" si="1248"/>
        <v>0</v>
      </c>
      <c r="X251" s="65">
        <f>IFERROR(__xludf.DUMMYFUNCTION("IFERROR(
  VLOOKUP(
    A251,
    IMPORTRANGE(
      ""1ZHMy3vVUd_0MrSduXTe1etBb1HNpAlGwQr006ljwMiM"",
      ""GSC最新!A:R""
    ),
    9,
    FALSE
  ),
  0
)
"),13.0)</f>
        <v>13</v>
      </c>
      <c r="Y251" s="65">
        <f>IFERROR(__xludf.DUMMYFUNCTION("IFERROR(
  VLOOKUP(
    A251,
    IMPORTRANGE(
      ""1ZHMy3vVUd_0MrSduXTe1etBb1HNpAlGwQr006ljwMiM"",
      ""GSC最新!A:R""
    ),
    12,
    FALSE
  ),
  0
)
"),9.666666666666666)</f>
        <v>9.666666667</v>
      </c>
      <c r="Z251" s="65">
        <f>IFERROR(__xludf.DUMMYFUNCTION("IFERROR(
  VLOOKUP(
    A251,
    IMPORTRANGE(
      ""1ZHMy3vVUd_0MrSduXTe1etBb1HNpAlGwQr006ljwMiM"",
      ""GSC最新!A:R""
    ),
    15,
    FALSE
  ),
  0
)
"),20.0)</f>
        <v>20</v>
      </c>
      <c r="AA251" s="65">
        <f>IFERROR(__xludf.DUMMYFUNCTION("IFERROR(
  VLOOKUP(
    A251,
    IMPORTRANGE(
      ""1ZHMy3vVUd_0MrSduXTe1etBb1HNpAlGwQr006ljwMiM"",
      ""GSC最新!A:R""
    ),
    18,
    FALSE
  ),
  0
)
"),41.333333333333336)</f>
        <v>41.33333333</v>
      </c>
      <c r="AB251" s="65">
        <f t="shared" ref="AB251:AC251" si="1249">X251-Z251</f>
        <v>-7</v>
      </c>
      <c r="AC251" s="65">
        <f t="shared" si="1249"/>
        <v>-31.66666667</v>
      </c>
      <c r="AD251" s="53">
        <f>IFERROR(__xludf.DUMMYFUNCTION("IFERROR(
  VLOOKUP(
    A251,
    IMPORTRANGE(
      ""1ZHMy3vVUd_0MrSduXTe1etBb1HNpAlGwQr006ljwMiM"",
      ""GSC最新!A:F""
    ),
    6,
    FALSE
  ),
  0
)
"),46081.0)</f>
        <v>46081</v>
      </c>
      <c r="AE251" s="54">
        <f>IFERROR(__xludf.DUMMYFUNCTION("IFERROR(
  VLOOKUP(
    A251,
    IMPORTRANGE(
      ""1SCYQd7_cobOYqT0r_F0IqD4tE4rYn5y8Eup4PJTH8es"",
      ""Snapshot!A:M""
    ),
    5,
    FALSE
  ),
  ""-""
)
"),0.0)</f>
        <v>0</v>
      </c>
      <c r="AF251" s="54">
        <f>IFERROR(__xludf.DUMMYFUNCTION("IFERROR(
  VLOOKUP(
    A251,
    IMPORTRANGE(
      ""1SCYQd7_cobOYqT0r_F0IqD4tE4rYn5y8Eup4PJTH8es"",
      ""Snapshot!A:M""
    ),
    6,
    FALSE
  ),
  0
)
"),0.0)</f>
        <v>0</v>
      </c>
      <c r="AG251" s="54">
        <f>IFERROR(__xludf.DUMMYFUNCTION("IFERROR(
  VLOOKUP(
    A251,
    IMPORTRANGE(
      ""1SCYQd7_cobOYqT0r_F0IqD4tE4rYn5y8Eup4PJTH8es"",
      ""Snapshot!A:M""
    ),
    7,
    FALSE
  ),
  0
)
"),0.0)</f>
        <v>0</v>
      </c>
      <c r="AH251" s="54">
        <f>IFERROR(__xludf.DUMMYFUNCTION("IFERROR(
  VLOOKUP(
    A251,
    IMPORTRANGE(
      ""1SCYQd7_cobOYqT0r_F0IqD4tE4rYn5y8Eup4PJTH8es"",
      ""Snapshot!A:M""
    ),
    8,
    FALSE
  ),
  0
)
"),0.0)</f>
        <v>0</v>
      </c>
      <c r="AI251" s="54">
        <f>IFERROR(__xludf.DUMMYFUNCTION("IFERROR(
  VLOOKUP(
    A251,
    IMPORTRANGE(
      ""1SCYQd7_cobOYqT0r_F0IqD4tE4rYn5y8Eup4PJTH8es"",
      ""Snapshot!A:M""
    ),
    9,
    FALSE
  ),
  0
)
"),1.0)</f>
        <v>1</v>
      </c>
      <c r="AJ251" s="54">
        <f>IFERROR(__xludf.DUMMYFUNCTION("IFERROR(
  VLOOKUP(
    A251,
    IMPORTRANGE(
      ""1SCYQd7_cobOYqT0r_F0IqD4tE4rYn5y8Eup4PJTH8es"",
      ""Snapshot!A:M""
    ),
    13,
    FALSE
  ),
  0
)
"),2.0)</f>
        <v>2</v>
      </c>
      <c r="AK251" s="49">
        <f t="shared" ref="AK251:AL251" si="1250">LEN(C251)</f>
        <v>62</v>
      </c>
      <c r="AL251" s="49">
        <f t="shared" si="1250"/>
        <v>0</v>
      </c>
    </row>
    <row r="252">
      <c r="A252" s="3" t="s">
        <v>713</v>
      </c>
      <c r="B252" s="1" t="str">
        <f>IFERROR(__xludf.DUMMYFUNCTION("IFERROR(
  VLOOKUP(
    A252,
    IMPORTRANGE(
      ""1ZygntHC1J6IxzKbTidmOyf5nUyW4GCLurHCjexrLm_o"",
      ""HTMLキャッシュ!A:F""
    ),
    2,
    FALSE
  ),
  0
)
"),"ST")</f>
        <v>ST</v>
      </c>
      <c r="C252" s="1" t="str">
        <f>IFERROR(__xludf.DUMMYFUNCTION("IFERROR(
  VLOOKUP(
    A252,
    IMPORTRANGE(
      ""1ZygntHC1J6IxzKbTidmOyf5nUyW4GCLurHCjexrLm_o"",
      ""HTMLキャッシュ!A:F""
    ),
    5,
    FALSE
  ),
  0
)
"),"季節講習時間割 - 受験国語専門 読解ラボ東京 | 中学受験・大学受験対応の個別指導国語専門塾（オンライン・教室対応）")</f>
        <v>季節講習時間割 - 受験国語専門 読解ラボ東京 | 中学受験・大学受験対応の個別指導国語専門塾（オンライン・教室対応）</v>
      </c>
      <c r="D252" s="1" t="str">
        <f>IFERROR(__xludf.DUMMYFUNCTION("IFERROR(
  VLOOKUP(
    A252,
    IMPORTRANGE(
      ""1ZygntHC1J6IxzKbTidmOyf5nUyW4GCLurHCjexrLm_o        "",
      ""HTMLキャッシュ!A:F""
    ),
    6,
    FALSE
  ),
  0
)
"),"")</f>
        <v/>
      </c>
      <c r="E252" s="32">
        <f>IFERROR(__xludf.DUMMYFUNCTION("IFERROR(
  VLOOKUP(
    A252,
    IMPORTRANGE(
      ""1ZygntHC1J6IxzKbTidmOyf5nUyW4GCLurHCjexrLm_o        "",
      ""HTMLキャッシュ!A:F""
    ),
    3,
    FALSE
  ),
  0
)
"),45979.64077546296)</f>
        <v>45979.64078</v>
      </c>
      <c r="F252" s="49">
        <f>IFERROR(__xludf.DUMMYFUNCTION("IFERROR(
  VLOOKUP(
    A252,
    IMPORTRANGE(
      ""1ZHMy3vVUd_0MrSduXTe1etBb1HNpAlGwQr006ljwMiM"",
      ""GSC最新!A:F""
    ),
    2,
    FALSE
  ),
  0
)
"),0.0)</f>
        <v>0</v>
      </c>
      <c r="G252" s="49">
        <f>IFERROR(__xludf.DUMMYFUNCTION("IFERROR(
  VLOOKUP(
    A252,
    IMPORTRANGE(
      ""1ZHMy3vVUd_0MrSduXTe1etBb1HNpAlGwQr006ljwMiM"",
      ""GSC最新!A:F""
    ),
    3,
    FALSE
  ),
  0
)
"),0.0)</f>
        <v>0</v>
      </c>
      <c r="H252" s="49">
        <f>IFERROR(__xludf.DUMMYFUNCTION("IFERROR(
  VLOOKUP(
    A252,
    IMPORTRANGE(
      ""1ZHMy3vVUd_0MrSduXTe1etBb1HNpAlGwQr006ljwMiM"",
      ""GSC最新!A:F""
    ),
    4,
    FALSE
  ),
  0
)
"),0.0)</f>
        <v>0</v>
      </c>
      <c r="I252" s="49">
        <f>IFERROR(__xludf.DUMMYFUNCTION("IFERROR(
  VLOOKUP(
    A252,
    IMPORTRANGE(
      ""1ZHMy3vVUd_0MrSduXTe1etBb1HNpAlGwQr006ljwMiM"",
      ""GSC最新!A:F""
    ),
    5,
    FALSE
  ),
  0
)
"),0.0)</f>
        <v>0</v>
      </c>
      <c r="J252" s="50" t="str">
        <f t="shared" ref="J252:K252" si="1251">IFERROR(F252/H252,"-")</f>
        <v>-</v>
      </c>
      <c r="K252" s="50" t="str">
        <f t="shared" si="1251"/>
        <v>-</v>
      </c>
      <c r="L252" s="6">
        <f>IFERROR(__xludf.DUMMYFUNCTION("IFERROR(
  VLOOKUP(
    A252,
    IMPORTRANGE(
      ""1ZHMy3vVUd_0MrSduXTe1etBb1HNpAlGwQr006ljwMiM"",
      ""GSC最新!A:R""
    ),
    7,
    FALSE
  ),
  0
)
"),1.0)</f>
        <v>1</v>
      </c>
      <c r="M252" s="6">
        <f>IFERROR(__xludf.DUMMYFUNCTION("IFERROR(
  VLOOKUP(
    A252,
    IMPORTRANGE(
      ""1ZHMy3vVUd_0MrSduXTe1etBb1HNpAlGwQr006ljwMiM"",
      ""GSC最新!A:R""
    ),
    10,
    FALSE
  ),
  0
)
"),4.0)</f>
        <v>4</v>
      </c>
      <c r="N252" s="6">
        <f>IFERROR(__xludf.DUMMYFUNCTION("IFERROR(
  VLOOKUP(
    A252,
    IMPORTRANGE(
      ""1ZHMy3vVUd_0MrSduXTe1etBb1HNpAlGwQr006ljwMiM"",
      ""GSC最新!A:R""
    ),
    13,
    FALSE
  ),
  0
)
"),4.0)</f>
        <v>4</v>
      </c>
      <c r="O252" s="6">
        <f>IFERROR(__xludf.DUMMYFUNCTION("IFERROR(
  VLOOKUP(
    A252,
    IMPORTRANGE(
      ""1ZHMy3vVUd_0MrSduXTe1etBb1HNpAlGwQr006ljwMiM"",
      ""GSC最新!A:R""
    ),
    16,
    FALSE
  ),
  0
)
"),21.0)</f>
        <v>21</v>
      </c>
      <c r="P252" s="51">
        <f t="shared" ref="P252:Q252" si="1252">IFERROR(L252/N252,"-")</f>
        <v>0.25</v>
      </c>
      <c r="Q252" s="51">
        <f t="shared" si="1252"/>
        <v>0.1904761905</v>
      </c>
      <c r="R252" s="9">
        <f>IFERROR(__xludf.DUMMYFUNCTION("IFERROR(
  VLOOKUP(
    A252,
    IMPORTRANGE(
      ""1ZHMy3vVUd_0MrSduXTe1etBb1HNpAlGwQr006ljwMiM"",
      ""GSC最新!A:R""
    ),
    8,
    FALSE
  ),
  0
)
"),0.0)</f>
        <v>0</v>
      </c>
      <c r="S252" s="9">
        <f>IFERROR(__xludf.DUMMYFUNCTION("IFERROR(
  VLOOKUP(
    A252,
    IMPORTRANGE(
      ""1ZHMy3vVUd_0MrSduXTe1etBb1HNpAlGwQr006ljwMiM"",
      ""GSC最新!A:R""
    ),
    11,
    FALSE
  ),
  0
)
"),0.0)</f>
        <v>0</v>
      </c>
      <c r="T252" s="9">
        <f>IFERROR(__xludf.DUMMYFUNCTION("IFERROR(
  VLOOKUP(
    A252,
    IMPORTRANGE(
      ""1ZHMy3vVUd_0MrSduXTe1etBb1HNpAlGwQr006ljwMiM"",
      ""GSC最新!A:R""
    ),
    14,
    FALSE
  ),
  0
)
"),0.0)</f>
        <v>0</v>
      </c>
      <c r="U252" s="9">
        <f>IFERROR(__xludf.DUMMYFUNCTION("IFERROR(
  VLOOKUP(
    A252,
    IMPORTRANGE(
      ""1ZHMy3vVUd_0MrSduXTe1etBb1HNpAlGwQr006ljwMiM"",
      ""GSC最新!A:R""
    ),
    17,
    FALSE
  ),
  0
)
"),0.0)</f>
        <v>0</v>
      </c>
      <c r="V252" s="9">
        <f t="shared" ref="V252:W252" si="1253">IFERROR(R252-T252,"-")</f>
        <v>0</v>
      </c>
      <c r="W252" s="9">
        <f t="shared" si="1253"/>
        <v>0</v>
      </c>
      <c r="X252" s="65">
        <f>IFERROR(__xludf.DUMMYFUNCTION("IFERROR(
  VLOOKUP(
    A252,
    IMPORTRANGE(
      ""1ZHMy3vVUd_0MrSduXTe1etBb1HNpAlGwQr006ljwMiM"",
      ""GSC最新!A:R""
    ),
    9,
    FALSE
  ),
  0
)
"),11.0)</f>
        <v>11</v>
      </c>
      <c r="Y252" s="65">
        <f>IFERROR(__xludf.DUMMYFUNCTION("IFERROR(
  VLOOKUP(
    A252,
    IMPORTRANGE(
      ""1ZHMy3vVUd_0MrSduXTe1etBb1HNpAlGwQr006ljwMiM"",
      ""GSC最新!A:R""
    ),
    12,
    FALSE
  ),
  0
)
"),10.0)</f>
        <v>10</v>
      </c>
      <c r="Z252" s="65">
        <f>IFERROR(__xludf.DUMMYFUNCTION("IFERROR(
  VLOOKUP(
    A252,
    IMPORTRANGE(
      ""1ZHMy3vVUd_0MrSduXTe1etBb1HNpAlGwQr006ljwMiM"",
      ""GSC最新!A:R""
    ),
    15,
    FALSE
  ),
  0
)
"),4.75)</f>
        <v>4.75</v>
      </c>
      <c r="AA252" s="65">
        <f>IFERROR(__xludf.DUMMYFUNCTION("IFERROR(
  VLOOKUP(
    A252,
    IMPORTRANGE(
      ""1ZHMy3vVUd_0MrSduXTe1etBb1HNpAlGwQr006ljwMiM"",
      ""GSC最新!A:R""
    ),
    18,
    FALSE
  ),
  0
)
"),4.666666666666666)</f>
        <v>4.666666667</v>
      </c>
      <c r="AB252" s="65">
        <f t="shared" ref="AB252:AC252" si="1254">X252-Z252</f>
        <v>6.25</v>
      </c>
      <c r="AC252" s="65">
        <f t="shared" si="1254"/>
        <v>5.333333333</v>
      </c>
      <c r="AD252" s="53">
        <f>IFERROR(__xludf.DUMMYFUNCTION("IFERROR(
  VLOOKUP(
    A252,
    IMPORTRANGE(
      ""1ZHMy3vVUd_0MrSduXTe1etBb1HNpAlGwQr006ljwMiM"",
      ""GSC最新!A:F""
    ),
    6,
    FALSE
  ),
  0
)
"),46081.0)</f>
        <v>46081</v>
      </c>
      <c r="AE252" s="54">
        <f>IFERROR(__xludf.DUMMYFUNCTION("IFERROR(
  VLOOKUP(
    A252,
    IMPORTRANGE(
      ""1SCYQd7_cobOYqT0r_F0IqD4tE4rYn5y8Eup4PJTH8es"",
      ""Snapshot!A:M""
    ),
    5,
    FALSE
  ),
  ""-""
)
"),0.0)</f>
        <v>0</v>
      </c>
      <c r="AF252" s="54">
        <f>IFERROR(__xludf.DUMMYFUNCTION("IFERROR(
  VLOOKUP(
    A252,
    IMPORTRANGE(
      ""1SCYQd7_cobOYqT0r_F0IqD4tE4rYn5y8Eup4PJTH8es"",
      ""Snapshot!A:M""
    ),
    6,
    FALSE
  ),
  0
)
"),0.0)</f>
        <v>0</v>
      </c>
      <c r="AG252" s="54">
        <f>IFERROR(__xludf.DUMMYFUNCTION("IFERROR(
  VLOOKUP(
    A252,
    IMPORTRANGE(
      ""1SCYQd7_cobOYqT0r_F0IqD4tE4rYn5y8Eup4PJTH8es"",
      ""Snapshot!A:M""
    ),
    7,
    FALSE
  ),
  0
)
"),0.0)</f>
        <v>0</v>
      </c>
      <c r="AH252" s="54">
        <f>IFERROR(__xludf.DUMMYFUNCTION("IFERROR(
  VLOOKUP(
    A252,
    IMPORTRANGE(
      ""1SCYQd7_cobOYqT0r_F0IqD4tE4rYn5y8Eup4PJTH8es"",
      ""Snapshot!A:M""
    ),
    8,
    FALSE
  ),
  0
)
"),0.0)</f>
        <v>0</v>
      </c>
      <c r="AI252" s="54">
        <f>IFERROR(__xludf.DUMMYFUNCTION("IFERROR(
  VLOOKUP(
    A252,
    IMPORTRANGE(
      ""1SCYQd7_cobOYqT0r_F0IqD4tE4rYn5y8Eup4PJTH8es"",
      ""Snapshot!A:M""
    ),
    9,
    FALSE
  ),
  0
)
"),1.0)</f>
        <v>1</v>
      </c>
      <c r="AJ252" s="54">
        <f>IFERROR(__xludf.DUMMYFUNCTION("IFERROR(
  VLOOKUP(
    A252,
    IMPORTRANGE(
      ""1SCYQd7_cobOYqT0r_F0IqD4tE4rYn5y8Eup4PJTH8es"",
      ""Snapshot!A:M""
    ),
    13,
    FALSE
  ),
  0
)
"),2.0)</f>
        <v>2</v>
      </c>
      <c r="AK252" s="49">
        <f t="shared" ref="AK252:AL252" si="1255">LEN(C252)</f>
        <v>59</v>
      </c>
      <c r="AL252" s="49">
        <f t="shared" si="1255"/>
        <v>0</v>
      </c>
    </row>
    <row r="253">
      <c r="A253" s="3" t="s">
        <v>714</v>
      </c>
      <c r="B253" s="1" t="str">
        <f>IFERROR(__xludf.DUMMYFUNCTION("IFERROR(
  VLOOKUP(
    A253,
    IMPORTRANGE(
      ""1ZygntHC1J6IxzKbTidmOyf5nUyW4GCLurHCjexrLm_o"",
      ""HTMLキャッシュ!A:F""
    ),
    2,
    FALSE
  ),
  0
)
"),"ST")</f>
        <v>ST</v>
      </c>
      <c r="C253" s="1" t="str">
        <f>IFERROR(__xludf.DUMMYFUNCTION("IFERROR(
  VLOOKUP(
    A253,
    IMPORTRANGE(
      ""1ZygntHC1J6IxzKbTidmOyf5nUyW4GCLurHCjexrLm_o"",
      ""HTMLキャッシュ!A:F""
    ),
    5,
    FALSE
  ),
  0
)
"),"空きコマ状況 - 受験国語専門 読解ラボ東京 | 中学受験・大学受験対応の個別指導国語専門塾（オンライン・教室対応）")</f>
        <v>空きコマ状況 - 受験国語専門 読解ラボ東京 | 中学受験・大学受験対応の個別指導国語専門塾（オンライン・教室対応）</v>
      </c>
      <c r="D253" s="1" t="str">
        <f>IFERROR(__xludf.DUMMYFUNCTION("IFERROR(
  VLOOKUP(
    A253,
    IMPORTRANGE(
      ""1ZygntHC1J6IxzKbTidmOyf5nUyW4GCLurHCjexrLm_o        "",
      ""HTMLキャッシュ!A:F""
    ),
    6,
    FALSE
  ),
  0
)
"),"")</f>
        <v/>
      </c>
      <c r="E253" s="32">
        <f>IFERROR(__xludf.DUMMYFUNCTION("IFERROR(
  VLOOKUP(
    A253,
    IMPORTRANGE(
      ""1ZygntHC1J6IxzKbTidmOyf5nUyW4GCLurHCjexrLm_o        "",
      ""HTMLキャッシュ!A:F""
    ),
    3,
    FALSE
  ),
  0
)
"),43598.74804398148)</f>
        <v>43598.74804</v>
      </c>
      <c r="F253" s="49">
        <f>IFERROR(__xludf.DUMMYFUNCTION("IFERROR(
  VLOOKUP(
    A253,
    IMPORTRANGE(
      ""1ZHMy3vVUd_0MrSduXTe1etBb1HNpAlGwQr006ljwMiM"",
      ""GSC最新!A:F""
    ),
    2,
    FALSE
  ),
  0
)
"),0.0)</f>
        <v>0</v>
      </c>
      <c r="G253" s="49">
        <f>IFERROR(__xludf.DUMMYFUNCTION("IFERROR(
  VLOOKUP(
    A253,
    IMPORTRANGE(
      ""1ZHMy3vVUd_0MrSduXTe1etBb1HNpAlGwQr006ljwMiM"",
      ""GSC最新!A:F""
    ),
    3,
    FALSE
  ),
  0
)
"),0.0)</f>
        <v>0</v>
      </c>
      <c r="H253" s="49">
        <f>IFERROR(__xludf.DUMMYFUNCTION("IFERROR(
  VLOOKUP(
    A253,
    IMPORTRANGE(
      ""1ZHMy3vVUd_0MrSduXTe1etBb1HNpAlGwQr006ljwMiM"",
      ""GSC最新!A:F""
    ),
    4,
    FALSE
  ),
  0
)
"),0.0)</f>
        <v>0</v>
      </c>
      <c r="I253" s="49">
        <f>IFERROR(__xludf.DUMMYFUNCTION("IFERROR(
  VLOOKUP(
    A253,
    IMPORTRANGE(
      ""1ZHMy3vVUd_0MrSduXTe1etBb1HNpAlGwQr006ljwMiM"",
      ""GSC最新!A:F""
    ),
    5,
    FALSE
  ),
  0
)
"),0.0)</f>
        <v>0</v>
      </c>
      <c r="J253" s="50" t="str">
        <f t="shared" ref="J253:K253" si="1256">IFERROR(F253/H253,"-")</f>
        <v>-</v>
      </c>
      <c r="K253" s="50" t="str">
        <f t="shared" si="1256"/>
        <v>-</v>
      </c>
      <c r="L253" s="6">
        <f>IFERROR(__xludf.DUMMYFUNCTION("IFERROR(
  VLOOKUP(
    A253,
    IMPORTRANGE(
      ""1ZHMy3vVUd_0MrSduXTe1etBb1HNpAlGwQr006ljwMiM"",
      ""GSC最新!A:R""
    ),
    7,
    FALSE
  ),
  0
)
"),7.0)</f>
        <v>7</v>
      </c>
      <c r="M253" s="6">
        <f>IFERROR(__xludf.DUMMYFUNCTION("IFERROR(
  VLOOKUP(
    A253,
    IMPORTRANGE(
      ""1ZHMy3vVUd_0MrSduXTe1etBb1HNpAlGwQr006ljwMiM"",
      ""GSC最新!A:R""
    ),
    10,
    FALSE
  ),
  0
)
"),10.0)</f>
        <v>10</v>
      </c>
      <c r="N253" s="6">
        <f>IFERROR(__xludf.DUMMYFUNCTION("IFERROR(
  VLOOKUP(
    A253,
    IMPORTRANGE(
      ""1ZHMy3vVUd_0MrSduXTe1etBb1HNpAlGwQr006ljwMiM"",
      ""GSC最新!A:R""
    ),
    13,
    FALSE
  ),
  0
)
"),2.0)</f>
        <v>2</v>
      </c>
      <c r="O253" s="6">
        <f>IFERROR(__xludf.DUMMYFUNCTION("IFERROR(
  VLOOKUP(
    A253,
    IMPORTRANGE(
      ""1ZHMy3vVUd_0MrSduXTe1etBb1HNpAlGwQr006ljwMiM"",
      ""GSC最新!A:R""
    ),
    16,
    FALSE
  ),
  0
)
"),6.0)</f>
        <v>6</v>
      </c>
      <c r="P253" s="51">
        <f t="shared" ref="P253:Q253" si="1257">IFERROR(L253/N253,"-")</f>
        <v>3.5</v>
      </c>
      <c r="Q253" s="51">
        <f t="shared" si="1257"/>
        <v>1.666666667</v>
      </c>
      <c r="R253" s="9">
        <f>IFERROR(__xludf.DUMMYFUNCTION("IFERROR(
  VLOOKUP(
    A253,
    IMPORTRANGE(
      ""1ZHMy3vVUd_0MrSduXTe1etBb1HNpAlGwQr006ljwMiM"",
      ""GSC最新!A:R""
    ),
    8,
    FALSE
  ),
  0
)
"),0.0)</f>
        <v>0</v>
      </c>
      <c r="S253" s="9">
        <f>IFERROR(__xludf.DUMMYFUNCTION("IFERROR(
  VLOOKUP(
    A253,
    IMPORTRANGE(
      ""1ZHMy3vVUd_0MrSduXTe1etBb1HNpAlGwQr006ljwMiM"",
      ""GSC最新!A:R""
    ),
    11,
    FALSE
  ),
  0
)
"),0.0)</f>
        <v>0</v>
      </c>
      <c r="T253" s="9">
        <f>IFERROR(__xludf.DUMMYFUNCTION("IFERROR(
  VLOOKUP(
    A253,
    IMPORTRANGE(
      ""1ZHMy3vVUd_0MrSduXTe1etBb1HNpAlGwQr006ljwMiM"",
      ""GSC最新!A:R""
    ),
    14,
    FALSE
  ),
  0
)
"),0.0)</f>
        <v>0</v>
      </c>
      <c r="U253" s="9">
        <f>IFERROR(__xludf.DUMMYFUNCTION("IFERROR(
  VLOOKUP(
    A253,
    IMPORTRANGE(
      ""1ZHMy3vVUd_0MrSduXTe1etBb1HNpAlGwQr006ljwMiM"",
      ""GSC最新!A:R""
    ),
    17,
    FALSE
  ),
  0
)
"),0.0)</f>
        <v>0</v>
      </c>
      <c r="V253" s="9">
        <f t="shared" ref="V253:W253" si="1258">IFERROR(R253-T253,"-")</f>
        <v>0</v>
      </c>
      <c r="W253" s="9">
        <f t="shared" si="1258"/>
        <v>0</v>
      </c>
      <c r="X253" s="65">
        <f>IFERROR(__xludf.DUMMYFUNCTION("IFERROR(
  VLOOKUP(
    A253,
    IMPORTRANGE(
      ""1ZHMy3vVUd_0MrSduXTe1etBb1HNpAlGwQr006ljwMiM"",
      ""GSC最新!A:R""
    ),
    9,
    FALSE
  ),
  0
)
"),7.428571428571429)</f>
        <v>7.428571429</v>
      </c>
      <c r="Y253" s="65">
        <f>IFERROR(__xludf.DUMMYFUNCTION("IFERROR(
  VLOOKUP(
    A253,
    IMPORTRANGE(
      ""1ZHMy3vVUd_0MrSduXTe1etBb1HNpAlGwQr006ljwMiM"",
      ""GSC最新!A:R""
    ),
    12,
    FALSE
  ),
  0
)
"),7.1)</f>
        <v>7.1</v>
      </c>
      <c r="Z253" s="65">
        <f>IFERROR(__xludf.DUMMYFUNCTION("IFERROR(
  VLOOKUP(
    A253,
    IMPORTRANGE(
      ""1ZHMy3vVUd_0MrSduXTe1etBb1HNpAlGwQr006ljwMiM"",
      ""GSC最新!A:R""
    ),
    15,
    FALSE
  ),
  0
)
"),16.5)</f>
        <v>16.5</v>
      </c>
      <c r="AA253" s="65">
        <f>IFERROR(__xludf.DUMMYFUNCTION("IFERROR(
  VLOOKUP(
    A253,
    IMPORTRANGE(
      ""1ZHMy3vVUd_0MrSduXTe1etBb1HNpAlGwQr006ljwMiM"",
      ""GSC最新!A:R""
    ),
    18,
    FALSE
  ),
  0
)
"),10.5)</f>
        <v>10.5</v>
      </c>
      <c r="AB253" s="65">
        <f t="shared" ref="AB253:AC253" si="1259">X253-Z253</f>
        <v>-9.071428571</v>
      </c>
      <c r="AC253" s="65">
        <f t="shared" si="1259"/>
        <v>-3.4</v>
      </c>
      <c r="AD253" s="53">
        <f>IFERROR(__xludf.DUMMYFUNCTION("IFERROR(
  VLOOKUP(
    A253,
    IMPORTRANGE(
      ""1ZHMy3vVUd_0MrSduXTe1etBb1HNpAlGwQr006ljwMiM"",
      ""GSC最新!A:F""
    ),
    6,
    FALSE
  ),
  0
)
"),46081.0)</f>
        <v>46081</v>
      </c>
      <c r="AE253" s="54">
        <f>IFERROR(__xludf.DUMMYFUNCTION("IFERROR(
  VLOOKUP(
    A253,
    IMPORTRANGE(
      ""1SCYQd7_cobOYqT0r_F0IqD4tE4rYn5y8Eup4PJTH8es"",
      ""Snapshot!A:M""
    ),
    5,
    FALSE
  ),
  ""-""
)
"),0.0)</f>
        <v>0</v>
      </c>
      <c r="AF253" s="54">
        <f>IFERROR(__xludf.DUMMYFUNCTION("IFERROR(
  VLOOKUP(
    A253,
    IMPORTRANGE(
      ""1SCYQd7_cobOYqT0r_F0IqD4tE4rYn5y8Eup4PJTH8es"",
      ""Snapshot!A:M""
    ),
    6,
    FALSE
  ),
  0
)
"),0.0)</f>
        <v>0</v>
      </c>
      <c r="AG253" s="54">
        <f>IFERROR(__xludf.DUMMYFUNCTION("IFERROR(
  VLOOKUP(
    A253,
    IMPORTRANGE(
      ""1SCYQd7_cobOYqT0r_F0IqD4tE4rYn5y8Eup4PJTH8es"",
      ""Snapshot!A:M""
    ),
    7,
    FALSE
  ),
  0
)
"),0.0)</f>
        <v>0</v>
      </c>
      <c r="AH253" s="54">
        <f>IFERROR(__xludf.DUMMYFUNCTION("IFERROR(
  VLOOKUP(
    A253,
    IMPORTRANGE(
      ""1SCYQd7_cobOYqT0r_F0IqD4tE4rYn5y8Eup4PJTH8es"",
      ""Snapshot!A:M""
    ),
    8,
    FALSE
  ),
  0
)
"),0.0)</f>
        <v>0</v>
      </c>
      <c r="AI253" s="54">
        <f>IFERROR(__xludf.DUMMYFUNCTION("IFERROR(
  VLOOKUP(
    A253,
    IMPORTRANGE(
      ""1SCYQd7_cobOYqT0r_F0IqD4tE4rYn5y8Eup4PJTH8es"",
      ""Snapshot!A:M""
    ),
    9,
    FALSE
  ),
  0
)
"),1.0)</f>
        <v>1</v>
      </c>
      <c r="AJ253" s="54">
        <f>IFERROR(__xludf.DUMMYFUNCTION("IFERROR(
  VLOOKUP(
    A253,
    IMPORTRANGE(
      ""1SCYQd7_cobOYqT0r_F0IqD4tE4rYn5y8Eup4PJTH8es"",
      ""Snapshot!A:M""
    ),
    13,
    FALSE
  ),
  0
)
"),2.0)</f>
        <v>2</v>
      </c>
      <c r="AK253" s="49">
        <f t="shared" ref="AK253:AL253" si="1260">LEN(C253)</f>
        <v>58</v>
      </c>
      <c r="AL253" s="49">
        <f t="shared" si="1260"/>
        <v>0</v>
      </c>
    </row>
    <row r="254">
      <c r="A254" s="3" t="s">
        <v>715</v>
      </c>
      <c r="B254" s="1" t="str">
        <f>IFERROR(__xludf.DUMMYFUNCTION("IFERROR(
  VLOOKUP(
    A254,
    IMPORTRANGE(
      ""1ZygntHC1J6IxzKbTidmOyf5nUyW4GCLurHCjexrLm_o"",
      ""HTMLキャッシュ!A:F""
    ),
    2,
    FALSE
  ),
  0
)
"),"ST")</f>
        <v>ST</v>
      </c>
      <c r="C254" s="1" t="str">
        <f>IFERROR(__xludf.DUMMYFUNCTION("IFERROR(
  VLOOKUP(
    A254,
    IMPORTRANGE(
      ""1ZygntHC1J6IxzKbTidmOyf5nUyW4GCLurHCjexrLm_o"",
      ""HTMLキャッシュ!A:F""
    ),
    5,
    FALSE
  ),
  0
)
"),"中学受験・大学受験の国語専門塾｜読解ラボ東京WEB説明会（指導方針・講座・授業システム）")</f>
        <v>中学受験・大学受験の国語専門塾｜読解ラボ東京WEB説明会（指導方針・講座・授業システム）</v>
      </c>
      <c r="D254" s="1" t="str">
        <f>IFERROR(__xludf.DUMMYFUNCTION("IFERROR(
  VLOOKUP(
    A254,
    IMPORTRANGE(
      ""1ZygntHC1J6IxzKbTidmOyf5nUyW4GCLurHCjexrLm_o        "",
      ""HTMLキャッシュ!A:F""
    ),
    6,
    FALSE
  ),
  0
)
"),"中学受験・大学受験の国語個別指導（オンライン・教室対応）を検討中の方向け。指導方針／開講講座／授業システム／受講ガイドを、代表・長島が約10分で説明します。フォームにメールアドレスを登録いただくと、WEB説明会の視聴URLをメールでお送りします。メールはご案内以外に使用しません。")</f>
        <v>中学受験・大学受験の国語個別指導（オンライン・教室対応）を検討中の方向け。指導方針／開講講座／授業システム／受講ガイドを、代表・長島が約10分で説明します。フォームにメールアドレスを登録いただくと、WEB説明会の視聴URLをメールでお送りします。メールはご案内以外に使用しません。</v>
      </c>
      <c r="E254" s="32">
        <f>IFERROR(__xludf.DUMMYFUNCTION("IFERROR(
  VLOOKUP(
    A254,
    IMPORTRANGE(
      ""1ZygntHC1J6IxzKbTidmOyf5nUyW4GCLurHCjexrLm_o        "",
      ""HTMLキャッシュ!A:F""
    ),
    3,
    FALSE
  ),
  0
)
"),46020.62326388889)</f>
        <v>46020.62326</v>
      </c>
      <c r="F254" s="49">
        <f>IFERROR(__xludf.DUMMYFUNCTION("IFERROR(
  VLOOKUP(
    A254,
    IMPORTRANGE(
      ""1ZHMy3vVUd_0MrSduXTe1etBb1HNpAlGwQr006ljwMiM"",
      ""GSC最新!A:F""
    ),
    2,
    FALSE
  ),
  0
)
"),0.0)</f>
        <v>0</v>
      </c>
      <c r="G254" s="49">
        <f>IFERROR(__xludf.DUMMYFUNCTION("IFERROR(
  VLOOKUP(
    A254,
    IMPORTRANGE(
      ""1ZHMy3vVUd_0MrSduXTe1etBb1HNpAlGwQr006ljwMiM"",
      ""GSC最新!A:F""
    ),
    3,
    FALSE
  ),
  0
)
"),0.0)</f>
        <v>0</v>
      </c>
      <c r="H254" s="49">
        <f>IFERROR(__xludf.DUMMYFUNCTION("IFERROR(
  VLOOKUP(
    A254,
    IMPORTRANGE(
      ""1ZHMy3vVUd_0MrSduXTe1etBb1HNpAlGwQr006ljwMiM"",
      ""GSC最新!A:F""
    ),
    4,
    FALSE
  ),
  0
)
"),1.0)</f>
        <v>1</v>
      </c>
      <c r="I254" s="49">
        <f>IFERROR(__xludf.DUMMYFUNCTION("IFERROR(
  VLOOKUP(
    A254,
    IMPORTRANGE(
      ""1ZHMy3vVUd_0MrSduXTe1etBb1HNpAlGwQr006ljwMiM"",
      ""GSC最新!A:F""
    ),
    5,
    FALSE
  ),
  0
)
"),1.0)</f>
        <v>1</v>
      </c>
      <c r="J254" s="50">
        <f t="shared" ref="J254:K254" si="1261">IFERROR(F254/H254,"-")</f>
        <v>0</v>
      </c>
      <c r="K254" s="50">
        <f t="shared" si="1261"/>
        <v>0</v>
      </c>
      <c r="L254" s="6">
        <f>IFERROR(__xludf.DUMMYFUNCTION("IFERROR(
  VLOOKUP(
    A254,
    IMPORTRANGE(
      ""1ZHMy3vVUd_0MrSduXTe1etBb1HNpAlGwQr006ljwMiM"",
      ""GSC最新!A:R""
    ),
    7,
    FALSE
  ),
  0
)
"),10.0)</f>
        <v>10</v>
      </c>
      <c r="M254" s="6">
        <f>IFERROR(__xludf.DUMMYFUNCTION("IFERROR(
  VLOOKUP(
    A254,
    IMPORTRANGE(
      ""1ZHMy3vVUd_0MrSduXTe1etBb1HNpAlGwQr006ljwMiM"",
      ""GSC最新!A:R""
    ),
    10,
    FALSE
  ),
  0
)
"),25.0)</f>
        <v>25</v>
      </c>
      <c r="N254" s="6">
        <f>IFERROR(__xludf.DUMMYFUNCTION("IFERROR(
  VLOOKUP(
    A254,
    IMPORTRANGE(
      ""1ZHMy3vVUd_0MrSduXTe1etBb1HNpAlGwQr006ljwMiM"",
      ""GSC最新!A:R""
    ),
    13,
    FALSE
  ),
  0
)
"),8.0)</f>
        <v>8</v>
      </c>
      <c r="O254" s="6">
        <f>IFERROR(__xludf.DUMMYFUNCTION("IFERROR(
  VLOOKUP(
    A254,
    IMPORTRANGE(
      ""1ZHMy3vVUd_0MrSduXTe1etBb1HNpAlGwQr006ljwMiM"",
      ""GSC最新!A:R""
    ),
    16,
    FALSE
  ),
  0
)
"),13.0)</f>
        <v>13</v>
      </c>
      <c r="P254" s="51">
        <f t="shared" ref="P254:Q254" si="1262">IFERROR(L254/N254,"-")</f>
        <v>1.25</v>
      </c>
      <c r="Q254" s="51">
        <f t="shared" si="1262"/>
        <v>1.923076923</v>
      </c>
      <c r="R254" s="9">
        <f>IFERROR(__xludf.DUMMYFUNCTION("IFERROR(
  VLOOKUP(
    A254,
    IMPORTRANGE(
      ""1ZHMy3vVUd_0MrSduXTe1etBb1HNpAlGwQr006ljwMiM"",
      ""GSC最新!A:R""
    ),
    8,
    FALSE
  ),
  0
)
"),0.0)</f>
        <v>0</v>
      </c>
      <c r="S254" s="9">
        <f>IFERROR(__xludf.DUMMYFUNCTION("IFERROR(
  VLOOKUP(
    A254,
    IMPORTRANGE(
      ""1ZHMy3vVUd_0MrSduXTe1etBb1HNpAlGwQr006ljwMiM"",
      ""GSC最新!A:R""
    ),
    11,
    FALSE
  ),
  0
)
"),0.0)</f>
        <v>0</v>
      </c>
      <c r="T254" s="9">
        <f>IFERROR(__xludf.DUMMYFUNCTION("IFERROR(
  VLOOKUP(
    A254,
    IMPORTRANGE(
      ""1ZHMy3vVUd_0MrSduXTe1etBb1HNpAlGwQr006ljwMiM"",
      ""GSC最新!A:R""
    ),
    14,
    FALSE
  ),
  0
)
"),0.125)</f>
        <v>0.125</v>
      </c>
      <c r="U254" s="9">
        <f>IFERROR(__xludf.DUMMYFUNCTION("IFERROR(
  VLOOKUP(
    A254,
    IMPORTRANGE(
      ""1ZHMy3vVUd_0MrSduXTe1etBb1HNpAlGwQr006ljwMiM"",
      ""GSC最新!A:R""
    ),
    17,
    FALSE
  ),
  0
)
"),0.07692307692307693)</f>
        <v>0.07692307692</v>
      </c>
      <c r="V254" s="9">
        <f t="shared" ref="V254:W254" si="1263">IFERROR(R254-T254,"-")</f>
        <v>-0.125</v>
      </c>
      <c r="W254" s="9">
        <f t="shared" si="1263"/>
        <v>-0.07692307692</v>
      </c>
      <c r="X254" s="65">
        <f>IFERROR(__xludf.DUMMYFUNCTION("IFERROR(
  VLOOKUP(
    A254,
    IMPORTRANGE(
      ""1ZHMy3vVUd_0MrSduXTe1etBb1HNpAlGwQr006ljwMiM"",
      ""GSC最新!A:R""
    ),
    9,
    FALSE
  ),
  0
)
"),41.6)</f>
        <v>41.6</v>
      </c>
      <c r="Y254" s="65">
        <f>IFERROR(__xludf.DUMMYFUNCTION("IFERROR(
  VLOOKUP(
    A254,
    IMPORTRANGE(
      ""1ZHMy3vVUd_0MrSduXTe1etBb1HNpAlGwQr006ljwMiM"",
      ""GSC最新!A:R""
    ),
    12,
    FALSE
  ),
  0
)
"),20.64)</f>
        <v>20.64</v>
      </c>
      <c r="Z254" s="65">
        <f>IFERROR(__xludf.DUMMYFUNCTION("IFERROR(
  VLOOKUP(
    A254,
    IMPORTRANGE(
      ""1ZHMy3vVUd_0MrSduXTe1etBb1HNpAlGwQr006ljwMiM"",
      ""GSC最新!A:R""
    ),
    15,
    FALSE
  ),
  0
)
"),12.375)</f>
        <v>12.375</v>
      </c>
      <c r="AA254" s="65">
        <f>IFERROR(__xludf.DUMMYFUNCTION("IFERROR(
  VLOOKUP(
    A254,
    IMPORTRANGE(
      ""1ZHMy3vVUd_0MrSduXTe1etBb1HNpAlGwQr006ljwMiM"",
      ""GSC最新!A:R""
    ),
    18,
    FALSE
  ),
  0
)
"),10.76923076923077)</f>
        <v>10.76923077</v>
      </c>
      <c r="AB254" s="65">
        <f t="shared" ref="AB254:AC254" si="1264">X254-Z254</f>
        <v>29.225</v>
      </c>
      <c r="AC254" s="65">
        <f t="shared" si="1264"/>
        <v>9.870769231</v>
      </c>
      <c r="AD254" s="53">
        <f>IFERROR(__xludf.DUMMYFUNCTION("IFERROR(
  VLOOKUP(
    A254,
    IMPORTRANGE(
      ""1ZHMy3vVUd_0MrSduXTe1etBb1HNpAlGwQr006ljwMiM"",
      ""GSC最新!A:F""
    ),
    6,
    FALSE
  ),
  0
)
"),46081.0)</f>
        <v>46081</v>
      </c>
      <c r="AE254" s="54">
        <f>IFERROR(__xludf.DUMMYFUNCTION("IFERROR(
  VLOOKUP(
    A254,
    IMPORTRANGE(
      ""1SCYQd7_cobOYqT0r_F0IqD4tE4rYn5y8Eup4PJTH8es"",
      ""Snapshot!A:M""
    ),
    5,
    FALSE
  ),
  ""-""
)
"),0.0)</f>
        <v>0</v>
      </c>
      <c r="AF254" s="54">
        <f>IFERROR(__xludf.DUMMYFUNCTION("IFERROR(
  VLOOKUP(
    A254,
    IMPORTRANGE(
      ""1SCYQd7_cobOYqT0r_F0IqD4tE4rYn5y8Eup4PJTH8es"",
      ""Snapshot!A:M""
    ),
    6,
    FALSE
  ),
  0
)
"),0.0)</f>
        <v>0</v>
      </c>
      <c r="AG254" s="54">
        <f>IFERROR(__xludf.DUMMYFUNCTION("IFERROR(
  VLOOKUP(
    A254,
    IMPORTRANGE(
      ""1SCYQd7_cobOYqT0r_F0IqD4tE4rYn5y8Eup4PJTH8es"",
      ""Snapshot!A:M""
    ),
    7,
    FALSE
  ),
  0
)
"),221.0)</f>
        <v>221</v>
      </c>
      <c r="AH254" s="54">
        <f>IFERROR(__xludf.DUMMYFUNCTION("IFERROR(
  VLOOKUP(
    A254,
    IMPORTRANGE(
      ""1SCYQd7_cobOYqT0r_F0IqD4tE4rYn5y8Eup4PJTH8es"",
      ""Snapshot!A:M""
    ),
    8,
    FALSE
  ),
  0
)
"),0.0)</f>
        <v>0</v>
      </c>
      <c r="AI254" s="54">
        <f>IFERROR(__xludf.DUMMYFUNCTION("IFERROR(
  VLOOKUP(
    A254,
    IMPORTRANGE(
      ""1SCYQd7_cobOYqT0r_F0IqD4tE4rYn5y8Eup4PJTH8es"",
      ""Snapshot!A:M""
    ),
    9,
    FALSE
  ),
  0
)
"),1.0)</f>
        <v>1</v>
      </c>
      <c r="AJ254" s="54">
        <f>IFERROR(__xludf.DUMMYFUNCTION("IFERROR(
  VLOOKUP(
    A254,
    IMPORTRANGE(
      ""1SCYQd7_cobOYqT0r_F0IqD4tE4rYn5y8Eup4PJTH8es"",
      ""Snapshot!A:M""
    ),
    13,
    FALSE
  ),
  0
)
"),2.0)</f>
        <v>2</v>
      </c>
      <c r="AK254" s="49">
        <f t="shared" ref="AK254:AL254" si="1265">LEN(C254)</f>
        <v>44</v>
      </c>
      <c r="AL254" s="49">
        <f t="shared" si="1265"/>
        <v>140</v>
      </c>
    </row>
    <row r="255">
      <c r="E255" s="55"/>
      <c r="J255" s="53"/>
      <c r="K255" s="50"/>
      <c r="L255" s="50"/>
    </row>
    <row r="256">
      <c r="E256" s="55"/>
      <c r="J256" s="53"/>
      <c r="K256" s="50"/>
      <c r="L256" s="50"/>
    </row>
    <row r="257">
      <c r="E257" s="55"/>
      <c r="J257" s="53"/>
      <c r="K257" s="50"/>
      <c r="L257" s="50"/>
    </row>
    <row r="258">
      <c r="E258" s="55"/>
      <c r="J258" s="53"/>
      <c r="K258" s="50"/>
      <c r="L258" s="50"/>
    </row>
    <row r="259">
      <c r="E259" s="55"/>
      <c r="J259" s="53"/>
      <c r="K259" s="50"/>
      <c r="L259" s="50"/>
    </row>
    <row r="260">
      <c r="E260" s="55"/>
      <c r="J260" s="53"/>
      <c r="K260" s="50"/>
      <c r="L260" s="50"/>
    </row>
    <row r="261">
      <c r="E261" s="55"/>
      <c r="J261" s="53"/>
      <c r="K261" s="50"/>
      <c r="L261" s="50"/>
    </row>
    <row r="262">
      <c r="E262" s="55"/>
      <c r="J262" s="53"/>
      <c r="K262" s="50"/>
      <c r="L262" s="50"/>
    </row>
    <row r="263">
      <c r="E263" s="55"/>
      <c r="J263" s="53"/>
      <c r="K263" s="50"/>
      <c r="L263" s="50"/>
    </row>
    <row r="264">
      <c r="E264" s="55"/>
      <c r="J264" s="53"/>
      <c r="K264" s="50"/>
      <c r="L264" s="50"/>
    </row>
    <row r="265">
      <c r="E265" s="55"/>
      <c r="J265" s="53"/>
      <c r="K265" s="50"/>
      <c r="L265" s="50"/>
    </row>
    <row r="266">
      <c r="E266" s="55"/>
      <c r="J266" s="53"/>
      <c r="K266" s="50"/>
      <c r="L266" s="50"/>
    </row>
    <row r="267">
      <c r="E267" s="55"/>
      <c r="J267" s="53"/>
      <c r="K267" s="50"/>
      <c r="L267" s="50"/>
    </row>
    <row r="268">
      <c r="E268" s="55"/>
      <c r="J268" s="53"/>
      <c r="K268" s="50"/>
      <c r="L268" s="50"/>
    </row>
    <row r="269">
      <c r="E269" s="55"/>
      <c r="J269" s="53"/>
      <c r="K269" s="50"/>
      <c r="L269" s="50"/>
    </row>
    <row r="270">
      <c r="E270" s="55"/>
      <c r="J270" s="53"/>
      <c r="K270" s="50"/>
      <c r="L270" s="50"/>
    </row>
    <row r="271">
      <c r="E271" s="55"/>
      <c r="J271" s="53"/>
      <c r="K271" s="50"/>
      <c r="L271" s="50"/>
    </row>
    <row r="272">
      <c r="E272" s="55"/>
      <c r="J272" s="53"/>
      <c r="K272" s="50"/>
      <c r="L272" s="50"/>
    </row>
    <row r="273">
      <c r="E273" s="55"/>
      <c r="J273" s="53"/>
      <c r="K273" s="50"/>
      <c r="L273" s="50"/>
    </row>
    <row r="274">
      <c r="E274" s="55"/>
      <c r="J274" s="53"/>
      <c r="K274" s="50"/>
      <c r="L274" s="50"/>
    </row>
    <row r="275">
      <c r="E275" s="55"/>
      <c r="J275" s="53"/>
      <c r="K275" s="50"/>
      <c r="L275" s="50"/>
    </row>
    <row r="276">
      <c r="E276" s="55"/>
      <c r="J276" s="53"/>
      <c r="K276" s="50"/>
      <c r="L276" s="50"/>
    </row>
    <row r="277">
      <c r="E277" s="55"/>
      <c r="J277" s="53"/>
      <c r="K277" s="50"/>
      <c r="L277" s="50"/>
    </row>
    <row r="278">
      <c r="E278" s="55"/>
      <c r="J278" s="53"/>
      <c r="K278" s="50"/>
      <c r="L278" s="50"/>
    </row>
    <row r="279">
      <c r="E279" s="55"/>
      <c r="J279" s="53"/>
      <c r="K279" s="50"/>
      <c r="L279" s="50"/>
    </row>
    <row r="280">
      <c r="E280" s="55"/>
      <c r="J280" s="53"/>
      <c r="K280" s="50"/>
      <c r="L280" s="50"/>
    </row>
    <row r="281">
      <c r="E281" s="55"/>
      <c r="J281" s="53"/>
      <c r="K281" s="50"/>
      <c r="L281" s="50"/>
    </row>
    <row r="282">
      <c r="E282" s="55"/>
      <c r="J282" s="53"/>
      <c r="K282" s="50"/>
      <c r="L282" s="50"/>
    </row>
    <row r="283">
      <c r="E283" s="55"/>
      <c r="J283" s="53"/>
      <c r="K283" s="50"/>
      <c r="L283" s="50"/>
    </row>
    <row r="284">
      <c r="E284" s="55"/>
      <c r="J284" s="53"/>
      <c r="K284" s="50"/>
      <c r="L284" s="50"/>
    </row>
    <row r="285">
      <c r="E285" s="55"/>
      <c r="J285" s="53"/>
      <c r="K285" s="50"/>
      <c r="L285" s="50"/>
    </row>
    <row r="286">
      <c r="E286" s="55"/>
      <c r="J286" s="53"/>
      <c r="K286" s="50"/>
      <c r="L286" s="50"/>
    </row>
    <row r="287">
      <c r="E287" s="55"/>
      <c r="J287" s="53"/>
      <c r="K287" s="50"/>
      <c r="L287" s="50"/>
    </row>
    <row r="288">
      <c r="E288" s="55"/>
      <c r="J288" s="53"/>
      <c r="K288" s="50"/>
      <c r="L288" s="50"/>
    </row>
    <row r="289">
      <c r="E289" s="55"/>
      <c r="J289" s="53"/>
      <c r="K289" s="50"/>
      <c r="L289" s="50"/>
    </row>
    <row r="290">
      <c r="E290" s="55"/>
      <c r="J290" s="53"/>
      <c r="K290" s="50"/>
      <c r="L290" s="50"/>
    </row>
    <row r="291">
      <c r="E291" s="55"/>
      <c r="J291" s="53"/>
      <c r="K291" s="50"/>
      <c r="L291" s="50"/>
    </row>
    <row r="292">
      <c r="E292" s="55"/>
      <c r="J292" s="53"/>
      <c r="K292" s="50"/>
      <c r="L292" s="50"/>
    </row>
    <row r="293">
      <c r="E293" s="55"/>
      <c r="J293" s="53"/>
      <c r="K293" s="50"/>
      <c r="L293" s="50"/>
    </row>
    <row r="294">
      <c r="E294" s="55"/>
      <c r="J294" s="53"/>
      <c r="K294" s="50"/>
      <c r="L294" s="50"/>
    </row>
    <row r="295">
      <c r="E295" s="55"/>
      <c r="J295" s="53"/>
      <c r="K295" s="50"/>
      <c r="L295" s="50"/>
    </row>
    <row r="296">
      <c r="E296" s="55"/>
      <c r="J296" s="53"/>
      <c r="K296" s="50"/>
      <c r="L296" s="50"/>
    </row>
    <row r="297">
      <c r="E297" s="55"/>
      <c r="J297" s="53"/>
      <c r="K297" s="50"/>
      <c r="L297" s="50"/>
    </row>
    <row r="298">
      <c r="E298" s="55"/>
      <c r="J298" s="53"/>
      <c r="K298" s="50"/>
      <c r="L298" s="50"/>
    </row>
    <row r="299">
      <c r="E299" s="55"/>
      <c r="J299" s="53"/>
      <c r="K299" s="50"/>
      <c r="L299" s="50"/>
    </row>
    <row r="300">
      <c r="E300" s="55"/>
      <c r="J300" s="53"/>
      <c r="K300" s="50"/>
      <c r="L300" s="50"/>
    </row>
    <row r="301">
      <c r="E301" s="55"/>
      <c r="J301" s="53"/>
      <c r="K301" s="50"/>
      <c r="L301" s="50"/>
    </row>
    <row r="302">
      <c r="E302" s="55"/>
      <c r="J302" s="53"/>
      <c r="K302" s="50"/>
      <c r="L302" s="50"/>
    </row>
    <row r="303">
      <c r="E303" s="55"/>
      <c r="J303" s="53"/>
      <c r="K303" s="50"/>
      <c r="L303" s="50"/>
    </row>
    <row r="304">
      <c r="E304" s="55"/>
      <c r="J304" s="53"/>
      <c r="K304" s="50"/>
      <c r="L304" s="50"/>
    </row>
    <row r="305">
      <c r="E305" s="55"/>
      <c r="J305" s="53"/>
      <c r="K305" s="50"/>
      <c r="L305" s="50"/>
    </row>
    <row r="306">
      <c r="E306" s="55"/>
      <c r="J306" s="53"/>
      <c r="K306" s="50"/>
      <c r="L306" s="50"/>
    </row>
    <row r="307">
      <c r="E307" s="55"/>
      <c r="J307" s="53"/>
      <c r="K307" s="50"/>
      <c r="L307" s="50"/>
    </row>
    <row r="308">
      <c r="E308" s="55"/>
      <c r="J308" s="53"/>
      <c r="K308" s="50"/>
      <c r="L308" s="50"/>
    </row>
    <row r="309">
      <c r="E309" s="55"/>
      <c r="J309" s="53"/>
      <c r="K309" s="50"/>
      <c r="L309" s="50"/>
    </row>
    <row r="310">
      <c r="E310" s="55"/>
      <c r="J310" s="53"/>
      <c r="K310" s="50"/>
      <c r="L310" s="50"/>
    </row>
    <row r="311">
      <c r="E311" s="55"/>
      <c r="J311" s="53"/>
      <c r="K311" s="50"/>
      <c r="L311" s="50"/>
    </row>
    <row r="312">
      <c r="E312" s="55"/>
      <c r="J312" s="53"/>
      <c r="K312" s="50"/>
      <c r="L312" s="50"/>
    </row>
    <row r="313">
      <c r="E313" s="55"/>
      <c r="J313" s="53"/>
      <c r="K313" s="50"/>
      <c r="L313" s="50"/>
    </row>
    <row r="314">
      <c r="E314" s="55"/>
      <c r="J314" s="53"/>
      <c r="K314" s="50"/>
      <c r="L314" s="50"/>
    </row>
    <row r="315">
      <c r="E315" s="55"/>
      <c r="J315" s="53"/>
      <c r="K315" s="50"/>
      <c r="L315" s="50"/>
    </row>
    <row r="316">
      <c r="E316" s="55"/>
      <c r="J316" s="53"/>
      <c r="K316" s="50"/>
      <c r="L316" s="50"/>
    </row>
    <row r="317">
      <c r="E317" s="55"/>
      <c r="J317" s="53"/>
      <c r="K317" s="50"/>
      <c r="L317" s="50"/>
    </row>
    <row r="318">
      <c r="E318" s="55"/>
      <c r="J318" s="53"/>
      <c r="K318" s="50"/>
      <c r="L318" s="50"/>
    </row>
    <row r="319">
      <c r="E319" s="55"/>
      <c r="J319" s="53"/>
      <c r="K319" s="50"/>
      <c r="L319" s="50"/>
    </row>
    <row r="320">
      <c r="E320" s="55"/>
      <c r="J320" s="53"/>
      <c r="K320" s="50"/>
      <c r="L320" s="50"/>
    </row>
    <row r="321">
      <c r="E321" s="55"/>
      <c r="J321" s="53"/>
      <c r="K321" s="50"/>
      <c r="L321" s="50"/>
    </row>
    <row r="322">
      <c r="E322" s="55"/>
      <c r="J322" s="53"/>
      <c r="K322" s="50"/>
      <c r="L322" s="50"/>
    </row>
    <row r="323">
      <c r="E323" s="55"/>
      <c r="J323" s="53"/>
      <c r="K323" s="50"/>
      <c r="L323" s="50"/>
    </row>
    <row r="324">
      <c r="E324" s="55"/>
      <c r="J324" s="53"/>
      <c r="K324" s="50"/>
      <c r="L324" s="50"/>
    </row>
    <row r="325">
      <c r="E325" s="55"/>
      <c r="J325" s="53"/>
      <c r="K325" s="50"/>
      <c r="L325" s="50"/>
    </row>
    <row r="326">
      <c r="E326" s="55"/>
      <c r="J326" s="53"/>
      <c r="K326" s="50"/>
      <c r="L326" s="50"/>
    </row>
    <row r="327">
      <c r="E327" s="55"/>
      <c r="J327" s="53"/>
      <c r="K327" s="50"/>
      <c r="L327" s="50"/>
    </row>
    <row r="328">
      <c r="E328" s="55"/>
      <c r="J328" s="53"/>
      <c r="K328" s="50"/>
      <c r="L328" s="50"/>
    </row>
    <row r="329">
      <c r="E329" s="55"/>
      <c r="J329" s="53"/>
      <c r="K329" s="50"/>
      <c r="L329" s="50"/>
    </row>
    <row r="330">
      <c r="E330" s="55"/>
      <c r="J330" s="53"/>
      <c r="K330" s="50"/>
      <c r="L330" s="50"/>
    </row>
    <row r="331">
      <c r="E331" s="55"/>
      <c r="J331" s="53"/>
      <c r="K331" s="50"/>
      <c r="L331" s="50"/>
    </row>
    <row r="332">
      <c r="E332" s="55"/>
      <c r="J332" s="53"/>
      <c r="K332" s="50"/>
      <c r="L332" s="50"/>
    </row>
    <row r="333">
      <c r="E333" s="55"/>
      <c r="J333" s="53"/>
      <c r="K333" s="50"/>
      <c r="L333" s="50"/>
    </row>
    <row r="334">
      <c r="E334" s="55"/>
      <c r="J334" s="53"/>
      <c r="K334" s="50"/>
      <c r="L334" s="50"/>
    </row>
    <row r="335">
      <c r="E335" s="55"/>
      <c r="J335" s="53"/>
      <c r="K335" s="50"/>
      <c r="L335" s="50"/>
    </row>
    <row r="336">
      <c r="E336" s="55"/>
      <c r="J336" s="53"/>
      <c r="K336" s="50"/>
      <c r="L336" s="50"/>
    </row>
    <row r="337">
      <c r="E337" s="55"/>
      <c r="J337" s="53"/>
      <c r="K337" s="50"/>
      <c r="L337" s="50"/>
    </row>
    <row r="338">
      <c r="E338" s="55"/>
      <c r="J338" s="53"/>
      <c r="K338" s="50"/>
      <c r="L338" s="50"/>
    </row>
    <row r="339">
      <c r="E339" s="55"/>
      <c r="J339" s="53"/>
      <c r="K339" s="50"/>
      <c r="L339" s="50"/>
    </row>
    <row r="340">
      <c r="E340" s="55"/>
      <c r="J340" s="53"/>
      <c r="K340" s="50"/>
      <c r="L340" s="50"/>
    </row>
    <row r="341">
      <c r="E341" s="55"/>
      <c r="J341" s="53"/>
      <c r="K341" s="50"/>
      <c r="L341" s="50"/>
    </row>
    <row r="342">
      <c r="E342" s="55"/>
      <c r="J342" s="53"/>
      <c r="K342" s="50"/>
      <c r="L342" s="50"/>
    </row>
    <row r="343">
      <c r="E343" s="55"/>
      <c r="J343" s="53"/>
      <c r="K343" s="50"/>
      <c r="L343" s="50"/>
    </row>
    <row r="344">
      <c r="E344" s="55"/>
      <c r="J344" s="53"/>
      <c r="K344" s="50"/>
      <c r="L344" s="50"/>
    </row>
    <row r="345">
      <c r="E345" s="55"/>
      <c r="J345" s="53"/>
      <c r="K345" s="50"/>
      <c r="L345" s="50"/>
    </row>
    <row r="346">
      <c r="E346" s="55"/>
      <c r="J346" s="53"/>
      <c r="K346" s="50"/>
      <c r="L346" s="50"/>
    </row>
    <row r="347">
      <c r="E347" s="55"/>
      <c r="J347" s="53"/>
      <c r="K347" s="50"/>
      <c r="L347" s="50"/>
    </row>
    <row r="348">
      <c r="E348" s="55"/>
      <c r="J348" s="53"/>
      <c r="K348" s="50"/>
      <c r="L348" s="50"/>
    </row>
    <row r="349">
      <c r="E349" s="55"/>
      <c r="J349" s="53"/>
      <c r="K349" s="50"/>
      <c r="L349" s="50"/>
    </row>
    <row r="350">
      <c r="E350" s="55"/>
      <c r="J350" s="53"/>
      <c r="K350" s="50"/>
      <c r="L350" s="50"/>
    </row>
    <row r="351">
      <c r="E351" s="55"/>
      <c r="J351" s="53"/>
      <c r="K351" s="50"/>
      <c r="L351" s="50"/>
    </row>
    <row r="352">
      <c r="E352" s="55"/>
      <c r="J352" s="53"/>
      <c r="K352" s="50"/>
      <c r="L352" s="50"/>
    </row>
    <row r="353">
      <c r="E353" s="55"/>
      <c r="J353" s="53"/>
      <c r="K353" s="50"/>
      <c r="L353" s="50"/>
    </row>
    <row r="354">
      <c r="E354" s="55"/>
      <c r="J354" s="53"/>
      <c r="K354" s="50"/>
      <c r="L354" s="50"/>
    </row>
    <row r="355">
      <c r="E355" s="55"/>
      <c r="J355" s="53"/>
      <c r="K355" s="50"/>
      <c r="L355" s="50"/>
    </row>
    <row r="356">
      <c r="E356" s="55"/>
      <c r="J356" s="53"/>
      <c r="K356" s="50"/>
      <c r="L356" s="50"/>
    </row>
    <row r="357">
      <c r="E357" s="55"/>
      <c r="J357" s="53"/>
      <c r="K357" s="50"/>
      <c r="L357" s="50"/>
    </row>
    <row r="358">
      <c r="E358" s="55"/>
      <c r="J358" s="53"/>
      <c r="K358" s="50"/>
      <c r="L358" s="50"/>
    </row>
    <row r="359">
      <c r="E359" s="55"/>
      <c r="J359" s="53"/>
      <c r="K359" s="50"/>
      <c r="L359" s="50"/>
    </row>
    <row r="360">
      <c r="E360" s="55"/>
      <c r="J360" s="53"/>
      <c r="K360" s="50"/>
      <c r="L360" s="50"/>
    </row>
    <row r="361">
      <c r="E361" s="55"/>
      <c r="J361" s="53"/>
      <c r="K361" s="50"/>
      <c r="L361" s="50"/>
    </row>
    <row r="362">
      <c r="E362" s="55"/>
      <c r="J362" s="53"/>
      <c r="K362" s="50"/>
      <c r="L362" s="50"/>
    </row>
    <row r="363">
      <c r="E363" s="55"/>
      <c r="J363" s="53"/>
      <c r="K363" s="50"/>
      <c r="L363" s="50"/>
    </row>
    <row r="364">
      <c r="E364" s="55"/>
      <c r="J364" s="53"/>
      <c r="K364" s="50"/>
      <c r="L364" s="50"/>
    </row>
    <row r="365">
      <c r="E365" s="55"/>
      <c r="J365" s="53"/>
      <c r="K365" s="50"/>
      <c r="L365" s="50"/>
    </row>
    <row r="366">
      <c r="E366" s="55"/>
      <c r="J366" s="53"/>
      <c r="K366" s="50"/>
      <c r="L366" s="50"/>
    </row>
    <row r="367">
      <c r="E367" s="55"/>
      <c r="J367" s="53"/>
      <c r="K367" s="50"/>
      <c r="L367" s="50"/>
    </row>
    <row r="368">
      <c r="E368" s="55"/>
      <c r="J368" s="53"/>
      <c r="K368" s="50"/>
      <c r="L368" s="50"/>
    </row>
    <row r="369">
      <c r="E369" s="55"/>
      <c r="J369" s="53"/>
      <c r="K369" s="50"/>
      <c r="L369" s="50"/>
    </row>
    <row r="370">
      <c r="E370" s="55"/>
      <c r="J370" s="53"/>
      <c r="K370" s="50"/>
      <c r="L370" s="50"/>
    </row>
    <row r="371">
      <c r="E371" s="55"/>
      <c r="J371" s="53"/>
      <c r="K371" s="50"/>
      <c r="L371" s="50"/>
    </row>
    <row r="372">
      <c r="E372" s="55"/>
      <c r="J372" s="53"/>
      <c r="K372" s="50"/>
      <c r="L372" s="50"/>
    </row>
    <row r="373">
      <c r="E373" s="55"/>
      <c r="J373" s="53"/>
      <c r="K373" s="50"/>
      <c r="L373" s="50"/>
    </row>
    <row r="374">
      <c r="E374" s="55"/>
      <c r="J374" s="53"/>
      <c r="K374" s="50"/>
      <c r="L374" s="50"/>
    </row>
    <row r="375">
      <c r="E375" s="55"/>
      <c r="J375" s="53"/>
      <c r="K375" s="50"/>
      <c r="L375" s="50"/>
    </row>
    <row r="376">
      <c r="E376" s="55"/>
      <c r="J376" s="53"/>
      <c r="K376" s="50"/>
      <c r="L376" s="50"/>
    </row>
    <row r="377">
      <c r="E377" s="55"/>
      <c r="J377" s="53"/>
      <c r="K377" s="50"/>
      <c r="L377" s="50"/>
    </row>
    <row r="378">
      <c r="E378" s="55"/>
      <c r="J378" s="53"/>
      <c r="K378" s="50"/>
      <c r="L378" s="50"/>
    </row>
    <row r="379">
      <c r="E379" s="55"/>
      <c r="J379" s="53"/>
      <c r="K379" s="50"/>
      <c r="L379" s="50"/>
    </row>
    <row r="380">
      <c r="E380" s="55"/>
      <c r="J380" s="53"/>
      <c r="K380" s="50"/>
      <c r="L380" s="50"/>
    </row>
    <row r="381">
      <c r="E381" s="55"/>
      <c r="J381" s="53"/>
      <c r="K381" s="50"/>
      <c r="L381" s="50"/>
    </row>
    <row r="382">
      <c r="E382" s="55"/>
      <c r="J382" s="53"/>
      <c r="K382" s="50"/>
      <c r="L382" s="50"/>
    </row>
    <row r="383">
      <c r="E383" s="55"/>
      <c r="J383" s="53"/>
      <c r="K383" s="50"/>
      <c r="L383" s="50"/>
    </row>
    <row r="384">
      <c r="E384" s="55"/>
      <c r="J384" s="53"/>
      <c r="K384" s="50"/>
      <c r="L384" s="50"/>
    </row>
    <row r="385">
      <c r="E385" s="55"/>
      <c r="J385" s="53"/>
      <c r="K385" s="50"/>
      <c r="L385" s="50"/>
    </row>
    <row r="386">
      <c r="E386" s="55"/>
      <c r="J386" s="53"/>
      <c r="K386" s="50"/>
      <c r="L386" s="50"/>
    </row>
    <row r="387">
      <c r="E387" s="55"/>
      <c r="J387" s="53"/>
      <c r="K387" s="50"/>
      <c r="L387" s="50"/>
    </row>
    <row r="388">
      <c r="E388" s="55"/>
      <c r="J388" s="53"/>
      <c r="K388" s="50"/>
      <c r="L388" s="50"/>
    </row>
    <row r="389">
      <c r="E389" s="55"/>
      <c r="J389" s="53"/>
      <c r="K389" s="50"/>
      <c r="L389" s="50"/>
    </row>
    <row r="390">
      <c r="E390" s="55"/>
      <c r="J390" s="53"/>
      <c r="K390" s="50"/>
      <c r="L390" s="50"/>
    </row>
    <row r="391">
      <c r="E391" s="55"/>
      <c r="J391" s="53"/>
      <c r="K391" s="50"/>
      <c r="L391" s="50"/>
    </row>
    <row r="392">
      <c r="E392" s="55"/>
      <c r="J392" s="53"/>
      <c r="K392" s="50"/>
      <c r="L392" s="50"/>
    </row>
    <row r="393">
      <c r="E393" s="55"/>
      <c r="J393" s="53"/>
      <c r="K393" s="50"/>
      <c r="L393" s="50"/>
    </row>
    <row r="394">
      <c r="E394" s="55"/>
      <c r="J394" s="53"/>
      <c r="K394" s="50"/>
      <c r="L394" s="50"/>
    </row>
    <row r="395">
      <c r="E395" s="55"/>
      <c r="J395" s="53"/>
      <c r="K395" s="50"/>
      <c r="L395" s="50"/>
    </row>
    <row r="396">
      <c r="E396" s="55"/>
      <c r="J396" s="53"/>
      <c r="K396" s="50"/>
      <c r="L396" s="50"/>
    </row>
    <row r="397">
      <c r="E397" s="55"/>
      <c r="J397" s="53"/>
      <c r="K397" s="50"/>
      <c r="L397" s="50"/>
    </row>
    <row r="398">
      <c r="E398" s="55"/>
      <c r="J398" s="53"/>
      <c r="K398" s="50"/>
      <c r="L398" s="50"/>
    </row>
    <row r="399">
      <c r="E399" s="55"/>
      <c r="J399" s="53"/>
      <c r="K399" s="50"/>
      <c r="L399" s="50"/>
    </row>
    <row r="400">
      <c r="E400" s="55"/>
      <c r="J400" s="53"/>
      <c r="K400" s="50"/>
      <c r="L400" s="50"/>
    </row>
    <row r="401">
      <c r="E401" s="55"/>
      <c r="J401" s="53"/>
      <c r="K401" s="50"/>
      <c r="L401" s="50"/>
    </row>
    <row r="402">
      <c r="E402" s="55"/>
      <c r="J402" s="53"/>
      <c r="K402" s="50"/>
      <c r="L402" s="50"/>
    </row>
    <row r="403">
      <c r="E403" s="55"/>
      <c r="J403" s="53"/>
      <c r="K403" s="50"/>
      <c r="L403" s="50"/>
    </row>
    <row r="404">
      <c r="E404" s="55"/>
      <c r="J404" s="53"/>
      <c r="K404" s="50"/>
      <c r="L404" s="50"/>
    </row>
    <row r="405">
      <c r="E405" s="55"/>
      <c r="J405" s="53"/>
      <c r="K405" s="50"/>
      <c r="L405" s="50"/>
    </row>
    <row r="406">
      <c r="E406" s="55"/>
      <c r="J406" s="53"/>
      <c r="K406" s="50"/>
      <c r="L406" s="50"/>
    </row>
    <row r="407">
      <c r="E407" s="55"/>
      <c r="J407" s="53"/>
      <c r="K407" s="50"/>
      <c r="L407" s="50"/>
    </row>
    <row r="408">
      <c r="E408" s="55"/>
      <c r="J408" s="53"/>
      <c r="K408" s="50"/>
      <c r="L408" s="50"/>
    </row>
    <row r="409">
      <c r="E409" s="55"/>
      <c r="J409" s="53"/>
      <c r="K409" s="50"/>
      <c r="L409" s="50"/>
    </row>
    <row r="410">
      <c r="E410" s="55"/>
      <c r="J410" s="53"/>
      <c r="K410" s="50"/>
      <c r="L410" s="50"/>
    </row>
    <row r="411">
      <c r="E411" s="55"/>
      <c r="J411" s="53"/>
      <c r="K411" s="50"/>
      <c r="L411" s="50"/>
    </row>
    <row r="412">
      <c r="E412" s="55"/>
      <c r="J412" s="53"/>
      <c r="K412" s="50"/>
      <c r="L412" s="50"/>
    </row>
    <row r="413">
      <c r="E413" s="55"/>
      <c r="J413" s="53"/>
      <c r="K413" s="50"/>
      <c r="L413" s="50"/>
    </row>
    <row r="414">
      <c r="E414" s="55"/>
      <c r="J414" s="53"/>
      <c r="K414" s="50"/>
      <c r="L414" s="50"/>
    </row>
    <row r="415">
      <c r="E415" s="55"/>
      <c r="J415" s="53"/>
      <c r="K415" s="50"/>
      <c r="L415" s="50"/>
    </row>
    <row r="416">
      <c r="E416" s="55"/>
      <c r="J416" s="53"/>
      <c r="K416" s="50"/>
      <c r="L416" s="50"/>
    </row>
    <row r="417">
      <c r="E417" s="55"/>
      <c r="J417" s="53"/>
      <c r="K417" s="50"/>
      <c r="L417" s="50"/>
    </row>
    <row r="418">
      <c r="E418" s="55"/>
      <c r="J418" s="53"/>
      <c r="K418" s="50"/>
      <c r="L418" s="50"/>
    </row>
    <row r="419">
      <c r="E419" s="55"/>
      <c r="J419" s="53"/>
      <c r="K419" s="50"/>
      <c r="L419" s="50"/>
    </row>
    <row r="420">
      <c r="E420" s="55"/>
      <c r="J420" s="53"/>
      <c r="K420" s="50"/>
      <c r="L420" s="50"/>
    </row>
    <row r="421">
      <c r="E421" s="55"/>
      <c r="J421" s="53"/>
      <c r="K421" s="50"/>
      <c r="L421" s="50"/>
    </row>
    <row r="422">
      <c r="E422" s="55"/>
      <c r="J422" s="53"/>
      <c r="K422" s="50"/>
      <c r="L422" s="50"/>
    </row>
    <row r="423">
      <c r="E423" s="55"/>
      <c r="J423" s="53"/>
      <c r="K423" s="50"/>
      <c r="L423" s="50"/>
    </row>
    <row r="424">
      <c r="E424" s="55"/>
      <c r="J424" s="53"/>
      <c r="K424" s="50"/>
      <c r="L424" s="50"/>
    </row>
    <row r="425">
      <c r="E425" s="55"/>
      <c r="J425" s="53"/>
      <c r="K425" s="50"/>
      <c r="L425" s="50"/>
    </row>
    <row r="426">
      <c r="E426" s="55"/>
      <c r="J426" s="53"/>
      <c r="K426" s="50"/>
      <c r="L426" s="50"/>
    </row>
    <row r="427">
      <c r="E427" s="55"/>
      <c r="J427" s="53"/>
      <c r="K427" s="50"/>
      <c r="L427" s="50"/>
    </row>
    <row r="428">
      <c r="E428" s="55"/>
      <c r="J428" s="53"/>
      <c r="K428" s="50"/>
      <c r="L428" s="50"/>
    </row>
    <row r="429">
      <c r="E429" s="55"/>
      <c r="J429" s="53"/>
      <c r="K429" s="50"/>
      <c r="L429" s="50"/>
    </row>
    <row r="430">
      <c r="E430" s="55"/>
      <c r="J430" s="53"/>
      <c r="K430" s="50"/>
      <c r="L430" s="50"/>
    </row>
    <row r="431">
      <c r="E431" s="55"/>
      <c r="J431" s="53"/>
      <c r="K431" s="50"/>
      <c r="L431" s="50"/>
    </row>
    <row r="432">
      <c r="E432" s="55"/>
      <c r="J432" s="53"/>
      <c r="K432" s="50"/>
      <c r="L432" s="50"/>
    </row>
    <row r="433">
      <c r="E433" s="55"/>
      <c r="J433" s="53"/>
      <c r="K433" s="50"/>
      <c r="L433" s="50"/>
    </row>
    <row r="434">
      <c r="E434" s="55"/>
      <c r="J434" s="53"/>
      <c r="K434" s="50"/>
      <c r="L434" s="50"/>
    </row>
    <row r="435">
      <c r="E435" s="55"/>
      <c r="J435" s="53"/>
      <c r="K435" s="50"/>
      <c r="L435" s="50"/>
    </row>
    <row r="436">
      <c r="E436" s="55"/>
      <c r="J436" s="53"/>
      <c r="K436" s="50"/>
      <c r="L436" s="50"/>
    </row>
    <row r="437">
      <c r="E437" s="55"/>
      <c r="J437" s="53"/>
      <c r="K437" s="50"/>
      <c r="L437" s="50"/>
    </row>
    <row r="438">
      <c r="E438" s="55"/>
      <c r="J438" s="53"/>
      <c r="K438" s="50"/>
      <c r="L438" s="50"/>
    </row>
    <row r="439">
      <c r="E439" s="55"/>
      <c r="J439" s="53"/>
      <c r="K439" s="50"/>
      <c r="L439" s="50"/>
    </row>
    <row r="440">
      <c r="E440" s="55"/>
      <c r="J440" s="53"/>
      <c r="K440" s="50"/>
      <c r="L440" s="50"/>
    </row>
    <row r="441">
      <c r="E441" s="55"/>
      <c r="J441" s="53"/>
      <c r="K441" s="50"/>
      <c r="L441" s="50"/>
    </row>
    <row r="442">
      <c r="E442" s="55"/>
      <c r="J442" s="53"/>
      <c r="K442" s="50"/>
      <c r="L442" s="50"/>
    </row>
    <row r="443">
      <c r="E443" s="55"/>
      <c r="J443" s="53"/>
      <c r="K443" s="50"/>
      <c r="L443" s="50"/>
    </row>
    <row r="444">
      <c r="E444" s="55"/>
      <c r="J444" s="53"/>
      <c r="K444" s="50"/>
      <c r="L444" s="50"/>
    </row>
    <row r="445">
      <c r="E445" s="55"/>
      <c r="J445" s="53"/>
      <c r="K445" s="50"/>
      <c r="L445" s="50"/>
    </row>
    <row r="446">
      <c r="E446" s="55"/>
      <c r="J446" s="53"/>
      <c r="K446" s="50"/>
      <c r="L446" s="50"/>
    </row>
    <row r="447">
      <c r="E447" s="55"/>
      <c r="J447" s="53"/>
      <c r="K447" s="50"/>
      <c r="L447" s="50"/>
    </row>
    <row r="448">
      <c r="E448" s="55"/>
      <c r="J448" s="53"/>
      <c r="K448" s="50"/>
      <c r="L448" s="50"/>
    </row>
    <row r="449">
      <c r="E449" s="55"/>
      <c r="J449" s="53"/>
      <c r="K449" s="50"/>
      <c r="L449" s="50"/>
    </row>
    <row r="450">
      <c r="E450" s="55"/>
      <c r="J450" s="53"/>
      <c r="K450" s="50"/>
      <c r="L450" s="50"/>
    </row>
    <row r="451">
      <c r="E451" s="55"/>
      <c r="J451" s="53"/>
      <c r="K451" s="50"/>
      <c r="L451" s="50"/>
    </row>
    <row r="452">
      <c r="E452" s="55"/>
      <c r="J452" s="53"/>
      <c r="K452" s="50"/>
      <c r="L452" s="50"/>
    </row>
    <row r="453">
      <c r="E453" s="55"/>
      <c r="J453" s="53"/>
      <c r="K453" s="50"/>
      <c r="L453" s="50"/>
    </row>
    <row r="454">
      <c r="E454" s="55"/>
      <c r="J454" s="53"/>
      <c r="K454" s="50"/>
      <c r="L454" s="50"/>
    </row>
    <row r="455">
      <c r="E455" s="55"/>
      <c r="J455" s="53"/>
      <c r="K455" s="50"/>
      <c r="L455" s="50"/>
    </row>
    <row r="456">
      <c r="E456" s="55"/>
      <c r="J456" s="53"/>
      <c r="K456" s="50"/>
      <c r="L456" s="50"/>
    </row>
    <row r="457">
      <c r="E457" s="55"/>
      <c r="J457" s="53"/>
      <c r="K457" s="50"/>
      <c r="L457" s="50"/>
    </row>
    <row r="458">
      <c r="E458" s="55"/>
      <c r="J458" s="53"/>
      <c r="K458" s="50"/>
      <c r="L458" s="50"/>
    </row>
    <row r="459">
      <c r="E459" s="55"/>
      <c r="J459" s="53"/>
      <c r="K459" s="50"/>
      <c r="L459" s="50"/>
    </row>
    <row r="460">
      <c r="E460" s="55"/>
      <c r="J460" s="53"/>
      <c r="K460" s="50"/>
      <c r="L460" s="50"/>
    </row>
    <row r="461">
      <c r="E461" s="55"/>
      <c r="J461" s="53"/>
      <c r="K461" s="50"/>
      <c r="L461" s="50"/>
    </row>
    <row r="462">
      <c r="E462" s="55"/>
      <c r="J462" s="53"/>
      <c r="K462" s="50"/>
      <c r="L462" s="50"/>
    </row>
    <row r="463">
      <c r="E463" s="55"/>
      <c r="J463" s="53"/>
      <c r="K463" s="50"/>
      <c r="L463" s="50"/>
    </row>
    <row r="464">
      <c r="E464" s="55"/>
      <c r="J464" s="53"/>
      <c r="K464" s="50"/>
      <c r="L464" s="50"/>
    </row>
    <row r="465">
      <c r="E465" s="55"/>
      <c r="J465" s="53"/>
      <c r="K465" s="50"/>
      <c r="L465" s="50"/>
    </row>
    <row r="466">
      <c r="E466" s="55"/>
      <c r="J466" s="53"/>
      <c r="K466" s="50"/>
      <c r="L466" s="50"/>
    </row>
    <row r="467">
      <c r="E467" s="55"/>
      <c r="J467" s="53"/>
      <c r="K467" s="50"/>
      <c r="L467" s="50"/>
    </row>
    <row r="468">
      <c r="E468" s="55"/>
      <c r="J468" s="53"/>
      <c r="K468" s="50"/>
      <c r="L468" s="50"/>
    </row>
    <row r="469">
      <c r="E469" s="55"/>
      <c r="J469" s="53"/>
      <c r="K469" s="50"/>
      <c r="L469" s="50"/>
    </row>
    <row r="470">
      <c r="E470" s="55"/>
      <c r="J470" s="53"/>
      <c r="K470" s="50"/>
      <c r="L470" s="50"/>
    </row>
    <row r="471">
      <c r="E471" s="55"/>
      <c r="J471" s="53"/>
      <c r="K471" s="50"/>
      <c r="L471" s="50"/>
    </row>
    <row r="472">
      <c r="E472" s="55"/>
      <c r="J472" s="53"/>
      <c r="K472" s="50"/>
      <c r="L472" s="50"/>
    </row>
    <row r="473">
      <c r="E473" s="55"/>
      <c r="J473" s="53"/>
      <c r="K473" s="50"/>
      <c r="L473" s="50"/>
    </row>
    <row r="474">
      <c r="E474" s="55"/>
      <c r="J474" s="53"/>
      <c r="K474" s="50"/>
      <c r="L474" s="50"/>
    </row>
    <row r="475">
      <c r="E475" s="55"/>
      <c r="J475" s="53"/>
      <c r="K475" s="50"/>
      <c r="L475" s="50"/>
    </row>
    <row r="476">
      <c r="E476" s="55"/>
      <c r="J476" s="53"/>
      <c r="K476" s="50"/>
      <c r="L476" s="50"/>
    </row>
    <row r="477">
      <c r="E477" s="55"/>
      <c r="J477" s="53"/>
      <c r="K477" s="50"/>
      <c r="L477" s="50"/>
    </row>
    <row r="478">
      <c r="E478" s="55"/>
      <c r="J478" s="53"/>
      <c r="K478" s="50"/>
      <c r="L478" s="50"/>
    </row>
    <row r="479">
      <c r="E479" s="55"/>
      <c r="J479" s="53"/>
      <c r="K479" s="50"/>
      <c r="L479" s="50"/>
    </row>
    <row r="480">
      <c r="E480" s="55"/>
      <c r="J480" s="53"/>
      <c r="K480" s="50"/>
      <c r="L480" s="50"/>
    </row>
    <row r="481">
      <c r="E481" s="55"/>
      <c r="J481" s="53"/>
      <c r="K481" s="50"/>
      <c r="L481" s="50"/>
    </row>
    <row r="482">
      <c r="E482" s="55"/>
      <c r="J482" s="53"/>
      <c r="K482" s="50"/>
      <c r="L482" s="50"/>
    </row>
    <row r="483">
      <c r="E483" s="55"/>
      <c r="J483" s="53"/>
      <c r="K483" s="50"/>
      <c r="L483" s="50"/>
    </row>
    <row r="484">
      <c r="E484" s="55"/>
      <c r="J484" s="53"/>
      <c r="K484" s="50"/>
      <c r="L484" s="50"/>
    </row>
    <row r="485">
      <c r="E485" s="55"/>
      <c r="J485" s="53"/>
      <c r="K485" s="50"/>
      <c r="L485" s="50"/>
    </row>
    <row r="486">
      <c r="E486" s="55"/>
      <c r="J486" s="53"/>
      <c r="K486" s="50"/>
      <c r="L486" s="50"/>
    </row>
    <row r="487">
      <c r="E487" s="55"/>
      <c r="J487" s="53"/>
      <c r="K487" s="50"/>
      <c r="L487" s="50"/>
    </row>
    <row r="488">
      <c r="E488" s="55"/>
      <c r="J488" s="53"/>
      <c r="K488" s="50"/>
      <c r="L488" s="50"/>
    </row>
    <row r="489">
      <c r="E489" s="55"/>
      <c r="J489" s="53"/>
      <c r="K489" s="50"/>
      <c r="L489" s="50"/>
    </row>
    <row r="490">
      <c r="E490" s="55"/>
      <c r="J490" s="53"/>
      <c r="K490" s="50"/>
      <c r="L490" s="50"/>
    </row>
    <row r="491">
      <c r="E491" s="55"/>
      <c r="J491" s="53"/>
      <c r="K491" s="50"/>
      <c r="L491" s="50"/>
    </row>
    <row r="492">
      <c r="E492" s="55"/>
      <c r="J492" s="53"/>
      <c r="K492" s="50"/>
      <c r="L492" s="50"/>
    </row>
    <row r="493">
      <c r="E493" s="55"/>
      <c r="J493" s="53"/>
      <c r="K493" s="50"/>
      <c r="L493" s="50"/>
    </row>
    <row r="494">
      <c r="E494" s="55"/>
      <c r="J494" s="53"/>
      <c r="K494" s="50"/>
      <c r="L494" s="50"/>
    </row>
    <row r="495">
      <c r="E495" s="55"/>
      <c r="J495" s="53"/>
      <c r="K495" s="50"/>
      <c r="L495" s="50"/>
    </row>
    <row r="496">
      <c r="E496" s="55"/>
      <c r="J496" s="53"/>
      <c r="K496" s="50"/>
      <c r="L496" s="50"/>
    </row>
    <row r="497">
      <c r="E497" s="55"/>
      <c r="J497" s="53"/>
      <c r="K497" s="50"/>
      <c r="L497" s="50"/>
    </row>
    <row r="498">
      <c r="E498" s="55"/>
      <c r="J498" s="53"/>
      <c r="K498" s="50"/>
      <c r="L498" s="50"/>
    </row>
    <row r="499">
      <c r="E499" s="55"/>
      <c r="J499" s="53"/>
      <c r="K499" s="50"/>
      <c r="L499" s="50"/>
    </row>
    <row r="500">
      <c r="E500" s="55"/>
      <c r="J500" s="53"/>
      <c r="K500" s="50"/>
      <c r="L500" s="50"/>
    </row>
    <row r="501">
      <c r="E501" s="55"/>
      <c r="J501" s="53"/>
      <c r="K501" s="50"/>
      <c r="L501" s="50"/>
    </row>
    <row r="502">
      <c r="E502" s="55"/>
      <c r="J502" s="53"/>
      <c r="K502" s="50"/>
      <c r="L502" s="50"/>
    </row>
    <row r="503">
      <c r="E503" s="55"/>
      <c r="J503" s="53"/>
      <c r="K503" s="50"/>
      <c r="L503" s="50"/>
    </row>
    <row r="504">
      <c r="E504" s="55"/>
      <c r="J504" s="53"/>
      <c r="K504" s="50"/>
      <c r="L504" s="50"/>
    </row>
    <row r="505">
      <c r="E505" s="55"/>
      <c r="J505" s="53"/>
      <c r="K505" s="50"/>
      <c r="L505" s="50"/>
    </row>
    <row r="506">
      <c r="E506" s="55"/>
      <c r="J506" s="53"/>
      <c r="K506" s="50"/>
      <c r="L506" s="50"/>
    </row>
    <row r="507">
      <c r="E507" s="55"/>
      <c r="J507" s="53"/>
      <c r="K507" s="50"/>
      <c r="L507" s="50"/>
    </row>
    <row r="508">
      <c r="E508" s="55"/>
      <c r="J508" s="53"/>
      <c r="K508" s="50"/>
      <c r="L508" s="50"/>
    </row>
    <row r="509">
      <c r="E509" s="55"/>
      <c r="J509" s="53"/>
      <c r="K509" s="50"/>
      <c r="L509" s="50"/>
    </row>
    <row r="510">
      <c r="E510" s="55"/>
      <c r="J510" s="53"/>
      <c r="K510" s="50"/>
      <c r="L510" s="50"/>
    </row>
    <row r="511">
      <c r="E511" s="55"/>
      <c r="J511" s="53"/>
      <c r="K511" s="50"/>
      <c r="L511" s="50"/>
    </row>
    <row r="512">
      <c r="E512" s="55"/>
      <c r="J512" s="53"/>
      <c r="K512" s="50"/>
      <c r="L512" s="50"/>
    </row>
    <row r="513">
      <c r="E513" s="55"/>
      <c r="J513" s="53"/>
      <c r="K513" s="50"/>
      <c r="L513" s="50"/>
    </row>
    <row r="514">
      <c r="E514" s="55"/>
      <c r="J514" s="53"/>
      <c r="K514" s="50"/>
      <c r="L514" s="50"/>
    </row>
    <row r="515">
      <c r="E515" s="55"/>
      <c r="J515" s="53"/>
      <c r="K515" s="50"/>
      <c r="L515" s="50"/>
    </row>
    <row r="516">
      <c r="E516" s="55"/>
      <c r="J516" s="53"/>
      <c r="K516" s="50"/>
      <c r="L516" s="50"/>
    </row>
    <row r="517">
      <c r="E517" s="55"/>
      <c r="J517" s="53"/>
      <c r="K517" s="50"/>
      <c r="L517" s="50"/>
    </row>
    <row r="518">
      <c r="E518" s="55"/>
      <c r="J518" s="53"/>
      <c r="K518" s="50"/>
      <c r="L518" s="50"/>
    </row>
    <row r="519">
      <c r="E519" s="55"/>
      <c r="J519" s="53"/>
      <c r="K519" s="50"/>
      <c r="L519" s="50"/>
    </row>
    <row r="520">
      <c r="E520" s="55"/>
      <c r="J520" s="53"/>
      <c r="K520" s="50"/>
      <c r="L520" s="50"/>
    </row>
    <row r="521">
      <c r="E521" s="55"/>
      <c r="J521" s="53"/>
      <c r="K521" s="50"/>
      <c r="L521" s="50"/>
    </row>
    <row r="522">
      <c r="E522" s="55"/>
      <c r="J522" s="53"/>
      <c r="K522" s="50"/>
      <c r="L522" s="50"/>
    </row>
    <row r="523">
      <c r="E523" s="55"/>
      <c r="J523" s="53"/>
      <c r="K523" s="50"/>
      <c r="L523" s="50"/>
    </row>
    <row r="524">
      <c r="E524" s="55"/>
      <c r="J524" s="53"/>
      <c r="K524" s="50"/>
      <c r="L524" s="50"/>
    </row>
    <row r="525">
      <c r="E525" s="55"/>
      <c r="J525" s="53"/>
      <c r="K525" s="50"/>
      <c r="L525" s="50"/>
    </row>
    <row r="526">
      <c r="E526" s="55"/>
      <c r="J526" s="53"/>
      <c r="K526" s="50"/>
      <c r="L526" s="50"/>
    </row>
    <row r="527">
      <c r="E527" s="55"/>
      <c r="J527" s="53"/>
      <c r="K527" s="50"/>
      <c r="L527" s="50"/>
    </row>
    <row r="528">
      <c r="E528" s="55"/>
      <c r="J528" s="53"/>
      <c r="K528" s="50"/>
      <c r="L528" s="50"/>
    </row>
    <row r="529">
      <c r="E529" s="55"/>
      <c r="J529" s="53"/>
      <c r="K529" s="50"/>
      <c r="L529" s="50"/>
    </row>
    <row r="530">
      <c r="E530" s="55"/>
      <c r="J530" s="53"/>
      <c r="K530" s="50"/>
      <c r="L530" s="50"/>
    </row>
    <row r="531">
      <c r="E531" s="55"/>
      <c r="J531" s="53"/>
      <c r="K531" s="50"/>
      <c r="L531" s="50"/>
    </row>
    <row r="532">
      <c r="E532" s="55"/>
      <c r="J532" s="53"/>
      <c r="K532" s="50"/>
      <c r="L532" s="50"/>
    </row>
    <row r="533">
      <c r="E533" s="55"/>
      <c r="J533" s="53"/>
      <c r="K533" s="50"/>
      <c r="L533" s="50"/>
    </row>
    <row r="534">
      <c r="E534" s="55"/>
      <c r="J534" s="53"/>
      <c r="K534" s="50"/>
      <c r="L534" s="50"/>
    </row>
    <row r="535">
      <c r="E535" s="55"/>
      <c r="J535" s="53"/>
      <c r="K535" s="50"/>
      <c r="L535" s="50"/>
    </row>
    <row r="536">
      <c r="E536" s="55"/>
      <c r="J536" s="53"/>
      <c r="K536" s="50"/>
      <c r="L536" s="50"/>
    </row>
    <row r="537">
      <c r="E537" s="55"/>
      <c r="J537" s="53"/>
      <c r="K537" s="50"/>
      <c r="L537" s="50"/>
    </row>
    <row r="538">
      <c r="E538" s="55"/>
      <c r="J538" s="53"/>
      <c r="K538" s="50"/>
      <c r="L538" s="50"/>
    </row>
    <row r="539">
      <c r="E539" s="55"/>
      <c r="J539" s="53"/>
      <c r="K539" s="50"/>
      <c r="L539" s="50"/>
    </row>
    <row r="540">
      <c r="E540" s="55"/>
      <c r="J540" s="53"/>
      <c r="K540" s="50"/>
      <c r="L540" s="50"/>
    </row>
    <row r="541">
      <c r="E541" s="55"/>
      <c r="J541" s="53"/>
      <c r="K541" s="50"/>
      <c r="L541" s="50"/>
    </row>
    <row r="542">
      <c r="E542" s="55"/>
      <c r="J542" s="53"/>
      <c r="K542" s="50"/>
      <c r="L542" s="50"/>
    </row>
    <row r="543">
      <c r="E543" s="55"/>
      <c r="J543" s="53"/>
      <c r="K543" s="50"/>
      <c r="L543" s="50"/>
    </row>
    <row r="544">
      <c r="E544" s="55"/>
      <c r="J544" s="53"/>
      <c r="K544" s="50"/>
      <c r="L544" s="50"/>
    </row>
    <row r="545">
      <c r="E545" s="55"/>
      <c r="J545" s="53"/>
      <c r="K545" s="50"/>
      <c r="L545" s="50"/>
    </row>
    <row r="546">
      <c r="E546" s="55"/>
      <c r="J546" s="53"/>
      <c r="K546" s="50"/>
      <c r="L546" s="50"/>
    </row>
    <row r="547">
      <c r="E547" s="55"/>
      <c r="J547" s="53"/>
      <c r="K547" s="50"/>
      <c r="L547" s="50"/>
    </row>
    <row r="548">
      <c r="E548" s="55"/>
      <c r="J548" s="53"/>
      <c r="K548" s="50"/>
      <c r="L548" s="50"/>
    </row>
    <row r="549">
      <c r="E549" s="55"/>
      <c r="J549" s="53"/>
      <c r="K549" s="50"/>
      <c r="L549" s="50"/>
    </row>
    <row r="550">
      <c r="E550" s="55"/>
      <c r="J550" s="53"/>
      <c r="K550" s="50"/>
      <c r="L550" s="50"/>
    </row>
    <row r="551">
      <c r="E551" s="55"/>
      <c r="J551" s="53"/>
      <c r="K551" s="50"/>
      <c r="L551" s="50"/>
    </row>
    <row r="552">
      <c r="E552" s="55"/>
      <c r="J552" s="53"/>
      <c r="K552" s="50"/>
      <c r="L552" s="50"/>
    </row>
    <row r="553">
      <c r="E553" s="55"/>
      <c r="J553" s="53"/>
      <c r="K553" s="50"/>
      <c r="L553" s="50"/>
    </row>
    <row r="554">
      <c r="E554" s="55"/>
      <c r="J554" s="53"/>
      <c r="K554" s="50"/>
      <c r="L554" s="50"/>
    </row>
    <row r="555">
      <c r="E555" s="55"/>
      <c r="J555" s="53"/>
      <c r="K555" s="50"/>
      <c r="L555" s="50"/>
    </row>
    <row r="556">
      <c r="E556" s="55"/>
      <c r="J556" s="53"/>
      <c r="K556" s="50"/>
      <c r="L556" s="50"/>
    </row>
    <row r="557">
      <c r="E557" s="55"/>
      <c r="J557" s="53"/>
      <c r="K557" s="50"/>
      <c r="L557" s="50"/>
    </row>
    <row r="558">
      <c r="E558" s="55"/>
      <c r="J558" s="53"/>
      <c r="K558" s="50"/>
      <c r="L558" s="50"/>
    </row>
    <row r="559">
      <c r="E559" s="55"/>
      <c r="J559" s="53"/>
      <c r="K559" s="50"/>
      <c r="L559" s="50"/>
    </row>
    <row r="560">
      <c r="E560" s="55"/>
      <c r="J560" s="53"/>
      <c r="K560" s="50"/>
      <c r="L560" s="50"/>
    </row>
    <row r="561">
      <c r="E561" s="55"/>
      <c r="J561" s="53"/>
      <c r="K561" s="50"/>
      <c r="L561" s="50"/>
    </row>
    <row r="562">
      <c r="E562" s="55"/>
      <c r="J562" s="53"/>
      <c r="K562" s="50"/>
      <c r="L562" s="50"/>
    </row>
    <row r="563">
      <c r="E563" s="55"/>
      <c r="J563" s="53"/>
      <c r="K563" s="50"/>
      <c r="L563" s="50"/>
    </row>
    <row r="564">
      <c r="E564" s="55"/>
      <c r="J564" s="53"/>
      <c r="K564" s="50"/>
      <c r="L564" s="50"/>
    </row>
    <row r="565">
      <c r="E565" s="55"/>
      <c r="J565" s="53"/>
      <c r="K565" s="50"/>
      <c r="L565" s="50"/>
    </row>
    <row r="566">
      <c r="E566" s="55"/>
      <c r="J566" s="53"/>
      <c r="K566" s="50"/>
      <c r="L566" s="50"/>
    </row>
    <row r="567">
      <c r="E567" s="55"/>
      <c r="J567" s="53"/>
      <c r="K567" s="50"/>
      <c r="L567" s="50"/>
    </row>
    <row r="568">
      <c r="E568" s="55"/>
      <c r="J568" s="53"/>
      <c r="K568" s="50"/>
      <c r="L568" s="50"/>
    </row>
    <row r="569">
      <c r="E569" s="55"/>
      <c r="J569" s="53"/>
      <c r="K569" s="50"/>
      <c r="L569" s="50"/>
    </row>
    <row r="570">
      <c r="E570" s="55"/>
      <c r="J570" s="53"/>
      <c r="K570" s="50"/>
      <c r="L570" s="50"/>
    </row>
    <row r="571">
      <c r="E571" s="55"/>
      <c r="J571" s="53"/>
      <c r="K571" s="50"/>
      <c r="L571" s="50"/>
    </row>
    <row r="572">
      <c r="E572" s="55"/>
      <c r="J572" s="53"/>
      <c r="K572" s="50"/>
      <c r="L572" s="50"/>
    </row>
    <row r="573">
      <c r="E573" s="55"/>
      <c r="J573" s="53"/>
      <c r="K573" s="50"/>
      <c r="L573" s="50"/>
    </row>
    <row r="574">
      <c r="E574" s="55"/>
      <c r="J574" s="53"/>
      <c r="K574" s="50"/>
      <c r="L574" s="50"/>
    </row>
    <row r="575">
      <c r="E575" s="55"/>
      <c r="J575" s="53"/>
      <c r="K575" s="50"/>
      <c r="L575" s="50"/>
    </row>
    <row r="576">
      <c r="E576" s="55"/>
      <c r="J576" s="53"/>
      <c r="K576" s="50"/>
      <c r="L576" s="50"/>
    </row>
    <row r="577">
      <c r="E577" s="55"/>
      <c r="J577" s="53"/>
      <c r="K577" s="50"/>
      <c r="L577" s="50"/>
    </row>
    <row r="578">
      <c r="E578" s="55"/>
      <c r="J578" s="53"/>
      <c r="K578" s="50"/>
      <c r="L578" s="50"/>
    </row>
    <row r="579">
      <c r="E579" s="55"/>
      <c r="J579" s="53"/>
      <c r="K579" s="50"/>
      <c r="L579" s="50"/>
    </row>
    <row r="580">
      <c r="E580" s="55"/>
      <c r="J580" s="53"/>
      <c r="K580" s="50"/>
      <c r="L580" s="50"/>
    </row>
    <row r="581">
      <c r="E581" s="55"/>
      <c r="J581" s="53"/>
      <c r="K581" s="50"/>
      <c r="L581" s="50"/>
    </row>
    <row r="582">
      <c r="E582" s="55"/>
      <c r="J582" s="53"/>
      <c r="K582" s="50"/>
      <c r="L582" s="50"/>
    </row>
    <row r="583">
      <c r="E583" s="55"/>
      <c r="J583" s="53"/>
      <c r="K583" s="50"/>
      <c r="L583" s="50"/>
    </row>
    <row r="584">
      <c r="E584" s="55"/>
      <c r="J584" s="53"/>
      <c r="K584" s="50"/>
      <c r="L584" s="50"/>
    </row>
    <row r="585">
      <c r="E585" s="55"/>
      <c r="J585" s="53"/>
      <c r="K585" s="50"/>
      <c r="L585" s="50"/>
    </row>
    <row r="586">
      <c r="E586" s="55"/>
      <c r="J586" s="53"/>
      <c r="K586" s="50"/>
      <c r="L586" s="50"/>
    </row>
    <row r="587">
      <c r="E587" s="55"/>
      <c r="J587" s="53"/>
      <c r="K587" s="50"/>
      <c r="L587" s="50"/>
    </row>
    <row r="588">
      <c r="E588" s="55"/>
      <c r="J588" s="53"/>
      <c r="K588" s="50"/>
      <c r="L588" s="50"/>
    </row>
    <row r="589">
      <c r="E589" s="55"/>
      <c r="J589" s="53"/>
      <c r="K589" s="50"/>
      <c r="L589" s="50"/>
    </row>
    <row r="590">
      <c r="E590" s="55"/>
      <c r="J590" s="53"/>
      <c r="K590" s="50"/>
      <c r="L590" s="50"/>
    </row>
    <row r="591">
      <c r="E591" s="55"/>
      <c r="J591" s="53"/>
      <c r="K591" s="50"/>
      <c r="L591" s="50"/>
    </row>
    <row r="592">
      <c r="E592" s="55"/>
      <c r="J592" s="53"/>
      <c r="K592" s="50"/>
      <c r="L592" s="50"/>
    </row>
    <row r="593">
      <c r="E593" s="55"/>
      <c r="J593" s="53"/>
      <c r="K593" s="50"/>
      <c r="L593" s="50"/>
    </row>
    <row r="594">
      <c r="E594" s="55"/>
      <c r="J594" s="53"/>
      <c r="K594" s="50"/>
      <c r="L594" s="50"/>
    </row>
    <row r="595">
      <c r="E595" s="55"/>
      <c r="J595" s="53"/>
      <c r="K595" s="50"/>
      <c r="L595" s="50"/>
    </row>
    <row r="596">
      <c r="E596" s="55"/>
      <c r="J596" s="53"/>
      <c r="K596" s="50"/>
      <c r="L596" s="50"/>
    </row>
    <row r="597">
      <c r="E597" s="55"/>
      <c r="J597" s="53"/>
      <c r="K597" s="50"/>
      <c r="L597" s="50"/>
    </row>
    <row r="598">
      <c r="E598" s="55"/>
      <c r="J598" s="53"/>
      <c r="K598" s="50"/>
      <c r="L598" s="50"/>
    </row>
    <row r="599">
      <c r="E599" s="55"/>
      <c r="J599" s="53"/>
      <c r="K599" s="50"/>
      <c r="L599" s="50"/>
    </row>
    <row r="600">
      <c r="E600" s="55"/>
      <c r="J600" s="53"/>
      <c r="K600" s="50"/>
      <c r="L600" s="50"/>
    </row>
    <row r="601">
      <c r="E601" s="55"/>
      <c r="J601" s="53"/>
      <c r="K601" s="50"/>
      <c r="L601" s="50"/>
    </row>
    <row r="602">
      <c r="E602" s="55"/>
      <c r="J602" s="53"/>
      <c r="K602" s="50"/>
      <c r="L602" s="50"/>
    </row>
    <row r="603">
      <c r="E603" s="55"/>
      <c r="J603" s="53"/>
      <c r="K603" s="50"/>
      <c r="L603" s="50"/>
    </row>
    <row r="604">
      <c r="E604" s="55"/>
      <c r="J604" s="53"/>
      <c r="K604" s="50"/>
      <c r="L604" s="50"/>
    </row>
    <row r="605">
      <c r="E605" s="55"/>
      <c r="J605" s="53"/>
      <c r="K605" s="50"/>
      <c r="L605" s="50"/>
    </row>
    <row r="606">
      <c r="E606" s="55"/>
      <c r="J606" s="53"/>
      <c r="K606" s="50"/>
      <c r="L606" s="50"/>
    </row>
    <row r="607">
      <c r="E607" s="55"/>
      <c r="J607" s="53"/>
      <c r="K607" s="50"/>
      <c r="L607" s="50"/>
    </row>
    <row r="608">
      <c r="E608" s="55"/>
      <c r="J608" s="53"/>
      <c r="K608" s="50"/>
      <c r="L608" s="50"/>
    </row>
    <row r="609">
      <c r="E609" s="55"/>
      <c r="J609" s="53"/>
      <c r="K609" s="50"/>
      <c r="L609" s="50"/>
    </row>
    <row r="610">
      <c r="E610" s="55"/>
      <c r="J610" s="53"/>
      <c r="K610" s="50"/>
      <c r="L610" s="50"/>
    </row>
    <row r="611">
      <c r="E611" s="55"/>
      <c r="J611" s="53"/>
      <c r="K611" s="50"/>
      <c r="L611" s="50"/>
    </row>
    <row r="612">
      <c r="E612" s="55"/>
      <c r="J612" s="53"/>
      <c r="K612" s="50"/>
      <c r="L612" s="50"/>
    </row>
    <row r="613">
      <c r="E613" s="55"/>
      <c r="J613" s="53"/>
      <c r="K613" s="50"/>
      <c r="L613" s="50"/>
    </row>
    <row r="614">
      <c r="E614" s="55"/>
      <c r="J614" s="53"/>
      <c r="K614" s="50"/>
      <c r="L614" s="50"/>
    </row>
    <row r="615">
      <c r="E615" s="55"/>
      <c r="J615" s="53"/>
      <c r="K615" s="50"/>
      <c r="L615" s="50"/>
    </row>
    <row r="616">
      <c r="E616" s="55"/>
      <c r="J616" s="53"/>
      <c r="K616" s="50"/>
      <c r="L616" s="50"/>
    </row>
    <row r="617">
      <c r="E617" s="55"/>
      <c r="J617" s="53"/>
      <c r="K617" s="50"/>
      <c r="L617" s="50"/>
    </row>
    <row r="618">
      <c r="E618" s="55"/>
      <c r="J618" s="53"/>
      <c r="K618" s="50"/>
      <c r="L618" s="50"/>
    </row>
    <row r="619">
      <c r="E619" s="55"/>
      <c r="J619" s="53"/>
      <c r="K619" s="50"/>
      <c r="L619" s="50"/>
    </row>
    <row r="620">
      <c r="E620" s="55"/>
      <c r="J620" s="53"/>
      <c r="K620" s="50"/>
      <c r="L620" s="50"/>
    </row>
    <row r="621">
      <c r="E621" s="55"/>
      <c r="J621" s="53"/>
      <c r="K621" s="50"/>
      <c r="L621" s="50"/>
    </row>
    <row r="622">
      <c r="E622" s="55"/>
      <c r="J622" s="53"/>
      <c r="K622" s="50"/>
      <c r="L622" s="50"/>
    </row>
    <row r="623">
      <c r="E623" s="55"/>
      <c r="J623" s="53"/>
      <c r="K623" s="50"/>
      <c r="L623" s="50"/>
    </row>
    <row r="624">
      <c r="E624" s="55"/>
      <c r="J624" s="53"/>
      <c r="K624" s="50"/>
      <c r="L624" s="50"/>
    </row>
    <row r="625">
      <c r="E625" s="55"/>
      <c r="J625" s="53"/>
      <c r="K625" s="50"/>
      <c r="L625" s="50"/>
    </row>
    <row r="626">
      <c r="E626" s="55"/>
      <c r="J626" s="53"/>
      <c r="K626" s="50"/>
      <c r="L626" s="50"/>
    </row>
    <row r="627">
      <c r="E627" s="55"/>
      <c r="J627" s="53"/>
      <c r="K627" s="50"/>
      <c r="L627" s="50"/>
    </row>
    <row r="628">
      <c r="E628" s="55"/>
      <c r="J628" s="53"/>
      <c r="K628" s="50"/>
      <c r="L628" s="50"/>
    </row>
    <row r="629">
      <c r="E629" s="55"/>
      <c r="J629" s="53"/>
      <c r="K629" s="50"/>
      <c r="L629" s="50"/>
    </row>
    <row r="630">
      <c r="E630" s="55"/>
      <c r="J630" s="53"/>
      <c r="K630" s="50"/>
      <c r="L630" s="50"/>
    </row>
    <row r="631">
      <c r="E631" s="55"/>
      <c r="J631" s="53"/>
      <c r="K631" s="50"/>
      <c r="L631" s="50"/>
    </row>
    <row r="632">
      <c r="E632" s="55"/>
      <c r="J632" s="53"/>
      <c r="K632" s="50"/>
      <c r="L632" s="50"/>
    </row>
    <row r="633">
      <c r="E633" s="55"/>
      <c r="J633" s="53"/>
      <c r="K633" s="50"/>
      <c r="L633" s="50"/>
    </row>
    <row r="634">
      <c r="E634" s="55"/>
      <c r="J634" s="53"/>
      <c r="K634" s="50"/>
      <c r="L634" s="50"/>
    </row>
    <row r="635">
      <c r="E635" s="55"/>
      <c r="J635" s="53"/>
      <c r="K635" s="50"/>
      <c r="L635" s="50"/>
    </row>
    <row r="636">
      <c r="E636" s="55"/>
      <c r="J636" s="53"/>
      <c r="K636" s="50"/>
      <c r="L636" s="50"/>
    </row>
    <row r="637">
      <c r="E637" s="55"/>
      <c r="J637" s="53"/>
      <c r="K637" s="50"/>
      <c r="L637" s="50"/>
    </row>
    <row r="638">
      <c r="E638" s="55"/>
      <c r="J638" s="53"/>
      <c r="K638" s="50"/>
      <c r="L638" s="50"/>
    </row>
    <row r="639">
      <c r="E639" s="55"/>
      <c r="J639" s="53"/>
      <c r="K639" s="50"/>
      <c r="L639" s="50"/>
    </row>
    <row r="640">
      <c r="E640" s="55"/>
      <c r="J640" s="53"/>
      <c r="K640" s="50"/>
      <c r="L640" s="50"/>
    </row>
    <row r="641">
      <c r="E641" s="55"/>
      <c r="J641" s="53"/>
      <c r="K641" s="50"/>
      <c r="L641" s="50"/>
    </row>
    <row r="642">
      <c r="E642" s="55"/>
      <c r="J642" s="53"/>
      <c r="K642" s="50"/>
      <c r="L642" s="50"/>
    </row>
    <row r="643">
      <c r="E643" s="55"/>
      <c r="J643" s="53"/>
      <c r="K643" s="50"/>
      <c r="L643" s="50"/>
    </row>
    <row r="644">
      <c r="E644" s="55"/>
      <c r="J644" s="53"/>
      <c r="K644" s="50"/>
      <c r="L644" s="50"/>
    </row>
    <row r="645">
      <c r="E645" s="55"/>
      <c r="J645" s="53"/>
      <c r="K645" s="50"/>
      <c r="L645" s="50"/>
    </row>
    <row r="646">
      <c r="E646" s="55"/>
      <c r="J646" s="53"/>
      <c r="K646" s="50"/>
      <c r="L646" s="50"/>
    </row>
    <row r="647">
      <c r="E647" s="55"/>
      <c r="J647" s="53"/>
      <c r="K647" s="50"/>
      <c r="L647" s="50"/>
    </row>
    <row r="648">
      <c r="E648" s="55"/>
      <c r="J648" s="53"/>
      <c r="K648" s="50"/>
      <c r="L648" s="50"/>
    </row>
    <row r="649">
      <c r="E649" s="55"/>
      <c r="J649" s="53"/>
      <c r="K649" s="50"/>
      <c r="L649" s="50"/>
    </row>
    <row r="650">
      <c r="E650" s="55"/>
      <c r="J650" s="53"/>
      <c r="K650" s="50"/>
      <c r="L650" s="50"/>
    </row>
    <row r="651">
      <c r="E651" s="55"/>
      <c r="J651" s="53"/>
      <c r="K651" s="50"/>
      <c r="L651" s="50"/>
    </row>
    <row r="652">
      <c r="E652" s="55"/>
      <c r="J652" s="53"/>
      <c r="K652" s="50"/>
      <c r="L652" s="50"/>
    </row>
    <row r="653">
      <c r="E653" s="55"/>
      <c r="J653" s="53"/>
      <c r="K653" s="50"/>
      <c r="L653" s="50"/>
    </row>
    <row r="654">
      <c r="E654" s="55"/>
      <c r="J654" s="53"/>
      <c r="K654" s="50"/>
      <c r="L654" s="50"/>
    </row>
    <row r="655">
      <c r="E655" s="55"/>
      <c r="J655" s="53"/>
      <c r="K655" s="50"/>
      <c r="L655" s="50"/>
    </row>
    <row r="656">
      <c r="E656" s="55"/>
      <c r="J656" s="53"/>
      <c r="K656" s="50"/>
      <c r="L656" s="50"/>
    </row>
    <row r="657">
      <c r="E657" s="55"/>
      <c r="J657" s="53"/>
      <c r="K657" s="50"/>
      <c r="L657" s="50"/>
    </row>
    <row r="658">
      <c r="E658" s="55"/>
      <c r="J658" s="53"/>
      <c r="K658" s="50"/>
      <c r="L658" s="50"/>
    </row>
    <row r="659">
      <c r="E659" s="55"/>
      <c r="J659" s="53"/>
      <c r="K659" s="50"/>
      <c r="L659" s="50"/>
    </row>
    <row r="660">
      <c r="E660" s="55"/>
      <c r="J660" s="53"/>
      <c r="K660" s="50"/>
      <c r="L660" s="50"/>
    </row>
    <row r="661">
      <c r="E661" s="55"/>
      <c r="J661" s="53"/>
      <c r="K661" s="50"/>
      <c r="L661" s="50"/>
    </row>
    <row r="662">
      <c r="E662" s="55"/>
      <c r="J662" s="53"/>
      <c r="K662" s="50"/>
      <c r="L662" s="50"/>
    </row>
    <row r="663">
      <c r="E663" s="55"/>
      <c r="J663" s="53"/>
      <c r="K663" s="50"/>
      <c r="L663" s="50"/>
    </row>
    <row r="664">
      <c r="E664" s="55"/>
      <c r="J664" s="53"/>
      <c r="K664" s="50"/>
      <c r="L664" s="50"/>
    </row>
    <row r="665">
      <c r="E665" s="55"/>
      <c r="J665" s="53"/>
      <c r="K665" s="50"/>
      <c r="L665" s="50"/>
    </row>
    <row r="666">
      <c r="E666" s="55"/>
      <c r="J666" s="53"/>
      <c r="K666" s="50"/>
      <c r="L666" s="50"/>
    </row>
    <row r="667">
      <c r="E667" s="55"/>
      <c r="J667" s="53"/>
      <c r="K667" s="50"/>
      <c r="L667" s="50"/>
    </row>
    <row r="668">
      <c r="E668" s="55"/>
      <c r="J668" s="53"/>
      <c r="K668" s="50"/>
      <c r="L668" s="50"/>
    </row>
    <row r="669">
      <c r="E669" s="55"/>
      <c r="J669" s="53"/>
      <c r="K669" s="50"/>
      <c r="L669" s="50"/>
    </row>
    <row r="670">
      <c r="E670" s="55"/>
      <c r="J670" s="53"/>
      <c r="K670" s="50"/>
      <c r="L670" s="50"/>
    </row>
    <row r="671">
      <c r="E671" s="55"/>
      <c r="J671" s="53"/>
      <c r="K671" s="50"/>
      <c r="L671" s="50"/>
    </row>
    <row r="672">
      <c r="E672" s="55"/>
      <c r="J672" s="53"/>
      <c r="K672" s="50"/>
      <c r="L672" s="50"/>
    </row>
    <row r="673">
      <c r="E673" s="55"/>
      <c r="J673" s="53"/>
      <c r="K673" s="50"/>
      <c r="L673" s="50"/>
    </row>
    <row r="674">
      <c r="E674" s="55"/>
      <c r="J674" s="53"/>
      <c r="K674" s="50"/>
      <c r="L674" s="50"/>
    </row>
    <row r="675">
      <c r="E675" s="55"/>
      <c r="J675" s="53"/>
      <c r="K675" s="50"/>
      <c r="L675" s="50"/>
    </row>
    <row r="676">
      <c r="E676" s="55"/>
      <c r="J676" s="53"/>
      <c r="K676" s="50"/>
      <c r="L676" s="50"/>
    </row>
    <row r="677">
      <c r="E677" s="55"/>
      <c r="J677" s="53"/>
      <c r="K677" s="50"/>
      <c r="L677" s="50"/>
    </row>
    <row r="678">
      <c r="E678" s="55"/>
      <c r="J678" s="53"/>
      <c r="K678" s="50"/>
      <c r="L678" s="50"/>
    </row>
    <row r="679">
      <c r="E679" s="55"/>
      <c r="J679" s="53"/>
      <c r="K679" s="50"/>
      <c r="L679" s="50"/>
    </row>
    <row r="680">
      <c r="E680" s="55"/>
      <c r="J680" s="53"/>
      <c r="K680" s="50"/>
      <c r="L680" s="50"/>
    </row>
    <row r="681">
      <c r="E681" s="55"/>
      <c r="J681" s="53"/>
      <c r="K681" s="50"/>
      <c r="L681" s="50"/>
    </row>
    <row r="682">
      <c r="E682" s="55"/>
      <c r="J682" s="53"/>
      <c r="K682" s="50"/>
      <c r="L682" s="50"/>
    </row>
    <row r="683">
      <c r="E683" s="55"/>
      <c r="J683" s="53"/>
      <c r="K683" s="50"/>
      <c r="L683" s="50"/>
    </row>
    <row r="684">
      <c r="E684" s="55"/>
      <c r="J684" s="53"/>
      <c r="K684" s="50"/>
      <c r="L684" s="50"/>
    </row>
    <row r="685">
      <c r="E685" s="55"/>
      <c r="J685" s="53"/>
      <c r="K685" s="50"/>
      <c r="L685" s="50"/>
    </row>
    <row r="686">
      <c r="E686" s="55"/>
      <c r="J686" s="53"/>
      <c r="K686" s="50"/>
      <c r="L686" s="50"/>
    </row>
    <row r="687">
      <c r="E687" s="55"/>
      <c r="J687" s="53"/>
      <c r="K687" s="50"/>
      <c r="L687" s="50"/>
    </row>
    <row r="688">
      <c r="E688" s="55"/>
      <c r="J688" s="53"/>
      <c r="K688" s="50"/>
      <c r="L688" s="50"/>
    </row>
    <row r="689">
      <c r="E689" s="55"/>
      <c r="J689" s="53"/>
      <c r="K689" s="50"/>
      <c r="L689" s="50"/>
    </row>
    <row r="690">
      <c r="E690" s="55"/>
      <c r="J690" s="53"/>
      <c r="K690" s="50"/>
      <c r="L690" s="50"/>
    </row>
    <row r="691">
      <c r="E691" s="55"/>
      <c r="J691" s="53"/>
      <c r="K691" s="50"/>
      <c r="L691" s="50"/>
    </row>
    <row r="692">
      <c r="E692" s="55"/>
      <c r="J692" s="53"/>
      <c r="K692" s="50"/>
      <c r="L692" s="50"/>
    </row>
    <row r="693">
      <c r="E693" s="55"/>
      <c r="J693" s="53"/>
      <c r="K693" s="50"/>
      <c r="L693" s="50"/>
    </row>
    <row r="694">
      <c r="E694" s="55"/>
      <c r="J694" s="53"/>
      <c r="K694" s="50"/>
      <c r="L694" s="50"/>
    </row>
    <row r="695">
      <c r="E695" s="55"/>
      <c r="J695" s="53"/>
      <c r="K695" s="50"/>
      <c r="L695" s="50"/>
    </row>
    <row r="696">
      <c r="E696" s="55"/>
      <c r="J696" s="53"/>
      <c r="K696" s="50"/>
      <c r="L696" s="50"/>
    </row>
    <row r="697">
      <c r="E697" s="55"/>
      <c r="J697" s="53"/>
      <c r="K697" s="50"/>
      <c r="L697" s="50"/>
    </row>
    <row r="698">
      <c r="E698" s="55"/>
      <c r="J698" s="53"/>
      <c r="K698" s="50"/>
      <c r="L698" s="50"/>
    </row>
    <row r="699">
      <c r="E699" s="55"/>
      <c r="J699" s="53"/>
      <c r="K699" s="50"/>
      <c r="L699" s="50"/>
    </row>
    <row r="700">
      <c r="E700" s="55"/>
      <c r="J700" s="53"/>
      <c r="K700" s="50"/>
      <c r="L700" s="50"/>
    </row>
    <row r="701">
      <c r="E701" s="55"/>
      <c r="J701" s="53"/>
      <c r="K701" s="50"/>
      <c r="L701" s="50"/>
    </row>
    <row r="702">
      <c r="E702" s="55"/>
      <c r="J702" s="53"/>
      <c r="K702" s="50"/>
      <c r="L702" s="50"/>
    </row>
    <row r="703">
      <c r="E703" s="55"/>
      <c r="J703" s="53"/>
      <c r="K703" s="50"/>
      <c r="L703" s="50"/>
    </row>
    <row r="704">
      <c r="E704" s="55"/>
      <c r="J704" s="53"/>
      <c r="K704" s="50"/>
      <c r="L704" s="50"/>
    </row>
    <row r="705">
      <c r="E705" s="55"/>
      <c r="J705" s="53"/>
      <c r="K705" s="50"/>
      <c r="L705" s="50"/>
    </row>
    <row r="706">
      <c r="E706" s="55"/>
      <c r="J706" s="53"/>
      <c r="K706" s="50"/>
      <c r="L706" s="50"/>
    </row>
    <row r="707">
      <c r="E707" s="55"/>
      <c r="J707" s="53"/>
      <c r="K707" s="50"/>
      <c r="L707" s="50"/>
    </row>
    <row r="708">
      <c r="E708" s="55"/>
      <c r="J708" s="53"/>
      <c r="K708" s="50"/>
      <c r="L708" s="50"/>
    </row>
    <row r="709">
      <c r="E709" s="55"/>
      <c r="J709" s="53"/>
      <c r="K709" s="50"/>
      <c r="L709" s="50"/>
    </row>
    <row r="710">
      <c r="E710" s="55"/>
      <c r="J710" s="53"/>
      <c r="K710" s="50"/>
      <c r="L710" s="50"/>
    </row>
    <row r="711">
      <c r="E711" s="55"/>
      <c r="J711" s="53"/>
      <c r="K711" s="50"/>
      <c r="L711" s="50"/>
    </row>
    <row r="712">
      <c r="E712" s="55"/>
      <c r="J712" s="53"/>
      <c r="K712" s="50"/>
      <c r="L712" s="50"/>
    </row>
    <row r="713">
      <c r="E713" s="55"/>
      <c r="J713" s="53"/>
      <c r="K713" s="50"/>
      <c r="L713" s="50"/>
    </row>
    <row r="714">
      <c r="E714" s="55"/>
      <c r="J714" s="53"/>
      <c r="K714" s="50"/>
      <c r="L714" s="50"/>
    </row>
    <row r="715">
      <c r="E715" s="55"/>
      <c r="J715" s="53"/>
      <c r="K715" s="50"/>
      <c r="L715" s="50"/>
    </row>
    <row r="716">
      <c r="E716" s="55"/>
      <c r="J716" s="53"/>
      <c r="K716" s="50"/>
      <c r="L716" s="50"/>
    </row>
    <row r="717">
      <c r="E717" s="55"/>
      <c r="J717" s="53"/>
      <c r="K717" s="50"/>
      <c r="L717" s="50"/>
    </row>
    <row r="718">
      <c r="E718" s="55"/>
      <c r="J718" s="53"/>
      <c r="K718" s="50"/>
      <c r="L718" s="50"/>
    </row>
    <row r="719">
      <c r="E719" s="55"/>
      <c r="J719" s="53"/>
      <c r="K719" s="50"/>
      <c r="L719" s="50"/>
    </row>
    <row r="720">
      <c r="E720" s="55"/>
      <c r="J720" s="53"/>
      <c r="K720" s="50"/>
      <c r="L720" s="50"/>
    </row>
    <row r="721">
      <c r="E721" s="55"/>
      <c r="J721" s="53"/>
      <c r="K721" s="50"/>
      <c r="L721" s="50"/>
    </row>
    <row r="722">
      <c r="E722" s="55"/>
      <c r="J722" s="53"/>
      <c r="K722" s="50"/>
      <c r="L722" s="50"/>
    </row>
    <row r="723">
      <c r="E723" s="55"/>
      <c r="J723" s="53"/>
      <c r="K723" s="50"/>
      <c r="L723" s="50"/>
    </row>
    <row r="724">
      <c r="E724" s="55"/>
      <c r="J724" s="53"/>
      <c r="K724" s="50"/>
      <c r="L724" s="50"/>
    </row>
    <row r="725">
      <c r="E725" s="55"/>
      <c r="J725" s="53"/>
      <c r="K725" s="50"/>
      <c r="L725" s="50"/>
    </row>
    <row r="726">
      <c r="E726" s="55"/>
      <c r="J726" s="53"/>
      <c r="K726" s="50"/>
      <c r="L726" s="50"/>
    </row>
    <row r="727">
      <c r="E727" s="55"/>
      <c r="J727" s="53"/>
      <c r="K727" s="50"/>
      <c r="L727" s="50"/>
    </row>
    <row r="728">
      <c r="E728" s="55"/>
      <c r="J728" s="53"/>
      <c r="K728" s="50"/>
      <c r="L728" s="50"/>
    </row>
    <row r="729">
      <c r="E729" s="55"/>
      <c r="J729" s="53"/>
      <c r="K729" s="50"/>
      <c r="L729" s="50"/>
    </row>
    <row r="730">
      <c r="E730" s="55"/>
      <c r="J730" s="53"/>
      <c r="K730" s="50"/>
      <c r="L730" s="50"/>
    </row>
    <row r="731">
      <c r="E731" s="55"/>
      <c r="J731" s="53"/>
      <c r="K731" s="50"/>
      <c r="L731" s="50"/>
    </row>
    <row r="732">
      <c r="E732" s="55"/>
      <c r="J732" s="53"/>
      <c r="K732" s="50"/>
      <c r="L732" s="50"/>
    </row>
    <row r="733">
      <c r="E733" s="55"/>
      <c r="J733" s="53"/>
      <c r="K733" s="50"/>
      <c r="L733" s="50"/>
    </row>
    <row r="734">
      <c r="E734" s="55"/>
      <c r="J734" s="53"/>
      <c r="K734" s="50"/>
      <c r="L734" s="50"/>
    </row>
    <row r="735">
      <c r="E735" s="55"/>
      <c r="J735" s="53"/>
      <c r="K735" s="50"/>
      <c r="L735" s="50"/>
    </row>
    <row r="736">
      <c r="E736" s="55"/>
      <c r="J736" s="53"/>
      <c r="K736" s="50"/>
      <c r="L736" s="50"/>
    </row>
    <row r="737">
      <c r="E737" s="55"/>
      <c r="J737" s="53"/>
      <c r="K737" s="50"/>
      <c r="L737" s="50"/>
    </row>
    <row r="738">
      <c r="E738" s="55"/>
      <c r="J738" s="53"/>
      <c r="K738" s="50"/>
      <c r="L738" s="50"/>
    </row>
    <row r="739">
      <c r="E739" s="55"/>
      <c r="J739" s="53"/>
      <c r="K739" s="50"/>
      <c r="L739" s="50"/>
    </row>
    <row r="740">
      <c r="E740" s="55"/>
      <c r="J740" s="53"/>
      <c r="K740" s="50"/>
      <c r="L740" s="50"/>
    </row>
    <row r="741">
      <c r="E741" s="55"/>
      <c r="J741" s="53"/>
      <c r="K741" s="50"/>
      <c r="L741" s="50"/>
    </row>
    <row r="742">
      <c r="E742" s="55"/>
      <c r="J742" s="53"/>
      <c r="K742" s="50"/>
      <c r="L742" s="50"/>
    </row>
    <row r="743">
      <c r="E743" s="55"/>
      <c r="J743" s="53"/>
      <c r="K743" s="50"/>
      <c r="L743" s="50"/>
    </row>
    <row r="744">
      <c r="E744" s="55"/>
      <c r="J744" s="53"/>
      <c r="K744" s="50"/>
      <c r="L744" s="50"/>
    </row>
    <row r="745">
      <c r="E745" s="55"/>
      <c r="J745" s="53"/>
      <c r="K745" s="50"/>
      <c r="L745" s="50"/>
    </row>
    <row r="746">
      <c r="E746" s="55"/>
      <c r="J746" s="53"/>
      <c r="K746" s="50"/>
      <c r="L746" s="50"/>
    </row>
    <row r="747">
      <c r="E747" s="55"/>
      <c r="J747" s="53"/>
      <c r="K747" s="50"/>
      <c r="L747" s="50"/>
    </row>
    <row r="748">
      <c r="E748" s="55"/>
      <c r="J748" s="53"/>
      <c r="K748" s="50"/>
      <c r="L748" s="50"/>
    </row>
    <row r="749">
      <c r="E749" s="55"/>
      <c r="J749" s="53"/>
      <c r="K749" s="50"/>
      <c r="L749" s="50"/>
    </row>
    <row r="750">
      <c r="E750" s="55"/>
      <c r="J750" s="53"/>
      <c r="K750" s="50"/>
      <c r="L750" s="50"/>
    </row>
    <row r="751">
      <c r="E751" s="55"/>
      <c r="J751" s="53"/>
      <c r="K751" s="50"/>
      <c r="L751" s="50"/>
    </row>
    <row r="752">
      <c r="E752" s="55"/>
      <c r="J752" s="53"/>
      <c r="K752" s="50"/>
      <c r="L752" s="50"/>
    </row>
    <row r="753">
      <c r="E753" s="55"/>
      <c r="J753" s="53"/>
      <c r="K753" s="50"/>
      <c r="L753" s="50"/>
    </row>
    <row r="754">
      <c r="E754" s="55"/>
      <c r="J754" s="53"/>
      <c r="K754" s="50"/>
      <c r="L754" s="50"/>
    </row>
    <row r="755">
      <c r="E755" s="55"/>
      <c r="J755" s="53"/>
      <c r="K755" s="50"/>
      <c r="L755" s="50"/>
    </row>
    <row r="756">
      <c r="E756" s="55"/>
      <c r="J756" s="53"/>
      <c r="K756" s="50"/>
      <c r="L756" s="50"/>
    </row>
    <row r="757">
      <c r="E757" s="55"/>
      <c r="J757" s="53"/>
      <c r="K757" s="50"/>
      <c r="L757" s="50"/>
    </row>
    <row r="758">
      <c r="E758" s="55"/>
      <c r="J758" s="53"/>
      <c r="K758" s="50"/>
      <c r="L758" s="50"/>
    </row>
    <row r="759">
      <c r="E759" s="55"/>
      <c r="J759" s="53"/>
      <c r="K759" s="50"/>
      <c r="L759" s="50"/>
    </row>
    <row r="760">
      <c r="E760" s="55"/>
      <c r="J760" s="53"/>
      <c r="K760" s="50"/>
      <c r="L760" s="50"/>
    </row>
    <row r="761">
      <c r="E761" s="55"/>
      <c r="J761" s="53"/>
      <c r="K761" s="50"/>
      <c r="L761" s="50"/>
    </row>
    <row r="762">
      <c r="E762" s="55"/>
      <c r="J762" s="53"/>
      <c r="K762" s="50"/>
      <c r="L762" s="50"/>
    </row>
    <row r="763">
      <c r="E763" s="55"/>
      <c r="J763" s="53"/>
      <c r="K763" s="50"/>
      <c r="L763" s="50"/>
    </row>
    <row r="764">
      <c r="E764" s="55"/>
      <c r="J764" s="53"/>
      <c r="K764" s="50"/>
      <c r="L764" s="50"/>
    </row>
    <row r="765">
      <c r="E765" s="55"/>
      <c r="J765" s="53"/>
      <c r="K765" s="50"/>
      <c r="L765" s="50"/>
    </row>
    <row r="766">
      <c r="E766" s="55"/>
      <c r="J766" s="53"/>
      <c r="K766" s="50"/>
      <c r="L766" s="50"/>
    </row>
    <row r="767">
      <c r="E767" s="55"/>
      <c r="J767" s="53"/>
      <c r="K767" s="50"/>
      <c r="L767" s="50"/>
    </row>
    <row r="768">
      <c r="E768" s="55"/>
      <c r="J768" s="53"/>
      <c r="K768" s="50"/>
      <c r="L768" s="50"/>
    </row>
    <row r="769">
      <c r="E769" s="55"/>
      <c r="J769" s="53"/>
      <c r="K769" s="50"/>
      <c r="L769" s="50"/>
    </row>
    <row r="770">
      <c r="E770" s="55"/>
      <c r="J770" s="53"/>
      <c r="K770" s="50"/>
      <c r="L770" s="50"/>
    </row>
    <row r="771">
      <c r="E771" s="55"/>
      <c r="J771" s="53"/>
      <c r="K771" s="50"/>
      <c r="L771" s="50"/>
    </row>
    <row r="772">
      <c r="E772" s="55"/>
      <c r="J772" s="53"/>
      <c r="K772" s="50"/>
      <c r="L772" s="50"/>
    </row>
    <row r="773">
      <c r="E773" s="55"/>
      <c r="J773" s="53"/>
      <c r="K773" s="50"/>
      <c r="L773" s="50"/>
    </row>
    <row r="774">
      <c r="E774" s="55"/>
      <c r="J774" s="53"/>
      <c r="K774" s="50"/>
      <c r="L774" s="50"/>
    </row>
    <row r="775">
      <c r="E775" s="55"/>
      <c r="J775" s="53"/>
      <c r="K775" s="50"/>
      <c r="L775" s="50"/>
    </row>
    <row r="776">
      <c r="E776" s="55"/>
      <c r="J776" s="53"/>
      <c r="K776" s="50"/>
      <c r="L776" s="50"/>
    </row>
    <row r="777">
      <c r="E777" s="55"/>
      <c r="J777" s="53"/>
      <c r="K777" s="50"/>
      <c r="L777" s="50"/>
    </row>
    <row r="778">
      <c r="E778" s="55"/>
      <c r="J778" s="53"/>
      <c r="K778" s="50"/>
      <c r="L778" s="50"/>
    </row>
    <row r="779">
      <c r="E779" s="55"/>
      <c r="J779" s="53"/>
      <c r="K779" s="50"/>
      <c r="L779" s="50"/>
    </row>
    <row r="780">
      <c r="E780" s="55"/>
      <c r="J780" s="53"/>
      <c r="K780" s="50"/>
      <c r="L780" s="50"/>
    </row>
    <row r="781">
      <c r="E781" s="55"/>
      <c r="J781" s="53"/>
      <c r="K781" s="50"/>
      <c r="L781" s="50"/>
    </row>
    <row r="782">
      <c r="E782" s="55"/>
      <c r="J782" s="53"/>
      <c r="K782" s="50"/>
      <c r="L782" s="50"/>
    </row>
    <row r="783">
      <c r="E783" s="55"/>
      <c r="J783" s="53"/>
      <c r="K783" s="50"/>
      <c r="L783" s="50"/>
    </row>
    <row r="784">
      <c r="E784" s="55"/>
      <c r="J784" s="53"/>
      <c r="K784" s="50"/>
      <c r="L784" s="50"/>
    </row>
    <row r="785">
      <c r="E785" s="55"/>
      <c r="J785" s="53"/>
      <c r="K785" s="50"/>
      <c r="L785" s="50"/>
    </row>
    <row r="786">
      <c r="E786" s="55"/>
      <c r="J786" s="53"/>
      <c r="K786" s="50"/>
      <c r="L786" s="50"/>
    </row>
    <row r="787">
      <c r="E787" s="55"/>
      <c r="J787" s="53"/>
      <c r="K787" s="50"/>
      <c r="L787" s="50"/>
    </row>
    <row r="788">
      <c r="E788" s="55"/>
      <c r="J788" s="53"/>
      <c r="K788" s="50"/>
      <c r="L788" s="50"/>
    </row>
    <row r="789">
      <c r="E789" s="55"/>
      <c r="J789" s="53"/>
      <c r="K789" s="50"/>
      <c r="L789" s="50"/>
    </row>
    <row r="790">
      <c r="E790" s="55"/>
      <c r="J790" s="53"/>
      <c r="K790" s="50"/>
      <c r="L790" s="50"/>
    </row>
    <row r="791">
      <c r="E791" s="55"/>
      <c r="J791" s="53"/>
      <c r="K791" s="50"/>
      <c r="L791" s="50"/>
    </row>
    <row r="792">
      <c r="E792" s="55"/>
      <c r="J792" s="53"/>
      <c r="K792" s="50"/>
      <c r="L792" s="50"/>
    </row>
    <row r="793">
      <c r="E793" s="55"/>
      <c r="J793" s="53"/>
      <c r="K793" s="50"/>
      <c r="L793" s="50"/>
    </row>
    <row r="794">
      <c r="E794" s="55"/>
      <c r="J794" s="53"/>
      <c r="K794" s="50"/>
      <c r="L794" s="50"/>
    </row>
    <row r="795">
      <c r="E795" s="55"/>
      <c r="J795" s="53"/>
      <c r="K795" s="50"/>
      <c r="L795" s="50"/>
    </row>
    <row r="796">
      <c r="E796" s="55"/>
      <c r="J796" s="53"/>
      <c r="K796" s="50"/>
      <c r="L796" s="50"/>
    </row>
    <row r="797">
      <c r="E797" s="55"/>
      <c r="J797" s="53"/>
      <c r="K797" s="50"/>
      <c r="L797" s="50"/>
    </row>
    <row r="798">
      <c r="E798" s="55"/>
      <c r="J798" s="53"/>
      <c r="K798" s="50"/>
      <c r="L798" s="50"/>
    </row>
    <row r="799">
      <c r="E799" s="55"/>
      <c r="J799" s="53"/>
      <c r="K799" s="50"/>
      <c r="L799" s="50"/>
    </row>
    <row r="800">
      <c r="E800" s="55"/>
      <c r="J800" s="53"/>
      <c r="K800" s="50"/>
      <c r="L800" s="50"/>
    </row>
    <row r="801">
      <c r="E801" s="55"/>
      <c r="J801" s="53"/>
      <c r="K801" s="50"/>
      <c r="L801" s="50"/>
    </row>
    <row r="802">
      <c r="E802" s="55"/>
      <c r="J802" s="53"/>
      <c r="K802" s="50"/>
      <c r="L802" s="50"/>
    </row>
    <row r="803">
      <c r="E803" s="55"/>
      <c r="J803" s="53"/>
      <c r="K803" s="50"/>
      <c r="L803" s="50"/>
    </row>
    <row r="804">
      <c r="E804" s="55"/>
      <c r="J804" s="53"/>
      <c r="K804" s="50"/>
      <c r="L804" s="50"/>
    </row>
    <row r="805">
      <c r="E805" s="55"/>
      <c r="J805" s="53"/>
      <c r="K805" s="50"/>
      <c r="L805" s="50"/>
    </row>
    <row r="806">
      <c r="E806" s="55"/>
      <c r="J806" s="53"/>
      <c r="K806" s="50"/>
      <c r="L806" s="50"/>
    </row>
    <row r="807">
      <c r="E807" s="55"/>
      <c r="J807" s="53"/>
      <c r="K807" s="50"/>
      <c r="L807" s="50"/>
    </row>
    <row r="808">
      <c r="E808" s="55"/>
      <c r="J808" s="53"/>
      <c r="K808" s="50"/>
      <c r="L808" s="50"/>
    </row>
    <row r="809">
      <c r="E809" s="55"/>
      <c r="J809" s="53"/>
      <c r="K809" s="50"/>
      <c r="L809" s="50"/>
    </row>
    <row r="810">
      <c r="E810" s="55"/>
      <c r="J810" s="53"/>
      <c r="K810" s="50"/>
      <c r="L810" s="50"/>
    </row>
    <row r="811">
      <c r="E811" s="55"/>
      <c r="J811" s="53"/>
      <c r="K811" s="50"/>
      <c r="L811" s="50"/>
    </row>
    <row r="812">
      <c r="E812" s="55"/>
      <c r="J812" s="53"/>
      <c r="K812" s="50"/>
      <c r="L812" s="50"/>
    </row>
    <row r="813">
      <c r="E813" s="55"/>
      <c r="J813" s="53"/>
      <c r="K813" s="50"/>
      <c r="L813" s="50"/>
    </row>
    <row r="814">
      <c r="E814" s="55"/>
      <c r="J814" s="53"/>
      <c r="K814" s="50"/>
      <c r="L814" s="50"/>
    </row>
    <row r="815">
      <c r="E815" s="55"/>
      <c r="J815" s="53"/>
      <c r="K815" s="50"/>
      <c r="L815" s="50"/>
    </row>
    <row r="816">
      <c r="E816" s="55"/>
      <c r="J816" s="53"/>
      <c r="K816" s="50"/>
      <c r="L816" s="50"/>
    </row>
    <row r="817">
      <c r="E817" s="55"/>
      <c r="J817" s="53"/>
      <c r="K817" s="50"/>
      <c r="L817" s="50"/>
    </row>
    <row r="818">
      <c r="E818" s="55"/>
      <c r="J818" s="53"/>
      <c r="K818" s="50"/>
      <c r="L818" s="50"/>
    </row>
    <row r="819">
      <c r="E819" s="55"/>
      <c r="J819" s="53"/>
      <c r="K819" s="50"/>
      <c r="L819" s="50"/>
    </row>
    <row r="820">
      <c r="E820" s="55"/>
      <c r="J820" s="53"/>
      <c r="K820" s="50"/>
      <c r="L820" s="50"/>
    </row>
    <row r="821">
      <c r="E821" s="55"/>
      <c r="J821" s="53"/>
      <c r="K821" s="50"/>
      <c r="L821" s="50"/>
    </row>
    <row r="822">
      <c r="E822" s="55"/>
      <c r="J822" s="53"/>
      <c r="K822" s="50"/>
      <c r="L822" s="50"/>
    </row>
    <row r="823">
      <c r="E823" s="55"/>
      <c r="J823" s="53"/>
      <c r="K823" s="50"/>
      <c r="L823" s="50"/>
    </row>
    <row r="824">
      <c r="E824" s="55"/>
      <c r="J824" s="53"/>
      <c r="K824" s="50"/>
      <c r="L824" s="50"/>
    </row>
    <row r="825">
      <c r="E825" s="55"/>
      <c r="J825" s="53"/>
      <c r="K825" s="50"/>
      <c r="L825" s="50"/>
    </row>
    <row r="826">
      <c r="E826" s="55"/>
      <c r="J826" s="53"/>
      <c r="K826" s="50"/>
      <c r="L826" s="50"/>
    </row>
    <row r="827">
      <c r="E827" s="55"/>
      <c r="J827" s="53"/>
      <c r="K827" s="50"/>
      <c r="L827" s="50"/>
    </row>
    <row r="828">
      <c r="E828" s="55"/>
      <c r="J828" s="53"/>
      <c r="K828" s="50"/>
      <c r="L828" s="50"/>
    </row>
    <row r="829">
      <c r="E829" s="55"/>
      <c r="J829" s="53"/>
      <c r="K829" s="50"/>
      <c r="L829" s="50"/>
    </row>
    <row r="830">
      <c r="E830" s="55"/>
      <c r="J830" s="53"/>
      <c r="K830" s="50"/>
      <c r="L830" s="50"/>
    </row>
    <row r="831">
      <c r="E831" s="55"/>
      <c r="J831" s="53"/>
      <c r="K831" s="50"/>
      <c r="L831" s="50"/>
    </row>
    <row r="832">
      <c r="E832" s="55"/>
      <c r="J832" s="53"/>
      <c r="K832" s="50"/>
      <c r="L832" s="50"/>
    </row>
    <row r="833">
      <c r="E833" s="55"/>
      <c r="J833" s="53"/>
      <c r="K833" s="50"/>
      <c r="L833" s="50"/>
    </row>
    <row r="834">
      <c r="E834" s="55"/>
      <c r="J834" s="53"/>
      <c r="K834" s="50"/>
      <c r="L834" s="50"/>
    </row>
    <row r="835">
      <c r="E835" s="55"/>
      <c r="J835" s="53"/>
      <c r="K835" s="50"/>
      <c r="L835" s="50"/>
    </row>
    <row r="836">
      <c r="E836" s="55"/>
      <c r="J836" s="53"/>
      <c r="K836" s="50"/>
      <c r="L836" s="50"/>
    </row>
    <row r="837">
      <c r="E837" s="55"/>
      <c r="J837" s="53"/>
      <c r="K837" s="50"/>
      <c r="L837" s="50"/>
    </row>
    <row r="838">
      <c r="E838" s="55"/>
      <c r="J838" s="53"/>
      <c r="K838" s="50"/>
      <c r="L838" s="50"/>
    </row>
    <row r="839">
      <c r="E839" s="55"/>
      <c r="J839" s="53"/>
      <c r="K839" s="50"/>
      <c r="L839" s="50"/>
    </row>
    <row r="840">
      <c r="E840" s="55"/>
      <c r="J840" s="53"/>
      <c r="K840" s="50"/>
      <c r="L840" s="50"/>
    </row>
    <row r="841">
      <c r="E841" s="55"/>
      <c r="J841" s="53"/>
      <c r="K841" s="50"/>
      <c r="L841" s="50"/>
    </row>
    <row r="842">
      <c r="E842" s="55"/>
      <c r="J842" s="53"/>
      <c r="K842" s="50"/>
      <c r="L842" s="50"/>
    </row>
    <row r="843">
      <c r="E843" s="55"/>
      <c r="J843" s="53"/>
      <c r="K843" s="50"/>
      <c r="L843" s="50"/>
    </row>
    <row r="844">
      <c r="E844" s="55"/>
      <c r="J844" s="53"/>
      <c r="K844" s="50"/>
      <c r="L844" s="50"/>
    </row>
    <row r="845">
      <c r="E845" s="55"/>
      <c r="J845" s="53"/>
      <c r="K845" s="50"/>
      <c r="L845" s="50"/>
    </row>
    <row r="846">
      <c r="E846" s="55"/>
      <c r="J846" s="53"/>
      <c r="K846" s="50"/>
      <c r="L846" s="50"/>
    </row>
    <row r="847">
      <c r="E847" s="55"/>
      <c r="J847" s="53"/>
      <c r="K847" s="50"/>
      <c r="L847" s="50"/>
    </row>
    <row r="848">
      <c r="E848" s="55"/>
      <c r="J848" s="53"/>
      <c r="K848" s="50"/>
      <c r="L848" s="50"/>
    </row>
    <row r="849">
      <c r="E849" s="55"/>
      <c r="J849" s="53"/>
      <c r="K849" s="50"/>
      <c r="L849" s="50"/>
    </row>
    <row r="850">
      <c r="E850" s="55"/>
      <c r="J850" s="53"/>
      <c r="K850" s="50"/>
      <c r="L850" s="50"/>
    </row>
    <row r="851">
      <c r="E851" s="55"/>
      <c r="J851" s="53"/>
      <c r="K851" s="50"/>
      <c r="L851" s="50"/>
    </row>
    <row r="852">
      <c r="E852" s="55"/>
      <c r="J852" s="53"/>
      <c r="K852" s="50"/>
      <c r="L852" s="50"/>
    </row>
    <row r="853">
      <c r="E853" s="55"/>
      <c r="J853" s="53"/>
      <c r="K853" s="50"/>
      <c r="L853" s="50"/>
    </row>
    <row r="854">
      <c r="E854" s="55"/>
      <c r="J854" s="53"/>
      <c r="K854" s="50"/>
      <c r="L854" s="50"/>
    </row>
    <row r="855">
      <c r="E855" s="55"/>
      <c r="J855" s="53"/>
      <c r="K855" s="50"/>
      <c r="L855" s="50"/>
    </row>
    <row r="856">
      <c r="E856" s="55"/>
      <c r="J856" s="53"/>
      <c r="K856" s="50"/>
      <c r="L856" s="50"/>
    </row>
    <row r="857">
      <c r="E857" s="55"/>
      <c r="J857" s="53"/>
      <c r="K857" s="50"/>
      <c r="L857" s="50"/>
    </row>
    <row r="858">
      <c r="E858" s="55"/>
      <c r="J858" s="53"/>
      <c r="K858" s="50"/>
      <c r="L858" s="50"/>
    </row>
    <row r="859">
      <c r="E859" s="55"/>
      <c r="J859" s="53"/>
      <c r="K859" s="50"/>
      <c r="L859" s="50"/>
    </row>
    <row r="860">
      <c r="E860" s="55"/>
      <c r="J860" s="53"/>
      <c r="K860" s="50"/>
      <c r="L860" s="50"/>
    </row>
    <row r="861">
      <c r="E861" s="55"/>
      <c r="J861" s="53"/>
      <c r="K861" s="50"/>
      <c r="L861" s="50"/>
    </row>
    <row r="862">
      <c r="E862" s="55"/>
      <c r="J862" s="53"/>
      <c r="K862" s="50"/>
      <c r="L862" s="50"/>
    </row>
    <row r="863">
      <c r="E863" s="55"/>
      <c r="J863" s="53"/>
      <c r="K863" s="50"/>
      <c r="L863" s="50"/>
    </row>
    <row r="864">
      <c r="E864" s="55"/>
      <c r="J864" s="53"/>
      <c r="K864" s="50"/>
      <c r="L864" s="50"/>
    </row>
    <row r="865">
      <c r="E865" s="55"/>
      <c r="J865" s="53"/>
      <c r="K865" s="50"/>
      <c r="L865" s="50"/>
    </row>
    <row r="866">
      <c r="E866" s="55"/>
      <c r="J866" s="53"/>
      <c r="K866" s="50"/>
      <c r="L866" s="50"/>
    </row>
    <row r="867">
      <c r="E867" s="55"/>
      <c r="J867" s="53"/>
      <c r="K867" s="50"/>
      <c r="L867" s="50"/>
    </row>
    <row r="868">
      <c r="E868" s="55"/>
      <c r="J868" s="53"/>
      <c r="K868" s="50"/>
      <c r="L868" s="50"/>
    </row>
    <row r="869">
      <c r="E869" s="55"/>
      <c r="J869" s="53"/>
      <c r="K869" s="50"/>
      <c r="L869" s="50"/>
    </row>
    <row r="870">
      <c r="E870" s="55"/>
      <c r="J870" s="53"/>
      <c r="K870" s="50"/>
      <c r="L870" s="50"/>
    </row>
    <row r="871">
      <c r="E871" s="55"/>
      <c r="J871" s="53"/>
      <c r="K871" s="50"/>
      <c r="L871" s="50"/>
    </row>
    <row r="872">
      <c r="E872" s="55"/>
      <c r="J872" s="53"/>
      <c r="K872" s="50"/>
      <c r="L872" s="50"/>
    </row>
    <row r="873">
      <c r="E873" s="55"/>
      <c r="J873" s="53"/>
      <c r="K873" s="50"/>
      <c r="L873" s="50"/>
    </row>
    <row r="874">
      <c r="E874" s="55"/>
      <c r="J874" s="53"/>
      <c r="K874" s="50"/>
      <c r="L874" s="50"/>
    </row>
    <row r="875">
      <c r="E875" s="55"/>
      <c r="J875" s="53"/>
      <c r="K875" s="50"/>
      <c r="L875" s="50"/>
    </row>
    <row r="876">
      <c r="E876" s="55"/>
      <c r="J876" s="53"/>
      <c r="K876" s="50"/>
      <c r="L876" s="50"/>
    </row>
    <row r="877">
      <c r="E877" s="55"/>
      <c r="J877" s="53"/>
      <c r="K877" s="50"/>
      <c r="L877" s="50"/>
    </row>
    <row r="878">
      <c r="E878" s="55"/>
      <c r="J878" s="53"/>
      <c r="K878" s="50"/>
      <c r="L878" s="50"/>
    </row>
    <row r="879">
      <c r="E879" s="55"/>
      <c r="J879" s="53"/>
      <c r="K879" s="50"/>
      <c r="L879" s="50"/>
    </row>
    <row r="880">
      <c r="E880" s="55"/>
      <c r="J880" s="53"/>
      <c r="K880" s="50"/>
      <c r="L880" s="50"/>
    </row>
    <row r="881">
      <c r="E881" s="55"/>
      <c r="J881" s="53"/>
      <c r="K881" s="50"/>
      <c r="L881" s="50"/>
    </row>
    <row r="882">
      <c r="E882" s="55"/>
      <c r="J882" s="53"/>
      <c r="K882" s="50"/>
      <c r="L882" s="50"/>
    </row>
    <row r="883">
      <c r="E883" s="55"/>
      <c r="J883" s="53"/>
      <c r="K883" s="50"/>
      <c r="L883" s="50"/>
    </row>
    <row r="884">
      <c r="E884" s="55"/>
      <c r="J884" s="53"/>
      <c r="K884" s="50"/>
      <c r="L884" s="50"/>
    </row>
    <row r="885">
      <c r="E885" s="55"/>
      <c r="J885" s="53"/>
      <c r="K885" s="50"/>
      <c r="L885" s="50"/>
    </row>
    <row r="886">
      <c r="E886" s="55"/>
      <c r="J886" s="53"/>
      <c r="K886" s="50"/>
      <c r="L886" s="50"/>
    </row>
    <row r="887">
      <c r="E887" s="55"/>
      <c r="J887" s="53"/>
      <c r="K887" s="50"/>
      <c r="L887" s="50"/>
    </row>
    <row r="888">
      <c r="E888" s="55"/>
      <c r="J888" s="53"/>
      <c r="K888" s="50"/>
      <c r="L888" s="50"/>
    </row>
    <row r="889">
      <c r="E889" s="55"/>
      <c r="J889" s="53"/>
      <c r="K889" s="50"/>
      <c r="L889" s="50"/>
    </row>
    <row r="890">
      <c r="E890" s="55"/>
      <c r="J890" s="53"/>
      <c r="K890" s="50"/>
      <c r="L890" s="50"/>
    </row>
    <row r="891">
      <c r="E891" s="55"/>
      <c r="J891" s="53"/>
      <c r="K891" s="50"/>
      <c r="L891" s="50"/>
    </row>
    <row r="892">
      <c r="E892" s="55"/>
      <c r="J892" s="53"/>
      <c r="K892" s="50"/>
      <c r="L892" s="50"/>
    </row>
    <row r="893">
      <c r="E893" s="55"/>
      <c r="J893" s="53"/>
      <c r="K893" s="50"/>
      <c r="L893" s="50"/>
    </row>
    <row r="894">
      <c r="E894" s="55"/>
      <c r="J894" s="53"/>
      <c r="K894" s="50"/>
      <c r="L894" s="50"/>
    </row>
    <row r="895">
      <c r="E895" s="55"/>
      <c r="J895" s="53"/>
      <c r="K895" s="50"/>
      <c r="L895" s="50"/>
    </row>
    <row r="896">
      <c r="E896" s="55"/>
      <c r="J896" s="53"/>
      <c r="K896" s="50"/>
      <c r="L896" s="50"/>
    </row>
    <row r="897">
      <c r="E897" s="55"/>
      <c r="J897" s="53"/>
      <c r="K897" s="50"/>
      <c r="L897" s="50"/>
    </row>
    <row r="898">
      <c r="E898" s="55"/>
      <c r="J898" s="53"/>
      <c r="K898" s="50"/>
      <c r="L898" s="50"/>
    </row>
    <row r="899">
      <c r="E899" s="55"/>
      <c r="J899" s="53"/>
      <c r="K899" s="50"/>
      <c r="L899" s="50"/>
    </row>
    <row r="900">
      <c r="E900" s="55"/>
      <c r="J900" s="53"/>
      <c r="K900" s="50"/>
      <c r="L900" s="50"/>
    </row>
    <row r="901">
      <c r="E901" s="55"/>
      <c r="J901" s="53"/>
      <c r="K901" s="50"/>
      <c r="L901" s="50"/>
    </row>
    <row r="902">
      <c r="E902" s="55"/>
      <c r="J902" s="53"/>
      <c r="K902" s="50"/>
      <c r="L902" s="50"/>
    </row>
    <row r="903">
      <c r="E903" s="55"/>
      <c r="J903" s="53"/>
      <c r="K903" s="50"/>
      <c r="L903" s="50"/>
    </row>
    <row r="904">
      <c r="E904" s="55"/>
      <c r="J904" s="53"/>
      <c r="K904" s="50"/>
      <c r="L904" s="50"/>
    </row>
    <row r="905">
      <c r="E905" s="55"/>
      <c r="J905" s="53"/>
      <c r="K905" s="50"/>
      <c r="L905" s="50"/>
    </row>
    <row r="906">
      <c r="E906" s="55"/>
      <c r="J906" s="53"/>
      <c r="K906" s="50"/>
      <c r="L906" s="50"/>
    </row>
    <row r="907">
      <c r="E907" s="55"/>
      <c r="J907" s="53"/>
      <c r="K907" s="50"/>
      <c r="L907" s="50"/>
    </row>
    <row r="908">
      <c r="E908" s="55"/>
      <c r="J908" s="53"/>
      <c r="K908" s="50"/>
      <c r="L908" s="50"/>
    </row>
    <row r="909">
      <c r="E909" s="55"/>
      <c r="J909" s="53"/>
      <c r="K909" s="50"/>
      <c r="L909" s="50"/>
    </row>
    <row r="910">
      <c r="E910" s="55"/>
      <c r="J910" s="53"/>
      <c r="K910" s="50"/>
      <c r="L910" s="50"/>
    </row>
    <row r="911">
      <c r="E911" s="55"/>
      <c r="J911" s="53"/>
      <c r="K911" s="50"/>
      <c r="L911" s="50"/>
    </row>
    <row r="912">
      <c r="E912" s="55"/>
      <c r="J912" s="53"/>
      <c r="K912" s="50"/>
      <c r="L912" s="50"/>
    </row>
    <row r="913">
      <c r="E913" s="55"/>
      <c r="J913" s="53"/>
      <c r="K913" s="50"/>
      <c r="L913" s="50"/>
    </row>
    <row r="914">
      <c r="E914" s="55"/>
      <c r="J914" s="53"/>
      <c r="K914" s="50"/>
      <c r="L914" s="50"/>
    </row>
    <row r="915">
      <c r="E915" s="55"/>
      <c r="J915" s="53"/>
      <c r="K915" s="50"/>
      <c r="L915" s="50"/>
    </row>
    <row r="916">
      <c r="E916" s="55"/>
      <c r="J916" s="53"/>
      <c r="K916" s="50"/>
      <c r="L916" s="50"/>
    </row>
    <row r="917">
      <c r="E917" s="55"/>
      <c r="J917" s="53"/>
      <c r="K917" s="50"/>
      <c r="L917" s="50"/>
    </row>
    <row r="918">
      <c r="E918" s="55"/>
      <c r="J918" s="53"/>
      <c r="K918" s="50"/>
      <c r="L918" s="50"/>
    </row>
    <row r="919">
      <c r="E919" s="55"/>
      <c r="J919" s="53"/>
      <c r="K919" s="50"/>
      <c r="L919" s="50"/>
    </row>
    <row r="920">
      <c r="E920" s="55"/>
      <c r="J920" s="53"/>
      <c r="K920" s="50"/>
      <c r="L920" s="50"/>
    </row>
    <row r="921">
      <c r="E921" s="55"/>
      <c r="J921" s="53"/>
      <c r="K921" s="50"/>
      <c r="L921" s="50"/>
    </row>
    <row r="922">
      <c r="E922" s="55"/>
      <c r="J922" s="53"/>
      <c r="K922" s="50"/>
      <c r="L922" s="50"/>
    </row>
    <row r="923">
      <c r="E923" s="55"/>
      <c r="J923" s="53"/>
      <c r="K923" s="50"/>
      <c r="L923" s="50"/>
    </row>
    <row r="924">
      <c r="E924" s="55"/>
      <c r="J924" s="53"/>
      <c r="K924" s="50"/>
      <c r="L924" s="50"/>
    </row>
    <row r="925">
      <c r="E925" s="55"/>
      <c r="J925" s="53"/>
      <c r="K925" s="50"/>
      <c r="L925" s="50"/>
    </row>
    <row r="926">
      <c r="E926" s="55"/>
      <c r="J926" s="53"/>
      <c r="K926" s="50"/>
      <c r="L926" s="50"/>
    </row>
    <row r="927">
      <c r="E927" s="55"/>
      <c r="J927" s="53"/>
      <c r="K927" s="50"/>
      <c r="L927" s="50"/>
    </row>
    <row r="928">
      <c r="E928" s="55"/>
      <c r="J928" s="53"/>
      <c r="K928" s="50"/>
      <c r="L928" s="50"/>
    </row>
    <row r="929">
      <c r="E929" s="55"/>
      <c r="J929" s="53"/>
      <c r="K929" s="50"/>
      <c r="L929" s="50"/>
    </row>
    <row r="930">
      <c r="E930" s="55"/>
      <c r="J930" s="53"/>
      <c r="K930" s="50"/>
      <c r="L930" s="50"/>
    </row>
    <row r="931">
      <c r="E931" s="55"/>
      <c r="J931" s="53"/>
      <c r="K931" s="50"/>
      <c r="L931" s="50"/>
    </row>
    <row r="932">
      <c r="E932" s="55"/>
      <c r="J932" s="53"/>
      <c r="K932" s="50"/>
      <c r="L932" s="50"/>
    </row>
    <row r="933">
      <c r="E933" s="55"/>
      <c r="J933" s="53"/>
      <c r="K933" s="50"/>
      <c r="L933" s="50"/>
    </row>
    <row r="934">
      <c r="E934" s="55"/>
      <c r="J934" s="53"/>
      <c r="K934" s="50"/>
      <c r="L934" s="50"/>
    </row>
    <row r="935">
      <c r="E935" s="55"/>
      <c r="J935" s="53"/>
      <c r="K935" s="50"/>
      <c r="L935" s="50"/>
    </row>
    <row r="936">
      <c r="E936" s="55"/>
      <c r="J936" s="53"/>
      <c r="K936" s="50"/>
      <c r="L936" s="50"/>
    </row>
    <row r="937">
      <c r="E937" s="55"/>
      <c r="J937" s="53"/>
      <c r="K937" s="50"/>
      <c r="L937" s="50"/>
    </row>
    <row r="938">
      <c r="E938" s="55"/>
      <c r="J938" s="53"/>
      <c r="K938" s="50"/>
      <c r="L938" s="50"/>
    </row>
    <row r="939">
      <c r="E939" s="55"/>
      <c r="J939" s="53"/>
      <c r="K939" s="50"/>
      <c r="L939" s="50"/>
    </row>
    <row r="940">
      <c r="E940" s="55"/>
      <c r="J940" s="53"/>
      <c r="K940" s="50"/>
      <c r="L940" s="50"/>
    </row>
    <row r="941">
      <c r="E941" s="55"/>
      <c r="J941" s="53"/>
      <c r="K941" s="50"/>
      <c r="L941" s="50"/>
    </row>
    <row r="942">
      <c r="E942" s="55"/>
      <c r="J942" s="53"/>
      <c r="K942" s="50"/>
      <c r="L942" s="50"/>
    </row>
    <row r="943">
      <c r="E943" s="55"/>
      <c r="J943" s="53"/>
      <c r="K943" s="50"/>
      <c r="L943" s="50"/>
    </row>
    <row r="944">
      <c r="E944" s="55"/>
      <c r="J944" s="53"/>
      <c r="K944" s="50"/>
      <c r="L944" s="50"/>
    </row>
    <row r="945">
      <c r="E945" s="55"/>
      <c r="J945" s="53"/>
      <c r="K945" s="50"/>
      <c r="L945" s="50"/>
    </row>
    <row r="946">
      <c r="E946" s="55"/>
      <c r="J946" s="53"/>
      <c r="K946" s="50"/>
      <c r="L946" s="50"/>
    </row>
    <row r="947">
      <c r="E947" s="55"/>
      <c r="J947" s="53"/>
      <c r="K947" s="50"/>
      <c r="L947" s="50"/>
    </row>
    <row r="948">
      <c r="E948" s="55"/>
      <c r="J948" s="53"/>
      <c r="K948" s="50"/>
      <c r="L948" s="50"/>
    </row>
    <row r="949">
      <c r="E949" s="55"/>
      <c r="J949" s="53"/>
      <c r="K949" s="50"/>
      <c r="L949" s="50"/>
    </row>
    <row r="950">
      <c r="E950" s="55"/>
      <c r="J950" s="53"/>
      <c r="K950" s="50"/>
      <c r="L950" s="50"/>
    </row>
    <row r="951">
      <c r="E951" s="55"/>
      <c r="J951" s="53"/>
      <c r="K951" s="50"/>
      <c r="L951" s="50"/>
    </row>
    <row r="952">
      <c r="E952" s="55"/>
      <c r="J952" s="53"/>
      <c r="K952" s="50"/>
      <c r="L952" s="50"/>
    </row>
    <row r="953">
      <c r="E953" s="55"/>
      <c r="J953" s="53"/>
      <c r="K953" s="50"/>
      <c r="L953" s="50"/>
    </row>
    <row r="954">
      <c r="E954" s="55"/>
      <c r="J954" s="53"/>
      <c r="K954" s="50"/>
      <c r="L954" s="50"/>
    </row>
    <row r="955">
      <c r="E955" s="55"/>
      <c r="J955" s="53"/>
      <c r="K955" s="50"/>
      <c r="L955" s="50"/>
    </row>
    <row r="956">
      <c r="E956" s="55"/>
      <c r="J956" s="53"/>
      <c r="K956" s="50"/>
      <c r="L956" s="50"/>
    </row>
    <row r="957">
      <c r="E957" s="55"/>
      <c r="J957" s="53"/>
      <c r="K957" s="50"/>
      <c r="L957" s="50"/>
    </row>
    <row r="958">
      <c r="E958" s="55"/>
      <c r="J958" s="53"/>
      <c r="K958" s="50"/>
      <c r="L958" s="50"/>
    </row>
    <row r="959">
      <c r="E959" s="55"/>
      <c r="J959" s="53"/>
      <c r="K959" s="50"/>
      <c r="L959" s="50"/>
    </row>
    <row r="960">
      <c r="E960" s="55"/>
      <c r="J960" s="53"/>
      <c r="K960" s="50"/>
      <c r="L960" s="50"/>
    </row>
    <row r="961">
      <c r="E961" s="55"/>
      <c r="J961" s="53"/>
      <c r="K961" s="50"/>
      <c r="L961" s="50"/>
    </row>
    <row r="962">
      <c r="E962" s="55"/>
      <c r="J962" s="53"/>
      <c r="K962" s="50"/>
      <c r="L962" s="50"/>
    </row>
    <row r="963">
      <c r="E963" s="55"/>
      <c r="J963" s="53"/>
      <c r="K963" s="50"/>
      <c r="L963" s="50"/>
    </row>
    <row r="964">
      <c r="E964" s="55"/>
      <c r="J964" s="53"/>
      <c r="K964" s="50"/>
      <c r="L964" s="50"/>
    </row>
    <row r="965">
      <c r="E965" s="55"/>
      <c r="J965" s="53"/>
      <c r="K965" s="50"/>
      <c r="L965" s="50"/>
    </row>
    <row r="966">
      <c r="E966" s="55"/>
      <c r="J966" s="53"/>
      <c r="K966" s="50"/>
      <c r="L966" s="50"/>
    </row>
    <row r="967">
      <c r="E967" s="55"/>
      <c r="J967" s="53"/>
      <c r="K967" s="50"/>
      <c r="L967" s="50"/>
    </row>
    <row r="968">
      <c r="E968" s="55"/>
      <c r="J968" s="53"/>
      <c r="K968" s="50"/>
      <c r="L968" s="50"/>
    </row>
    <row r="969">
      <c r="E969" s="55"/>
      <c r="J969" s="53"/>
      <c r="K969" s="50"/>
      <c r="L969" s="50"/>
    </row>
    <row r="970">
      <c r="E970" s="55"/>
      <c r="J970" s="53"/>
      <c r="K970" s="50"/>
      <c r="L970" s="50"/>
    </row>
    <row r="971">
      <c r="E971" s="55"/>
      <c r="J971" s="53"/>
      <c r="K971" s="50"/>
      <c r="L971" s="50"/>
    </row>
    <row r="972">
      <c r="E972" s="55"/>
      <c r="J972" s="53"/>
      <c r="K972" s="50"/>
      <c r="L972" s="50"/>
    </row>
    <row r="973">
      <c r="E973" s="55"/>
      <c r="J973" s="53"/>
      <c r="K973" s="50"/>
      <c r="L973" s="50"/>
    </row>
    <row r="974">
      <c r="E974" s="55"/>
      <c r="J974" s="53"/>
      <c r="K974" s="50"/>
      <c r="L974" s="50"/>
    </row>
    <row r="975">
      <c r="E975" s="55"/>
      <c r="J975" s="53"/>
      <c r="K975" s="50"/>
      <c r="L975" s="50"/>
    </row>
    <row r="976">
      <c r="E976" s="55"/>
      <c r="J976" s="53"/>
      <c r="K976" s="50"/>
      <c r="L976" s="50"/>
    </row>
    <row r="977">
      <c r="E977" s="55"/>
      <c r="J977" s="53"/>
      <c r="K977" s="50"/>
      <c r="L977" s="50"/>
    </row>
    <row r="978">
      <c r="E978" s="55"/>
      <c r="J978" s="53"/>
      <c r="K978" s="50"/>
      <c r="L978" s="50"/>
    </row>
    <row r="979">
      <c r="E979" s="55"/>
      <c r="J979" s="53"/>
      <c r="K979" s="50"/>
      <c r="L979" s="50"/>
    </row>
    <row r="980">
      <c r="E980" s="55"/>
      <c r="J980" s="53"/>
      <c r="K980" s="50"/>
      <c r="L980" s="50"/>
    </row>
    <row r="981">
      <c r="E981" s="55"/>
      <c r="J981" s="53"/>
      <c r="K981" s="50"/>
      <c r="L981" s="50"/>
    </row>
    <row r="982">
      <c r="E982" s="55"/>
      <c r="J982" s="53"/>
      <c r="K982" s="50"/>
      <c r="L982" s="50"/>
    </row>
    <row r="983">
      <c r="E983" s="55"/>
      <c r="J983" s="53"/>
      <c r="K983" s="50"/>
      <c r="L983" s="50"/>
    </row>
    <row r="984">
      <c r="E984" s="55"/>
      <c r="J984" s="53"/>
      <c r="K984" s="50"/>
      <c r="L984" s="50"/>
    </row>
    <row r="985">
      <c r="E985" s="55"/>
      <c r="J985" s="53"/>
      <c r="K985" s="50"/>
      <c r="L985" s="50"/>
    </row>
    <row r="986">
      <c r="E986" s="55"/>
      <c r="J986" s="53"/>
      <c r="K986" s="50"/>
      <c r="L986" s="50"/>
    </row>
    <row r="987">
      <c r="E987" s="55"/>
      <c r="J987" s="53"/>
      <c r="K987" s="50"/>
      <c r="L987" s="50"/>
    </row>
    <row r="988">
      <c r="E988" s="55"/>
      <c r="J988" s="53"/>
      <c r="K988" s="50"/>
      <c r="L988" s="50"/>
    </row>
    <row r="989">
      <c r="E989" s="55"/>
      <c r="J989" s="53"/>
      <c r="K989" s="50"/>
      <c r="L989" s="50"/>
    </row>
    <row r="990">
      <c r="E990" s="55"/>
      <c r="J990" s="53"/>
      <c r="K990" s="50"/>
      <c r="L990" s="50"/>
    </row>
    <row r="991">
      <c r="E991" s="55"/>
      <c r="J991" s="53"/>
      <c r="K991" s="50"/>
      <c r="L991" s="50"/>
    </row>
    <row r="992">
      <c r="E992" s="55"/>
      <c r="J992" s="53"/>
      <c r="K992" s="50"/>
      <c r="L992" s="50"/>
    </row>
    <row r="993">
      <c r="E993" s="55"/>
      <c r="J993" s="53"/>
      <c r="K993" s="50"/>
      <c r="L993" s="50"/>
    </row>
    <row r="994">
      <c r="E994" s="55"/>
      <c r="J994" s="53"/>
      <c r="K994" s="50"/>
      <c r="L994" s="50"/>
    </row>
    <row r="995">
      <c r="E995" s="55"/>
      <c r="J995" s="53"/>
      <c r="K995" s="50"/>
      <c r="L995" s="50"/>
    </row>
    <row r="996">
      <c r="E996" s="55"/>
      <c r="J996" s="53"/>
      <c r="K996" s="50"/>
      <c r="L996" s="50"/>
    </row>
    <row r="997">
      <c r="E997" s="55"/>
      <c r="J997" s="53"/>
      <c r="K997" s="50"/>
      <c r="L997" s="50"/>
    </row>
    <row r="998">
      <c r="E998" s="55"/>
      <c r="J998" s="53"/>
      <c r="K998" s="50"/>
      <c r="L998" s="50"/>
    </row>
    <row r="999">
      <c r="E999" s="55"/>
      <c r="J999" s="53"/>
      <c r="K999" s="50"/>
      <c r="L999" s="50"/>
    </row>
    <row r="1000">
      <c r="E1000" s="55"/>
      <c r="J1000" s="53"/>
      <c r="K1000" s="50"/>
      <c r="L1000" s="50"/>
    </row>
    <row r="1001">
      <c r="E1001" s="55"/>
      <c r="J1001" s="53"/>
      <c r="K1001" s="50"/>
      <c r="L1001" s="50"/>
    </row>
    <row r="1002">
      <c r="E1002" s="55"/>
      <c r="J1002" s="53"/>
      <c r="K1002" s="50"/>
      <c r="L1002" s="50"/>
    </row>
    <row r="1003">
      <c r="E1003" s="55"/>
      <c r="J1003" s="53"/>
      <c r="K1003" s="50"/>
      <c r="L1003" s="50"/>
    </row>
    <row r="1004">
      <c r="E1004" s="55"/>
      <c r="J1004" s="53"/>
      <c r="K1004" s="50"/>
      <c r="L1004" s="50"/>
    </row>
    <row r="1005">
      <c r="E1005" s="55"/>
      <c r="J1005" s="53"/>
      <c r="K1005" s="50"/>
      <c r="L1005" s="50"/>
    </row>
    <row r="1006">
      <c r="E1006" s="55"/>
      <c r="J1006" s="53"/>
      <c r="K1006" s="50"/>
      <c r="L1006" s="50"/>
    </row>
    <row r="1007">
      <c r="E1007" s="55"/>
      <c r="J1007" s="53"/>
      <c r="K1007" s="50"/>
      <c r="L1007" s="50"/>
    </row>
    <row r="1008">
      <c r="E1008" s="55"/>
      <c r="J1008" s="53"/>
      <c r="K1008" s="50"/>
      <c r="L1008" s="50"/>
    </row>
    <row r="1009">
      <c r="E1009" s="55"/>
      <c r="J1009" s="53"/>
      <c r="K1009" s="50"/>
      <c r="L1009" s="50"/>
    </row>
    <row r="1010">
      <c r="E1010" s="55"/>
      <c r="J1010" s="53"/>
      <c r="K1010" s="50"/>
      <c r="L1010" s="50"/>
    </row>
    <row r="1011">
      <c r="E1011" s="55"/>
      <c r="J1011" s="53"/>
      <c r="K1011" s="50"/>
      <c r="L1011" s="50"/>
    </row>
    <row r="1012">
      <c r="E1012" s="55"/>
      <c r="J1012" s="53"/>
      <c r="K1012" s="50"/>
      <c r="L1012" s="50"/>
    </row>
    <row r="1013">
      <c r="E1013" s="55"/>
      <c r="J1013" s="53"/>
      <c r="K1013" s="50"/>
      <c r="L1013" s="50"/>
    </row>
    <row r="1014">
      <c r="E1014" s="55"/>
      <c r="J1014" s="53"/>
      <c r="K1014" s="50"/>
      <c r="L1014" s="50"/>
    </row>
    <row r="1015">
      <c r="E1015" s="55"/>
      <c r="J1015" s="53"/>
      <c r="K1015" s="50"/>
      <c r="L1015" s="50"/>
    </row>
    <row r="1016">
      <c r="E1016" s="55"/>
      <c r="J1016" s="53"/>
      <c r="K1016" s="50"/>
      <c r="L1016" s="50"/>
    </row>
    <row r="1017">
      <c r="E1017" s="55"/>
      <c r="J1017" s="53"/>
      <c r="K1017" s="50"/>
      <c r="L1017" s="50"/>
    </row>
    <row r="1018">
      <c r="E1018" s="55"/>
      <c r="J1018" s="53"/>
      <c r="K1018" s="50"/>
      <c r="L1018" s="50"/>
    </row>
    <row r="1019">
      <c r="E1019" s="55"/>
      <c r="J1019" s="53"/>
      <c r="K1019" s="50"/>
      <c r="L1019" s="50"/>
    </row>
    <row r="1020">
      <c r="E1020" s="55"/>
      <c r="J1020" s="53"/>
      <c r="K1020" s="50"/>
      <c r="L1020" s="50"/>
    </row>
    <row r="1021">
      <c r="E1021" s="55"/>
      <c r="J1021" s="53"/>
      <c r="K1021" s="50"/>
      <c r="L1021" s="50"/>
    </row>
    <row r="1022">
      <c r="E1022" s="55"/>
      <c r="J1022" s="53"/>
      <c r="K1022" s="50"/>
      <c r="L1022" s="50"/>
    </row>
    <row r="1023">
      <c r="E1023" s="55"/>
      <c r="J1023" s="53"/>
      <c r="K1023" s="50"/>
      <c r="L1023" s="50"/>
    </row>
    <row r="1024">
      <c r="E1024" s="55"/>
      <c r="J1024" s="53"/>
      <c r="K1024" s="50"/>
      <c r="L1024" s="50"/>
    </row>
    <row r="1025">
      <c r="E1025" s="55"/>
      <c r="J1025" s="53"/>
      <c r="K1025" s="50"/>
      <c r="L1025" s="50"/>
    </row>
    <row r="1026">
      <c r="E1026" s="55"/>
      <c r="J1026" s="53"/>
      <c r="K1026" s="50"/>
      <c r="L1026" s="50"/>
    </row>
    <row r="1027">
      <c r="E1027" s="55"/>
      <c r="J1027" s="53"/>
      <c r="K1027" s="50"/>
      <c r="L1027" s="50"/>
    </row>
    <row r="1028">
      <c r="E1028" s="55"/>
      <c r="J1028" s="53"/>
      <c r="K1028" s="50"/>
      <c r="L1028" s="50"/>
    </row>
    <row r="1029">
      <c r="E1029" s="55"/>
      <c r="J1029" s="53"/>
      <c r="K1029" s="50"/>
      <c r="L1029" s="50"/>
    </row>
    <row r="1030">
      <c r="E1030" s="55"/>
      <c r="J1030" s="53"/>
      <c r="K1030" s="50"/>
      <c r="L1030" s="50"/>
    </row>
    <row r="1031">
      <c r="E1031" s="55"/>
      <c r="J1031" s="53"/>
      <c r="K1031" s="50"/>
      <c r="L1031" s="50"/>
    </row>
    <row r="1032">
      <c r="E1032" s="55"/>
      <c r="J1032" s="53"/>
      <c r="K1032" s="50"/>
      <c r="L1032" s="50"/>
    </row>
    <row r="1033">
      <c r="E1033" s="55"/>
      <c r="J1033" s="53"/>
      <c r="K1033" s="50"/>
      <c r="L1033" s="50"/>
    </row>
    <row r="1034">
      <c r="E1034" s="55"/>
      <c r="J1034" s="53"/>
      <c r="K1034" s="50"/>
      <c r="L1034" s="50"/>
    </row>
    <row r="1035">
      <c r="E1035" s="55"/>
      <c r="J1035" s="53"/>
      <c r="K1035" s="50"/>
      <c r="L1035" s="50"/>
    </row>
    <row r="1036">
      <c r="E1036" s="55"/>
      <c r="J1036" s="53"/>
      <c r="K1036" s="50"/>
      <c r="L1036" s="50"/>
    </row>
    <row r="1037">
      <c r="E1037" s="55"/>
      <c r="J1037" s="53"/>
      <c r="K1037" s="50"/>
      <c r="L1037" s="50"/>
    </row>
    <row r="1038">
      <c r="E1038" s="55"/>
      <c r="J1038" s="53"/>
      <c r="K1038" s="50"/>
      <c r="L1038" s="50"/>
    </row>
    <row r="1039">
      <c r="E1039" s="55"/>
      <c r="J1039" s="53"/>
      <c r="K1039" s="50"/>
      <c r="L1039" s="50"/>
    </row>
    <row r="1040">
      <c r="E1040" s="55"/>
      <c r="J1040" s="53"/>
      <c r="K1040" s="50"/>
      <c r="L1040" s="50"/>
    </row>
    <row r="1041">
      <c r="E1041" s="55"/>
      <c r="J1041" s="53"/>
      <c r="K1041" s="50"/>
      <c r="L1041" s="50"/>
    </row>
    <row r="1042">
      <c r="E1042" s="55"/>
      <c r="J1042" s="53"/>
      <c r="K1042" s="50"/>
      <c r="L1042" s="50"/>
    </row>
    <row r="1043">
      <c r="E1043" s="55"/>
      <c r="J1043" s="53"/>
      <c r="K1043" s="50"/>
      <c r="L1043" s="50"/>
    </row>
    <row r="1044">
      <c r="E1044" s="55"/>
      <c r="J1044" s="53"/>
      <c r="K1044" s="50"/>
      <c r="L1044" s="50"/>
    </row>
    <row r="1045">
      <c r="E1045" s="55"/>
      <c r="J1045" s="53"/>
      <c r="K1045" s="50"/>
      <c r="L1045" s="50"/>
    </row>
    <row r="1046">
      <c r="E1046" s="55"/>
      <c r="J1046" s="53"/>
      <c r="K1046" s="50"/>
      <c r="L1046" s="50"/>
    </row>
    <row r="1047">
      <c r="E1047" s="55"/>
      <c r="J1047" s="53"/>
      <c r="K1047" s="50"/>
      <c r="L1047" s="50"/>
    </row>
    <row r="1048">
      <c r="E1048" s="55"/>
      <c r="J1048" s="53"/>
      <c r="K1048" s="50"/>
      <c r="L1048" s="50"/>
    </row>
    <row r="1049">
      <c r="E1049" s="55"/>
      <c r="J1049" s="53"/>
      <c r="K1049" s="50"/>
      <c r="L1049" s="50"/>
    </row>
    <row r="1050">
      <c r="E1050" s="55"/>
      <c r="J1050" s="53"/>
      <c r="K1050" s="50"/>
      <c r="L1050" s="50"/>
    </row>
    <row r="1051">
      <c r="E1051" s="55"/>
      <c r="J1051" s="53"/>
      <c r="K1051" s="50"/>
      <c r="L1051" s="50"/>
    </row>
    <row r="1052">
      <c r="E1052" s="55"/>
      <c r="J1052" s="53"/>
      <c r="K1052" s="50"/>
      <c r="L1052" s="50"/>
    </row>
    <row r="1053">
      <c r="E1053" s="55"/>
      <c r="J1053" s="53"/>
      <c r="K1053" s="50"/>
      <c r="L1053" s="50"/>
    </row>
    <row r="1054">
      <c r="E1054" s="55"/>
      <c r="J1054" s="53"/>
      <c r="K1054" s="50"/>
      <c r="L1054" s="50"/>
    </row>
    <row r="1055">
      <c r="E1055" s="55"/>
      <c r="J1055" s="53"/>
      <c r="K1055" s="50"/>
      <c r="L1055" s="50"/>
    </row>
    <row r="1056">
      <c r="E1056" s="55"/>
      <c r="J1056" s="53"/>
      <c r="K1056" s="50"/>
      <c r="L1056" s="50"/>
    </row>
    <row r="1057">
      <c r="E1057" s="55"/>
      <c r="J1057" s="53"/>
      <c r="K1057" s="50"/>
      <c r="L1057" s="50"/>
    </row>
    <row r="1058">
      <c r="E1058" s="55"/>
      <c r="J1058" s="53"/>
      <c r="K1058" s="50"/>
      <c r="L1058" s="50"/>
    </row>
    <row r="1059">
      <c r="E1059" s="55"/>
      <c r="J1059" s="53"/>
      <c r="K1059" s="50"/>
      <c r="L1059" s="50"/>
    </row>
    <row r="1060">
      <c r="E1060" s="55"/>
      <c r="J1060" s="53"/>
      <c r="K1060" s="50"/>
      <c r="L1060" s="50"/>
    </row>
    <row r="1061">
      <c r="E1061" s="55"/>
      <c r="J1061" s="53"/>
      <c r="K1061" s="50"/>
      <c r="L1061" s="50"/>
    </row>
    <row r="1062">
      <c r="E1062" s="55"/>
      <c r="J1062" s="53"/>
      <c r="K1062" s="50"/>
      <c r="L1062" s="50"/>
    </row>
    <row r="1063">
      <c r="E1063" s="55"/>
      <c r="J1063" s="53"/>
      <c r="K1063" s="50"/>
      <c r="L1063" s="50"/>
    </row>
    <row r="1064">
      <c r="E1064" s="55"/>
      <c r="J1064" s="53"/>
      <c r="K1064" s="50"/>
      <c r="L1064" s="50"/>
    </row>
    <row r="1065">
      <c r="E1065" s="55"/>
      <c r="J1065" s="53"/>
      <c r="K1065" s="50"/>
      <c r="L1065" s="50"/>
    </row>
    <row r="1066">
      <c r="E1066" s="55"/>
      <c r="J1066" s="53"/>
      <c r="K1066" s="50"/>
      <c r="L1066" s="50"/>
    </row>
    <row r="1067">
      <c r="E1067" s="55"/>
      <c r="J1067" s="53"/>
      <c r="K1067" s="50"/>
      <c r="L1067" s="50"/>
    </row>
    <row r="1068">
      <c r="E1068" s="55"/>
      <c r="J1068" s="53"/>
      <c r="K1068" s="50"/>
      <c r="L1068" s="50"/>
    </row>
    <row r="1069">
      <c r="E1069" s="55"/>
      <c r="J1069" s="53"/>
      <c r="K1069" s="50"/>
      <c r="L1069" s="50"/>
    </row>
    <row r="1070">
      <c r="E1070" s="55"/>
      <c r="J1070" s="53"/>
      <c r="K1070" s="50"/>
      <c r="L1070" s="50"/>
    </row>
    <row r="1071">
      <c r="E1071" s="55"/>
      <c r="J1071" s="53"/>
      <c r="K1071" s="50"/>
      <c r="L1071" s="50"/>
    </row>
    <row r="1072">
      <c r="E1072" s="55"/>
      <c r="J1072" s="53"/>
      <c r="K1072" s="50"/>
      <c r="L1072" s="50"/>
    </row>
    <row r="1073">
      <c r="E1073" s="55"/>
      <c r="J1073" s="53"/>
      <c r="K1073" s="50"/>
      <c r="L1073" s="50"/>
    </row>
    <row r="1074">
      <c r="E1074" s="55"/>
      <c r="J1074" s="53"/>
      <c r="K1074" s="50"/>
      <c r="L1074" s="50"/>
    </row>
    <row r="1075">
      <c r="E1075" s="55"/>
      <c r="J1075" s="53"/>
      <c r="K1075" s="50"/>
      <c r="L1075" s="50"/>
    </row>
    <row r="1076">
      <c r="E1076" s="55"/>
      <c r="J1076" s="53"/>
      <c r="K1076" s="50"/>
      <c r="L1076" s="50"/>
    </row>
    <row r="1077">
      <c r="E1077" s="55"/>
      <c r="J1077" s="53"/>
      <c r="K1077" s="50"/>
      <c r="L1077" s="50"/>
    </row>
    <row r="1078">
      <c r="E1078" s="55"/>
      <c r="J1078" s="53"/>
      <c r="K1078" s="50"/>
      <c r="L1078" s="50"/>
    </row>
    <row r="1079">
      <c r="E1079" s="55"/>
      <c r="J1079" s="53"/>
      <c r="K1079" s="50"/>
      <c r="L1079" s="50"/>
    </row>
    <row r="1080">
      <c r="E1080" s="55"/>
      <c r="J1080" s="53"/>
      <c r="K1080" s="50"/>
      <c r="L1080" s="50"/>
    </row>
    <row r="1081">
      <c r="E1081" s="55"/>
      <c r="J1081" s="53"/>
      <c r="K1081" s="50"/>
      <c r="L1081" s="50"/>
    </row>
    <row r="1082">
      <c r="E1082" s="55"/>
      <c r="J1082" s="53"/>
      <c r="K1082" s="50"/>
      <c r="L1082" s="50"/>
    </row>
    <row r="1083">
      <c r="E1083" s="55"/>
      <c r="J1083" s="53"/>
      <c r="K1083" s="50"/>
      <c r="L1083" s="50"/>
    </row>
    <row r="1084">
      <c r="E1084" s="55"/>
      <c r="J1084" s="53"/>
      <c r="K1084" s="50"/>
      <c r="L1084" s="50"/>
    </row>
    <row r="1085">
      <c r="E1085" s="55"/>
      <c r="J1085" s="53"/>
      <c r="K1085" s="50"/>
      <c r="L1085" s="50"/>
    </row>
    <row r="1086">
      <c r="E1086" s="55"/>
      <c r="J1086" s="53"/>
      <c r="K1086" s="50"/>
      <c r="L1086" s="50"/>
    </row>
    <row r="1087">
      <c r="E1087" s="55"/>
      <c r="J1087" s="53"/>
      <c r="K1087" s="50"/>
      <c r="L1087" s="50"/>
    </row>
    <row r="1088">
      <c r="E1088" s="55"/>
      <c r="J1088" s="53"/>
      <c r="K1088" s="50"/>
      <c r="L1088" s="50"/>
    </row>
    <row r="1089">
      <c r="E1089" s="55"/>
      <c r="J1089" s="53"/>
      <c r="K1089" s="50"/>
      <c r="L1089" s="50"/>
    </row>
    <row r="1090">
      <c r="E1090" s="55"/>
      <c r="J1090" s="53"/>
      <c r="K1090" s="50"/>
      <c r="L1090" s="50"/>
    </row>
    <row r="1091">
      <c r="E1091" s="55"/>
      <c r="J1091" s="53"/>
      <c r="K1091" s="50"/>
      <c r="L1091" s="50"/>
    </row>
    <row r="1092">
      <c r="E1092" s="55"/>
      <c r="J1092" s="53"/>
      <c r="K1092" s="50"/>
      <c r="L1092" s="50"/>
    </row>
    <row r="1093">
      <c r="E1093" s="55"/>
      <c r="J1093" s="53"/>
      <c r="K1093" s="50"/>
      <c r="L1093" s="50"/>
    </row>
    <row r="1094">
      <c r="E1094" s="55"/>
      <c r="J1094" s="53"/>
      <c r="K1094" s="50"/>
      <c r="L1094" s="50"/>
    </row>
    <row r="1095">
      <c r="E1095" s="55"/>
      <c r="J1095" s="53"/>
      <c r="K1095" s="50"/>
      <c r="L1095" s="50"/>
    </row>
    <row r="1096">
      <c r="E1096" s="55"/>
      <c r="J1096" s="53"/>
      <c r="K1096" s="50"/>
      <c r="L1096" s="50"/>
    </row>
    <row r="1097">
      <c r="E1097" s="55"/>
      <c r="J1097" s="53"/>
      <c r="K1097" s="50"/>
      <c r="L1097" s="50"/>
    </row>
    <row r="1098">
      <c r="E1098" s="55"/>
      <c r="J1098" s="53"/>
      <c r="K1098" s="50"/>
      <c r="L1098" s="50"/>
    </row>
    <row r="1099">
      <c r="E1099" s="55"/>
      <c r="J1099" s="53"/>
      <c r="K1099" s="50"/>
      <c r="L1099" s="50"/>
    </row>
    <row r="1100">
      <c r="E1100" s="55"/>
      <c r="J1100" s="53"/>
      <c r="K1100" s="50"/>
      <c r="L1100" s="50"/>
    </row>
    <row r="1101">
      <c r="E1101" s="55"/>
      <c r="J1101" s="53"/>
      <c r="K1101" s="50"/>
      <c r="L1101" s="50"/>
    </row>
    <row r="1102">
      <c r="E1102" s="55"/>
      <c r="J1102" s="53"/>
      <c r="K1102" s="50"/>
      <c r="L1102" s="50"/>
    </row>
    <row r="1103">
      <c r="E1103" s="55"/>
      <c r="J1103" s="53"/>
      <c r="K1103" s="50"/>
      <c r="L1103" s="50"/>
    </row>
    <row r="1104">
      <c r="E1104" s="55"/>
      <c r="J1104" s="53"/>
      <c r="K1104" s="50"/>
      <c r="L1104" s="50"/>
    </row>
    <row r="1105">
      <c r="E1105" s="55"/>
      <c r="J1105" s="53"/>
      <c r="K1105" s="50"/>
      <c r="L1105" s="50"/>
    </row>
    <row r="1106">
      <c r="E1106" s="55"/>
      <c r="J1106" s="53"/>
      <c r="K1106" s="50"/>
      <c r="L1106" s="50"/>
    </row>
    <row r="1107">
      <c r="E1107" s="55"/>
      <c r="J1107" s="53"/>
      <c r="K1107" s="50"/>
      <c r="L1107" s="50"/>
    </row>
    <row r="1108">
      <c r="E1108" s="55"/>
      <c r="J1108" s="53"/>
      <c r="K1108" s="50"/>
      <c r="L1108" s="50"/>
    </row>
    <row r="1109">
      <c r="E1109" s="55"/>
      <c r="J1109" s="53"/>
      <c r="K1109" s="50"/>
      <c r="L1109" s="50"/>
    </row>
    <row r="1110">
      <c r="E1110" s="55"/>
      <c r="J1110" s="53"/>
      <c r="K1110" s="50"/>
      <c r="L1110" s="50"/>
    </row>
    <row r="1111">
      <c r="E1111" s="55"/>
      <c r="J1111" s="53"/>
      <c r="K1111" s="50"/>
      <c r="L1111" s="50"/>
    </row>
    <row r="1112">
      <c r="E1112" s="55"/>
      <c r="J1112" s="53"/>
      <c r="K1112" s="50"/>
      <c r="L1112" s="50"/>
    </row>
    <row r="1113">
      <c r="E1113" s="55"/>
      <c r="J1113" s="53"/>
      <c r="K1113" s="50"/>
      <c r="L1113" s="50"/>
    </row>
    <row r="1114">
      <c r="E1114" s="55"/>
      <c r="J1114" s="53"/>
      <c r="K1114" s="50"/>
      <c r="L1114" s="50"/>
    </row>
    <row r="1115">
      <c r="E1115" s="55"/>
      <c r="J1115" s="53"/>
      <c r="K1115" s="50"/>
      <c r="L1115" s="50"/>
    </row>
    <row r="1116">
      <c r="E1116" s="55"/>
      <c r="J1116" s="53"/>
      <c r="K1116" s="50"/>
      <c r="L1116" s="50"/>
    </row>
    <row r="1117">
      <c r="E1117" s="55"/>
      <c r="J1117" s="53"/>
      <c r="K1117" s="50"/>
      <c r="L1117" s="50"/>
    </row>
    <row r="1118">
      <c r="E1118" s="55"/>
      <c r="J1118" s="53"/>
      <c r="K1118" s="50"/>
      <c r="L1118" s="50"/>
    </row>
    <row r="1119">
      <c r="E1119" s="55"/>
      <c r="J1119" s="53"/>
      <c r="K1119" s="50"/>
      <c r="L1119" s="50"/>
    </row>
    <row r="1120">
      <c r="E1120" s="55"/>
      <c r="J1120" s="53"/>
      <c r="K1120" s="50"/>
      <c r="L1120" s="50"/>
    </row>
    <row r="1121">
      <c r="E1121" s="55"/>
      <c r="J1121" s="53"/>
      <c r="K1121" s="50"/>
      <c r="L1121" s="50"/>
    </row>
    <row r="1122">
      <c r="E1122" s="55"/>
      <c r="J1122" s="53"/>
      <c r="K1122" s="50"/>
      <c r="L1122" s="50"/>
    </row>
    <row r="1123">
      <c r="E1123" s="55"/>
      <c r="J1123" s="53"/>
      <c r="K1123" s="50"/>
      <c r="L1123" s="50"/>
    </row>
    <row r="1124">
      <c r="E1124" s="55"/>
      <c r="J1124" s="53"/>
      <c r="K1124" s="50"/>
      <c r="L1124" s="50"/>
    </row>
    <row r="1125">
      <c r="E1125" s="55"/>
      <c r="J1125" s="53"/>
      <c r="K1125" s="50"/>
      <c r="L1125" s="50"/>
    </row>
    <row r="1126">
      <c r="E1126" s="55"/>
      <c r="J1126" s="53"/>
      <c r="K1126" s="50"/>
      <c r="L1126" s="50"/>
    </row>
    <row r="1127">
      <c r="E1127" s="55"/>
      <c r="J1127" s="53"/>
      <c r="K1127" s="50"/>
      <c r="L1127" s="50"/>
    </row>
    <row r="1128">
      <c r="E1128" s="55"/>
      <c r="J1128" s="53"/>
      <c r="K1128" s="50"/>
      <c r="L1128" s="50"/>
    </row>
    <row r="1129">
      <c r="E1129" s="55"/>
      <c r="J1129" s="53"/>
      <c r="K1129" s="50"/>
      <c r="L1129" s="50"/>
    </row>
    <row r="1130">
      <c r="E1130" s="55"/>
      <c r="J1130" s="53"/>
      <c r="K1130" s="50"/>
      <c r="L1130" s="50"/>
    </row>
    <row r="1131">
      <c r="E1131" s="55"/>
      <c r="J1131" s="53"/>
      <c r="K1131" s="50"/>
      <c r="L1131" s="50"/>
    </row>
    <row r="1132">
      <c r="E1132" s="55"/>
      <c r="J1132" s="53"/>
      <c r="K1132" s="50"/>
      <c r="L1132" s="50"/>
    </row>
    <row r="1133">
      <c r="E1133" s="55"/>
      <c r="J1133" s="53"/>
      <c r="K1133" s="50"/>
      <c r="L1133" s="50"/>
    </row>
    <row r="1134">
      <c r="E1134" s="55"/>
      <c r="J1134" s="53"/>
      <c r="K1134" s="50"/>
      <c r="L1134" s="50"/>
    </row>
    <row r="1135">
      <c r="E1135" s="55"/>
      <c r="J1135" s="53"/>
      <c r="K1135" s="50"/>
      <c r="L1135" s="50"/>
    </row>
    <row r="1136">
      <c r="E1136" s="55"/>
      <c r="J1136" s="53"/>
      <c r="K1136" s="50"/>
      <c r="L1136" s="50"/>
    </row>
    <row r="1137">
      <c r="E1137" s="55"/>
      <c r="J1137" s="53"/>
      <c r="K1137" s="50"/>
      <c r="L1137" s="50"/>
    </row>
    <row r="1138">
      <c r="E1138" s="55"/>
      <c r="J1138" s="53"/>
      <c r="K1138" s="50"/>
      <c r="L1138" s="50"/>
    </row>
    <row r="1139">
      <c r="E1139" s="55"/>
      <c r="J1139" s="53"/>
      <c r="K1139" s="50"/>
      <c r="L1139" s="50"/>
    </row>
    <row r="1140">
      <c r="E1140" s="55"/>
      <c r="J1140" s="53"/>
      <c r="K1140" s="50"/>
      <c r="L1140" s="50"/>
    </row>
    <row r="1141">
      <c r="E1141" s="55"/>
      <c r="J1141" s="53"/>
      <c r="K1141" s="50"/>
      <c r="L1141" s="50"/>
    </row>
    <row r="1142">
      <c r="E1142" s="55"/>
      <c r="J1142" s="53"/>
      <c r="K1142" s="50"/>
      <c r="L1142" s="50"/>
    </row>
    <row r="1143">
      <c r="E1143" s="55"/>
      <c r="J1143" s="53"/>
      <c r="K1143" s="50"/>
      <c r="L1143" s="50"/>
    </row>
    <row r="1144">
      <c r="E1144" s="55"/>
      <c r="J1144" s="53"/>
      <c r="K1144" s="50"/>
      <c r="L1144" s="50"/>
    </row>
    <row r="1145">
      <c r="E1145" s="55"/>
      <c r="J1145" s="53"/>
      <c r="K1145" s="50"/>
      <c r="L1145" s="50"/>
    </row>
    <row r="1146">
      <c r="E1146" s="55"/>
      <c r="J1146" s="53"/>
      <c r="K1146" s="50"/>
      <c r="L1146" s="50"/>
    </row>
    <row r="1147">
      <c r="E1147" s="55"/>
      <c r="J1147" s="53"/>
      <c r="K1147" s="50"/>
      <c r="L1147" s="50"/>
    </row>
    <row r="1148">
      <c r="E1148" s="55"/>
      <c r="J1148" s="53"/>
      <c r="K1148" s="50"/>
      <c r="L1148" s="50"/>
    </row>
    <row r="1149">
      <c r="E1149" s="55"/>
      <c r="J1149" s="53"/>
      <c r="K1149" s="50"/>
      <c r="L1149" s="50"/>
    </row>
    <row r="1150">
      <c r="E1150" s="55"/>
      <c r="J1150" s="53"/>
      <c r="K1150" s="50"/>
      <c r="L1150" s="50"/>
    </row>
    <row r="1151">
      <c r="E1151" s="55"/>
      <c r="J1151" s="53"/>
      <c r="K1151" s="50"/>
      <c r="L1151" s="50"/>
    </row>
    <row r="1152">
      <c r="E1152" s="55"/>
      <c r="J1152" s="53"/>
      <c r="K1152" s="50"/>
      <c r="L1152" s="50"/>
    </row>
    <row r="1153">
      <c r="E1153" s="55"/>
      <c r="J1153" s="53"/>
      <c r="K1153" s="50"/>
      <c r="L1153" s="50"/>
    </row>
    <row r="1154">
      <c r="E1154" s="55"/>
      <c r="J1154" s="53"/>
      <c r="K1154" s="50"/>
      <c r="L1154" s="50"/>
    </row>
    <row r="1155">
      <c r="E1155" s="55"/>
      <c r="J1155" s="53"/>
      <c r="K1155" s="50"/>
      <c r="L1155" s="50"/>
    </row>
    <row r="1156">
      <c r="E1156" s="55"/>
      <c r="J1156" s="53"/>
      <c r="K1156" s="50"/>
      <c r="L1156" s="50"/>
    </row>
    <row r="1157">
      <c r="E1157" s="55"/>
      <c r="J1157" s="53"/>
      <c r="K1157" s="50"/>
      <c r="L1157" s="50"/>
    </row>
    <row r="1158">
      <c r="E1158" s="55"/>
      <c r="J1158" s="53"/>
      <c r="K1158" s="50"/>
      <c r="L1158" s="50"/>
    </row>
    <row r="1159">
      <c r="E1159" s="55"/>
      <c r="J1159" s="53"/>
      <c r="K1159" s="50"/>
      <c r="L1159" s="50"/>
    </row>
    <row r="1160">
      <c r="E1160" s="55"/>
      <c r="J1160" s="53"/>
      <c r="K1160" s="50"/>
      <c r="L1160" s="50"/>
    </row>
    <row r="1161">
      <c r="E1161" s="55"/>
      <c r="J1161" s="53"/>
      <c r="K1161" s="50"/>
      <c r="L1161" s="50"/>
    </row>
    <row r="1162">
      <c r="E1162" s="55"/>
      <c r="J1162" s="53"/>
      <c r="K1162" s="50"/>
      <c r="L1162" s="50"/>
    </row>
    <row r="1163">
      <c r="E1163" s="55"/>
      <c r="J1163" s="53"/>
      <c r="K1163" s="50"/>
      <c r="L1163" s="50"/>
    </row>
    <row r="1164">
      <c r="E1164" s="55"/>
      <c r="J1164" s="53"/>
      <c r="K1164" s="50"/>
      <c r="L1164" s="50"/>
    </row>
    <row r="1165">
      <c r="E1165" s="55"/>
      <c r="J1165" s="53"/>
      <c r="K1165" s="50"/>
      <c r="L1165" s="50"/>
    </row>
    <row r="1166">
      <c r="E1166" s="55"/>
      <c r="J1166" s="53"/>
      <c r="K1166" s="50"/>
      <c r="L1166" s="50"/>
    </row>
    <row r="1167">
      <c r="E1167" s="55"/>
      <c r="J1167" s="53"/>
      <c r="K1167" s="50"/>
      <c r="L1167" s="50"/>
    </row>
    <row r="1168">
      <c r="E1168" s="55"/>
      <c r="J1168" s="53"/>
      <c r="K1168" s="50"/>
      <c r="L1168" s="50"/>
    </row>
    <row r="1169">
      <c r="E1169" s="55"/>
      <c r="J1169" s="53"/>
      <c r="K1169" s="50"/>
      <c r="L1169" s="50"/>
    </row>
    <row r="1170">
      <c r="E1170" s="55"/>
      <c r="J1170" s="53"/>
      <c r="K1170" s="50"/>
      <c r="L1170" s="50"/>
    </row>
    <row r="1171">
      <c r="E1171" s="55"/>
      <c r="J1171" s="53"/>
      <c r="K1171" s="50"/>
      <c r="L1171" s="50"/>
    </row>
    <row r="1172">
      <c r="E1172" s="55"/>
      <c r="J1172" s="53"/>
      <c r="K1172" s="50"/>
      <c r="L1172" s="50"/>
    </row>
    <row r="1173">
      <c r="E1173" s="55"/>
      <c r="J1173" s="53"/>
      <c r="K1173" s="50"/>
      <c r="L1173" s="50"/>
    </row>
    <row r="1174">
      <c r="E1174" s="55"/>
      <c r="J1174" s="53"/>
      <c r="K1174" s="50"/>
      <c r="L1174" s="50"/>
    </row>
    <row r="1175">
      <c r="E1175" s="55"/>
      <c r="J1175" s="53"/>
      <c r="K1175" s="50"/>
      <c r="L1175" s="50"/>
    </row>
    <row r="1176">
      <c r="E1176" s="55"/>
      <c r="J1176" s="53"/>
      <c r="K1176" s="50"/>
      <c r="L1176" s="50"/>
    </row>
    <row r="1177">
      <c r="E1177" s="55"/>
      <c r="J1177" s="53"/>
      <c r="K1177" s="50"/>
      <c r="L1177" s="50"/>
    </row>
    <row r="1178">
      <c r="E1178" s="55"/>
      <c r="J1178" s="53"/>
      <c r="K1178" s="50"/>
      <c r="L1178" s="50"/>
    </row>
    <row r="1179">
      <c r="E1179" s="55"/>
      <c r="J1179" s="53"/>
      <c r="K1179" s="50"/>
      <c r="L1179" s="50"/>
    </row>
    <row r="1180">
      <c r="E1180" s="55"/>
      <c r="J1180" s="53"/>
      <c r="K1180" s="50"/>
      <c r="L1180" s="50"/>
    </row>
    <row r="1181">
      <c r="E1181" s="55"/>
      <c r="J1181" s="53"/>
      <c r="K1181" s="50"/>
      <c r="L1181" s="50"/>
    </row>
    <row r="1182">
      <c r="E1182" s="55"/>
      <c r="J1182" s="53"/>
      <c r="K1182" s="50"/>
      <c r="L1182" s="50"/>
    </row>
    <row r="1183">
      <c r="E1183" s="55"/>
      <c r="J1183" s="53"/>
      <c r="K1183" s="50"/>
      <c r="L1183" s="50"/>
    </row>
    <row r="1184">
      <c r="E1184" s="55"/>
      <c r="J1184" s="53"/>
      <c r="K1184" s="50"/>
      <c r="L1184" s="50"/>
    </row>
    <row r="1185">
      <c r="E1185" s="55"/>
      <c r="J1185" s="53"/>
      <c r="K1185" s="50"/>
      <c r="L1185" s="50"/>
    </row>
    <row r="1186">
      <c r="E1186" s="55"/>
      <c r="J1186" s="53"/>
      <c r="K1186" s="50"/>
      <c r="L1186" s="50"/>
    </row>
    <row r="1187">
      <c r="E1187" s="55"/>
      <c r="J1187" s="53"/>
      <c r="K1187" s="50"/>
      <c r="L1187" s="50"/>
    </row>
    <row r="1188">
      <c r="E1188" s="55"/>
      <c r="J1188" s="53"/>
      <c r="K1188" s="50"/>
      <c r="L1188" s="50"/>
    </row>
    <row r="1189">
      <c r="E1189" s="55"/>
      <c r="J1189" s="53"/>
      <c r="K1189" s="50"/>
      <c r="L1189" s="50"/>
    </row>
    <row r="1190">
      <c r="E1190" s="55"/>
      <c r="J1190" s="53"/>
      <c r="K1190" s="50"/>
      <c r="L1190" s="50"/>
    </row>
    <row r="1191">
      <c r="E1191" s="55"/>
      <c r="J1191" s="53"/>
      <c r="K1191" s="50"/>
      <c r="L1191" s="50"/>
    </row>
    <row r="1192">
      <c r="E1192" s="55"/>
      <c r="J1192" s="53"/>
      <c r="K1192" s="50"/>
      <c r="L1192" s="50"/>
    </row>
    <row r="1193">
      <c r="E1193" s="55"/>
      <c r="J1193" s="53"/>
      <c r="K1193" s="50"/>
      <c r="L1193" s="50"/>
    </row>
    <row r="1194">
      <c r="E1194" s="55"/>
      <c r="J1194" s="53"/>
      <c r="K1194" s="50"/>
      <c r="L1194" s="50"/>
    </row>
    <row r="1195">
      <c r="E1195" s="55"/>
      <c r="J1195" s="53"/>
      <c r="K1195" s="50"/>
      <c r="L1195" s="50"/>
    </row>
    <row r="1196">
      <c r="E1196" s="55"/>
      <c r="J1196" s="53"/>
      <c r="K1196" s="50"/>
      <c r="L1196" s="50"/>
    </row>
    <row r="1197">
      <c r="E1197" s="55"/>
      <c r="J1197" s="53"/>
      <c r="K1197" s="50"/>
      <c r="L1197" s="50"/>
    </row>
    <row r="1198">
      <c r="E1198" s="55"/>
      <c r="J1198" s="53"/>
      <c r="K1198" s="50"/>
      <c r="L1198" s="50"/>
    </row>
    <row r="1199">
      <c r="E1199" s="55"/>
      <c r="J1199" s="53"/>
      <c r="K1199" s="50"/>
      <c r="L1199" s="50"/>
    </row>
    <row r="1200">
      <c r="E1200" s="55"/>
      <c r="J1200" s="53"/>
      <c r="K1200" s="50"/>
      <c r="L1200" s="50"/>
    </row>
    <row r="1201">
      <c r="E1201" s="55"/>
      <c r="J1201" s="53"/>
      <c r="K1201" s="50"/>
      <c r="L1201" s="50"/>
    </row>
    <row r="1202">
      <c r="E1202" s="55"/>
      <c r="J1202" s="53"/>
      <c r="K1202" s="50"/>
      <c r="L1202" s="50"/>
    </row>
    <row r="1203">
      <c r="E1203" s="55"/>
      <c r="J1203" s="53"/>
      <c r="K1203" s="50"/>
      <c r="L1203" s="50"/>
    </row>
    <row r="1204">
      <c r="E1204" s="55"/>
      <c r="J1204" s="53"/>
      <c r="K1204" s="50"/>
      <c r="L1204" s="50"/>
    </row>
    <row r="1205">
      <c r="E1205" s="55"/>
      <c r="J1205" s="53"/>
      <c r="K1205" s="50"/>
      <c r="L1205" s="50"/>
    </row>
    <row r="1206">
      <c r="E1206" s="55"/>
      <c r="J1206" s="53"/>
      <c r="K1206" s="50"/>
      <c r="L1206" s="50"/>
    </row>
    <row r="1207">
      <c r="E1207" s="55"/>
      <c r="J1207" s="53"/>
      <c r="K1207" s="50"/>
      <c r="L1207" s="50"/>
    </row>
    <row r="1208">
      <c r="E1208" s="55"/>
      <c r="J1208" s="53"/>
      <c r="K1208" s="50"/>
      <c r="L1208" s="50"/>
    </row>
    <row r="1209">
      <c r="E1209" s="55"/>
      <c r="J1209" s="53"/>
      <c r="K1209" s="50"/>
      <c r="L1209" s="50"/>
    </row>
    <row r="1210">
      <c r="E1210" s="55"/>
      <c r="J1210" s="53"/>
      <c r="K1210" s="50"/>
      <c r="L1210" s="50"/>
    </row>
    <row r="1211">
      <c r="E1211" s="55"/>
      <c r="J1211" s="53"/>
      <c r="K1211" s="50"/>
      <c r="L1211" s="50"/>
    </row>
    <row r="1212">
      <c r="E1212" s="55"/>
      <c r="J1212" s="53"/>
      <c r="K1212" s="50"/>
      <c r="L1212" s="50"/>
    </row>
    <row r="1213">
      <c r="E1213" s="55"/>
      <c r="J1213" s="53"/>
      <c r="K1213" s="50"/>
      <c r="L1213" s="50"/>
    </row>
    <row r="1214">
      <c r="E1214" s="55"/>
      <c r="J1214" s="53"/>
      <c r="K1214" s="50"/>
      <c r="L1214" s="50"/>
    </row>
    <row r="1215">
      <c r="E1215" s="55"/>
      <c r="J1215" s="53"/>
      <c r="K1215" s="50"/>
      <c r="L1215" s="50"/>
    </row>
    <row r="1216">
      <c r="E1216" s="55"/>
      <c r="J1216" s="53"/>
      <c r="K1216" s="50"/>
      <c r="L1216" s="50"/>
    </row>
    <row r="1217">
      <c r="E1217" s="55"/>
      <c r="J1217" s="53"/>
      <c r="K1217" s="50"/>
      <c r="L1217" s="50"/>
    </row>
    <row r="1218">
      <c r="E1218" s="55"/>
      <c r="J1218" s="53"/>
      <c r="K1218" s="50"/>
      <c r="L1218" s="50"/>
    </row>
    <row r="1219">
      <c r="E1219" s="55"/>
      <c r="J1219" s="53"/>
      <c r="K1219" s="50"/>
      <c r="L1219" s="50"/>
    </row>
    <row r="1220">
      <c r="E1220" s="55"/>
      <c r="J1220" s="53"/>
      <c r="K1220" s="50"/>
      <c r="L1220" s="50"/>
    </row>
    <row r="1221">
      <c r="E1221" s="55"/>
      <c r="J1221" s="53"/>
      <c r="K1221" s="50"/>
      <c r="L1221" s="50"/>
    </row>
    <row r="1222">
      <c r="E1222" s="55"/>
      <c r="J1222" s="53"/>
      <c r="K1222" s="50"/>
      <c r="L1222" s="50"/>
    </row>
    <row r="1223">
      <c r="E1223" s="55"/>
      <c r="J1223" s="53"/>
      <c r="K1223" s="50"/>
      <c r="L1223" s="50"/>
    </row>
    <row r="1224">
      <c r="E1224" s="55"/>
      <c r="J1224" s="53"/>
      <c r="K1224" s="50"/>
      <c r="L1224" s="50"/>
    </row>
    <row r="1225">
      <c r="E1225" s="55"/>
      <c r="J1225" s="53"/>
      <c r="K1225" s="50"/>
      <c r="L1225" s="50"/>
    </row>
    <row r="1226">
      <c r="E1226" s="55"/>
      <c r="J1226" s="53"/>
      <c r="K1226" s="50"/>
      <c r="L1226" s="50"/>
    </row>
    <row r="1227">
      <c r="E1227" s="55"/>
      <c r="J1227" s="53"/>
      <c r="K1227" s="50"/>
      <c r="L1227" s="50"/>
    </row>
    <row r="1228">
      <c r="E1228" s="55"/>
      <c r="J1228" s="53"/>
      <c r="K1228" s="50"/>
      <c r="L1228" s="50"/>
    </row>
    <row r="1229">
      <c r="E1229" s="55"/>
      <c r="J1229" s="53"/>
      <c r="K1229" s="50"/>
      <c r="L1229" s="50"/>
    </row>
    <row r="1230">
      <c r="E1230" s="55"/>
      <c r="J1230" s="53"/>
      <c r="K1230" s="50"/>
      <c r="L1230" s="50"/>
    </row>
    <row r="1231">
      <c r="E1231" s="55"/>
      <c r="J1231" s="53"/>
      <c r="K1231" s="50"/>
      <c r="L1231" s="50"/>
    </row>
    <row r="1232">
      <c r="E1232" s="55"/>
      <c r="J1232" s="53"/>
      <c r="K1232" s="50"/>
      <c r="L1232" s="50"/>
    </row>
    <row r="1233">
      <c r="E1233" s="55"/>
      <c r="J1233" s="53"/>
      <c r="K1233" s="50"/>
      <c r="L1233" s="50"/>
    </row>
    <row r="1234">
      <c r="E1234" s="55"/>
      <c r="J1234" s="53"/>
      <c r="K1234" s="50"/>
      <c r="L1234" s="50"/>
    </row>
    <row r="1235">
      <c r="E1235" s="55"/>
      <c r="J1235" s="53"/>
      <c r="K1235" s="50"/>
      <c r="L1235" s="50"/>
    </row>
    <row r="1236">
      <c r="E1236" s="55"/>
      <c r="J1236" s="53"/>
      <c r="K1236" s="50"/>
      <c r="L1236" s="50"/>
    </row>
    <row r="1237">
      <c r="E1237" s="55"/>
      <c r="J1237" s="53"/>
      <c r="K1237" s="50"/>
      <c r="L1237" s="50"/>
    </row>
    <row r="1238">
      <c r="E1238" s="55"/>
      <c r="J1238" s="53"/>
      <c r="K1238" s="50"/>
      <c r="L1238" s="50"/>
    </row>
    <row r="1239">
      <c r="E1239" s="55"/>
      <c r="J1239" s="53"/>
      <c r="K1239" s="50"/>
      <c r="L1239" s="50"/>
    </row>
    <row r="1240">
      <c r="E1240" s="55"/>
      <c r="J1240" s="53"/>
      <c r="K1240" s="50"/>
      <c r="L1240" s="50"/>
    </row>
    <row r="1241">
      <c r="E1241" s="55"/>
      <c r="J1241" s="53"/>
      <c r="K1241" s="50"/>
      <c r="L1241" s="50"/>
    </row>
    <row r="1242">
      <c r="E1242" s="55"/>
      <c r="J1242" s="53"/>
      <c r="K1242" s="50"/>
      <c r="L1242" s="50"/>
    </row>
    <row r="1243">
      <c r="E1243" s="55"/>
      <c r="J1243" s="53"/>
      <c r="K1243" s="50"/>
      <c r="L1243" s="50"/>
    </row>
    <row r="1244">
      <c r="E1244" s="55"/>
      <c r="J1244" s="53"/>
      <c r="K1244" s="50"/>
      <c r="L1244" s="50"/>
    </row>
    <row r="1245">
      <c r="E1245" s="55"/>
      <c r="J1245" s="53"/>
      <c r="K1245" s="50"/>
      <c r="L1245" s="50"/>
    </row>
    <row r="1246">
      <c r="E1246" s="55"/>
      <c r="J1246" s="53"/>
      <c r="K1246" s="50"/>
      <c r="L1246" s="50"/>
    </row>
    <row r="1247">
      <c r="E1247" s="55"/>
      <c r="J1247" s="53"/>
      <c r="K1247" s="50"/>
      <c r="L1247" s="50"/>
    </row>
    <row r="1248">
      <c r="E1248" s="55"/>
      <c r="J1248" s="53"/>
      <c r="K1248" s="50"/>
      <c r="L1248" s="50"/>
    </row>
    <row r="1249">
      <c r="E1249" s="55"/>
      <c r="J1249" s="53"/>
      <c r="K1249" s="50"/>
      <c r="L1249" s="50"/>
    </row>
    <row r="1250">
      <c r="E1250" s="55"/>
      <c r="J1250" s="53"/>
      <c r="K1250" s="50"/>
      <c r="L1250" s="50"/>
    </row>
    <row r="1251">
      <c r="E1251" s="55"/>
      <c r="J1251" s="53"/>
      <c r="K1251" s="50"/>
      <c r="L1251" s="50"/>
    </row>
    <row r="1252">
      <c r="E1252" s="55"/>
      <c r="J1252" s="53"/>
      <c r="K1252" s="50"/>
      <c r="L1252" s="50"/>
    </row>
    <row r="1253">
      <c r="E1253" s="55"/>
      <c r="J1253" s="53"/>
      <c r="K1253" s="50"/>
      <c r="L1253" s="50"/>
    </row>
    <row r="1254">
      <c r="E1254" s="55"/>
      <c r="J1254" s="53"/>
      <c r="K1254" s="50"/>
      <c r="L1254" s="50"/>
    </row>
    <row r="1255">
      <c r="E1255" s="55"/>
      <c r="J1255" s="53"/>
      <c r="K1255" s="50"/>
      <c r="L1255" s="50"/>
    </row>
    <row r="1256">
      <c r="E1256" s="55"/>
      <c r="J1256" s="53"/>
      <c r="K1256" s="50"/>
      <c r="L1256" s="50"/>
    </row>
    <row r="1257">
      <c r="E1257" s="55"/>
      <c r="J1257" s="53"/>
      <c r="K1257" s="50"/>
      <c r="L1257" s="50"/>
    </row>
    <row r="1258">
      <c r="E1258" s="55"/>
      <c r="J1258" s="53"/>
      <c r="K1258" s="50"/>
      <c r="L1258" s="50"/>
    </row>
    <row r="1259">
      <c r="E1259" s="55"/>
      <c r="J1259" s="53"/>
      <c r="K1259" s="50"/>
      <c r="L1259" s="50"/>
    </row>
    <row r="1260">
      <c r="E1260" s="55"/>
      <c r="J1260" s="53"/>
      <c r="K1260" s="50"/>
      <c r="L1260" s="50"/>
    </row>
    <row r="1261">
      <c r="E1261" s="55"/>
      <c r="J1261" s="53"/>
      <c r="K1261" s="50"/>
      <c r="L1261" s="50"/>
    </row>
    <row r="1262">
      <c r="E1262" s="55"/>
      <c r="J1262" s="53"/>
      <c r="K1262" s="50"/>
      <c r="L1262" s="50"/>
    </row>
    <row r="1263">
      <c r="E1263" s="55"/>
      <c r="J1263" s="53"/>
      <c r="K1263" s="50"/>
      <c r="L1263" s="50"/>
    </row>
    <row r="1264">
      <c r="E1264" s="55"/>
      <c r="J1264" s="53"/>
      <c r="K1264" s="50"/>
      <c r="L1264" s="50"/>
    </row>
    <row r="1265">
      <c r="E1265" s="55"/>
      <c r="J1265" s="53"/>
      <c r="K1265" s="50"/>
      <c r="L1265" s="50"/>
    </row>
    <row r="1266">
      <c r="E1266" s="55"/>
      <c r="J1266" s="53"/>
      <c r="K1266" s="50"/>
      <c r="L1266" s="50"/>
    </row>
    <row r="1267">
      <c r="E1267" s="55"/>
      <c r="J1267" s="53"/>
      <c r="K1267" s="50"/>
      <c r="L1267" s="50"/>
    </row>
    <row r="1268">
      <c r="E1268" s="55"/>
      <c r="J1268" s="53"/>
      <c r="K1268" s="50"/>
      <c r="L1268" s="50"/>
    </row>
    <row r="1269">
      <c r="E1269" s="55"/>
      <c r="J1269" s="53"/>
      <c r="K1269" s="50"/>
      <c r="L1269" s="50"/>
    </row>
    <row r="1270">
      <c r="E1270" s="55"/>
      <c r="J1270" s="53"/>
      <c r="K1270" s="50"/>
      <c r="L1270" s="50"/>
    </row>
    <row r="1271">
      <c r="E1271" s="55"/>
      <c r="J1271" s="53"/>
      <c r="K1271" s="50"/>
      <c r="L1271" s="50"/>
    </row>
    <row r="1272">
      <c r="E1272" s="55"/>
      <c r="J1272" s="53"/>
      <c r="K1272" s="50"/>
      <c r="L1272" s="50"/>
    </row>
    <row r="1273">
      <c r="E1273" s="55"/>
      <c r="J1273" s="53"/>
      <c r="K1273" s="50"/>
      <c r="L1273" s="50"/>
    </row>
    <row r="1274">
      <c r="E1274" s="55"/>
      <c r="J1274" s="53"/>
      <c r="K1274" s="50"/>
      <c r="L1274" s="50"/>
    </row>
    <row r="1275">
      <c r="E1275" s="55"/>
      <c r="J1275" s="53"/>
      <c r="K1275" s="50"/>
      <c r="L1275" s="50"/>
    </row>
    <row r="1276">
      <c r="E1276" s="55"/>
      <c r="J1276" s="53"/>
      <c r="K1276" s="50"/>
      <c r="L1276" s="50"/>
    </row>
    <row r="1277">
      <c r="E1277" s="55"/>
      <c r="J1277" s="53"/>
      <c r="K1277" s="50"/>
      <c r="L1277" s="50"/>
    </row>
    <row r="1278">
      <c r="E1278" s="55"/>
      <c r="J1278" s="53"/>
      <c r="K1278" s="50"/>
      <c r="L1278" s="50"/>
    </row>
    <row r="1279">
      <c r="E1279" s="55"/>
      <c r="J1279" s="53"/>
      <c r="K1279" s="50"/>
      <c r="L1279" s="50"/>
    </row>
    <row r="1280">
      <c r="E1280" s="55"/>
      <c r="J1280" s="53"/>
      <c r="K1280" s="50"/>
      <c r="L1280" s="50"/>
    </row>
    <row r="1281">
      <c r="E1281" s="55"/>
      <c r="J1281" s="53"/>
      <c r="K1281" s="50"/>
      <c r="L1281" s="50"/>
    </row>
    <row r="1282">
      <c r="E1282" s="55"/>
      <c r="J1282" s="53"/>
      <c r="K1282" s="50"/>
      <c r="L1282" s="50"/>
    </row>
    <row r="1283">
      <c r="E1283" s="55"/>
      <c r="J1283" s="53"/>
      <c r="K1283" s="50"/>
      <c r="L1283" s="50"/>
    </row>
    <row r="1284">
      <c r="E1284" s="55"/>
      <c r="J1284" s="53"/>
      <c r="K1284" s="50"/>
      <c r="L1284" s="50"/>
    </row>
    <row r="1285">
      <c r="E1285" s="55"/>
      <c r="J1285" s="53"/>
      <c r="K1285" s="50"/>
      <c r="L1285" s="50"/>
    </row>
    <row r="1286">
      <c r="E1286" s="55"/>
      <c r="J1286" s="53"/>
      <c r="K1286" s="50"/>
      <c r="L1286" s="50"/>
    </row>
    <row r="1287">
      <c r="E1287" s="55"/>
      <c r="J1287" s="53"/>
      <c r="K1287" s="50"/>
      <c r="L1287" s="50"/>
    </row>
    <row r="1288">
      <c r="E1288" s="55"/>
      <c r="J1288" s="53"/>
      <c r="K1288" s="50"/>
      <c r="L1288" s="50"/>
    </row>
    <row r="1289">
      <c r="E1289" s="55"/>
      <c r="J1289" s="53"/>
      <c r="K1289" s="50"/>
      <c r="L1289" s="50"/>
    </row>
    <row r="1290">
      <c r="E1290" s="55"/>
      <c r="J1290" s="53"/>
      <c r="K1290" s="50"/>
      <c r="L1290" s="50"/>
    </row>
    <row r="1291">
      <c r="E1291" s="55"/>
      <c r="J1291" s="53"/>
      <c r="K1291" s="50"/>
      <c r="L1291" s="50"/>
    </row>
    <row r="1292">
      <c r="E1292" s="55"/>
      <c r="J1292" s="53"/>
      <c r="K1292" s="50"/>
      <c r="L1292" s="50"/>
    </row>
    <row r="1293">
      <c r="E1293" s="55"/>
      <c r="J1293" s="53"/>
      <c r="K1293" s="50"/>
      <c r="L1293" s="50"/>
    </row>
    <row r="1294">
      <c r="E1294" s="55"/>
      <c r="J1294" s="53"/>
      <c r="K1294" s="50"/>
      <c r="L1294" s="50"/>
    </row>
    <row r="1295">
      <c r="E1295" s="55"/>
      <c r="J1295" s="53"/>
      <c r="K1295" s="50"/>
      <c r="L1295" s="50"/>
    </row>
    <row r="1296">
      <c r="E1296" s="55"/>
      <c r="J1296" s="53"/>
      <c r="K1296" s="50"/>
      <c r="L1296" s="50"/>
    </row>
    <row r="1297">
      <c r="E1297" s="55"/>
      <c r="J1297" s="53"/>
      <c r="K1297" s="50"/>
      <c r="L1297" s="50"/>
    </row>
    <row r="1298">
      <c r="E1298" s="55"/>
      <c r="J1298" s="53"/>
      <c r="K1298" s="50"/>
      <c r="L1298" s="50"/>
    </row>
    <row r="1299">
      <c r="E1299" s="55"/>
      <c r="J1299" s="53"/>
      <c r="K1299" s="50"/>
      <c r="L1299" s="50"/>
    </row>
    <row r="1300">
      <c r="E1300" s="55"/>
      <c r="J1300" s="53"/>
      <c r="K1300" s="50"/>
      <c r="L1300" s="50"/>
    </row>
    <row r="1301">
      <c r="E1301" s="55"/>
      <c r="J1301" s="53"/>
      <c r="K1301" s="50"/>
      <c r="L1301" s="50"/>
    </row>
    <row r="1302">
      <c r="E1302" s="55"/>
      <c r="J1302" s="53"/>
      <c r="K1302" s="50"/>
      <c r="L1302" s="50"/>
    </row>
    <row r="1303">
      <c r="E1303" s="55"/>
      <c r="J1303" s="53"/>
      <c r="K1303" s="50"/>
      <c r="L1303" s="50"/>
    </row>
    <row r="1304">
      <c r="E1304" s="55"/>
      <c r="J1304" s="53"/>
      <c r="K1304" s="50"/>
      <c r="L1304" s="50"/>
    </row>
    <row r="1305">
      <c r="E1305" s="55"/>
      <c r="J1305" s="53"/>
      <c r="K1305" s="50"/>
      <c r="L1305" s="50"/>
    </row>
    <row r="1306">
      <c r="E1306" s="55"/>
      <c r="J1306" s="53"/>
      <c r="K1306" s="50"/>
      <c r="L1306" s="50"/>
    </row>
    <row r="1307">
      <c r="E1307" s="55"/>
      <c r="J1307" s="53"/>
      <c r="K1307" s="50"/>
      <c r="L1307" s="50"/>
    </row>
    <row r="1308">
      <c r="E1308" s="55"/>
      <c r="J1308" s="53"/>
      <c r="K1308" s="50"/>
      <c r="L1308" s="50"/>
    </row>
    <row r="1309">
      <c r="E1309" s="55"/>
      <c r="J1309" s="53"/>
      <c r="K1309" s="50"/>
      <c r="L1309" s="50"/>
    </row>
    <row r="1310">
      <c r="E1310" s="55"/>
      <c r="J1310" s="53"/>
      <c r="K1310" s="50"/>
      <c r="L1310" s="50"/>
    </row>
    <row r="1311">
      <c r="E1311" s="55"/>
      <c r="J1311" s="53"/>
      <c r="K1311" s="50"/>
      <c r="L1311" s="50"/>
    </row>
    <row r="1312">
      <c r="E1312" s="55"/>
      <c r="J1312" s="53"/>
      <c r="K1312" s="50"/>
      <c r="L1312" s="50"/>
    </row>
    <row r="1313">
      <c r="E1313" s="55"/>
      <c r="J1313" s="53"/>
      <c r="K1313" s="50"/>
      <c r="L1313" s="50"/>
    </row>
    <row r="1314">
      <c r="E1314" s="55"/>
      <c r="J1314" s="53"/>
      <c r="K1314" s="50"/>
      <c r="L1314" s="50"/>
    </row>
    <row r="1315">
      <c r="E1315" s="55"/>
      <c r="J1315" s="53"/>
      <c r="K1315" s="50"/>
      <c r="L1315" s="50"/>
    </row>
    <row r="1316">
      <c r="E1316" s="55"/>
      <c r="J1316" s="53"/>
      <c r="K1316" s="50"/>
      <c r="L1316" s="50"/>
    </row>
    <row r="1317">
      <c r="E1317" s="55"/>
      <c r="J1317" s="53"/>
      <c r="K1317" s="50"/>
      <c r="L1317" s="50"/>
    </row>
    <row r="1318">
      <c r="E1318" s="55"/>
      <c r="J1318" s="53"/>
      <c r="K1318" s="50"/>
      <c r="L1318" s="50"/>
    </row>
    <row r="1319">
      <c r="E1319" s="55"/>
      <c r="J1319" s="53"/>
      <c r="K1319" s="50"/>
      <c r="L1319" s="50"/>
    </row>
    <row r="1320">
      <c r="E1320" s="55"/>
      <c r="J1320" s="53"/>
      <c r="K1320" s="50"/>
      <c r="L1320" s="50"/>
    </row>
    <row r="1321">
      <c r="E1321" s="55"/>
      <c r="J1321" s="53"/>
      <c r="K1321" s="50"/>
      <c r="L1321" s="50"/>
    </row>
    <row r="1322">
      <c r="E1322" s="55"/>
      <c r="J1322" s="53"/>
      <c r="K1322" s="50"/>
      <c r="L1322" s="50"/>
    </row>
    <row r="1323">
      <c r="E1323" s="55"/>
      <c r="J1323" s="53"/>
      <c r="K1323" s="50"/>
      <c r="L1323" s="50"/>
    </row>
    <row r="1324">
      <c r="E1324" s="55"/>
      <c r="J1324" s="53"/>
      <c r="K1324" s="50"/>
      <c r="L1324" s="50"/>
    </row>
    <row r="1325">
      <c r="E1325" s="55"/>
      <c r="J1325" s="53"/>
      <c r="K1325" s="50"/>
      <c r="L1325" s="50"/>
    </row>
    <row r="1326">
      <c r="E1326" s="55"/>
      <c r="J1326" s="53"/>
      <c r="K1326" s="50"/>
      <c r="L1326" s="50"/>
    </row>
    <row r="1327">
      <c r="E1327" s="55"/>
      <c r="J1327" s="53"/>
      <c r="K1327" s="50"/>
      <c r="L1327" s="50"/>
    </row>
    <row r="1328">
      <c r="E1328" s="55"/>
      <c r="J1328" s="53"/>
      <c r="K1328" s="50"/>
      <c r="L1328" s="50"/>
    </row>
    <row r="1329">
      <c r="E1329" s="55"/>
      <c r="J1329" s="53"/>
      <c r="K1329" s="50"/>
      <c r="L1329" s="50"/>
    </row>
    <row r="1330">
      <c r="E1330" s="55"/>
      <c r="J1330" s="53"/>
      <c r="K1330" s="50"/>
      <c r="L1330" s="50"/>
    </row>
    <row r="1331">
      <c r="E1331" s="55"/>
      <c r="J1331" s="53"/>
      <c r="K1331" s="50"/>
      <c r="L1331" s="50"/>
    </row>
    <row r="1332">
      <c r="E1332" s="55"/>
      <c r="J1332" s="53"/>
      <c r="K1332" s="50"/>
      <c r="L1332" s="50"/>
    </row>
    <row r="1333">
      <c r="E1333" s="55"/>
      <c r="J1333" s="53"/>
      <c r="K1333" s="50"/>
      <c r="L1333" s="50"/>
    </row>
    <row r="1334">
      <c r="E1334" s="55"/>
      <c r="J1334" s="53"/>
      <c r="K1334" s="50"/>
      <c r="L1334" s="50"/>
    </row>
    <row r="1335">
      <c r="E1335" s="55"/>
      <c r="J1335" s="53"/>
      <c r="K1335" s="50"/>
      <c r="L1335" s="50"/>
    </row>
    <row r="1336">
      <c r="E1336" s="55"/>
      <c r="J1336" s="53"/>
      <c r="K1336" s="50"/>
      <c r="L1336" s="50"/>
    </row>
    <row r="1337">
      <c r="E1337" s="55"/>
      <c r="J1337" s="53"/>
      <c r="K1337" s="50"/>
      <c r="L1337" s="50"/>
    </row>
    <row r="1338">
      <c r="E1338" s="55"/>
      <c r="J1338" s="53"/>
      <c r="K1338" s="50"/>
      <c r="L1338" s="50"/>
    </row>
    <row r="1339">
      <c r="E1339" s="55"/>
      <c r="J1339" s="53"/>
      <c r="K1339" s="50"/>
      <c r="L1339" s="50"/>
    </row>
    <row r="1340">
      <c r="E1340" s="55"/>
      <c r="J1340" s="53"/>
      <c r="K1340" s="50"/>
      <c r="L1340" s="50"/>
    </row>
    <row r="1341">
      <c r="E1341" s="55"/>
      <c r="J1341" s="53"/>
      <c r="K1341" s="50"/>
      <c r="L1341" s="50"/>
    </row>
    <row r="1342">
      <c r="E1342" s="55"/>
      <c r="J1342" s="53"/>
      <c r="K1342" s="50"/>
      <c r="L1342" s="50"/>
    </row>
    <row r="1343">
      <c r="E1343" s="55"/>
      <c r="J1343" s="53"/>
      <c r="K1343" s="50"/>
      <c r="L1343" s="50"/>
    </row>
    <row r="1344">
      <c r="E1344" s="55"/>
      <c r="J1344" s="53"/>
      <c r="K1344" s="50"/>
      <c r="L1344" s="50"/>
    </row>
    <row r="1345">
      <c r="E1345" s="55"/>
      <c r="J1345" s="53"/>
      <c r="K1345" s="50"/>
      <c r="L1345" s="50"/>
    </row>
    <row r="1346">
      <c r="E1346" s="55"/>
      <c r="J1346" s="53"/>
      <c r="K1346" s="50"/>
      <c r="L1346" s="50"/>
    </row>
    <row r="1347">
      <c r="E1347" s="55"/>
      <c r="J1347" s="53"/>
      <c r="K1347" s="50"/>
      <c r="L1347" s="50"/>
    </row>
    <row r="1348">
      <c r="E1348" s="55"/>
      <c r="J1348" s="53"/>
      <c r="K1348" s="50"/>
      <c r="L1348" s="50"/>
    </row>
    <row r="1349">
      <c r="E1349" s="55"/>
      <c r="J1349" s="53"/>
      <c r="K1349" s="50"/>
      <c r="L1349" s="50"/>
    </row>
    <row r="1350">
      <c r="E1350" s="55"/>
      <c r="J1350" s="53"/>
      <c r="K1350" s="50"/>
      <c r="L1350" s="50"/>
    </row>
    <row r="1351">
      <c r="E1351" s="55"/>
      <c r="J1351" s="53"/>
      <c r="K1351" s="50"/>
      <c r="L1351" s="50"/>
    </row>
    <row r="1352">
      <c r="E1352" s="55"/>
      <c r="J1352" s="53"/>
      <c r="K1352" s="50"/>
      <c r="L1352" s="50"/>
    </row>
    <row r="1353">
      <c r="E1353" s="55"/>
      <c r="J1353" s="53"/>
      <c r="K1353" s="50"/>
      <c r="L1353" s="50"/>
    </row>
    <row r="1354">
      <c r="E1354" s="55"/>
      <c r="J1354" s="53"/>
      <c r="K1354" s="50"/>
      <c r="L1354" s="50"/>
    </row>
    <row r="1355">
      <c r="E1355" s="55"/>
      <c r="J1355" s="53"/>
      <c r="K1355" s="50"/>
      <c r="L1355" s="50"/>
    </row>
    <row r="1356">
      <c r="E1356" s="55"/>
      <c r="J1356" s="53"/>
      <c r="K1356" s="50"/>
      <c r="L1356" s="50"/>
    </row>
    <row r="1357">
      <c r="E1357" s="55"/>
      <c r="J1357" s="53"/>
      <c r="K1357" s="50"/>
      <c r="L1357" s="50"/>
    </row>
    <row r="1358">
      <c r="E1358" s="55"/>
      <c r="J1358" s="53"/>
      <c r="K1358" s="50"/>
      <c r="L1358" s="50"/>
    </row>
    <row r="1359">
      <c r="E1359" s="55"/>
      <c r="J1359" s="53"/>
      <c r="K1359" s="50"/>
      <c r="L1359" s="50"/>
    </row>
    <row r="1360">
      <c r="E1360" s="55"/>
      <c r="J1360" s="53"/>
      <c r="K1360" s="50"/>
      <c r="L1360" s="50"/>
    </row>
    <row r="1361">
      <c r="E1361" s="55"/>
      <c r="J1361" s="53"/>
      <c r="K1361" s="50"/>
      <c r="L1361" s="50"/>
    </row>
    <row r="1362">
      <c r="E1362" s="55"/>
      <c r="J1362" s="53"/>
      <c r="K1362" s="50"/>
      <c r="L1362" s="50"/>
    </row>
    <row r="1363">
      <c r="E1363" s="55"/>
      <c r="J1363" s="53"/>
      <c r="K1363" s="50"/>
      <c r="L1363" s="50"/>
    </row>
    <row r="1364">
      <c r="E1364" s="55"/>
      <c r="J1364" s="53"/>
      <c r="K1364" s="50"/>
      <c r="L1364" s="50"/>
    </row>
    <row r="1365">
      <c r="E1365" s="55"/>
      <c r="J1365" s="53"/>
      <c r="K1365" s="50"/>
      <c r="L1365" s="50"/>
    </row>
    <row r="1366">
      <c r="E1366" s="55"/>
      <c r="J1366" s="53"/>
      <c r="K1366" s="50"/>
      <c r="L1366" s="50"/>
    </row>
    <row r="1367">
      <c r="E1367" s="55"/>
      <c r="J1367" s="53"/>
      <c r="K1367" s="50"/>
      <c r="L1367" s="50"/>
    </row>
    <row r="1368">
      <c r="E1368" s="55"/>
      <c r="J1368" s="53"/>
      <c r="K1368" s="50"/>
      <c r="L1368" s="50"/>
    </row>
    <row r="1369">
      <c r="E1369" s="55"/>
      <c r="J1369" s="53"/>
      <c r="K1369" s="50"/>
      <c r="L1369" s="50"/>
    </row>
    <row r="1370">
      <c r="E1370" s="55"/>
      <c r="J1370" s="53"/>
      <c r="K1370" s="50"/>
      <c r="L1370" s="50"/>
    </row>
    <row r="1371">
      <c r="E1371" s="55"/>
      <c r="J1371" s="53"/>
      <c r="K1371" s="50"/>
      <c r="L1371" s="50"/>
    </row>
    <row r="1372">
      <c r="E1372" s="55"/>
      <c r="J1372" s="53"/>
      <c r="K1372" s="50"/>
      <c r="L1372" s="50"/>
    </row>
    <row r="1373">
      <c r="E1373" s="55"/>
      <c r="J1373" s="53"/>
      <c r="K1373" s="50"/>
      <c r="L1373" s="50"/>
    </row>
    <row r="1374">
      <c r="E1374" s="55"/>
      <c r="J1374" s="53"/>
      <c r="K1374" s="50"/>
      <c r="L1374" s="50"/>
    </row>
    <row r="1375">
      <c r="E1375" s="55"/>
      <c r="J1375" s="53"/>
      <c r="K1375" s="50"/>
      <c r="L1375" s="50"/>
    </row>
    <row r="1376">
      <c r="E1376" s="55"/>
      <c r="J1376" s="53"/>
      <c r="K1376" s="50"/>
      <c r="L1376" s="50"/>
    </row>
    <row r="1377">
      <c r="E1377" s="55"/>
      <c r="J1377" s="53"/>
      <c r="K1377" s="50"/>
      <c r="L1377" s="50"/>
    </row>
    <row r="1378">
      <c r="E1378" s="55"/>
      <c r="J1378" s="53"/>
      <c r="K1378" s="50"/>
      <c r="L1378" s="50"/>
    </row>
    <row r="1379">
      <c r="E1379" s="55"/>
      <c r="J1379" s="53"/>
      <c r="K1379" s="50"/>
      <c r="L1379" s="50"/>
    </row>
    <row r="1380">
      <c r="E1380" s="55"/>
      <c r="J1380" s="53"/>
      <c r="K1380" s="50"/>
      <c r="L1380" s="50"/>
    </row>
    <row r="1381">
      <c r="E1381" s="55"/>
      <c r="J1381" s="53"/>
      <c r="K1381" s="50"/>
      <c r="L1381" s="50"/>
    </row>
    <row r="1382">
      <c r="E1382" s="55"/>
      <c r="J1382" s="53"/>
      <c r="K1382" s="50"/>
      <c r="L1382" s="50"/>
    </row>
    <row r="1383">
      <c r="E1383" s="55"/>
      <c r="J1383" s="53"/>
      <c r="K1383" s="50"/>
      <c r="L1383" s="50"/>
    </row>
    <row r="1384">
      <c r="E1384" s="55"/>
      <c r="J1384" s="53"/>
      <c r="K1384" s="50"/>
      <c r="L1384" s="50"/>
    </row>
    <row r="1385">
      <c r="E1385" s="55"/>
      <c r="J1385" s="53"/>
      <c r="K1385" s="50"/>
      <c r="L1385" s="50"/>
    </row>
    <row r="1386">
      <c r="E1386" s="55"/>
      <c r="J1386" s="53"/>
      <c r="K1386" s="50"/>
      <c r="L1386" s="50"/>
    </row>
    <row r="1387">
      <c r="E1387" s="55"/>
      <c r="J1387" s="53"/>
      <c r="K1387" s="50"/>
      <c r="L1387" s="50"/>
    </row>
    <row r="1388">
      <c r="E1388" s="55"/>
      <c r="J1388" s="53"/>
      <c r="K1388" s="50"/>
      <c r="L1388" s="50"/>
    </row>
    <row r="1389">
      <c r="E1389" s="55"/>
      <c r="J1389" s="53"/>
      <c r="K1389" s="50"/>
      <c r="L1389" s="50"/>
    </row>
    <row r="1390">
      <c r="E1390" s="55"/>
      <c r="J1390" s="53"/>
      <c r="K1390" s="50"/>
      <c r="L1390" s="50"/>
    </row>
    <row r="1391">
      <c r="E1391" s="55"/>
      <c r="J1391" s="53"/>
      <c r="K1391" s="50"/>
      <c r="L1391" s="50"/>
    </row>
    <row r="1392">
      <c r="E1392" s="55"/>
      <c r="J1392" s="53"/>
      <c r="K1392" s="50"/>
      <c r="L1392" s="50"/>
    </row>
    <row r="1393">
      <c r="E1393" s="55"/>
      <c r="J1393" s="53"/>
      <c r="K1393" s="50"/>
      <c r="L1393" s="50"/>
    </row>
    <row r="1394">
      <c r="E1394" s="55"/>
      <c r="J1394" s="53"/>
      <c r="K1394" s="50"/>
      <c r="L1394" s="50"/>
    </row>
    <row r="1395">
      <c r="E1395" s="55"/>
      <c r="J1395" s="53"/>
      <c r="K1395" s="50"/>
      <c r="L1395" s="50"/>
    </row>
    <row r="1396">
      <c r="E1396" s="55"/>
      <c r="J1396" s="53"/>
      <c r="K1396" s="50"/>
      <c r="L1396" s="50"/>
    </row>
    <row r="1397">
      <c r="E1397" s="55"/>
      <c r="J1397" s="53"/>
      <c r="K1397" s="50"/>
      <c r="L1397" s="50"/>
    </row>
    <row r="1398">
      <c r="E1398" s="55"/>
      <c r="J1398" s="53"/>
      <c r="K1398" s="50"/>
      <c r="L1398" s="50"/>
    </row>
    <row r="1399">
      <c r="E1399" s="55"/>
      <c r="J1399" s="53"/>
      <c r="K1399" s="50"/>
      <c r="L1399" s="50"/>
    </row>
    <row r="1400">
      <c r="E1400" s="55"/>
      <c r="J1400" s="53"/>
      <c r="K1400" s="50"/>
      <c r="L1400" s="50"/>
    </row>
    <row r="1401">
      <c r="E1401" s="55"/>
      <c r="J1401" s="53"/>
      <c r="K1401" s="50"/>
      <c r="L1401" s="50"/>
    </row>
    <row r="1402">
      <c r="E1402" s="55"/>
      <c r="J1402" s="53"/>
      <c r="K1402" s="50"/>
      <c r="L1402" s="50"/>
    </row>
    <row r="1403">
      <c r="E1403" s="55"/>
      <c r="J1403" s="53"/>
      <c r="K1403" s="50"/>
      <c r="L1403" s="50"/>
    </row>
    <row r="1404">
      <c r="E1404" s="55"/>
      <c r="J1404" s="53"/>
      <c r="K1404" s="50"/>
      <c r="L1404" s="50"/>
    </row>
    <row r="1405">
      <c r="E1405" s="55"/>
      <c r="J1405" s="53"/>
      <c r="K1405" s="50"/>
      <c r="L1405" s="50"/>
    </row>
    <row r="1406">
      <c r="E1406" s="55"/>
      <c r="J1406" s="53"/>
      <c r="K1406" s="50"/>
      <c r="L1406" s="50"/>
    </row>
    <row r="1407">
      <c r="E1407" s="55"/>
      <c r="J1407" s="53"/>
      <c r="K1407" s="50"/>
      <c r="L1407" s="50"/>
    </row>
    <row r="1408">
      <c r="E1408" s="55"/>
      <c r="J1408" s="53"/>
      <c r="K1408" s="50"/>
      <c r="L1408" s="50"/>
    </row>
    <row r="1409">
      <c r="E1409" s="55"/>
      <c r="J1409" s="53"/>
      <c r="K1409" s="50"/>
      <c r="L1409" s="50"/>
    </row>
    <row r="1410">
      <c r="E1410" s="55"/>
      <c r="J1410" s="53"/>
      <c r="K1410" s="50"/>
      <c r="L1410" s="50"/>
    </row>
    <row r="1411">
      <c r="E1411" s="55"/>
      <c r="J1411" s="53"/>
      <c r="K1411" s="50"/>
      <c r="L1411" s="50"/>
    </row>
    <row r="1412">
      <c r="E1412" s="55"/>
      <c r="J1412" s="53"/>
      <c r="K1412" s="50"/>
      <c r="L1412" s="50"/>
    </row>
    <row r="1413">
      <c r="E1413" s="55"/>
      <c r="J1413" s="53"/>
      <c r="K1413" s="50"/>
      <c r="L1413" s="50"/>
    </row>
    <row r="1414">
      <c r="E1414" s="55"/>
      <c r="J1414" s="53"/>
      <c r="K1414" s="50"/>
      <c r="L1414" s="50"/>
    </row>
    <row r="1415">
      <c r="E1415" s="55"/>
      <c r="J1415" s="53"/>
      <c r="K1415" s="50"/>
      <c r="L1415" s="50"/>
    </row>
    <row r="1416">
      <c r="E1416" s="55"/>
      <c r="J1416" s="53"/>
      <c r="K1416" s="50"/>
      <c r="L1416" s="50"/>
    </row>
    <row r="1417">
      <c r="E1417" s="55"/>
      <c r="J1417" s="53"/>
      <c r="K1417" s="50"/>
      <c r="L1417" s="50"/>
    </row>
    <row r="1418">
      <c r="E1418" s="55"/>
      <c r="J1418" s="53"/>
      <c r="K1418" s="50"/>
      <c r="L1418" s="50"/>
    </row>
    <row r="1419">
      <c r="E1419" s="55"/>
      <c r="J1419" s="53"/>
      <c r="K1419" s="50"/>
      <c r="L1419" s="50"/>
    </row>
    <row r="1420">
      <c r="E1420" s="55"/>
      <c r="J1420" s="53"/>
      <c r="K1420" s="50"/>
      <c r="L1420" s="50"/>
    </row>
    <row r="1421">
      <c r="E1421" s="55"/>
      <c r="J1421" s="53"/>
      <c r="K1421" s="50"/>
      <c r="L1421" s="50"/>
    </row>
    <row r="1422">
      <c r="E1422" s="55"/>
      <c r="J1422" s="53"/>
      <c r="K1422" s="50"/>
      <c r="L1422" s="50"/>
    </row>
    <row r="1423">
      <c r="E1423" s="55"/>
      <c r="J1423" s="53"/>
      <c r="K1423" s="50"/>
      <c r="L1423" s="50"/>
    </row>
    <row r="1424">
      <c r="E1424" s="55"/>
      <c r="J1424" s="53"/>
      <c r="K1424" s="50"/>
      <c r="L1424" s="50"/>
    </row>
    <row r="1425">
      <c r="E1425" s="55"/>
      <c r="J1425" s="53"/>
      <c r="K1425" s="50"/>
      <c r="L1425" s="50"/>
    </row>
    <row r="1426">
      <c r="E1426" s="55"/>
      <c r="J1426" s="53"/>
      <c r="K1426" s="50"/>
      <c r="L1426" s="50"/>
    </row>
    <row r="1427">
      <c r="E1427" s="55"/>
      <c r="J1427" s="53"/>
      <c r="K1427" s="50"/>
      <c r="L1427" s="50"/>
    </row>
    <row r="1428">
      <c r="E1428" s="55"/>
      <c r="J1428" s="53"/>
      <c r="K1428" s="50"/>
      <c r="L1428" s="50"/>
    </row>
    <row r="1429">
      <c r="E1429" s="55"/>
      <c r="J1429" s="53"/>
      <c r="K1429" s="50"/>
      <c r="L1429" s="50"/>
    </row>
    <row r="1430">
      <c r="E1430" s="55"/>
      <c r="J1430" s="53"/>
      <c r="K1430" s="50"/>
      <c r="L1430" s="50"/>
    </row>
    <row r="1431">
      <c r="E1431" s="55"/>
      <c r="J1431" s="53"/>
      <c r="K1431" s="50"/>
      <c r="L1431" s="50"/>
    </row>
    <row r="1432">
      <c r="E1432" s="55"/>
      <c r="J1432" s="53"/>
      <c r="K1432" s="50"/>
      <c r="L1432" s="50"/>
    </row>
    <row r="1433">
      <c r="E1433" s="55"/>
      <c r="J1433" s="53"/>
      <c r="K1433" s="50"/>
      <c r="L1433" s="50"/>
    </row>
    <row r="1434">
      <c r="E1434" s="55"/>
      <c r="J1434" s="53"/>
      <c r="K1434" s="50"/>
      <c r="L1434" s="50"/>
    </row>
    <row r="1435">
      <c r="E1435" s="55"/>
      <c r="J1435" s="53"/>
      <c r="K1435" s="50"/>
      <c r="L1435" s="50"/>
    </row>
    <row r="1436">
      <c r="E1436" s="55"/>
      <c r="J1436" s="53"/>
      <c r="K1436" s="50"/>
      <c r="L1436" s="50"/>
    </row>
    <row r="1437">
      <c r="E1437" s="55"/>
      <c r="J1437" s="53"/>
      <c r="K1437" s="50"/>
      <c r="L1437" s="50"/>
    </row>
    <row r="1438">
      <c r="E1438" s="55"/>
      <c r="J1438" s="53"/>
      <c r="K1438" s="50"/>
      <c r="L1438" s="50"/>
    </row>
    <row r="1439">
      <c r="E1439" s="55"/>
      <c r="J1439" s="53"/>
      <c r="K1439" s="50"/>
      <c r="L1439" s="50"/>
    </row>
    <row r="1440">
      <c r="E1440" s="55"/>
      <c r="J1440" s="53"/>
      <c r="K1440" s="50"/>
      <c r="L1440" s="50"/>
    </row>
    <row r="1441">
      <c r="E1441" s="55"/>
      <c r="J1441" s="53"/>
      <c r="K1441" s="50"/>
      <c r="L1441" s="50"/>
    </row>
    <row r="1442">
      <c r="E1442" s="55"/>
      <c r="J1442" s="53"/>
      <c r="K1442" s="50"/>
      <c r="L1442" s="50"/>
    </row>
    <row r="1443">
      <c r="E1443" s="55"/>
      <c r="J1443" s="53"/>
      <c r="K1443" s="50"/>
      <c r="L1443" s="50"/>
    </row>
    <row r="1444">
      <c r="E1444" s="55"/>
      <c r="J1444" s="53"/>
      <c r="K1444" s="50"/>
      <c r="L1444" s="50"/>
    </row>
    <row r="1445">
      <c r="E1445" s="55"/>
      <c r="J1445" s="53"/>
      <c r="K1445" s="50"/>
      <c r="L1445" s="50"/>
    </row>
    <row r="1446">
      <c r="E1446" s="55"/>
      <c r="J1446" s="53"/>
      <c r="K1446" s="50"/>
      <c r="L1446" s="50"/>
    </row>
    <row r="1447">
      <c r="E1447" s="55"/>
      <c r="J1447" s="53"/>
      <c r="K1447" s="50"/>
      <c r="L1447" s="50"/>
    </row>
    <row r="1448">
      <c r="E1448" s="55"/>
      <c r="J1448" s="53"/>
      <c r="K1448" s="50"/>
      <c r="L1448" s="50"/>
    </row>
    <row r="1449">
      <c r="E1449" s="55"/>
      <c r="J1449" s="53"/>
      <c r="K1449" s="50"/>
      <c r="L1449" s="50"/>
    </row>
    <row r="1450">
      <c r="E1450" s="55"/>
      <c r="J1450" s="53"/>
      <c r="K1450" s="50"/>
      <c r="L1450" s="50"/>
    </row>
    <row r="1451">
      <c r="E1451" s="55"/>
      <c r="J1451" s="53"/>
      <c r="K1451" s="50"/>
      <c r="L1451" s="50"/>
    </row>
    <row r="1452">
      <c r="E1452" s="55"/>
      <c r="J1452" s="53"/>
      <c r="K1452" s="50"/>
      <c r="L1452" s="50"/>
    </row>
    <row r="1453">
      <c r="E1453" s="55"/>
      <c r="J1453" s="53"/>
      <c r="K1453" s="50"/>
      <c r="L1453" s="50"/>
    </row>
    <row r="1454">
      <c r="E1454" s="55"/>
      <c r="J1454" s="53"/>
      <c r="K1454" s="50"/>
      <c r="L1454" s="50"/>
    </row>
    <row r="1455">
      <c r="E1455" s="55"/>
      <c r="J1455" s="53"/>
      <c r="K1455" s="50"/>
      <c r="L1455" s="50"/>
    </row>
    <row r="1456">
      <c r="E1456" s="55"/>
      <c r="J1456" s="53"/>
      <c r="K1456" s="50"/>
      <c r="L1456" s="50"/>
    </row>
    <row r="1457">
      <c r="E1457" s="55"/>
      <c r="J1457" s="53"/>
      <c r="K1457" s="50"/>
      <c r="L1457" s="50"/>
    </row>
    <row r="1458">
      <c r="E1458" s="55"/>
      <c r="J1458" s="53"/>
      <c r="K1458" s="50"/>
      <c r="L1458" s="50"/>
    </row>
    <row r="1459">
      <c r="E1459" s="55"/>
      <c r="J1459" s="53"/>
      <c r="K1459" s="50"/>
      <c r="L1459" s="50"/>
    </row>
    <row r="1460">
      <c r="E1460" s="55"/>
      <c r="J1460" s="53"/>
      <c r="K1460" s="50"/>
      <c r="L1460" s="50"/>
    </row>
    <row r="1461">
      <c r="E1461" s="55"/>
      <c r="J1461" s="53"/>
      <c r="K1461" s="50"/>
      <c r="L1461" s="50"/>
    </row>
    <row r="1462">
      <c r="E1462" s="55"/>
      <c r="J1462" s="53"/>
      <c r="K1462" s="50"/>
      <c r="L1462" s="50"/>
    </row>
    <row r="1463">
      <c r="E1463" s="55"/>
      <c r="J1463" s="53"/>
      <c r="K1463" s="50"/>
      <c r="L1463" s="50"/>
    </row>
    <row r="1464">
      <c r="E1464" s="55"/>
      <c r="J1464" s="53"/>
      <c r="K1464" s="50"/>
      <c r="L1464" s="50"/>
    </row>
    <row r="1465">
      <c r="E1465" s="55"/>
      <c r="J1465" s="53"/>
      <c r="K1465" s="50"/>
      <c r="L1465" s="50"/>
    </row>
    <row r="1466">
      <c r="E1466" s="55"/>
      <c r="J1466" s="53"/>
      <c r="K1466" s="50"/>
      <c r="L1466" s="50"/>
    </row>
    <row r="1467">
      <c r="E1467" s="55"/>
      <c r="J1467" s="53"/>
      <c r="K1467" s="50"/>
      <c r="L1467" s="50"/>
    </row>
    <row r="1468">
      <c r="E1468" s="55"/>
      <c r="J1468" s="53"/>
      <c r="K1468" s="50"/>
      <c r="L1468" s="50"/>
    </row>
    <row r="1469">
      <c r="E1469" s="55"/>
      <c r="J1469" s="53"/>
      <c r="K1469" s="50"/>
      <c r="L1469" s="50"/>
    </row>
    <row r="1470">
      <c r="E1470" s="55"/>
      <c r="J1470" s="53"/>
      <c r="K1470" s="50"/>
      <c r="L1470" s="50"/>
    </row>
    <row r="1471">
      <c r="E1471" s="55"/>
      <c r="J1471" s="53"/>
      <c r="K1471" s="50"/>
      <c r="L1471" s="50"/>
    </row>
    <row r="1472">
      <c r="E1472" s="55"/>
      <c r="J1472" s="53"/>
      <c r="K1472" s="50"/>
      <c r="L1472" s="50"/>
    </row>
    <row r="1473">
      <c r="E1473" s="55"/>
      <c r="J1473" s="53"/>
      <c r="K1473" s="50"/>
      <c r="L1473" s="50"/>
    </row>
    <row r="1474">
      <c r="E1474" s="55"/>
      <c r="J1474" s="53"/>
      <c r="K1474" s="50"/>
      <c r="L1474" s="50"/>
    </row>
    <row r="1475">
      <c r="E1475" s="55"/>
      <c r="J1475" s="53"/>
      <c r="K1475" s="50"/>
      <c r="L1475" s="50"/>
    </row>
    <row r="1476">
      <c r="E1476" s="55"/>
      <c r="J1476" s="53"/>
      <c r="K1476" s="50"/>
      <c r="L1476" s="50"/>
    </row>
    <row r="1477">
      <c r="E1477" s="55"/>
      <c r="J1477" s="53"/>
      <c r="K1477" s="50"/>
      <c r="L1477" s="50"/>
    </row>
    <row r="1478">
      <c r="E1478" s="55"/>
      <c r="J1478" s="53"/>
      <c r="K1478" s="50"/>
      <c r="L1478" s="50"/>
    </row>
    <row r="1479">
      <c r="E1479" s="55"/>
      <c r="J1479" s="53"/>
      <c r="K1479" s="50"/>
      <c r="L1479" s="50"/>
    </row>
    <row r="1480">
      <c r="E1480" s="55"/>
      <c r="J1480" s="53"/>
      <c r="K1480" s="50"/>
      <c r="L1480" s="50"/>
    </row>
    <row r="1481">
      <c r="E1481" s="55"/>
      <c r="J1481" s="53"/>
      <c r="K1481" s="50"/>
      <c r="L1481" s="50"/>
    </row>
    <row r="1482">
      <c r="E1482" s="55"/>
      <c r="J1482" s="53"/>
      <c r="K1482" s="50"/>
      <c r="L1482" s="50"/>
    </row>
    <row r="1483">
      <c r="E1483" s="55"/>
      <c r="J1483" s="53"/>
      <c r="K1483" s="50"/>
      <c r="L1483" s="50"/>
    </row>
    <row r="1484">
      <c r="E1484" s="55"/>
      <c r="J1484" s="53"/>
      <c r="K1484" s="50"/>
      <c r="L1484" s="50"/>
    </row>
    <row r="1485">
      <c r="E1485" s="55"/>
      <c r="J1485" s="53"/>
      <c r="K1485" s="50"/>
      <c r="L1485" s="50"/>
    </row>
    <row r="1486">
      <c r="E1486" s="55"/>
      <c r="J1486" s="53"/>
      <c r="K1486" s="50"/>
      <c r="L1486" s="50"/>
    </row>
    <row r="1487">
      <c r="E1487" s="55"/>
      <c r="J1487" s="53"/>
      <c r="K1487" s="50"/>
      <c r="L1487" s="50"/>
    </row>
    <row r="1488">
      <c r="E1488" s="55"/>
      <c r="J1488" s="53"/>
      <c r="K1488" s="50"/>
      <c r="L1488" s="50"/>
    </row>
    <row r="1489">
      <c r="E1489" s="55"/>
      <c r="J1489" s="53"/>
      <c r="K1489" s="50"/>
      <c r="L1489" s="50"/>
    </row>
    <row r="1490">
      <c r="E1490" s="55"/>
      <c r="J1490" s="53"/>
      <c r="K1490" s="50"/>
      <c r="L1490" s="50"/>
    </row>
    <row r="1491">
      <c r="E1491" s="55"/>
      <c r="J1491" s="53"/>
      <c r="K1491" s="50"/>
      <c r="L1491" s="50"/>
    </row>
    <row r="1492">
      <c r="E1492" s="55"/>
      <c r="J1492" s="53"/>
      <c r="K1492" s="50"/>
      <c r="L1492" s="50"/>
    </row>
    <row r="1493">
      <c r="E1493" s="55"/>
      <c r="J1493" s="53"/>
      <c r="K1493" s="50"/>
      <c r="L1493" s="50"/>
    </row>
    <row r="1494">
      <c r="E1494" s="55"/>
      <c r="J1494" s="53"/>
      <c r="K1494" s="50"/>
      <c r="L1494" s="50"/>
    </row>
    <row r="1495">
      <c r="E1495" s="55"/>
      <c r="J1495" s="53"/>
      <c r="K1495" s="50"/>
      <c r="L1495" s="50"/>
    </row>
    <row r="1496">
      <c r="E1496" s="55"/>
      <c r="J1496" s="53"/>
      <c r="K1496" s="50"/>
      <c r="L1496" s="50"/>
    </row>
    <row r="1497">
      <c r="E1497" s="55"/>
      <c r="J1497" s="53"/>
      <c r="K1497" s="50"/>
      <c r="L1497" s="50"/>
    </row>
    <row r="1498">
      <c r="E1498" s="55"/>
      <c r="J1498" s="53"/>
      <c r="K1498" s="50"/>
      <c r="L1498" s="50"/>
    </row>
    <row r="1499">
      <c r="E1499" s="55"/>
      <c r="J1499" s="53"/>
      <c r="K1499" s="50"/>
      <c r="L1499" s="50"/>
    </row>
    <row r="1500">
      <c r="E1500" s="55"/>
      <c r="J1500" s="53"/>
      <c r="K1500" s="50"/>
      <c r="L1500" s="50"/>
    </row>
    <row r="1501">
      <c r="E1501" s="55"/>
      <c r="J1501" s="53"/>
      <c r="K1501" s="50"/>
      <c r="L1501" s="50"/>
    </row>
    <row r="1502">
      <c r="E1502" s="55"/>
      <c r="J1502" s="53"/>
      <c r="K1502" s="50"/>
      <c r="L1502" s="50"/>
    </row>
    <row r="1503">
      <c r="E1503" s="55"/>
      <c r="J1503" s="53"/>
      <c r="K1503" s="50"/>
      <c r="L1503" s="50"/>
    </row>
    <row r="1504">
      <c r="E1504" s="55"/>
      <c r="J1504" s="53"/>
      <c r="K1504" s="50"/>
      <c r="L1504" s="50"/>
    </row>
    <row r="1505">
      <c r="E1505" s="55"/>
      <c r="J1505" s="53"/>
      <c r="K1505" s="50"/>
      <c r="L1505" s="50"/>
    </row>
    <row r="1506">
      <c r="E1506" s="55"/>
      <c r="J1506" s="53"/>
      <c r="K1506" s="50"/>
      <c r="L1506" s="50"/>
    </row>
    <row r="1507">
      <c r="E1507" s="55"/>
      <c r="J1507" s="53"/>
      <c r="K1507" s="50"/>
      <c r="L1507" s="50"/>
    </row>
    <row r="1508">
      <c r="E1508" s="55"/>
      <c r="J1508" s="53"/>
      <c r="K1508" s="50"/>
      <c r="L1508" s="50"/>
    </row>
    <row r="1509">
      <c r="E1509" s="55"/>
      <c r="J1509" s="53"/>
      <c r="K1509" s="50"/>
      <c r="L1509" s="50"/>
    </row>
    <row r="1510">
      <c r="E1510" s="55"/>
      <c r="J1510" s="53"/>
      <c r="K1510" s="50"/>
      <c r="L1510" s="50"/>
    </row>
    <row r="1511">
      <c r="E1511" s="55"/>
      <c r="J1511" s="53"/>
      <c r="K1511" s="50"/>
      <c r="L1511" s="50"/>
    </row>
    <row r="1512">
      <c r="E1512" s="55"/>
      <c r="J1512" s="53"/>
      <c r="K1512" s="50"/>
      <c r="L1512" s="50"/>
    </row>
    <row r="1513">
      <c r="E1513" s="55"/>
      <c r="J1513" s="53"/>
      <c r="K1513" s="50"/>
      <c r="L1513" s="50"/>
    </row>
    <row r="1514">
      <c r="E1514" s="55"/>
      <c r="J1514" s="53"/>
      <c r="K1514" s="50"/>
      <c r="L1514" s="50"/>
    </row>
    <row r="1515">
      <c r="E1515" s="55"/>
      <c r="J1515" s="53"/>
      <c r="K1515" s="50"/>
      <c r="L1515" s="50"/>
    </row>
    <row r="1516">
      <c r="E1516" s="55"/>
      <c r="J1516" s="53"/>
      <c r="K1516" s="50"/>
      <c r="L1516" s="50"/>
    </row>
    <row r="1517">
      <c r="E1517" s="55"/>
      <c r="J1517" s="53"/>
      <c r="K1517" s="50"/>
      <c r="L1517" s="50"/>
    </row>
    <row r="1518">
      <c r="E1518" s="55"/>
      <c r="J1518" s="53"/>
      <c r="K1518" s="50"/>
      <c r="L1518" s="50"/>
    </row>
    <row r="1519">
      <c r="E1519" s="55"/>
      <c r="J1519" s="53"/>
      <c r="K1519" s="50"/>
      <c r="L1519" s="50"/>
    </row>
    <row r="1520">
      <c r="E1520" s="55"/>
      <c r="J1520" s="53"/>
      <c r="K1520" s="50"/>
      <c r="L1520" s="50"/>
    </row>
    <row r="1521">
      <c r="E1521" s="55"/>
      <c r="J1521" s="53"/>
      <c r="K1521" s="50"/>
      <c r="L1521" s="50"/>
    </row>
  </sheetData>
  <autoFilter ref="$A$1:$AL$254">
    <sortState ref="A1:AL254">
      <sortCondition descending="1" ref="G1:G254"/>
      <sortCondition ref="A1:A254"/>
      <sortCondition ref="AG1:AG254"/>
      <sortCondition descending="1" ref="F1:F254"/>
    </sortState>
  </autoFilter>
  <conditionalFormatting sqref="J1:K237 P1:Q237">
    <cfRule type="colorScale" priority="1">
      <colorScale>
        <cfvo type="formula" val="0"/>
        <cfvo type="formula" val="1"/>
        <cfvo type="formula" val="2"/>
        <color rgb="FFE67C73"/>
        <color rgb="FFFFFFFF"/>
        <color rgb="FF57BB8A"/>
      </colorScale>
    </cfRule>
  </conditionalFormatting>
  <conditionalFormatting sqref="AG1:AG237">
    <cfRule type="colorScale" priority="2">
      <colorScale>
        <cfvo type="min"/>
        <cfvo type="formula" val="3000"/>
        <cfvo type="formula" val="6000"/>
        <color rgb="FFE67C73"/>
        <color rgb="FFFFFFFF"/>
        <color rgb="FF57BB8A"/>
      </colorScale>
    </cfRule>
  </conditionalFormatting>
  <conditionalFormatting sqref="G1:G237 I1:I237">
    <cfRule type="colorScale" priority="3">
      <colorScale>
        <cfvo type="min"/>
        <cfvo type="formula" val="10"/>
        <cfvo type="max"/>
        <color rgb="FFE67C73"/>
        <color rgb="FFFFFFFF"/>
        <color rgb="FF57BB8A"/>
      </colorScale>
    </cfRule>
  </conditionalFormatting>
  <conditionalFormatting sqref="AK1:AK237 AL1">
    <cfRule type="colorScale" priority="4">
      <colorScale>
        <cfvo type="min"/>
        <cfvo type="percentile" val="50"/>
        <cfvo type="max"/>
        <color rgb="FFE67C73"/>
        <color rgb="FFFFFFFF"/>
        <color rgb="FF57BB8A"/>
      </colorScale>
    </cfRule>
  </conditionalFormatting>
  <conditionalFormatting sqref="AL1:AL237">
    <cfRule type="colorScale" priority="5">
      <colorScale>
        <cfvo type="min"/>
        <cfvo type="percentile" val="50"/>
        <cfvo type="max"/>
        <color rgb="FFE67C73"/>
        <color rgb="FFFFFFFF"/>
        <color rgb="FF57BB8A"/>
      </colorScale>
    </cfRule>
  </conditionalFormatting>
  <conditionalFormatting sqref="E1:E237">
    <cfRule type="colorScale" priority="6">
      <colorScale>
        <cfvo type="formula" val="45500"/>
        <cfvo type="percentile" val="50"/>
        <cfvo type="max"/>
        <color rgb="FFE67C73"/>
        <color rgb="FFFFFFFF"/>
        <color rgb="FF57BB8A"/>
      </colorScale>
    </cfRule>
  </conditionalFormatting>
  <conditionalFormatting sqref="V1:W237 AB1:AC1">
    <cfRule type="colorScale" priority="7">
      <colorScale>
        <cfvo type="formula" val="-0.1"/>
        <cfvo type="formula" val="0"/>
        <cfvo type="formula" val="0.1"/>
        <color rgb="FFE67C73"/>
        <color rgb="FFFFFFFF"/>
        <color rgb="FF57BB8A"/>
      </colorScale>
    </cfRule>
  </conditionalFormatting>
  <conditionalFormatting sqref="M1:M237 O1:O237">
    <cfRule type="colorScale" priority="8">
      <colorScale>
        <cfvo type="min"/>
        <cfvo type="percentile" val="80"/>
        <cfvo type="max"/>
        <color rgb="FFE67C73"/>
        <color rgb="FFFFFFFF"/>
        <color rgb="FF57BB8A"/>
      </colorScale>
    </cfRule>
  </conditionalFormatting>
  <conditionalFormatting sqref="AB1:AC237">
    <cfRule type="colorScale" priority="9">
      <colorScale>
        <cfvo type="min"/>
        <cfvo type="percentile" val="50"/>
        <cfvo type="max"/>
        <color rgb="FF57BB8A"/>
        <color rgb="FFFFFFFF"/>
        <color rgb="FFE67C73"/>
      </colorScale>
    </cfRule>
  </conditionalFormatting>
  <conditionalFormatting sqref="A2:A297">
    <cfRule type="expression" dxfId="0" priority="10">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6"/>
    <hyperlink r:id="rId65" ref="A68"/>
    <hyperlink r:id="rId66" ref="A69"/>
    <hyperlink r:id="rId67" ref="A70"/>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5"/>
    <hyperlink r:id="rId92" ref="A96"/>
    <hyperlink r:id="rId93" ref="A97"/>
    <hyperlink r:id="rId94" ref="A98"/>
    <hyperlink r:id="rId95" ref="A99"/>
    <hyperlink r:id="rId96" ref="A100"/>
    <hyperlink r:id="rId97" ref="A101"/>
    <hyperlink r:id="rId98" ref="A102"/>
    <hyperlink r:id="rId99" ref="A103"/>
    <hyperlink r:id="rId100" ref="A104"/>
    <hyperlink r:id="rId101" ref="A105"/>
    <hyperlink r:id="rId102" ref="A106"/>
    <hyperlink r:id="rId103" ref="A107"/>
    <hyperlink r:id="rId104" ref="A108"/>
    <hyperlink r:id="rId105" ref="A109"/>
    <hyperlink r:id="rId106" ref="A110"/>
    <hyperlink r:id="rId107" ref="A111"/>
    <hyperlink r:id="rId108" ref="A112"/>
    <hyperlink r:id="rId109" ref="A113"/>
    <hyperlink r:id="rId110" ref="A114"/>
    <hyperlink r:id="rId111" ref="A115"/>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7"/>
    <hyperlink r:id="rId132" ref="A138"/>
    <hyperlink r:id="rId133" ref="A139"/>
    <hyperlink r:id="rId134" ref="A140"/>
    <hyperlink r:id="rId135" ref="A141"/>
    <hyperlink r:id="rId136" ref="A142"/>
    <hyperlink r:id="rId137" ref="A143"/>
    <hyperlink r:id="rId138" ref="A144"/>
    <hyperlink r:id="rId139" ref="A145"/>
    <hyperlink r:id="rId140" ref="A146"/>
    <hyperlink r:id="rId141" ref="A147"/>
    <hyperlink r:id="rId142" ref="A148"/>
    <hyperlink r:id="rId143" ref="A149"/>
    <hyperlink r:id="rId144" ref="A150"/>
    <hyperlink r:id="rId145" ref="A151"/>
    <hyperlink r:id="rId146" ref="A152"/>
    <hyperlink r:id="rId147" ref="A153"/>
    <hyperlink r:id="rId148" ref="A154"/>
    <hyperlink r:id="rId149" ref="A155"/>
    <hyperlink r:id="rId150" ref="A156"/>
    <hyperlink r:id="rId151" ref="A157"/>
    <hyperlink r:id="rId152" ref="A158"/>
    <hyperlink r:id="rId153" ref="A159"/>
    <hyperlink r:id="rId154" ref="A160"/>
    <hyperlink r:id="rId155" ref="A161"/>
    <hyperlink r:id="rId156" ref="A162"/>
    <hyperlink r:id="rId157" ref="A163"/>
    <hyperlink r:id="rId158" ref="A164"/>
    <hyperlink r:id="rId159" ref="A165"/>
    <hyperlink r:id="rId160" ref="A166"/>
    <hyperlink r:id="rId161" ref="A167"/>
    <hyperlink r:id="rId162" ref="A168"/>
    <hyperlink r:id="rId163" ref="A169"/>
    <hyperlink r:id="rId164" ref="A170"/>
    <hyperlink r:id="rId165" ref="A173"/>
    <hyperlink r:id="rId166" ref="A174"/>
    <hyperlink r:id="rId167" ref="A175"/>
    <hyperlink r:id="rId168" ref="A176"/>
    <hyperlink r:id="rId169" ref="A177"/>
    <hyperlink r:id="rId170" ref="A178"/>
    <hyperlink r:id="rId171" ref="A179"/>
    <hyperlink r:id="rId172" ref="A180"/>
    <hyperlink r:id="rId173" ref="A181"/>
    <hyperlink r:id="rId174" ref="A182"/>
    <hyperlink r:id="rId175" ref="A183"/>
    <hyperlink r:id="rId176" ref="A184"/>
    <hyperlink r:id="rId177" ref="A185"/>
    <hyperlink r:id="rId178" ref="A186"/>
    <hyperlink r:id="rId179" ref="A187"/>
    <hyperlink r:id="rId180" ref="A188"/>
    <hyperlink r:id="rId181" ref="A189"/>
    <hyperlink r:id="rId182" ref="A190"/>
    <hyperlink r:id="rId183" ref="A191"/>
    <hyperlink r:id="rId184" ref="A192"/>
    <hyperlink r:id="rId185" ref="A193"/>
    <hyperlink r:id="rId186" ref="A194"/>
    <hyperlink r:id="rId187" ref="A195"/>
    <hyperlink r:id="rId188" ref="A196"/>
    <hyperlink r:id="rId189" ref="A197"/>
    <hyperlink r:id="rId190" ref="A198"/>
    <hyperlink r:id="rId191" ref="A199"/>
    <hyperlink r:id="rId192" ref="A200"/>
    <hyperlink r:id="rId193" ref="A201"/>
    <hyperlink r:id="rId194" ref="A202"/>
    <hyperlink r:id="rId195" ref="A203"/>
    <hyperlink r:id="rId196" ref="A204"/>
    <hyperlink r:id="rId197" ref="A205"/>
    <hyperlink r:id="rId198" ref="A206"/>
    <hyperlink r:id="rId199" ref="A207"/>
    <hyperlink r:id="rId200" ref="A208"/>
    <hyperlink r:id="rId201" ref="A209"/>
    <hyperlink r:id="rId202" ref="A210"/>
    <hyperlink r:id="rId203" ref="A223"/>
    <hyperlink r:id="rId204" ref="A224"/>
    <hyperlink r:id="rId205" ref="A225"/>
    <hyperlink r:id="rId206" ref="A226"/>
    <hyperlink r:id="rId207" ref="A227"/>
    <hyperlink r:id="rId208" ref="A228"/>
    <hyperlink r:id="rId209" ref="A229"/>
    <hyperlink r:id="rId210" ref="A230"/>
    <hyperlink r:id="rId211" ref="A231"/>
    <hyperlink r:id="rId212" ref="A232"/>
    <hyperlink r:id="rId213" ref="A233"/>
    <hyperlink r:id="rId214" ref="A251"/>
    <hyperlink r:id="rId215" ref="A252"/>
    <hyperlink r:id="rId216" ref="A253"/>
    <hyperlink r:id="rId217" ref="A254"/>
  </hyperlinks>
  <drawing r:id="rId2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3.0"/>
    <col customWidth="1" min="2" max="2" width="7.13"/>
    <col customWidth="1" min="3" max="3" width="10.63"/>
    <col customWidth="1" min="4" max="4" width="13.38"/>
    <col customWidth="1" min="5" max="5" width="15.38"/>
    <col customWidth="1" min="6" max="6" width="5.63"/>
    <col customWidth="1" min="7" max="7" width="4.38"/>
    <col customWidth="1" min="8" max="8" width="3.88"/>
    <col customWidth="1" min="9" max="9" width="3.5"/>
    <col customWidth="1" min="10" max="10" width="5.25"/>
    <col customWidth="1" min="11" max="11" width="5.88"/>
    <col customWidth="1" min="12" max="12" width="4.75"/>
    <col customWidth="1" min="13" max="13" width="6.0"/>
    <col customWidth="1" min="14" max="14" width="4.75"/>
    <col customWidth="1" min="15" max="15" width="6.0"/>
    <col customWidth="1" min="16" max="17" width="3.75"/>
    <col customWidth="1" min="18" max="29" width="4.5"/>
    <col customWidth="1" min="30" max="30" width="7.5"/>
    <col customWidth="1" min="31" max="32" width="3.88"/>
    <col customWidth="1" min="33" max="33" width="5.38"/>
    <col customWidth="1" min="34" max="38" width="3.88"/>
  </cols>
  <sheetData>
    <row r="1">
      <c r="A1" s="1" t="s">
        <v>61</v>
      </c>
      <c r="B1" s="1" t="s">
        <v>29</v>
      </c>
      <c r="C1" s="1" t="s">
        <v>63</v>
      </c>
      <c r="D1" s="1" t="s">
        <v>243</v>
      </c>
      <c r="E1" s="32" t="s">
        <v>246</v>
      </c>
      <c r="F1" s="62" t="s">
        <v>65</v>
      </c>
      <c r="G1" s="62" t="s">
        <v>247</v>
      </c>
      <c r="H1" s="62" t="s">
        <v>248</v>
      </c>
      <c r="I1" s="62" t="s">
        <v>249</v>
      </c>
      <c r="J1" s="63" t="s">
        <v>250</v>
      </c>
      <c r="K1" s="63" t="s">
        <v>251</v>
      </c>
      <c r="L1" s="64" t="s">
        <v>64</v>
      </c>
      <c r="M1" s="62" t="s">
        <v>252</v>
      </c>
      <c r="N1" s="62" t="s">
        <v>253</v>
      </c>
      <c r="O1" s="62" t="s">
        <v>254</v>
      </c>
      <c r="P1" s="63" t="s">
        <v>255</v>
      </c>
      <c r="Q1" s="63" t="s">
        <v>256</v>
      </c>
      <c r="R1" s="64" t="s">
        <v>257</v>
      </c>
      <c r="S1" s="62" t="s">
        <v>258</v>
      </c>
      <c r="T1" s="62" t="s">
        <v>259</v>
      </c>
      <c r="U1" s="62" t="s">
        <v>260</v>
      </c>
      <c r="V1" s="63" t="s">
        <v>261</v>
      </c>
      <c r="W1" s="63" t="s">
        <v>262</v>
      </c>
      <c r="X1" s="64" t="s">
        <v>263</v>
      </c>
      <c r="Y1" s="62" t="s">
        <v>264</v>
      </c>
      <c r="Z1" s="62" t="s">
        <v>265</v>
      </c>
      <c r="AA1" s="62" t="s">
        <v>266</v>
      </c>
      <c r="AB1" s="63" t="s">
        <v>267</v>
      </c>
      <c r="AC1" s="63" t="s">
        <v>268</v>
      </c>
      <c r="AD1" s="46" t="s">
        <v>269</v>
      </c>
      <c r="AE1" s="47" t="s">
        <v>270</v>
      </c>
      <c r="AF1" s="47" t="s">
        <v>271</v>
      </c>
      <c r="AG1" s="47" t="s">
        <v>272</v>
      </c>
      <c r="AH1" s="47" t="s">
        <v>273</v>
      </c>
      <c r="AI1" s="47" t="s">
        <v>274</v>
      </c>
      <c r="AJ1" s="1" t="s">
        <v>275</v>
      </c>
      <c r="AK1" s="1" t="s">
        <v>244</v>
      </c>
      <c r="AL1" s="1" t="s">
        <v>245</v>
      </c>
    </row>
    <row r="2">
      <c r="A2" s="3" t="s">
        <v>716</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"),"体系数学とは？──中高一貫校のレベル・難易度とおすすめ勉強法 - 中高一貫校専門塾エスコット(Escot)～定期試験対策から大学受験指導まで～")</f>
        <v>体系数学とは？──中高一貫校のレベル・難易度とおすすめ勉強法 - 中高一貫校専門塾エスコット(Escot)～定期試験対策から大学受験指導まで～</v>
      </c>
      <c r="D2" s="1" t="str">
        <f>IFERROR(__xludf.DUMMYFUNCTION("IFERROR(
  VLOOKUP(
    A2,
    IMPORTRANGE(
      ""1ZygntHC1J6IxzKbTidmOyf5nUyW4GCLurHCjexrLm_o        "",
      ""HTMLキャッシュ!A:F""
    ),
    6,
    FALSE
  ),
  0
)
"),"「体系数学」のレベルや難易度が気になる中高一貫校生・保護者向けのガイドです。体系数学1〜5の位置づけ、学校授業だけでは足りない理由、体系問題集や他の参考書をどう組み合わせるかを整理し、ついていけない状態から巻き返す勉強法と個別指導でのサポート内容を紹介します。")</f>
        <v>「体系数学」のレベルや難易度が気になる中高一貫校生・保護者向けのガイドです。体系数学1〜5の位置づけ、学校授業だけでは足りない理由、体系問題集や他の参考書をどう組み合わせるかを整理し、ついていけない状態から巻き返す勉強法と個別指導でのサポート内容を紹介します。</v>
      </c>
      <c r="E2" s="32">
        <f>IFERROR(__xludf.DUMMYFUNCTION("IFERROR(
  VLOOKUP(
    A2,
    IMPORTRANGE(
      ""1ZygntHC1J6IxzKbTidmOyf5nUyW4GCLurHCjexrLm_o        "",
      ""HTMLキャッシュ!A:F""
    ),
    3,
    FALSE
  ),
  0
)
"),46076.75100694445)</f>
        <v>46076.75101</v>
      </c>
      <c r="F2" s="49">
        <f>IFERROR(__xludf.DUMMYFUNCTION("IFERROR(
  VLOOKUP(
    A2,
    IMPORTRANGE(
      ""1ZHMy3vVUd_0MrSduXTe1etBb1HNpAlGwQr006ljwMiM"",
      ""GSC最新!A:F""
    ),
    2,
    FALSE
  ),
  0
)
"),975.0)</f>
        <v>975</v>
      </c>
      <c r="G2" s="49">
        <f>IFERROR(__xludf.DUMMYFUNCTION("IFERROR(
  VLOOKUP(
    A2,
    IMPORTRANGE(
      ""1ZHMy3vVUd_0MrSduXTe1etBb1HNpAlGwQr006ljwMiM"",
      ""GSC最新!A:F""
    ),
    3,
    FALSE
  ),
  0
)
"),1405.0)</f>
        <v>1405</v>
      </c>
      <c r="H2" s="49">
        <f>IFERROR(__xludf.DUMMYFUNCTION("IFERROR(
  VLOOKUP(
    A2,
    IMPORTRANGE(
      ""1ZHMy3vVUd_0MrSduXTe1etBb1HNpAlGwQr006ljwMiM"",
      ""GSC最新!A:F""
    ),
    4,
    FALSE
  ),
  0
)
"),37.0)</f>
        <v>37</v>
      </c>
      <c r="I2" s="49">
        <f>IFERROR(__xludf.DUMMYFUNCTION("IFERROR(
  VLOOKUP(
    A2,
    IMPORTRANGE(
      ""1ZHMy3vVUd_0MrSduXTe1etBb1HNpAlGwQr006ljwMiM"",
      ""GSC最新!A:F""
    ),
    5,
    FALSE
  ),
  0
)
"),102.0)</f>
        <v>102</v>
      </c>
      <c r="J2" s="50">
        <f t="shared" ref="J2:K2" si="1">IFERROR(F2/H2,"-")</f>
        <v>26.35135135</v>
      </c>
      <c r="K2" s="50">
        <f t="shared" si="1"/>
        <v>13.7745098</v>
      </c>
      <c r="L2" s="6">
        <f>IFERROR(__xludf.DUMMYFUNCTION("IFERROR(
  VLOOKUP(
    A2,
    IMPORTRANGE(
      ""1ZHMy3vVUd_0MrSduXTe1etBb1HNpAlGwQr006ljwMiM"",
      ""GSC最新!A:R""
    ),
    7,
    FALSE
  ),
  0
)
"),11667.0)</f>
        <v>11667</v>
      </c>
      <c r="M2" s="6">
        <f>IFERROR(__xludf.DUMMYFUNCTION("IFERROR(
  VLOOKUP(
    A2,
    IMPORTRANGE(
      ""1ZHMy3vVUd_0MrSduXTe1etBb1HNpAlGwQr006ljwMiM"",
      ""GSC最新!A:R""
    ),
    10,
    FALSE
  ),
  0
)
"),20308.0)</f>
        <v>20308</v>
      </c>
      <c r="N2" s="6">
        <f>IFERROR(__xludf.DUMMYFUNCTION("IFERROR(
  VLOOKUP(
    A2,
    IMPORTRANGE(
      ""1ZHMy3vVUd_0MrSduXTe1etBb1HNpAlGwQr006ljwMiM"",
      ""GSC最新!A:R""
    ),
    13,
    FALSE
  ),
  0
)
"),1223.0)</f>
        <v>1223</v>
      </c>
      <c r="O2" s="6">
        <f>IFERROR(__xludf.DUMMYFUNCTION("IFERROR(
  VLOOKUP(
    A2,
    IMPORTRANGE(
      ""1ZHMy3vVUd_0MrSduXTe1etBb1HNpAlGwQr006ljwMiM"",
      ""GSC最新!A:R""
    ),
    16,
    FALSE
  ),
  0
)
"),4018.0)</f>
        <v>4018</v>
      </c>
      <c r="P2" s="51">
        <f t="shared" ref="P2:Q2" si="2">IFERROR(L2/N2,"-")</f>
        <v>9.539656582</v>
      </c>
      <c r="Q2" s="51">
        <f t="shared" si="2"/>
        <v>5.054255849</v>
      </c>
      <c r="R2" s="9">
        <f>IFERROR(__xludf.DUMMYFUNCTION("IFERROR(
  VLOOKUP(
    A2,
    IMPORTRANGE(
      ""1ZHMy3vVUd_0MrSduXTe1etBb1HNpAlGwQr006ljwMiM"",
      ""GSC最新!A:R""
    ),
    8,
    FALSE
  ),
  0
)
"),0.08356904088454616)</f>
        <v>0.08356904088</v>
      </c>
      <c r="S2" s="9">
        <f>IFERROR(__xludf.DUMMYFUNCTION("IFERROR(
  VLOOKUP(
    A2,
    IMPORTRANGE(
      ""1ZHMy3vVUd_0MrSduXTe1etBb1HNpAlGwQr006ljwMiM"",
      ""GSC最新!A:R""
    ),
    11,
    FALSE
  ),
  0
)
"),0.06918455780973015)</f>
        <v>0.06918455781</v>
      </c>
      <c r="T2" s="9">
        <f>IFERROR(__xludf.DUMMYFUNCTION("IFERROR(
  VLOOKUP(
    A2,
    IMPORTRANGE(
      ""1ZHMy3vVUd_0MrSduXTe1etBb1HNpAlGwQr006ljwMiM"",
      ""GSC最新!A:R""
    ),
    14,
    FALSE
  ),
  0
)
"),0.03025347506132461)</f>
        <v>0.03025347506</v>
      </c>
      <c r="U2" s="9">
        <f>IFERROR(__xludf.DUMMYFUNCTION("IFERROR(
  VLOOKUP(
    A2,
    IMPORTRANGE(
      ""1ZHMy3vVUd_0MrSduXTe1etBb1HNpAlGwQr006ljwMiM"",
      ""GSC最新!A:R""
    ),
    17,
    FALSE
  ),
  0
)
"),0.02538576406172225)</f>
        <v>0.02538576406</v>
      </c>
      <c r="V2" s="9">
        <f t="shared" ref="V2:W2" si="3">IFERROR(R2-T2,"-")</f>
        <v>0.05331556582</v>
      </c>
      <c r="W2" s="9">
        <f t="shared" si="3"/>
        <v>0.04379879375</v>
      </c>
      <c r="X2" s="65">
        <f>IFERROR(__xludf.DUMMYFUNCTION("IFERROR(
  VLOOKUP(
    A2,
    IMPORTRANGE(
      ""1ZHMy3vVUd_0MrSduXTe1etBb1HNpAlGwQr006ljwMiM"",
      ""GSC最新!A:R""
    ),
    9,
    FALSE
  ),
  0
)
"),3.892431644810148)</f>
        <v>3.892431645</v>
      </c>
      <c r="Y2" s="65">
        <f>IFERROR(__xludf.DUMMYFUNCTION("IFERROR(
  VLOOKUP(
    A2,
    IMPORTRANGE(
      ""1ZHMy3vVUd_0MrSduXTe1etBb1HNpAlGwQr006ljwMiM"",
      ""GSC最新!A:R""
    ),
    12,
    FALSE
  ),
  0
)
"),4.400827260193028)</f>
        <v>4.40082726</v>
      </c>
      <c r="Z2" s="65">
        <f>IFERROR(__xludf.DUMMYFUNCTION("IFERROR(
  VLOOKUP(
    A2,
    IMPORTRANGE(
      ""1ZHMy3vVUd_0MrSduXTe1etBb1HNpAlGwQr006ljwMiM"",
      ""GSC最新!A:R""
    ),
    15,
    FALSE
  ),
  0
)
"),13.664758789860997)</f>
        <v>13.66475879</v>
      </c>
      <c r="AA2" s="65">
        <f>IFERROR(__xludf.DUMMYFUNCTION("IFERROR(
  VLOOKUP(
    A2,
    IMPORTRANGE(
      ""1ZHMy3vVUd_0MrSduXTe1etBb1HNpAlGwQr006ljwMiM"",
      ""GSC最新!A:R""
    ),
    18,
    FALSE
  ),
  0
)
"),13.5119462419114)</f>
        <v>13.51194624</v>
      </c>
      <c r="AB2" s="65">
        <f t="shared" ref="AB2:AC2" si="4">X2-Z2</f>
        <v>-9.772327145</v>
      </c>
      <c r="AC2" s="65">
        <f t="shared" si="4"/>
        <v>-9.111118982</v>
      </c>
      <c r="AD2" s="53">
        <f>IFERROR(__xludf.DUMMYFUNCTION("IFERROR(
  VLOOKUP(
    A2,
    IMPORTRANGE(
      ""1ZHMy3vVUd_0MrSduXTe1etBb1HNpAlGwQr006ljwMiM"",
      ""GSC最新!A:F""
    ),
    6,
    FALSE
  ),
  0
)
"),46081.0)</f>
        <v>46081</v>
      </c>
      <c r="AE2" s="54">
        <f>IFERROR(__xludf.DUMMYFUNCTION("IFERROR(
  VLOOKUP(
    A2,
    IMPORTRANGE(
      ""1SCYQd7_cobOYqT0r_F0IqD4tE4rYn5y8Eup4PJTH8es"",
      ""Snapshot!A:M""
    ),
    5,
    FALSE
  ),
  ""-""
)
"),8.0)</f>
        <v>8</v>
      </c>
      <c r="AF2" s="54">
        <f>IFERROR(__xludf.DUMMYFUNCTION("IFERROR(
  VLOOKUP(
    A2,
    IMPORTRANGE(
      ""1SCYQd7_cobOYqT0r_F0IqD4tE4rYn5y8Eup4PJTH8es"",
      ""Snapshot!A:M""
    ),
    6,
    FALSE
  ),
  0
)
"),21.0)</f>
        <v>21</v>
      </c>
      <c r="AG2" s="54">
        <f>IFERROR(__xludf.DUMMYFUNCTION("IFERROR(
  VLOOKUP(
    A2,
    IMPORTRANGE(
      ""1SCYQd7_cobOYqT0r_F0IqD4tE4rYn5y8Eup4PJTH8es"",
      ""Snapshot!A:M""
    ),
    7,
    FALSE
  ),
  0
)
"),5702.0)</f>
        <v>5702</v>
      </c>
      <c r="AH2" s="54">
        <f>IFERROR(__xludf.DUMMYFUNCTION("IFERROR(
  VLOOKUP(
    A2,
    IMPORTRANGE(
      ""1SCYQd7_cobOYqT0r_F0IqD4tE4rYn5y8Eup4PJTH8es"",
      ""Snapshot!A:M""
    ),
    8,
    FALSE
  ),
  0
)
"),8.0)</f>
        <v>8</v>
      </c>
      <c r="AI2" s="54">
        <f>IFERROR(__xludf.DUMMYFUNCTION("IFERROR(
  VLOOKUP(
    A2,
    IMPORTRANGE(
      ""1SCYQd7_cobOYqT0r_F0IqD4tE4rYn5y8Eup4PJTH8es"",
      ""Snapshot!A:M""
    ),
    9,
    FALSE
  ),
  0
)
"),2.0)</f>
        <v>2</v>
      </c>
      <c r="AJ2" s="54">
        <f>IFERROR(__xludf.DUMMYFUNCTION("IFERROR(
  VLOOKUP(
    A2,
    IMPORTRANGE(
      ""1SCYQd7_cobOYqT0r_F0IqD4tE4rYn5y8Eup4PJTH8es"",
      ""Snapshot!A:M""
    ),
    13,
    FALSE
  ),
  0
)
"),1.0)</f>
        <v>1</v>
      </c>
      <c r="AK2" s="49">
        <f t="shared" ref="AK2:AL2" si="5">LEN(C2)</f>
        <v>71</v>
      </c>
      <c r="AL2" s="49">
        <f t="shared" si="5"/>
        <v>130</v>
      </c>
    </row>
    <row r="3">
      <c r="A3" s="3" t="s">
        <v>717</v>
      </c>
      <c r="B3" s="1" t="str">
        <f>IFERROR(__xludf.DUMMYFUNCTION("IFERROR(
  VLOOKUP(
    A3,
    IMPORTRANGE(
      ""1ZygntHC1J6IxzKbTidmOyf5nUyW4GCLurHCjexrLm_o"",
      ""HTMLキャッシュ!A:F""
    ),
    2,
    FALSE
  ),
  0
)
"),"SC")</f>
        <v>SC</v>
      </c>
      <c r="C3" s="1" t="str">
        <f>IFERROR(__xludf.DUMMYFUNCTION("IFERROR(
  VLOOKUP(
    A3,
    IMPORTRANGE(
      ""1ZygntHC1J6IxzKbTidmOyf5nUyW4GCLurHCjexrLm_o"",
      ""HTMLキャッシュ!A:F""
    ),
    5,
    FALSE
  ),
  0
)
"),"文章を覚える方法｜長文暗記は30分音読＋分割｜作文・スピーチ")</f>
        <v>文章を覚える方法｜長文暗記は30分音読＋分割｜作文・スピーチ</v>
      </c>
      <c r="D3" s="1" t="str">
        <f>IFERROR(__xludf.DUMMYFUNCTION("IFERROR(
  VLOOKUP(
    A3,
    IMPORTRANGE(
      ""1ZygntHC1J6IxzKbTidmOyf5nUyW4GCLurHCjexrLm_o        "",
      ""HTMLキャッシュ!A:F""
    ),
    6,
    FALSE
  ),
  0
)
"),"文章を覚える方法を探す方向け。長文は30分で分割→音読→見ないで言う→翌朝確認。作文・スピーチ・発表原稿に使える覚え方を、詰まる所の戻り方まで解説。")</f>
        <v>文章を覚える方法を探す方向け。長文は30分で分割→音読→見ないで言う→翌朝確認。作文・スピーチ・発表原稿に使える覚え方を、詰まる所の戻り方まで解説。</v>
      </c>
      <c r="E3" s="32">
        <f>IFERROR(__xludf.DUMMYFUNCTION("IFERROR(
  VLOOKUP(
    A3,
    IMPORTRANGE(
      ""1ZygntHC1J6IxzKbTidmOyf5nUyW4GCLurHCjexrLm_o        "",
      ""HTMLキャッシュ!A:F""
    ),
    3,
    FALSE
  ),
  0
)
"),46078.85428240741)</f>
        <v>46078.85428</v>
      </c>
      <c r="F3" s="49">
        <f>IFERROR(__xludf.DUMMYFUNCTION("IFERROR(
  VLOOKUP(
    A3,
    IMPORTRANGE(
      ""1ZHMy3vVUd_0MrSduXTe1etBb1HNpAlGwQr006ljwMiM"",
      ""GSC最新!A:F""
    ),
    2,
    FALSE
  ),
  0
)
"),89.0)</f>
        <v>89</v>
      </c>
      <c r="G3" s="49">
        <f>IFERROR(__xludf.DUMMYFUNCTION("IFERROR(
  VLOOKUP(
    A3,
    IMPORTRANGE(
      ""1ZHMy3vVUd_0MrSduXTe1etBb1HNpAlGwQr006ljwMiM"",
      ""GSC最新!A:F""
    ),
    3,
    FALSE
  ),
  0
)
"),264.0)</f>
        <v>264</v>
      </c>
      <c r="H3" s="49">
        <f>IFERROR(__xludf.DUMMYFUNCTION("IFERROR(
  VLOOKUP(
    A3,
    IMPORTRANGE(
      ""1ZHMy3vVUd_0MrSduXTe1etBb1HNpAlGwQr006ljwMiM"",
      ""GSC最新!A:F""
    ),
    4,
    FALSE
  ),
  0
)
"),98.0)</f>
        <v>98</v>
      </c>
      <c r="I3" s="49">
        <f>IFERROR(__xludf.DUMMYFUNCTION("IFERROR(
  VLOOKUP(
    A3,
    IMPORTRANGE(
      ""1ZHMy3vVUd_0MrSduXTe1etBb1HNpAlGwQr006ljwMiM"",
      ""GSC最新!A:F""
    ),
    5,
    FALSE
  ),
  0
)
"),376.0)</f>
        <v>376</v>
      </c>
      <c r="J3" s="50">
        <f t="shared" ref="J3:K3" si="6">IFERROR(F3/H3,"-")</f>
        <v>0.9081632653</v>
      </c>
      <c r="K3" s="50">
        <f t="shared" si="6"/>
        <v>0.7021276596</v>
      </c>
      <c r="L3" s="6">
        <f>IFERROR(__xludf.DUMMYFUNCTION("IFERROR(
  VLOOKUP(
    A3,
    IMPORTRANGE(
      ""1ZHMy3vVUd_0MrSduXTe1etBb1HNpAlGwQr006ljwMiM"",
      ""GSC最新!A:R""
    ),
    7,
    FALSE
  ),
  0
)
"),6363.0)</f>
        <v>6363</v>
      </c>
      <c r="M3" s="6">
        <f>IFERROR(__xludf.DUMMYFUNCTION("IFERROR(
  VLOOKUP(
    A3,
    IMPORTRANGE(
      ""1ZHMy3vVUd_0MrSduXTe1etBb1HNpAlGwQr006ljwMiM"",
      ""GSC最新!A:R""
    ),
    10,
    FALSE
  ),
  0
)
"),16311.0)</f>
        <v>16311</v>
      </c>
      <c r="N3" s="6">
        <f>IFERROR(__xludf.DUMMYFUNCTION("IFERROR(
  VLOOKUP(
    A3,
    IMPORTRANGE(
      ""1ZHMy3vVUd_0MrSduXTe1etBb1HNpAlGwQr006ljwMiM"",
      ""GSC最新!A:R""
    ),
    13,
    FALSE
  ),
  0
)
"),564.0)</f>
        <v>564</v>
      </c>
      <c r="O3" s="6">
        <f>IFERROR(__xludf.DUMMYFUNCTION("IFERROR(
  VLOOKUP(
    A3,
    IMPORTRANGE(
      ""1ZHMy3vVUd_0MrSduXTe1etBb1HNpAlGwQr006ljwMiM"",
      ""GSC最新!A:R""
    ),
    16,
    FALSE
  ),
  0
)
"),1665.0)</f>
        <v>1665</v>
      </c>
      <c r="P3" s="51">
        <f t="shared" ref="P3:Q3" si="7">IFERROR(L3/N3,"-")</f>
        <v>11.28191489</v>
      </c>
      <c r="Q3" s="51">
        <f t="shared" si="7"/>
        <v>9.796396396</v>
      </c>
      <c r="R3" s="9">
        <f>IFERROR(__xludf.DUMMYFUNCTION("IFERROR(
  VLOOKUP(
    A3,
    IMPORTRANGE(
      ""1ZHMy3vVUd_0MrSduXTe1etBb1HNpAlGwQr006ljwMiM"",
      ""GSC最新!A:R""
    ),
    8,
    FALSE
  ),
  0
)
"),0.013987112997013986)</f>
        <v>0.013987113</v>
      </c>
      <c r="S3" s="9">
        <f>IFERROR(__xludf.DUMMYFUNCTION("IFERROR(
  VLOOKUP(
    A3,
    IMPORTRANGE(
      ""1ZHMy3vVUd_0MrSduXTe1etBb1HNpAlGwQr006ljwMiM"",
      ""GSC最新!A:R""
    ),
    11,
    FALSE
  ),
  0
)
"),0.01618539635828582)</f>
        <v>0.01618539636</v>
      </c>
      <c r="T3" s="9">
        <f>IFERROR(__xludf.DUMMYFUNCTION("IFERROR(
  VLOOKUP(
    A3,
    IMPORTRANGE(
      ""1ZHMy3vVUd_0MrSduXTe1etBb1HNpAlGwQr006ljwMiM"",
      ""GSC最新!A:R""
    ),
    14,
    FALSE
  ),
  0
)
"),0.17375886524822695)</f>
        <v>0.1737588652</v>
      </c>
      <c r="U3" s="9">
        <f>IFERROR(__xludf.DUMMYFUNCTION("IFERROR(
  VLOOKUP(
    A3,
    IMPORTRANGE(
      ""1ZHMy3vVUd_0MrSduXTe1etBb1HNpAlGwQr006ljwMiM"",
      ""GSC最新!A:R""
    ),
    17,
    FALSE
  ),
  0
)
"),0.22582582582582583)</f>
        <v>0.2258258258</v>
      </c>
      <c r="V3" s="9">
        <f t="shared" ref="V3:W3" si="8">IFERROR(R3-T3,"-")</f>
        <v>-0.1597717523</v>
      </c>
      <c r="W3" s="9">
        <f t="shared" si="8"/>
        <v>-0.2096404295</v>
      </c>
      <c r="X3" s="65">
        <f>IFERROR(__xludf.DUMMYFUNCTION("IFERROR(
  VLOOKUP(
    A3,
    IMPORTRANGE(
      ""1ZHMy3vVUd_0MrSduXTe1etBb1HNpAlGwQr006ljwMiM"",
      ""GSC最新!A:R""
    ),
    9,
    FALSE
  ),
  0
)
"),3.137042275656137)</f>
        <v>3.137042276</v>
      </c>
      <c r="Y3" s="65">
        <f>IFERROR(__xludf.DUMMYFUNCTION("IFERROR(
  VLOOKUP(
    A3,
    IMPORTRANGE(
      ""1ZHMy3vVUd_0MrSduXTe1etBb1HNpAlGwQr006ljwMiM"",
      ""GSC最新!A:R""
    ),
    12,
    FALSE
  ),
  0
)
"),3.348599104898535)</f>
        <v>3.348599105</v>
      </c>
      <c r="Z3" s="65">
        <f>IFERROR(__xludf.DUMMYFUNCTION("IFERROR(
  VLOOKUP(
    A3,
    IMPORTRANGE(
      ""1ZHMy3vVUd_0MrSduXTe1etBb1HNpAlGwQr006ljwMiM"",
      ""GSC最新!A:R""
    ),
    15,
    FALSE
  ),
  0
)
"),12.99113475177305)</f>
        <v>12.99113475</v>
      </c>
      <c r="AA3" s="65">
        <f>IFERROR(__xludf.DUMMYFUNCTION("IFERROR(
  VLOOKUP(
    A3,
    IMPORTRANGE(
      ""1ZHMy3vVUd_0MrSduXTe1etBb1HNpAlGwQr006ljwMiM"",
      ""GSC最新!A:R""
    ),
    18,
    FALSE
  ),
  0
)
"),11.804804804804805)</f>
        <v>11.8048048</v>
      </c>
      <c r="AB3" s="65">
        <f t="shared" ref="AB3:AC3" si="9">X3-Z3</f>
        <v>-9.854092476</v>
      </c>
      <c r="AC3" s="65">
        <f t="shared" si="9"/>
        <v>-8.4562057</v>
      </c>
      <c r="AD3" s="53">
        <f>IFERROR(__xludf.DUMMYFUNCTION("IFERROR(
  VLOOKUP(
    A3,
    IMPORTRANGE(
      ""1ZHMy3vVUd_0MrSduXTe1etBb1HNpAlGwQr006ljwMiM"",
      ""GSC最新!A:F""
    ),
    6,
    FALSE
  ),
  0
)
"),46081.0)</f>
        <v>46081</v>
      </c>
      <c r="AE3" s="54">
        <f>IFERROR(__xludf.DUMMYFUNCTION("IFERROR(
  VLOOKUP(
    A3,
    IMPORTRANGE(
      ""1SCYQd7_cobOYqT0r_F0IqD4tE4rYn5y8Eup4PJTH8es"",
      ""Snapshot!A:M""
    ),
    5,
    FALSE
  ),
  ""-""
)
"),8.0)</f>
        <v>8</v>
      </c>
      <c r="AF3" s="54">
        <f>IFERROR(__xludf.DUMMYFUNCTION("IFERROR(
  VLOOKUP(
    A3,
    IMPORTRANGE(
      ""1SCYQd7_cobOYqT0r_F0IqD4tE4rYn5y8Eup4PJTH8es"",
      ""Snapshot!A:M""
    ),
    6,
    FALSE
  ),
  0
)
"),7.0)</f>
        <v>7</v>
      </c>
      <c r="AG3" s="54">
        <f>IFERROR(__xludf.DUMMYFUNCTION("IFERROR(
  VLOOKUP(
    A3,
    IMPORTRANGE(
      ""1SCYQd7_cobOYqT0r_F0IqD4tE4rYn5y8Eup4PJTH8es"",
      ""Snapshot!A:M""
    ),
    7,
    FALSE
  ),
  0
)
"),4762.0)</f>
        <v>4762</v>
      </c>
      <c r="AH3" s="54">
        <f>IFERROR(__xludf.DUMMYFUNCTION("IFERROR(
  VLOOKUP(
    A3,
    IMPORTRANGE(
      ""1SCYQd7_cobOYqT0r_F0IqD4tE4rYn5y8Eup4PJTH8es"",
      ""Snapshot!A:M""
    ),
    8,
    FALSE
  ),
  0
)
"),31.0)</f>
        <v>31</v>
      </c>
      <c r="AI3" s="54">
        <f>IFERROR(__xludf.DUMMYFUNCTION("IFERROR(
  VLOOKUP(
    A3,
    IMPORTRANGE(
      ""1SCYQd7_cobOYqT0r_F0IqD4tE4rYn5y8Eup4PJTH8es"",
      ""Snapshot!A:M""
    ),
    9,
    FALSE
  ),
  0
)
"),0.0)</f>
        <v>0</v>
      </c>
      <c r="AJ3" s="54">
        <f>IFERROR(__xludf.DUMMYFUNCTION("IFERROR(
  VLOOKUP(
    A3,
    IMPORTRANGE(
      ""1SCYQd7_cobOYqT0r_F0IqD4tE4rYn5y8Eup4PJTH8es"",
      ""Snapshot!A:M""
    ),
    13,
    FALSE
  ),
  0
)
"),2.0)</f>
        <v>2</v>
      </c>
      <c r="AK3" s="49">
        <f t="shared" ref="AK3:AL3" si="10">LEN(C3)</f>
        <v>30</v>
      </c>
      <c r="AL3" s="49">
        <f t="shared" si="10"/>
        <v>74</v>
      </c>
    </row>
    <row r="4">
      <c r="A4" s="3" t="s">
        <v>718</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"),"幾何 証明｜条件の拾い方・理由の書き方・図の描き直しまで解説")</f>
        <v>幾何 証明｜条件の拾い方・理由の書き方・図の描き直しまで解説</v>
      </c>
      <c r="D4" s="1" t="str">
        <f>IFERROR(__xludf.DUMMYFUNCTION("IFERROR(
  VLOOKUP(
    A4,
    IMPORTRANGE(
      ""1ZygntHC1J6IxzKbTidmOyf5nUyW4GCLurHCjexrLm_o        "",
      ""HTMLキャッシュ!A:F""
    ),
    6,
    FALSE
  ),
  0
)
"),"幾何 証明が苦手な中1向け。示すこと、条件の拾い方、理由の書き方を整理。合同・平行線と角の使い分け、図の描き直し方まで解説。")</f>
        <v>幾何 証明が苦手な中1向け。示すこと、条件の拾い方、理由の書き方を整理。合同・平行線と角の使い分け、図の描き直し方まで解説。</v>
      </c>
      <c r="E4" s="32">
        <f>IFERROR(__xludf.DUMMYFUNCTION("IFERROR(
  VLOOKUP(
    A4,
    IMPORTRANGE(
      ""1ZygntHC1J6IxzKbTidmOyf5nUyW4GCLurHCjexrLm_o        "",
      ""HTMLキャッシュ!A:F""
    ),
    3,
    FALSE
  ),
  0
)
"),46078.85648148148)</f>
        <v>46078.85648</v>
      </c>
      <c r="F4" s="49">
        <f>IFERROR(__xludf.DUMMYFUNCTION("IFERROR(
  VLOOKUP(
    A4,
    IMPORTRANGE(
      ""1ZHMy3vVUd_0MrSduXTe1etBb1HNpAlGwQr006ljwMiM"",
      ""GSC最新!A:F""
    ),
    2,
    FALSE
  ),
  0
)
"),39.0)</f>
        <v>39</v>
      </c>
      <c r="G4" s="49">
        <f>IFERROR(__xludf.DUMMYFUNCTION("IFERROR(
  VLOOKUP(
    A4,
    IMPORTRANGE(
      ""1ZHMy3vVUd_0MrSduXTe1etBb1HNpAlGwQr006ljwMiM"",
      ""GSC最新!A:F""
    ),
    3,
    FALSE
  ),
  0
)
"),138.0)</f>
        <v>138</v>
      </c>
      <c r="H4" s="49">
        <f>IFERROR(__xludf.DUMMYFUNCTION("IFERROR(
  VLOOKUP(
    A4,
    IMPORTRANGE(
      ""1ZHMy3vVUd_0MrSduXTe1etBb1HNpAlGwQr006ljwMiM"",
      ""GSC最新!A:F""
    ),
    4,
    FALSE
  ),
  0
)
"),73.0)</f>
        <v>73</v>
      </c>
      <c r="I4" s="49">
        <f>IFERROR(__xludf.DUMMYFUNCTION("IFERROR(
  VLOOKUP(
    A4,
    IMPORTRANGE(
      ""1ZHMy3vVUd_0MrSduXTe1etBb1HNpAlGwQr006ljwMiM"",
      ""GSC最新!A:F""
    ),
    5,
    FALSE
  ),
  0
)
"),246.0)</f>
        <v>246</v>
      </c>
      <c r="J4" s="50">
        <f t="shared" ref="J4:K4" si="11">IFERROR(F4/H4,"-")</f>
        <v>0.5342465753</v>
      </c>
      <c r="K4" s="50">
        <f t="shared" si="11"/>
        <v>0.5609756098</v>
      </c>
      <c r="L4" s="6">
        <f>IFERROR(__xludf.DUMMYFUNCTION("IFERROR(
  VLOOKUP(
    A4,
    IMPORTRANGE(
      ""1ZHMy3vVUd_0MrSduXTe1etBb1HNpAlGwQr006ljwMiM"",
      ""GSC最新!A:R""
    ),
    7,
    FALSE
  ),
  0
)
"),1178.0)</f>
        <v>1178</v>
      </c>
      <c r="M4" s="6">
        <f>IFERROR(__xludf.DUMMYFUNCTION("IFERROR(
  VLOOKUP(
    A4,
    IMPORTRANGE(
      ""1ZHMy3vVUd_0MrSduXTe1etBb1HNpAlGwQr006ljwMiM"",
      ""GSC最新!A:R""
    ),
    10,
    FALSE
  ),
  0
)
"),2961.0)</f>
        <v>2961</v>
      </c>
      <c r="N4" s="6">
        <f>IFERROR(__xludf.DUMMYFUNCTION("IFERROR(
  VLOOKUP(
    A4,
    IMPORTRANGE(
      ""1ZHMy3vVUd_0MrSduXTe1etBb1HNpAlGwQr006ljwMiM"",
      ""GSC最新!A:R""
    ),
    13,
    FALSE
  ),
  0
)
"),498.0)</f>
        <v>498</v>
      </c>
      <c r="O4" s="6">
        <f>IFERROR(__xludf.DUMMYFUNCTION("IFERROR(
  VLOOKUP(
    A4,
    IMPORTRANGE(
      ""1ZHMy3vVUd_0MrSduXTe1etBb1HNpAlGwQr006ljwMiM"",
      ""GSC最新!A:R""
    ),
    16,
    FALSE
  ),
  0
)
"),1682.0)</f>
        <v>1682</v>
      </c>
      <c r="P4" s="51">
        <f t="shared" ref="P4:Q4" si="12">IFERROR(L4/N4,"-")</f>
        <v>2.365461847</v>
      </c>
      <c r="Q4" s="51">
        <f t="shared" si="12"/>
        <v>1.760404281</v>
      </c>
      <c r="R4" s="9">
        <f>IFERROR(__xludf.DUMMYFUNCTION("IFERROR(
  VLOOKUP(
    A4,
    IMPORTRANGE(
      ""1ZHMy3vVUd_0MrSduXTe1etBb1HNpAlGwQr006ljwMiM"",
      ""GSC最新!A:R""
    ),
    8,
    FALSE
  ),
  0
)
"),0.03310696095076401)</f>
        <v>0.03310696095</v>
      </c>
      <c r="S4" s="9">
        <f>IFERROR(__xludf.DUMMYFUNCTION("IFERROR(
  VLOOKUP(
    A4,
    IMPORTRANGE(
      ""1ZHMy3vVUd_0MrSduXTe1etBb1HNpAlGwQr006ljwMiM"",
      ""GSC最新!A:R""
    ),
    11,
    FALSE
  ),
  0
)
"),0.04660587639311044)</f>
        <v>0.04660587639</v>
      </c>
      <c r="T4" s="9">
        <f>IFERROR(__xludf.DUMMYFUNCTION("IFERROR(
  VLOOKUP(
    A4,
    IMPORTRANGE(
      ""1ZHMy3vVUd_0MrSduXTe1etBb1HNpAlGwQr006ljwMiM"",
      ""GSC最新!A:R""
    ),
    14,
    FALSE
  ),
  0
)
"),0.1465863453815261)</f>
        <v>0.1465863454</v>
      </c>
      <c r="U4" s="9">
        <f>IFERROR(__xludf.DUMMYFUNCTION("IFERROR(
  VLOOKUP(
    A4,
    IMPORTRANGE(
      ""1ZHMy3vVUd_0MrSduXTe1etBb1HNpAlGwQr006ljwMiM"",
      ""GSC最新!A:R""
    ),
    17,
    FALSE
  ),
  0
)
"),0.14625445897740785)</f>
        <v>0.146254459</v>
      </c>
      <c r="V4" s="9">
        <f t="shared" ref="V4:W4" si="13">IFERROR(R4-T4,"-")</f>
        <v>-0.1134793844</v>
      </c>
      <c r="W4" s="9">
        <f t="shared" si="13"/>
        <v>-0.09964858258</v>
      </c>
      <c r="X4" s="65">
        <f>IFERROR(__xludf.DUMMYFUNCTION("IFERROR(
  VLOOKUP(
    A4,
    IMPORTRANGE(
      ""1ZHMy3vVUd_0MrSduXTe1etBb1HNpAlGwQr006ljwMiM"",
      ""GSC最新!A:R""
    ),
    9,
    FALSE
  ),
  0
)
"),4.764006791171477)</f>
        <v>4.764006791</v>
      </c>
      <c r="Y4" s="65">
        <f>IFERROR(__xludf.DUMMYFUNCTION("IFERROR(
  VLOOKUP(
    A4,
    IMPORTRANGE(
      ""1ZHMy3vVUd_0MrSduXTe1etBb1HNpAlGwQr006ljwMiM"",
      ""GSC最新!A:R""
    ),
    12,
    FALSE
  ),
  0
)
"),5.201958797703479)</f>
        <v>5.201958798</v>
      </c>
      <c r="Z4" s="65">
        <f>IFERROR(__xludf.DUMMYFUNCTION("IFERROR(
  VLOOKUP(
    A4,
    IMPORTRANGE(
      ""1ZHMy3vVUd_0MrSduXTe1etBb1HNpAlGwQr006ljwMiM"",
      ""GSC最新!A:R""
    ),
    15,
    FALSE
  ),
  0
)
"),6.807228915662651)</f>
        <v>6.807228916</v>
      </c>
      <c r="AA4" s="65">
        <f>IFERROR(__xludf.DUMMYFUNCTION("IFERROR(
  VLOOKUP(
    A4,
    IMPORTRANGE(
      ""1ZHMy3vVUd_0MrSduXTe1etBb1HNpAlGwQr006ljwMiM"",
      ""GSC最新!A:R""
    ),
    18,
    FALSE
  ),
  0
)
"),6.275267538644471)</f>
        <v>6.275267539</v>
      </c>
      <c r="AB4" s="65">
        <f t="shared" ref="AB4:AC4" si="14">X4-Z4</f>
        <v>-2.043222124</v>
      </c>
      <c r="AC4" s="65">
        <f t="shared" si="14"/>
        <v>-1.073308741</v>
      </c>
      <c r="AD4" s="53">
        <f>IFERROR(__xludf.DUMMYFUNCTION("IFERROR(
  VLOOKUP(
    A4,
    IMPORTRANGE(
      ""1ZHMy3vVUd_0MrSduXTe1etBb1HNpAlGwQr006ljwMiM"",
      ""GSC最新!A:F""
    ),
    6,
    FALSE
  ),
  0
)
"),46081.0)</f>
        <v>46081</v>
      </c>
      <c r="AE4" s="54">
        <f>IFERROR(__xludf.DUMMYFUNCTION("IFERROR(
  VLOOKUP(
    A4,
    IMPORTRANGE(
      ""1SCYQd7_cobOYqT0r_F0IqD4tE4rYn5y8Eup4PJTH8es"",
      ""Snapshot!A:M""
    ),
    5,
    FALSE
  ),
  ""-""
)
"),5.0)</f>
        <v>5</v>
      </c>
      <c r="AF4" s="54">
        <f>IFERROR(__xludf.DUMMYFUNCTION("IFERROR(
  VLOOKUP(
    A4,
    IMPORTRANGE(
      ""1SCYQd7_cobOYqT0r_F0IqD4tE4rYn5y8Eup4PJTH8es"",
      ""Snapshot!A:M""
    ),
    6,
    FALSE
  ),
  0
)
"),5.0)</f>
        <v>5</v>
      </c>
      <c r="AG4" s="54">
        <f>IFERROR(__xludf.DUMMYFUNCTION("IFERROR(
  VLOOKUP(
    A4,
    IMPORTRANGE(
      ""1SCYQd7_cobOYqT0r_F0IqD4tE4rYn5y8Eup4PJTH8es"",
      ""Snapshot!A:M""
    ),
    7,
    FALSE
  ),
  0
)
"),4008.0)</f>
        <v>4008</v>
      </c>
      <c r="AH4" s="54">
        <f>IFERROR(__xludf.DUMMYFUNCTION("IFERROR(
  VLOOKUP(
    A4,
    IMPORTRANGE(
      ""1SCYQd7_cobOYqT0r_F0IqD4tE4rYn5y8Eup4PJTH8es"",
      ""Snapshot!A:M""
    ),
    8,
    FALSE
  ),
  0
)
"),12.0)</f>
        <v>12</v>
      </c>
      <c r="AI4" s="54">
        <f>IFERROR(__xludf.DUMMYFUNCTION("IFERROR(
  VLOOKUP(
    A4,
    IMPORTRANGE(
      ""1SCYQd7_cobOYqT0r_F0IqD4tE4rYn5y8Eup4PJTH8es"",
      ""Snapshot!A:M""
    ),
    9,
    FALSE
  ),
  0
)
"),4.0)</f>
        <v>4</v>
      </c>
      <c r="AJ4" s="54">
        <f>IFERROR(__xludf.DUMMYFUNCTION("IFERROR(
  VLOOKUP(
    A4,
    IMPORTRANGE(
      ""1SCYQd7_cobOYqT0r_F0IqD4tE4rYn5y8Eup4PJTH8es"",
      ""Snapshot!A:M""
    ),
    13,
    FALSE
  ),
  0
)
"),2.0)</f>
        <v>2</v>
      </c>
      <c r="AK4" s="49">
        <f t="shared" ref="AK4:AL4" si="15">LEN(C4)</f>
        <v>30</v>
      </c>
      <c r="AL4" s="49">
        <f t="shared" si="15"/>
        <v>62</v>
      </c>
    </row>
    <row r="5">
      <c r="A5" s="3" t="s">
        <v>719</v>
      </c>
      <c r="B5" s="1" t="str">
        <f>IFERROR(__xludf.DUMMYFUNCTION("IFERROR(
  VLOOKUP(
    A5,
    IMPORTRANGE(
      ""1ZygntHC1J6IxzKbTidmOyf5nUyW4GCLurHCjexrLm_o"",
      ""HTMLキャッシュ!A:F""
    ),
    2,
    FALSE
  ),
  0
)
"),"SC")</f>
        <v>SC</v>
      </c>
      <c r="C5" s="1" t="str">
        <f>IFERROR(__xludf.DUMMYFUNCTION("IFERROR(
  VLOOKUP(
    A5,
    IMPORTRANGE(
      ""1ZygntHC1J6IxzKbTidmOyf5nUyW4GCLurHCjexrLm_o"",
      ""HTMLキャッシュ!A:F""
    ),
    5,
    FALSE
  ),
  0
)
"),"1日で暗記する方法｜暗記できる量の目安・長文と文章の覚え方")</f>
        <v>1日で暗記する方法｜暗記できる量の目安・長文と文章の覚え方</v>
      </c>
      <c r="D5" s="1" t="str">
        <f>IFERROR(__xludf.DUMMYFUNCTION("IFERROR(
  VLOOKUP(
    A5,
    IMPORTRANGE(
      ""1ZygntHC1J6IxzKbTidmOyf5nUyW4GCLurHCjexrLm_o        "",
      ""HTMLキャッシュ!A:F""
    ),
    6,
    FALSE
  ),
  0
)
"),"1日で暗記する方法を前日向けに解説。暗記できる量の目安、範囲の絞り方、3周の進め方、長文・文章の覚え方、寝る前と翌朝の見直しを紹介。")</f>
        <v>1日で暗記する方法を前日向けに解説。暗記できる量の目安、範囲の絞り方、3周の進め方、長文・文章の覚え方、寝る前と翌朝の見直しを紹介。</v>
      </c>
      <c r="E5" s="32">
        <f>IFERROR(__xludf.DUMMYFUNCTION("IFERROR(
  VLOOKUP(
    A5,
    IMPORTRANGE(
      ""1ZygntHC1J6IxzKbTidmOyf5nUyW4GCLurHCjexrLm_o        "",
      ""HTMLキャッシュ!A:F""
    ),
    3,
    FALSE
  ),
  0
)
"),46078.853530092594)</f>
        <v>46078.85353</v>
      </c>
      <c r="F5" s="49">
        <f>IFERROR(__xludf.DUMMYFUNCTION("IFERROR(
  VLOOKUP(
    A5,
    IMPORTRANGE(
      ""1ZHMy3vVUd_0MrSduXTe1etBb1HNpAlGwQr006ljwMiM"",
      ""GSC最新!A:F""
    ),
    2,
    FALSE
  ),
  0
)
"),37.0)</f>
        <v>37</v>
      </c>
      <c r="G5" s="49">
        <f>IFERROR(__xludf.DUMMYFUNCTION("IFERROR(
  VLOOKUP(
    A5,
    IMPORTRANGE(
      ""1ZHMy3vVUd_0MrSduXTe1etBb1HNpAlGwQr006ljwMiM"",
      ""GSC最新!A:F""
    ),
    3,
    FALSE
  ),
  0
)
"),86.0)</f>
        <v>86</v>
      </c>
      <c r="H5" s="49">
        <f>IFERROR(__xludf.DUMMYFUNCTION("IFERROR(
  VLOOKUP(
    A5,
    IMPORTRANGE(
      ""1ZHMy3vVUd_0MrSduXTe1etBb1HNpAlGwQr006ljwMiM"",
      ""GSC最新!A:F""
    ),
    4,
    FALSE
  ),
  0
)
"),32.0)</f>
        <v>32</v>
      </c>
      <c r="I5" s="49">
        <f>IFERROR(__xludf.DUMMYFUNCTION("IFERROR(
  VLOOKUP(
    A5,
    IMPORTRANGE(
      ""1ZHMy3vVUd_0MrSduXTe1etBb1HNpAlGwQr006ljwMiM"",
      ""GSC最新!A:F""
    ),
    5,
    FALSE
  ),
  0
)
"),106.0)</f>
        <v>106</v>
      </c>
      <c r="J5" s="50">
        <f t="shared" ref="J5:K5" si="16">IFERROR(F5/H5,"-")</f>
        <v>1.15625</v>
      </c>
      <c r="K5" s="50">
        <f t="shared" si="16"/>
        <v>0.8113207547</v>
      </c>
      <c r="L5" s="6">
        <f>IFERROR(__xludf.DUMMYFUNCTION("IFERROR(
  VLOOKUP(
    A5,
    IMPORTRANGE(
      ""1ZHMy3vVUd_0MrSduXTe1etBb1HNpAlGwQr006ljwMiM"",
      ""GSC最新!A:R""
    ),
    7,
    FALSE
  ),
  0
)
"),5018.0)</f>
        <v>5018</v>
      </c>
      <c r="M5" s="6">
        <f>IFERROR(__xludf.DUMMYFUNCTION("IFERROR(
  VLOOKUP(
    A5,
    IMPORTRANGE(
      ""1ZHMy3vVUd_0MrSduXTe1etBb1HNpAlGwQr006ljwMiM"",
      ""GSC最新!A:R""
    ),
    10,
    FALSE
  ),
  0
)
"),12415.0)</f>
        <v>12415</v>
      </c>
      <c r="N5" s="6">
        <f>IFERROR(__xludf.DUMMYFUNCTION("IFERROR(
  VLOOKUP(
    A5,
    IMPORTRANGE(
      ""1ZHMy3vVUd_0MrSduXTe1etBb1HNpAlGwQr006ljwMiM"",
      ""GSC最新!A:R""
    ),
    13,
    FALSE
  ),
  0
)
"),2248.0)</f>
        <v>2248</v>
      </c>
      <c r="O5" s="6">
        <f>IFERROR(__xludf.DUMMYFUNCTION("IFERROR(
  VLOOKUP(
    A5,
    IMPORTRANGE(
      ""1ZHMy3vVUd_0MrSduXTe1etBb1HNpAlGwQr006ljwMiM"",
      ""GSC最新!A:R""
    ),
    16,
    FALSE
  ),
  0
)
"),7765.0)</f>
        <v>7765</v>
      </c>
      <c r="P5" s="51">
        <f t="shared" ref="P5:Q5" si="17">IFERROR(L5/N5,"-")</f>
        <v>2.232206406</v>
      </c>
      <c r="Q5" s="51">
        <f t="shared" si="17"/>
        <v>1.598840953</v>
      </c>
      <c r="R5" s="9">
        <f>IFERROR(__xludf.DUMMYFUNCTION("IFERROR(
  VLOOKUP(
    A5,
    IMPORTRANGE(
      ""1ZHMy3vVUd_0MrSduXTe1etBb1HNpAlGwQr006ljwMiM"",
      ""GSC最新!A:R""
    ),
    8,
    FALSE
  ),
  0
)
"),0.0073734555599840575)</f>
        <v>0.00737345556</v>
      </c>
      <c r="S5" s="9">
        <f>IFERROR(__xludf.DUMMYFUNCTION("IFERROR(
  VLOOKUP(
    A5,
    IMPORTRANGE(
      ""1ZHMy3vVUd_0MrSduXTe1etBb1HNpAlGwQr006ljwMiM"",
      ""GSC最新!A:R""
    ),
    11,
    FALSE
  ),
  0
)
"),0.006927104309303263)</f>
        <v>0.006927104309</v>
      </c>
      <c r="T5" s="9">
        <f>IFERROR(__xludf.DUMMYFUNCTION("IFERROR(
  VLOOKUP(
    A5,
    IMPORTRANGE(
      ""1ZHMy3vVUd_0MrSduXTe1etBb1HNpAlGwQr006ljwMiM"",
      ""GSC最新!A:R""
    ),
    14,
    FALSE
  ),
  0
)
"),0.014234875444839857)</f>
        <v>0.01423487544</v>
      </c>
      <c r="U5" s="9">
        <f>IFERROR(__xludf.DUMMYFUNCTION("IFERROR(
  VLOOKUP(
    A5,
    IMPORTRANGE(
      ""1ZHMy3vVUd_0MrSduXTe1etBb1HNpAlGwQr006ljwMiM"",
      ""GSC最新!A:R""
    ),
    17,
    FALSE
  ),
  0
)
"),0.013650998068254991)</f>
        <v>0.01365099807</v>
      </c>
      <c r="V5" s="9">
        <f t="shared" ref="V5:W5" si="18">IFERROR(R5-T5,"-")</f>
        <v>-0.006861419885</v>
      </c>
      <c r="W5" s="9">
        <f t="shared" si="18"/>
        <v>-0.006723893759</v>
      </c>
      <c r="X5" s="65">
        <f>IFERROR(__xludf.DUMMYFUNCTION("IFERROR(
  VLOOKUP(
    A5,
    IMPORTRANGE(
      ""1ZHMy3vVUd_0MrSduXTe1etBb1HNpAlGwQr006ljwMiM"",
      ""GSC最新!A:R""
    ),
    9,
    FALSE
  ),
  0
)
"),3.07194101235552)</f>
        <v>3.071941012</v>
      </c>
      <c r="Y5" s="65">
        <f>IFERROR(__xludf.DUMMYFUNCTION("IFERROR(
  VLOOKUP(
    A5,
    IMPORTRANGE(
      ""1ZHMy3vVUd_0MrSduXTe1etBb1HNpAlGwQr006ljwMiM"",
      ""GSC最新!A:R""
    ),
    12,
    FALSE
  ),
  0
)
"),2.903906564639549)</f>
        <v>2.903906565</v>
      </c>
      <c r="Z5" s="65">
        <f>IFERROR(__xludf.DUMMYFUNCTION("IFERROR(
  VLOOKUP(
    A5,
    IMPORTRANGE(
      ""1ZHMy3vVUd_0MrSduXTe1etBb1HNpAlGwQr006ljwMiM"",
      ""GSC最新!A:R""
    ),
    15,
    FALSE
  ),
  0
)
"),8.17170818505338)</f>
        <v>8.171708185</v>
      </c>
      <c r="AA5" s="65">
        <f>IFERROR(__xludf.DUMMYFUNCTION("IFERROR(
  VLOOKUP(
    A5,
    IMPORTRANGE(
      ""1ZHMy3vVUd_0MrSduXTe1etBb1HNpAlGwQr006ljwMiM"",
      ""GSC最新!A:R""
    ),
    18,
    FALSE
  ),
  0
)
"),9.405280103026401)</f>
        <v>9.405280103</v>
      </c>
      <c r="AB5" s="65">
        <f t="shared" ref="AB5:AC5" si="19">X5-Z5</f>
        <v>-5.099767173</v>
      </c>
      <c r="AC5" s="65">
        <f t="shared" si="19"/>
        <v>-6.501373538</v>
      </c>
      <c r="AD5" s="53">
        <f>IFERROR(__xludf.DUMMYFUNCTION("IFERROR(
  VLOOKUP(
    A5,
    IMPORTRANGE(
      ""1ZHMy3vVUd_0MrSduXTe1etBb1HNpAlGwQr006ljwMiM"",
      ""GSC最新!A:F""
    ),
    6,
    FALSE
  ),
  0
)
"),46081.0)</f>
        <v>46081</v>
      </c>
      <c r="AE5" s="54">
        <f>IFERROR(__xludf.DUMMYFUNCTION("IFERROR(
  VLOOKUP(
    A5,
    IMPORTRANGE(
      ""1SCYQd7_cobOYqT0r_F0IqD4tE4rYn5y8Eup4PJTH8es"",
      ""Snapshot!A:M""
    ),
    5,
    FALSE
  ),
  ""-""
)
"),4.0)</f>
        <v>4</v>
      </c>
      <c r="AF5" s="54">
        <f>IFERROR(__xludf.DUMMYFUNCTION("IFERROR(
  VLOOKUP(
    A5,
    IMPORTRANGE(
      ""1SCYQd7_cobOYqT0r_F0IqD4tE4rYn5y8Eup4PJTH8es"",
      ""Snapshot!A:M""
    ),
    6,
    FALSE
  ),
  0
)
"),9.0)</f>
        <v>9</v>
      </c>
      <c r="AG5" s="54">
        <f>IFERROR(__xludf.DUMMYFUNCTION("IFERROR(
  VLOOKUP(
    A5,
    IMPORTRANGE(
      ""1SCYQd7_cobOYqT0r_F0IqD4tE4rYn5y8Eup4PJTH8es"",
      ""Snapshot!A:M""
    ),
    7,
    FALSE
  ),
  0
)
"),3988.0)</f>
        <v>3988</v>
      </c>
      <c r="AH5" s="54">
        <f>IFERROR(__xludf.DUMMYFUNCTION("IFERROR(
  VLOOKUP(
    A5,
    IMPORTRANGE(
      ""1SCYQd7_cobOYqT0r_F0IqD4tE4rYn5y8Eup4PJTH8es"",
      ""Snapshot!A:M""
    ),
    8,
    FALSE
  ),
  0
)
"),31.0)</f>
        <v>31</v>
      </c>
      <c r="AI5" s="54">
        <f>IFERROR(__xludf.DUMMYFUNCTION("IFERROR(
  VLOOKUP(
    A5,
    IMPORTRANGE(
      ""1SCYQd7_cobOYqT0r_F0IqD4tE4rYn5y8Eup4PJTH8es"",
      ""Snapshot!A:M""
    ),
    9,
    FALSE
  ),
  0
)
"),0.0)</f>
        <v>0</v>
      </c>
      <c r="AJ5" s="54">
        <f>IFERROR(__xludf.DUMMYFUNCTION("IFERROR(
  VLOOKUP(
    A5,
    IMPORTRANGE(
      ""1SCYQd7_cobOYqT0r_F0IqD4tE4rYn5y8Eup4PJTH8es"",
      ""Snapshot!A:M""
    ),
    13,
    FALSE
  ),
  0
)
"),2.0)</f>
        <v>2</v>
      </c>
      <c r="AK5" s="49">
        <f t="shared" ref="AK5:AL5" si="20">LEN(C5)</f>
        <v>29</v>
      </c>
      <c r="AL5" s="49">
        <f t="shared" si="20"/>
        <v>66</v>
      </c>
    </row>
    <row r="6">
      <c r="A6" s="3" t="s">
        <v>720</v>
      </c>
      <c r="B6" s="1" t="str">
        <f>IFERROR(__xludf.DUMMYFUNCTION("IFERROR(
  VLOOKUP(
    A6,
    IMPORTRANGE(
      ""1ZygntHC1J6IxzKbTidmOyf5nUyW4GCLurHCjexrLm_o"",
      ""HTMLキャッシュ!A:F""
    ),
    2,
    FALSE
  ),
  0
)
"),"SC")</f>
        <v>SC</v>
      </c>
      <c r="C6" s="1" t="str">
        <f>IFERROR(__xludf.DUMMYFUNCTION("IFERROR(
  VLOOKUP(
    A6,
    IMPORTRANGE(
      ""1ZygntHC1J6IxzKbTidmOyf5nUyW4GCLurHCjexrLm_o"",
      ""HTMLキャッシュ!A:F""
    ),
    5,
    FALSE
  ),
  0
)
"),"確実に暗記する方法｜30分で暗記する方法・文章を暗記する方法")</f>
        <v>確実に暗記する方法｜30分で暗記する方法・文章を暗記する方法</v>
      </c>
      <c r="D6" s="1" t="str">
        <f>IFERROR(__xludf.DUMMYFUNCTION("IFERROR(
  VLOOKUP(
    A6,
    IMPORTRANGE(
      ""1ZygntHC1J6IxzKbTidmOyf5nUyW4GCLurHCjexrLm_o        "",
      ""HTMLキャッシュ!A:F""
    ),
    6,
    FALSE
  ),
  0
)
"),"確実に暗記する方法を知りたい中高生向け。30分で暗記する方法を、範囲を絞る・音読反復・見ないで確認・翌朝点検で解説。英単語・社会用語・文章暗記に使えます。")</f>
        <v>確実に暗記する方法を知りたい中高生向け。30分で暗記する方法を、範囲を絞る・音読反復・見ないで確認・翌朝点検で解説。英単語・社会用語・文章暗記に使えます。</v>
      </c>
      <c r="E6" s="32">
        <f>IFERROR(__xludf.DUMMYFUNCTION("IFERROR(
  VLOOKUP(
    A6,
    IMPORTRANGE(
      ""1ZygntHC1J6IxzKbTidmOyf5nUyW4GCLurHCjexrLm_o        "",
      ""HTMLキャッシュ!A:F""
    ),
    3,
    FALSE
  ),
  0
)
"),46078.85387731482)</f>
        <v>46078.85388</v>
      </c>
      <c r="F6" s="49">
        <f>IFERROR(__xludf.DUMMYFUNCTION("IFERROR(
  VLOOKUP(
    A6,
    IMPORTRANGE(
      ""1ZHMy3vVUd_0MrSduXTe1etBb1HNpAlGwQr006ljwMiM"",
      ""GSC最新!A:F""
    ),
    2,
    FALSE
  ),
  0
)
"),31.0)</f>
        <v>31</v>
      </c>
      <c r="G6" s="49">
        <f>IFERROR(__xludf.DUMMYFUNCTION("IFERROR(
  VLOOKUP(
    A6,
    IMPORTRANGE(
      ""1ZHMy3vVUd_0MrSduXTe1etBb1HNpAlGwQr006ljwMiM"",
      ""GSC最新!A:F""
    ),
    3,
    FALSE
  ),
  0
)
"),87.0)</f>
        <v>87</v>
      </c>
      <c r="H6" s="49">
        <f>IFERROR(__xludf.DUMMYFUNCTION("IFERROR(
  VLOOKUP(
    A6,
    IMPORTRANGE(
      ""1ZHMy3vVUd_0MrSduXTe1etBb1HNpAlGwQr006ljwMiM"",
      ""GSC最新!A:F""
    ),
    4,
    FALSE
  ),
  0
)
"),143.0)</f>
        <v>143</v>
      </c>
      <c r="I6" s="49">
        <f>IFERROR(__xludf.DUMMYFUNCTION("IFERROR(
  VLOOKUP(
    A6,
    IMPORTRANGE(
      ""1ZHMy3vVUd_0MrSduXTe1etBb1HNpAlGwQr006ljwMiM"",
      ""GSC最新!A:F""
    ),
    5,
    FALSE
  ),
  0
)
"),352.0)</f>
        <v>352</v>
      </c>
      <c r="J6" s="50">
        <f t="shared" ref="J6:K6" si="21">IFERROR(F6/H6,"-")</f>
        <v>0.2167832168</v>
      </c>
      <c r="K6" s="50">
        <f t="shared" si="21"/>
        <v>0.2471590909</v>
      </c>
      <c r="L6" s="6">
        <f>IFERROR(__xludf.DUMMYFUNCTION("IFERROR(
  VLOOKUP(
    A6,
    IMPORTRANGE(
      ""1ZHMy3vVUd_0MrSduXTe1etBb1HNpAlGwQr006ljwMiM"",
      ""GSC最新!A:R""
    ),
    7,
    FALSE
  ),
  0
)
"),6909.0)</f>
        <v>6909</v>
      </c>
      <c r="M6" s="6">
        <f>IFERROR(__xludf.DUMMYFUNCTION("IFERROR(
  VLOOKUP(
    A6,
    IMPORTRANGE(
      ""1ZHMy3vVUd_0MrSduXTe1etBb1HNpAlGwQr006ljwMiM"",
      ""GSC最新!A:R""
    ),
    10,
    FALSE
  ),
  0
)
"),13626.0)</f>
        <v>13626</v>
      </c>
      <c r="N6" s="6">
        <f>IFERROR(__xludf.DUMMYFUNCTION("IFERROR(
  VLOOKUP(
    A6,
    IMPORTRANGE(
      ""1ZHMy3vVUd_0MrSduXTe1etBb1HNpAlGwQr006ljwMiM"",
      ""GSC最新!A:R""
    ),
    13,
    FALSE
  ),
  0
)
"),1817.0)</f>
        <v>1817</v>
      </c>
      <c r="O6" s="6">
        <f>IFERROR(__xludf.DUMMYFUNCTION("IFERROR(
  VLOOKUP(
    A6,
    IMPORTRANGE(
      ""1ZHMy3vVUd_0MrSduXTe1etBb1HNpAlGwQr006ljwMiM"",
      ""GSC最新!A:R""
    ),
    16,
    FALSE
  ),
  0
)
"),4993.0)</f>
        <v>4993</v>
      </c>
      <c r="P6" s="51">
        <f t="shared" ref="P6:Q6" si="22">IFERROR(L6/N6,"-")</f>
        <v>3.802421574</v>
      </c>
      <c r="Q6" s="51">
        <f t="shared" si="22"/>
        <v>2.729020629</v>
      </c>
      <c r="R6" s="9">
        <f>IFERROR(__xludf.DUMMYFUNCTION("IFERROR(
  VLOOKUP(
    A6,
    IMPORTRANGE(
      ""1ZHMy3vVUd_0MrSduXTe1etBb1HNpAlGwQr006ljwMiM"",
      ""GSC最新!A:R""
    ),
    8,
    FALSE
  ),
  0
)
"),0.004486901143436098)</f>
        <v>0.004486901143</v>
      </c>
      <c r="S6" s="9">
        <f>IFERROR(__xludf.DUMMYFUNCTION("IFERROR(
  VLOOKUP(
    A6,
    IMPORTRANGE(
      ""1ZHMy3vVUd_0MrSduXTe1etBb1HNpAlGwQr006ljwMiM"",
      ""GSC最新!A:R""
    ),
    11,
    FALSE
  ),
  0
)
"),0.006384852487890797)</f>
        <v>0.006384852488</v>
      </c>
      <c r="T6" s="9">
        <f>IFERROR(__xludf.DUMMYFUNCTION("IFERROR(
  VLOOKUP(
    A6,
    IMPORTRANGE(
      ""1ZHMy3vVUd_0MrSduXTe1etBb1HNpAlGwQr006ljwMiM"",
      ""GSC最新!A:R""
    ),
    14,
    FALSE
  ),
  0
)
"),0.0787011557512383)</f>
        <v>0.07870115575</v>
      </c>
      <c r="U6" s="9">
        <f>IFERROR(__xludf.DUMMYFUNCTION("IFERROR(
  VLOOKUP(
    A6,
    IMPORTRANGE(
      ""1ZHMy3vVUd_0MrSduXTe1etBb1HNpAlGwQr006ljwMiM"",
      ""GSC最新!A:R""
    ),
    17,
    FALSE
  ),
  0
)
"),0.07049869817744843)</f>
        <v>0.07049869818</v>
      </c>
      <c r="V6" s="9">
        <f t="shared" ref="V6:W6" si="23">IFERROR(R6-T6,"-")</f>
        <v>-0.07421425461</v>
      </c>
      <c r="W6" s="9">
        <f t="shared" si="23"/>
        <v>-0.06411384569</v>
      </c>
      <c r="X6" s="65">
        <f>IFERROR(__xludf.DUMMYFUNCTION("IFERROR(
  VLOOKUP(
    A6,
    IMPORTRANGE(
      ""1ZHMy3vVUd_0MrSduXTe1etBb1HNpAlGwQr006ljwMiM"",
      ""GSC最新!A:R""
    ),
    9,
    FALSE
  ),
  0
)
"),3.6319293674916775)</f>
        <v>3.631929367</v>
      </c>
      <c r="Y6" s="65">
        <f>IFERROR(__xludf.DUMMYFUNCTION("IFERROR(
  VLOOKUP(
    A6,
    IMPORTRANGE(
      ""1ZHMy3vVUd_0MrSduXTe1etBb1HNpAlGwQr006ljwMiM"",
      ""GSC最新!A:R""
    ),
    12,
    FALSE
  ),
  0
)
"),4.628797886393659)</f>
        <v>4.628797886</v>
      </c>
      <c r="Z6" s="65">
        <f>IFERROR(__xludf.DUMMYFUNCTION("IFERROR(
  VLOOKUP(
    A6,
    IMPORTRANGE(
      ""1ZHMy3vVUd_0MrSduXTe1etBb1HNpAlGwQr006ljwMiM"",
      ""GSC最新!A:R""
    ),
    15,
    FALSE
  ),
  0
)
"),23.059438635112823)</f>
        <v>23.05943864</v>
      </c>
      <c r="AA6" s="65">
        <f>IFERROR(__xludf.DUMMYFUNCTION("IFERROR(
  VLOOKUP(
    A6,
    IMPORTRANGE(
      ""1ZHMy3vVUd_0MrSduXTe1etBb1HNpAlGwQr006ljwMiM"",
      ""GSC最新!A:R""
    ),
    18,
    FALSE
  ),
  0
)
"),32.53514920889245)</f>
        <v>32.53514921</v>
      </c>
      <c r="AB6" s="65">
        <f t="shared" ref="AB6:AC6" si="24">X6-Z6</f>
        <v>-19.42750927</v>
      </c>
      <c r="AC6" s="65">
        <f t="shared" si="24"/>
        <v>-27.90635132</v>
      </c>
      <c r="AD6" s="53">
        <f>IFERROR(__xludf.DUMMYFUNCTION("IFERROR(
  VLOOKUP(
    A6,
    IMPORTRANGE(
      ""1ZHMy3vVUd_0MrSduXTe1etBb1HNpAlGwQr006ljwMiM"",
      ""GSC最新!A:F""
    ),
    6,
    FALSE
  ),
  0
)
"),46081.0)</f>
        <v>46081</v>
      </c>
      <c r="AE6" s="54">
        <f>IFERROR(__xludf.DUMMYFUNCTION("IFERROR(
  VLOOKUP(
    A6,
    IMPORTRANGE(
      ""1SCYQd7_cobOYqT0r_F0IqD4tE4rYn5y8Eup4PJTH8es"",
      ""Snapshot!A:M""
    ),
    5,
    FALSE
  ),
  ""-""
)
"),7.0)</f>
        <v>7</v>
      </c>
      <c r="AF6" s="54">
        <f>IFERROR(__xludf.DUMMYFUNCTION("IFERROR(
  VLOOKUP(
    A6,
    IMPORTRANGE(
      ""1SCYQd7_cobOYqT0r_F0IqD4tE4rYn5y8Eup4PJTH8es"",
      ""Snapshot!A:M""
    ),
    6,
    FALSE
  ),
  0
)
"),4.0)</f>
        <v>4</v>
      </c>
      <c r="AG6" s="54">
        <f>IFERROR(__xludf.DUMMYFUNCTION("IFERROR(
  VLOOKUP(
    A6,
    IMPORTRANGE(
      ""1SCYQd7_cobOYqT0r_F0IqD4tE4rYn5y8Eup4PJTH8es"",
      ""Snapshot!A:M""
    ),
    7,
    FALSE
  ),
  0
)
"),5256.0)</f>
        <v>5256</v>
      </c>
      <c r="AH6" s="54">
        <f>IFERROR(__xludf.DUMMYFUNCTION("IFERROR(
  VLOOKUP(
    A6,
    IMPORTRANGE(
      ""1SCYQd7_cobOYqT0r_F0IqD4tE4rYn5y8Eup4PJTH8es"",
      ""Snapshot!A:M""
    ),
    8,
    FALSE
  ),
  0
)
"),32.0)</f>
        <v>32</v>
      </c>
      <c r="AI6" s="54">
        <f>IFERROR(__xludf.DUMMYFUNCTION("IFERROR(
  VLOOKUP(
    A6,
    IMPORTRANGE(
      ""1SCYQd7_cobOYqT0r_F0IqD4tE4rYn5y8Eup4PJTH8es"",
      ""Snapshot!A:M""
    ),
    9,
    FALSE
  ),
  0
)
"),1.0)</f>
        <v>1</v>
      </c>
      <c r="AJ6" s="54">
        <f>IFERROR(__xludf.DUMMYFUNCTION("IFERROR(
  VLOOKUP(
    A6,
    IMPORTRANGE(
      ""1SCYQd7_cobOYqT0r_F0IqD4tE4rYn5y8Eup4PJTH8es"",
      ""Snapshot!A:M""
    ),
    13,
    FALSE
  ),
  0
)
"),2.0)</f>
        <v>2</v>
      </c>
      <c r="AK6" s="49">
        <f t="shared" ref="AK6:AL6" si="25">LEN(C6)</f>
        <v>30</v>
      </c>
      <c r="AL6" s="49">
        <f t="shared" si="25"/>
        <v>77</v>
      </c>
    </row>
    <row r="7">
      <c r="A7" s="3" t="s">
        <v>721</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"),"ニュートレジャー勉強法｜予習復習とテスト対策｜中高一貫英語")</f>
        <v>ニュートレジャー勉強法｜予習復習とテスト対策｜中高一貫英語</v>
      </c>
      <c r="D7" s="1" t="str">
        <f>IFERROR(__xludf.DUMMYFUNCTION("IFERROR(
  VLOOKUP(
    A7,
    IMPORTRANGE(
      ""1ZygntHC1J6IxzKbTidmOyf5nUyW4GCLurHCjexrLm_o        "",
      ""HTMLキャッシュ!A:F""
    ),
    6,
    FALSE
  ),
  0
)
"),"ニュートレジャー勉強法を中高一貫校向けに整理。Stage1〜5のレベル感、つまずきやすい点、予習復習の進め方、定期テスト対策、1対1個別・オンライン対応を紹介。")</f>
        <v>ニュートレジャー勉強法を中高一貫校向けに整理。Stage1〜5のレベル感、つまずきやすい点、予習復習の進め方、定期テスト対策、1対1個別・オンライン対応を紹介。</v>
      </c>
      <c r="E7" s="32">
        <f>IFERROR(__xludf.DUMMYFUNCTION("IFERROR(
  VLOOKUP(
    A7,
    IMPORTRANGE(
      ""1ZygntHC1J6IxzKbTidmOyf5nUyW4GCLurHCjexrLm_o        "",
      ""HTMLキャッシュ!A:F""
    ),
    3,
    FALSE
  ),
  0
)
"),46078.72613425926)</f>
        <v>46078.72613</v>
      </c>
      <c r="F7" s="49">
        <f>IFERROR(__xludf.DUMMYFUNCTION("IFERROR(
  VLOOKUP(
    A7,
    IMPORTRANGE(
      ""1ZHMy3vVUd_0MrSduXTe1etBb1HNpAlGwQr006ljwMiM"",
      ""GSC最新!A:F""
    ),
    2,
    FALSE
  ),
  0
)
"),52.0)</f>
        <v>52</v>
      </c>
      <c r="G7" s="49">
        <f>IFERROR(__xludf.DUMMYFUNCTION("IFERROR(
  VLOOKUP(
    A7,
    IMPORTRANGE(
      ""1ZHMy3vVUd_0MrSduXTe1etBb1HNpAlGwQr006ljwMiM"",
      ""GSC最新!A:F""
    ),
    3,
    FALSE
  ),
  0
)
"),79.0)</f>
        <v>79</v>
      </c>
      <c r="H7" s="49">
        <f>IFERROR(__xludf.DUMMYFUNCTION("IFERROR(
  VLOOKUP(
    A7,
    IMPORTRANGE(
      ""1ZHMy3vVUd_0MrSduXTe1etBb1HNpAlGwQr006ljwMiM"",
      ""GSC最新!A:F""
    ),
    4,
    FALSE
  ),
  0
)
"),47.0)</f>
        <v>47</v>
      </c>
      <c r="I7" s="49">
        <f>IFERROR(__xludf.DUMMYFUNCTION("IFERROR(
  VLOOKUP(
    A7,
    IMPORTRANGE(
      ""1ZHMy3vVUd_0MrSduXTe1etBb1HNpAlGwQr006ljwMiM"",
      ""GSC最新!A:F""
    ),
    5,
    FALSE
  ),
  0
)
"),109.0)</f>
        <v>109</v>
      </c>
      <c r="J7" s="50">
        <f t="shared" ref="J7:K7" si="26">IFERROR(F7/H7,"-")</f>
        <v>1.106382979</v>
      </c>
      <c r="K7" s="50">
        <f t="shared" si="26"/>
        <v>0.7247706422</v>
      </c>
      <c r="L7" s="6">
        <f>IFERROR(__xludf.DUMMYFUNCTION("IFERROR(
  VLOOKUP(
    A7,
    IMPORTRANGE(
      ""1ZHMy3vVUd_0MrSduXTe1etBb1HNpAlGwQr006ljwMiM"",
      ""GSC最新!A:R""
    ),
    7,
    FALSE
  ),
  0
)
"),2040.0)</f>
        <v>2040</v>
      </c>
      <c r="M7" s="6">
        <f>IFERROR(__xludf.DUMMYFUNCTION("IFERROR(
  VLOOKUP(
    A7,
    IMPORTRANGE(
      ""1ZHMy3vVUd_0MrSduXTe1etBb1HNpAlGwQr006ljwMiM"",
      ""GSC最新!A:R""
    ),
    10,
    FALSE
  ),
  0
)
"),3513.0)</f>
        <v>3513</v>
      </c>
      <c r="N7" s="6">
        <f>IFERROR(__xludf.DUMMYFUNCTION("IFERROR(
  VLOOKUP(
    A7,
    IMPORTRANGE(
      ""1ZHMy3vVUd_0MrSduXTe1etBb1HNpAlGwQr006ljwMiM"",
      ""GSC最新!A:R""
    ),
    13,
    FALSE
  ),
  0
)
"),1989.0)</f>
        <v>1989</v>
      </c>
      <c r="O7" s="6">
        <f>IFERROR(__xludf.DUMMYFUNCTION("IFERROR(
  VLOOKUP(
    A7,
    IMPORTRANGE(
      ""1ZHMy3vVUd_0MrSduXTe1etBb1HNpAlGwQr006ljwMiM"",
      ""GSC最新!A:R""
    ),
    16,
    FALSE
  ),
  0
)
"),4740.0)</f>
        <v>4740</v>
      </c>
      <c r="P7" s="51">
        <f t="shared" ref="P7:Q7" si="27">IFERROR(L7/N7,"-")</f>
        <v>1.025641026</v>
      </c>
      <c r="Q7" s="51">
        <f t="shared" si="27"/>
        <v>0.7411392405</v>
      </c>
      <c r="R7" s="9">
        <f>IFERROR(__xludf.DUMMYFUNCTION("IFERROR(
  VLOOKUP(
    A7,
    IMPORTRANGE(
      ""1ZHMy3vVUd_0MrSduXTe1etBb1HNpAlGwQr006ljwMiM"",
      ""GSC最新!A:R""
    ),
    8,
    FALSE
  ),
  0
)
"),0.025490196078431372)</f>
        <v>0.02549019608</v>
      </c>
      <c r="S7" s="9">
        <f>IFERROR(__xludf.DUMMYFUNCTION("IFERROR(
  VLOOKUP(
    A7,
    IMPORTRANGE(
      ""1ZHMy3vVUd_0MrSduXTe1etBb1HNpAlGwQr006ljwMiM"",
      ""GSC最新!A:R""
    ),
    11,
    FALSE
  ),
  0
)
"),0.022487902077996016)</f>
        <v>0.02248790208</v>
      </c>
      <c r="T7" s="9">
        <f>IFERROR(__xludf.DUMMYFUNCTION("IFERROR(
  VLOOKUP(
    A7,
    IMPORTRANGE(
      ""1ZHMy3vVUd_0MrSduXTe1etBb1HNpAlGwQr006ljwMiM"",
      ""GSC最新!A:R""
    ),
    14,
    FALSE
  ),
  0
)
"),0.023629964806435394)</f>
        <v>0.02362996481</v>
      </c>
      <c r="U7" s="9">
        <f>IFERROR(__xludf.DUMMYFUNCTION("IFERROR(
  VLOOKUP(
    A7,
    IMPORTRANGE(
      ""1ZHMy3vVUd_0MrSduXTe1etBb1HNpAlGwQr006ljwMiM"",
      ""GSC最新!A:R""
    ),
    17,
    FALSE
  ),
  0
)
"),0.0229957805907173)</f>
        <v>0.02299578059</v>
      </c>
      <c r="V7" s="9">
        <f t="shared" ref="V7:W7" si="28">IFERROR(R7-T7,"-")</f>
        <v>0.001860231272</v>
      </c>
      <c r="W7" s="9">
        <f t="shared" si="28"/>
        <v>-0.0005078785127</v>
      </c>
      <c r="X7" s="65">
        <f>IFERROR(__xludf.DUMMYFUNCTION("IFERROR(
  VLOOKUP(
    A7,
    IMPORTRANGE(
      ""1ZHMy3vVUd_0MrSduXTe1etBb1HNpAlGwQr006ljwMiM"",
      ""GSC最新!A:R""
    ),
    9,
    FALSE
  ),
  0
)
"),6.7367647058823525)</f>
        <v>6.736764706</v>
      </c>
      <c r="Y7" s="65">
        <f>IFERROR(__xludf.DUMMYFUNCTION("IFERROR(
  VLOOKUP(
    A7,
    IMPORTRANGE(
      ""1ZHMy3vVUd_0MrSduXTe1etBb1HNpAlGwQr006ljwMiM"",
      ""GSC最新!A:R""
    ),
    12,
    FALSE
  ),
  0
)
"),7.435809849131796)</f>
        <v>7.435809849</v>
      </c>
      <c r="Z7" s="65">
        <f>IFERROR(__xludf.DUMMYFUNCTION("IFERROR(
  VLOOKUP(
    A7,
    IMPORTRANGE(
      ""1ZHMy3vVUd_0MrSduXTe1etBb1HNpAlGwQr006ljwMiM"",
      ""GSC最新!A:R""
    ),
    15,
    FALSE
  ),
  0
)
"),10.758672699849171)</f>
        <v>10.7586727</v>
      </c>
      <c r="AA7" s="65">
        <f>IFERROR(__xludf.DUMMYFUNCTION("IFERROR(
  VLOOKUP(
    A7,
    IMPORTRANGE(
      ""1ZHMy3vVUd_0MrSduXTe1etBb1HNpAlGwQr006ljwMiM"",
      ""GSC最新!A:R""
    ),
    18,
    FALSE
  ),
  0
)
"),9.878059071729957)</f>
        <v>9.878059072</v>
      </c>
      <c r="AB7" s="65">
        <f t="shared" ref="AB7:AC7" si="29">X7-Z7</f>
        <v>-4.021907994</v>
      </c>
      <c r="AC7" s="65">
        <f t="shared" si="29"/>
        <v>-2.442249223</v>
      </c>
      <c r="AD7" s="53">
        <f>IFERROR(__xludf.DUMMYFUNCTION("IFERROR(
  VLOOKUP(
    A7,
    IMPORTRANGE(
      ""1ZHMy3vVUd_0MrSduXTe1etBb1HNpAlGwQr006ljwMiM"",
      ""GSC最新!A:F""
    ),
    6,
    FALSE
  ),
  0
)
"),46081.0)</f>
        <v>46081</v>
      </c>
      <c r="AE7" s="54">
        <f>IFERROR(__xludf.DUMMYFUNCTION("IFERROR(
  VLOOKUP(
    A7,
    IMPORTRANGE(
      ""1SCYQd7_cobOYqT0r_F0IqD4tE4rYn5y8Eup4PJTH8es"",
      ""Snapshot!A:M""
    ),
    5,
    FALSE
  ),
  ""-""
)
"),5.0)</f>
        <v>5</v>
      </c>
      <c r="AF7" s="54">
        <f>IFERROR(__xludf.DUMMYFUNCTION("IFERROR(
  VLOOKUP(
    A7,
    IMPORTRANGE(
      ""1SCYQd7_cobOYqT0r_F0IqD4tE4rYn5y8Eup4PJTH8es"",
      ""Snapshot!A:M""
    ),
    6,
    FALSE
  ),
  0
)
"),14.0)</f>
        <v>14</v>
      </c>
      <c r="AG7" s="54">
        <f>IFERROR(__xludf.DUMMYFUNCTION("IFERROR(
  VLOOKUP(
    A7,
    IMPORTRANGE(
      ""1SCYQd7_cobOYqT0r_F0IqD4tE4rYn5y8Eup4PJTH8es"",
      ""Snapshot!A:M""
    ),
    7,
    FALSE
  ),
  0
)
"),6277.0)</f>
        <v>6277</v>
      </c>
      <c r="AH7" s="54">
        <f>IFERROR(__xludf.DUMMYFUNCTION("IFERROR(
  VLOOKUP(
    A7,
    IMPORTRANGE(
      ""1SCYQd7_cobOYqT0r_F0IqD4tE4rYn5y8Eup4PJTH8es"",
      ""Snapshot!A:M""
    ),
    8,
    FALSE
  ),
  0
)
"),10.0)</f>
        <v>10</v>
      </c>
      <c r="AI7" s="54">
        <f>IFERROR(__xludf.DUMMYFUNCTION("IFERROR(
  VLOOKUP(
    A7,
    IMPORTRANGE(
      ""1SCYQd7_cobOYqT0r_F0IqD4tE4rYn5y8Eup4PJTH8es"",
      ""Snapshot!A:M""
    ),
    9,
    FALSE
  ),
  0
)
"),1.0)</f>
        <v>1</v>
      </c>
      <c r="AJ7" s="54">
        <f>IFERROR(__xludf.DUMMYFUNCTION("IFERROR(
  VLOOKUP(
    A7,
    IMPORTRANGE(
      ""1SCYQd7_cobOYqT0r_F0IqD4tE4rYn5y8Eup4PJTH8es"",
      ""Snapshot!A:M""
    ),
    13,
    FALSE
  ),
  0
)
"),1.0)</f>
        <v>1</v>
      </c>
      <c r="AK7" s="49">
        <f t="shared" ref="AK7:AL7" si="30">LEN(C7)</f>
        <v>29</v>
      </c>
      <c r="AL7" s="49">
        <f t="shared" si="30"/>
        <v>80</v>
      </c>
    </row>
    <row r="8">
      <c r="A8" s="3" t="s">
        <v>722</v>
      </c>
      <c r="B8" s="1" t="str">
        <f>IFERROR(__xludf.DUMMYFUNCTION("IFERROR(
  VLOOKUP(
    A8,
    IMPORTRANGE(
      ""1ZygntHC1J6IxzKbTidmOyf5nUyW4GCLurHCjexrLm_o"",
      ""HTMLキャッシュ!A:F""
    ),
    2,
    FALSE
  ),
  0
)
"),"SC")</f>
        <v>SC</v>
      </c>
      <c r="C8" s="1" t="str">
        <f>IFERROR(__xludf.DUMMYFUNCTION("IFERROR(
  VLOOKUP(
    A8,
    IMPORTRANGE(
      ""1ZygntHC1J6IxzKbTidmOyf5nUyW4GCLurHCjexrLm_o"",
      ""HTMLキャッシュ!A:F""
    ),
    5,
    FALSE
  ),
  0
)
"),"英検準2級 合格率・取得率｜中学生の目安と対策｜中1〜中3")</f>
        <v>英検準2級 合格率・取得率｜中学生の目安と対策｜中1〜中3</v>
      </c>
      <c r="D8" s="1" t="str">
        <f>IFERROR(__xludf.DUMMYFUNCTION("IFERROR(
  VLOOKUP(
    A8,
    IMPORTRANGE(
      ""1ZygntHC1J6IxzKbTidmOyf5nUyW4GCLurHCjexrLm_o        "",
      ""HTMLキャッシュ!A:F""
    ),
    6,
    FALSE
  ),
  0
)
"),"中学生の英検準2級の合格率・取得率を整理。合格率と取得率の違い、学年別の目安（中1〜中3）、受かる確率を上げる文法・語彙・英作文・面接の優先順位をまとめます。")</f>
        <v>中学生の英検準2級の合格率・取得率を整理。合格率と取得率の違い、学年別の目安（中1〜中3）、受かる確率を上げる文法・語彙・英作文・面接の優先順位をまとめます。</v>
      </c>
      <c r="E8" s="32">
        <f>IFERROR(__xludf.DUMMYFUNCTION("IFERROR(
  VLOOKUP(
    A8,
    IMPORTRANGE(
      ""1ZygntHC1J6IxzKbTidmOyf5nUyW4GCLurHCjexrLm_o        "",
      ""HTMLキャッシュ!A:F""
    ),
    3,
    FALSE
  ),
  0
)
"),46078.854155092595)</f>
        <v>46078.85416</v>
      </c>
      <c r="F8" s="49">
        <f>IFERROR(__xludf.DUMMYFUNCTION("IFERROR(
  VLOOKUP(
    A8,
    IMPORTRANGE(
      ""1ZHMy3vVUd_0MrSduXTe1etBb1HNpAlGwQr006ljwMiM"",
      ""GSC最新!A:F""
    ),
    2,
    FALSE
  ),
  0
)
"),44.0)</f>
        <v>44</v>
      </c>
      <c r="G8" s="49">
        <f>IFERROR(__xludf.DUMMYFUNCTION("IFERROR(
  VLOOKUP(
    A8,
    IMPORTRANGE(
      ""1ZHMy3vVUd_0MrSduXTe1etBb1HNpAlGwQr006ljwMiM"",
      ""GSC最新!A:F""
    ),
    3,
    FALSE
  ),
  0
)
"),70.0)</f>
        <v>70</v>
      </c>
      <c r="H8" s="49">
        <f>IFERROR(__xludf.DUMMYFUNCTION("IFERROR(
  VLOOKUP(
    A8,
    IMPORTRANGE(
      ""1ZHMy3vVUd_0MrSduXTe1etBb1HNpAlGwQr006ljwMiM"",
      ""GSC最新!A:F""
    ),
    4,
    FALSE
  ),
  0
)
"),67.0)</f>
        <v>67</v>
      </c>
      <c r="I8" s="49">
        <f>IFERROR(__xludf.DUMMYFUNCTION("IFERROR(
  VLOOKUP(
    A8,
    IMPORTRANGE(
      ""1ZHMy3vVUd_0MrSduXTe1etBb1HNpAlGwQr006ljwMiM"",
      ""GSC最新!A:F""
    ),
    5,
    FALSE
  ),
  0
)
"),143.0)</f>
        <v>143</v>
      </c>
      <c r="J8" s="50">
        <f t="shared" ref="J8:K8" si="31">IFERROR(F8/H8,"-")</f>
        <v>0.6567164179</v>
      </c>
      <c r="K8" s="50">
        <f t="shared" si="31"/>
        <v>0.4895104895</v>
      </c>
      <c r="L8" s="6">
        <f>IFERROR(__xludf.DUMMYFUNCTION("IFERROR(
  VLOOKUP(
    A8,
    IMPORTRANGE(
      ""1ZHMy3vVUd_0MrSduXTe1etBb1HNpAlGwQr006ljwMiM"",
      ""GSC最新!A:R""
    ),
    7,
    FALSE
  ),
  0
)
"),8083.0)</f>
        <v>8083</v>
      </c>
      <c r="M8" s="6">
        <f>IFERROR(__xludf.DUMMYFUNCTION("IFERROR(
  VLOOKUP(
    A8,
    IMPORTRANGE(
      ""1ZHMy3vVUd_0MrSduXTe1etBb1HNpAlGwQr006ljwMiM"",
      ""GSC最新!A:R""
    ),
    10,
    FALSE
  ),
  0
)
"),14697.0)</f>
        <v>14697</v>
      </c>
      <c r="N8" s="6">
        <f>IFERROR(__xludf.DUMMYFUNCTION("IFERROR(
  VLOOKUP(
    A8,
    IMPORTRANGE(
      ""1ZHMy3vVUd_0MrSduXTe1etBb1HNpAlGwQr006ljwMiM"",
      ""GSC最新!A:R""
    ),
    13,
    FALSE
  ),
  0
)
"),3885.0)</f>
        <v>3885</v>
      </c>
      <c r="O8" s="6">
        <f>IFERROR(__xludf.DUMMYFUNCTION("IFERROR(
  VLOOKUP(
    A8,
    IMPORTRANGE(
      ""1ZHMy3vVUd_0MrSduXTe1etBb1HNpAlGwQr006ljwMiM"",
      ""GSC最新!A:R""
    ),
    16,
    FALSE
  ),
  0
)
"),8599.0)</f>
        <v>8599</v>
      </c>
      <c r="P8" s="51">
        <f t="shared" ref="P8:Q8" si="32">IFERROR(L8/N8,"-")</f>
        <v>2.080566281</v>
      </c>
      <c r="Q8" s="51">
        <f t="shared" si="32"/>
        <v>1.709152227</v>
      </c>
      <c r="R8" s="9">
        <f>IFERROR(__xludf.DUMMYFUNCTION("IFERROR(
  VLOOKUP(
    A8,
    IMPORTRANGE(
      ""1ZHMy3vVUd_0MrSduXTe1etBb1HNpAlGwQr006ljwMiM"",
      ""GSC最新!A:R""
    ),
    8,
    FALSE
  ),
  0
)
"),0.005443523444265743)</f>
        <v>0.005443523444</v>
      </c>
      <c r="S8" s="9">
        <f>IFERROR(__xludf.DUMMYFUNCTION("IFERROR(
  VLOOKUP(
    A8,
    IMPORTRANGE(
      ""1ZHMy3vVUd_0MrSduXTe1etBb1HNpAlGwQr006ljwMiM"",
      ""GSC最新!A:R""
    ),
    11,
    FALSE
  ),
  0
)
"),0.004762876777573655)</f>
        <v>0.004762876778</v>
      </c>
      <c r="T8" s="9">
        <f>IFERROR(__xludf.DUMMYFUNCTION("IFERROR(
  VLOOKUP(
    A8,
    IMPORTRANGE(
      ""1ZHMy3vVUd_0MrSduXTe1etBb1HNpAlGwQr006ljwMiM"",
      ""GSC最新!A:R""
    ),
    14,
    FALSE
  ),
  0
)
"),0.017245817245817245)</f>
        <v>0.01724581725</v>
      </c>
      <c r="U8" s="9">
        <f>IFERROR(__xludf.DUMMYFUNCTION("IFERROR(
  VLOOKUP(
    A8,
    IMPORTRANGE(
      ""1ZHMy3vVUd_0MrSduXTe1etBb1HNpAlGwQr006ljwMiM"",
      ""GSC最新!A:R""
    ),
    17,
    FALSE
  ),
  0
)
"),0.016629840679148737)</f>
        <v>0.01662984068</v>
      </c>
      <c r="V8" s="9">
        <f t="shared" ref="V8:W8" si="33">IFERROR(R8-T8,"-")</f>
        <v>-0.0118022938</v>
      </c>
      <c r="W8" s="9">
        <f t="shared" si="33"/>
        <v>-0.0118669639</v>
      </c>
      <c r="X8" s="65">
        <f>IFERROR(__xludf.DUMMYFUNCTION("IFERROR(
  VLOOKUP(
    A8,
    IMPORTRANGE(
      ""1ZHMy3vVUd_0MrSduXTe1etBb1HNpAlGwQr006ljwMiM"",
      ""GSC最新!A:R""
    ),
    9,
    FALSE
  ),
  0
)
"),2.8851911419027587)</f>
        <v>2.885191142</v>
      </c>
      <c r="Y8" s="65">
        <f>IFERROR(__xludf.DUMMYFUNCTION("IFERROR(
  VLOOKUP(
    A8,
    IMPORTRANGE(
      ""1ZHMy3vVUd_0MrSduXTe1etBb1HNpAlGwQr006ljwMiM"",
      ""GSC最新!A:R""
    ),
    12,
    FALSE
  ),
  0
)
"),3.462611417296047)</f>
        <v>3.462611417</v>
      </c>
      <c r="Z8" s="65">
        <f>IFERROR(__xludf.DUMMYFUNCTION("IFERROR(
  VLOOKUP(
    A8,
    IMPORTRANGE(
      ""1ZHMy3vVUd_0MrSduXTe1etBb1HNpAlGwQr006ljwMiM"",
      ""GSC最新!A:R""
    ),
    15,
    FALSE
  ),
  0
)
"),8.425482625482626)</f>
        <v>8.425482625</v>
      </c>
      <c r="AA8" s="65">
        <f>IFERROR(__xludf.DUMMYFUNCTION("IFERROR(
  VLOOKUP(
    A8,
    IMPORTRANGE(
      ""1ZHMy3vVUd_0MrSduXTe1etBb1HNpAlGwQr006ljwMiM"",
      ""GSC最新!A:R""
    ),
    18,
    FALSE
  ),
  0
)
"),17.18257936969415)</f>
        <v>17.18257937</v>
      </c>
      <c r="AB8" s="65">
        <f t="shared" ref="AB8:AC8" si="34">X8-Z8</f>
        <v>-5.540291484</v>
      </c>
      <c r="AC8" s="65">
        <f t="shared" si="34"/>
        <v>-13.71996795</v>
      </c>
      <c r="AD8" s="53">
        <f>IFERROR(__xludf.DUMMYFUNCTION("IFERROR(
  VLOOKUP(
    A8,
    IMPORTRANGE(
      ""1ZHMy3vVUd_0MrSduXTe1etBb1HNpAlGwQr006ljwMiM"",
      ""GSC最新!A:F""
    ),
    6,
    FALSE
  ),
  0
)
"),46081.0)</f>
        <v>46081</v>
      </c>
      <c r="AE8" s="54">
        <f>IFERROR(__xludf.DUMMYFUNCTION("IFERROR(
  VLOOKUP(
    A8,
    IMPORTRANGE(
      ""1SCYQd7_cobOYqT0r_F0IqD4tE4rYn5y8Eup4PJTH8es"",
      ""Snapshot!A:M""
    ),
    5,
    FALSE
  ),
  ""-""
)
"),7.0)</f>
        <v>7</v>
      </c>
      <c r="AF8" s="54">
        <f>IFERROR(__xludf.DUMMYFUNCTION("IFERROR(
  VLOOKUP(
    A8,
    IMPORTRANGE(
      ""1SCYQd7_cobOYqT0r_F0IqD4tE4rYn5y8Eup4PJTH8es"",
      ""Snapshot!A:M""
    ),
    6,
    FALSE
  ),
  0
)
"),4.0)</f>
        <v>4</v>
      </c>
      <c r="AG8" s="54">
        <f>IFERROR(__xludf.DUMMYFUNCTION("IFERROR(
  VLOOKUP(
    A8,
    IMPORTRANGE(
      ""1SCYQd7_cobOYqT0r_F0IqD4tE4rYn5y8Eup4PJTH8es"",
      ""Snapshot!A:M""
    ),
    7,
    FALSE
  ),
  0
)
"),5247.0)</f>
        <v>5247</v>
      </c>
      <c r="AH8" s="54">
        <f>IFERROR(__xludf.DUMMYFUNCTION("IFERROR(
  VLOOKUP(
    A8,
    IMPORTRANGE(
      ""1SCYQd7_cobOYqT0r_F0IqD4tE4rYn5y8Eup4PJTH8es"",
      ""Snapshot!A:M""
    ),
    8,
    FALSE
  ),
  0
)
"),31.0)</f>
        <v>31</v>
      </c>
      <c r="AI8" s="54">
        <f>IFERROR(__xludf.DUMMYFUNCTION("IFERROR(
  VLOOKUP(
    A8,
    IMPORTRANGE(
      ""1SCYQd7_cobOYqT0r_F0IqD4tE4rYn5y8Eup4PJTH8es"",
      ""Snapshot!A:M""
    ),
    9,
    FALSE
  ),
  0
)
"),0.0)</f>
        <v>0</v>
      </c>
      <c r="AJ8" s="54">
        <f>IFERROR(__xludf.DUMMYFUNCTION("IFERROR(
  VLOOKUP(
    A8,
    IMPORTRANGE(
      ""1SCYQd7_cobOYqT0r_F0IqD4tE4rYn5y8Eup4PJTH8es"",
      ""Snapshot!A:M""
    ),
    13,
    FALSE
  ),
  0
)
"),2.0)</f>
        <v>2</v>
      </c>
      <c r="AK8" s="49">
        <f t="shared" ref="AK8:AL8" si="35">LEN(C8)</f>
        <v>29</v>
      </c>
      <c r="AL8" s="49">
        <f t="shared" si="35"/>
        <v>79</v>
      </c>
    </row>
    <row r="9">
      <c r="A9" s="3" t="s">
        <v>723</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"),"プログレス英語教科書｜採用校・難易度・対策｜中高一貫生")</f>
        <v>プログレス英語教科書｜採用校・難易度・対策｜中高一貫生</v>
      </c>
      <c r="D9" s="1" t="str">
        <f>IFERROR(__xludf.DUMMYFUNCTION("IFERROR(
  VLOOKUP(
    A9,
    IMPORTRANGE(
      ""1ZygntHC1J6IxzKbTidmOyf5nUyW4GCLurHCjexrLm_o        "",
      ""HTMLキャッシュ!A:F""
    ),
    6,
    FALSE
  ),
  0
)
"),"プログレス英語教科書の特徴、採用校の調べ方、版・BOOK番号・進度の見方を解説。ついていけない原因と対策、定期テストと受験の両立まで中高一貫生向けにまとめます。")</f>
        <v>プログレス英語教科書の特徴、採用校の調べ方、版・BOOK番号・進度の見方を解説。ついていけない原因と対策、定期テストと受験の両立まで中高一貫生向けにまとめます。</v>
      </c>
      <c r="E9" s="32">
        <f>IFERROR(__xludf.DUMMYFUNCTION("IFERROR(
  VLOOKUP(
    A9,
    IMPORTRANGE(
      ""1ZygntHC1J6IxzKbTidmOyf5nUyW4GCLurHCjexrLm_o        "",
      ""HTMLキャッシュ!A:F""
    ),
    3,
    FALSE
  ),
  0
)
"),46078.728055555555)</f>
        <v>46078.72806</v>
      </c>
      <c r="F9" s="49">
        <f>IFERROR(__xludf.DUMMYFUNCTION("IFERROR(
  VLOOKUP(
    A9,
    IMPORTRANGE(
      ""1ZHMy3vVUd_0MrSduXTe1etBb1HNpAlGwQr006ljwMiM"",
      ""GSC最新!A:F""
    ),
    2,
    FALSE
  ),
  0
)
"),58.0)</f>
        <v>58</v>
      </c>
      <c r="G9" s="49">
        <f>IFERROR(__xludf.DUMMYFUNCTION("IFERROR(
  VLOOKUP(
    A9,
    IMPORTRANGE(
      ""1ZHMy3vVUd_0MrSduXTe1etBb1HNpAlGwQr006ljwMiM"",
      ""GSC最新!A:F""
    ),
    3,
    FALSE
  ),
  0
)
"),75.0)</f>
        <v>75</v>
      </c>
      <c r="H9" s="49">
        <f>IFERROR(__xludf.DUMMYFUNCTION("IFERROR(
  VLOOKUP(
    A9,
    IMPORTRANGE(
      ""1ZHMy3vVUd_0MrSduXTe1etBb1HNpAlGwQr006ljwMiM"",
      ""GSC最新!A:F""
    ),
    4,
    FALSE
  ),
  0
)
"),45.0)</f>
        <v>45</v>
      </c>
      <c r="I9" s="49">
        <f>IFERROR(__xludf.DUMMYFUNCTION("IFERROR(
  VLOOKUP(
    A9,
    IMPORTRANGE(
      ""1ZHMy3vVUd_0MrSduXTe1etBb1HNpAlGwQr006ljwMiM"",
      ""GSC最新!A:F""
    ),
    5,
    FALSE
  ),
  0
)
"),83.0)</f>
        <v>83</v>
      </c>
      <c r="J9" s="50">
        <f t="shared" ref="J9:K9" si="36">IFERROR(F9/H9,"-")</f>
        <v>1.288888889</v>
      </c>
      <c r="K9" s="50">
        <f t="shared" si="36"/>
        <v>0.9036144578</v>
      </c>
      <c r="L9" s="6">
        <f>IFERROR(__xludf.DUMMYFUNCTION("IFERROR(
  VLOOKUP(
    A9,
    IMPORTRANGE(
      ""1ZHMy3vVUd_0MrSduXTe1etBb1HNpAlGwQr006ljwMiM"",
      ""GSC最新!A:R""
    ),
    7,
    FALSE
  ),
  0
)
"),2269.0)</f>
        <v>2269</v>
      </c>
      <c r="M9" s="6">
        <f>IFERROR(__xludf.DUMMYFUNCTION("IFERROR(
  VLOOKUP(
    A9,
    IMPORTRANGE(
      ""1ZHMy3vVUd_0MrSduXTe1etBb1HNpAlGwQr006ljwMiM"",
      ""GSC最新!A:R""
    ),
    10,
    FALSE
  ),
  0
)
"),4417.0)</f>
        <v>4417</v>
      </c>
      <c r="N9" s="6">
        <f>IFERROR(__xludf.DUMMYFUNCTION("IFERROR(
  VLOOKUP(
    A9,
    IMPORTRANGE(
      ""1ZHMy3vVUd_0MrSduXTe1etBb1HNpAlGwQr006ljwMiM"",
      ""GSC最新!A:R""
    ),
    13,
    FALSE
  ),
  0
)
"),1958.0)</f>
        <v>1958</v>
      </c>
      <c r="O9" s="6">
        <f>IFERROR(__xludf.DUMMYFUNCTION("IFERROR(
  VLOOKUP(
    A9,
    IMPORTRANGE(
      ""1ZHMy3vVUd_0MrSduXTe1etBb1HNpAlGwQr006ljwMiM"",
      ""GSC最新!A:R""
    ),
    16,
    FALSE
  ),
  0
)
"),4748.0)</f>
        <v>4748</v>
      </c>
      <c r="P9" s="51">
        <f t="shared" ref="P9:Q9" si="37">IFERROR(L9/N9,"-")</f>
        <v>1.158835546</v>
      </c>
      <c r="Q9" s="51">
        <f t="shared" si="37"/>
        <v>0.9302864364</v>
      </c>
      <c r="R9" s="9">
        <f>IFERROR(__xludf.DUMMYFUNCTION("IFERROR(
  VLOOKUP(
    A9,
    IMPORTRANGE(
      ""1ZHMy3vVUd_0MrSduXTe1etBb1HNpAlGwQr006ljwMiM"",
      ""GSC最新!A:R""
    ),
    8,
    FALSE
  ),
  0
)
"),0.025561921551344204)</f>
        <v>0.02556192155</v>
      </c>
      <c r="S9" s="9">
        <f>IFERROR(__xludf.DUMMYFUNCTION("IFERROR(
  VLOOKUP(
    A9,
    IMPORTRANGE(
      ""1ZHMy3vVUd_0MrSduXTe1etBb1HNpAlGwQr006ljwMiM"",
      ""GSC最新!A:R""
    ),
    11,
    FALSE
  ),
  0
)
"),0.01697985057731492)</f>
        <v>0.01697985058</v>
      </c>
      <c r="T9" s="9">
        <f>IFERROR(__xludf.DUMMYFUNCTION("IFERROR(
  VLOOKUP(
    A9,
    IMPORTRANGE(
      ""1ZHMy3vVUd_0MrSduXTe1etBb1HNpAlGwQr006ljwMiM"",
      ""GSC最新!A:R""
    ),
    14,
    FALSE
  ),
  0
)
"),0.022982635342185902)</f>
        <v>0.02298263534</v>
      </c>
      <c r="U9" s="9">
        <f>IFERROR(__xludf.DUMMYFUNCTION("IFERROR(
  VLOOKUP(
    A9,
    IMPORTRANGE(
      ""1ZHMy3vVUd_0MrSduXTe1etBb1HNpAlGwQr006ljwMiM"",
      ""GSC最新!A:R""
    ),
    17,
    FALSE
  ),
  0
)
"),0.017481044650379106)</f>
        <v>0.01748104465</v>
      </c>
      <c r="V9" s="9">
        <f t="shared" ref="V9:W9" si="38">IFERROR(R9-T9,"-")</f>
        <v>0.002579286209</v>
      </c>
      <c r="W9" s="9">
        <f t="shared" si="38"/>
        <v>-0.0005011940731</v>
      </c>
      <c r="X9" s="65">
        <f>IFERROR(__xludf.DUMMYFUNCTION("IFERROR(
  VLOOKUP(
    A9,
    IMPORTRANGE(
      ""1ZHMy3vVUd_0MrSduXTe1etBb1HNpAlGwQr006ljwMiM"",
      ""GSC最新!A:R""
    ),
    9,
    FALSE
  ),
  0
)
"),5.479947113265756)</f>
        <v>5.479947113</v>
      </c>
      <c r="Y9" s="65">
        <f>IFERROR(__xludf.DUMMYFUNCTION("IFERROR(
  VLOOKUP(
    A9,
    IMPORTRANGE(
      ""1ZHMy3vVUd_0MrSduXTe1etBb1HNpAlGwQr006ljwMiM"",
      ""GSC最新!A:R""
    ),
    12,
    FALSE
  ),
  0
)
"),5.868462757527734)</f>
        <v>5.868462758</v>
      </c>
      <c r="Z9" s="65">
        <f>IFERROR(__xludf.DUMMYFUNCTION("IFERROR(
  VLOOKUP(
    A9,
    IMPORTRANGE(
      ""1ZHMy3vVUd_0MrSduXTe1etBb1HNpAlGwQr006ljwMiM"",
      ""GSC最新!A:R""
    ),
    15,
    FALSE
  ),
  0
)
"),11.23391215526047)</f>
        <v>11.23391216</v>
      </c>
      <c r="AA9" s="65">
        <f>IFERROR(__xludf.DUMMYFUNCTION("IFERROR(
  VLOOKUP(
    A9,
    IMPORTRANGE(
      ""1ZHMy3vVUd_0MrSduXTe1etBb1HNpAlGwQr006ljwMiM"",
      ""GSC最新!A:R""
    ),
    18,
    FALSE
  ),
  0
)
"),11.870471777590565)</f>
        <v>11.87047178</v>
      </c>
      <c r="AB9" s="65">
        <f t="shared" ref="AB9:AC9" si="39">X9-Z9</f>
        <v>-5.753965042</v>
      </c>
      <c r="AC9" s="65">
        <f t="shared" si="39"/>
        <v>-6.00200902</v>
      </c>
      <c r="AD9" s="53">
        <f>IFERROR(__xludf.DUMMYFUNCTION("IFERROR(
  VLOOKUP(
    A9,
    IMPORTRANGE(
      ""1ZHMy3vVUd_0MrSduXTe1etBb1HNpAlGwQr006ljwMiM"",
      ""GSC最新!A:F""
    ),
    6,
    FALSE
  ),
  0
)
"),46081.0)</f>
        <v>46081</v>
      </c>
      <c r="AE9" s="54">
        <f>IFERROR(__xludf.DUMMYFUNCTION("IFERROR(
  VLOOKUP(
    A9,
    IMPORTRANGE(
      ""1SCYQd7_cobOYqT0r_F0IqD4tE4rYn5y8Eup4PJTH8es"",
      ""Snapshot!A:M""
    ),
    5,
    FALSE
  ),
  ""-""
)
"),5.0)</f>
        <v>5</v>
      </c>
      <c r="AF9" s="54">
        <f>IFERROR(__xludf.DUMMYFUNCTION("IFERROR(
  VLOOKUP(
    A9,
    IMPORTRANGE(
      ""1SCYQd7_cobOYqT0r_F0IqD4tE4rYn5y8Eup4PJTH8es"",
      ""Snapshot!A:M""
    ),
    6,
    FALSE
  ),
  0
)
"),11.0)</f>
        <v>11</v>
      </c>
      <c r="AG9" s="54">
        <f>IFERROR(__xludf.DUMMYFUNCTION("IFERROR(
  VLOOKUP(
    A9,
    IMPORTRANGE(
      ""1SCYQd7_cobOYqT0r_F0IqD4tE4rYn5y8Eup4PJTH8es"",
      ""Snapshot!A:M""
    ),
    7,
    FALSE
  ),
  0
)
"),8167.0)</f>
        <v>8167</v>
      </c>
      <c r="AH9" s="54">
        <f>IFERROR(__xludf.DUMMYFUNCTION("IFERROR(
  VLOOKUP(
    A9,
    IMPORTRANGE(
      ""1SCYQd7_cobOYqT0r_F0IqD4tE4rYn5y8Eup4PJTH8es"",
      ""Snapshot!A:M""
    ),
    8,
    FALSE
  ),
  0
)
"),10.0)</f>
        <v>10</v>
      </c>
      <c r="AI9" s="54">
        <f>IFERROR(__xludf.DUMMYFUNCTION("IFERROR(
  VLOOKUP(
    A9,
    IMPORTRANGE(
      ""1SCYQd7_cobOYqT0r_F0IqD4tE4rYn5y8Eup4PJTH8es"",
      ""Snapshot!A:M""
    ),
    9,
    FALSE
  ),
  0
)
"),2.0)</f>
        <v>2</v>
      </c>
      <c r="AJ9" s="54">
        <f>IFERROR(__xludf.DUMMYFUNCTION("IFERROR(
  VLOOKUP(
    A9,
    IMPORTRANGE(
      ""1SCYQd7_cobOYqT0r_F0IqD4tE4rYn5y8Eup4PJTH8es"",
      ""Snapshot!A:M""
    ),
    13,
    FALSE
  ),
  0
)
"),1.0)</f>
        <v>1</v>
      </c>
      <c r="AK9" s="49">
        <f t="shared" ref="AK9:AL9" si="40">LEN(C9)</f>
        <v>27</v>
      </c>
      <c r="AL9" s="49">
        <f t="shared" si="40"/>
        <v>80</v>
      </c>
    </row>
    <row r="10">
      <c r="A10" s="3" t="s">
        <v>281</v>
      </c>
      <c r="B10" s="1" t="str">
        <f>IFERROR(__xludf.DUMMYFUNCTION("IFERROR(
  VLOOKUP(
    A10,
    IMPORTRANGE(
      ""1ZygntHC1J6IxzKbTidmOyf5nUyW4GCLurHCjexrLm_o"",
      ""HTMLキャッシュ!A:F""
    ),
    2,
    FALSE
  ),
  0
)
"),"TP")</f>
        <v>TP</v>
      </c>
      <c r="C10" s="1" t="str">
        <f>IFERROR(__xludf.DUMMYFUNCTION("IFERROR(
  VLOOKUP(
    A10,
    IMPORTRANGE(
      ""1ZygntHC1J6IxzKbTidmOyf5nUyW4GCLurHCjexrLm_o"",
      ""HTMLキャッシュ!A:F""
    ),
    5,
    FALSE
  ),
  0
)
"),"エスコット｜定期試験と受験を両立｜中高一貫校１対１塾")</f>
        <v>エスコット｜定期試験と受験を両立｜中高一貫校１対１塾</v>
      </c>
      <c r="D10" s="1" t="str">
        <f>IFERROR(__xludf.DUMMYFUNCTION("IFERROR(
  VLOOKUP(
    A10,
    IMPORTRANGE(
      ""1ZygntHC1J6IxzKbTidmOyf5nUyW4GCLurHCjexrLm_o        "",
      ""HTMLキャッシュ!A:F""
    ),
    6,
    FALSE
  ),
  0
)
"),"中高一貫校専門エスコット。完全１対１で英数国の定期試験対策から大学受験まで一つにまとめる。東京四谷と全国オンライン対応。電子黒板で考え方を見える化し定着へ。")</f>
        <v>中高一貫校専門エスコット。完全１対１で英数国の定期試験対策から大学受験まで一つにまとめる。東京四谷と全国オンライン対応。電子黒板で考え方を見える化し定着へ。</v>
      </c>
      <c r="E10" s="32">
        <f>IFERROR(__xludf.DUMMYFUNCTION("IFERROR(
  VLOOKUP(
    A10,
    IMPORTRANGE(
      ""1ZygntHC1J6IxzKbTidmOyf5nUyW4GCLurHCjexrLm_o        "",
      ""HTMLキャッシュ!A:F""
    ),
    3,
    FALSE
  ),
  0
)
"),46071.899930555555)</f>
        <v>46071.89993</v>
      </c>
      <c r="F10" s="49">
        <f>IFERROR(__xludf.DUMMYFUNCTION("IFERROR(
  VLOOKUP(
    A10,
    IMPORTRANGE(
      ""1ZHMy3vVUd_0MrSduXTe1etBb1HNpAlGwQr006ljwMiM"",
      ""GSC最新!A:F""
    ),
    2,
    FALSE
  ),
  0
)
"),28.0)</f>
        <v>28</v>
      </c>
      <c r="G10" s="49">
        <f>IFERROR(__xludf.DUMMYFUNCTION("IFERROR(
  VLOOKUP(
    A10,
    IMPORTRANGE(
      ""1ZHMy3vVUd_0MrSduXTe1etBb1HNpAlGwQr006ljwMiM"",
      ""GSC最新!A:F""
    ),
    3,
    FALSE
  ),
  0
)
"),68.0)</f>
        <v>68</v>
      </c>
      <c r="H10" s="49">
        <f>IFERROR(__xludf.DUMMYFUNCTION("IFERROR(
  VLOOKUP(
    A10,
    IMPORTRANGE(
      ""1ZHMy3vVUd_0MrSduXTe1etBb1HNpAlGwQr006ljwMiM"",
      ""GSC最新!A:F""
    ),
    4,
    FALSE
  ),
  0
)
"),24.0)</f>
        <v>24</v>
      </c>
      <c r="I10" s="49">
        <f>IFERROR(__xludf.DUMMYFUNCTION("IFERROR(
  VLOOKUP(
    A10,
    IMPORTRANGE(
      ""1ZHMy3vVUd_0MrSduXTe1etBb1HNpAlGwQr006ljwMiM"",
      ""GSC最新!A:F""
    ),
    5,
    FALSE
  ),
  0
)
"),53.0)</f>
        <v>53</v>
      </c>
      <c r="J10" s="50">
        <f t="shared" ref="J10:K10" si="41">IFERROR(F10/H10,"-")</f>
        <v>1.166666667</v>
      </c>
      <c r="K10" s="50">
        <f t="shared" si="41"/>
        <v>1.283018868</v>
      </c>
      <c r="L10" s="6">
        <f>IFERROR(__xludf.DUMMYFUNCTION("IFERROR(
  VLOOKUP(
    A10,
    IMPORTRANGE(
      ""1ZHMy3vVUd_0MrSduXTe1etBb1HNpAlGwQr006ljwMiM"",
      ""GSC最新!A:R""
    ),
    7,
    FALSE
  ),
  0
)
"),1063.0)</f>
        <v>1063</v>
      </c>
      <c r="M10" s="6">
        <f>IFERROR(__xludf.DUMMYFUNCTION("IFERROR(
  VLOOKUP(
    A10,
    IMPORTRANGE(
      ""1ZHMy3vVUd_0MrSduXTe1etBb1HNpAlGwQr006ljwMiM"",
      ""GSC最新!A:R""
    ),
    10,
    FALSE
  ),
  0
)
"),2875.0)</f>
        <v>2875</v>
      </c>
      <c r="N10" s="6">
        <f>IFERROR(__xludf.DUMMYFUNCTION("IFERROR(
  VLOOKUP(
    A10,
    IMPORTRANGE(
      ""1ZHMy3vVUd_0MrSduXTe1etBb1HNpAlGwQr006ljwMiM"",
      ""GSC最新!A:R""
    ),
    13,
    FALSE
  ),
  0
)
"),2255.0)</f>
        <v>2255</v>
      </c>
      <c r="O10" s="6">
        <f>IFERROR(__xludf.DUMMYFUNCTION("IFERROR(
  VLOOKUP(
    A10,
    IMPORTRANGE(
      ""1ZHMy3vVUd_0MrSduXTe1etBb1HNpAlGwQr006ljwMiM"",
      ""GSC最新!A:R""
    ),
    16,
    FALSE
  ),
  0
)
"),5775.0)</f>
        <v>5775</v>
      </c>
      <c r="P10" s="51">
        <f t="shared" ref="P10:Q10" si="42">IFERROR(L10/N10,"-")</f>
        <v>0.4713968958</v>
      </c>
      <c r="Q10" s="51">
        <f t="shared" si="42"/>
        <v>0.4978354978</v>
      </c>
      <c r="R10" s="9">
        <f>IFERROR(__xludf.DUMMYFUNCTION("IFERROR(
  VLOOKUP(
    A10,
    IMPORTRANGE(
      ""1ZHMy3vVUd_0MrSduXTe1etBb1HNpAlGwQr006ljwMiM"",
      ""GSC最新!A:R""
    ),
    8,
    FALSE
  ),
  0
)
"),0.02634054562558796)</f>
        <v>0.02634054563</v>
      </c>
      <c r="S10" s="9">
        <f>IFERROR(__xludf.DUMMYFUNCTION("IFERROR(
  VLOOKUP(
    A10,
    IMPORTRANGE(
      ""1ZHMy3vVUd_0MrSduXTe1etBb1HNpAlGwQr006ljwMiM"",
      ""GSC最新!A:R""
    ),
    11,
    FALSE
  ),
  0
)
"),0.02365217391304348)</f>
        <v>0.02365217391</v>
      </c>
      <c r="T10" s="9">
        <f>IFERROR(__xludf.DUMMYFUNCTION("IFERROR(
  VLOOKUP(
    A10,
    IMPORTRANGE(
      ""1ZHMy3vVUd_0MrSduXTe1etBb1HNpAlGwQr006ljwMiM"",
      ""GSC最新!A:R""
    ),
    14,
    FALSE
  ),
  0
)
"),0.010643015521064302)</f>
        <v>0.01064301552</v>
      </c>
      <c r="U10" s="9">
        <f>IFERROR(__xludf.DUMMYFUNCTION("IFERROR(
  VLOOKUP(
    A10,
    IMPORTRANGE(
      ""1ZHMy3vVUd_0MrSduXTe1etBb1HNpAlGwQr006ljwMiM"",
      ""GSC最新!A:R""
    ),
    17,
    FALSE
  ),
  0
)
"),0.009177489177489178)</f>
        <v>0.009177489177</v>
      </c>
      <c r="V10" s="9">
        <f t="shared" ref="V10:W10" si="43">IFERROR(R10-T10,"-")</f>
        <v>0.0156975301</v>
      </c>
      <c r="W10" s="9">
        <f t="shared" si="43"/>
        <v>0.01447468474</v>
      </c>
      <c r="X10" s="65">
        <f>IFERROR(__xludf.DUMMYFUNCTION("IFERROR(
  VLOOKUP(
    A10,
    IMPORTRANGE(
      ""1ZHMy3vVUd_0MrSduXTe1etBb1HNpAlGwQr006ljwMiM"",
      ""GSC最新!A:R""
    ),
    9,
    FALSE
  ),
  0
)
"),9.852304797742239)</f>
        <v>9.852304798</v>
      </c>
      <c r="Y10" s="65">
        <f>IFERROR(__xludf.DUMMYFUNCTION("IFERROR(
  VLOOKUP(
    A10,
    IMPORTRANGE(
      ""1ZHMy3vVUd_0MrSduXTe1etBb1HNpAlGwQr006ljwMiM"",
      ""GSC最新!A:R""
    ),
    12,
    FALSE
  ),
  0
)
"),7.866434782608696)</f>
        <v>7.866434783</v>
      </c>
      <c r="Z10" s="65">
        <f>IFERROR(__xludf.DUMMYFUNCTION("IFERROR(
  VLOOKUP(
    A10,
    IMPORTRANGE(
      ""1ZHMy3vVUd_0MrSduXTe1etBb1HNpAlGwQr006ljwMiM"",
      ""GSC最新!A:R""
    ),
    15,
    FALSE
  ),
  0
)
"),35.450110864745014)</f>
        <v>35.45011086</v>
      </c>
      <c r="AA10" s="65">
        <f>IFERROR(__xludf.DUMMYFUNCTION("IFERROR(
  VLOOKUP(
    A10,
    IMPORTRANGE(
      ""1ZHMy3vVUd_0MrSduXTe1etBb1HNpAlGwQr006ljwMiM"",
      ""GSC最新!A:R""
    ),
    18,
    FALSE
  ),
  0
)
"),39.37974025974026)</f>
        <v>39.37974026</v>
      </c>
      <c r="AB10" s="65">
        <f t="shared" ref="AB10:AC10" si="44">X10-Z10</f>
        <v>-25.59780607</v>
      </c>
      <c r="AC10" s="65">
        <f t="shared" si="44"/>
        <v>-31.51330548</v>
      </c>
      <c r="AD10" s="53">
        <f>IFERROR(__xludf.DUMMYFUNCTION("IFERROR(
  VLOOKUP(
    A10,
    IMPORTRANGE(
      ""1ZHMy3vVUd_0MrSduXTe1etBb1HNpAlGwQr006ljwMiM"",
      ""GSC最新!A:F""
    ),
    6,
    FALSE
  ),
  0
)
"),46081.0)</f>
        <v>46081</v>
      </c>
      <c r="AE10" s="54">
        <f>IFERROR(__xludf.DUMMYFUNCTION("IFERROR(
  VLOOKUP(
    A10,
    IMPORTRANGE(
      ""1SCYQd7_cobOYqT0r_F0IqD4tE4rYn5y8Eup4PJTH8es"",
      ""Snapshot!A:M""
    ),
    5,
    FALSE
  ),
  ""-""
)
"),9.0)</f>
        <v>9</v>
      </c>
      <c r="AF10" s="54">
        <f>IFERROR(__xludf.DUMMYFUNCTION("IFERROR(
  VLOOKUP(
    A10,
    IMPORTRANGE(
      ""1SCYQd7_cobOYqT0r_F0IqD4tE4rYn5y8Eup4PJTH8es"",
      ""Snapshot!A:M""
    ),
    6,
    FALSE
  ),
  0
)
"),17.0)</f>
        <v>17</v>
      </c>
      <c r="AG10" s="54">
        <f>IFERROR(__xludf.DUMMYFUNCTION("IFERROR(
  VLOOKUP(
    A10,
    IMPORTRANGE(
      ""1SCYQd7_cobOYqT0r_F0IqD4tE4rYn5y8Eup4PJTH8es"",
      ""Snapshot!A:M""
    ),
    7,
    FALSE
  ),
  0
)
"),4492.0)</f>
        <v>4492</v>
      </c>
      <c r="AH10" s="54">
        <f>IFERROR(__xludf.DUMMYFUNCTION("IFERROR(
  VLOOKUP(
    A10,
    IMPORTRANGE(
      ""1SCYQd7_cobOYqT0r_F0IqD4tE4rYn5y8Eup4PJTH8es"",
      ""Snapshot!A:M""
    ),
    8,
    FALSE
  ),
  0
)
"),57.0)</f>
        <v>57</v>
      </c>
      <c r="AI10" s="54">
        <f>IFERROR(__xludf.DUMMYFUNCTION("IFERROR(
  VLOOKUP(
    A10,
    IMPORTRANGE(
      ""1SCYQd7_cobOYqT0r_F0IqD4tE4rYn5y8Eup4PJTH8es"",
      ""Snapshot!A:M""
    ),
    9,
    FALSE
  ),
  0
)
"),3.0)</f>
        <v>3</v>
      </c>
      <c r="AJ10" s="54">
        <f>IFERROR(__xludf.DUMMYFUNCTION("IFERROR(
  VLOOKUP(
    A10,
    IMPORTRANGE(
      ""1SCYQd7_cobOYqT0r_F0IqD4tE4rYn5y8Eup4PJTH8es"",
      ""Snapshot!A:M""
    ),
    13,
    FALSE
  ),
  0
)
"),2.0)</f>
        <v>2</v>
      </c>
      <c r="AK10" s="49">
        <f t="shared" ref="AK10:AL10" si="45">LEN(C10)</f>
        <v>26</v>
      </c>
      <c r="AL10" s="49">
        <f t="shared" si="45"/>
        <v>78</v>
      </c>
    </row>
    <row r="11">
      <c r="A11" s="3" t="s">
        <v>724</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"),"冬休みの勉強計画と過ごし方｜成績アップにつながる学習戦略")</f>
        <v>冬休みの勉強計画と過ごし方｜成績アップにつながる学習戦略</v>
      </c>
      <c r="D11" s="1" t="str">
        <f>IFERROR(__xludf.DUMMYFUNCTION("IFERROR(
  VLOOKUP(
    A11,
    IMPORTRANGE(
      ""1ZygntHC1J6IxzKbTidmOyf5nUyW4GCLurHCjexrLm_o        "",
      ""HTMLキャッシュ!A:F""
    ),
    6,
    FALSE
  ),
  0
)
"),"中1冬休みは課題→弱点→先取りで迷いを消す。2週間テンプレ（前半/中盤/後半）と平日休日の1日モデル、最低ラインを具体化。")</f>
        <v>中1冬休みは課題→弱点→先取りで迷いを消す。2週間テンプレ（前半/中盤/後半）と平日休日の1日モデル、最低ラインを具体化。</v>
      </c>
      <c r="E11" s="32">
        <f>IFERROR(__xludf.DUMMYFUNCTION("IFERROR(
  VLOOKUP(
    A11,
    IMPORTRANGE(
      ""1ZygntHC1J6IxzKbTidmOyf5nUyW4GCLurHCjexrLm_o        "",
      ""HTMLキャッシュ!A:F""
    ),
    3,
    FALSE
  ),
  0
)
"),46078.85575231481)</f>
        <v>46078.85575</v>
      </c>
      <c r="F11" s="49">
        <f>IFERROR(__xludf.DUMMYFUNCTION("IFERROR(
  VLOOKUP(
    A11,
    IMPORTRANGE(
      ""1ZHMy3vVUd_0MrSduXTe1etBb1HNpAlGwQr006ljwMiM"",
      ""GSC最新!A:F""
    ),
    2,
    FALSE
  ),
  0
)
"),0.0)</f>
        <v>0</v>
      </c>
      <c r="G11" s="49">
        <f>IFERROR(__xludf.DUMMYFUNCTION("IFERROR(
  VLOOKUP(
    A11,
    IMPORTRANGE(
      ""1ZHMy3vVUd_0MrSduXTe1etBb1HNpAlGwQr006ljwMiM"",
      ""GSC最新!A:F""
    ),
    3,
    FALSE
  ),
  0
)
"),58.0)</f>
        <v>58</v>
      </c>
      <c r="H11" s="49">
        <f>IFERROR(__xludf.DUMMYFUNCTION("IFERROR(
  VLOOKUP(
    A11,
    IMPORTRANGE(
      ""1ZHMy3vVUd_0MrSduXTe1etBb1HNpAlGwQr006ljwMiM"",
      ""GSC最新!A:F""
    ),
    4,
    FALSE
  ),
  0
)
"),0.0)</f>
        <v>0</v>
      </c>
      <c r="I11" s="49">
        <f>IFERROR(__xludf.DUMMYFUNCTION("IFERROR(
  VLOOKUP(
    A11,
    IMPORTRANGE(
      ""1ZHMy3vVUd_0MrSduXTe1etBb1HNpAlGwQr006ljwMiM"",
      ""GSC最新!A:F""
    ),
    5,
    FALSE
  ),
  0
)
"),82.0)</f>
        <v>82</v>
      </c>
      <c r="J11" s="50" t="str">
        <f t="shared" ref="J11:K11" si="46">IFERROR(F11/H11,"-")</f>
        <v>-</v>
      </c>
      <c r="K11" s="50">
        <f t="shared" si="46"/>
        <v>0.7073170732</v>
      </c>
      <c r="L11" s="6">
        <f>IFERROR(__xludf.DUMMYFUNCTION("IFERROR(
  VLOOKUP(
    A11,
    IMPORTRANGE(
      ""1ZHMy3vVUd_0MrSduXTe1etBb1HNpAlGwQr006ljwMiM"",
      ""GSC最新!A:R""
    ),
    7,
    FALSE
  ),
  0
)
"),95.0)</f>
        <v>95</v>
      </c>
      <c r="M11" s="6">
        <f>IFERROR(__xludf.DUMMYFUNCTION("IFERROR(
  VLOOKUP(
    A11,
    IMPORTRANGE(
      ""1ZHMy3vVUd_0MrSduXTe1etBb1HNpAlGwQr006ljwMiM"",
      ""GSC最新!A:R""
    ),
    10,
    FALSE
  ),
  0
)
"),1249.0)</f>
        <v>1249</v>
      </c>
      <c r="N11" s="6">
        <f>IFERROR(__xludf.DUMMYFUNCTION("IFERROR(
  VLOOKUP(
    A11,
    IMPORTRANGE(
      ""1ZHMy3vVUd_0MrSduXTe1etBb1HNpAlGwQr006ljwMiM"",
      ""GSC最新!A:R""
    ),
    13,
    FALSE
  ),
  0
)
"),212.0)</f>
        <v>212</v>
      </c>
      <c r="O11" s="6">
        <f>IFERROR(__xludf.DUMMYFUNCTION("IFERROR(
  VLOOKUP(
    A11,
    IMPORTRANGE(
      ""1ZHMy3vVUd_0MrSduXTe1etBb1HNpAlGwQr006ljwMiM"",
      ""GSC最新!A:R""
    ),
    16,
    FALSE
  ),
  0
)
"),902.0)</f>
        <v>902</v>
      </c>
      <c r="P11" s="51">
        <f t="shared" ref="P11:Q11" si="47">IFERROR(L11/N11,"-")</f>
        <v>0.4481132075</v>
      </c>
      <c r="Q11" s="51">
        <f t="shared" si="47"/>
        <v>1.384700665</v>
      </c>
      <c r="R11" s="9">
        <f>IFERROR(__xludf.DUMMYFUNCTION("IFERROR(
  VLOOKUP(
    A11,
    IMPORTRANGE(
      ""1ZHMy3vVUd_0MrSduXTe1etBb1HNpAlGwQr006ljwMiM"",
      ""GSC最新!A:R""
    ),
    8,
    FALSE
  ),
  0
)
"),0.0)</f>
        <v>0</v>
      </c>
      <c r="S11" s="9">
        <f>IFERROR(__xludf.DUMMYFUNCTION("IFERROR(
  VLOOKUP(
    A11,
    IMPORTRANGE(
      ""1ZHMy3vVUd_0MrSduXTe1etBb1HNpAlGwQr006ljwMiM"",
      ""GSC最新!A:R""
    ),
    11,
    FALSE
  ),
  0
)
"),0.04643714971977582)</f>
        <v>0.04643714972</v>
      </c>
      <c r="T11" s="9">
        <f>IFERROR(__xludf.DUMMYFUNCTION("IFERROR(
  VLOOKUP(
    A11,
    IMPORTRANGE(
      ""1ZHMy3vVUd_0MrSduXTe1etBb1HNpAlGwQr006ljwMiM"",
      ""GSC最新!A:R""
    ),
    14,
    FALSE
  ),
  0
)
"),0.0)</f>
        <v>0</v>
      </c>
      <c r="U11" s="9">
        <f>IFERROR(__xludf.DUMMYFUNCTION("IFERROR(
  VLOOKUP(
    A11,
    IMPORTRANGE(
      ""1ZHMy3vVUd_0MrSduXTe1etBb1HNpAlGwQr006ljwMiM"",
      ""GSC最新!A:R""
    ),
    17,
    FALSE
  ),
  0
)
"),0.09090909090909091)</f>
        <v>0.09090909091</v>
      </c>
      <c r="V11" s="9">
        <f t="shared" ref="V11:W11" si="48">IFERROR(R11-T11,"-")</f>
        <v>0</v>
      </c>
      <c r="W11" s="9">
        <f t="shared" si="48"/>
        <v>-0.04447194119</v>
      </c>
      <c r="X11" s="65">
        <f>IFERROR(__xludf.DUMMYFUNCTION("IFERROR(
  VLOOKUP(
    A11,
    IMPORTRANGE(
      ""1ZHMy3vVUd_0MrSduXTe1etBb1HNpAlGwQr006ljwMiM"",
      ""GSC最新!A:R""
    ),
    9,
    FALSE
  ),
  0
)
"),10.08421052631579)</f>
        <v>10.08421053</v>
      </c>
      <c r="Y11" s="65">
        <f>IFERROR(__xludf.DUMMYFUNCTION("IFERROR(
  VLOOKUP(
    A11,
    IMPORTRANGE(
      ""1ZHMy3vVUd_0MrSduXTe1etBb1HNpAlGwQr006ljwMiM"",
      ""GSC最新!A:R""
    ),
    12,
    FALSE
  ),
  0
)
"),5.954363490792634)</f>
        <v>5.954363491</v>
      </c>
      <c r="Z11" s="65">
        <f>IFERROR(__xludf.DUMMYFUNCTION("IFERROR(
  VLOOKUP(
    A11,
    IMPORTRANGE(
      ""1ZHMy3vVUd_0MrSduXTe1etBb1HNpAlGwQr006ljwMiM"",
      ""GSC最新!A:R""
    ),
    15,
    FALSE
  ),
  0
)
"),48.91509433962264)</f>
        <v>48.91509434</v>
      </c>
      <c r="AA11" s="65">
        <f>IFERROR(__xludf.DUMMYFUNCTION("IFERROR(
  VLOOKUP(
    A11,
    IMPORTRANGE(
      ""1ZHMy3vVUd_0MrSduXTe1etBb1HNpAlGwQr006ljwMiM"",
      ""GSC最新!A:R""
    ),
    18,
    FALSE
  ),
  0
)
"),40.888026607538805)</f>
        <v>40.88802661</v>
      </c>
      <c r="AB11" s="65">
        <f t="shared" ref="AB11:AC11" si="49">X11-Z11</f>
        <v>-38.83088381</v>
      </c>
      <c r="AC11" s="65">
        <f t="shared" si="49"/>
        <v>-34.93366312</v>
      </c>
      <c r="AD11" s="53">
        <f>IFERROR(__xludf.DUMMYFUNCTION("IFERROR(
  VLOOKUP(
    A11,
    IMPORTRANGE(
      ""1ZHMy3vVUd_0MrSduXTe1etBb1HNpAlGwQr006ljwMiM"",
      ""GSC最新!A:F""
    ),
    6,
    FALSE
  ),
  0
)
"),46081.0)</f>
        <v>46081</v>
      </c>
      <c r="AE11" s="54">
        <f>IFERROR(__xludf.DUMMYFUNCTION("IFERROR(
  VLOOKUP(
    A11,
    IMPORTRANGE(
      ""1SCYQd7_cobOYqT0r_F0IqD4tE4rYn5y8Eup4PJTH8es"",
      ""Snapshot!A:M""
    ),
    5,
    FALSE
  ),
  ""-""
)
"),15.0)</f>
        <v>15</v>
      </c>
      <c r="AF11" s="54">
        <f>IFERROR(__xludf.DUMMYFUNCTION("IFERROR(
  VLOOKUP(
    A11,
    IMPORTRANGE(
      ""1SCYQd7_cobOYqT0r_F0IqD4tE4rYn5y8Eup4PJTH8es"",
      ""Snapshot!A:M""
    ),
    6,
    FALSE
  ),
  0
)
"),21.0)</f>
        <v>21</v>
      </c>
      <c r="AG11" s="54">
        <f>IFERROR(__xludf.DUMMYFUNCTION("IFERROR(
  VLOOKUP(
    A11,
    IMPORTRANGE(
      ""1SCYQd7_cobOYqT0r_F0IqD4tE4rYn5y8Eup4PJTH8es"",
      ""Snapshot!A:M""
    ),
    7,
    FALSE
  ),
  0
)
"),5154.0)</f>
        <v>5154</v>
      </c>
      <c r="AH11" s="54">
        <f>IFERROR(__xludf.DUMMYFUNCTION("IFERROR(
  VLOOKUP(
    A11,
    IMPORTRANGE(
      ""1SCYQd7_cobOYqT0r_F0IqD4tE4rYn5y8Eup4PJTH8es"",
      ""Snapshot!A:M""
    ),
    8,
    FALSE
  ),
  0
)
"),7.0)</f>
        <v>7</v>
      </c>
      <c r="AI11" s="54">
        <f>IFERROR(__xludf.DUMMYFUNCTION("IFERROR(
  VLOOKUP(
    A11,
    IMPORTRANGE(
      ""1SCYQd7_cobOYqT0r_F0IqD4tE4rYn5y8Eup4PJTH8es"",
      ""Snapshot!A:M""
    ),
    9,
    FALSE
  ),
  0
)
"),4.0)</f>
        <v>4</v>
      </c>
      <c r="AJ11" s="54">
        <f>IFERROR(__xludf.DUMMYFUNCTION("IFERROR(
  VLOOKUP(
    A11,
    IMPORTRANGE(
      ""1SCYQd7_cobOYqT0r_F0IqD4tE4rYn5y8Eup4PJTH8es"",
      ""Snapshot!A:M""
    ),
    13,
    FALSE
  ),
  0
)
"),2.0)</f>
        <v>2</v>
      </c>
      <c r="AK11" s="49">
        <f t="shared" ref="AK11:AL11" si="50">LEN(C11)</f>
        <v>28</v>
      </c>
      <c r="AL11" s="49">
        <f t="shared" si="50"/>
        <v>61</v>
      </c>
    </row>
    <row r="12">
      <c r="A12" s="3" t="s">
        <v>725</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"),"Birdland意味｜英語教科書の正体と対策｜中高一貫英語")</f>
        <v>Birdland意味｜英語教科書の正体と対策｜中高一貫英語</v>
      </c>
      <c r="D12" s="1" t="str">
        <f>IFERROR(__xludf.DUMMYFUNCTION("IFERROR(
  VLOOKUP(
    A12,
    IMPORTRANGE(
      ""1ZygntHC1J6IxzKbTidmOyf5nUyW4GCLurHCjexrLm_o        "",
      ""HTMLキャッシュ!A:F""
    ),
    6,
    FALSE
  ),
  0
)
"),"Birdlandは中高一貫校で使われる英語教科書名。予習が終わらない／復習が止まる起点を整理し、文法・構文と語彙を分けて回す方法を紹介。")</f>
        <v>Birdlandは中高一貫校で使われる英語教科書名。予習が終わらない／復習が止まる起点を整理し、文法・構文と語彙を分けて回す方法を紹介。</v>
      </c>
      <c r="E12" s="32">
        <f>IFERROR(__xludf.DUMMYFUNCTION("IFERROR(
  VLOOKUP(
    A12,
    IMPORTRANGE(
      ""1ZygntHC1J6IxzKbTidmOyf5nUyW4GCLurHCjexrLm_o        "",
      ""HTMLキャッシュ!A:F""
    ),
    3,
    FALSE
  ),
  0
)
"),46078.612488425926)</f>
        <v>46078.61249</v>
      </c>
      <c r="F12" s="49">
        <f>IFERROR(__xludf.DUMMYFUNCTION("IFERROR(
  VLOOKUP(
    A12,
    IMPORTRANGE(
      ""1ZHMy3vVUd_0MrSduXTe1etBb1HNpAlGwQr006ljwMiM"",
      ""GSC最新!A:F""
    ),
    2,
    FALSE
  ),
  0
)
"),23.0)</f>
        <v>23</v>
      </c>
      <c r="G12" s="49">
        <f>IFERROR(__xludf.DUMMYFUNCTION("IFERROR(
  VLOOKUP(
    A12,
    IMPORTRANGE(
      ""1ZHMy3vVUd_0MrSduXTe1etBb1HNpAlGwQr006ljwMiM"",
      ""GSC最新!A:F""
    ),
    3,
    FALSE
  ),
  0
)
"),52.0)</f>
        <v>52</v>
      </c>
      <c r="H12" s="49">
        <f>IFERROR(__xludf.DUMMYFUNCTION("IFERROR(
  VLOOKUP(
    A12,
    IMPORTRANGE(
      ""1ZHMy3vVUd_0MrSduXTe1etBb1HNpAlGwQr006ljwMiM"",
      ""GSC最新!A:F""
    ),
    4,
    FALSE
  ),
  0
)
"),13.0)</f>
        <v>13</v>
      </c>
      <c r="I12" s="49">
        <f>IFERROR(__xludf.DUMMYFUNCTION("IFERROR(
  VLOOKUP(
    A12,
    IMPORTRANGE(
      ""1ZHMy3vVUd_0MrSduXTe1etBb1HNpAlGwQr006ljwMiM"",
      ""GSC最新!A:F""
    ),
    5,
    FALSE
  ),
  0
)
"),34.0)</f>
        <v>34</v>
      </c>
      <c r="J12" s="50">
        <f t="shared" ref="J12:K12" si="51">IFERROR(F12/H12,"-")</f>
        <v>1.769230769</v>
      </c>
      <c r="K12" s="50">
        <f t="shared" si="51"/>
        <v>1.529411765</v>
      </c>
      <c r="L12" s="6">
        <f>IFERROR(__xludf.DUMMYFUNCTION("IFERROR(
  VLOOKUP(
    A12,
    IMPORTRANGE(
      ""1ZHMy3vVUd_0MrSduXTe1etBb1HNpAlGwQr006ljwMiM"",
      ""GSC最新!A:R""
    ),
    7,
    FALSE
  ),
  0
)
"),241.0)</f>
        <v>241</v>
      </c>
      <c r="M12" s="6">
        <f>IFERROR(__xludf.DUMMYFUNCTION("IFERROR(
  VLOOKUP(
    A12,
    IMPORTRANGE(
      ""1ZHMy3vVUd_0MrSduXTe1etBb1HNpAlGwQr006ljwMiM"",
      ""GSC最新!A:R""
    ),
    10,
    FALSE
  ),
  0
)
"),561.0)</f>
        <v>561</v>
      </c>
      <c r="N12" s="6">
        <f>IFERROR(__xludf.DUMMYFUNCTION("IFERROR(
  VLOOKUP(
    A12,
    IMPORTRANGE(
      ""1ZHMy3vVUd_0MrSduXTe1etBb1HNpAlGwQr006ljwMiM"",
      ""GSC最新!A:R""
    ),
    13,
    FALSE
  ),
  0
)
"),119.0)</f>
        <v>119</v>
      </c>
      <c r="O12" s="6">
        <f>IFERROR(__xludf.DUMMYFUNCTION("IFERROR(
  VLOOKUP(
    A12,
    IMPORTRANGE(
      ""1ZHMy3vVUd_0MrSduXTe1etBb1HNpAlGwQr006ljwMiM"",
      ""GSC最新!A:R""
    ),
    16,
    FALSE
  ),
  0
)
"),675.0)</f>
        <v>675</v>
      </c>
      <c r="P12" s="51">
        <f t="shared" ref="P12:Q12" si="52">IFERROR(L12/N12,"-")</f>
        <v>2.025210084</v>
      </c>
      <c r="Q12" s="51">
        <f t="shared" si="52"/>
        <v>0.8311111111</v>
      </c>
      <c r="R12" s="9">
        <f>IFERROR(__xludf.DUMMYFUNCTION("IFERROR(
  VLOOKUP(
    A12,
    IMPORTRANGE(
      ""1ZHMy3vVUd_0MrSduXTe1etBb1HNpAlGwQr006ljwMiM"",
      ""GSC最新!A:R""
    ),
    8,
    FALSE
  ),
  0
)
"),0.0954356846473029)</f>
        <v>0.09543568465</v>
      </c>
      <c r="S12" s="9">
        <f>IFERROR(__xludf.DUMMYFUNCTION("IFERROR(
  VLOOKUP(
    A12,
    IMPORTRANGE(
      ""1ZHMy3vVUd_0MrSduXTe1etBb1HNpAlGwQr006ljwMiM"",
      ""GSC最新!A:R""
    ),
    11,
    FALSE
  ),
  0
)
"),0.09269162210338681)</f>
        <v>0.0926916221</v>
      </c>
      <c r="T12" s="9">
        <f>IFERROR(__xludf.DUMMYFUNCTION("IFERROR(
  VLOOKUP(
    A12,
    IMPORTRANGE(
      ""1ZHMy3vVUd_0MrSduXTe1etBb1HNpAlGwQr006ljwMiM"",
      ""GSC最新!A:R""
    ),
    14,
    FALSE
  ),
  0
)
"),0.1092436974789916)</f>
        <v>0.1092436975</v>
      </c>
      <c r="U12" s="9">
        <f>IFERROR(__xludf.DUMMYFUNCTION("IFERROR(
  VLOOKUP(
    A12,
    IMPORTRANGE(
      ""1ZHMy3vVUd_0MrSduXTe1etBb1HNpAlGwQr006ljwMiM"",
      ""GSC最新!A:R""
    ),
    17,
    FALSE
  ),
  0
)
"),0.05037037037037037)</f>
        <v>0.05037037037</v>
      </c>
      <c r="V12" s="9">
        <f t="shared" ref="V12:W12" si="53">IFERROR(R12-T12,"-")</f>
        <v>-0.01380801283</v>
      </c>
      <c r="W12" s="9">
        <f t="shared" si="53"/>
        <v>0.04232125173</v>
      </c>
      <c r="X12" s="65">
        <f>IFERROR(__xludf.DUMMYFUNCTION("IFERROR(
  VLOOKUP(
    A12,
    IMPORTRANGE(
      ""1ZHMy3vVUd_0MrSduXTe1etBb1HNpAlGwQr006ljwMiM"",
      ""GSC最新!A:R""
    ),
    9,
    FALSE
  ),
  0
)
"),2.8464730290456433)</f>
        <v>2.846473029</v>
      </c>
      <c r="Y12" s="65">
        <f>IFERROR(__xludf.DUMMYFUNCTION("IFERROR(
  VLOOKUP(
    A12,
    IMPORTRANGE(
      ""1ZHMy3vVUd_0MrSduXTe1etBb1HNpAlGwQr006ljwMiM"",
      ""GSC最新!A:R""
    ),
    12,
    FALSE
  ),
  0
)
"),3.064171122994652)</f>
        <v>3.064171123</v>
      </c>
      <c r="Z12" s="65">
        <f>IFERROR(__xludf.DUMMYFUNCTION("IFERROR(
  VLOOKUP(
    A12,
    IMPORTRANGE(
      ""1ZHMy3vVUd_0MrSduXTe1etBb1HNpAlGwQr006ljwMiM"",
      ""GSC最新!A:R""
    ),
    15,
    FALSE
  ),
  0
)
"),8.815126050420169)</f>
        <v>8.81512605</v>
      </c>
      <c r="AA12" s="65">
        <f>IFERROR(__xludf.DUMMYFUNCTION("IFERROR(
  VLOOKUP(
    A12,
    IMPORTRANGE(
      ""1ZHMy3vVUd_0MrSduXTe1etBb1HNpAlGwQr006ljwMiM"",
      ""GSC最新!A:R""
    ),
    18,
    FALSE
  ),
  0
)
"),10.669629629629629)</f>
        <v>10.66962963</v>
      </c>
      <c r="AB12" s="65">
        <f t="shared" ref="AB12:AC12" si="54">X12-Z12</f>
        <v>-5.968653021</v>
      </c>
      <c r="AC12" s="65">
        <f t="shared" si="54"/>
        <v>-7.605458507</v>
      </c>
      <c r="AD12" s="53">
        <f>IFERROR(__xludf.DUMMYFUNCTION("IFERROR(
  VLOOKUP(
    A12,
    IMPORTRANGE(
      ""1ZHMy3vVUd_0MrSduXTe1etBb1HNpAlGwQr006ljwMiM"",
      ""GSC最新!A:F""
    ),
    6,
    FALSE
  ),
  0
)
"),46081.0)</f>
        <v>46081</v>
      </c>
      <c r="AE12" s="54">
        <f>IFERROR(__xludf.DUMMYFUNCTION("IFERROR(
  VLOOKUP(
    A12,
    IMPORTRANGE(
      ""1SCYQd7_cobOYqT0r_F0IqD4tE4rYn5y8Eup4PJTH8es"",
      ""Snapshot!A:M""
    ),
    5,
    FALSE
  ),
  ""-""
)
"),5.0)</f>
        <v>5</v>
      </c>
      <c r="AF12" s="54">
        <f>IFERROR(__xludf.DUMMYFUNCTION("IFERROR(
  VLOOKUP(
    A12,
    IMPORTRANGE(
      ""1SCYQd7_cobOYqT0r_F0IqD4tE4rYn5y8Eup4PJTH8es"",
      ""Snapshot!A:M""
    ),
    6,
    FALSE
  ),
  0
)
"),16.0)</f>
        <v>16</v>
      </c>
      <c r="AG12" s="54">
        <f>IFERROR(__xludf.DUMMYFUNCTION("IFERROR(
  VLOOKUP(
    A12,
    IMPORTRANGE(
      ""1SCYQd7_cobOYqT0r_F0IqD4tE4rYn5y8Eup4PJTH8es"",
      ""Snapshot!A:M""
    ),
    7,
    FALSE
  ),
  0
)
"),3776.0)</f>
        <v>3776</v>
      </c>
      <c r="AH12" s="54">
        <f>IFERROR(__xludf.DUMMYFUNCTION("IFERROR(
  VLOOKUP(
    A12,
    IMPORTRANGE(
      ""1SCYQd7_cobOYqT0r_F0IqD4tE4rYn5y8Eup4PJTH8es"",
      ""Snapshot!A:M""
    ),
    8,
    FALSE
  ),
  0
)
"),10.0)</f>
        <v>10</v>
      </c>
      <c r="AI12" s="54">
        <f>IFERROR(__xludf.DUMMYFUNCTION("IFERROR(
  VLOOKUP(
    A12,
    IMPORTRANGE(
      ""1SCYQd7_cobOYqT0r_F0IqD4tE4rYn5y8Eup4PJTH8es"",
      ""Snapshot!A:M""
    ),
    9,
    FALSE
  ),
  0
)
"),1.0)</f>
        <v>1</v>
      </c>
      <c r="AJ12" s="54">
        <f>IFERROR(__xludf.DUMMYFUNCTION("IFERROR(
  VLOOKUP(
    A12,
    IMPORTRANGE(
      ""1SCYQd7_cobOYqT0r_F0IqD4tE4rYn5y8Eup4PJTH8es"",
      ""Snapshot!A:M""
    ),
    13,
    FALSE
  ),
  0
)
"),1.0)</f>
        <v>1</v>
      </c>
      <c r="AK12" s="49">
        <f t="shared" ref="AK12:AL12" si="55">LEN(C12)</f>
        <v>29</v>
      </c>
      <c r="AL12" s="49">
        <f t="shared" si="55"/>
        <v>68</v>
      </c>
    </row>
    <row r="13">
      <c r="A13" s="3" t="s">
        <v>726</v>
      </c>
      <c r="B13" s="1" t="str">
        <f>IFERROR(__xludf.DUMMYFUNCTION("IFERROR(
  VLOOKUP(
    A13,
    IMPORTRANGE(
      ""1ZygntHC1J6IxzKbTidmOyf5nUyW4GCLurHCjexrLm_o"",
      ""HTMLキャッシュ!A:F""
    ),
    2,
    FALSE
  ),
  0
)
"),"SC")</f>
        <v>SC</v>
      </c>
      <c r="C13" s="1" t="str">
        <f>IFERROR(__xludf.DUMMYFUNCTION("IFERROR(
  VLOOKUP(
    A13,
    IMPORTRANGE(
      ""1ZygntHC1J6IxzKbTidmOyf5nUyW4GCLurHCjexrLm_o"",
      ""HTMLキャッシュ!A:F""
    ),
    5,
    FALSE
  ),
  0
)
"),"数学が苦手な人の脳｜頭が真っ白になる原因とやり直し｜中高生")</f>
        <v>数学が苦手な人の脳｜頭が真っ白になる原因とやり直し｜中高生</v>
      </c>
      <c r="D13" s="1" t="str">
        <f>IFERROR(__xludf.DUMMYFUNCTION("IFERROR(
  VLOOKUP(
    A13,
    IMPORTRANGE(
      ""1ZygntHC1J6IxzKbTidmOyf5nUyW4GCLurHCjexrLm_o        "",
      ""HTMLキャッシュ!A:F""
    ),
    6,
    FALSE
  ),
  0
)
"),"数学が苦手な人の脳で起きやすい拒否反応を整理。頭が真っ白になる理由を言葉にし、つまずき単元の見つけ方と基礎＋反復のやり直し方を中高生向けにまとめます。")</f>
        <v>数学が苦手な人の脳で起きやすい拒否反応を整理。頭が真っ白になる理由を言葉にし、つまずき単元の見つけ方と基礎＋反復のやり直し方を中高生向けにまとめます。</v>
      </c>
      <c r="E13" s="32">
        <f>IFERROR(__xludf.DUMMYFUNCTION("IFERROR(
  VLOOKUP(
    A13,
    IMPORTRANGE(
      ""1ZygntHC1J6IxzKbTidmOyf5nUyW4GCLurHCjexrLm_o        "",
      ""HTMLキャッシュ!A:F""
    ),
    3,
    FALSE
  ),
  0
)
"),46078.854375)</f>
        <v>46078.85438</v>
      </c>
      <c r="F13" s="49">
        <f>IFERROR(__xludf.DUMMYFUNCTION("IFERROR(
  VLOOKUP(
    A13,
    IMPORTRANGE(
      ""1ZHMy3vVUd_0MrSduXTe1etBb1HNpAlGwQr006ljwMiM"",
      ""GSC最新!A:F""
    ),
    2,
    FALSE
  ),
  0
)
"),19.0)</f>
        <v>19</v>
      </c>
      <c r="G13" s="49">
        <f>IFERROR(__xludf.DUMMYFUNCTION("IFERROR(
  VLOOKUP(
    A13,
    IMPORTRANGE(
      ""1ZHMy3vVUd_0MrSduXTe1etBb1HNpAlGwQr006ljwMiM"",
      ""GSC最新!A:F""
    ),
    3,
    FALSE
  ),
  0
)
"),31.0)</f>
        <v>31</v>
      </c>
      <c r="H13" s="49">
        <f>IFERROR(__xludf.DUMMYFUNCTION("IFERROR(
  VLOOKUP(
    A13,
    IMPORTRANGE(
      ""1ZHMy3vVUd_0MrSduXTe1etBb1HNpAlGwQr006ljwMiM"",
      ""GSC最新!A:F""
    ),
    4,
    FALSE
  ),
  0
)
"),17.0)</f>
        <v>17</v>
      </c>
      <c r="I13" s="49">
        <f>IFERROR(__xludf.DUMMYFUNCTION("IFERROR(
  VLOOKUP(
    A13,
    IMPORTRANGE(
      ""1ZHMy3vVUd_0MrSduXTe1etBb1HNpAlGwQr006ljwMiM"",
      ""GSC最新!A:F""
    ),
    5,
    FALSE
  ),
  0
)
"),55.0)</f>
        <v>55</v>
      </c>
      <c r="J13" s="50">
        <f t="shared" ref="J13:K13" si="56">IFERROR(F13/H13,"-")</f>
        <v>1.117647059</v>
      </c>
      <c r="K13" s="50">
        <f t="shared" si="56"/>
        <v>0.5636363636</v>
      </c>
      <c r="L13" s="6">
        <f>IFERROR(__xludf.DUMMYFUNCTION("IFERROR(
  VLOOKUP(
    A13,
    IMPORTRANGE(
      ""1ZHMy3vVUd_0MrSduXTe1etBb1HNpAlGwQr006ljwMiM"",
      ""GSC最新!A:R""
    ),
    7,
    FALSE
  ),
  0
)
"),794.0)</f>
        <v>794</v>
      </c>
      <c r="M13" s="6">
        <f>IFERROR(__xludf.DUMMYFUNCTION("IFERROR(
  VLOOKUP(
    A13,
    IMPORTRANGE(
      ""1ZHMy3vVUd_0MrSduXTe1etBb1HNpAlGwQr006ljwMiM"",
      ""GSC最新!A:R""
    ),
    10,
    FALSE
  ),
  0
)
"),1937.0)</f>
        <v>1937</v>
      </c>
      <c r="N13" s="6">
        <f>IFERROR(__xludf.DUMMYFUNCTION("IFERROR(
  VLOOKUP(
    A13,
    IMPORTRANGE(
      ""1ZHMy3vVUd_0MrSduXTe1etBb1HNpAlGwQr006ljwMiM"",
      ""GSC最新!A:R""
    ),
    13,
    FALSE
  ),
  0
)
"),298.0)</f>
        <v>298</v>
      </c>
      <c r="O13" s="6">
        <f>IFERROR(__xludf.DUMMYFUNCTION("IFERROR(
  VLOOKUP(
    A13,
    IMPORTRANGE(
      ""1ZHMy3vVUd_0MrSduXTe1etBb1HNpAlGwQr006ljwMiM"",
      ""GSC最新!A:R""
    ),
    16,
    FALSE
  ),
  0
)
"),1025.0)</f>
        <v>1025</v>
      </c>
      <c r="P13" s="51">
        <f t="shared" ref="P13:Q13" si="57">IFERROR(L13/N13,"-")</f>
        <v>2.66442953</v>
      </c>
      <c r="Q13" s="51">
        <f t="shared" si="57"/>
        <v>1.889756098</v>
      </c>
      <c r="R13" s="9">
        <f>IFERROR(__xludf.DUMMYFUNCTION("IFERROR(
  VLOOKUP(
    A13,
    IMPORTRANGE(
      ""1ZHMy3vVUd_0MrSduXTe1etBb1HNpAlGwQr006ljwMiM"",
      ""GSC最新!A:R""
    ),
    8,
    FALSE
  ),
  0
)
"),0.02392947103274559)</f>
        <v>0.02392947103</v>
      </c>
      <c r="S13" s="9">
        <f>IFERROR(__xludf.DUMMYFUNCTION("IFERROR(
  VLOOKUP(
    A13,
    IMPORTRANGE(
      ""1ZHMy3vVUd_0MrSduXTe1etBb1HNpAlGwQr006ljwMiM"",
      ""GSC最新!A:R""
    ),
    11,
    FALSE
  ),
  0
)
"),0.01600413009808983)</f>
        <v>0.0160041301</v>
      </c>
      <c r="T13" s="9">
        <f>IFERROR(__xludf.DUMMYFUNCTION("IFERROR(
  VLOOKUP(
    A13,
    IMPORTRANGE(
      ""1ZHMy3vVUd_0MrSduXTe1etBb1HNpAlGwQr006ljwMiM"",
      ""GSC最新!A:R""
    ),
    14,
    FALSE
  ),
  0
)
"),0.05704697986577181)</f>
        <v>0.05704697987</v>
      </c>
      <c r="U13" s="9">
        <f>IFERROR(__xludf.DUMMYFUNCTION("IFERROR(
  VLOOKUP(
    A13,
    IMPORTRANGE(
      ""1ZHMy3vVUd_0MrSduXTe1etBb1HNpAlGwQr006ljwMiM"",
      ""GSC最新!A:R""
    ),
    17,
    FALSE
  ),
  0
)
"),0.05365853658536585)</f>
        <v>0.05365853659</v>
      </c>
      <c r="V13" s="9">
        <f t="shared" ref="V13:W13" si="58">IFERROR(R13-T13,"-")</f>
        <v>-0.03311750883</v>
      </c>
      <c r="W13" s="9">
        <f t="shared" si="58"/>
        <v>-0.03765440649</v>
      </c>
      <c r="X13" s="65">
        <f>IFERROR(__xludf.DUMMYFUNCTION("IFERROR(
  VLOOKUP(
    A13,
    IMPORTRANGE(
      ""1ZHMy3vVUd_0MrSduXTe1etBb1HNpAlGwQr006ljwMiM"",
      ""GSC最新!A:R""
    ),
    9,
    FALSE
  ),
  0
)
"),3.9105793450881614)</f>
        <v>3.910579345</v>
      </c>
      <c r="Y13" s="65">
        <f>IFERROR(__xludf.DUMMYFUNCTION("IFERROR(
  VLOOKUP(
    A13,
    IMPORTRANGE(
      ""1ZHMy3vVUd_0MrSduXTe1etBb1HNpAlGwQr006ljwMiM"",
      ""GSC最新!A:R""
    ),
    12,
    FALSE
  ),
  0
)
"),4.05162622612287)</f>
        <v>4.051626226</v>
      </c>
      <c r="Z13" s="65">
        <f>IFERROR(__xludf.DUMMYFUNCTION("IFERROR(
  VLOOKUP(
    A13,
    IMPORTRANGE(
      ""1ZHMy3vVUd_0MrSduXTe1etBb1HNpAlGwQr006ljwMiM"",
      ""GSC最新!A:R""
    ),
    15,
    FALSE
  ),
  0
)
"),7.503355704697986)</f>
        <v>7.503355705</v>
      </c>
      <c r="AA13" s="65">
        <f>IFERROR(__xludf.DUMMYFUNCTION("IFERROR(
  VLOOKUP(
    A13,
    IMPORTRANGE(
      ""1ZHMy3vVUd_0MrSduXTe1etBb1HNpAlGwQr006ljwMiM"",
      ""GSC最新!A:R""
    ),
    18,
    FALSE
  ),
  0
)
"),6.8585365853658535)</f>
        <v>6.858536585</v>
      </c>
      <c r="AB13" s="65">
        <f t="shared" ref="AB13:AC13" si="59">X13-Z13</f>
        <v>-3.59277636</v>
      </c>
      <c r="AC13" s="65">
        <f t="shared" si="59"/>
        <v>-2.806910359</v>
      </c>
      <c r="AD13" s="53">
        <f>IFERROR(__xludf.DUMMYFUNCTION("IFERROR(
  VLOOKUP(
    A13,
    IMPORTRANGE(
      ""1ZHMy3vVUd_0MrSduXTe1etBb1HNpAlGwQr006ljwMiM"",
      ""GSC最新!A:F""
    ),
    6,
    FALSE
  ),
  0
)
"),46081.0)</f>
        <v>46081</v>
      </c>
      <c r="AE13" s="54">
        <f>IFERROR(__xludf.DUMMYFUNCTION("IFERROR(
  VLOOKUP(
    A13,
    IMPORTRANGE(
      ""1SCYQd7_cobOYqT0r_F0IqD4tE4rYn5y8Eup4PJTH8es"",
      ""Snapshot!A:M""
    ),
    5,
    FALSE
  ),
  ""-""
)
"),5.0)</f>
        <v>5</v>
      </c>
      <c r="AF13" s="54">
        <f>IFERROR(__xludf.DUMMYFUNCTION("IFERROR(
  VLOOKUP(
    A13,
    IMPORTRANGE(
      ""1SCYQd7_cobOYqT0r_F0IqD4tE4rYn5y8Eup4PJTH8es"",
      ""Snapshot!A:M""
    ),
    6,
    FALSE
  ),
  0
)
"),6.0)</f>
        <v>6</v>
      </c>
      <c r="AG13" s="54">
        <f>IFERROR(__xludf.DUMMYFUNCTION("IFERROR(
  VLOOKUP(
    A13,
    IMPORTRANGE(
      ""1SCYQd7_cobOYqT0r_F0IqD4tE4rYn5y8Eup4PJTH8es"",
      ""Snapshot!A:M""
    ),
    7,
    FALSE
  ),
  0
)
"),3463.0)</f>
        <v>3463</v>
      </c>
      <c r="AH13" s="54">
        <f>IFERROR(__xludf.DUMMYFUNCTION("IFERROR(
  VLOOKUP(
    A13,
    IMPORTRANGE(
      ""1SCYQd7_cobOYqT0r_F0IqD4tE4rYn5y8Eup4PJTH8es"",
      ""Snapshot!A:M""
    ),
    8,
    FALSE
  ),
  0
)
"),31.0)</f>
        <v>31</v>
      </c>
      <c r="AI13" s="54">
        <f>IFERROR(__xludf.DUMMYFUNCTION("IFERROR(
  VLOOKUP(
    A13,
    IMPORTRANGE(
      ""1SCYQd7_cobOYqT0r_F0IqD4tE4rYn5y8Eup4PJTH8es"",
      ""Snapshot!A:M""
    ),
    9,
    FALSE
  ),
  0
)
"),0.0)</f>
        <v>0</v>
      </c>
      <c r="AJ13" s="54">
        <f>IFERROR(__xludf.DUMMYFUNCTION("IFERROR(
  VLOOKUP(
    A13,
    IMPORTRANGE(
      ""1SCYQd7_cobOYqT0r_F0IqD4tE4rYn5y8Eup4PJTH8es"",
      ""Snapshot!A:M""
    ),
    13,
    FALSE
  ),
  0
)
"),2.0)</f>
        <v>2</v>
      </c>
      <c r="AK13" s="49">
        <f t="shared" ref="AK13:AL13" si="60">LEN(C13)</f>
        <v>29</v>
      </c>
      <c r="AL13" s="49">
        <f t="shared" si="60"/>
        <v>75</v>
      </c>
    </row>
    <row r="14">
      <c r="A14" s="3" t="s">
        <v>289</v>
      </c>
      <c r="B14" s="1" t="str">
        <f>IFERROR(__xludf.DUMMYFUNCTION("IFERROR(
  VLOOKUP(
    A14,
    IMPORTRANGE(
      ""1ZygntHC1J6IxzKbTidmOyf5nUyW4GCLurHCjexrLm_o"",
      ""HTMLキャッシュ!A:F""
    ),
    2,
    FALSE
  ),
  0
)
"),"SP")</f>
        <v>SP</v>
      </c>
      <c r="C14" s="1" t="str">
        <f>IFERROR(__xludf.DUMMYFUNCTION("IFERROR(
  VLOOKUP(
    A14,
    IMPORTRANGE(
      ""1ZygntHC1J6IxzKbTidmOyf5nUyW4GCLurHCjexrLm_o"",
      ""HTMLキャッシュ!A:F""
    ),
    5,
    FALSE
  ),
  0
)
"),"中高一貫校オンライン塾｜定期テスト対応｜完全1対1")</f>
        <v>中高一貫校オンライン塾｜定期テスト対応｜完全1対1</v>
      </c>
      <c r="D14" s="1" t="str">
        <f>IFERROR(__xludf.DUMMYFUNCTION("IFERROR(
  VLOOKUP(
    A14,
    IMPORTRANGE(
      ""1ZygntHC1J6IxzKbTidmOyf5nUyW4GCLurHCjexrLm_o        "",
      ""HTMLキャッシュ!A:F""
    ),
    6,
    FALSE
  ),
  0
)
"),"中高一貫校生向けオンライン個別。完全1対1×リアルタイムで、手元確認と電子黒板により途中式まで見てその場で直す。定期テスト・先取りに対応。")</f>
        <v>中高一貫校生向けオンライン個別。完全1対1×リアルタイムで、手元確認と電子黒板により途中式まで見てその場で直す。定期テスト・先取りに対応。</v>
      </c>
      <c r="E14" s="32">
        <f>IFERROR(__xludf.DUMMYFUNCTION("IFERROR(
  VLOOKUP(
    A14,
    IMPORTRANGE(
      ""1ZygntHC1J6IxzKbTidmOyf5nUyW4GCLurHCjexrLm_o        "",
      ""HTMLキャッシュ!A:F""
    ),
    3,
    FALSE
  ),
  0
)
"),46081.742164351854)</f>
        <v>46081.74216</v>
      </c>
      <c r="F14" s="49">
        <f>IFERROR(__xludf.DUMMYFUNCTION("IFERROR(
  VLOOKUP(
    A14,
    IMPORTRANGE(
      ""1ZHMy3vVUd_0MrSduXTe1etBb1HNpAlGwQr006ljwMiM"",
      ""GSC最新!A:F""
    ),
    2,
    FALSE
  ),
  0
)
"),13.0)</f>
        <v>13</v>
      </c>
      <c r="G14" s="49">
        <f>IFERROR(__xludf.DUMMYFUNCTION("IFERROR(
  VLOOKUP(
    A14,
    IMPORTRANGE(
      ""1ZHMy3vVUd_0MrSduXTe1etBb1HNpAlGwQr006ljwMiM"",
      ""GSC最新!A:F""
    ),
    3,
    FALSE
  ),
  0
)
"),27.0)</f>
        <v>27</v>
      </c>
      <c r="H14" s="49">
        <f>IFERROR(__xludf.DUMMYFUNCTION("IFERROR(
  VLOOKUP(
    A14,
    IMPORTRANGE(
      ""1ZHMy3vVUd_0MrSduXTe1etBb1HNpAlGwQr006ljwMiM"",
      ""GSC最新!A:F""
    ),
    4,
    FALSE
  ),
  0
)
"),2.0)</f>
        <v>2</v>
      </c>
      <c r="I14" s="49">
        <f>IFERROR(__xludf.DUMMYFUNCTION("IFERROR(
  VLOOKUP(
    A14,
    IMPORTRANGE(
      ""1ZHMy3vVUd_0MrSduXTe1etBb1HNpAlGwQr006ljwMiM"",
      ""GSC最新!A:F""
    ),
    5,
    FALSE
  ),
  0
)
"),10.0)</f>
        <v>10</v>
      </c>
      <c r="J14" s="50">
        <f t="shared" ref="J14:K14" si="61">IFERROR(F14/H14,"-")</f>
        <v>6.5</v>
      </c>
      <c r="K14" s="50">
        <f t="shared" si="61"/>
        <v>2.7</v>
      </c>
      <c r="L14" s="6">
        <f>IFERROR(__xludf.DUMMYFUNCTION("IFERROR(
  VLOOKUP(
    A14,
    IMPORTRANGE(
      ""1ZHMy3vVUd_0MrSduXTe1etBb1HNpAlGwQr006ljwMiM"",
      ""GSC最新!A:R""
    ),
    7,
    FALSE
  ),
  0
)
"),350.0)</f>
        <v>350</v>
      </c>
      <c r="M14" s="6">
        <f>IFERROR(__xludf.DUMMYFUNCTION("IFERROR(
  VLOOKUP(
    A14,
    IMPORTRANGE(
      ""1ZHMy3vVUd_0MrSduXTe1etBb1HNpAlGwQr006ljwMiM"",
      ""GSC最新!A:R""
    ),
    10,
    FALSE
  ),
  0
)
"),602.0)</f>
        <v>602</v>
      </c>
      <c r="N14" s="6">
        <f>IFERROR(__xludf.DUMMYFUNCTION("IFERROR(
  VLOOKUP(
    A14,
    IMPORTRANGE(
      ""1ZHMy3vVUd_0MrSduXTe1etBb1HNpAlGwQr006ljwMiM"",
      ""GSC最新!A:R""
    ),
    13,
    FALSE
  ),
  0
)
"),97.0)</f>
        <v>97</v>
      </c>
      <c r="O14" s="6">
        <f>IFERROR(__xludf.DUMMYFUNCTION("IFERROR(
  VLOOKUP(
    A14,
    IMPORTRANGE(
      ""1ZHMy3vVUd_0MrSduXTe1etBb1HNpAlGwQr006ljwMiM"",
      ""GSC最新!A:R""
    ),
    16,
    FALSE
  ),
  0
)
"),431.0)</f>
        <v>431</v>
      </c>
      <c r="P14" s="51">
        <f t="shared" ref="P14:Q14" si="62">IFERROR(L14/N14,"-")</f>
        <v>3.608247423</v>
      </c>
      <c r="Q14" s="51">
        <f t="shared" si="62"/>
        <v>1.39675174</v>
      </c>
      <c r="R14" s="9">
        <f>IFERROR(__xludf.DUMMYFUNCTION("IFERROR(
  VLOOKUP(
    A14,
    IMPORTRANGE(
      ""1ZHMy3vVUd_0MrSduXTe1etBb1HNpAlGwQr006ljwMiM"",
      ""GSC最新!A:R""
    ),
    8,
    FALSE
  ),
  0
)
"),0.037142857142857144)</f>
        <v>0.03714285714</v>
      </c>
      <c r="S14" s="9">
        <f>IFERROR(__xludf.DUMMYFUNCTION("IFERROR(
  VLOOKUP(
    A14,
    IMPORTRANGE(
      ""1ZHMy3vVUd_0MrSduXTe1etBb1HNpAlGwQr006ljwMiM"",
      ""GSC最新!A:R""
    ),
    11,
    FALSE
  ),
  0
)
"),0.044850498338870434)</f>
        <v>0.04485049834</v>
      </c>
      <c r="T14" s="9">
        <f>IFERROR(__xludf.DUMMYFUNCTION("IFERROR(
  VLOOKUP(
    A14,
    IMPORTRANGE(
      ""1ZHMy3vVUd_0MrSduXTe1etBb1HNpAlGwQr006ljwMiM"",
      ""GSC最新!A:R""
    ),
    14,
    FALSE
  ),
  0
)
"),0.020618556701030927)</f>
        <v>0.0206185567</v>
      </c>
      <c r="U14" s="9">
        <f>IFERROR(__xludf.DUMMYFUNCTION("IFERROR(
  VLOOKUP(
    A14,
    IMPORTRANGE(
      ""1ZHMy3vVUd_0MrSduXTe1etBb1HNpAlGwQr006ljwMiM"",
      ""GSC最新!A:R""
    ),
    17,
    FALSE
  ),
  0
)
"),0.02320185614849188)</f>
        <v>0.02320185615</v>
      </c>
      <c r="V14" s="9">
        <f t="shared" ref="V14:W14" si="63">IFERROR(R14-T14,"-")</f>
        <v>0.01652430044</v>
      </c>
      <c r="W14" s="9">
        <f t="shared" si="63"/>
        <v>0.02164864219</v>
      </c>
      <c r="X14" s="65">
        <f>IFERROR(__xludf.DUMMYFUNCTION("IFERROR(
  VLOOKUP(
    A14,
    IMPORTRANGE(
      ""1ZHMy3vVUd_0MrSduXTe1etBb1HNpAlGwQr006ljwMiM"",
      ""GSC最新!A:R""
    ),
    9,
    FALSE
  ),
  0
)
"),6.1)</f>
        <v>6.1</v>
      </c>
      <c r="Y14" s="65">
        <f>IFERROR(__xludf.DUMMYFUNCTION("IFERROR(
  VLOOKUP(
    A14,
    IMPORTRANGE(
      ""1ZHMy3vVUd_0MrSduXTe1etBb1HNpAlGwQr006ljwMiM"",
      ""GSC最新!A:R""
    ),
    12,
    FALSE
  ),
  0
)
"),6.93687707641196)</f>
        <v>6.936877076</v>
      </c>
      <c r="Z14" s="65">
        <f>IFERROR(__xludf.DUMMYFUNCTION("IFERROR(
  VLOOKUP(
    A14,
    IMPORTRANGE(
      ""1ZHMy3vVUd_0MrSduXTe1etBb1HNpAlGwQr006ljwMiM"",
      ""GSC最新!A:R""
    ),
    15,
    FALSE
  ),
  0
)
"),34.402061855670105)</f>
        <v>34.40206186</v>
      </c>
      <c r="AA14" s="65">
        <f>IFERROR(__xludf.DUMMYFUNCTION("IFERROR(
  VLOOKUP(
    A14,
    IMPORTRANGE(
      ""1ZHMy3vVUd_0MrSduXTe1etBb1HNpAlGwQr006ljwMiM"",
      ""GSC最新!A:R""
    ),
    18,
    FALSE
  ),
  0
)
"),27.320185614849187)</f>
        <v>27.32018561</v>
      </c>
      <c r="AB14" s="65">
        <f t="shared" ref="AB14:AC14" si="64">X14-Z14</f>
        <v>-28.30206186</v>
      </c>
      <c r="AC14" s="65">
        <f t="shared" si="64"/>
        <v>-20.38330854</v>
      </c>
      <c r="AD14" s="53">
        <f>IFERROR(__xludf.DUMMYFUNCTION("IFERROR(
  VLOOKUP(
    A14,
    IMPORTRANGE(
      ""1ZHMy3vVUd_0MrSduXTe1etBb1HNpAlGwQr006ljwMiM"",
      ""GSC最新!A:F""
    ),
    6,
    FALSE
  ),
  0
)
"),46081.0)</f>
        <v>46081</v>
      </c>
      <c r="AE14" s="54">
        <f>IFERROR(__xludf.DUMMYFUNCTION("IFERROR(
  VLOOKUP(
    A14,
    IMPORTRANGE(
      ""1SCYQd7_cobOYqT0r_F0IqD4tE4rYn5y8Eup4PJTH8es"",
      ""Snapshot!A:M""
    ),
    5,
    FALSE
  ),
  ""-""
)
"),7.0)</f>
        <v>7</v>
      </c>
      <c r="AF14" s="54">
        <f>IFERROR(__xludf.DUMMYFUNCTION("IFERROR(
  VLOOKUP(
    A14,
    IMPORTRANGE(
      ""1SCYQd7_cobOYqT0r_F0IqD4tE4rYn5y8Eup4PJTH8es"",
      ""Snapshot!A:M""
    ),
    6,
    FALSE
  ),
  0
)
"),0.0)</f>
        <v>0</v>
      </c>
      <c r="AG14" s="54">
        <f>IFERROR(__xludf.DUMMYFUNCTION("IFERROR(
  VLOOKUP(
    A14,
    IMPORTRANGE(
      ""1SCYQd7_cobOYqT0r_F0IqD4tE4rYn5y8Eup4PJTH8es"",
      ""Snapshot!A:M""
    ),
    7,
    FALSE
  ),
  0
)
"),2389.0)</f>
        <v>2389</v>
      </c>
      <c r="AH14" s="54">
        <f>IFERROR(__xludf.DUMMYFUNCTION("IFERROR(
  VLOOKUP(
    A14,
    IMPORTRANGE(
      ""1SCYQd7_cobOYqT0r_F0IqD4tE4rYn5y8Eup4PJTH8es"",
      ""Snapshot!A:M""
    ),
    8,
    FALSE
  ),
  0
)
"),23.0)</f>
        <v>23</v>
      </c>
      <c r="AI14" s="54">
        <f>IFERROR(__xludf.DUMMYFUNCTION("IFERROR(
  VLOOKUP(
    A14,
    IMPORTRANGE(
      ""1SCYQd7_cobOYqT0r_F0IqD4tE4rYn5y8Eup4PJTH8es"",
      ""Snapshot!A:M""
    ),
    9,
    FALSE
  ),
  0
)
"),4.0)</f>
        <v>4</v>
      </c>
      <c r="AJ14" s="54">
        <f>IFERROR(__xludf.DUMMYFUNCTION("IFERROR(
  VLOOKUP(
    A14,
    IMPORTRANGE(
      ""1SCYQd7_cobOYqT0r_F0IqD4tE4rYn5y8Eup4PJTH8es"",
      ""Snapshot!A:M""
    ),
    13,
    FALSE
  ),
  0
)
"),1.0)</f>
        <v>1</v>
      </c>
      <c r="AK14" s="49">
        <f t="shared" ref="AK14:AL14" si="65">LEN(C14)</f>
        <v>25</v>
      </c>
      <c r="AL14" s="49">
        <f t="shared" si="65"/>
        <v>69</v>
      </c>
    </row>
    <row r="15">
      <c r="A15" s="3" t="s">
        <v>727</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"),"中学生でも英検準2級に合格できる勉強法｜文法・単語・英作文・リスニングの進め方 - 中高一貫校専門塾エスコット(Escot)～定期試験対策から大学受験指導まで～")</f>
        <v>中学生でも英検準2級に合格できる勉強法｜文法・単語・英作文・リスニングの進め方 - 中高一貫校専門塾エスコット(Escot)～定期試験対策から大学受験指導まで～</v>
      </c>
      <c r="D15" s="1" t="str">
        <f>IFERROR(__xludf.DUMMYFUNCTION("IFERROR(
  VLOOKUP(
    A15,
    IMPORTRANGE(
      ""1ZygntHC1J6IxzKbTidmOyf5nUyW4GCLurHCjexrLm_o        "",
      ""HTMLキャッシュ!A:F""
    ),
    6,
    FALSE
  ),
  0
)
"),"中学生が英検準2級に合格するための4つの勉強法を解説。中学文法の総仕上げ、単語1800語の増強、英作文の書き方と添削活用、毎日のリスニング習慣の作り方まで具体的にまとめました。")</f>
        <v>中学生が英検準2級に合格するための4つの勉強法を解説。中学文法の総仕上げ、単語1800語の増強、英作文の書き方と添削活用、毎日のリスニング習慣の作り方まで具体的にまとめました。</v>
      </c>
      <c r="E15" s="32">
        <f>IFERROR(__xludf.DUMMYFUNCTION("IFERROR(
  VLOOKUP(
    A15,
    IMPORTRANGE(
      ""1ZygntHC1J6IxzKbTidmOyf5nUyW4GCLurHCjexrLm_o        "",
      ""HTMLキャッシュ!A:F""
    ),
    3,
    FALSE
  ),
  0
)
"),46078.85600694444)</f>
        <v>46078.85601</v>
      </c>
      <c r="F15" s="49">
        <f>IFERROR(__xludf.DUMMYFUNCTION("IFERROR(
  VLOOKUP(
    A15,
    IMPORTRANGE(
      ""1ZHMy3vVUd_0MrSduXTe1etBb1HNpAlGwQr006ljwMiM"",
      ""GSC最新!A:F""
    ),
    2,
    FALSE
  ),
  0
)
"),18.0)</f>
        <v>18</v>
      </c>
      <c r="G15" s="49">
        <f>IFERROR(__xludf.DUMMYFUNCTION("IFERROR(
  VLOOKUP(
    A15,
    IMPORTRANGE(
      ""1ZHMy3vVUd_0MrSduXTe1etBb1HNpAlGwQr006ljwMiM"",
      ""GSC最新!A:F""
    ),
    3,
    FALSE
  ),
  0
)
"),25.0)</f>
        <v>25</v>
      </c>
      <c r="H15" s="49">
        <f>IFERROR(__xludf.DUMMYFUNCTION("IFERROR(
  VLOOKUP(
    A15,
    IMPORTRANGE(
      ""1ZHMy3vVUd_0MrSduXTe1etBb1HNpAlGwQr006ljwMiM"",
      ""GSC最新!A:F""
    ),
    4,
    FALSE
  ),
  0
)
"),1.0)</f>
        <v>1</v>
      </c>
      <c r="I15" s="49">
        <f>IFERROR(__xludf.DUMMYFUNCTION("IFERROR(
  VLOOKUP(
    A15,
    IMPORTRANGE(
      ""1ZHMy3vVUd_0MrSduXTe1etBb1HNpAlGwQr006ljwMiM"",
      ""GSC最新!A:F""
    ),
    5,
    FALSE
  ),
  0
)
"),3.0)</f>
        <v>3</v>
      </c>
      <c r="J15" s="50">
        <f t="shared" ref="J15:K15" si="66">IFERROR(F15/H15,"-")</f>
        <v>18</v>
      </c>
      <c r="K15" s="50">
        <f t="shared" si="66"/>
        <v>8.333333333</v>
      </c>
      <c r="L15" s="6">
        <f>IFERROR(__xludf.DUMMYFUNCTION("IFERROR(
  VLOOKUP(
    A15,
    IMPORTRANGE(
      ""1ZHMy3vVUd_0MrSduXTe1etBb1HNpAlGwQr006ljwMiM"",
      ""GSC最新!A:R""
    ),
    7,
    FALSE
  ),
  0
)
"),3360.0)</f>
        <v>3360</v>
      </c>
      <c r="M15" s="6">
        <f>IFERROR(__xludf.DUMMYFUNCTION("IFERROR(
  VLOOKUP(
    A15,
    IMPORTRANGE(
      ""1ZHMy3vVUd_0MrSduXTe1etBb1HNpAlGwQr006ljwMiM"",
      ""GSC最新!A:R""
    ),
    10,
    FALSE
  ),
  0
)
"),4079.0)</f>
        <v>4079</v>
      </c>
      <c r="N15" s="6">
        <f>IFERROR(__xludf.DUMMYFUNCTION("IFERROR(
  VLOOKUP(
    A15,
    IMPORTRANGE(
      ""1ZHMy3vVUd_0MrSduXTe1etBb1HNpAlGwQr006ljwMiM"",
      ""GSC最新!A:R""
    ),
    13,
    FALSE
  ),
  0
)
"),171.0)</f>
        <v>171</v>
      </c>
      <c r="O15" s="6">
        <f>IFERROR(__xludf.DUMMYFUNCTION("IFERROR(
  VLOOKUP(
    A15,
    IMPORTRANGE(
      ""1ZHMy3vVUd_0MrSduXTe1etBb1HNpAlGwQr006ljwMiM"",
      ""GSC最新!A:R""
    ),
    16,
    FALSE
  ),
  0
)
"),464.0)</f>
        <v>464</v>
      </c>
      <c r="P15" s="51">
        <f t="shared" ref="P15:Q15" si="67">IFERROR(L15/N15,"-")</f>
        <v>19.64912281</v>
      </c>
      <c r="Q15" s="51">
        <f t="shared" si="67"/>
        <v>8.790948276</v>
      </c>
      <c r="R15" s="9">
        <f>IFERROR(__xludf.DUMMYFUNCTION("IFERROR(
  VLOOKUP(
    A15,
    IMPORTRANGE(
      ""1ZHMy3vVUd_0MrSduXTe1etBb1HNpAlGwQr006ljwMiM"",
      ""GSC最新!A:R""
    ),
    8,
    FALSE
  ),
  0
)
"),0.005357142857142857)</f>
        <v>0.005357142857</v>
      </c>
      <c r="S15" s="9">
        <f>IFERROR(__xludf.DUMMYFUNCTION("IFERROR(
  VLOOKUP(
    A15,
    IMPORTRANGE(
      ""1ZHMy3vVUd_0MrSduXTe1etBb1HNpAlGwQr006ljwMiM"",
      ""GSC最新!A:R""
    ),
    11,
    FALSE
  ),
  0
)
"),0.006128953174797744)</f>
        <v>0.006128953175</v>
      </c>
      <c r="T15" s="9">
        <f>IFERROR(__xludf.DUMMYFUNCTION("IFERROR(
  VLOOKUP(
    A15,
    IMPORTRANGE(
      ""1ZHMy3vVUd_0MrSduXTe1etBb1HNpAlGwQr006ljwMiM"",
      ""GSC最新!A:R""
    ),
    14,
    FALSE
  ),
  0
)
"),0.005847953216374269)</f>
        <v>0.005847953216</v>
      </c>
      <c r="U15" s="9">
        <f>IFERROR(__xludf.DUMMYFUNCTION("IFERROR(
  VLOOKUP(
    A15,
    IMPORTRANGE(
      ""1ZHMy3vVUd_0MrSduXTe1etBb1HNpAlGwQr006ljwMiM"",
      ""GSC最新!A:R""
    ),
    17,
    FALSE
  ),
  0
)
"),0.00646551724137931)</f>
        <v>0.006465517241</v>
      </c>
      <c r="V15" s="9">
        <f t="shared" ref="V15:W15" si="68">IFERROR(R15-T15,"-")</f>
        <v>-0.0004908103592</v>
      </c>
      <c r="W15" s="9">
        <f t="shared" si="68"/>
        <v>-0.0003365640666</v>
      </c>
      <c r="X15" s="65">
        <f>IFERROR(__xludf.DUMMYFUNCTION("IFERROR(
  VLOOKUP(
    A15,
    IMPORTRANGE(
      ""1ZHMy3vVUd_0MrSduXTe1etBb1HNpAlGwQr006ljwMiM"",
      ""GSC最新!A:R""
    ),
    9,
    FALSE
  ),
  0
)
"),3.114880952380952)</f>
        <v>3.114880952</v>
      </c>
      <c r="Y15" s="65">
        <f>IFERROR(__xludf.DUMMYFUNCTION("IFERROR(
  VLOOKUP(
    A15,
    IMPORTRANGE(
      ""1ZHMy3vVUd_0MrSduXTe1etBb1HNpAlGwQr006ljwMiM"",
      ""GSC最新!A:R""
    ),
    12,
    FALSE
  ),
  0
)
"),4.202010296641333)</f>
        <v>4.202010297</v>
      </c>
      <c r="Z15" s="65">
        <f>IFERROR(__xludf.DUMMYFUNCTION("IFERROR(
  VLOOKUP(
    A15,
    IMPORTRANGE(
      ""1ZHMy3vVUd_0MrSduXTe1etBb1HNpAlGwQr006ljwMiM"",
      ""GSC最新!A:R""
    ),
    15,
    FALSE
  ),
  0
)
"),57.432748538011694)</f>
        <v>57.43274854</v>
      </c>
      <c r="AA15" s="65">
        <f>IFERROR(__xludf.DUMMYFUNCTION("IFERROR(
  VLOOKUP(
    A15,
    IMPORTRANGE(
      ""1ZHMy3vVUd_0MrSduXTe1etBb1HNpAlGwQr006ljwMiM"",
      ""GSC最新!A:R""
    ),
    18,
    FALSE
  ),
  0
)
"),63.497844827586206)</f>
        <v>63.49784483</v>
      </c>
      <c r="AB15" s="65">
        <f t="shared" ref="AB15:AC15" si="69">X15-Z15</f>
        <v>-54.31786759</v>
      </c>
      <c r="AC15" s="65">
        <f t="shared" si="69"/>
        <v>-59.29583453</v>
      </c>
      <c r="AD15" s="53">
        <f>IFERROR(__xludf.DUMMYFUNCTION("IFERROR(
  VLOOKUP(
    A15,
    IMPORTRANGE(
      ""1ZHMy3vVUd_0MrSduXTe1etBb1HNpAlGwQr006ljwMiM"",
      ""GSC最新!A:F""
    ),
    6,
    FALSE
  ),
  0
)
"),46081.0)</f>
        <v>46081</v>
      </c>
      <c r="AE15" s="54">
        <f>IFERROR(__xludf.DUMMYFUNCTION("IFERROR(
  VLOOKUP(
    A15,
    IMPORTRANGE(
      ""1SCYQd7_cobOYqT0r_F0IqD4tE4rYn5y8Eup4PJTH8es"",
      ""Snapshot!A:M""
    ),
    5,
    FALSE
  ),
  ""-""
)
"),5.0)</f>
        <v>5</v>
      </c>
      <c r="AF15" s="54">
        <f>IFERROR(__xludf.DUMMYFUNCTION("IFERROR(
  VLOOKUP(
    A15,
    IMPORTRANGE(
      ""1SCYQd7_cobOYqT0r_F0IqD4tE4rYn5y8Eup4PJTH8es"",
      ""Snapshot!A:M""
    ),
    6,
    FALSE
  ),
  0
)
"),7.0)</f>
        <v>7</v>
      </c>
      <c r="AG15" s="54">
        <f>IFERROR(__xludf.DUMMYFUNCTION("IFERROR(
  VLOOKUP(
    A15,
    IMPORTRANGE(
      ""1SCYQd7_cobOYqT0r_F0IqD4tE4rYn5y8Eup4PJTH8es"",
      ""Snapshot!A:M""
    ),
    7,
    FALSE
  ),
  0
)
"),2789.0)</f>
        <v>2789</v>
      </c>
      <c r="AH15" s="54">
        <f>IFERROR(__xludf.DUMMYFUNCTION("IFERROR(
  VLOOKUP(
    A15,
    IMPORTRANGE(
      ""1SCYQd7_cobOYqT0r_F0IqD4tE4rYn5y8Eup4PJTH8es"",
      ""Snapshot!A:M""
    ),
    8,
    FALSE
  ),
  0
)
"),13.0)</f>
        <v>13</v>
      </c>
      <c r="AI15" s="54">
        <f>IFERROR(__xludf.DUMMYFUNCTION("IFERROR(
  VLOOKUP(
    A15,
    IMPORTRANGE(
      ""1SCYQd7_cobOYqT0r_F0IqD4tE4rYn5y8Eup4PJTH8es"",
      ""Snapshot!A:M""
    ),
    9,
    FALSE
  ),
  0
)
"),1.0)</f>
        <v>1</v>
      </c>
      <c r="AJ15" s="54">
        <f>IFERROR(__xludf.DUMMYFUNCTION("IFERROR(
  VLOOKUP(
    A15,
    IMPORTRANGE(
      ""1SCYQd7_cobOYqT0r_F0IqD4tE4rYn5y8Eup4PJTH8es"",
      ""Snapshot!A:M""
    ),
    13,
    FALSE
  ),
  0
)
"),2.0)</f>
        <v>2</v>
      </c>
      <c r="AK15" s="49">
        <f t="shared" ref="AK15:AL15" si="70">LEN(C15)</f>
        <v>80</v>
      </c>
      <c r="AL15" s="49">
        <f t="shared" si="70"/>
        <v>88</v>
      </c>
    </row>
    <row r="16">
      <c r="A16" s="3" t="s">
        <v>728</v>
      </c>
      <c r="B16" s="1" t="str">
        <f>IFERROR(__xludf.DUMMYFUNCTION("IFERROR(
  VLOOKUP(
    A16,
    IMPORTRANGE(
      ""1ZygntHC1J6IxzKbTidmOyf5nUyW4GCLurHCjexrLm_o"",
      ""HTMLキャッシュ!A:F""
    ),
    2,
    FALSE
  ),
  0
)
"),"ST")</f>
        <v>ST</v>
      </c>
      <c r="C16" s="1" t="str">
        <f>IFERROR(__xludf.DUMMYFUNCTION("IFERROR(
  VLOOKUP(
    A16,
    IMPORTRANGE(
      ""1ZygntHC1J6IxzKbTidmOyf5nUyW4GCLurHCjexrLm_o"",
      ""HTMLキャッシュ!A:F""
    ),
    5,
    FALSE
  ),
  0
)
"),"長島康二・岡部大輔ほか講師プロフィール｜英語・数学・国語の担当・経歴・指導方針が分かる｜中高一貫校専門塾エスコット")</f>
        <v>長島康二・岡部大輔ほか講師プロフィール｜英語・数学・国語の担当・経歴・指導方針が分かる｜中高一貫校専門塾エスコット</v>
      </c>
      <c r="D16" s="1" t="str">
        <f>IFERROR(__xludf.DUMMYFUNCTION("IFERROR(
  VLOOKUP(
    A16,
    IMPORTRANGE(
      ""1ZygntHC1J6IxzKbTidmOyf5nUyW4GCLurHCjexrLm_o        "",
      ""HTMLキャッシュ!A:F""
    ),
    6,
    FALSE
  ),
  0
)
"),"中高一貫校専門塾エスコットの講師プロフィール一覧。長島康二（現代文）・岡部大輔（英語/古典）・甲田雅史（英語）・高野俊吉（数学）・中尾憲吾（英語/小論文）など、担当科目（受験/学校対策）・役職・経歴と指導の強みをまとめて確認できます。")</f>
        <v>中高一貫校専門塾エスコットの講師プロフィール一覧。長島康二（現代文）・岡部大輔（英語/古典）・甲田雅史（英語）・高野俊吉（数学）・中尾憲吾（英語/小論文）など、担当科目（受験/学校対策）・役職・経歴と指導の強みをまとめて確認できます。</v>
      </c>
      <c r="E16" s="32">
        <f>IFERROR(__xludf.DUMMYFUNCTION("IFERROR(
  VLOOKUP(
    A16,
    IMPORTRANGE(
      ""1ZygntHC1J6IxzKbTidmOyf5nUyW4GCLurHCjexrLm_o        "",
      ""HTMLキャッシュ!A:F""
    ),
    3,
    FALSE
  ),
  0
)
"),46026.66478009259)</f>
        <v>46026.66478</v>
      </c>
      <c r="F16" s="49">
        <f>IFERROR(__xludf.DUMMYFUNCTION("IFERROR(
  VLOOKUP(
    A16,
    IMPORTRANGE(
      ""1ZHMy3vVUd_0MrSduXTe1etBb1HNpAlGwQr006ljwMiM"",
      ""GSC最新!A:F""
    ),
    2,
    FALSE
  ),
  0
)
"),9.0)</f>
        <v>9</v>
      </c>
      <c r="G16" s="49">
        <f>IFERROR(__xludf.DUMMYFUNCTION("IFERROR(
  VLOOKUP(
    A16,
    IMPORTRANGE(
      ""1ZHMy3vVUd_0MrSduXTe1etBb1HNpAlGwQr006ljwMiM"",
      ""GSC最新!A:F""
    ),
    3,
    FALSE
  ),
  0
)
"),19.0)</f>
        <v>19</v>
      </c>
      <c r="H16" s="49">
        <f>IFERROR(__xludf.DUMMYFUNCTION("IFERROR(
  VLOOKUP(
    A16,
    IMPORTRANGE(
      ""1ZHMy3vVUd_0MrSduXTe1etBb1HNpAlGwQr006ljwMiM"",
      ""GSC最新!A:F""
    ),
    4,
    FALSE
  ),
  0
)
"),15.0)</f>
        <v>15</v>
      </c>
      <c r="I16" s="49">
        <f>IFERROR(__xludf.DUMMYFUNCTION("IFERROR(
  VLOOKUP(
    A16,
    IMPORTRANGE(
      ""1ZHMy3vVUd_0MrSduXTe1etBb1HNpAlGwQr006ljwMiM"",
      ""GSC最新!A:F""
    ),
    5,
    FALSE
  ),
  0
)
"),31.0)</f>
        <v>31</v>
      </c>
      <c r="J16" s="50">
        <f t="shared" ref="J16:K16" si="71">IFERROR(F16/H16,"-")</f>
        <v>0.6</v>
      </c>
      <c r="K16" s="50">
        <f t="shared" si="71"/>
        <v>0.6129032258</v>
      </c>
      <c r="L16" s="6">
        <f>IFERROR(__xludf.DUMMYFUNCTION("IFERROR(
  VLOOKUP(
    A16,
    IMPORTRANGE(
      ""1ZHMy3vVUd_0MrSduXTe1etBb1HNpAlGwQr006ljwMiM"",
      ""GSC最新!A:R""
    ),
    7,
    FALSE
  ),
  0
)
"),113.0)</f>
        <v>113</v>
      </c>
      <c r="M16" s="6">
        <f>IFERROR(__xludf.DUMMYFUNCTION("IFERROR(
  VLOOKUP(
    A16,
    IMPORTRANGE(
      ""1ZHMy3vVUd_0MrSduXTe1etBb1HNpAlGwQr006ljwMiM"",
      ""GSC最新!A:R""
    ),
    10,
    FALSE
  ),
  0
)
"),255.0)</f>
        <v>255</v>
      </c>
      <c r="N16" s="6">
        <f>IFERROR(__xludf.DUMMYFUNCTION("IFERROR(
  VLOOKUP(
    A16,
    IMPORTRANGE(
      ""1ZHMy3vVUd_0MrSduXTe1etBb1HNpAlGwQr006ljwMiM"",
      ""GSC最新!A:R""
    ),
    13,
    FALSE
  ),
  0
)
"),82.0)</f>
        <v>82</v>
      </c>
      <c r="O16" s="6">
        <f>IFERROR(__xludf.DUMMYFUNCTION("IFERROR(
  VLOOKUP(
    A16,
    IMPORTRANGE(
      ""1ZHMy3vVUd_0MrSduXTe1etBb1HNpAlGwQr006ljwMiM"",
      ""GSC最新!A:R""
    ),
    16,
    FALSE
  ),
  0
)
"),265.0)</f>
        <v>265</v>
      </c>
      <c r="P16" s="51">
        <f t="shared" ref="P16:Q16" si="72">IFERROR(L16/N16,"-")</f>
        <v>1.37804878</v>
      </c>
      <c r="Q16" s="51">
        <f t="shared" si="72"/>
        <v>0.9622641509</v>
      </c>
      <c r="R16" s="9">
        <f>IFERROR(__xludf.DUMMYFUNCTION("IFERROR(
  VLOOKUP(
    A16,
    IMPORTRANGE(
      ""1ZHMy3vVUd_0MrSduXTe1etBb1HNpAlGwQr006ljwMiM"",
      ""GSC最新!A:R""
    ),
    8,
    FALSE
  ),
  0
)
"),0.07964601769911504)</f>
        <v>0.0796460177</v>
      </c>
      <c r="S16" s="9">
        <f>IFERROR(__xludf.DUMMYFUNCTION("IFERROR(
  VLOOKUP(
    A16,
    IMPORTRANGE(
      ""1ZHMy3vVUd_0MrSduXTe1etBb1HNpAlGwQr006ljwMiM"",
      ""GSC最新!A:R""
    ),
    11,
    FALSE
  ),
  0
)
"),0.07450980392156863)</f>
        <v>0.07450980392</v>
      </c>
      <c r="T16" s="9">
        <f>IFERROR(__xludf.DUMMYFUNCTION("IFERROR(
  VLOOKUP(
    A16,
    IMPORTRANGE(
      ""1ZHMy3vVUd_0MrSduXTe1etBb1HNpAlGwQr006ljwMiM"",
      ""GSC最新!A:R""
    ),
    14,
    FALSE
  ),
  0
)
"),0.18292682926829268)</f>
        <v>0.1829268293</v>
      </c>
      <c r="U16" s="9">
        <f>IFERROR(__xludf.DUMMYFUNCTION("IFERROR(
  VLOOKUP(
    A16,
    IMPORTRANGE(
      ""1ZHMy3vVUd_0MrSduXTe1etBb1HNpAlGwQr006ljwMiM"",
      ""GSC最新!A:R""
    ),
    17,
    FALSE
  ),
  0
)
"),0.1169811320754717)</f>
        <v>0.1169811321</v>
      </c>
      <c r="V16" s="9">
        <f t="shared" ref="V16:W16" si="73">IFERROR(R16-T16,"-")</f>
        <v>-0.1032808116</v>
      </c>
      <c r="W16" s="9">
        <f t="shared" si="73"/>
        <v>-0.04247132815</v>
      </c>
      <c r="X16" s="65">
        <f>IFERROR(__xludf.DUMMYFUNCTION("IFERROR(
  VLOOKUP(
    A16,
    IMPORTRANGE(
      ""1ZHMy3vVUd_0MrSduXTe1etBb1HNpAlGwQr006ljwMiM"",
      ""GSC最新!A:R""
    ),
    9,
    FALSE
  ),
  0
)
"),6.469026548672566)</f>
        <v>6.469026549</v>
      </c>
      <c r="Y16" s="65">
        <f>IFERROR(__xludf.DUMMYFUNCTION("IFERROR(
  VLOOKUP(
    A16,
    IMPORTRANGE(
      ""1ZHMy3vVUd_0MrSduXTe1etBb1HNpAlGwQr006ljwMiM"",
      ""GSC最新!A:R""
    ),
    12,
    FALSE
  ),
  0
)
"),6.5058823529411764)</f>
        <v>6.505882353</v>
      </c>
      <c r="Z16" s="65">
        <f>IFERROR(__xludf.DUMMYFUNCTION("IFERROR(
  VLOOKUP(
    A16,
    IMPORTRANGE(
      ""1ZHMy3vVUd_0MrSduXTe1etBb1HNpAlGwQr006ljwMiM"",
      ""GSC最新!A:R""
    ),
    15,
    FALSE
  ),
  0
)
"),7.829268292682927)</f>
        <v>7.829268293</v>
      </c>
      <c r="AA16" s="65">
        <f>IFERROR(__xludf.DUMMYFUNCTION("IFERROR(
  VLOOKUP(
    A16,
    IMPORTRANGE(
      ""1ZHMy3vVUd_0MrSduXTe1etBb1HNpAlGwQr006ljwMiM"",
      ""GSC最新!A:R""
    ),
    18,
    FALSE
  ),
  0
)
"),25.28301886792453)</f>
        <v>25.28301887</v>
      </c>
      <c r="AB16" s="65">
        <f t="shared" ref="AB16:AC16" si="74">X16-Z16</f>
        <v>-1.360241744</v>
      </c>
      <c r="AC16" s="65">
        <f t="shared" si="74"/>
        <v>-18.77713651</v>
      </c>
      <c r="AD16" s="53">
        <f>IFERROR(__xludf.DUMMYFUNCTION("IFERROR(
  VLOOKUP(
    A16,
    IMPORTRANGE(
      ""1ZHMy3vVUd_0MrSduXTe1etBb1HNpAlGwQr006ljwMiM"",
      ""GSC最新!A:F""
    ),
    6,
    FALSE
  ),
  0
)
"),46081.0)</f>
        <v>46081</v>
      </c>
      <c r="AE16" s="54">
        <f>IFERROR(__xludf.DUMMYFUNCTION("IFERROR(
  VLOOKUP(
    A16,
    IMPORTRANGE(
      ""1SCYQd7_cobOYqT0r_F0IqD4tE4rYn5y8Eup4PJTH8es"",
      ""Snapshot!A:M""
    ),
    5,
    FALSE
  ),
  ""-""
)
"),2.0)</f>
        <v>2</v>
      </c>
      <c r="AF16" s="54">
        <f>IFERROR(__xludf.DUMMYFUNCTION("IFERROR(
  VLOOKUP(
    A16,
    IMPORTRANGE(
      ""1SCYQd7_cobOYqT0r_F0IqD4tE4rYn5y8Eup4PJTH8es"",
      ""Snapshot!A:M""
    ),
    6,
    FALSE
  ),
  0
)
"),6.0)</f>
        <v>6</v>
      </c>
      <c r="AG16" s="54">
        <f>IFERROR(__xludf.DUMMYFUNCTION("IFERROR(
  VLOOKUP(
    A16,
    IMPORTRANGE(
      ""1SCYQd7_cobOYqT0r_F0IqD4tE4rYn5y8Eup4PJTH8es"",
      ""Snapshot!A:M""
    ),
    7,
    FALSE
  ),
  0
)
"),2213.0)</f>
        <v>2213</v>
      </c>
      <c r="AH16" s="54">
        <f>IFERROR(__xludf.DUMMYFUNCTION("IFERROR(
  VLOOKUP(
    A16,
    IMPORTRANGE(
      ""1SCYQd7_cobOYqT0r_F0IqD4tE4rYn5y8Eup4PJTH8es"",
      ""Snapshot!A:M""
    ),
    8,
    FALSE
  ),
  0
)
"),0.0)</f>
        <v>0</v>
      </c>
      <c r="AI16" s="54">
        <f>IFERROR(__xludf.DUMMYFUNCTION("IFERROR(
  VLOOKUP(
    A16,
    IMPORTRANGE(
      ""1SCYQd7_cobOYqT0r_F0IqD4tE4rYn5y8Eup4PJTH8es"",
      ""Snapshot!A:M""
    ),
    9,
    FALSE
  ),
  0
)
"),1.0)</f>
        <v>1</v>
      </c>
      <c r="AJ16" s="54">
        <f>IFERROR(__xludf.DUMMYFUNCTION("IFERROR(
  VLOOKUP(
    A16,
    IMPORTRANGE(
      ""1SCYQd7_cobOYqT0r_F0IqD4tE4rYn5y8Eup4PJTH8es"",
      ""Snapshot!A:M""
    ),
    13,
    FALSE
  ),
  0
)
"),1.0)</f>
        <v>1</v>
      </c>
      <c r="AK16" s="49">
        <f t="shared" ref="AK16:AL16" si="75">LEN(C16)</f>
        <v>57</v>
      </c>
      <c r="AL16" s="49">
        <f t="shared" si="75"/>
        <v>117</v>
      </c>
    </row>
    <row r="17">
      <c r="A17" s="3" t="s">
        <v>729</v>
      </c>
      <c r="B17" s="1" t="str">
        <f>IFERROR(__xludf.DUMMYFUNCTION("IFERROR(
  VLOOKUP(
    A17,
    IMPORTRANGE(
      ""1ZygntHC1J6IxzKbTidmOyf5nUyW4GCLurHCjexrLm_o"",
      ""HTMLキャッシュ!A:F""
    ),
    2,
    FALSE
  ),
  0
)
"),"SC")</f>
        <v>SC</v>
      </c>
      <c r="C17" s="1" t="str">
        <f>IFERROR(__xludf.DUMMYFUNCTION("IFERROR(
  VLOOKUP(
    A17,
    IMPORTRANGE(
      ""1ZygntHC1J6IxzKbTidmOyf5nUyW4GCLurHCjexrLm_o"",
      ""HTMLキャッシュ!A:F""
    ),
    5,
    FALSE
  ),
  0
)
"),"急に数学ができなくなった原因｜挫折単元の見つけ方｜中高一貫")</f>
        <v>急に数学ができなくなった原因｜挫折単元の見つけ方｜中高一貫</v>
      </c>
      <c r="D17" s="1" t="str">
        <f>IFERROR(__xludf.DUMMYFUNCTION("IFERROR(
  VLOOKUP(
    A17,
    IMPORTRANGE(
      ""1ZygntHC1J6IxzKbTidmOyf5nUyW4GCLurHCjexrLm_o        "",
      ""HTMLキャッシュ!A:F""
    ),
    6,
    FALSE
  ),
  0
)
"),"急に数学ができなくなった原因を時期×設問タイプで特定。挫折単元を3問で当て、例題→小問反復で学び直す。中高一貫向け。")</f>
        <v>急に数学ができなくなった原因を時期×設問タイプで特定。挫折単元を3問で当て、例題→小問反復で学び直す。中高一貫向け。</v>
      </c>
      <c r="E17" s="32">
        <f>IFERROR(__xludf.DUMMYFUNCTION("IFERROR(
  VLOOKUP(
    A17,
    IMPORTRANGE(
      ""1ZygntHC1J6IxzKbTidmOyf5nUyW4GCLurHCjexrLm_o        "",
      ""HTMLキャッシュ!A:F""
    ),
    3,
    FALSE
  ),
  0
)
"),46078.85506944444)</f>
        <v>46078.85507</v>
      </c>
      <c r="F17" s="49">
        <f>IFERROR(__xludf.DUMMYFUNCTION("IFERROR(
  VLOOKUP(
    A17,
    IMPORTRANGE(
      ""1ZHMy3vVUd_0MrSduXTe1etBb1HNpAlGwQr006ljwMiM"",
      ""GSC最新!A:F""
    ),
    2,
    FALSE
  ),
  0
)
"),8.0)</f>
        <v>8</v>
      </c>
      <c r="G17" s="49">
        <f>IFERROR(__xludf.DUMMYFUNCTION("IFERROR(
  VLOOKUP(
    A17,
    IMPORTRANGE(
      ""1ZHMy3vVUd_0MrSduXTe1etBb1HNpAlGwQr006ljwMiM"",
      ""GSC最新!A:F""
    ),
    3,
    FALSE
  ),
  0
)
"),14.0)</f>
        <v>14</v>
      </c>
      <c r="H17" s="49">
        <f>IFERROR(__xludf.DUMMYFUNCTION("IFERROR(
  VLOOKUP(
    A17,
    IMPORTRANGE(
      ""1ZHMy3vVUd_0MrSduXTe1etBb1HNpAlGwQr006ljwMiM"",
      ""GSC最新!A:F""
    ),
    4,
    FALSE
  ),
  0
)
"),1.0)</f>
        <v>1</v>
      </c>
      <c r="I17" s="49">
        <f>IFERROR(__xludf.DUMMYFUNCTION("IFERROR(
  VLOOKUP(
    A17,
    IMPORTRANGE(
      ""1ZHMy3vVUd_0MrSduXTe1etBb1HNpAlGwQr006ljwMiM"",
      ""GSC最新!A:F""
    ),
    5,
    FALSE
  ),
  0
)
"),2.0)</f>
        <v>2</v>
      </c>
      <c r="J17" s="50">
        <f t="shared" ref="J17:K17" si="76">IFERROR(F17/H17,"-")</f>
        <v>8</v>
      </c>
      <c r="K17" s="50">
        <f t="shared" si="76"/>
        <v>7</v>
      </c>
      <c r="L17" s="6">
        <f>IFERROR(__xludf.DUMMYFUNCTION("IFERROR(
  VLOOKUP(
    A17,
    IMPORTRANGE(
      ""1ZHMy3vVUd_0MrSduXTe1etBb1HNpAlGwQr006ljwMiM"",
      ""GSC最新!A:R""
    ),
    7,
    FALSE
  ),
  0
)
"),595.0)</f>
        <v>595</v>
      </c>
      <c r="M17" s="6">
        <f>IFERROR(__xludf.DUMMYFUNCTION("IFERROR(
  VLOOKUP(
    A17,
    IMPORTRANGE(
      ""1ZHMy3vVUd_0MrSduXTe1etBb1HNpAlGwQr006ljwMiM"",
      ""GSC最新!A:R""
    ),
    10,
    FALSE
  ),
  0
)
"),1055.0)</f>
        <v>1055</v>
      </c>
      <c r="N17" s="6">
        <f>IFERROR(__xludf.DUMMYFUNCTION("IFERROR(
  VLOOKUP(
    A17,
    IMPORTRANGE(
      ""1ZHMy3vVUd_0MrSduXTe1etBb1HNpAlGwQr006ljwMiM"",
      ""GSC最新!A:R""
    ),
    13,
    FALSE
  ),
  0
)
"),115.0)</f>
        <v>115</v>
      </c>
      <c r="O17" s="6">
        <f>IFERROR(__xludf.DUMMYFUNCTION("IFERROR(
  VLOOKUP(
    A17,
    IMPORTRANGE(
      ""1ZHMy3vVUd_0MrSduXTe1etBb1HNpAlGwQr006ljwMiM"",
      ""GSC最新!A:R""
    ),
    16,
    FALSE
  ),
  0
)
"),266.0)</f>
        <v>266</v>
      </c>
      <c r="P17" s="51">
        <f t="shared" ref="P17:Q17" si="77">IFERROR(L17/N17,"-")</f>
        <v>5.173913043</v>
      </c>
      <c r="Q17" s="51">
        <f t="shared" si="77"/>
        <v>3.966165414</v>
      </c>
      <c r="R17" s="9">
        <f>IFERROR(__xludf.DUMMYFUNCTION("IFERROR(
  VLOOKUP(
    A17,
    IMPORTRANGE(
      ""1ZHMy3vVUd_0MrSduXTe1etBb1HNpAlGwQr006ljwMiM"",
      ""GSC最新!A:R""
    ),
    8,
    FALSE
  ),
  0
)
"),0.013445378151260505)</f>
        <v>0.01344537815</v>
      </c>
      <c r="S17" s="9">
        <f>IFERROR(__xludf.DUMMYFUNCTION("IFERROR(
  VLOOKUP(
    A17,
    IMPORTRANGE(
      ""1ZHMy3vVUd_0MrSduXTe1etBb1HNpAlGwQr006ljwMiM"",
      ""GSC最新!A:R""
    ),
    11,
    FALSE
  ),
  0
)
"),0.013270142180094787)</f>
        <v>0.01327014218</v>
      </c>
      <c r="T17" s="9">
        <f>IFERROR(__xludf.DUMMYFUNCTION("IFERROR(
  VLOOKUP(
    A17,
    IMPORTRANGE(
      ""1ZHMy3vVUd_0MrSduXTe1etBb1HNpAlGwQr006ljwMiM"",
      ""GSC最新!A:R""
    ),
    14,
    FALSE
  ),
  0
)
"),0.008695652173913044)</f>
        <v>0.008695652174</v>
      </c>
      <c r="U17" s="9">
        <f>IFERROR(__xludf.DUMMYFUNCTION("IFERROR(
  VLOOKUP(
    A17,
    IMPORTRANGE(
      ""1ZHMy3vVUd_0MrSduXTe1etBb1HNpAlGwQr006ljwMiM"",
      ""GSC最新!A:R""
    ),
    17,
    FALSE
  ),
  0
)
"),0.007518796992481203)</f>
        <v>0.007518796992</v>
      </c>
      <c r="V17" s="9">
        <f t="shared" ref="V17:W17" si="78">IFERROR(R17-T17,"-")</f>
        <v>0.004749725977</v>
      </c>
      <c r="W17" s="9">
        <f t="shared" si="78"/>
        <v>0.005751345188</v>
      </c>
      <c r="X17" s="65">
        <f>IFERROR(__xludf.DUMMYFUNCTION("IFERROR(
  VLOOKUP(
    A17,
    IMPORTRANGE(
      ""1ZHMy3vVUd_0MrSduXTe1etBb1HNpAlGwQr006ljwMiM"",
      ""GSC最新!A:R""
    ),
    9,
    FALSE
  ),
  0
)
"),5.571428571428571)</f>
        <v>5.571428571</v>
      </c>
      <c r="Y17" s="65">
        <f>IFERROR(__xludf.DUMMYFUNCTION("IFERROR(
  VLOOKUP(
    A17,
    IMPORTRANGE(
      ""1ZHMy3vVUd_0MrSduXTe1etBb1HNpAlGwQr006ljwMiM"",
      ""GSC最新!A:R""
    ),
    12,
    FALSE
  ),
  0
)
"),8.361137440758295)</f>
        <v>8.361137441</v>
      </c>
      <c r="Z17" s="65">
        <f>IFERROR(__xludf.DUMMYFUNCTION("IFERROR(
  VLOOKUP(
    A17,
    IMPORTRANGE(
      ""1ZHMy3vVUd_0MrSduXTe1etBb1HNpAlGwQr006ljwMiM"",
      ""GSC最新!A:R""
    ),
    15,
    FALSE
  ),
  0
)
"),11.330434782608696)</f>
        <v>11.33043478</v>
      </c>
      <c r="AA17" s="65">
        <f>IFERROR(__xludf.DUMMYFUNCTION("IFERROR(
  VLOOKUP(
    A17,
    IMPORTRANGE(
      ""1ZHMy3vVUd_0MrSduXTe1etBb1HNpAlGwQr006ljwMiM"",
      ""GSC最新!A:R""
    ),
    18,
    FALSE
  ),
  0
)
"),13.293233082706767)</f>
        <v>13.29323308</v>
      </c>
      <c r="AB17" s="65">
        <f t="shared" ref="AB17:AC17" si="79">X17-Z17</f>
        <v>-5.759006211</v>
      </c>
      <c r="AC17" s="65">
        <f t="shared" si="79"/>
        <v>-4.932095642</v>
      </c>
      <c r="AD17" s="53">
        <f>IFERROR(__xludf.DUMMYFUNCTION("IFERROR(
  VLOOKUP(
    A17,
    IMPORTRANGE(
      ""1ZHMy3vVUd_0MrSduXTe1etBb1HNpAlGwQr006ljwMiM"",
      ""GSC最新!A:F""
    ),
    6,
    FALSE
  ),
  0
)
"),46081.0)</f>
        <v>46081</v>
      </c>
      <c r="AE17" s="54">
        <f>IFERROR(__xludf.DUMMYFUNCTION("IFERROR(
  VLOOKUP(
    A17,
    IMPORTRANGE(
      ""1SCYQd7_cobOYqT0r_F0IqD4tE4rYn5y8Eup4PJTH8es"",
      ""Snapshot!A:M""
    ),
    5,
    FALSE
  ),
  ""-""
)
"),5.0)</f>
        <v>5</v>
      </c>
      <c r="AF17" s="54">
        <f>IFERROR(__xludf.DUMMYFUNCTION("IFERROR(
  VLOOKUP(
    A17,
    IMPORTRANGE(
      ""1SCYQd7_cobOYqT0r_F0IqD4tE4rYn5y8Eup4PJTH8es"",
      ""Snapshot!A:M""
    ),
    6,
    FALSE
  ),
  0
)
"),6.0)</f>
        <v>6</v>
      </c>
      <c r="AG17" s="54">
        <f>IFERROR(__xludf.DUMMYFUNCTION("IFERROR(
  VLOOKUP(
    A17,
    IMPORTRANGE(
      ""1SCYQd7_cobOYqT0r_F0IqD4tE4rYn5y8Eup4PJTH8es"",
      ""Snapshot!A:M""
    ),
    7,
    FALSE
  ),
  0
)
"),3053.0)</f>
        <v>3053</v>
      </c>
      <c r="AH17" s="54">
        <f>IFERROR(__xludf.DUMMYFUNCTION("IFERROR(
  VLOOKUP(
    A17,
    IMPORTRANGE(
      ""1SCYQd7_cobOYqT0r_F0IqD4tE4rYn5y8Eup4PJTH8es"",
      ""Snapshot!A:M""
    ),
    8,
    FALSE
  ),
  0
)
"),31.0)</f>
        <v>31</v>
      </c>
      <c r="AI17" s="54">
        <f>IFERROR(__xludf.DUMMYFUNCTION("IFERROR(
  VLOOKUP(
    A17,
    IMPORTRANGE(
      ""1SCYQd7_cobOYqT0r_F0IqD4tE4rYn5y8Eup4PJTH8es"",
      ""Snapshot!A:M""
    ),
    9,
    FALSE
  ),
  0
)
"),0.0)</f>
        <v>0</v>
      </c>
      <c r="AJ17" s="54">
        <f>IFERROR(__xludf.DUMMYFUNCTION("IFERROR(
  VLOOKUP(
    A17,
    IMPORTRANGE(
      ""1SCYQd7_cobOYqT0r_F0IqD4tE4rYn5y8Eup4PJTH8es"",
      ""Snapshot!A:M""
    ),
    13,
    FALSE
  ),
  0
)
"),2.0)</f>
        <v>2</v>
      </c>
      <c r="AK17" s="49">
        <f t="shared" ref="AK17:AL17" si="80">LEN(C17)</f>
        <v>29</v>
      </c>
      <c r="AL17" s="49">
        <f t="shared" si="80"/>
        <v>58</v>
      </c>
    </row>
    <row r="18">
      <c r="A18" s="3" t="s">
        <v>730</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"),"代数・因数分解の勉強法｜途中式で計算ミスを減らす｜中学数学")</f>
        <v>代数・因数分解の勉強法｜途中式で計算ミスを減らす｜中学数学</v>
      </c>
      <c r="D18" s="1" t="str">
        <f>IFERROR(__xludf.DUMMYFUNCTION("IFERROR(
  VLOOKUP(
    A18,
    IMPORTRANGE(
      ""1ZygntHC1J6IxzKbTidmOyf5nUyW4GCLurHCjexrLm_o        "",
      ""HTMLキャッシュ!A:F""
    ),
    6,
    FALSE
  ),
  0
)
"),"代数や因数分解で手が止まる中学生向け。途中式の書き方、移項・分母払い・約分の例、因数分解の見分け方を整理。正確さを上げて計算力を伸ばす。")</f>
        <v>代数や因数分解で手が止まる中学生向け。途中式の書き方、移項・分母払い・約分の例、因数分解の見分け方を整理。正確さを上げて計算力を伸ばす。</v>
      </c>
      <c r="E18" s="32">
        <f>IFERROR(__xludf.DUMMYFUNCTION("IFERROR(
  VLOOKUP(
    A18,
    IMPORTRANGE(
      ""1ZygntHC1J6IxzKbTidmOyf5nUyW4GCLurHCjexrLm_o        "",
      ""HTMLキャッシュ!A:F""
    ),
    3,
    FALSE
  ),
  0
)
"),46078.85561342593)</f>
        <v>46078.85561</v>
      </c>
      <c r="F18" s="49">
        <f>IFERROR(__xludf.DUMMYFUNCTION("IFERROR(
  VLOOKUP(
    A18,
    IMPORTRANGE(
      ""1ZHMy3vVUd_0MrSduXTe1etBb1HNpAlGwQr006ljwMiM"",
      ""GSC最新!A:F""
    ),
    2,
    FALSE
  ),
  0
)
"),6.0)</f>
        <v>6</v>
      </c>
      <c r="G18" s="49">
        <f>IFERROR(__xludf.DUMMYFUNCTION("IFERROR(
  VLOOKUP(
    A18,
    IMPORTRANGE(
      ""1ZHMy3vVUd_0MrSduXTe1etBb1HNpAlGwQr006ljwMiM"",
      ""GSC最新!A:F""
    ),
    3,
    FALSE
  ),
  0
)
"),13.0)</f>
        <v>13</v>
      </c>
      <c r="H18" s="49">
        <f>IFERROR(__xludf.DUMMYFUNCTION("IFERROR(
  VLOOKUP(
    A18,
    IMPORTRANGE(
      ""1ZHMy3vVUd_0MrSduXTe1etBb1HNpAlGwQr006ljwMiM"",
      ""GSC最新!A:F""
    ),
    4,
    FALSE
  ),
  0
)
"),20.0)</f>
        <v>20</v>
      </c>
      <c r="I18" s="49">
        <f>IFERROR(__xludf.DUMMYFUNCTION("IFERROR(
  VLOOKUP(
    A18,
    IMPORTRANGE(
      ""1ZHMy3vVUd_0MrSduXTe1etBb1HNpAlGwQr006ljwMiM"",
      ""GSC最新!A:F""
    ),
    5,
    FALSE
  ),
  0
)
"),58.0)</f>
        <v>58</v>
      </c>
      <c r="J18" s="50">
        <f t="shared" ref="J18:K18" si="81">IFERROR(F18/H18,"-")</f>
        <v>0.3</v>
      </c>
      <c r="K18" s="50">
        <f t="shared" si="81"/>
        <v>0.224137931</v>
      </c>
      <c r="L18" s="6">
        <f>IFERROR(__xludf.DUMMYFUNCTION("IFERROR(
  VLOOKUP(
    A18,
    IMPORTRANGE(
      ""1ZHMy3vVUd_0MrSduXTe1etBb1HNpAlGwQr006ljwMiM"",
      ""GSC最新!A:R""
    ),
    7,
    FALSE
  ),
  0
)
"),400.0)</f>
        <v>400</v>
      </c>
      <c r="M18" s="6">
        <f>IFERROR(__xludf.DUMMYFUNCTION("IFERROR(
  VLOOKUP(
    A18,
    IMPORTRANGE(
      ""1ZHMy3vVUd_0MrSduXTe1etBb1HNpAlGwQr006ljwMiM"",
      ""GSC最新!A:R""
    ),
    10,
    FALSE
  ),
  0
)
"),807.0)</f>
        <v>807</v>
      </c>
      <c r="N18" s="6">
        <f>IFERROR(__xludf.DUMMYFUNCTION("IFERROR(
  VLOOKUP(
    A18,
    IMPORTRANGE(
      ""1ZHMy3vVUd_0MrSduXTe1etBb1HNpAlGwQr006ljwMiM"",
      ""GSC最新!A:R""
    ),
    13,
    FALSE
  ),
  0
)
"),99.0)</f>
        <v>99</v>
      </c>
      <c r="O18" s="6">
        <f>IFERROR(__xludf.DUMMYFUNCTION("IFERROR(
  VLOOKUP(
    A18,
    IMPORTRANGE(
      ""1ZHMy3vVUd_0MrSduXTe1etBb1HNpAlGwQr006ljwMiM"",
      ""GSC最新!A:R""
    ),
    16,
    FALSE
  ),
  0
)
"),319.0)</f>
        <v>319</v>
      </c>
      <c r="P18" s="51">
        <f t="shared" ref="P18:Q18" si="82">IFERROR(L18/N18,"-")</f>
        <v>4.04040404</v>
      </c>
      <c r="Q18" s="51">
        <f t="shared" si="82"/>
        <v>2.529780564</v>
      </c>
      <c r="R18" s="9">
        <f>IFERROR(__xludf.DUMMYFUNCTION("IFERROR(
  VLOOKUP(
    A18,
    IMPORTRANGE(
      ""1ZHMy3vVUd_0MrSduXTe1etBb1HNpAlGwQr006ljwMiM"",
      ""GSC最新!A:R""
    ),
    8,
    FALSE
  ),
  0
)
"),0.015)</f>
        <v>0.015</v>
      </c>
      <c r="S18" s="9">
        <f>IFERROR(__xludf.DUMMYFUNCTION("IFERROR(
  VLOOKUP(
    A18,
    IMPORTRANGE(
      ""1ZHMy3vVUd_0MrSduXTe1etBb1HNpAlGwQr006ljwMiM"",
      ""GSC最新!A:R""
    ),
    11,
    FALSE
  ),
  0
)
"),0.0161090458488228)</f>
        <v>0.01610904585</v>
      </c>
      <c r="T18" s="9">
        <f>IFERROR(__xludf.DUMMYFUNCTION("IFERROR(
  VLOOKUP(
    A18,
    IMPORTRANGE(
      ""1ZHMy3vVUd_0MrSduXTe1etBb1HNpAlGwQr006ljwMiM"",
      ""GSC最新!A:R""
    ),
    14,
    FALSE
  ),
  0
)
"),0.20202020202020202)</f>
        <v>0.202020202</v>
      </c>
      <c r="U18" s="9">
        <f>IFERROR(__xludf.DUMMYFUNCTION("IFERROR(
  VLOOKUP(
    A18,
    IMPORTRANGE(
      ""1ZHMy3vVUd_0MrSduXTe1etBb1HNpAlGwQr006ljwMiM"",
      ""GSC最新!A:R""
    ),
    17,
    FALSE
  ),
  0
)
"),0.18181818181818182)</f>
        <v>0.1818181818</v>
      </c>
      <c r="V18" s="9">
        <f t="shared" ref="V18:W18" si="83">IFERROR(R18-T18,"-")</f>
        <v>-0.187020202</v>
      </c>
      <c r="W18" s="9">
        <f t="shared" si="83"/>
        <v>-0.165709136</v>
      </c>
      <c r="X18" s="65">
        <f>IFERROR(__xludf.DUMMYFUNCTION("IFERROR(
  VLOOKUP(
    A18,
    IMPORTRANGE(
      ""1ZHMy3vVUd_0MrSduXTe1etBb1HNpAlGwQr006ljwMiM"",
      ""GSC最新!A:R""
    ),
    9,
    FALSE
  ),
  0
)
"),7.4125)</f>
        <v>7.4125</v>
      </c>
      <c r="Y18" s="65">
        <f>IFERROR(__xludf.DUMMYFUNCTION("IFERROR(
  VLOOKUP(
    A18,
    IMPORTRANGE(
      ""1ZHMy3vVUd_0MrSduXTe1etBb1HNpAlGwQr006ljwMiM"",
      ""GSC最新!A:R""
    ),
    12,
    FALSE
  ),
  0
)
"),9.38537794299876)</f>
        <v>9.385377943</v>
      </c>
      <c r="Z18" s="65">
        <f>IFERROR(__xludf.DUMMYFUNCTION("IFERROR(
  VLOOKUP(
    A18,
    IMPORTRANGE(
      ""1ZHMy3vVUd_0MrSduXTe1etBb1HNpAlGwQr006ljwMiM"",
      ""GSC最新!A:R""
    ),
    15,
    FALSE
  ),
  0
)
"),7.484848484848484)</f>
        <v>7.484848485</v>
      </c>
      <c r="AA18" s="65">
        <f>IFERROR(__xludf.DUMMYFUNCTION("IFERROR(
  VLOOKUP(
    A18,
    IMPORTRANGE(
      ""1ZHMy3vVUd_0MrSduXTe1etBb1HNpAlGwQr006ljwMiM"",
      ""GSC最新!A:R""
    ),
    18,
    FALSE
  ),
  0
)
"),8.03448275862069)</f>
        <v>8.034482759</v>
      </c>
      <c r="AB18" s="65">
        <f t="shared" ref="AB18:AC18" si="84">X18-Z18</f>
        <v>-0.07234848485</v>
      </c>
      <c r="AC18" s="65">
        <f t="shared" si="84"/>
        <v>1.350895184</v>
      </c>
      <c r="AD18" s="53">
        <f>IFERROR(__xludf.DUMMYFUNCTION("IFERROR(
  VLOOKUP(
    A18,
    IMPORTRANGE(
      ""1ZHMy3vVUd_0MrSduXTe1etBb1HNpAlGwQr006ljwMiM"",
      ""GSC最新!A:F""
    ),
    6,
    FALSE
  ),
  0
)
"),46081.0)</f>
        <v>46081</v>
      </c>
      <c r="AE18" s="54">
        <f>IFERROR(__xludf.DUMMYFUNCTION("IFERROR(
  VLOOKUP(
    A18,
    IMPORTRANGE(
      ""1SCYQd7_cobOYqT0r_F0IqD4tE4rYn5y8Eup4PJTH8es"",
      ""Snapshot!A:M""
    ),
    5,
    FALSE
  ),
  ""-""
)
"),9.0)</f>
        <v>9</v>
      </c>
      <c r="AF18" s="54">
        <f>IFERROR(__xludf.DUMMYFUNCTION("IFERROR(
  VLOOKUP(
    A18,
    IMPORTRANGE(
      ""1SCYQd7_cobOYqT0r_F0IqD4tE4rYn5y8Eup4PJTH8es"",
      ""Snapshot!A:M""
    ),
    6,
    FALSE
  ),
  0
)
"),14.0)</f>
        <v>14</v>
      </c>
      <c r="AG18" s="54">
        <f>IFERROR(__xludf.DUMMYFUNCTION("IFERROR(
  VLOOKUP(
    A18,
    IMPORTRANGE(
      ""1SCYQd7_cobOYqT0r_F0IqD4tE4rYn5y8Eup4PJTH8es"",
      ""Snapshot!A:M""
    ),
    7,
    FALSE
  ),
  0
)
"),4220.0)</f>
        <v>4220</v>
      </c>
      <c r="AH18" s="54">
        <f>IFERROR(__xludf.DUMMYFUNCTION("IFERROR(
  VLOOKUP(
    A18,
    IMPORTRANGE(
      ""1SCYQd7_cobOYqT0r_F0IqD4tE4rYn5y8Eup4PJTH8es"",
      ""Snapshot!A:M""
    ),
    8,
    FALSE
  ),
  0
)
"),8.0)</f>
        <v>8</v>
      </c>
      <c r="AI18" s="54">
        <f>IFERROR(__xludf.DUMMYFUNCTION("IFERROR(
  VLOOKUP(
    A18,
    IMPORTRANGE(
      ""1SCYQd7_cobOYqT0r_F0IqD4tE4rYn5y8Eup4PJTH8es"",
      ""Snapshot!A:M""
    ),
    9,
    FALSE
  ),
  0
)
"),3.0)</f>
        <v>3</v>
      </c>
      <c r="AJ18" s="54">
        <f>IFERROR(__xludf.DUMMYFUNCTION("IFERROR(
  VLOOKUP(
    A18,
    IMPORTRANGE(
      ""1SCYQd7_cobOYqT0r_F0IqD4tE4rYn5y8Eup4PJTH8es"",
      ""Snapshot!A:M""
    ),
    13,
    FALSE
  ),
  0
)
"),2.0)</f>
        <v>2</v>
      </c>
      <c r="AK18" s="49">
        <f t="shared" ref="AK18:AL18" si="85">LEN(C18)</f>
        <v>29</v>
      </c>
      <c r="AL18" s="49">
        <f t="shared" si="85"/>
        <v>68</v>
      </c>
    </row>
    <row r="19">
      <c r="A19" s="3" t="s">
        <v>731</v>
      </c>
      <c r="B19" s="1" t="str">
        <f>IFERROR(__xludf.DUMMYFUNCTION("IFERROR(
  VLOOKUP(
    A19,
    IMPORTRANGE(
      ""1ZygntHC1J6IxzKbTidmOyf5nUyW4GCLurHCjexrLm_o"",
      ""HTMLキャッシュ!A:F""
    ),
    2,
    FALSE
  ),
  0
)
"),"SC")</f>
        <v>SC</v>
      </c>
      <c r="C19" s="1" t="str">
        <f>IFERROR(__xludf.DUMMYFUNCTION("IFERROR(
  VLOOKUP(
    A19,
    IMPORTRANGE(
      ""1ZygntHC1J6IxzKbTidmOyf5nUyW4GCLurHCjexrLm_o"",
      ""HTMLキャッシュ!A:F""
    ),
    5,
    FALSE
  ),
  0
)
"),"就活筆記試験で数学できない｜SPI非言語対策｜文系向け")</f>
        <v>就活筆記試験で数学できない｜SPI非言語対策｜文系向け</v>
      </c>
      <c r="D19" s="1" t="str">
        <f>IFERROR(__xludf.DUMMYFUNCTION("IFERROR(
  VLOOKUP(
    A19,
    IMPORTRANGE(
      ""1ZygntHC1J6IxzKbTidmOyf5nUyW4GCLurHCjexrLm_o        "",
      ""HTMLキャッシュ!A:F""
    ),
    6,
    FALSE
  ),
  0
)
"),"就活の筆記試験で数学が苦手な文系向け。SPI非言語・適性検査の計算、割合、比、グラフの最低ラインと練習法を整理し、時間切れや計算ミスを減らす考え方をまとめます。")</f>
        <v>就活の筆記試験で数学が苦手な文系向け。SPI非言語・適性検査の計算、割合、比、グラフの最低ラインと練習法を整理し、時間切れや計算ミスを減らす考え方をまとめます。</v>
      </c>
      <c r="E19" s="32">
        <f>IFERROR(__xludf.DUMMYFUNCTION("IFERROR(
  VLOOKUP(
    A19,
    IMPORTRANGE(
      ""1ZygntHC1J6IxzKbTidmOyf5nUyW4GCLurHCjexrLm_o        "",
      ""HTMLキャッシュ!A:F""
    ),
    3,
    FALSE
  ),
  0
)
"),46078.85528935185)</f>
        <v>46078.85529</v>
      </c>
      <c r="F19" s="49">
        <f>IFERROR(__xludf.DUMMYFUNCTION("IFERROR(
  VLOOKUP(
    A19,
    IMPORTRANGE(
      ""1ZHMy3vVUd_0MrSduXTe1etBb1HNpAlGwQr006ljwMiM"",
      ""GSC最新!A:F""
    ),
    2,
    FALSE
  ),
  0
)
"),3.0)</f>
        <v>3</v>
      </c>
      <c r="G19" s="49">
        <f>IFERROR(__xludf.DUMMYFUNCTION("IFERROR(
  VLOOKUP(
    A19,
    IMPORTRANGE(
      ""1ZHMy3vVUd_0MrSduXTe1etBb1HNpAlGwQr006ljwMiM"",
      ""GSC最新!A:F""
    ),
    3,
    FALSE
  ),
  0
)
"),10.0)</f>
        <v>10</v>
      </c>
      <c r="H19" s="49">
        <f>IFERROR(__xludf.DUMMYFUNCTION("IFERROR(
  VLOOKUP(
    A19,
    IMPORTRANGE(
      ""1ZHMy3vVUd_0MrSduXTe1etBb1HNpAlGwQr006ljwMiM"",
      ""GSC最新!A:F""
    ),
    4,
    FALSE
  ),
  0
)
"),4.0)</f>
        <v>4</v>
      </c>
      <c r="I19" s="49">
        <f>IFERROR(__xludf.DUMMYFUNCTION("IFERROR(
  VLOOKUP(
    A19,
    IMPORTRANGE(
      ""1ZHMy3vVUd_0MrSduXTe1etBb1HNpAlGwQr006ljwMiM"",
      ""GSC最新!A:F""
    ),
    5,
    FALSE
  ),
  0
)
"),14.0)</f>
        <v>14</v>
      </c>
      <c r="J19" s="50">
        <f t="shared" ref="J19:K19" si="86">IFERROR(F19/H19,"-")</f>
        <v>0.75</v>
      </c>
      <c r="K19" s="50">
        <f t="shared" si="86"/>
        <v>0.7142857143</v>
      </c>
      <c r="L19" s="6">
        <f>IFERROR(__xludf.DUMMYFUNCTION("IFERROR(
  VLOOKUP(
    A19,
    IMPORTRANGE(
      ""1ZHMy3vVUd_0MrSduXTe1etBb1HNpAlGwQr006ljwMiM"",
      ""GSC最新!A:R""
    ),
    7,
    FALSE
  ),
  0
)
"),377.0)</f>
        <v>377</v>
      </c>
      <c r="M19" s="6">
        <f>IFERROR(__xludf.DUMMYFUNCTION("IFERROR(
  VLOOKUP(
    A19,
    IMPORTRANGE(
      ""1ZHMy3vVUd_0MrSduXTe1etBb1HNpAlGwQr006ljwMiM"",
      ""GSC最新!A:R""
    ),
    10,
    FALSE
  ),
  0
)
"),730.0)</f>
        <v>730</v>
      </c>
      <c r="N19" s="6">
        <f>IFERROR(__xludf.DUMMYFUNCTION("IFERROR(
  VLOOKUP(
    A19,
    IMPORTRANGE(
      ""1ZHMy3vVUd_0MrSduXTe1etBb1HNpAlGwQr006ljwMiM"",
      ""GSC最新!A:R""
    ),
    13,
    FALSE
  ),
  0
)
"),93.0)</f>
        <v>93</v>
      </c>
      <c r="O19" s="6">
        <f>IFERROR(__xludf.DUMMYFUNCTION("IFERROR(
  VLOOKUP(
    A19,
    IMPORTRANGE(
      ""1ZHMy3vVUd_0MrSduXTe1etBb1HNpAlGwQr006ljwMiM"",
      ""GSC最新!A:R""
    ),
    16,
    FALSE
  ),
  0
)
"),310.0)</f>
        <v>310</v>
      </c>
      <c r="P19" s="51">
        <f t="shared" ref="P19:Q19" si="87">IFERROR(L19/N19,"-")</f>
        <v>4.053763441</v>
      </c>
      <c r="Q19" s="51">
        <f t="shared" si="87"/>
        <v>2.35483871</v>
      </c>
      <c r="R19" s="9">
        <f>IFERROR(__xludf.DUMMYFUNCTION("IFERROR(
  VLOOKUP(
    A19,
    IMPORTRANGE(
      ""1ZHMy3vVUd_0MrSduXTe1etBb1HNpAlGwQr006ljwMiM"",
      ""GSC最新!A:R""
    ),
    8,
    FALSE
  ),
  0
)
"),0.007957559681697613)</f>
        <v>0.007957559682</v>
      </c>
      <c r="S19" s="9">
        <f>IFERROR(__xludf.DUMMYFUNCTION("IFERROR(
  VLOOKUP(
    A19,
    IMPORTRANGE(
      ""1ZHMy3vVUd_0MrSduXTe1etBb1HNpAlGwQr006ljwMiM"",
      ""GSC最新!A:R""
    ),
    11,
    FALSE
  ),
  0
)
"),0.0136986301369863)</f>
        <v>0.01369863014</v>
      </c>
      <c r="T19" s="9">
        <f>IFERROR(__xludf.DUMMYFUNCTION("IFERROR(
  VLOOKUP(
    A19,
    IMPORTRANGE(
      ""1ZHMy3vVUd_0MrSduXTe1etBb1HNpAlGwQr006ljwMiM"",
      ""GSC最新!A:R""
    ),
    14,
    FALSE
  ),
  0
)
"),0.043010752688172046)</f>
        <v>0.04301075269</v>
      </c>
      <c r="U19" s="9">
        <f>IFERROR(__xludf.DUMMYFUNCTION("IFERROR(
  VLOOKUP(
    A19,
    IMPORTRANGE(
      ""1ZHMy3vVUd_0MrSduXTe1etBb1HNpAlGwQr006ljwMiM"",
      ""GSC最新!A:R""
    ),
    17,
    FALSE
  ),
  0
)
"),0.04516129032258064)</f>
        <v>0.04516129032</v>
      </c>
      <c r="V19" s="9">
        <f t="shared" ref="V19:W19" si="88">IFERROR(R19-T19,"-")</f>
        <v>-0.03505319301</v>
      </c>
      <c r="W19" s="9">
        <f t="shared" si="88"/>
        <v>-0.03146266019</v>
      </c>
      <c r="X19" s="65">
        <f>IFERROR(__xludf.DUMMYFUNCTION("IFERROR(
  VLOOKUP(
    A19,
    IMPORTRANGE(
      ""1ZHMy3vVUd_0MrSduXTe1etBb1HNpAlGwQr006ljwMiM"",
      ""GSC最新!A:R""
    ),
    9,
    FALSE
  ),
  0
)
"),6.901856763925729)</f>
        <v>6.901856764</v>
      </c>
      <c r="Y19" s="65">
        <f>IFERROR(__xludf.DUMMYFUNCTION("IFERROR(
  VLOOKUP(
    A19,
    IMPORTRANGE(
      ""1ZHMy3vVUd_0MrSduXTe1etBb1HNpAlGwQr006ljwMiM"",
      ""GSC最新!A:R""
    ),
    12,
    FALSE
  ),
  0
)
"),7.343835616438356)</f>
        <v>7.343835616</v>
      </c>
      <c r="Z19" s="65">
        <f>IFERROR(__xludf.DUMMYFUNCTION("IFERROR(
  VLOOKUP(
    A19,
    IMPORTRANGE(
      ""1ZHMy3vVUd_0MrSduXTe1etBb1HNpAlGwQr006ljwMiM"",
      ""GSC最新!A:R""
    ),
    15,
    FALSE
  ),
  0
)
"),19.333333333333332)</f>
        <v>19.33333333</v>
      </c>
      <c r="AA19" s="65">
        <f>IFERROR(__xludf.DUMMYFUNCTION("IFERROR(
  VLOOKUP(
    A19,
    IMPORTRANGE(
      ""1ZHMy3vVUd_0MrSduXTe1etBb1HNpAlGwQr006ljwMiM"",
      ""GSC最新!A:R""
    ),
    18,
    FALSE
  ),
  0
)
"),28.39677419354839)</f>
        <v>28.39677419</v>
      </c>
      <c r="AB19" s="65">
        <f t="shared" ref="AB19:AC19" si="89">X19-Z19</f>
        <v>-12.43147657</v>
      </c>
      <c r="AC19" s="65">
        <f t="shared" si="89"/>
        <v>-21.05293858</v>
      </c>
      <c r="AD19" s="53">
        <f>IFERROR(__xludf.DUMMYFUNCTION("IFERROR(
  VLOOKUP(
    A19,
    IMPORTRANGE(
      ""1ZHMy3vVUd_0MrSduXTe1etBb1HNpAlGwQr006ljwMiM"",
      ""GSC最新!A:F""
    ),
    6,
    FALSE
  ),
  0
)
"),46081.0)</f>
        <v>46081</v>
      </c>
      <c r="AE19" s="54">
        <f>IFERROR(__xludf.DUMMYFUNCTION("IFERROR(
  VLOOKUP(
    A19,
    IMPORTRANGE(
      ""1SCYQd7_cobOYqT0r_F0IqD4tE4rYn5y8Eup4PJTH8es"",
      ""Snapshot!A:M""
    ),
    5,
    FALSE
  ),
  ""-""
)
"),7.0)</f>
        <v>7</v>
      </c>
      <c r="AF19" s="54">
        <f>IFERROR(__xludf.DUMMYFUNCTION("IFERROR(
  VLOOKUP(
    A19,
    IMPORTRANGE(
      ""1SCYQd7_cobOYqT0r_F0IqD4tE4rYn5y8Eup4PJTH8es"",
      ""Snapshot!A:M""
    ),
    6,
    FALSE
  ),
  0
)
"),9.0)</f>
        <v>9</v>
      </c>
      <c r="AG19" s="54">
        <f>IFERROR(__xludf.DUMMYFUNCTION("IFERROR(
  VLOOKUP(
    A19,
    IMPORTRANGE(
      ""1SCYQd7_cobOYqT0r_F0IqD4tE4rYn5y8Eup4PJTH8es"",
      ""Snapshot!A:M""
    ),
    7,
    FALSE
  ),
  0
)
"),3238.0)</f>
        <v>3238</v>
      </c>
      <c r="AH19" s="54">
        <f>IFERROR(__xludf.DUMMYFUNCTION("IFERROR(
  VLOOKUP(
    A19,
    IMPORTRANGE(
      ""1SCYQd7_cobOYqT0r_F0IqD4tE4rYn5y8Eup4PJTH8es"",
      ""Snapshot!A:M""
    ),
    8,
    FALSE
  ),
  0
)
"),31.0)</f>
        <v>31</v>
      </c>
      <c r="AI19" s="54">
        <f>IFERROR(__xludf.DUMMYFUNCTION("IFERROR(
  VLOOKUP(
    A19,
    IMPORTRANGE(
      ""1SCYQd7_cobOYqT0r_F0IqD4tE4rYn5y8Eup4PJTH8es"",
      ""Snapshot!A:M""
    ),
    9,
    FALSE
  ),
  0
)
"),0.0)</f>
        <v>0</v>
      </c>
      <c r="AJ19" s="54">
        <f>IFERROR(__xludf.DUMMYFUNCTION("IFERROR(
  VLOOKUP(
    A19,
    IMPORTRANGE(
      ""1SCYQd7_cobOYqT0r_F0IqD4tE4rYn5y8Eup4PJTH8es"",
      ""Snapshot!A:M""
    ),
    13,
    FALSE
  ),
  0
)
"),2.0)</f>
        <v>2</v>
      </c>
      <c r="AK19" s="49">
        <f t="shared" ref="AK19:AL19" si="90">LEN(C19)</f>
        <v>27</v>
      </c>
      <c r="AL19" s="49">
        <f t="shared" si="90"/>
        <v>80</v>
      </c>
    </row>
    <row r="20">
      <c r="A20" s="3" t="s">
        <v>732</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"),"数学のケアレスミス対策｜誤答例と見直し手順｜中高一貫数学")</f>
        <v>数学のケアレスミス対策｜誤答例と見直し手順｜中高一貫数学</v>
      </c>
      <c r="D20" s="1" t="str">
        <f>IFERROR(__xludf.DUMMYFUNCTION("IFERROR(
  VLOOKUP(
    A20,
    IMPORTRANGE(
      ""1ZygntHC1J6IxzKbTidmOyf5nUyW4GCLurHCjexrLm_o        "",
      ""HTMLキャッシュ!A:F""
    ),
    6,
    FALSE
  ),
  0
)
"),"数学のケアレスミスは「注意」では減りません。符号・移項・計算の原因を特定し、途中式を省略しない書き方、見直し手順、解き直しまで7項目で習慣化します。")</f>
        <v>数学のケアレスミスは「注意」では減りません。符号・移項・計算の原因を特定し、途中式を省略しない書き方、見直し手順、解き直しまで7項目で習慣化します。</v>
      </c>
      <c r="E20" s="32">
        <f>IFERROR(__xludf.DUMMYFUNCTION("IFERROR(
  VLOOKUP(
    A20,
    IMPORTRANGE(
      ""1ZygntHC1J6IxzKbTidmOyf5nUyW4GCLurHCjexrLm_o        "",
      ""HTMLキャッシュ!A:F""
    ),
    3,
    FALSE
  ),
  0
)
"),46053.838472222225)</f>
        <v>46053.83847</v>
      </c>
      <c r="F20" s="49">
        <f>IFERROR(__xludf.DUMMYFUNCTION("IFERROR(
  VLOOKUP(
    A20,
    IMPORTRANGE(
      ""1ZHMy3vVUd_0MrSduXTe1etBb1HNpAlGwQr006ljwMiM"",
      ""GSC最新!A:F""
    ),
    2,
    FALSE
  ),
  0
)
"),5.0)</f>
        <v>5</v>
      </c>
      <c r="G20" s="49">
        <f>IFERROR(__xludf.DUMMYFUNCTION("IFERROR(
  VLOOKUP(
    A20,
    IMPORTRANGE(
      ""1ZHMy3vVUd_0MrSduXTe1etBb1HNpAlGwQr006ljwMiM"",
      ""GSC最新!A:F""
    ),
    3,
    FALSE
  ),
  0
)
"),7.0)</f>
        <v>7</v>
      </c>
      <c r="H20" s="49">
        <f>IFERROR(__xludf.DUMMYFUNCTION("IFERROR(
  VLOOKUP(
    A20,
    IMPORTRANGE(
      ""1ZHMy3vVUd_0MrSduXTe1etBb1HNpAlGwQr006ljwMiM"",
      ""GSC最新!A:F""
    ),
    4,
    FALSE
  ),
  0
)
"),0.0)</f>
        <v>0</v>
      </c>
      <c r="I20" s="49">
        <f>IFERROR(__xludf.DUMMYFUNCTION("IFERROR(
  VLOOKUP(
    A20,
    IMPORTRANGE(
      ""1ZHMy3vVUd_0MrSduXTe1etBb1HNpAlGwQr006ljwMiM"",
      ""GSC最新!A:F""
    ),
    5,
    FALSE
  ),
  0
)
"),0.0)</f>
        <v>0</v>
      </c>
      <c r="J20" s="50" t="str">
        <f t="shared" ref="J20:K20" si="91">IFERROR(F20/H20,"-")</f>
        <v>-</v>
      </c>
      <c r="K20" s="50" t="str">
        <f t="shared" si="91"/>
        <v>-</v>
      </c>
      <c r="L20" s="6">
        <f>IFERROR(__xludf.DUMMYFUNCTION("IFERROR(
  VLOOKUP(
    A20,
    IMPORTRANGE(
      ""1ZHMy3vVUd_0MrSduXTe1etBb1HNpAlGwQr006ljwMiM"",
      ""GSC最新!A:R""
    ),
    7,
    FALSE
  ),
  0
)
"),915.0)</f>
        <v>915</v>
      </c>
      <c r="M20" s="6">
        <f>IFERROR(__xludf.DUMMYFUNCTION("IFERROR(
  VLOOKUP(
    A20,
    IMPORTRANGE(
      ""1ZHMy3vVUd_0MrSduXTe1etBb1HNpAlGwQr006ljwMiM"",
      ""GSC最新!A:R""
    ),
    10,
    FALSE
  ),
  0
)
"),1062.0)</f>
        <v>1062</v>
      </c>
      <c r="N20" s="6">
        <f>IFERROR(__xludf.DUMMYFUNCTION("IFERROR(
  VLOOKUP(
    A20,
    IMPORTRANGE(
      ""1ZHMy3vVUd_0MrSduXTe1etBb1HNpAlGwQr006ljwMiM"",
      ""GSC最新!A:R""
    ),
    13,
    FALSE
  ),
  0
)
"),65.0)</f>
        <v>65</v>
      </c>
      <c r="O20" s="6">
        <f>IFERROR(__xludf.DUMMYFUNCTION("IFERROR(
  VLOOKUP(
    A20,
    IMPORTRANGE(
      ""1ZHMy3vVUd_0MrSduXTe1etBb1HNpAlGwQr006ljwMiM"",
      ""GSC最新!A:R""
    ),
    16,
    FALSE
  ),
  0
)
"),170.0)</f>
        <v>170</v>
      </c>
      <c r="P20" s="51">
        <f t="shared" ref="P20:Q20" si="92">IFERROR(L20/N20,"-")</f>
        <v>14.07692308</v>
      </c>
      <c r="Q20" s="51">
        <f t="shared" si="92"/>
        <v>6.247058824</v>
      </c>
      <c r="R20" s="9">
        <f>IFERROR(__xludf.DUMMYFUNCTION("IFERROR(
  VLOOKUP(
    A20,
    IMPORTRANGE(
      ""1ZHMy3vVUd_0MrSduXTe1etBb1HNpAlGwQr006ljwMiM"",
      ""GSC最新!A:R""
    ),
    8,
    FALSE
  ),
  0
)
"),0.00546448087431694)</f>
        <v>0.005464480874</v>
      </c>
      <c r="S20" s="9">
        <f>IFERROR(__xludf.DUMMYFUNCTION("IFERROR(
  VLOOKUP(
    A20,
    IMPORTRANGE(
      ""1ZHMy3vVUd_0MrSduXTe1etBb1HNpAlGwQr006ljwMiM"",
      ""GSC最新!A:R""
    ),
    11,
    FALSE
  ),
  0
)
"),0.006591337099811676)</f>
        <v>0.0065913371</v>
      </c>
      <c r="T20" s="9">
        <f>IFERROR(__xludf.DUMMYFUNCTION("IFERROR(
  VLOOKUP(
    A20,
    IMPORTRANGE(
      ""1ZHMy3vVUd_0MrSduXTe1etBb1HNpAlGwQr006ljwMiM"",
      ""GSC最新!A:R""
    ),
    14,
    FALSE
  ),
  0
)
"),0.0)</f>
        <v>0</v>
      </c>
      <c r="U20" s="9">
        <f>IFERROR(__xludf.DUMMYFUNCTION("IFERROR(
  VLOOKUP(
    A20,
    IMPORTRANGE(
      ""1ZHMy3vVUd_0MrSduXTe1etBb1HNpAlGwQr006ljwMiM"",
      ""GSC最新!A:R""
    ),
    17,
    FALSE
  ),
  0
)
"),0.0)</f>
        <v>0</v>
      </c>
      <c r="V20" s="9">
        <f t="shared" ref="V20:W20" si="93">IFERROR(R20-T20,"-")</f>
        <v>0.005464480874</v>
      </c>
      <c r="W20" s="9">
        <f t="shared" si="93"/>
        <v>0.0065913371</v>
      </c>
      <c r="X20" s="65">
        <f>IFERROR(__xludf.DUMMYFUNCTION("IFERROR(
  VLOOKUP(
    A20,
    IMPORTRANGE(
      ""1ZHMy3vVUd_0MrSduXTe1etBb1HNpAlGwQr006ljwMiM"",
      ""GSC最新!A:R""
    ),
    9,
    FALSE
  ),
  0
)
"),5.075409836065574)</f>
        <v>5.075409836</v>
      </c>
      <c r="Y20" s="65">
        <f>IFERROR(__xludf.DUMMYFUNCTION("IFERROR(
  VLOOKUP(
    A20,
    IMPORTRANGE(
      ""1ZHMy3vVUd_0MrSduXTe1etBb1HNpAlGwQr006ljwMiM"",
      ""GSC最新!A:R""
    ),
    12,
    FALSE
  ),
  0
)
"),5.419020715630885)</f>
        <v>5.419020716</v>
      </c>
      <c r="Z20" s="65">
        <f>IFERROR(__xludf.DUMMYFUNCTION("IFERROR(
  VLOOKUP(
    A20,
    IMPORTRANGE(
      ""1ZHMy3vVUd_0MrSduXTe1etBb1HNpAlGwQr006ljwMiM"",
      ""GSC最新!A:R""
    ),
    15,
    FALSE
  ),
  0
)
"),16.384615384615387)</f>
        <v>16.38461538</v>
      </c>
      <c r="AA20" s="65">
        <f>IFERROR(__xludf.DUMMYFUNCTION("IFERROR(
  VLOOKUP(
    A20,
    IMPORTRANGE(
      ""1ZHMy3vVUd_0MrSduXTe1etBb1HNpAlGwQr006ljwMiM"",
      ""GSC最新!A:R""
    ),
    18,
    FALSE
  ),
  0
)
"),22.529411764705884)</f>
        <v>22.52941176</v>
      </c>
      <c r="AB20" s="65">
        <f t="shared" ref="AB20:AC20" si="94">X20-Z20</f>
        <v>-11.30920555</v>
      </c>
      <c r="AC20" s="65">
        <f t="shared" si="94"/>
        <v>-17.11039105</v>
      </c>
      <c r="AD20" s="53">
        <f>IFERROR(__xludf.DUMMYFUNCTION("IFERROR(
  VLOOKUP(
    A20,
    IMPORTRANGE(
      ""1ZHMy3vVUd_0MrSduXTe1etBb1HNpAlGwQr006ljwMiM"",
      ""GSC最新!A:F""
    ),
    6,
    FALSE
  ),
  0
)
"),46081.0)</f>
        <v>46081</v>
      </c>
      <c r="AE20" s="54">
        <f>IFERROR(__xludf.DUMMYFUNCTION("IFERROR(
  VLOOKUP(
    A20,
    IMPORTRANGE(
      ""1SCYQd7_cobOYqT0r_F0IqD4tE4rYn5y8Eup4PJTH8es"",
      ""Snapshot!A:M""
    ),
    5,
    FALSE
  ),
  ""-""
)
"),0.0)</f>
        <v>0</v>
      </c>
      <c r="AF20" s="54">
        <f>IFERROR(__xludf.DUMMYFUNCTION("IFERROR(
  VLOOKUP(
    A20,
    IMPORTRANGE(
      ""1SCYQd7_cobOYqT0r_F0IqD4tE4rYn5y8Eup4PJTH8es"",
      ""Snapshot!A:M""
    ),
    6,
    FALSE
  ),
  0
)
"),0.0)</f>
        <v>0</v>
      </c>
      <c r="AG20" s="54">
        <f>IFERROR(__xludf.DUMMYFUNCTION("IFERROR(
  VLOOKUP(
    A20,
    IMPORTRANGE(
      ""1SCYQd7_cobOYqT0r_F0IqD4tE4rYn5y8Eup4PJTH8es"",
      ""Snapshot!A:M""
    ),
    7,
    FALSE
  ),
  0
)
"),3431.0)</f>
        <v>3431</v>
      </c>
      <c r="AH20" s="54">
        <f>IFERROR(__xludf.DUMMYFUNCTION("IFERROR(
  VLOOKUP(
    A20,
    IMPORTRANGE(
      ""1SCYQd7_cobOYqT0r_F0IqD4tE4rYn5y8Eup4PJTH8es"",
      ""Snapshot!A:M""
    ),
    8,
    FALSE
  ),
  0
)
"),4.0)</f>
        <v>4</v>
      </c>
      <c r="AI20" s="54">
        <f>IFERROR(__xludf.DUMMYFUNCTION("IFERROR(
  VLOOKUP(
    A20,
    IMPORTRANGE(
      ""1SCYQd7_cobOYqT0r_F0IqD4tE4rYn5y8Eup4PJTH8es"",
      ""Snapshot!A:M""
    ),
    9,
    FALSE
  ),
  0
)
"),1.0)</f>
        <v>1</v>
      </c>
      <c r="AJ20" s="54">
        <f>IFERROR(__xludf.DUMMYFUNCTION("IFERROR(
  VLOOKUP(
    A20,
    IMPORTRANGE(
      ""1SCYQd7_cobOYqT0r_F0IqD4tE4rYn5y8Eup4PJTH8es"",
      ""Snapshot!A:M""
    ),
    13,
    FALSE
  ),
  0
)
"),2.0)</f>
        <v>2</v>
      </c>
      <c r="AK20" s="49">
        <f t="shared" ref="AK20:AL20" si="95">LEN(C20)</f>
        <v>28</v>
      </c>
      <c r="AL20" s="49">
        <f t="shared" si="95"/>
        <v>74</v>
      </c>
    </row>
    <row r="21">
      <c r="A21" s="3" t="s">
        <v>733</v>
      </c>
      <c r="B21" s="1" t="str">
        <f>IFERROR(__xludf.DUMMYFUNCTION("IFERROR(
  VLOOKUP(
    A21,
    IMPORTRANGE(
      ""1ZygntHC1J6IxzKbTidmOyf5nUyW4GCLurHCjexrLm_o"",
      ""HTMLキャッシュ!A:F""
    ),
    2,
    FALSE
  ),
  0
)
"),"SC")</f>
        <v>SC</v>
      </c>
      <c r="C21" s="1" t="str">
        <f>IFERROR(__xludf.DUMMYFUNCTION("IFERROR(
  VLOOKUP(
    A21,
    IMPORTRANGE(
      ""1ZygntHC1J6IxzKbTidmOyf5nUyW4GCLurHCjexrLm_o"",
      ""HTMLキャッシュ!A:F""
    ),
    5,
    FALSE
  ),
  0
)
"),"数学が苦手でも理系へ進むための戦略整理｜ESCOT数学系")</f>
        <v>数学が苦手でも理系へ進むための戦略整理｜ESCOT数学系</v>
      </c>
      <c r="D21" s="1" t="str">
        <f>IFERROR(__xludf.DUMMYFUNCTION("IFERROR(
  VLOOKUP(
    A21,
    IMPORTRANGE(
      ""1ZygntHC1J6IxzKbTidmOyf5nUyW4GCLurHCjexrLm_o        "",
      ""HTMLキャッシュ!A:F""
    ),
    6,
    FALSE
  ),
  0
)
"),"理系に進みたいのに数学ができない高校生へ。理系が無理と決めつけない判断軸と、必要レベルの見極め方、基礎固め〜復習サイクルの挽回手順を整理。")</f>
        <v>理系に進みたいのに数学ができない高校生へ。理系が無理と決めつけない判断軸と、必要レベルの見極め方、基礎固め〜復習サイクルの挽回手順を整理。</v>
      </c>
      <c r="E21" s="32">
        <f>IFERROR(__xludf.DUMMYFUNCTION("IFERROR(
  VLOOKUP(
    A21,
    IMPORTRANGE(
      ""1ZygntHC1J6IxzKbTidmOyf5nUyW4GCLurHCjexrLm_o        "",
      ""HTMLキャッシュ!A:F""
    ),
    3,
    FALSE
  ),
  0
)
"),46078.85517361111)</f>
        <v>46078.85517</v>
      </c>
      <c r="F21" s="49">
        <f>IFERROR(__xludf.DUMMYFUNCTION("IFERROR(
  VLOOKUP(
    A21,
    IMPORTRANGE(
      ""1ZHMy3vVUd_0MrSduXTe1etBb1HNpAlGwQr006ljwMiM"",
      ""GSC最新!A:F""
    ),
    2,
    FALSE
  ),
  0
)
"),2.0)</f>
        <v>2</v>
      </c>
      <c r="G21" s="49">
        <f>IFERROR(__xludf.DUMMYFUNCTION("IFERROR(
  VLOOKUP(
    A21,
    IMPORTRANGE(
      ""1ZHMy3vVUd_0MrSduXTe1etBb1HNpAlGwQr006ljwMiM"",
      ""GSC最新!A:F""
    ),
    3,
    FALSE
  ),
  0
)
"),7.0)</f>
        <v>7</v>
      </c>
      <c r="H21" s="49">
        <f>IFERROR(__xludf.DUMMYFUNCTION("IFERROR(
  VLOOKUP(
    A21,
    IMPORTRANGE(
      ""1ZHMy3vVUd_0MrSduXTe1etBb1HNpAlGwQr006ljwMiM"",
      ""GSC最新!A:F""
    ),
    4,
    FALSE
  ),
  0
)
"),0.0)</f>
        <v>0</v>
      </c>
      <c r="I21" s="49">
        <f>IFERROR(__xludf.DUMMYFUNCTION("IFERROR(
  VLOOKUP(
    A21,
    IMPORTRANGE(
      ""1ZHMy3vVUd_0MrSduXTe1etBb1HNpAlGwQr006ljwMiM"",
      ""GSC最新!A:F""
    ),
    5,
    FALSE
  ),
  0
)
"),1.0)</f>
        <v>1</v>
      </c>
      <c r="J21" s="50" t="str">
        <f t="shared" ref="J21:K21" si="96">IFERROR(F21/H21,"-")</f>
        <v>-</v>
      </c>
      <c r="K21" s="50">
        <f t="shared" si="96"/>
        <v>7</v>
      </c>
      <c r="L21" s="6">
        <f>IFERROR(__xludf.DUMMYFUNCTION("IFERROR(
  VLOOKUP(
    A21,
    IMPORTRANGE(
      ""1ZHMy3vVUd_0MrSduXTe1etBb1HNpAlGwQr006ljwMiM"",
      ""GSC最新!A:R""
    ),
    7,
    FALSE
  ),
  0
)
"),586.0)</f>
        <v>586</v>
      </c>
      <c r="M21" s="6">
        <f>IFERROR(__xludf.DUMMYFUNCTION("IFERROR(
  VLOOKUP(
    A21,
    IMPORTRANGE(
      ""1ZHMy3vVUd_0MrSduXTe1etBb1HNpAlGwQr006ljwMiM"",
      ""GSC最新!A:R""
    ),
    10,
    FALSE
  ),
  0
)
"),939.0)</f>
        <v>939</v>
      </c>
      <c r="N21" s="6">
        <f>IFERROR(__xludf.DUMMYFUNCTION("IFERROR(
  VLOOKUP(
    A21,
    IMPORTRANGE(
      ""1ZHMy3vVUd_0MrSduXTe1etBb1HNpAlGwQr006ljwMiM"",
      ""GSC最新!A:R""
    ),
    13,
    FALSE
  ),
  0
)
"),13.0)</f>
        <v>13</v>
      </c>
      <c r="O21" s="6">
        <f>IFERROR(__xludf.DUMMYFUNCTION("IFERROR(
  VLOOKUP(
    A21,
    IMPORTRANGE(
      ""1ZHMy3vVUd_0MrSduXTe1etBb1HNpAlGwQr006ljwMiM"",
      ""GSC最新!A:R""
    ),
    16,
    FALSE
  ),
  0
)
"),77.0)</f>
        <v>77</v>
      </c>
      <c r="P21" s="51">
        <f t="shared" ref="P21:Q21" si="97">IFERROR(L21/N21,"-")</f>
        <v>45.07692308</v>
      </c>
      <c r="Q21" s="51">
        <f t="shared" si="97"/>
        <v>12.19480519</v>
      </c>
      <c r="R21" s="9">
        <f>IFERROR(__xludf.DUMMYFUNCTION("IFERROR(
  VLOOKUP(
    A21,
    IMPORTRANGE(
      ""1ZHMy3vVUd_0MrSduXTe1etBb1HNpAlGwQr006ljwMiM"",
      ""GSC最新!A:R""
    ),
    8,
    FALSE
  ),
  0
)
"),0.0034129692832764505)</f>
        <v>0.003412969283</v>
      </c>
      <c r="S21" s="9">
        <f>IFERROR(__xludf.DUMMYFUNCTION("IFERROR(
  VLOOKUP(
    A21,
    IMPORTRANGE(
      ""1ZHMy3vVUd_0MrSduXTe1etBb1HNpAlGwQr006ljwMiM"",
      ""GSC最新!A:R""
    ),
    11,
    FALSE
  ),
  0
)
"),0.007454739084132056)</f>
        <v>0.007454739084</v>
      </c>
      <c r="T21" s="9">
        <f>IFERROR(__xludf.DUMMYFUNCTION("IFERROR(
  VLOOKUP(
    A21,
    IMPORTRANGE(
      ""1ZHMy3vVUd_0MrSduXTe1etBb1HNpAlGwQr006ljwMiM"",
      ""GSC最新!A:R""
    ),
    14,
    FALSE
  ),
  0
)
"),0.0)</f>
        <v>0</v>
      </c>
      <c r="U21" s="9">
        <f>IFERROR(__xludf.DUMMYFUNCTION("IFERROR(
  VLOOKUP(
    A21,
    IMPORTRANGE(
      ""1ZHMy3vVUd_0MrSduXTe1etBb1HNpAlGwQr006ljwMiM"",
      ""GSC最新!A:R""
    ),
    17,
    FALSE
  ),
  0
)
"),0.012987012987012988)</f>
        <v>0.01298701299</v>
      </c>
      <c r="V21" s="9">
        <f t="shared" ref="V21:W21" si="98">IFERROR(R21-T21,"-")</f>
        <v>0.003412969283</v>
      </c>
      <c r="W21" s="9">
        <f t="shared" si="98"/>
        <v>-0.005532273903</v>
      </c>
      <c r="X21" s="65">
        <f>IFERROR(__xludf.DUMMYFUNCTION("IFERROR(
  VLOOKUP(
    A21,
    IMPORTRANGE(
      ""1ZHMy3vVUd_0MrSduXTe1etBb1HNpAlGwQr006ljwMiM"",
      ""GSC最新!A:R""
    ),
    9,
    FALSE
  ),
  0
)
"),9.7679180887372)</f>
        <v>9.767918089</v>
      </c>
      <c r="Y21" s="65">
        <f>IFERROR(__xludf.DUMMYFUNCTION("IFERROR(
  VLOOKUP(
    A21,
    IMPORTRANGE(
      ""1ZHMy3vVUd_0MrSduXTe1etBb1HNpAlGwQr006ljwMiM"",
      ""GSC最新!A:R""
    ),
    12,
    FALSE
  ),
  0
)
"),11.047923322683706)</f>
        <v>11.04792332</v>
      </c>
      <c r="Z21" s="65">
        <f>IFERROR(__xludf.DUMMYFUNCTION("IFERROR(
  VLOOKUP(
    A21,
    IMPORTRANGE(
      ""1ZHMy3vVUd_0MrSduXTe1etBb1HNpAlGwQr006ljwMiM"",
      ""GSC最新!A:R""
    ),
    15,
    FALSE
  ),
  0
)
"),37.0)</f>
        <v>37</v>
      </c>
      <c r="AA21" s="65">
        <f>IFERROR(__xludf.DUMMYFUNCTION("IFERROR(
  VLOOKUP(
    A21,
    IMPORTRANGE(
      ""1ZHMy3vVUd_0MrSduXTe1etBb1HNpAlGwQr006ljwMiM"",
      ""GSC最新!A:R""
    ),
    18,
    FALSE
  ),
  0
)
"),26.77922077922078)</f>
        <v>26.77922078</v>
      </c>
      <c r="AB21" s="65">
        <f t="shared" ref="AB21:AC21" si="99">X21-Z21</f>
        <v>-27.23208191</v>
      </c>
      <c r="AC21" s="65">
        <f t="shared" si="99"/>
        <v>-15.73129746</v>
      </c>
      <c r="AD21" s="53">
        <f>IFERROR(__xludf.DUMMYFUNCTION("IFERROR(
  VLOOKUP(
    A21,
    IMPORTRANGE(
      ""1ZHMy3vVUd_0MrSduXTe1etBb1HNpAlGwQr006ljwMiM"",
      ""GSC最新!A:F""
    ),
    6,
    FALSE
  ),
  0
)
"),46081.0)</f>
        <v>46081</v>
      </c>
      <c r="AE21" s="54">
        <f>IFERROR(__xludf.DUMMYFUNCTION("IFERROR(
  VLOOKUP(
    A21,
    IMPORTRANGE(
      ""1SCYQd7_cobOYqT0r_F0IqD4tE4rYn5y8Eup4PJTH8es"",
      ""Snapshot!A:M""
    ),
    5,
    FALSE
  ),
  ""-""
)
"),6.0)</f>
        <v>6</v>
      </c>
      <c r="AF21" s="54">
        <f>IFERROR(__xludf.DUMMYFUNCTION("IFERROR(
  VLOOKUP(
    A21,
    IMPORTRANGE(
      ""1SCYQd7_cobOYqT0r_F0IqD4tE4rYn5y8Eup4PJTH8es"",
      ""Snapshot!A:M""
    ),
    6,
    FALSE
  ),
  0
)
"),10.0)</f>
        <v>10</v>
      </c>
      <c r="AG21" s="54">
        <f>IFERROR(__xludf.DUMMYFUNCTION("IFERROR(
  VLOOKUP(
    A21,
    IMPORTRANGE(
      ""1SCYQd7_cobOYqT0r_F0IqD4tE4rYn5y8Eup4PJTH8es"",
      ""Snapshot!A:M""
    ),
    7,
    FALSE
  ),
  0
)
"),4036.0)</f>
        <v>4036</v>
      </c>
      <c r="AH21" s="54">
        <f>IFERROR(__xludf.DUMMYFUNCTION("IFERROR(
  VLOOKUP(
    A21,
    IMPORTRANGE(
      ""1SCYQd7_cobOYqT0r_F0IqD4tE4rYn5y8Eup4PJTH8es"",
      ""Snapshot!A:M""
    ),
    8,
    FALSE
  ),
  0
)
"),31.0)</f>
        <v>31</v>
      </c>
      <c r="AI21" s="54">
        <f>IFERROR(__xludf.DUMMYFUNCTION("IFERROR(
  VLOOKUP(
    A21,
    IMPORTRANGE(
      ""1SCYQd7_cobOYqT0r_F0IqD4tE4rYn5y8Eup4PJTH8es"",
      ""Snapshot!A:M""
    ),
    9,
    FALSE
  ),
  0
)
"),0.0)</f>
        <v>0</v>
      </c>
      <c r="AJ21" s="54">
        <f>IFERROR(__xludf.DUMMYFUNCTION("IFERROR(
  VLOOKUP(
    A21,
    IMPORTRANGE(
      ""1SCYQd7_cobOYqT0r_F0IqD4tE4rYn5y8Eup4PJTH8es"",
      ""Snapshot!A:M""
    ),
    13,
    FALSE
  ),
  0
)
"),2.0)</f>
        <v>2</v>
      </c>
      <c r="AK21" s="49">
        <f t="shared" ref="AK21:AL21" si="100">LEN(C21)</f>
        <v>28</v>
      </c>
      <c r="AL21" s="49">
        <f t="shared" si="100"/>
        <v>69</v>
      </c>
    </row>
    <row r="22">
      <c r="A22" s="3" t="s">
        <v>734</v>
      </c>
      <c r="B22" s="1" t="str">
        <f>IFERROR(__xludf.DUMMYFUNCTION("IFERROR(
  VLOOKUP(
    A22,
    IMPORTRANGE(
      ""1ZygntHC1J6IxzKbTidmOyf5nUyW4GCLurHCjexrLm_o"",
      ""HTMLキャッシュ!A:F""
    ),
    2,
    FALSE
  ),
  0
)
"),"SC")</f>
        <v>SC</v>
      </c>
      <c r="C22" s="1" t="str">
        <f>IFERROR(__xludf.DUMMYFUNCTION("IFERROR(
  VLOOKUP(
    A22,
    IMPORTRANGE(
      ""1ZygntHC1J6IxzKbTidmOyf5nUyW4GCLurHCjexrLm_o"",
      ""HTMLキャッシュ!A:F""
    ),
    5,
    FALSE
  ),
  0
)
"),"中2で英検準2級に合格する勉強法｜レベル目安と語彙優先の進め方｜中学生英語")</f>
        <v>中2で英検準2級に合格する勉強法｜レベル目安と語彙優先の進め方｜中学生英語</v>
      </c>
      <c r="D22" s="1" t="str">
        <f>IFERROR(__xludf.DUMMYFUNCTION("IFERROR(
  VLOOKUP(
    A22,
    IMPORTRANGE(
      ""1ZygntHC1J6IxzKbTidmOyf5nUyW4GCLurHCjexrLm_o        "",
      ""HTMLキャッシュ!A:F""
    ),
    6,
    FALSE
  ),
  0
)
"),"中2で英検準2級を目指す中学生・保護者向けに、必要レベル（高校1年終了程度）の目安と、いつから始めるべきかを整理。学校授業だけでは不足しやすい範囲を補うために、語彙を最優先にして、読解・リスニングへ広げる手順と過去問の使い方をまとめます。")</f>
        <v>中2で英検準2級を目指す中学生・保護者向けに、必要レベル（高校1年終了程度）の目安と、いつから始めるべきかを整理。学校授業だけでは不足しやすい範囲を補うために、語彙を最優先にして、読解・リスニングへ広げる手順と過去問の使い方をまとめます。</v>
      </c>
      <c r="E22" s="32">
        <f>IFERROR(__xludf.DUMMYFUNCTION("IFERROR(
  VLOOKUP(
    A22,
    IMPORTRANGE(
      ""1ZygntHC1J6IxzKbTidmOyf5nUyW4GCLurHCjexrLm_o        "",
      ""HTMLキャッシュ!A:F""
    ),
    3,
    FALSE
  ),
  0
)
"),46071.68337962963)</f>
        <v>46071.68338</v>
      </c>
      <c r="F22" s="49">
        <f>IFERROR(__xludf.DUMMYFUNCTION("IFERROR(
  VLOOKUP(
    A22,
    IMPORTRANGE(
      ""1ZHMy3vVUd_0MrSduXTe1etBb1HNpAlGwQr006ljwMiM"",
      ""GSC最新!A:F""
    ),
    2,
    FALSE
  ),
  0
)
"),5.0)</f>
        <v>5</v>
      </c>
      <c r="G22" s="49">
        <f>IFERROR(__xludf.DUMMYFUNCTION("IFERROR(
  VLOOKUP(
    A22,
    IMPORTRANGE(
      ""1ZHMy3vVUd_0MrSduXTe1etBb1HNpAlGwQr006ljwMiM"",
      ""GSC最新!A:F""
    ),
    3,
    FALSE
  ),
  0
)
"),7.0)</f>
        <v>7</v>
      </c>
      <c r="H22" s="49">
        <f>IFERROR(__xludf.DUMMYFUNCTION("IFERROR(
  VLOOKUP(
    A22,
    IMPORTRANGE(
      ""1ZHMy3vVUd_0MrSduXTe1etBb1HNpAlGwQr006ljwMiM"",
      ""GSC最新!A:F""
    ),
    4,
    FALSE
  ),
  0
)
"),0.0)</f>
        <v>0</v>
      </c>
      <c r="I22" s="49">
        <f>IFERROR(__xludf.DUMMYFUNCTION("IFERROR(
  VLOOKUP(
    A22,
    IMPORTRANGE(
      ""1ZHMy3vVUd_0MrSduXTe1etBb1HNpAlGwQr006ljwMiM"",
      ""GSC最新!A:F""
    ),
    5,
    FALSE
  ),
  0
)
"),1.0)</f>
        <v>1</v>
      </c>
      <c r="J22" s="50" t="str">
        <f t="shared" ref="J22:K22" si="101">IFERROR(F22/H22,"-")</f>
        <v>-</v>
      </c>
      <c r="K22" s="50">
        <f t="shared" si="101"/>
        <v>7</v>
      </c>
      <c r="L22" s="6">
        <f>IFERROR(__xludf.DUMMYFUNCTION("IFERROR(
  VLOOKUP(
    A22,
    IMPORTRANGE(
      ""1ZHMy3vVUd_0MrSduXTe1etBb1HNpAlGwQr006ljwMiM"",
      ""GSC最新!A:R""
    ),
    7,
    FALSE
  ),
  0
)
"),240.0)</f>
        <v>240</v>
      </c>
      <c r="M22" s="6">
        <f>IFERROR(__xludf.DUMMYFUNCTION("IFERROR(
  VLOOKUP(
    A22,
    IMPORTRANGE(
      ""1ZHMy3vVUd_0MrSduXTe1etBb1HNpAlGwQr006ljwMiM"",
      ""GSC最新!A:R""
    ),
    10,
    FALSE
  ),
  0
)
"),498.0)</f>
        <v>498</v>
      </c>
      <c r="N22" s="6">
        <f>IFERROR(__xludf.DUMMYFUNCTION("IFERROR(
  VLOOKUP(
    A22,
    IMPORTRANGE(
      ""1ZHMy3vVUd_0MrSduXTe1etBb1HNpAlGwQr006ljwMiM"",
      ""GSC最新!A:R""
    ),
    13,
    FALSE
  ),
  0
)
"),90.0)</f>
        <v>90</v>
      </c>
      <c r="O22" s="6">
        <f>IFERROR(__xludf.DUMMYFUNCTION("IFERROR(
  VLOOKUP(
    A22,
    IMPORTRANGE(
      ""1ZHMy3vVUd_0MrSduXTe1etBb1HNpAlGwQr006ljwMiM"",
      ""GSC最新!A:R""
    ),
    16,
    FALSE
  ),
  0
)
"),314.0)</f>
        <v>314</v>
      </c>
      <c r="P22" s="51">
        <f t="shared" ref="P22:Q22" si="102">IFERROR(L22/N22,"-")</f>
        <v>2.666666667</v>
      </c>
      <c r="Q22" s="51">
        <f t="shared" si="102"/>
        <v>1.585987261</v>
      </c>
      <c r="R22" s="9">
        <f>IFERROR(__xludf.DUMMYFUNCTION("IFERROR(
  VLOOKUP(
    A22,
    IMPORTRANGE(
      ""1ZHMy3vVUd_0MrSduXTe1etBb1HNpAlGwQr006ljwMiM"",
      ""GSC最新!A:R""
    ),
    8,
    FALSE
  ),
  0
)
"),0.020833333333333332)</f>
        <v>0.02083333333</v>
      </c>
      <c r="S22" s="9">
        <f>IFERROR(__xludf.DUMMYFUNCTION("IFERROR(
  VLOOKUP(
    A22,
    IMPORTRANGE(
      ""1ZHMy3vVUd_0MrSduXTe1etBb1HNpAlGwQr006ljwMiM"",
      ""GSC最新!A:R""
    ),
    11,
    FALSE
  ),
  0
)
"),0.014056224899598393)</f>
        <v>0.0140562249</v>
      </c>
      <c r="T22" s="9">
        <f>IFERROR(__xludf.DUMMYFUNCTION("IFERROR(
  VLOOKUP(
    A22,
    IMPORTRANGE(
      ""1ZHMy3vVUd_0MrSduXTe1etBb1HNpAlGwQr006ljwMiM"",
      ""GSC最新!A:R""
    ),
    14,
    FALSE
  ),
  0
)
"),0.0)</f>
        <v>0</v>
      </c>
      <c r="U22" s="9">
        <f>IFERROR(__xludf.DUMMYFUNCTION("IFERROR(
  VLOOKUP(
    A22,
    IMPORTRANGE(
      ""1ZHMy3vVUd_0MrSduXTe1etBb1HNpAlGwQr006ljwMiM"",
      ""GSC最新!A:R""
    ),
    17,
    FALSE
  ),
  0
)
"),0.0031847133757961785)</f>
        <v>0.003184713376</v>
      </c>
      <c r="V22" s="9">
        <f t="shared" ref="V22:W22" si="103">IFERROR(R22-T22,"-")</f>
        <v>0.02083333333</v>
      </c>
      <c r="W22" s="9">
        <f t="shared" si="103"/>
        <v>0.01087151152</v>
      </c>
      <c r="X22" s="65">
        <f>IFERROR(__xludf.DUMMYFUNCTION("IFERROR(
  VLOOKUP(
    A22,
    IMPORTRANGE(
      ""1ZHMy3vVUd_0MrSduXTe1etBb1HNpAlGwQr006ljwMiM"",
      ""GSC最新!A:R""
    ),
    9,
    FALSE
  ),
  0
)
"),9.795833333333333)</f>
        <v>9.795833333</v>
      </c>
      <c r="Y22" s="65">
        <f>IFERROR(__xludf.DUMMYFUNCTION("IFERROR(
  VLOOKUP(
    A22,
    IMPORTRANGE(
      ""1ZHMy3vVUd_0MrSduXTe1etBb1HNpAlGwQr006ljwMiM"",
      ""GSC最新!A:R""
    ),
    12,
    FALSE
  ),
  0
)
"),12.891566265060241)</f>
        <v>12.89156627</v>
      </c>
      <c r="Z22" s="65">
        <f>IFERROR(__xludf.DUMMYFUNCTION("IFERROR(
  VLOOKUP(
    A22,
    IMPORTRANGE(
      ""1ZHMy3vVUd_0MrSduXTe1etBb1HNpAlGwQr006ljwMiM"",
      ""GSC最新!A:R""
    ),
    15,
    FALSE
  ),
  0
)
"),75.23333333333333)</f>
        <v>75.23333333</v>
      </c>
      <c r="AA22" s="65">
        <f>IFERROR(__xludf.DUMMYFUNCTION("IFERROR(
  VLOOKUP(
    A22,
    IMPORTRANGE(
      ""1ZHMy3vVUd_0MrSduXTe1etBb1HNpAlGwQr006ljwMiM"",
      ""GSC最新!A:R""
    ),
    18,
    FALSE
  ),
  0
)
"),74.15286624203821)</f>
        <v>74.15286624</v>
      </c>
      <c r="AB22" s="65">
        <f t="shared" ref="AB22:AC22" si="104">X22-Z22</f>
        <v>-65.4375</v>
      </c>
      <c r="AC22" s="65">
        <f t="shared" si="104"/>
        <v>-61.26129998</v>
      </c>
      <c r="AD22" s="53">
        <f>IFERROR(__xludf.DUMMYFUNCTION("IFERROR(
  VLOOKUP(
    A22,
    IMPORTRANGE(
      ""1ZHMy3vVUd_0MrSduXTe1etBb1HNpAlGwQr006ljwMiM"",
      ""GSC最新!A:F""
    ),
    6,
    FALSE
  ),
  0
)
"),46081.0)</f>
        <v>46081</v>
      </c>
      <c r="AE22" s="54">
        <f>IFERROR(__xludf.DUMMYFUNCTION("IFERROR(
  VLOOKUP(
    A22,
    IMPORTRANGE(
      ""1SCYQd7_cobOYqT0r_F0IqD4tE4rYn5y8Eup4PJTH8es"",
      ""Snapshot!A:M""
    ),
    5,
    FALSE
  ),
  ""-""
)
"),8.0)</f>
        <v>8</v>
      </c>
      <c r="AF22" s="54">
        <f>IFERROR(__xludf.DUMMYFUNCTION("IFERROR(
  VLOOKUP(
    A22,
    IMPORTRANGE(
      ""1SCYQd7_cobOYqT0r_F0IqD4tE4rYn5y8Eup4PJTH8es"",
      ""Snapshot!A:M""
    ),
    6,
    FALSE
  ),
  0
)
"),8.0)</f>
        <v>8</v>
      </c>
      <c r="AG22" s="54">
        <f>IFERROR(__xludf.DUMMYFUNCTION("IFERROR(
  VLOOKUP(
    A22,
    IMPORTRANGE(
      ""1SCYQd7_cobOYqT0r_F0IqD4tE4rYn5y8Eup4PJTH8es"",
      ""Snapshot!A:M""
    ),
    7,
    FALSE
  ),
  0
)
"),1826.0)</f>
        <v>1826</v>
      </c>
      <c r="AH22" s="54">
        <f>IFERROR(__xludf.DUMMYFUNCTION("IFERROR(
  VLOOKUP(
    A22,
    IMPORTRANGE(
      ""1SCYQd7_cobOYqT0r_F0IqD4tE4rYn5y8Eup4PJTH8es"",
      ""Snapshot!A:M""
    ),
    8,
    FALSE
  ),
  0
)
"),28.0)</f>
        <v>28</v>
      </c>
      <c r="AI22" s="54">
        <f>IFERROR(__xludf.DUMMYFUNCTION("IFERROR(
  VLOOKUP(
    A22,
    IMPORTRANGE(
      ""1SCYQd7_cobOYqT0r_F0IqD4tE4rYn5y8Eup4PJTH8es"",
      ""Snapshot!A:M""
    ),
    9,
    FALSE
  ),
  0
)
"),0.0)</f>
        <v>0</v>
      </c>
      <c r="AJ22" s="54">
        <f>IFERROR(__xludf.DUMMYFUNCTION("IFERROR(
  VLOOKUP(
    A22,
    IMPORTRANGE(
      ""1SCYQd7_cobOYqT0r_F0IqD4tE4rYn5y8Eup4PJTH8es"",
      ""Snapshot!A:M""
    ),
    13,
    FALSE
  ),
  0
)
"),2.0)</f>
        <v>2</v>
      </c>
      <c r="AK22" s="49">
        <f t="shared" ref="AK22:AL22" si="105">LEN(C22)</f>
        <v>37</v>
      </c>
      <c r="AL22" s="49">
        <f t="shared" si="105"/>
        <v>119</v>
      </c>
    </row>
    <row r="23">
      <c r="A23" s="3" t="s">
        <v>735</v>
      </c>
      <c r="B23" s="1" t="str">
        <f>IFERROR(__xludf.DUMMYFUNCTION("IFERROR(
  VLOOKUP(
    A23,
    IMPORTRANGE(
      ""1ZygntHC1J6IxzKbTidmOyf5nUyW4GCLurHCjexrLm_o"",
      ""HTMLキャッシュ!A:F""
    ),
    2,
    FALSE
  ),
  0
)
"),"ST")</f>
        <v>ST</v>
      </c>
      <c r="C23" s="1" t="str">
        <f>IFERROR(__xludf.DUMMYFUNCTION("IFERROR(
  VLOOKUP(
    A23,
    IMPORTRANGE(
      ""1ZygntHC1J6IxzKbTidmOyf5nUyW4GCLurHCjexrLm_o"",
      ""HTMLキャッシュ!A:F""
    ),
    5,
    FALSE
  ),
  0
)
"),"中高一貫校専門塾エスコット｜四ツ谷駅から通いやすいアクセス案内")</f>
        <v>中高一貫校専門塾エスコット｜四ツ谷駅から通いやすいアクセス案内</v>
      </c>
      <c r="D23" s="1" t="str">
        <f>IFERROR(__xludf.DUMMYFUNCTION("IFERROR(
  VLOOKUP(
    A23,
    IMPORTRANGE(
      ""1ZygntHC1J6IxzKbTidmOyf5nUyW4GCLurHCjexrLm_o        "",
      ""HTMLキャッシュ!A:F""
    ),
    6,
    FALSE
  ),
  0
)
"),"中高一貫校専門塾エスコットへのアクセス案内ページです。JR・丸ノ内線・南北線「四ツ谷」駅からの行き方や地図、周辺の目印をわかりやすく紹介。中高一貫生向けの数学・英語専門塾を2025年現在の情報でご案内します。")</f>
        <v>中高一貫校専門塾エスコットへのアクセス案内ページです。JR・丸ノ内線・南北線「四ツ谷」駅からの行き方や地図、周辺の目印をわかりやすく紹介。中高一貫生向けの数学・英語専門塾を2025年現在の情報でご案内します。</v>
      </c>
      <c r="E23" s="32">
        <f>IFERROR(__xludf.DUMMYFUNCTION("IFERROR(
  VLOOKUP(
    A23,
    IMPORTRANGE(
      ""1ZygntHC1J6IxzKbTidmOyf5nUyW4GCLurHCjexrLm_o        "",
      ""HTMLキャッシュ!A:F""
    ),
    3,
    FALSE
  ),
  0
)
"),45990.74239583333)</f>
        <v>45990.7424</v>
      </c>
      <c r="F23" s="49">
        <f>IFERROR(__xludf.DUMMYFUNCTION("IFERROR(
  VLOOKUP(
    A23,
    IMPORTRANGE(
      ""1ZHMy3vVUd_0MrSduXTe1etBb1HNpAlGwQr006ljwMiM"",
      ""GSC最新!A:F""
    ),
    2,
    FALSE
  ),
  0
)
"),0.0)</f>
        <v>0</v>
      </c>
      <c r="G23" s="49">
        <f>IFERROR(__xludf.DUMMYFUNCTION("IFERROR(
  VLOOKUP(
    A23,
    IMPORTRANGE(
      ""1ZHMy3vVUd_0MrSduXTe1etBb1HNpAlGwQr006ljwMiM"",
      ""GSC最新!A:F""
    ),
    3,
    FALSE
  ),
  0
)
"),7.0)</f>
        <v>7</v>
      </c>
      <c r="H23" s="49">
        <f>IFERROR(__xludf.DUMMYFUNCTION("IFERROR(
  VLOOKUP(
    A23,
    IMPORTRANGE(
      ""1ZHMy3vVUd_0MrSduXTe1etBb1HNpAlGwQr006ljwMiM"",
      ""GSC最新!A:F""
    ),
    4,
    FALSE
  ),
  0
)
"),5.0)</f>
        <v>5</v>
      </c>
      <c r="I23" s="49">
        <f>IFERROR(__xludf.DUMMYFUNCTION("IFERROR(
  VLOOKUP(
    A23,
    IMPORTRANGE(
      ""1ZHMy3vVUd_0MrSduXTe1etBb1HNpAlGwQr006ljwMiM"",
      ""GSC最新!A:F""
    ),
    5,
    FALSE
  ),
  0
)
"),7.0)</f>
        <v>7</v>
      </c>
      <c r="J23" s="50">
        <f t="shared" ref="J23:K23" si="106">IFERROR(F23/H23,"-")</f>
        <v>0</v>
      </c>
      <c r="K23" s="50">
        <f t="shared" si="106"/>
        <v>1</v>
      </c>
      <c r="L23" s="6">
        <f>IFERROR(__xludf.DUMMYFUNCTION("IFERROR(
  VLOOKUP(
    A23,
    IMPORTRANGE(
      ""1ZHMy3vVUd_0MrSduXTe1etBb1HNpAlGwQr006ljwMiM"",
      ""GSC最新!A:R""
    ),
    7,
    FALSE
  ),
  0
)
"),72.0)</f>
        <v>72</v>
      </c>
      <c r="M23" s="6">
        <f>IFERROR(__xludf.DUMMYFUNCTION("IFERROR(
  VLOOKUP(
    A23,
    IMPORTRANGE(
      ""1ZHMy3vVUd_0MrSduXTe1etBb1HNpAlGwQr006ljwMiM"",
      ""GSC最新!A:R""
    ),
    10,
    FALSE
  ),
  0
)
"),151.0)</f>
        <v>151</v>
      </c>
      <c r="N23" s="6">
        <f>IFERROR(__xludf.DUMMYFUNCTION("IFERROR(
  VLOOKUP(
    A23,
    IMPORTRANGE(
      ""1ZHMy3vVUd_0MrSduXTe1etBb1HNpAlGwQr006ljwMiM"",
      ""GSC最新!A:R""
    ),
    13,
    FALSE
  ),
  0
)
"),60.0)</f>
        <v>60</v>
      </c>
      <c r="O23" s="6">
        <f>IFERROR(__xludf.DUMMYFUNCTION("IFERROR(
  VLOOKUP(
    A23,
    IMPORTRANGE(
      ""1ZHMy3vVUd_0MrSduXTe1etBb1HNpAlGwQr006ljwMiM"",
      ""GSC最新!A:R""
    ),
    16,
    FALSE
  ),
  0
)
"),353.0)</f>
        <v>353</v>
      </c>
      <c r="P23" s="51">
        <f t="shared" ref="P23:Q23" si="107">IFERROR(L23/N23,"-")</f>
        <v>1.2</v>
      </c>
      <c r="Q23" s="51">
        <f t="shared" si="107"/>
        <v>0.4277620397</v>
      </c>
      <c r="R23" s="9">
        <f>IFERROR(__xludf.DUMMYFUNCTION("IFERROR(
  VLOOKUP(
    A23,
    IMPORTRANGE(
      ""1ZHMy3vVUd_0MrSduXTe1etBb1HNpAlGwQr006ljwMiM"",
      ""GSC最新!A:R""
    ),
    8,
    FALSE
  ),
  0
)
"),0.0)</f>
        <v>0</v>
      </c>
      <c r="S23" s="9">
        <f>IFERROR(__xludf.DUMMYFUNCTION("IFERROR(
  VLOOKUP(
    A23,
    IMPORTRANGE(
      ""1ZHMy3vVUd_0MrSduXTe1etBb1HNpAlGwQr006ljwMiM"",
      ""GSC最新!A:R""
    ),
    11,
    FALSE
  ),
  0
)
"),0.046357615894039736)</f>
        <v>0.04635761589</v>
      </c>
      <c r="T23" s="9">
        <f>IFERROR(__xludf.DUMMYFUNCTION("IFERROR(
  VLOOKUP(
    A23,
    IMPORTRANGE(
      ""1ZHMy3vVUd_0MrSduXTe1etBb1HNpAlGwQr006ljwMiM"",
      ""GSC最新!A:R""
    ),
    14,
    FALSE
  ),
  0
)
"),0.08333333333333333)</f>
        <v>0.08333333333</v>
      </c>
      <c r="U23" s="9">
        <f>IFERROR(__xludf.DUMMYFUNCTION("IFERROR(
  VLOOKUP(
    A23,
    IMPORTRANGE(
      ""1ZHMy3vVUd_0MrSduXTe1etBb1HNpAlGwQr006ljwMiM"",
      ""GSC最新!A:R""
    ),
    17,
    FALSE
  ),
  0
)
"),0.019830028328611898)</f>
        <v>0.01983002833</v>
      </c>
      <c r="V23" s="9">
        <f t="shared" ref="V23:W23" si="108">IFERROR(R23-T23,"-")</f>
        <v>-0.08333333333</v>
      </c>
      <c r="W23" s="9">
        <f t="shared" si="108"/>
        <v>0.02652758757</v>
      </c>
      <c r="X23" s="65">
        <f>IFERROR(__xludf.DUMMYFUNCTION("IFERROR(
  VLOOKUP(
    A23,
    IMPORTRANGE(
      ""1ZHMy3vVUd_0MrSduXTe1etBb1HNpAlGwQr006ljwMiM"",
      ""GSC最新!A:R""
    ),
    9,
    FALSE
  ),
  0
)
"),4.902777777777778)</f>
        <v>4.902777778</v>
      </c>
      <c r="Y23" s="65">
        <f>IFERROR(__xludf.DUMMYFUNCTION("IFERROR(
  VLOOKUP(
    A23,
    IMPORTRANGE(
      ""1ZHMy3vVUd_0MrSduXTe1etBb1HNpAlGwQr006ljwMiM"",
      ""GSC最新!A:R""
    ),
    12,
    FALSE
  ),
  0
)
"),5.158940397350993)</f>
        <v>5.158940397</v>
      </c>
      <c r="Z23" s="65">
        <f>IFERROR(__xludf.DUMMYFUNCTION("IFERROR(
  VLOOKUP(
    A23,
    IMPORTRANGE(
      ""1ZHMy3vVUd_0MrSduXTe1etBb1HNpAlGwQr006ljwMiM"",
      ""GSC最新!A:R""
    ),
    15,
    FALSE
  ),
  0
)
"),16.683333333333334)</f>
        <v>16.68333333</v>
      </c>
      <c r="AA23" s="65">
        <f>IFERROR(__xludf.DUMMYFUNCTION("IFERROR(
  VLOOKUP(
    A23,
    IMPORTRANGE(
      ""1ZHMy3vVUd_0MrSduXTe1etBb1HNpAlGwQr006ljwMiM"",
      ""GSC最新!A:R""
    ),
    18,
    FALSE
  ),
  0
)
"),27.373937677053824)</f>
        <v>27.37393768</v>
      </c>
      <c r="AB23" s="65">
        <f t="shared" ref="AB23:AC23" si="109">X23-Z23</f>
        <v>-11.78055556</v>
      </c>
      <c r="AC23" s="65">
        <f t="shared" si="109"/>
        <v>-22.21499728</v>
      </c>
      <c r="AD23" s="53">
        <f>IFERROR(__xludf.DUMMYFUNCTION("IFERROR(
  VLOOKUP(
    A23,
    IMPORTRANGE(
      ""1ZHMy3vVUd_0MrSduXTe1etBb1HNpAlGwQr006ljwMiM"",
      ""GSC最新!A:F""
    ),
    6,
    FALSE
  ),
  0
)
"),46081.0)</f>
        <v>46081</v>
      </c>
      <c r="AE23" s="54">
        <f>IFERROR(__xludf.DUMMYFUNCTION("IFERROR(
  VLOOKUP(
    A23,
    IMPORTRANGE(
      ""1SCYQd7_cobOYqT0r_F0IqD4tE4rYn5y8Eup4PJTH8es"",
      ""Snapshot!A:M""
    ),
    5,
    FALSE
  ),
  ""-""
)
"),1.0)</f>
        <v>1</v>
      </c>
      <c r="AF23" s="54">
        <f>IFERROR(__xludf.DUMMYFUNCTION("IFERROR(
  VLOOKUP(
    A23,
    IMPORTRANGE(
      ""1SCYQd7_cobOYqT0r_F0IqD4tE4rYn5y8Eup4PJTH8es"",
      ""Snapshot!A:M""
    ),
    6,
    FALSE
  ),
  0
)
"),4.0)</f>
        <v>4</v>
      </c>
      <c r="AG23" s="54">
        <f>IFERROR(__xludf.DUMMYFUNCTION("IFERROR(
  VLOOKUP(
    A23,
    IMPORTRANGE(
      ""1SCYQd7_cobOYqT0r_F0IqD4tE4rYn5y8Eup4PJTH8es"",
      ""Snapshot!A:M""
    ),
    7,
    FALSE
  ),
  0
)
"),206.0)</f>
        <v>206</v>
      </c>
      <c r="AH23" s="54">
        <f>IFERROR(__xludf.DUMMYFUNCTION("IFERROR(
  VLOOKUP(
    A23,
    IMPORTRANGE(
      ""1SCYQd7_cobOYqT0r_F0IqD4tE4rYn5y8Eup4PJTH8es"",
      ""Snapshot!A:M""
    ),
    8,
    FALSE
  ),
  0
)
"),0.0)</f>
        <v>0</v>
      </c>
      <c r="AI23" s="54">
        <f>IFERROR(__xludf.DUMMYFUNCTION("IFERROR(
  VLOOKUP(
    A23,
    IMPORTRANGE(
      ""1SCYQd7_cobOYqT0r_F0IqD4tE4rYn5y8Eup4PJTH8es"",
      ""Snapshot!A:M""
    ),
    9,
    FALSE
  ),
  0
)
"),1.0)</f>
        <v>1</v>
      </c>
      <c r="AJ23" s="54">
        <f>IFERROR(__xludf.DUMMYFUNCTION("IFERROR(
  VLOOKUP(
    A23,
    IMPORTRANGE(
      ""1SCYQd7_cobOYqT0r_F0IqD4tE4rYn5y8Eup4PJTH8es"",
      ""Snapshot!A:M""
    ),
    13,
    FALSE
  ),
  0
)
"),1.0)</f>
        <v>1</v>
      </c>
      <c r="AK23" s="49">
        <f t="shared" ref="AK23:AL23" si="110">LEN(C23)</f>
        <v>31</v>
      </c>
      <c r="AL23" s="49">
        <f t="shared" si="110"/>
        <v>104</v>
      </c>
    </row>
    <row r="24">
      <c r="A24" s="3" t="s">
        <v>736</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"),"物理・化学が苦手な原因と克服法｜全体像・公式・反復で得点源へ")</f>
        <v>物理・化学が苦手な原因と克服法｜全体像・公式・反復で得点源へ</v>
      </c>
      <c r="D24" s="1" t="str">
        <f>IFERROR(__xludf.DUMMYFUNCTION("IFERROR(
  VLOOKUP(
    A24,
    IMPORTRANGE(
      ""1ZygntHC1J6IxzKbTidmOyf5nUyW4GCLurHCjexrLm_o        "",
      ""HTMLキャッシュ!A:F""
    ),
    6,
    FALSE
  ),
  0
)
"),"化学が苦手な理由は、全体像と単位の抜けで問題文が読めないこと。公式の意味→計算例→反復で、定期テストの得点に結び付けます。")</f>
        <v>化学が苦手な理由は、全体像と単位の抜けで問題文が読めないこと。公式の意味→計算例→反復で、定期テストの得点に結び付けます。</v>
      </c>
      <c r="E24" s="32">
        <f>IFERROR(__xludf.DUMMYFUNCTION("IFERROR(
  VLOOKUP(
    A24,
    IMPORTRANGE(
      ""1ZygntHC1J6IxzKbTidmOyf5nUyW4GCLurHCjexrLm_o        "",
      ""HTMLキャッシュ!A:F""
    ),
    3,
    FALSE
  ),
  0
)
"),46078.85549768519)</f>
        <v>46078.8555</v>
      </c>
      <c r="F24" s="49">
        <f>IFERROR(__xludf.DUMMYFUNCTION("IFERROR(
  VLOOKUP(
    A24,
    IMPORTRANGE(
      ""1ZHMy3vVUd_0MrSduXTe1etBb1HNpAlGwQr006ljwMiM"",
      ""GSC最新!A:F""
    ),
    2,
    FALSE
  ),
  0
)
"),6.0)</f>
        <v>6</v>
      </c>
      <c r="G24" s="49">
        <f>IFERROR(__xludf.DUMMYFUNCTION("IFERROR(
  VLOOKUP(
    A24,
    IMPORTRANGE(
      ""1ZHMy3vVUd_0MrSduXTe1etBb1HNpAlGwQr006ljwMiM"",
      ""GSC最新!A:F""
    ),
    3,
    FALSE
  ),
  0
)
"),8.0)</f>
        <v>8</v>
      </c>
      <c r="H24" s="49">
        <f>IFERROR(__xludf.DUMMYFUNCTION("IFERROR(
  VLOOKUP(
    A24,
    IMPORTRANGE(
      ""1ZHMy3vVUd_0MrSduXTe1etBb1HNpAlGwQr006ljwMiM"",
      ""GSC最新!A:F""
    ),
    4,
    FALSE
  ),
  0
)
"),1.0)</f>
        <v>1</v>
      </c>
      <c r="I24" s="49">
        <f>IFERROR(__xludf.DUMMYFUNCTION("IFERROR(
  VLOOKUP(
    A24,
    IMPORTRANGE(
      ""1ZHMy3vVUd_0MrSduXTe1etBb1HNpAlGwQr006ljwMiM"",
      ""GSC最新!A:F""
    ),
    5,
    FALSE
  ),
  0
)
"),6.0)</f>
        <v>6</v>
      </c>
      <c r="J24" s="50">
        <f t="shared" ref="J24:K24" si="111">IFERROR(F24/H24,"-")</f>
        <v>6</v>
      </c>
      <c r="K24" s="50">
        <f t="shared" si="111"/>
        <v>1.333333333</v>
      </c>
      <c r="L24" s="6">
        <f>IFERROR(__xludf.DUMMYFUNCTION("IFERROR(
  VLOOKUP(
    A24,
    IMPORTRANGE(
      ""1ZHMy3vVUd_0MrSduXTe1etBb1HNpAlGwQr006ljwMiM"",
      ""GSC最新!A:R""
    ),
    7,
    FALSE
  ),
  0
)
"),504.0)</f>
        <v>504</v>
      </c>
      <c r="M24" s="6">
        <f>IFERROR(__xludf.DUMMYFUNCTION("IFERROR(
  VLOOKUP(
    A24,
    IMPORTRANGE(
      ""1ZHMy3vVUd_0MrSduXTe1etBb1HNpAlGwQr006ljwMiM"",
      ""GSC最新!A:R""
    ),
    10,
    FALSE
  ),
  0
)
"),1059.0)</f>
        <v>1059</v>
      </c>
      <c r="N24" s="6">
        <f>IFERROR(__xludf.DUMMYFUNCTION("IFERROR(
  VLOOKUP(
    A24,
    IMPORTRANGE(
      ""1ZHMy3vVUd_0MrSduXTe1etBb1HNpAlGwQr006ljwMiM"",
      ""GSC最新!A:R""
    ),
    13,
    FALSE
  ),
  0
)
"),270.0)</f>
        <v>270</v>
      </c>
      <c r="O24" s="6">
        <f>IFERROR(__xludf.DUMMYFUNCTION("IFERROR(
  VLOOKUP(
    A24,
    IMPORTRANGE(
      ""1ZHMy3vVUd_0MrSduXTe1etBb1HNpAlGwQr006ljwMiM"",
      ""GSC最新!A:R""
    ),
    16,
    FALSE
  ),
  0
)
"),1045.0)</f>
        <v>1045</v>
      </c>
      <c r="P24" s="51">
        <f t="shared" ref="P24:Q24" si="112">IFERROR(L24/N24,"-")</f>
        <v>1.866666667</v>
      </c>
      <c r="Q24" s="51">
        <f t="shared" si="112"/>
        <v>1.013397129</v>
      </c>
      <c r="R24" s="9">
        <f>IFERROR(__xludf.DUMMYFUNCTION("IFERROR(
  VLOOKUP(
    A24,
    IMPORTRANGE(
      ""1ZHMy3vVUd_0MrSduXTe1etBb1HNpAlGwQr006ljwMiM"",
      ""GSC最新!A:R""
    ),
    8,
    FALSE
  ),
  0
)
"),0.011904761904761904)</f>
        <v>0.0119047619</v>
      </c>
      <c r="S24" s="9">
        <f>IFERROR(__xludf.DUMMYFUNCTION("IFERROR(
  VLOOKUP(
    A24,
    IMPORTRANGE(
      ""1ZHMy3vVUd_0MrSduXTe1etBb1HNpAlGwQr006ljwMiM"",
      ""GSC最新!A:R""
    ),
    11,
    FALSE
  ),
  0
)
"),0.007554296506137866)</f>
        <v>0.007554296506</v>
      </c>
      <c r="T24" s="9">
        <f>IFERROR(__xludf.DUMMYFUNCTION("IFERROR(
  VLOOKUP(
    A24,
    IMPORTRANGE(
      ""1ZHMy3vVUd_0MrSduXTe1etBb1HNpAlGwQr006ljwMiM"",
      ""GSC最新!A:R""
    ),
    14,
    FALSE
  ),
  0
)
"),0.003703703703703704)</f>
        <v>0.003703703704</v>
      </c>
      <c r="U24" s="9">
        <f>IFERROR(__xludf.DUMMYFUNCTION("IFERROR(
  VLOOKUP(
    A24,
    IMPORTRANGE(
      ""1ZHMy3vVUd_0MrSduXTe1etBb1HNpAlGwQr006ljwMiM"",
      ""GSC最新!A:R""
    ),
    17,
    FALSE
  ),
  0
)
"),0.005741626794258373)</f>
        <v>0.005741626794</v>
      </c>
      <c r="V24" s="9">
        <f t="shared" ref="V24:W24" si="113">IFERROR(R24-T24,"-")</f>
        <v>0.008201058201</v>
      </c>
      <c r="W24" s="9">
        <f t="shared" si="113"/>
        <v>0.001812669712</v>
      </c>
      <c r="X24" s="65">
        <f>IFERROR(__xludf.DUMMYFUNCTION("IFERROR(
  VLOOKUP(
    A24,
    IMPORTRANGE(
      ""1ZHMy3vVUd_0MrSduXTe1etBb1HNpAlGwQr006ljwMiM"",
      ""GSC最新!A:R""
    ),
    9,
    FALSE
  ),
  0
)
"),8.55952380952381)</f>
        <v>8.55952381</v>
      </c>
      <c r="Y24" s="65">
        <f>IFERROR(__xludf.DUMMYFUNCTION("IFERROR(
  VLOOKUP(
    A24,
    IMPORTRANGE(
      ""1ZHMy3vVUd_0MrSduXTe1etBb1HNpAlGwQr006ljwMiM"",
      ""GSC最新!A:R""
    ),
    12,
    FALSE
  ),
  0
)
"),7.4645892351274785)</f>
        <v>7.464589235</v>
      </c>
      <c r="Z24" s="65">
        <f>IFERROR(__xludf.DUMMYFUNCTION("IFERROR(
  VLOOKUP(
    A24,
    IMPORTRANGE(
      ""1ZHMy3vVUd_0MrSduXTe1etBb1HNpAlGwQr006ljwMiM"",
      ""GSC最新!A:R""
    ),
    15,
    FALSE
  ),
  0
)
"),26.48148148148148)</f>
        <v>26.48148148</v>
      </c>
      <c r="AA24" s="65">
        <f>IFERROR(__xludf.DUMMYFUNCTION("IFERROR(
  VLOOKUP(
    A24,
    IMPORTRANGE(
      ""1ZHMy3vVUd_0MrSduXTe1etBb1HNpAlGwQr006ljwMiM"",
      ""GSC最新!A:R""
    ),
    18,
    FALSE
  ),
  0
)
"),30.535885167464116)</f>
        <v>30.53588517</v>
      </c>
      <c r="AB24" s="65">
        <f t="shared" ref="AB24:AC24" si="114">X24-Z24</f>
        <v>-17.92195767</v>
      </c>
      <c r="AC24" s="65">
        <f t="shared" si="114"/>
        <v>-23.07129593</v>
      </c>
      <c r="AD24" s="53">
        <f>IFERROR(__xludf.DUMMYFUNCTION("IFERROR(
  VLOOKUP(
    A24,
    IMPORTRANGE(
      ""1ZHMy3vVUd_0MrSduXTe1etBb1HNpAlGwQr006ljwMiM"",
      ""GSC最新!A:F""
    ),
    6,
    FALSE
  ),
  0
)
"),46081.0)</f>
        <v>46081</v>
      </c>
      <c r="AE24" s="54">
        <f>IFERROR(__xludf.DUMMYFUNCTION("IFERROR(
  VLOOKUP(
    A24,
    IMPORTRANGE(
      ""1SCYQd7_cobOYqT0r_F0IqD4tE4rYn5y8Eup4PJTH8es"",
      ""Snapshot!A:M""
    ),
    5,
    FALSE
  ),
  ""-""
)
"),4.0)</f>
        <v>4</v>
      </c>
      <c r="AF24" s="54">
        <f>IFERROR(__xludf.DUMMYFUNCTION("IFERROR(
  VLOOKUP(
    A24,
    IMPORTRANGE(
      ""1SCYQd7_cobOYqT0r_F0IqD4tE4rYn5y8Eup4PJTH8es"",
      ""Snapshot!A:M""
    ),
    6,
    FALSE
  ),
  0
)
"),4.0)</f>
        <v>4</v>
      </c>
      <c r="AG24" s="54">
        <f>IFERROR(__xludf.DUMMYFUNCTION("IFERROR(
  VLOOKUP(
    A24,
    IMPORTRANGE(
      ""1SCYQd7_cobOYqT0r_F0IqD4tE4rYn5y8Eup4PJTH8es"",
      ""Snapshot!A:M""
    ),
    7,
    FALSE
  ),
  0
)
"),3110.0)</f>
        <v>3110</v>
      </c>
      <c r="AH24" s="54">
        <f>IFERROR(__xludf.DUMMYFUNCTION("IFERROR(
  VLOOKUP(
    A24,
    IMPORTRANGE(
      ""1SCYQd7_cobOYqT0r_F0IqD4tE4rYn5y8Eup4PJTH8es"",
      ""Snapshot!A:M""
    ),
    8,
    FALSE
  ),
  0
)
"),9.0)</f>
        <v>9</v>
      </c>
      <c r="AI24" s="54">
        <f>IFERROR(__xludf.DUMMYFUNCTION("IFERROR(
  VLOOKUP(
    A24,
    IMPORTRANGE(
      ""1SCYQd7_cobOYqT0r_F0IqD4tE4rYn5y8Eup4PJTH8es"",
      ""Snapshot!A:M""
    ),
    9,
    FALSE
  ),
  0
)
"),1.0)</f>
        <v>1</v>
      </c>
      <c r="AJ24" s="54">
        <f>IFERROR(__xludf.DUMMYFUNCTION("IFERROR(
  VLOOKUP(
    A24,
    IMPORTRANGE(
      ""1SCYQd7_cobOYqT0r_F0IqD4tE4rYn5y8Eup4PJTH8es"",
      ""Snapshot!A:M""
    ),
    13,
    FALSE
  ),
  0
)
"),2.0)</f>
        <v>2</v>
      </c>
      <c r="AK24" s="49">
        <f t="shared" ref="AK24:AL24" si="115">LEN(C24)</f>
        <v>30</v>
      </c>
      <c r="AL24" s="49">
        <f t="shared" si="115"/>
        <v>61</v>
      </c>
    </row>
    <row r="25">
      <c r="A25" s="3" t="s">
        <v>737</v>
      </c>
      <c r="B25" s="1" t="str">
        <f>IFERROR(__xludf.DUMMYFUNCTION("IFERROR(
  VLOOKUP(
    A25,
    IMPORTRANGE(
      ""1ZygntHC1J6IxzKbTidmOyf5nUyW4GCLurHCjexrLm_o"",
      ""HTMLキャッシュ!A:F""
    ),
    2,
    FALSE
  ),
  0
)
"),"SC")</f>
        <v>SC</v>
      </c>
      <c r="C25" s="1" t="str">
        <f>IFERROR(__xludf.DUMMYFUNCTION("IFERROR(
  VLOOKUP(
    A25,
    IMPORTRANGE(
      ""1ZygntHC1J6IxzKbTidmOyf5nUyW4GCLurHCjexrLm_o"",
      ""HTMLキャッシュ!A:F""
    ),
    5,
    FALSE
  ),
  0
)
"),"社会人の勉強でやる気が出ない時の解決策！仕事と両立するコツ")</f>
        <v>社会人の勉強でやる気が出ない時の解決策！仕事と両立するコツ</v>
      </c>
      <c r="D25" s="1" t="str">
        <f>IFERROR(__xludf.DUMMYFUNCTION("IFERROR(
  VLOOKUP(
    A25,
    IMPORTRANGE(
      ""1ZygntHC1J6IxzKbTidmOyf5nUyW4GCLurHCjexrLm_o        "",
      ""HTMLキャッシュ!A:F""
    ),
    6,
    FALSE
  ),
  0
)
"),"勉強のやる気が出ない社会人向け。仕事と両立しながら勉強を続けるための考え方と立て直し方を整理。")</f>
        <v>勉強のやる気が出ない社会人向け。仕事と両立しながら勉強を続けるための考え方と立て直し方を整理。</v>
      </c>
      <c r="E25" s="32">
        <f>IFERROR(__xludf.DUMMYFUNCTION("IFERROR(
  VLOOKUP(
    A25,
    IMPORTRANGE(
      ""1ZygntHC1J6IxzKbTidmOyf5nUyW4GCLurHCjexrLm_o        "",
      ""HTMLキャッシュ!A:F""
    ),
    3,
    FALSE
  ),
  0
)
"),46073.67506944444)</f>
        <v>46073.67507</v>
      </c>
      <c r="F25" s="49">
        <f>IFERROR(__xludf.DUMMYFUNCTION("IFERROR(
  VLOOKUP(
    A25,
    IMPORTRANGE(
      ""1ZHMy3vVUd_0MrSduXTe1etBb1HNpAlGwQr006ljwMiM"",
      ""GSC最新!A:F""
    ),
    2,
    FALSE
  ),
  0
)
"),5.0)</f>
        <v>5</v>
      </c>
      <c r="G25" s="49">
        <f>IFERROR(__xludf.DUMMYFUNCTION("IFERROR(
  VLOOKUP(
    A25,
    IMPORTRANGE(
      ""1ZHMy3vVUd_0MrSduXTe1etBb1HNpAlGwQr006ljwMiM"",
      ""GSC最新!A:F""
    ),
    3,
    FALSE
  ),
  0
)
"),6.0)</f>
        <v>6</v>
      </c>
      <c r="H25" s="49">
        <f>IFERROR(__xludf.DUMMYFUNCTION("IFERROR(
  VLOOKUP(
    A25,
    IMPORTRANGE(
      ""1ZHMy3vVUd_0MrSduXTe1etBb1HNpAlGwQr006ljwMiM"",
      ""GSC最新!A:F""
    ),
    4,
    FALSE
  ),
  0
)
"),0.0)</f>
        <v>0</v>
      </c>
      <c r="I25" s="49">
        <f>IFERROR(__xludf.DUMMYFUNCTION("IFERROR(
  VLOOKUP(
    A25,
    IMPORTRANGE(
      ""1ZHMy3vVUd_0MrSduXTe1etBb1HNpAlGwQr006ljwMiM"",
      ""GSC最新!A:F""
    ),
    5,
    FALSE
  ),
  0
)
"),2.0)</f>
        <v>2</v>
      </c>
      <c r="J25" s="50" t="str">
        <f t="shared" ref="J25:K25" si="116">IFERROR(F25/H25,"-")</f>
        <v>-</v>
      </c>
      <c r="K25" s="50">
        <f t="shared" si="116"/>
        <v>3</v>
      </c>
      <c r="L25" s="6">
        <f>IFERROR(__xludf.DUMMYFUNCTION("IFERROR(
  VLOOKUP(
    A25,
    IMPORTRANGE(
      ""1ZHMy3vVUd_0MrSduXTe1etBb1HNpAlGwQr006ljwMiM"",
      ""GSC最新!A:R""
    ),
    7,
    FALSE
  ),
  0
)
"),201.0)</f>
        <v>201</v>
      </c>
      <c r="M25" s="6">
        <f>IFERROR(__xludf.DUMMYFUNCTION("IFERROR(
  VLOOKUP(
    A25,
    IMPORTRANGE(
      ""1ZHMy3vVUd_0MrSduXTe1etBb1HNpAlGwQr006ljwMiM"",
      ""GSC最新!A:R""
    ),
    10,
    FALSE
  ),
  0
)
"),272.0)</f>
        <v>272</v>
      </c>
      <c r="N25" s="6">
        <f>IFERROR(__xludf.DUMMYFUNCTION("IFERROR(
  VLOOKUP(
    A25,
    IMPORTRANGE(
      ""1ZHMy3vVUd_0MrSduXTe1etBb1HNpAlGwQr006ljwMiM"",
      ""GSC最新!A:R""
    ),
    13,
    FALSE
  ),
  0
)
"),59.0)</f>
        <v>59</v>
      </c>
      <c r="O25" s="6">
        <f>IFERROR(__xludf.DUMMYFUNCTION("IFERROR(
  VLOOKUP(
    A25,
    IMPORTRANGE(
      ""1ZHMy3vVUd_0MrSduXTe1etBb1HNpAlGwQr006ljwMiM"",
      ""GSC最新!A:R""
    ),
    16,
    FALSE
  ),
  0
)
"),148.0)</f>
        <v>148</v>
      </c>
      <c r="P25" s="51">
        <f t="shared" ref="P25:Q25" si="117">IFERROR(L25/N25,"-")</f>
        <v>3.406779661</v>
      </c>
      <c r="Q25" s="51">
        <f t="shared" si="117"/>
        <v>1.837837838</v>
      </c>
      <c r="R25" s="9">
        <f>IFERROR(__xludf.DUMMYFUNCTION("IFERROR(
  VLOOKUP(
    A25,
    IMPORTRANGE(
      ""1ZHMy3vVUd_0MrSduXTe1etBb1HNpAlGwQr006ljwMiM"",
      ""GSC最新!A:R""
    ),
    8,
    FALSE
  ),
  0
)
"),0.024875621890547265)</f>
        <v>0.02487562189</v>
      </c>
      <c r="S25" s="9">
        <f>IFERROR(__xludf.DUMMYFUNCTION("IFERROR(
  VLOOKUP(
    A25,
    IMPORTRANGE(
      ""1ZHMy3vVUd_0MrSduXTe1etBb1HNpAlGwQr006ljwMiM"",
      ""GSC最新!A:R""
    ),
    11,
    FALSE
  ),
  0
)
"),0.022058823529411766)</f>
        <v>0.02205882353</v>
      </c>
      <c r="T25" s="9">
        <f>IFERROR(__xludf.DUMMYFUNCTION("IFERROR(
  VLOOKUP(
    A25,
    IMPORTRANGE(
      ""1ZHMy3vVUd_0MrSduXTe1etBb1HNpAlGwQr006ljwMiM"",
      ""GSC最新!A:R""
    ),
    14,
    FALSE
  ),
  0
)
"),0.0)</f>
        <v>0</v>
      </c>
      <c r="U25" s="9">
        <f>IFERROR(__xludf.DUMMYFUNCTION("IFERROR(
  VLOOKUP(
    A25,
    IMPORTRANGE(
      ""1ZHMy3vVUd_0MrSduXTe1etBb1HNpAlGwQr006ljwMiM"",
      ""GSC最新!A:R""
    ),
    17,
    FALSE
  ),
  0
)
"),0.013513513513513514)</f>
        <v>0.01351351351</v>
      </c>
      <c r="V25" s="9">
        <f t="shared" ref="V25:W25" si="118">IFERROR(R25-T25,"-")</f>
        <v>0.02487562189</v>
      </c>
      <c r="W25" s="9">
        <f t="shared" si="118"/>
        <v>0.008545310016</v>
      </c>
      <c r="X25" s="65">
        <f>IFERROR(__xludf.DUMMYFUNCTION("IFERROR(
  VLOOKUP(
    A25,
    IMPORTRANGE(
      ""1ZHMy3vVUd_0MrSduXTe1etBb1HNpAlGwQr006ljwMiM"",
      ""GSC最新!A:R""
    ),
    9,
    FALSE
  ),
  0
)
"),20.19402985074627)</f>
        <v>20.19402985</v>
      </c>
      <c r="Y25" s="65">
        <f>IFERROR(__xludf.DUMMYFUNCTION("IFERROR(
  VLOOKUP(
    A25,
    IMPORTRANGE(
      ""1ZHMy3vVUd_0MrSduXTe1etBb1HNpAlGwQr006ljwMiM"",
      ""GSC最新!A:R""
    ),
    12,
    FALSE
  ),
  0
)
"),19.33823529411765)</f>
        <v>19.33823529</v>
      </c>
      <c r="Z25" s="65">
        <f>IFERROR(__xludf.DUMMYFUNCTION("IFERROR(
  VLOOKUP(
    A25,
    IMPORTRANGE(
      ""1ZHMy3vVUd_0MrSduXTe1etBb1HNpAlGwQr006ljwMiM"",
      ""GSC最新!A:R""
    ),
    15,
    FALSE
  ),
  0
)
"),35.76271186440678)</f>
        <v>35.76271186</v>
      </c>
      <c r="AA25" s="65">
        <f>IFERROR(__xludf.DUMMYFUNCTION("IFERROR(
  VLOOKUP(
    A25,
    IMPORTRANGE(
      ""1ZHMy3vVUd_0MrSduXTe1etBb1HNpAlGwQr006ljwMiM"",
      ""GSC最新!A:R""
    ),
    18,
    FALSE
  ),
  0
)
"),29.472972972972972)</f>
        <v>29.47297297</v>
      </c>
      <c r="AB25" s="65">
        <f t="shared" ref="AB25:AC25" si="119">X25-Z25</f>
        <v>-15.56868201</v>
      </c>
      <c r="AC25" s="65">
        <f t="shared" si="119"/>
        <v>-10.13473768</v>
      </c>
      <c r="AD25" s="53">
        <f>IFERROR(__xludf.DUMMYFUNCTION("IFERROR(
  VLOOKUP(
    A25,
    IMPORTRANGE(
      ""1ZHMy3vVUd_0MrSduXTe1etBb1HNpAlGwQr006ljwMiM"",
      ""GSC最新!A:F""
    ),
    6,
    FALSE
  ),
  0
)
"),46081.0)</f>
        <v>46081</v>
      </c>
      <c r="AE25" s="54">
        <f>IFERROR(__xludf.DUMMYFUNCTION("IFERROR(
  VLOOKUP(
    A25,
    IMPORTRANGE(
      ""1SCYQd7_cobOYqT0r_F0IqD4tE4rYn5y8Eup4PJTH8es"",
      ""Snapshot!A:M""
    ),
    5,
    FALSE
  ),
  ""-""
)
"),1.0)</f>
        <v>1</v>
      </c>
      <c r="AF25" s="54">
        <f>IFERROR(__xludf.DUMMYFUNCTION("IFERROR(
  VLOOKUP(
    A25,
    IMPORTRANGE(
      ""1SCYQd7_cobOYqT0r_F0IqD4tE4rYn5y8Eup4PJTH8es"",
      ""Snapshot!A:M""
    ),
    6,
    FALSE
  ),
  0
)
"),12.0)</f>
        <v>12</v>
      </c>
      <c r="AG25" s="54">
        <f>IFERROR(__xludf.DUMMYFUNCTION("IFERROR(
  VLOOKUP(
    A25,
    IMPORTRANGE(
      ""1SCYQd7_cobOYqT0r_F0IqD4tE4rYn5y8Eup4PJTH8es"",
      ""Snapshot!A:M""
    ),
    7,
    FALSE
  ),
  0
)
"),3454.0)</f>
        <v>3454</v>
      </c>
      <c r="AH25" s="54">
        <f>IFERROR(__xludf.DUMMYFUNCTION("IFERROR(
  VLOOKUP(
    A25,
    IMPORTRANGE(
      ""1SCYQd7_cobOYqT0r_F0IqD4tE4rYn5y8Eup4PJTH8es"",
      ""Snapshot!A:M""
    ),
    8,
    FALSE
  ),
  0
)
"),28.0)</f>
        <v>28</v>
      </c>
      <c r="AI25" s="54">
        <f>IFERROR(__xludf.DUMMYFUNCTION("IFERROR(
  VLOOKUP(
    A25,
    IMPORTRANGE(
      ""1SCYQd7_cobOYqT0r_F0IqD4tE4rYn5y8Eup4PJTH8es"",
      ""Snapshot!A:M""
    ),
    9,
    FALSE
  ),
  0
)
"),0.0)</f>
        <v>0</v>
      </c>
      <c r="AJ25" s="54">
        <f>IFERROR(__xludf.DUMMYFUNCTION("IFERROR(
  VLOOKUP(
    A25,
    IMPORTRANGE(
      ""1SCYQd7_cobOYqT0r_F0IqD4tE4rYn5y8Eup4PJTH8es"",
      ""Snapshot!A:M""
    ),
    13,
    FALSE
  ),
  0
)
"),2.0)</f>
        <v>2</v>
      </c>
      <c r="AK25" s="49">
        <f t="shared" ref="AK25:AL25" si="120">LEN(C25)</f>
        <v>29</v>
      </c>
      <c r="AL25" s="49">
        <f t="shared" si="120"/>
        <v>47</v>
      </c>
    </row>
    <row r="26">
      <c r="A26" s="3" t="s">
        <v>738</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"),"成績につながる暗記と反復学習のコツ忘れにくい勉強習慣の作り方")</f>
        <v>成績につながる暗記と反復学習のコツ忘れにくい勉強習慣の作り方</v>
      </c>
      <c r="D26" s="1" t="str">
        <f>IFERROR(__xludf.DUMMYFUNCTION("IFERROR(
  VLOOKUP(
    A26,
    IMPORTRANGE(
      ""1ZygntHC1J6IxzKbTidmOyf5nUyW4GCLurHCjexrLm_o        "",
      ""HTMLキャッシュ!A:F""
    ),
    6,
    FALSE
  ),
  0
)
"),"定期テスト直前の暗記が追いつかない中高生へ。音読×短時間反復×睡眠で覚える。Ankiは新規を減らし復習中心、5〜10分×複数回で回す。")</f>
        <v>定期テスト直前の暗記が追いつかない中高生へ。音読×短時間反復×睡眠で覚える。Ankiは新規を減らし復習中心、5〜10分×複数回で回す。</v>
      </c>
      <c r="E26" s="32">
        <f>IFERROR(__xludf.DUMMYFUNCTION("IFERROR(
  VLOOKUP(
    A26,
    IMPORTRANGE(
      ""1ZygntHC1J6IxzKbTidmOyf5nUyW4GCLurHCjexrLm_o        "",
      ""HTMLキャッシュ!A:F""
    ),
    3,
    FALSE
  ),
  0
)
"),46074.5828587963)</f>
        <v>46074.58286</v>
      </c>
      <c r="F26" s="49">
        <f>IFERROR(__xludf.DUMMYFUNCTION("IFERROR(
  VLOOKUP(
    A26,
    IMPORTRANGE(
      ""1ZHMy3vVUd_0MrSduXTe1etBb1HNpAlGwQr006ljwMiM"",
      ""GSC最新!A:F""
    ),
    2,
    FALSE
  ),
  0
)
"),6.0)</f>
        <v>6</v>
      </c>
      <c r="G26" s="49">
        <f>IFERROR(__xludf.DUMMYFUNCTION("IFERROR(
  VLOOKUP(
    A26,
    IMPORTRANGE(
      ""1ZHMy3vVUd_0MrSduXTe1etBb1HNpAlGwQr006ljwMiM"",
      ""GSC最新!A:F""
    ),
    3,
    FALSE
  ),
  0
)
"),7.0)</f>
        <v>7</v>
      </c>
      <c r="H26" s="49">
        <f>IFERROR(__xludf.DUMMYFUNCTION("IFERROR(
  VLOOKUP(
    A26,
    IMPORTRANGE(
      ""1ZHMy3vVUd_0MrSduXTe1etBb1HNpAlGwQr006ljwMiM"",
      ""GSC最新!A:F""
    ),
    4,
    FALSE
  ),
  0
)
"),0.0)</f>
        <v>0</v>
      </c>
      <c r="I26" s="49">
        <f>IFERROR(__xludf.DUMMYFUNCTION("IFERROR(
  VLOOKUP(
    A26,
    IMPORTRANGE(
      ""1ZHMy3vVUd_0MrSduXTe1etBb1HNpAlGwQr006ljwMiM"",
      ""GSC最新!A:F""
    ),
    5,
    FALSE
  ),
  0
)
"),1.0)</f>
        <v>1</v>
      </c>
      <c r="J26" s="50" t="str">
        <f t="shared" ref="J26:K26" si="121">IFERROR(F26/H26,"-")</f>
        <v>-</v>
      </c>
      <c r="K26" s="50">
        <f t="shared" si="121"/>
        <v>7</v>
      </c>
      <c r="L26" s="6">
        <f>IFERROR(__xludf.DUMMYFUNCTION("IFERROR(
  VLOOKUP(
    A26,
    IMPORTRANGE(
      ""1ZHMy3vVUd_0MrSduXTe1etBb1HNpAlGwQr006ljwMiM"",
      ""GSC最新!A:R""
    ),
    7,
    FALSE
  ),
  0
)
"),174.0)</f>
        <v>174</v>
      </c>
      <c r="M26" s="6">
        <f>IFERROR(__xludf.DUMMYFUNCTION("IFERROR(
  VLOOKUP(
    A26,
    IMPORTRANGE(
      ""1ZHMy3vVUd_0MrSduXTe1etBb1HNpAlGwQr006ljwMiM"",
      ""GSC最新!A:R""
    ),
    10,
    FALSE
  ),
  0
)
"),219.0)</f>
        <v>219</v>
      </c>
      <c r="N26" s="6">
        <f>IFERROR(__xludf.DUMMYFUNCTION("IFERROR(
  VLOOKUP(
    A26,
    IMPORTRANGE(
      ""1ZHMy3vVUd_0MrSduXTe1etBb1HNpAlGwQr006ljwMiM"",
      ""GSC最新!A:R""
    ),
    13,
    FALSE
  ),
  0
)
"),4.0)</f>
        <v>4</v>
      </c>
      <c r="O26" s="6">
        <f>IFERROR(__xludf.DUMMYFUNCTION("IFERROR(
  VLOOKUP(
    A26,
    IMPORTRANGE(
      ""1ZHMy3vVUd_0MrSduXTe1etBb1HNpAlGwQr006ljwMiM"",
      ""GSC最新!A:R""
    ),
    16,
    FALSE
  ),
  0
)
"),10.0)</f>
        <v>10</v>
      </c>
      <c r="P26" s="51">
        <f t="shared" ref="P26:Q26" si="122">IFERROR(L26/N26,"-")</f>
        <v>43.5</v>
      </c>
      <c r="Q26" s="51">
        <f t="shared" si="122"/>
        <v>21.9</v>
      </c>
      <c r="R26" s="9">
        <f>IFERROR(__xludf.DUMMYFUNCTION("IFERROR(
  VLOOKUP(
    A26,
    IMPORTRANGE(
      ""1ZHMy3vVUd_0MrSduXTe1etBb1HNpAlGwQr006ljwMiM"",
      ""GSC最新!A:R""
    ),
    8,
    FALSE
  ),
  0
)
"),0.034482758620689655)</f>
        <v>0.03448275862</v>
      </c>
      <c r="S26" s="9">
        <f>IFERROR(__xludf.DUMMYFUNCTION("IFERROR(
  VLOOKUP(
    A26,
    IMPORTRANGE(
      ""1ZHMy3vVUd_0MrSduXTe1etBb1HNpAlGwQr006ljwMiM"",
      ""GSC最新!A:R""
    ),
    11,
    FALSE
  ),
  0
)
"),0.0319634703196347)</f>
        <v>0.03196347032</v>
      </c>
      <c r="T26" s="9">
        <f>IFERROR(__xludf.DUMMYFUNCTION("IFERROR(
  VLOOKUP(
    A26,
    IMPORTRANGE(
      ""1ZHMy3vVUd_0MrSduXTe1etBb1HNpAlGwQr006ljwMiM"",
      ""GSC最新!A:R""
    ),
    14,
    FALSE
  ),
  0
)
"),0.0)</f>
        <v>0</v>
      </c>
      <c r="U26" s="9">
        <f>IFERROR(__xludf.DUMMYFUNCTION("IFERROR(
  VLOOKUP(
    A26,
    IMPORTRANGE(
      ""1ZHMy3vVUd_0MrSduXTe1etBb1HNpAlGwQr006ljwMiM"",
      ""GSC最新!A:R""
    ),
    17,
    FALSE
  ),
  0
)
"),0.1)</f>
        <v>0.1</v>
      </c>
      <c r="V26" s="9">
        <f t="shared" ref="V26:W26" si="123">IFERROR(R26-T26,"-")</f>
        <v>0.03448275862</v>
      </c>
      <c r="W26" s="9">
        <f t="shared" si="123"/>
        <v>-0.06803652968</v>
      </c>
      <c r="X26" s="65">
        <f>IFERROR(__xludf.DUMMYFUNCTION("IFERROR(
  VLOOKUP(
    A26,
    IMPORTRANGE(
      ""1ZHMy3vVUd_0MrSduXTe1etBb1HNpAlGwQr006ljwMiM"",
      ""GSC最新!A:R""
    ),
    9,
    FALSE
  ),
  0
)
"),10.028735632183908)</f>
        <v>10.02873563</v>
      </c>
      <c r="Y26" s="65">
        <f>IFERROR(__xludf.DUMMYFUNCTION("IFERROR(
  VLOOKUP(
    A26,
    IMPORTRANGE(
      ""1ZHMy3vVUd_0MrSduXTe1etBb1HNpAlGwQr006ljwMiM"",
      ""GSC最新!A:R""
    ),
    12,
    FALSE
  ),
  0
)
"),9.963470319634704)</f>
        <v>9.96347032</v>
      </c>
      <c r="Z26" s="65">
        <f>IFERROR(__xludf.DUMMYFUNCTION("IFERROR(
  VLOOKUP(
    A26,
    IMPORTRANGE(
      ""1ZHMy3vVUd_0MrSduXTe1etBb1HNpAlGwQr006ljwMiM"",
      ""GSC最新!A:R""
    ),
    15,
    FALSE
  ),
  0
)
"),6.25)</f>
        <v>6.25</v>
      </c>
      <c r="AA26" s="65">
        <f>IFERROR(__xludf.DUMMYFUNCTION("IFERROR(
  VLOOKUP(
    A26,
    IMPORTRANGE(
      ""1ZHMy3vVUd_0MrSduXTe1etBb1HNpAlGwQr006ljwMiM"",
      ""GSC最新!A:R""
    ),
    18,
    FALSE
  ),
  0
)
"),34.3)</f>
        <v>34.3</v>
      </c>
      <c r="AB26" s="65">
        <f t="shared" ref="AB26:AC26" si="124">X26-Z26</f>
        <v>3.778735632</v>
      </c>
      <c r="AC26" s="65">
        <f t="shared" si="124"/>
        <v>-24.33652968</v>
      </c>
      <c r="AD26" s="53">
        <f>IFERROR(__xludf.DUMMYFUNCTION("IFERROR(
  VLOOKUP(
    A26,
    IMPORTRANGE(
      ""1ZHMy3vVUd_0MrSduXTe1etBb1HNpAlGwQr006ljwMiM"",
      ""GSC最新!A:F""
    ),
    6,
    FALSE
  ),
  0
)
"),46081.0)</f>
        <v>46081</v>
      </c>
      <c r="AE26" s="54">
        <f>IFERROR(__xludf.DUMMYFUNCTION("IFERROR(
  VLOOKUP(
    A26,
    IMPORTRANGE(
      ""1SCYQd7_cobOYqT0r_F0IqD4tE4rYn5y8Eup4PJTH8es"",
      ""Snapshot!A:M""
    ),
    5,
    FALSE
  ),
  ""-""
)
"),2.0)</f>
        <v>2</v>
      </c>
      <c r="AF26" s="54">
        <f>IFERROR(__xludf.DUMMYFUNCTION("IFERROR(
  VLOOKUP(
    A26,
    IMPORTRANGE(
      ""1SCYQd7_cobOYqT0r_F0IqD4tE4rYn5y8Eup4PJTH8es"",
      ""Snapshot!A:M""
    ),
    6,
    FALSE
  ),
  0
)
"),5.0)</f>
        <v>5</v>
      </c>
      <c r="AG26" s="54">
        <f>IFERROR(__xludf.DUMMYFUNCTION("IFERROR(
  VLOOKUP(
    A26,
    IMPORTRANGE(
      ""1SCYQd7_cobOYqT0r_F0IqD4tE4rYn5y8Eup4PJTH8es"",
      ""Snapshot!A:M""
    ),
    7,
    FALSE
  ),
  0
)
"),1719.0)</f>
        <v>1719</v>
      </c>
      <c r="AH26" s="54">
        <f>IFERROR(__xludf.DUMMYFUNCTION("IFERROR(
  VLOOKUP(
    A26,
    IMPORTRANGE(
      ""1SCYQd7_cobOYqT0r_F0IqD4tE4rYn5y8Eup4PJTH8es"",
      ""Snapshot!A:M""
    ),
    8,
    FALSE
  ),
  0
)
"),6.0)</f>
        <v>6</v>
      </c>
      <c r="AI26" s="54">
        <f>IFERROR(__xludf.DUMMYFUNCTION("IFERROR(
  VLOOKUP(
    A26,
    IMPORTRANGE(
      ""1SCYQd7_cobOYqT0r_F0IqD4tE4rYn5y8Eup4PJTH8es"",
      ""Snapshot!A:M""
    ),
    9,
    FALSE
  ),
  0
)
"),1.0)</f>
        <v>1</v>
      </c>
      <c r="AJ26" s="54">
        <f>IFERROR(__xludf.DUMMYFUNCTION("IFERROR(
  VLOOKUP(
    A26,
    IMPORTRANGE(
      ""1SCYQd7_cobOYqT0r_F0IqD4tE4rYn5y8Eup4PJTH8es"",
      ""Snapshot!A:M""
    ),
    13,
    FALSE
  ),
  0
)
"),2.0)</f>
        <v>2</v>
      </c>
      <c r="AK26" s="49">
        <f t="shared" ref="AK26:AL26" si="125">LEN(C26)</f>
        <v>30</v>
      </c>
      <c r="AL26" s="49">
        <f t="shared" si="125"/>
        <v>67</v>
      </c>
    </row>
    <row r="27">
      <c r="A27" s="3" t="s">
        <v>739</v>
      </c>
      <c r="B27" s="1" t="str">
        <f>IFERROR(__xludf.DUMMYFUNCTION("IFERROR(
  VLOOKUP(
    A27,
    IMPORTRANGE(
      ""1ZygntHC1J6IxzKbTidmOyf5nUyW4GCLurHCjexrLm_o"",
      ""HTMLキャッシュ!A:F""
    ),
    2,
    FALSE
  ),
  0
)
"),"MC")</f>
        <v>MC</v>
      </c>
      <c r="C27" s="1" t="str">
        <f>IFERROR(__xludf.DUMMYFUNCTION("IFERROR(
  VLOOKUP(
    A27,
    IMPORTRANGE(
      ""1ZygntHC1J6IxzKbTidmOyf5nUyW4GCLurHCjexrLm_o"",
      ""HTMLキャッシュ!A:F""
    ),
    5,
    FALSE
  ),
  0
)
"),"学習計画の立て方完全ガイド｜目標・優先順位・振り返り")</f>
        <v>学習計画の立て方完全ガイド｜目標・優先順位・振り返り</v>
      </c>
      <c r="D27" s="1" t="str">
        <f>IFERROR(__xludf.DUMMYFUNCTION("IFERROR(
  VLOOKUP(
    A27,
    IMPORTRANGE(
      ""1ZygntHC1J6IxzKbTidmOyf5nUyW4GCLurHCjexrLm_o        "",
      ""HTMLキャッシュ!A:F""
    ),
    6,
    FALSE
  ),
  0
)
"),"中高一貫校生向けの勉強計画の立て方。生活リズムを週単位で整理し、課題・復習・暗記まで無理なく回す方法を解説。中だるみ防止にも有効。")</f>
        <v>中高一貫校生向けの勉強計画の立て方。生活リズムを週単位で整理し、課題・復習・暗記まで無理なく回す方法を解説。中だるみ防止にも有効。</v>
      </c>
      <c r="E27" s="32">
        <f>IFERROR(__xludf.DUMMYFUNCTION("IFERROR(
  VLOOKUP(
    A27,
    IMPORTRANGE(
      ""1ZygntHC1J6IxzKbTidmOyf5nUyW4GCLurHCjexrLm_o        "",
      ""HTMLキャッシュ!A:F""
    ),
    3,
    FALSE
  ),
  0
)
"),46078.856145833335)</f>
        <v>46078.85615</v>
      </c>
      <c r="F27" s="49">
        <f>IFERROR(__xludf.DUMMYFUNCTION("IFERROR(
  VLOOKUP(
    A27,
    IMPORTRANGE(
      ""1ZHMy3vVUd_0MrSduXTe1etBb1HNpAlGwQr006ljwMiM"",
      ""GSC最新!A:F""
    ),
    2,
    FALSE
  ),
  0
)
"),4.0)</f>
        <v>4</v>
      </c>
      <c r="G27" s="49">
        <f>IFERROR(__xludf.DUMMYFUNCTION("IFERROR(
  VLOOKUP(
    A27,
    IMPORTRANGE(
      ""1ZHMy3vVUd_0MrSduXTe1etBb1HNpAlGwQr006ljwMiM"",
      ""GSC最新!A:F""
    ),
    3,
    FALSE
  ),
  0
)
"),6.0)</f>
        <v>6</v>
      </c>
      <c r="H27" s="49">
        <f>IFERROR(__xludf.DUMMYFUNCTION("IFERROR(
  VLOOKUP(
    A27,
    IMPORTRANGE(
      ""1ZHMy3vVUd_0MrSduXTe1etBb1HNpAlGwQr006ljwMiM"",
      ""GSC最新!A:F""
    ),
    4,
    FALSE
  ),
  0
)
"),3.0)</f>
        <v>3</v>
      </c>
      <c r="I27" s="49">
        <f>IFERROR(__xludf.DUMMYFUNCTION("IFERROR(
  VLOOKUP(
    A27,
    IMPORTRANGE(
      ""1ZHMy3vVUd_0MrSduXTe1etBb1HNpAlGwQr006ljwMiM"",
      ""GSC最新!A:F""
    ),
    5,
    FALSE
  ),
  0
)
"),6.0)</f>
        <v>6</v>
      </c>
      <c r="J27" s="50">
        <f t="shared" ref="J27:K27" si="126">IFERROR(F27/H27,"-")</f>
        <v>1.333333333</v>
      </c>
      <c r="K27" s="50">
        <f t="shared" si="126"/>
        <v>1</v>
      </c>
      <c r="L27" s="6">
        <f>IFERROR(__xludf.DUMMYFUNCTION("IFERROR(
  VLOOKUP(
    A27,
    IMPORTRANGE(
      ""1ZHMy3vVUd_0MrSduXTe1etBb1HNpAlGwQr006ljwMiM"",
      ""GSC最新!A:R""
    ),
    7,
    FALSE
  ),
  0
)
"),111.0)</f>
        <v>111</v>
      </c>
      <c r="M27" s="6">
        <f>IFERROR(__xludf.DUMMYFUNCTION("IFERROR(
  VLOOKUP(
    A27,
    IMPORTRANGE(
      ""1ZHMy3vVUd_0MrSduXTe1etBb1HNpAlGwQr006ljwMiM"",
      ""GSC最新!A:R""
    ),
    10,
    FALSE
  ),
  0
)
"),208.0)</f>
        <v>208</v>
      </c>
      <c r="N27" s="6">
        <f>IFERROR(__xludf.DUMMYFUNCTION("IFERROR(
  VLOOKUP(
    A27,
    IMPORTRANGE(
      ""1ZHMy3vVUd_0MrSduXTe1etBb1HNpAlGwQr006ljwMiM"",
      ""GSC最新!A:R""
    ),
    13,
    FALSE
  ),
  0
)
"),124.0)</f>
        <v>124</v>
      </c>
      <c r="O27" s="6">
        <f>IFERROR(__xludf.DUMMYFUNCTION("IFERROR(
  VLOOKUP(
    A27,
    IMPORTRANGE(
      ""1ZHMy3vVUd_0MrSduXTe1etBb1HNpAlGwQr006ljwMiM"",
      ""GSC最新!A:R""
    ),
    16,
    FALSE
  ),
  0
)
"),199.0)</f>
        <v>199</v>
      </c>
      <c r="P27" s="51">
        <f t="shared" ref="P27:Q27" si="127">IFERROR(L27/N27,"-")</f>
        <v>0.8951612903</v>
      </c>
      <c r="Q27" s="51">
        <f t="shared" si="127"/>
        <v>1.045226131</v>
      </c>
      <c r="R27" s="9">
        <f>IFERROR(__xludf.DUMMYFUNCTION("IFERROR(
  VLOOKUP(
    A27,
    IMPORTRANGE(
      ""1ZHMy3vVUd_0MrSduXTe1etBb1HNpAlGwQr006ljwMiM"",
      ""GSC最新!A:R""
    ),
    8,
    FALSE
  ),
  0
)
"),0.036036036036036036)</f>
        <v>0.03603603604</v>
      </c>
      <c r="S27" s="9">
        <f>IFERROR(__xludf.DUMMYFUNCTION("IFERROR(
  VLOOKUP(
    A27,
    IMPORTRANGE(
      ""1ZHMy3vVUd_0MrSduXTe1etBb1HNpAlGwQr006ljwMiM"",
      ""GSC最新!A:R""
    ),
    11,
    FALSE
  ),
  0
)
"),0.028846153846153848)</f>
        <v>0.02884615385</v>
      </c>
      <c r="T27" s="9">
        <f>IFERROR(__xludf.DUMMYFUNCTION("IFERROR(
  VLOOKUP(
    A27,
    IMPORTRANGE(
      ""1ZHMy3vVUd_0MrSduXTe1etBb1HNpAlGwQr006ljwMiM"",
      ""GSC最新!A:R""
    ),
    14,
    FALSE
  ),
  0
)
"),0.024193548387096774)</f>
        <v>0.02419354839</v>
      </c>
      <c r="U27" s="9">
        <f>IFERROR(__xludf.DUMMYFUNCTION("IFERROR(
  VLOOKUP(
    A27,
    IMPORTRANGE(
      ""1ZHMy3vVUd_0MrSduXTe1etBb1HNpAlGwQr006ljwMiM"",
      ""GSC最新!A:R""
    ),
    17,
    FALSE
  ),
  0
)
"),0.03015075376884422)</f>
        <v>0.03015075377</v>
      </c>
      <c r="V27" s="9">
        <f t="shared" ref="V27:W27" si="128">IFERROR(R27-T27,"-")</f>
        <v>0.01184248765</v>
      </c>
      <c r="W27" s="9">
        <f t="shared" si="128"/>
        <v>-0.001304599923</v>
      </c>
      <c r="X27" s="65">
        <f>IFERROR(__xludf.DUMMYFUNCTION("IFERROR(
  VLOOKUP(
    A27,
    IMPORTRANGE(
      ""1ZHMy3vVUd_0MrSduXTe1etBb1HNpAlGwQr006ljwMiM"",
      ""GSC最新!A:R""
    ),
    9,
    FALSE
  ),
  0
)
"),5.027027027027027)</f>
        <v>5.027027027</v>
      </c>
      <c r="Y27" s="65">
        <f>IFERROR(__xludf.DUMMYFUNCTION("IFERROR(
  VLOOKUP(
    A27,
    IMPORTRANGE(
      ""1ZHMy3vVUd_0MrSduXTe1etBb1HNpAlGwQr006ljwMiM"",
      ""GSC最新!A:R""
    ),
    12,
    FALSE
  ),
  0
)
"),5.783653846153846)</f>
        <v>5.783653846</v>
      </c>
      <c r="Z27" s="65">
        <f>IFERROR(__xludf.DUMMYFUNCTION("IFERROR(
  VLOOKUP(
    A27,
    IMPORTRANGE(
      ""1ZHMy3vVUd_0MrSduXTe1etBb1HNpAlGwQr006ljwMiM"",
      ""GSC最新!A:R""
    ),
    15,
    FALSE
  ),
  0
)
"),36.16129032258065)</f>
        <v>36.16129032</v>
      </c>
      <c r="AA27" s="65">
        <f>IFERROR(__xludf.DUMMYFUNCTION("IFERROR(
  VLOOKUP(
    A27,
    IMPORTRANGE(
      ""1ZHMy3vVUd_0MrSduXTe1etBb1HNpAlGwQr006ljwMiM"",
      ""GSC最新!A:R""
    ),
    18,
    FALSE
  ),
  0
)
"),40.89447236180904)</f>
        <v>40.89447236</v>
      </c>
      <c r="AB27" s="65">
        <f t="shared" ref="AB27:AC27" si="129">X27-Z27</f>
        <v>-31.1342633</v>
      </c>
      <c r="AC27" s="65">
        <f t="shared" si="129"/>
        <v>-35.11081852</v>
      </c>
      <c r="AD27" s="53">
        <f>IFERROR(__xludf.DUMMYFUNCTION("IFERROR(
  VLOOKUP(
    A27,
    IMPORTRANGE(
      ""1ZHMy3vVUd_0MrSduXTe1etBb1HNpAlGwQr006ljwMiM"",
      ""GSC最新!A:F""
    ),
    6,
    FALSE
  ),
  0
)
"),46081.0)</f>
        <v>46081</v>
      </c>
      <c r="AE27" s="54">
        <f>IFERROR(__xludf.DUMMYFUNCTION("IFERROR(
  VLOOKUP(
    A27,
    IMPORTRANGE(
      ""1SCYQd7_cobOYqT0r_F0IqD4tE4rYn5y8Eup4PJTH8es"",
      ""Snapshot!A:M""
    ),
    5,
    FALSE
  ),
  ""-""
)
"),5.0)</f>
        <v>5</v>
      </c>
      <c r="AF27" s="54">
        <f>IFERROR(__xludf.DUMMYFUNCTION("IFERROR(
  VLOOKUP(
    A27,
    IMPORTRANGE(
      ""1SCYQd7_cobOYqT0r_F0IqD4tE4rYn5y8Eup4PJTH8es"",
      ""Snapshot!A:M""
    ),
    6,
    FALSE
  ),
  0
)
"),11.0)</f>
        <v>11</v>
      </c>
      <c r="AG27" s="54">
        <f>IFERROR(__xludf.DUMMYFUNCTION("IFERROR(
  VLOOKUP(
    A27,
    IMPORTRANGE(
      ""1SCYQd7_cobOYqT0r_F0IqD4tE4rYn5y8Eup4PJTH8es"",
      ""Snapshot!A:M""
    ),
    7,
    FALSE
  ),
  0
)
"),4133.0)</f>
        <v>4133</v>
      </c>
      <c r="AH27" s="54">
        <f>IFERROR(__xludf.DUMMYFUNCTION("IFERROR(
  VLOOKUP(
    A27,
    IMPORTRANGE(
      ""1SCYQd7_cobOYqT0r_F0IqD4tE4rYn5y8Eup4PJTH8es"",
      ""Snapshot!A:M""
    ),
    8,
    FALSE
  ),
  0
)
"),12.0)</f>
        <v>12</v>
      </c>
      <c r="AI27" s="54">
        <f>IFERROR(__xludf.DUMMYFUNCTION("IFERROR(
  VLOOKUP(
    A27,
    IMPORTRANGE(
      ""1SCYQd7_cobOYqT0r_F0IqD4tE4rYn5y8Eup4PJTH8es"",
      ""Snapshot!A:M""
    ),
    9,
    FALSE
  ),
  0
)
"),2.0)</f>
        <v>2</v>
      </c>
      <c r="AJ27" s="54">
        <f>IFERROR(__xludf.DUMMYFUNCTION("IFERROR(
  VLOOKUP(
    A27,
    IMPORTRANGE(
      ""1SCYQd7_cobOYqT0r_F0IqD4tE4rYn5y8Eup4PJTH8es"",
      ""Snapshot!A:M""
    ),
    13,
    FALSE
  ),
  0
)
"),2.0)</f>
        <v>2</v>
      </c>
      <c r="AK27" s="49">
        <f t="shared" ref="AK27:AL27" si="130">LEN(C27)</f>
        <v>26</v>
      </c>
      <c r="AL27" s="49">
        <f t="shared" si="130"/>
        <v>65</v>
      </c>
    </row>
    <row r="28">
      <c r="A28" s="3" t="s">
        <v>740</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"),"作文直前対策｜すぐ書ける導入・構成・見直しの実践テク")</f>
        <v>作文直前対策｜すぐ書ける導入・構成・見直しの実践テク</v>
      </c>
      <c r="D28" s="1" t="str">
        <f>IFERROR(__xludf.DUMMYFUNCTION("IFERROR(
  VLOOKUP(
    A28,
    IMPORTRANGE(
      ""1ZygntHC1J6IxzKbTidmOyf5nUyW4GCLurHCjexrLm_o        "",
      ""HTMLキャッシュ!A:F""
    ),
    6,
    FALSE
  ),
  0
)
"),"ノートまとめは後回し。ワークで出来不出来を仕分け、3日前は暗記より解き直し。前日当日まで整理。")</f>
        <v>ノートまとめは後回し。ワークで出来不出来を仕分け、3日前は暗記より解き直し。前日当日まで整理。</v>
      </c>
      <c r="E28" s="32">
        <f>IFERROR(__xludf.DUMMYFUNCTION("IFERROR(
  VLOOKUP(
    A28,
    IMPORTRANGE(
      ""1ZygntHC1J6IxzKbTidmOyf5nUyW4GCLurHCjexrLm_o        "",
      ""HTMLキャッシュ!A:F""
    ),
    3,
    FALSE
  ),
  0
)
"),46073.83792824074)</f>
        <v>46073.83793</v>
      </c>
      <c r="F28" s="49">
        <f>IFERROR(__xludf.DUMMYFUNCTION("IFERROR(
  VLOOKUP(
    A28,
    IMPORTRANGE(
      ""1ZHMy3vVUd_0MrSduXTe1etBb1HNpAlGwQr006ljwMiM"",
      ""GSC最新!A:F""
    ),
    2,
    FALSE
  ),
  0
)
"),3.0)</f>
        <v>3</v>
      </c>
      <c r="G28" s="49">
        <f>IFERROR(__xludf.DUMMYFUNCTION("IFERROR(
  VLOOKUP(
    A28,
    IMPORTRANGE(
      ""1ZHMy3vVUd_0MrSduXTe1etBb1HNpAlGwQr006ljwMiM"",
      ""GSC最新!A:F""
    ),
    3,
    FALSE
  ),
  0
)
"),4.0)</f>
        <v>4</v>
      </c>
      <c r="H28" s="49">
        <f>IFERROR(__xludf.DUMMYFUNCTION("IFERROR(
  VLOOKUP(
    A28,
    IMPORTRANGE(
      ""1ZHMy3vVUd_0MrSduXTe1etBb1HNpAlGwQr006ljwMiM"",
      ""GSC最新!A:F""
    ),
    4,
    FALSE
  ),
  0
)
"),2.0)</f>
        <v>2</v>
      </c>
      <c r="I28" s="49">
        <f>IFERROR(__xludf.DUMMYFUNCTION("IFERROR(
  VLOOKUP(
    A28,
    IMPORTRANGE(
      ""1ZHMy3vVUd_0MrSduXTe1etBb1HNpAlGwQr006ljwMiM"",
      ""GSC最新!A:F""
    ),
    5,
    FALSE
  ),
  0
)
"),5.0)</f>
        <v>5</v>
      </c>
      <c r="J28" s="50">
        <f t="shared" ref="J28:K28" si="131">IFERROR(F28/H28,"-")</f>
        <v>1.5</v>
      </c>
      <c r="K28" s="50">
        <f t="shared" si="131"/>
        <v>0.8</v>
      </c>
      <c r="L28" s="6">
        <f>IFERROR(__xludf.DUMMYFUNCTION("IFERROR(
  VLOOKUP(
    A28,
    IMPORTRANGE(
      ""1ZHMy3vVUd_0MrSduXTe1etBb1HNpAlGwQr006ljwMiM"",
      ""GSC最新!A:R""
    ),
    7,
    FALSE
  ),
  0
)
"),1159.0)</f>
        <v>1159</v>
      </c>
      <c r="M28" s="6">
        <f>IFERROR(__xludf.DUMMYFUNCTION("IFERROR(
  VLOOKUP(
    A28,
    IMPORTRANGE(
      ""1ZHMy3vVUd_0MrSduXTe1etBb1HNpAlGwQr006ljwMiM"",
      ""GSC最新!A:R""
    ),
    10,
    FALSE
  ),
  0
)
"),2088.0)</f>
        <v>2088</v>
      </c>
      <c r="N28" s="6">
        <f>IFERROR(__xludf.DUMMYFUNCTION("IFERROR(
  VLOOKUP(
    A28,
    IMPORTRANGE(
      ""1ZHMy3vVUd_0MrSduXTe1etBb1HNpAlGwQr006ljwMiM"",
      ""GSC最新!A:R""
    ),
    13,
    FALSE
  ),
  0
)
"),337.0)</f>
        <v>337</v>
      </c>
      <c r="O28" s="6">
        <f>IFERROR(__xludf.DUMMYFUNCTION("IFERROR(
  VLOOKUP(
    A28,
    IMPORTRANGE(
      ""1ZHMy3vVUd_0MrSduXTe1etBb1HNpAlGwQr006ljwMiM"",
      ""GSC最新!A:R""
    ),
    16,
    FALSE
  ),
  0
)
"),1357.0)</f>
        <v>1357</v>
      </c>
      <c r="P28" s="51">
        <f t="shared" ref="P28:Q28" si="132">IFERROR(L28/N28,"-")</f>
        <v>3.439169139</v>
      </c>
      <c r="Q28" s="51">
        <f t="shared" si="132"/>
        <v>1.538688283</v>
      </c>
      <c r="R28" s="9">
        <f>IFERROR(__xludf.DUMMYFUNCTION("IFERROR(
  VLOOKUP(
    A28,
    IMPORTRANGE(
      ""1ZHMy3vVUd_0MrSduXTe1etBb1HNpAlGwQr006ljwMiM"",
      ""GSC最新!A:R""
    ),
    8,
    FALSE
  ),
  0
)
"),0.0025884383088869713)</f>
        <v>0.002588438309</v>
      </c>
      <c r="S28" s="9">
        <f>IFERROR(__xludf.DUMMYFUNCTION("IFERROR(
  VLOOKUP(
    A28,
    IMPORTRANGE(
      ""1ZHMy3vVUd_0MrSduXTe1etBb1HNpAlGwQr006ljwMiM"",
      ""GSC最新!A:R""
    ),
    11,
    FALSE
  ),
  0
)
"),0.0019157088122605363)</f>
        <v>0.001915708812</v>
      </c>
      <c r="T28" s="9">
        <f>IFERROR(__xludf.DUMMYFUNCTION("IFERROR(
  VLOOKUP(
    A28,
    IMPORTRANGE(
      ""1ZHMy3vVUd_0MrSduXTe1etBb1HNpAlGwQr006ljwMiM"",
      ""GSC最新!A:R""
    ),
    14,
    FALSE
  ),
  0
)
"),0.005934718100890208)</f>
        <v>0.005934718101</v>
      </c>
      <c r="U28" s="9">
        <f>IFERROR(__xludf.DUMMYFUNCTION("IFERROR(
  VLOOKUP(
    A28,
    IMPORTRANGE(
      ""1ZHMy3vVUd_0MrSduXTe1etBb1HNpAlGwQr006ljwMiM"",
      ""GSC最新!A:R""
    ),
    17,
    FALSE
  ),
  0
)
"),0.0036845983787767134)</f>
        <v>0.003684598379</v>
      </c>
      <c r="V28" s="9">
        <f t="shared" ref="V28:W28" si="133">IFERROR(R28-T28,"-")</f>
        <v>-0.003346279792</v>
      </c>
      <c r="W28" s="9">
        <f t="shared" si="133"/>
        <v>-0.001768889567</v>
      </c>
      <c r="X28" s="65">
        <f>IFERROR(__xludf.DUMMYFUNCTION("IFERROR(
  VLOOKUP(
    A28,
    IMPORTRANGE(
      ""1ZHMy3vVUd_0MrSduXTe1etBb1HNpAlGwQr006ljwMiM"",
      ""GSC最新!A:R""
    ),
    9,
    FALSE
  ),
  0
)
"),8.76013805004314)</f>
        <v>8.76013805</v>
      </c>
      <c r="Y28" s="65">
        <f>IFERROR(__xludf.DUMMYFUNCTION("IFERROR(
  VLOOKUP(
    A28,
    IMPORTRANGE(
      ""1ZHMy3vVUd_0MrSduXTe1etBb1HNpAlGwQr006ljwMiM"",
      ""GSC最新!A:R""
    ),
    12,
    FALSE
  ),
  0
)
"),9.857758620689655)</f>
        <v>9.857758621</v>
      </c>
      <c r="Z28" s="65">
        <f>IFERROR(__xludf.DUMMYFUNCTION("IFERROR(
  VLOOKUP(
    A28,
    IMPORTRANGE(
      ""1ZHMy3vVUd_0MrSduXTe1etBb1HNpAlGwQr006ljwMiM"",
      ""GSC最新!A:R""
    ),
    15,
    FALSE
  ),
  0
)
"),45.44807121661721)</f>
        <v>45.44807122</v>
      </c>
      <c r="AA28" s="65">
        <f>IFERROR(__xludf.DUMMYFUNCTION("IFERROR(
  VLOOKUP(
    A28,
    IMPORTRANGE(
      ""1ZHMy3vVUd_0MrSduXTe1etBb1HNpAlGwQr006ljwMiM"",
      ""GSC最新!A:R""
    ),
    18,
    FALSE
  ),
  0
)
"),53.55563743551953)</f>
        <v>53.55563744</v>
      </c>
      <c r="AB28" s="65">
        <f t="shared" ref="AB28:AC28" si="134">X28-Z28</f>
        <v>-36.68793317</v>
      </c>
      <c r="AC28" s="65">
        <f t="shared" si="134"/>
        <v>-43.69787881</v>
      </c>
      <c r="AD28" s="53">
        <f>IFERROR(__xludf.DUMMYFUNCTION("IFERROR(
  VLOOKUP(
    A28,
    IMPORTRANGE(
      ""1ZHMy3vVUd_0MrSduXTe1etBb1HNpAlGwQr006ljwMiM"",
      ""GSC最新!A:F""
    ),
    6,
    FALSE
  ),
  0
)
"),46081.0)</f>
        <v>46081</v>
      </c>
      <c r="AE28" s="54">
        <f>IFERROR(__xludf.DUMMYFUNCTION("IFERROR(
  VLOOKUP(
    A28,
    IMPORTRANGE(
      ""1SCYQd7_cobOYqT0r_F0IqD4tE4rYn5y8Eup4PJTH8es"",
      ""Snapshot!A:M""
    ),
    5,
    FALSE
  ),
  ""-""
)
"),12.0)</f>
        <v>12</v>
      </c>
      <c r="AF28" s="54">
        <f>IFERROR(__xludf.DUMMYFUNCTION("IFERROR(
  VLOOKUP(
    A28,
    IMPORTRANGE(
      ""1SCYQd7_cobOYqT0r_F0IqD4tE4rYn5y8Eup4PJTH8es"",
      ""Snapshot!A:M""
    ),
    6,
    FALSE
  ),
  0
)
"),11.0)</f>
        <v>11</v>
      </c>
      <c r="AG28" s="54">
        <f>IFERROR(__xludf.DUMMYFUNCTION("IFERROR(
  VLOOKUP(
    A28,
    IMPORTRANGE(
      ""1SCYQd7_cobOYqT0r_F0IqD4tE4rYn5y8Eup4PJTH8es"",
      ""Snapshot!A:M""
    ),
    7,
    FALSE
  ),
  0
)
"),4691.0)</f>
        <v>4691</v>
      </c>
      <c r="AH28" s="54">
        <f>IFERROR(__xludf.DUMMYFUNCTION("IFERROR(
  VLOOKUP(
    A28,
    IMPORTRANGE(
      ""1SCYQd7_cobOYqT0r_F0IqD4tE4rYn5y8Eup4PJTH8es"",
      ""Snapshot!A:M""
    ),
    8,
    FALSE
  ),
  0
)
"),6.0)</f>
        <v>6</v>
      </c>
      <c r="AI28" s="54">
        <f>IFERROR(__xludf.DUMMYFUNCTION("IFERROR(
  VLOOKUP(
    A28,
    IMPORTRANGE(
      ""1SCYQd7_cobOYqT0r_F0IqD4tE4rYn5y8Eup4PJTH8es"",
      ""Snapshot!A:M""
    ),
    9,
    FALSE
  ),
  0
)
"),1.0)</f>
        <v>1</v>
      </c>
      <c r="AJ28" s="54">
        <f>IFERROR(__xludf.DUMMYFUNCTION("IFERROR(
  VLOOKUP(
    A28,
    IMPORTRANGE(
      ""1SCYQd7_cobOYqT0r_F0IqD4tE4rYn5y8Eup4PJTH8es"",
      ""Snapshot!A:M""
    ),
    13,
    FALSE
  ),
  0
)
"),2.0)</f>
        <v>2</v>
      </c>
      <c r="AK28" s="49">
        <f t="shared" ref="AK28:AL28" si="135">LEN(C28)</f>
        <v>26</v>
      </c>
      <c r="AL28" s="49">
        <f t="shared" si="135"/>
        <v>47</v>
      </c>
    </row>
    <row r="29">
      <c r="A29" s="3" t="s">
        <v>741</v>
      </c>
      <c r="B29" s="1" t="str">
        <f>IFERROR(__xludf.DUMMYFUNCTION("IFERROR(
  VLOOKUP(
    A29,
    IMPORTRANGE(
      ""1ZygntHC1J6IxzKbTidmOyf5nUyW4GCLurHCjexrLm_o"",
      ""HTMLキャッシュ!A:F""
    ),
    2,
    FALSE
  ),
  0
)
"),"SC")</f>
        <v>SC</v>
      </c>
      <c r="C29" s="1" t="str">
        <f>IFERROR(__xludf.DUMMYFUNCTION("IFERROR(
  VLOOKUP(
    A29,
    IMPORTRANGE(
      ""1ZygntHC1J6IxzKbTidmOyf5nUyW4GCLurHCjexrLm_o"",
      ""HTMLキャッシュ!A:F""
    ),
    5,
    FALSE
  ),
  0
)
"),"一瞬で暗記する技術 集中記憶法と定着の極意")</f>
        <v>一瞬で暗記する技術 集中記憶法と定着の極意</v>
      </c>
      <c r="D29" s="1" t="str">
        <f>IFERROR(__xludf.DUMMYFUNCTION("IFERROR(
  VLOOKUP(
    A29,
    IMPORTRANGE(
      ""1ZygntHC1J6IxzKbTidmOyf5nUyW4GCLurHCjexrLm_o        "",
      ""HTMLキャッシュ!A:F""
    ),
    6,
    FALSE
  ),
  0
)
"),"一瞬で覚える方法は少量を短時間で反復。英単語は見て発音→3〜5語→すぐ回すで定着。")</f>
        <v>一瞬で覚える方法は少量を短時間で反復。英単語は見て発音→3〜5語→すぐ回すで定着。</v>
      </c>
      <c r="E29" s="32">
        <f>IFERROR(__xludf.DUMMYFUNCTION("IFERROR(
  VLOOKUP(
    A30,
    IMPORTRANGE(
      ""1ZygntHC1J6IxzKbTidmOyf5nUyW4GCLurHCjexrLm_o        "",
      ""HTMLキャッシュ!A:F""
    ),
    3,
    FALSE
  ),
  0
)
"),46069.75414351852)</f>
        <v>46069.75414</v>
      </c>
      <c r="F29" s="49">
        <f>IFERROR(__xludf.DUMMYFUNCTION("IFERROR(
  VLOOKUP(
    A29,
    IMPORTRANGE(
      ""1ZHMy3vVUd_0MrSduXTe1etBb1HNpAlGwQr006ljwMiM"",
      ""GSC最新!A:F""
    ),
    2,
    FALSE
  ),
  0
)
"),2.0)</f>
        <v>2</v>
      </c>
      <c r="G29" s="49">
        <f>IFERROR(__xludf.DUMMYFUNCTION("IFERROR(
  VLOOKUP(
    A29,
    IMPORTRANGE(
      ""1ZHMy3vVUd_0MrSduXTe1etBb1HNpAlGwQr006ljwMiM"",
      ""GSC最新!A:F""
    ),
    3,
    FALSE
  ),
  0
)
"),5.0)</f>
        <v>5</v>
      </c>
      <c r="H29" s="49">
        <f>IFERROR(__xludf.DUMMYFUNCTION("IFERROR(
  VLOOKUP(
    A29,
    IMPORTRANGE(
      ""1ZHMy3vVUd_0MrSduXTe1etBb1HNpAlGwQr006ljwMiM"",
      ""GSC最新!A:F""
    ),
    4,
    FALSE
  ),
  0
)
"),1.0)</f>
        <v>1</v>
      </c>
      <c r="I29" s="49">
        <f>IFERROR(__xludf.DUMMYFUNCTION("IFERROR(
  VLOOKUP(
    A29,
    IMPORTRANGE(
      ""1ZHMy3vVUd_0MrSduXTe1etBb1HNpAlGwQr006ljwMiM"",
      ""GSC最新!A:F""
    ),
    5,
    FALSE
  ),
  0
)
"),1.0)</f>
        <v>1</v>
      </c>
      <c r="J29" s="50">
        <f t="shared" ref="J29:K29" si="136">IFERROR(F29/H29,"-")</f>
        <v>2</v>
      </c>
      <c r="K29" s="50">
        <f t="shared" si="136"/>
        <v>5</v>
      </c>
      <c r="L29" s="6">
        <f>IFERROR(__xludf.DUMMYFUNCTION("IFERROR(
  VLOOKUP(
    A29,
    IMPORTRANGE(
      ""1ZHMy3vVUd_0MrSduXTe1etBb1HNpAlGwQr006ljwMiM"",
      ""GSC最新!A:R""
    ),
    7,
    FALSE
  ),
  0
)
"),968.0)</f>
        <v>968</v>
      </c>
      <c r="M29" s="6">
        <f>IFERROR(__xludf.DUMMYFUNCTION("IFERROR(
  VLOOKUP(
    A29,
    IMPORTRANGE(
      ""1ZHMy3vVUd_0MrSduXTe1etBb1HNpAlGwQr006ljwMiM"",
      ""GSC最新!A:R""
    ),
    10,
    FALSE
  ),
  0
)
"),1693.0)</f>
        <v>1693</v>
      </c>
      <c r="N29" s="6">
        <f>IFERROR(__xludf.DUMMYFUNCTION("IFERROR(
  VLOOKUP(
    A29,
    IMPORTRANGE(
      ""1ZHMy3vVUd_0MrSduXTe1etBb1HNpAlGwQr006ljwMiM"",
      ""GSC最新!A:R""
    ),
    13,
    FALSE
  ),
  0
)
"),55.0)</f>
        <v>55</v>
      </c>
      <c r="O29" s="6">
        <f>IFERROR(__xludf.DUMMYFUNCTION("IFERROR(
  VLOOKUP(
    A29,
    IMPORTRANGE(
      ""1ZHMy3vVUd_0MrSduXTe1etBb1HNpAlGwQr006ljwMiM"",
      ""GSC最新!A:R""
    ),
    16,
    FALSE
  ),
  0
)
"),220.0)</f>
        <v>220</v>
      </c>
      <c r="P29" s="51">
        <f t="shared" ref="P29:Q29" si="137">IFERROR(L29/N29,"-")</f>
        <v>17.6</v>
      </c>
      <c r="Q29" s="51">
        <f t="shared" si="137"/>
        <v>7.695454545</v>
      </c>
      <c r="R29" s="9">
        <f>IFERROR(__xludf.DUMMYFUNCTION("IFERROR(
  VLOOKUP(
    A29,
    IMPORTRANGE(
      ""1ZHMy3vVUd_0MrSduXTe1etBb1HNpAlGwQr006ljwMiM"",
      ""GSC最新!A:R""
    ),
    8,
    FALSE
  ),
  0
)
"),0.002066115702479339)</f>
        <v>0.002066115702</v>
      </c>
      <c r="S29" s="9">
        <f>IFERROR(__xludf.DUMMYFUNCTION("IFERROR(
  VLOOKUP(
    A29,
    IMPORTRANGE(
      ""1ZHMy3vVUd_0MrSduXTe1etBb1HNpAlGwQr006ljwMiM"",
      ""GSC最新!A:R""
    ),
    11,
    FALSE
  ),
  0
)
"),0.0029533372711163615)</f>
        <v>0.002953337271</v>
      </c>
      <c r="T29" s="9">
        <f>IFERROR(__xludf.DUMMYFUNCTION("IFERROR(
  VLOOKUP(
    A29,
    IMPORTRANGE(
      ""1ZHMy3vVUd_0MrSduXTe1etBb1HNpAlGwQr006ljwMiM"",
      ""GSC最新!A:R""
    ),
    14,
    FALSE
  ),
  0
)
"),0.01818181818181818)</f>
        <v>0.01818181818</v>
      </c>
      <c r="U29" s="9">
        <f>IFERROR(__xludf.DUMMYFUNCTION("IFERROR(
  VLOOKUP(
    A29,
    IMPORTRANGE(
      ""1ZHMy3vVUd_0MrSduXTe1etBb1HNpAlGwQr006ljwMiM"",
      ""GSC最新!A:R""
    ),
    17,
    FALSE
  ),
  0
)
"),0.004545454545454545)</f>
        <v>0.004545454545</v>
      </c>
      <c r="V29" s="9">
        <f t="shared" ref="V29:W29" si="138">IFERROR(R29-T29,"-")</f>
        <v>-0.01611570248</v>
      </c>
      <c r="W29" s="9">
        <f t="shared" si="138"/>
        <v>-0.001592117274</v>
      </c>
      <c r="X29" s="65">
        <f>IFERROR(__xludf.DUMMYFUNCTION("IFERROR(
  VLOOKUP(
    A29,
    IMPORTRANGE(
      ""1ZHMy3vVUd_0MrSduXTe1etBb1HNpAlGwQr006ljwMiM"",
      ""GSC最新!A:R""
    ),
    9,
    FALSE
  ),
  0
)
"),3.2582644628099175)</f>
        <v>3.258264463</v>
      </c>
      <c r="Y29" s="65">
        <f>IFERROR(__xludf.DUMMYFUNCTION("IFERROR(
  VLOOKUP(
    A29,
    IMPORTRANGE(
      ""1ZHMy3vVUd_0MrSduXTe1etBb1HNpAlGwQr006ljwMiM"",
      ""GSC最新!A:R""
    ),
    12,
    FALSE
  ),
  0
)
"),4.41701122268163)</f>
        <v>4.417011223</v>
      </c>
      <c r="Z29" s="65">
        <f>IFERROR(__xludf.DUMMYFUNCTION("IFERROR(
  VLOOKUP(
    A29,
    IMPORTRANGE(
      ""1ZHMy3vVUd_0MrSduXTe1etBb1HNpAlGwQr006ljwMiM"",
      ""GSC最新!A:R""
    ),
    15,
    FALSE
  ),
  0
)
"),35.2)</f>
        <v>35.2</v>
      </c>
      <c r="AA29" s="65">
        <f>IFERROR(__xludf.DUMMYFUNCTION("IFERROR(
  VLOOKUP(
    A29,
    IMPORTRANGE(
      ""1ZHMy3vVUd_0MrSduXTe1etBb1HNpAlGwQr006ljwMiM"",
      ""GSC最新!A:R""
    ),
    18,
    FALSE
  ),
  0
)
"),50.82272727272727)</f>
        <v>50.82272727</v>
      </c>
      <c r="AB29" s="65">
        <f t="shared" ref="AB29:AC29" si="139">X29-Z29</f>
        <v>-31.94173554</v>
      </c>
      <c r="AC29" s="65">
        <f t="shared" si="139"/>
        <v>-46.40571605</v>
      </c>
      <c r="AD29" s="53">
        <f>IFERROR(__xludf.DUMMYFUNCTION("IFERROR(
  VLOOKUP(
    A29,
    IMPORTRANGE(
      ""1ZHMy3vVUd_0MrSduXTe1etBb1HNpAlGwQr006ljwMiM"",
      ""GSC最新!A:F""
    ),
    6,
    FALSE
  ),
  0
)
"),46081.0)</f>
        <v>46081</v>
      </c>
      <c r="AE29" s="54">
        <f>IFERROR(__xludf.DUMMYFUNCTION("IFERROR(
  VLOOKUP(
    A29,
    IMPORTRANGE(
      ""1SCYQd7_cobOYqT0r_F0IqD4tE4rYn5y8Eup4PJTH8es"",
      ""Snapshot!A:M""
    ),
    5,
    FALSE
  ),
  ""-""
)
"),1.0)</f>
        <v>1</v>
      </c>
      <c r="AF29" s="54">
        <f>IFERROR(__xludf.DUMMYFUNCTION("IFERROR(
  VLOOKUP(
    A29,
    IMPORTRANGE(
      ""1SCYQd7_cobOYqT0r_F0IqD4tE4rYn5y8Eup4PJTH8es"",
      ""Snapshot!A:M""
    ),
    6,
    FALSE
  ),
  0
)
"),0.0)</f>
        <v>0</v>
      </c>
      <c r="AG29" s="54">
        <f>IFERROR(__xludf.DUMMYFUNCTION("IFERROR(
  VLOOKUP(
    A29,
    IMPORTRANGE(
      ""1SCYQd7_cobOYqT0r_F0IqD4tE4rYn5y8Eup4PJTH8es"",
      ""Snapshot!A:M""
    ),
    7,
    FALSE
  ),
  0
)
"),1461.0)</f>
        <v>1461</v>
      </c>
      <c r="AH29" s="54">
        <f>IFERROR(__xludf.DUMMYFUNCTION("IFERROR(
  VLOOKUP(
    A29,
    IMPORTRANGE(
      ""1SCYQd7_cobOYqT0r_F0IqD4tE4rYn5y8Eup4PJTH8es"",
      ""Snapshot!A:M""
    ),
    8,
    FALSE
  ),
  0
)
"),31.0)</f>
        <v>31</v>
      </c>
      <c r="AI29" s="54">
        <f>IFERROR(__xludf.DUMMYFUNCTION("IFERROR(
  VLOOKUP(
    A29,
    IMPORTRANGE(
      ""1SCYQd7_cobOYqT0r_F0IqD4tE4rYn5y8Eup4PJTH8es"",
      ""Snapshot!A:M""
    ),
    9,
    FALSE
  ),
  0
)
"),0.0)</f>
        <v>0</v>
      </c>
      <c r="AJ29" s="54">
        <f>IFERROR(__xludf.DUMMYFUNCTION("IFERROR(
  VLOOKUP(
    A29,
    IMPORTRANGE(
      ""1SCYQd7_cobOYqT0r_F0IqD4tE4rYn5y8Eup4PJTH8es"",
      ""Snapshot!A:M""
    ),
    13,
    FALSE
  ),
  0
)
"),2.0)</f>
        <v>2</v>
      </c>
      <c r="AK29" s="49">
        <f t="shared" ref="AK29:AL29" si="140">LEN(C29)</f>
        <v>21</v>
      </c>
      <c r="AL29" s="49">
        <f t="shared" si="140"/>
        <v>41</v>
      </c>
    </row>
    <row r="30">
      <c r="A30" s="3" t="s">
        <v>742</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"),"中高一貫校 英語 落ちこぼれ｜立て直し3手順｜中学生・保護者向け")</f>
        <v>中高一貫校 英語 落ちこぼれ｜立て直し3手順｜中学生・保護者向け</v>
      </c>
      <c r="D30" s="1" t="str">
        <f>IFERROR(__xludf.DUMMYFUNCTION("IFERROR(
  VLOOKUP(
    A30,
    IMPORTRANGE(
      ""1ZygntHC1J6IxzKbTidmOyf5nUyW4GCLurHCjexrLm_o        "",
      ""HTMLキャッシュ!A:F""
    ),
    6,
    FALSE
  ),
  0
)
"),"中高一貫校で英語が落ちこぼれ始めた中学生・保護者向け。中だるみ・基礎抜け・授業スピードの崩れを整理し、基礎固め→予習→授業→復習で立て直す手順を具体化。オンライン1対1も対応。")</f>
        <v>中高一貫校で英語が落ちこぼれ始めた中学生・保護者向け。中だるみ・基礎抜け・授業スピードの崩れを整理し、基礎固め→予習→授業→復習で立て直す手順を具体化。オンライン1対1も対応。</v>
      </c>
      <c r="E30" s="32">
        <f>IFERROR(__xludf.DUMMYFUNCTION("IFERROR(
  VLOOKUP(
    A30,
    IMPORTRANGE(
      ""1ZygntHC1J6IxzKbTidmOyf5nUyW4GCLurHCjexrLm_o        "",
      ""HTMLキャッシュ!A:F""
    ),
    3,
    FALSE
  ),
  0
)
"),46069.75414351852)</f>
        <v>46069.75414</v>
      </c>
      <c r="F30" s="49">
        <f>IFERROR(__xludf.DUMMYFUNCTION("IFERROR(
  VLOOKUP(
    A30,
    IMPORTRANGE(
      ""1ZHMy3vVUd_0MrSduXTe1etBb1HNpAlGwQr006ljwMiM"",
      ""GSC最新!A:F""
    ),
    2,
    FALSE
  ),
  0
)
"),4.0)</f>
        <v>4</v>
      </c>
      <c r="G30" s="49">
        <f>IFERROR(__xludf.DUMMYFUNCTION("IFERROR(
  VLOOKUP(
    A30,
    IMPORTRANGE(
      ""1ZHMy3vVUd_0MrSduXTe1etBb1HNpAlGwQr006ljwMiM"",
      ""GSC最新!A:F""
    ),
    3,
    FALSE
  ),
  0
)
"),5.0)</f>
        <v>5</v>
      </c>
      <c r="H30" s="49">
        <f>IFERROR(__xludf.DUMMYFUNCTION("IFERROR(
  VLOOKUP(
    A30,
    IMPORTRANGE(
      ""1ZHMy3vVUd_0MrSduXTe1etBb1HNpAlGwQr006ljwMiM"",
      ""GSC最新!A:F""
    ),
    4,
    FALSE
  ),
  0
)
"),3.0)</f>
        <v>3</v>
      </c>
      <c r="I30" s="49">
        <f>IFERROR(__xludf.DUMMYFUNCTION("IFERROR(
  VLOOKUP(
    A30,
    IMPORTRANGE(
      ""1ZHMy3vVUd_0MrSduXTe1etBb1HNpAlGwQr006ljwMiM"",
      ""GSC最新!A:F""
    ),
    5,
    FALSE
  ),
  0
)
"),5.0)</f>
        <v>5</v>
      </c>
      <c r="J30" s="50">
        <f t="shared" ref="J30:K30" si="141">IFERROR(F30/H30,"-")</f>
        <v>1.333333333</v>
      </c>
      <c r="K30" s="50">
        <f t="shared" si="141"/>
        <v>1</v>
      </c>
      <c r="L30" s="6">
        <f>IFERROR(__xludf.DUMMYFUNCTION("IFERROR(
  VLOOKUP(
    A30,
    IMPORTRANGE(
      ""1ZHMy3vVUd_0MrSduXTe1etBb1HNpAlGwQr006ljwMiM"",
      ""GSC最新!A:R""
    ),
    7,
    FALSE
  ),
  0
)
"),223.0)</f>
        <v>223</v>
      </c>
      <c r="M30" s="6">
        <f>IFERROR(__xludf.DUMMYFUNCTION("IFERROR(
  VLOOKUP(
    A30,
    IMPORTRANGE(
      ""1ZHMy3vVUd_0MrSduXTe1etBb1HNpAlGwQr006ljwMiM"",
      ""GSC最新!A:R""
    ),
    10,
    FALSE
  ),
  0
)
"),418.0)</f>
        <v>418</v>
      </c>
      <c r="N30" s="6">
        <f>IFERROR(__xludf.DUMMYFUNCTION("IFERROR(
  VLOOKUP(
    A30,
    IMPORTRANGE(
      ""1ZHMy3vVUd_0MrSduXTe1etBb1HNpAlGwQr006ljwMiM"",
      ""GSC最新!A:R""
    ),
    13,
    FALSE
  ),
  0
)
"),442.0)</f>
        <v>442</v>
      </c>
      <c r="O30" s="6">
        <f>IFERROR(__xludf.DUMMYFUNCTION("IFERROR(
  VLOOKUP(
    A30,
    IMPORTRANGE(
      ""1ZHMy3vVUd_0MrSduXTe1etBb1HNpAlGwQr006ljwMiM"",
      ""GSC最新!A:R""
    ),
    16,
    FALSE
  ),
  0
)
"),940.0)</f>
        <v>940</v>
      </c>
      <c r="P30" s="51">
        <f t="shared" ref="P30:Q30" si="142">IFERROR(L30/N30,"-")</f>
        <v>0.5045248869</v>
      </c>
      <c r="Q30" s="51">
        <f t="shared" si="142"/>
        <v>0.4446808511</v>
      </c>
      <c r="R30" s="9">
        <f>IFERROR(__xludf.DUMMYFUNCTION("IFERROR(
  VLOOKUP(
    A30,
    IMPORTRANGE(
      ""1ZHMy3vVUd_0MrSduXTe1etBb1HNpAlGwQr006ljwMiM"",
      ""GSC最新!A:R""
    ),
    8,
    FALSE
  ),
  0
)
"),0.017937219730941704)</f>
        <v>0.01793721973</v>
      </c>
      <c r="S30" s="9">
        <f>IFERROR(__xludf.DUMMYFUNCTION("IFERROR(
  VLOOKUP(
    A30,
    IMPORTRANGE(
      ""1ZHMy3vVUd_0MrSduXTe1etBb1HNpAlGwQr006ljwMiM"",
      ""GSC最新!A:R""
    ),
    11,
    FALSE
  ),
  0
)
"),0.011961722488038277)</f>
        <v>0.01196172249</v>
      </c>
      <c r="T30" s="9">
        <f>IFERROR(__xludf.DUMMYFUNCTION("IFERROR(
  VLOOKUP(
    A30,
    IMPORTRANGE(
      ""1ZHMy3vVUd_0MrSduXTe1etBb1HNpAlGwQr006ljwMiM"",
      ""GSC最新!A:R""
    ),
    14,
    FALSE
  ),
  0
)
"),0.006787330316742082)</f>
        <v>0.006787330317</v>
      </c>
      <c r="U30" s="9">
        <f>IFERROR(__xludf.DUMMYFUNCTION("IFERROR(
  VLOOKUP(
    A30,
    IMPORTRANGE(
      ""1ZHMy3vVUd_0MrSduXTe1etBb1HNpAlGwQr006ljwMiM"",
      ""GSC最新!A:R""
    ),
    17,
    FALSE
  ),
  0
)
"),0.005319148936170213)</f>
        <v>0.005319148936</v>
      </c>
      <c r="V30" s="9">
        <f t="shared" ref="V30:W30" si="143">IFERROR(R30-T30,"-")</f>
        <v>0.01114988941</v>
      </c>
      <c r="W30" s="9">
        <f t="shared" si="143"/>
        <v>0.006642573552</v>
      </c>
      <c r="X30" s="65">
        <f>IFERROR(__xludf.DUMMYFUNCTION("IFERROR(
  VLOOKUP(
    A30,
    IMPORTRANGE(
      ""1ZHMy3vVUd_0MrSduXTe1etBb1HNpAlGwQr006ljwMiM"",
      ""GSC最新!A:R""
    ),
    9,
    FALSE
  ),
  0
)
"),13.022421524663677)</f>
        <v>13.02242152</v>
      </c>
      <c r="Y30" s="65">
        <f>IFERROR(__xludf.DUMMYFUNCTION("IFERROR(
  VLOOKUP(
    A30,
    IMPORTRANGE(
      ""1ZHMy3vVUd_0MrSduXTe1etBb1HNpAlGwQr006ljwMiM"",
      ""GSC最新!A:R""
    ),
    12,
    FALSE
  ),
  0
)
"),15.222488038277511)</f>
        <v>15.22248804</v>
      </c>
      <c r="Z30" s="65">
        <f>IFERROR(__xludf.DUMMYFUNCTION("IFERROR(
  VLOOKUP(
    A30,
    IMPORTRANGE(
      ""1ZHMy3vVUd_0MrSduXTe1etBb1HNpAlGwQr006ljwMiM"",
      ""GSC最新!A:R""
    ),
    15,
    FALSE
  ),
  0
)
"),57.744343891402714)</f>
        <v>57.74434389</v>
      </c>
      <c r="AA30" s="65">
        <f>IFERROR(__xludf.DUMMYFUNCTION("IFERROR(
  VLOOKUP(
    A30,
    IMPORTRANGE(
      ""1ZHMy3vVUd_0MrSduXTe1etBb1HNpAlGwQr006ljwMiM"",
      ""GSC最新!A:R""
    ),
    18,
    FALSE
  ),
  0
)
"),53.113829787234046)</f>
        <v>53.11382979</v>
      </c>
      <c r="AB30" s="65">
        <f t="shared" ref="AB30:AC30" si="144">X30-Z30</f>
        <v>-44.72192237</v>
      </c>
      <c r="AC30" s="65">
        <f t="shared" si="144"/>
        <v>-37.89134175</v>
      </c>
      <c r="AD30" s="53">
        <f>IFERROR(__xludf.DUMMYFUNCTION("IFERROR(
  VLOOKUP(
    A30,
    IMPORTRANGE(
      ""1ZHMy3vVUd_0MrSduXTe1etBb1HNpAlGwQr006ljwMiM"",
      ""GSC最新!A:F""
    ),
    6,
    FALSE
  ),
  0
)
"),46081.0)</f>
        <v>46081</v>
      </c>
      <c r="AE30" s="54">
        <f>IFERROR(__xludf.DUMMYFUNCTION("IFERROR(
  VLOOKUP(
    A30,
    IMPORTRANGE(
      ""1SCYQd7_cobOYqT0r_F0IqD4tE4rYn5y8Eup4PJTH8es"",
      ""Snapshot!A:M""
    ),
    5,
    FALSE
  ),
  ""-""
)
"),6.0)</f>
        <v>6</v>
      </c>
      <c r="AF30" s="54">
        <f>IFERROR(__xludf.DUMMYFUNCTION("IFERROR(
  VLOOKUP(
    A30,
    IMPORTRANGE(
      ""1SCYQd7_cobOYqT0r_F0IqD4tE4rYn5y8Eup4PJTH8es"",
      ""Snapshot!A:M""
    ),
    6,
    FALSE
  ),
  0
)
"),11.0)</f>
        <v>11</v>
      </c>
      <c r="AG30" s="54">
        <f>IFERROR(__xludf.DUMMYFUNCTION("IFERROR(
  VLOOKUP(
    A30,
    IMPORTRANGE(
      ""1SCYQd7_cobOYqT0r_F0IqD4tE4rYn5y8Eup4PJTH8es"",
      ""Snapshot!A:M""
    ),
    7,
    FALSE
  ),
  0
)
"),3349.0)</f>
        <v>3349</v>
      </c>
      <c r="AH30" s="54">
        <f>IFERROR(__xludf.DUMMYFUNCTION("IFERROR(
  VLOOKUP(
    A30,
    IMPORTRANGE(
      ""1SCYQd7_cobOYqT0r_F0IqD4tE4rYn5y8Eup4PJTH8es"",
      ""Snapshot!A:M""
    ),
    8,
    FALSE
  ),
  0
)
"),7.0)</f>
        <v>7</v>
      </c>
      <c r="AI30" s="54">
        <f>IFERROR(__xludf.DUMMYFUNCTION("IFERROR(
  VLOOKUP(
    A30,
    IMPORTRANGE(
      ""1SCYQd7_cobOYqT0r_F0IqD4tE4rYn5y8Eup4PJTH8es"",
      ""Snapshot!A:M""
    ),
    9,
    FALSE
  ),
  0
)
"),2.0)</f>
        <v>2</v>
      </c>
      <c r="AJ30" s="54">
        <f>IFERROR(__xludf.DUMMYFUNCTION("IFERROR(
  VLOOKUP(
    A30,
    IMPORTRANGE(
      ""1SCYQd7_cobOYqT0r_F0IqD4tE4rYn5y8Eup4PJTH8es"",
      ""Snapshot!A:M""
    ),
    13,
    FALSE
  ),
  0
)
"),2.0)</f>
        <v>2</v>
      </c>
      <c r="AK30" s="49">
        <f t="shared" ref="AK30:AL30" si="145">LEN(C30)</f>
        <v>32</v>
      </c>
      <c r="AL30" s="49">
        <f t="shared" si="145"/>
        <v>88</v>
      </c>
    </row>
    <row r="31">
      <c r="A31" s="3" t="s">
        <v>743</v>
      </c>
      <c r="B31" s="1" t="str">
        <f>IFERROR(__xludf.DUMMYFUNCTION("IFERROR(
  VLOOKUP(
    A31,
    IMPORTRANGE(
      ""1ZygntHC1J6IxzKbTidmOyf5nUyW4GCLurHCjexrLm_o"",
      ""HTMLキャッシュ!A:F""
    ),
    2,
    FALSE
  ),
  0
)
"),"SC")</f>
        <v>SC</v>
      </c>
      <c r="C31" s="1" t="str">
        <f>IFERROR(__xludf.DUMMYFUNCTION("IFERROR(
  VLOOKUP(
    A31,
    IMPORTRANGE(
      ""1ZygntHC1J6IxzKbTidmOyf5nUyW4GCLurHCjexrLm_o"",
      ""HTMLキャッシュ!A:F""
    ),
    5,
    FALSE
  ),
  0
)
"),"数学が極端に苦手な人へ イメージ力で克服する方法")</f>
        <v>数学が極端に苦手な人へ イメージ力で克服する方法</v>
      </c>
      <c r="D31" s="1" t="str">
        <f>IFERROR(__xludf.DUMMYFUNCTION("IFERROR(
  VLOOKUP(
    A31,
    IMPORTRANGE(
      ""1ZygntHC1J6IxzKbTidmOyf5nUyW4GCLurHCjexrLm_o        "",
      ""HTMLキャッシュ!A:F""
    ),
    6,
    FALSE
  ),
  0
)
"),"数学が極端に苦手な中高生へ。文章題で止まる原因を整理し、数値・関係・制約を図表→式へつなげる練習。")</f>
        <v>数学が極端に苦手な中高生へ。文章題で止まる原因を整理し、数値・関係・制約を図表→式へつなげる練習。</v>
      </c>
      <c r="E31" s="32">
        <f>IFERROR(__xludf.DUMMYFUNCTION("IFERROR(
  VLOOKUP(
    A31,
    IMPORTRANGE(
      ""1ZygntHC1J6IxzKbTidmOyf5nUyW4GCLurHCjexrLm_o        "",
      ""HTMLキャッシュ!A:F""
    ),
    3,
    FALSE
  ),
  0
)
"),46077.78408564815)</f>
        <v>46077.78409</v>
      </c>
      <c r="F31" s="49">
        <f>IFERROR(__xludf.DUMMYFUNCTION("IFERROR(
  VLOOKUP(
    A31,
    IMPORTRANGE(
      ""1ZHMy3vVUd_0MrSduXTe1etBb1HNpAlGwQr006ljwMiM"",
      ""GSC最新!A:F""
    ),
    2,
    FALSE
  ),
  0
)
"),1.0)</f>
        <v>1</v>
      </c>
      <c r="G31" s="49">
        <f>IFERROR(__xludf.DUMMYFUNCTION("IFERROR(
  VLOOKUP(
    A31,
    IMPORTRANGE(
      ""1ZHMy3vVUd_0MrSduXTe1etBb1HNpAlGwQr006ljwMiM"",
      ""GSC最新!A:F""
    ),
    3,
    FALSE
  ),
  0
)
"),5.0)</f>
        <v>5</v>
      </c>
      <c r="H31" s="49">
        <f>IFERROR(__xludf.DUMMYFUNCTION("IFERROR(
  VLOOKUP(
    A31,
    IMPORTRANGE(
      ""1ZHMy3vVUd_0MrSduXTe1etBb1HNpAlGwQr006ljwMiM"",
      ""GSC最新!A:F""
    ),
    4,
    FALSE
  ),
  0
)
"),15.0)</f>
        <v>15</v>
      </c>
      <c r="I31" s="49">
        <f>IFERROR(__xludf.DUMMYFUNCTION("IFERROR(
  VLOOKUP(
    A31,
    IMPORTRANGE(
      ""1ZHMy3vVUd_0MrSduXTe1etBb1HNpAlGwQr006ljwMiM"",
      ""GSC最新!A:F""
    ),
    5,
    FALSE
  ),
  0
)
"),32.0)</f>
        <v>32</v>
      </c>
      <c r="J31" s="50">
        <f t="shared" ref="J31:K31" si="146">IFERROR(F31/H31,"-")</f>
        <v>0.06666666667</v>
      </c>
      <c r="K31" s="50">
        <f t="shared" si="146"/>
        <v>0.15625</v>
      </c>
      <c r="L31" s="6">
        <f>IFERROR(__xludf.DUMMYFUNCTION("IFERROR(
  VLOOKUP(
    A31,
    IMPORTRANGE(
      ""1ZHMy3vVUd_0MrSduXTe1etBb1HNpAlGwQr006ljwMiM"",
      ""GSC最新!A:R""
    ),
    7,
    FALSE
  ),
  0
)
"),289.0)</f>
        <v>289</v>
      </c>
      <c r="M31" s="6">
        <f>IFERROR(__xludf.DUMMYFUNCTION("IFERROR(
  VLOOKUP(
    A31,
    IMPORTRANGE(
      ""1ZHMy3vVUd_0MrSduXTe1etBb1HNpAlGwQr006ljwMiM"",
      ""GSC最新!A:R""
    ),
    10,
    FALSE
  ),
  0
)
"),467.0)</f>
        <v>467</v>
      </c>
      <c r="N31" s="6">
        <f>IFERROR(__xludf.DUMMYFUNCTION("IFERROR(
  VLOOKUP(
    A31,
    IMPORTRANGE(
      ""1ZHMy3vVUd_0MrSduXTe1etBb1HNpAlGwQr006ljwMiM"",
      ""GSC最新!A:R""
    ),
    13,
    FALSE
  ),
  0
)
"),125.0)</f>
        <v>125</v>
      </c>
      <c r="O31" s="6">
        <f>IFERROR(__xludf.DUMMYFUNCTION("IFERROR(
  VLOOKUP(
    A31,
    IMPORTRANGE(
      ""1ZHMy3vVUd_0MrSduXTe1etBb1HNpAlGwQr006ljwMiM"",
      ""GSC最新!A:R""
    ),
    16,
    FALSE
  ),
  0
)
"),354.0)</f>
        <v>354</v>
      </c>
      <c r="P31" s="51">
        <f t="shared" ref="P31:Q31" si="147">IFERROR(L31/N31,"-")</f>
        <v>2.312</v>
      </c>
      <c r="Q31" s="51">
        <f t="shared" si="147"/>
        <v>1.31920904</v>
      </c>
      <c r="R31" s="9">
        <f>IFERROR(__xludf.DUMMYFUNCTION("IFERROR(
  VLOOKUP(
    A31,
    IMPORTRANGE(
      ""1ZHMy3vVUd_0MrSduXTe1etBb1HNpAlGwQr006ljwMiM"",
      ""GSC最新!A:R""
    ),
    8,
    FALSE
  ),
  0
)
"),0.0034602076124567475)</f>
        <v>0.003460207612</v>
      </c>
      <c r="S31" s="9">
        <f>IFERROR(__xludf.DUMMYFUNCTION("IFERROR(
  VLOOKUP(
    A31,
    IMPORTRANGE(
      ""1ZHMy3vVUd_0MrSduXTe1etBb1HNpAlGwQr006ljwMiM"",
      ""GSC最新!A:R""
    ),
    11,
    FALSE
  ),
  0
)
"),0.010706638115631691)</f>
        <v>0.01070663812</v>
      </c>
      <c r="T31" s="9">
        <f>IFERROR(__xludf.DUMMYFUNCTION("IFERROR(
  VLOOKUP(
    A31,
    IMPORTRANGE(
      ""1ZHMy3vVUd_0MrSduXTe1etBb1HNpAlGwQr006ljwMiM"",
      ""GSC最新!A:R""
    ),
    14,
    FALSE
  ),
  0
)
"),0.12)</f>
        <v>0.12</v>
      </c>
      <c r="U31" s="9">
        <f>IFERROR(__xludf.DUMMYFUNCTION("IFERROR(
  VLOOKUP(
    A31,
    IMPORTRANGE(
      ""1ZHMy3vVUd_0MrSduXTe1etBb1HNpAlGwQr006ljwMiM"",
      ""GSC最新!A:R""
    ),
    17,
    FALSE
  ),
  0
)
"),0.0903954802259887)</f>
        <v>0.09039548023</v>
      </c>
      <c r="V31" s="9">
        <f t="shared" ref="V31:W31" si="148">IFERROR(R31-T31,"-")</f>
        <v>-0.1165397924</v>
      </c>
      <c r="W31" s="9">
        <f t="shared" si="148"/>
        <v>-0.07968884211</v>
      </c>
      <c r="X31" s="65">
        <f>IFERROR(__xludf.DUMMYFUNCTION("IFERROR(
  VLOOKUP(
    A31,
    IMPORTRANGE(
      ""1ZHMy3vVUd_0MrSduXTe1etBb1HNpAlGwQr006ljwMiM"",
      ""GSC最新!A:R""
    ),
    9,
    FALSE
  ),
  0
)
"),3.8027681660899653)</f>
        <v>3.802768166</v>
      </c>
      <c r="Y31" s="65">
        <f>IFERROR(__xludf.DUMMYFUNCTION("IFERROR(
  VLOOKUP(
    A31,
    IMPORTRANGE(
      ""1ZHMy3vVUd_0MrSduXTe1etBb1HNpAlGwQr006ljwMiM"",
      ""GSC最新!A:R""
    ),
    12,
    FALSE
  ),
  0
)
"),3.9571734475374734)</f>
        <v>3.957173448</v>
      </c>
      <c r="Z31" s="65">
        <f>IFERROR(__xludf.DUMMYFUNCTION("IFERROR(
  VLOOKUP(
    A31,
    IMPORTRANGE(
      ""1ZHMy3vVUd_0MrSduXTe1etBb1HNpAlGwQr006ljwMiM"",
      ""GSC最新!A:R""
    ),
    15,
    FALSE
  ),
  0
)
"),45.648)</f>
        <v>45.648</v>
      </c>
      <c r="AA31" s="65">
        <f>IFERROR(__xludf.DUMMYFUNCTION("IFERROR(
  VLOOKUP(
    A31,
    IMPORTRANGE(
      ""1ZHMy3vVUd_0MrSduXTe1etBb1HNpAlGwQr006ljwMiM"",
      ""GSC最新!A:R""
    ),
    18,
    FALSE
  ),
  0
)
"),39.99717514124294)</f>
        <v>39.99717514</v>
      </c>
      <c r="AB31" s="65">
        <f t="shared" ref="AB31:AC31" si="149">X31-Z31</f>
        <v>-41.84523183</v>
      </c>
      <c r="AC31" s="65">
        <f t="shared" si="149"/>
        <v>-36.04000169</v>
      </c>
      <c r="AD31" s="53">
        <f>IFERROR(__xludf.DUMMYFUNCTION("IFERROR(
  VLOOKUP(
    A31,
    IMPORTRANGE(
      ""1ZHMy3vVUd_0MrSduXTe1etBb1HNpAlGwQr006ljwMiM"",
      ""GSC最新!A:F""
    ),
    6,
    FALSE
  ),
  0
)
"),46081.0)</f>
        <v>46081</v>
      </c>
      <c r="AE31" s="54">
        <f>IFERROR(__xludf.DUMMYFUNCTION("IFERROR(
  VLOOKUP(
    A31,
    IMPORTRANGE(
      ""1SCYQd7_cobOYqT0r_F0IqD4tE4rYn5y8Eup4PJTH8es"",
      ""Snapshot!A:M""
    ),
    5,
    FALSE
  ),
  ""-""
)
"),5.0)</f>
        <v>5</v>
      </c>
      <c r="AF31" s="54">
        <f>IFERROR(__xludf.DUMMYFUNCTION("IFERROR(
  VLOOKUP(
    A31,
    IMPORTRANGE(
      ""1SCYQd7_cobOYqT0r_F0IqD4tE4rYn5y8Eup4PJTH8es"",
      ""Snapshot!A:M""
    ),
    6,
    FALSE
  ),
  0
)
"),3.0)</f>
        <v>3</v>
      </c>
      <c r="AG31" s="54">
        <f>IFERROR(__xludf.DUMMYFUNCTION("IFERROR(
  VLOOKUP(
    A31,
    IMPORTRANGE(
      ""1SCYQd7_cobOYqT0r_F0IqD4tE4rYn5y8Eup4PJTH8es"",
      ""Snapshot!A:M""
    ),
    7,
    FALSE
  ),
  0
)
"),2710.0)</f>
        <v>2710</v>
      </c>
      <c r="AH31" s="54">
        <f>IFERROR(__xludf.DUMMYFUNCTION("IFERROR(
  VLOOKUP(
    A31,
    IMPORTRANGE(
      ""1SCYQd7_cobOYqT0r_F0IqD4tE4rYn5y8Eup4PJTH8es"",
      ""Snapshot!A:M""
    ),
    8,
    FALSE
  ),
  0
)
"),27.0)</f>
        <v>27</v>
      </c>
      <c r="AI31" s="54">
        <f>IFERROR(__xludf.DUMMYFUNCTION("IFERROR(
  VLOOKUP(
    A31,
    IMPORTRANGE(
      ""1SCYQd7_cobOYqT0r_F0IqD4tE4rYn5y8Eup4PJTH8es"",
      ""Snapshot!A:M""
    ),
    9,
    FALSE
  ),
  0
)
"),0.0)</f>
        <v>0</v>
      </c>
      <c r="AJ31" s="54">
        <f>IFERROR(__xludf.DUMMYFUNCTION("IFERROR(
  VLOOKUP(
    A31,
    IMPORTRANGE(
      ""1SCYQd7_cobOYqT0r_F0IqD4tE4rYn5y8Eup4PJTH8es"",
      ""Snapshot!A:M""
    ),
    13,
    FALSE
  ),
  0
)
"),2.0)</f>
        <v>2</v>
      </c>
      <c r="AK31" s="49">
        <f t="shared" ref="AK31:AL31" si="150">LEN(C31)</f>
        <v>24</v>
      </c>
      <c r="AL31" s="49">
        <f t="shared" si="150"/>
        <v>49</v>
      </c>
    </row>
    <row r="32">
      <c r="A32" s="3" t="s">
        <v>177</v>
      </c>
      <c r="B32" s="1" t="str">
        <f>IFERROR(__xludf.DUMMYFUNCTION("IFERROR(
  VLOOKUP(
    A32,
    IMPORTRANGE(
      ""1ZygntHC1J6IxzKbTidmOyf5nUyW4GCLurHCjexrLm_o"",
      ""HTMLキャッシュ!A:F""
    ),
    2,
    FALSE
  ),
  0
)
"),"-")</f>
        <v>-</v>
      </c>
      <c r="C32" s="1" t="str">
        <f>IFERROR(__xludf.DUMMYFUNCTION("IFERROR(
  VLOOKUP(
    A32,
    IMPORTRANGE(
      ""1ZygntHC1J6IxzKbTidmOyf5nUyW4GCLurHCjexrLm_o"",
      ""HTMLキャッシュ!A:F""
    ),
    5,
    FALSE
  ),
  0
)
"),"中高一貫校の英語教科書対策｜定期試験・授業フォローを完全1対1で｜中高一貫生")</f>
        <v>中高一貫校の英語教科書対策｜定期試験・授業フォローを完全1対1で｜中高一貫生</v>
      </c>
      <c r="D32" s="1" t="str">
        <f>IFERROR(__xludf.DUMMYFUNCTION("IFERROR(
  VLOOKUP(
    A32,
    IMPORTRANGE(
      ""1ZygntHC1J6IxzKbTidmOyf5nUyW4GCLurHCjexrLm_o        "",
      ""HTMLキャッシュ!A:F""
    ),
    6,
    FALSE
  ),
  0
)
"),"中高一貫校の英語は進度が速く、教科書の語彙・構文・文法が噛み合わないまま定期試験を迎えがちです。エスコットは完全1対1で、授業フォロー/先取り/2週間の試験対策を目的別に設計。オンラインも対応。学習状況の相談から始められます。")</f>
        <v>中高一貫校の英語は進度が速く、教科書の語彙・構文・文法が噛み合わないまま定期試験を迎えがちです。エスコットは完全1対1で、授業フォロー/先取り/2週間の試験対策を目的別に設計。オンラインも対応。学習状況の相談から始められます。</v>
      </c>
      <c r="E32" s="32">
        <f>IFERROR(__xludf.DUMMYFUNCTION("IFERROR(
  VLOOKUP(
    A32,
    IMPORTRANGE(
      ""1ZygntHC1J6IxzKbTidmOyf5nUyW4GCLurHCjexrLm_o        "",
      ""HTMLキャッシュ!A:F""
    ),
    3,
    FALSE
  ),
  0
)
"),46080.694398148145)</f>
        <v>46080.6944</v>
      </c>
      <c r="F32" s="49">
        <f>IFERROR(__xludf.DUMMYFUNCTION("IFERROR(
  VLOOKUP(
    A32,
    IMPORTRANGE(
      ""1ZHMy3vVUd_0MrSduXTe1etBb1HNpAlGwQr006ljwMiM"",
      ""GSC最新!A:F""
    ),
    2,
    FALSE
  ),
  0
)
"),5.0)</f>
        <v>5</v>
      </c>
      <c r="G32" s="49">
        <f>IFERROR(__xludf.DUMMYFUNCTION("IFERROR(
  VLOOKUP(
    A32,
    IMPORTRANGE(
      ""1ZHMy3vVUd_0MrSduXTe1etBb1HNpAlGwQr006ljwMiM"",
      ""GSC最新!A:F""
    ),
    3,
    FALSE
  ),
  0
)
"),5.0)</f>
        <v>5</v>
      </c>
      <c r="H32" s="49">
        <f>IFERROR(__xludf.DUMMYFUNCTION("IFERROR(
  VLOOKUP(
    A32,
    IMPORTRANGE(
      ""1ZHMy3vVUd_0MrSduXTe1etBb1HNpAlGwQr006ljwMiM"",
      ""GSC最新!A:F""
    ),
    4,
    FALSE
  ),
  0
)
"),2.0)</f>
        <v>2</v>
      </c>
      <c r="I32" s="49">
        <f>IFERROR(__xludf.DUMMYFUNCTION("IFERROR(
  VLOOKUP(
    A32,
    IMPORTRANGE(
      ""1ZHMy3vVUd_0MrSduXTe1etBb1HNpAlGwQr006ljwMiM"",
      ""GSC最新!A:F""
    ),
    5,
    FALSE
  ),
  0
)
"),3.0)</f>
        <v>3</v>
      </c>
      <c r="J32" s="50">
        <f t="shared" ref="J32:K32" si="151">IFERROR(F32/H32,"-")</f>
        <v>2.5</v>
      </c>
      <c r="K32" s="50">
        <f t="shared" si="151"/>
        <v>1.666666667</v>
      </c>
      <c r="L32" s="6">
        <f>IFERROR(__xludf.DUMMYFUNCTION("IFERROR(
  VLOOKUP(
    A32,
    IMPORTRANGE(
      ""1ZHMy3vVUd_0MrSduXTe1etBb1HNpAlGwQr006ljwMiM"",
      ""GSC最新!A:R""
    ),
    7,
    FALSE
  ),
  0
)
"),180.0)</f>
        <v>180</v>
      </c>
      <c r="M32" s="6">
        <f>IFERROR(__xludf.DUMMYFUNCTION("IFERROR(
  VLOOKUP(
    A32,
    IMPORTRANGE(
      ""1ZHMy3vVUd_0MrSduXTe1etBb1HNpAlGwQr006ljwMiM"",
      ""GSC最新!A:R""
    ),
    10,
    FALSE
  ),
  0
)
"),280.0)</f>
        <v>280</v>
      </c>
      <c r="N32" s="6">
        <f>IFERROR(__xludf.DUMMYFUNCTION("IFERROR(
  VLOOKUP(
    A32,
    IMPORTRANGE(
      ""1ZHMy3vVUd_0MrSduXTe1etBb1HNpAlGwQr006ljwMiM"",
      ""GSC最新!A:R""
    ),
    13,
    FALSE
  ),
  0
)
"),126.0)</f>
        <v>126</v>
      </c>
      <c r="O32" s="6">
        <f>IFERROR(__xludf.DUMMYFUNCTION("IFERROR(
  VLOOKUP(
    A32,
    IMPORTRANGE(
      ""1ZHMy3vVUd_0MrSduXTe1etBb1HNpAlGwQr006ljwMiM"",
      ""GSC最新!A:R""
    ),
    16,
    FALSE
  ),
  0
)
"),183.0)</f>
        <v>183</v>
      </c>
      <c r="P32" s="51">
        <f t="shared" ref="P32:Q32" si="152">IFERROR(L32/N32,"-")</f>
        <v>1.428571429</v>
      </c>
      <c r="Q32" s="51">
        <f t="shared" si="152"/>
        <v>1.530054645</v>
      </c>
      <c r="R32" s="9">
        <f>IFERROR(__xludf.DUMMYFUNCTION("IFERROR(
  VLOOKUP(
    A32,
    IMPORTRANGE(
      ""1ZHMy3vVUd_0MrSduXTe1etBb1HNpAlGwQr006ljwMiM"",
      ""GSC最新!A:R""
    ),
    8,
    FALSE
  ),
  0
)
"),0.027777777777777776)</f>
        <v>0.02777777778</v>
      </c>
      <c r="S32" s="9">
        <f>IFERROR(__xludf.DUMMYFUNCTION("IFERROR(
  VLOOKUP(
    A32,
    IMPORTRANGE(
      ""1ZHMy3vVUd_0MrSduXTe1etBb1HNpAlGwQr006ljwMiM"",
      ""GSC最新!A:R""
    ),
    11,
    FALSE
  ),
  0
)
"),0.017857142857142856)</f>
        <v>0.01785714286</v>
      </c>
      <c r="T32" s="9">
        <f>IFERROR(__xludf.DUMMYFUNCTION("IFERROR(
  VLOOKUP(
    A32,
    IMPORTRANGE(
      ""1ZHMy3vVUd_0MrSduXTe1etBb1HNpAlGwQr006ljwMiM"",
      ""GSC最新!A:R""
    ),
    14,
    FALSE
  ),
  0
)
"),0.015873015873015872)</f>
        <v>0.01587301587</v>
      </c>
      <c r="U32" s="9">
        <f>IFERROR(__xludf.DUMMYFUNCTION("IFERROR(
  VLOOKUP(
    A32,
    IMPORTRANGE(
      ""1ZHMy3vVUd_0MrSduXTe1etBb1HNpAlGwQr006ljwMiM"",
      ""GSC最新!A:R""
    ),
    17,
    FALSE
  ),
  0
)
"),0.01639344262295082)</f>
        <v>0.01639344262</v>
      </c>
      <c r="V32" s="9">
        <f t="shared" ref="V32:W32" si="153">IFERROR(R32-T32,"-")</f>
        <v>0.0119047619</v>
      </c>
      <c r="W32" s="9">
        <f t="shared" si="153"/>
        <v>0.001463700234</v>
      </c>
      <c r="X32" s="65">
        <f>IFERROR(__xludf.DUMMYFUNCTION("IFERROR(
  VLOOKUP(
    A32,
    IMPORTRANGE(
      ""1ZHMy3vVUd_0MrSduXTe1etBb1HNpAlGwQr006ljwMiM"",
      ""GSC最新!A:R""
    ),
    9,
    FALSE
  ),
  0
)
"),4.677777777777777)</f>
        <v>4.677777778</v>
      </c>
      <c r="Y32" s="65">
        <f>IFERROR(__xludf.DUMMYFUNCTION("IFERROR(
  VLOOKUP(
    A32,
    IMPORTRANGE(
      ""1ZHMy3vVUd_0MrSduXTe1etBb1HNpAlGwQr006ljwMiM"",
      ""GSC最新!A:R""
    ),
    12,
    FALSE
  ),
  0
)
"),5.4678571428571425)</f>
        <v>5.467857143</v>
      </c>
      <c r="Z32" s="65">
        <f>IFERROR(__xludf.DUMMYFUNCTION("IFERROR(
  VLOOKUP(
    A32,
    IMPORTRANGE(
      ""1ZHMy3vVUd_0MrSduXTe1etBb1HNpAlGwQr006ljwMiM"",
      ""GSC最新!A:R""
    ),
    15,
    FALSE
  ),
  0
)
"),35.63492063492063)</f>
        <v>35.63492063</v>
      </c>
      <c r="AA32" s="65">
        <f>IFERROR(__xludf.DUMMYFUNCTION("IFERROR(
  VLOOKUP(
    A32,
    IMPORTRANGE(
      ""1ZHMy3vVUd_0MrSduXTe1etBb1HNpAlGwQr006ljwMiM"",
      ""GSC最新!A:R""
    ),
    18,
    FALSE
  ),
  0
)
"),39.01092896174863)</f>
        <v>39.01092896</v>
      </c>
      <c r="AB32" s="65">
        <f t="shared" ref="AB32:AC32" si="154">X32-Z32</f>
        <v>-30.95714286</v>
      </c>
      <c r="AC32" s="65">
        <f t="shared" si="154"/>
        <v>-33.54307182</v>
      </c>
      <c r="AD32" s="53">
        <f>IFERROR(__xludf.DUMMYFUNCTION("IFERROR(
  VLOOKUP(
    A32,
    IMPORTRANGE(
      ""1ZHMy3vVUd_0MrSduXTe1etBb1HNpAlGwQr006ljwMiM"",
      ""GSC最新!A:F""
    ),
    6,
    FALSE
  ),
  0
)
"),46081.0)</f>
        <v>46081</v>
      </c>
      <c r="AE32" s="54">
        <f>IFERROR(__xludf.DUMMYFUNCTION("IFERROR(
  VLOOKUP(
    A32,
    IMPORTRANGE(
      ""1SCYQd7_cobOYqT0r_F0IqD4tE4rYn5y8Eup4PJTH8es"",
      ""Snapshot!A:M""
    ),
    5,
    FALSE
  ),
  ""-""
)
"),12.0)</f>
        <v>12</v>
      </c>
      <c r="AF32" s="54">
        <f>IFERROR(__xludf.DUMMYFUNCTION("IFERROR(
  VLOOKUP(
    A32,
    IMPORTRANGE(
      ""1SCYQd7_cobOYqT0r_F0IqD4tE4rYn5y8Eup4PJTH8es"",
      ""Snapshot!A:M""
    ),
    6,
    FALSE
  ),
  0
)
"),8.0)</f>
        <v>8</v>
      </c>
      <c r="AG32" s="54">
        <f>IFERROR(__xludf.DUMMYFUNCTION("IFERROR(
  VLOOKUP(
    A32,
    IMPORTRANGE(
      ""1SCYQd7_cobOYqT0r_F0IqD4tE4rYn5y8Eup4PJTH8es"",
      ""Snapshot!A:M""
    ),
    7,
    FALSE
  ),
  0
)
"),5955.0)</f>
        <v>5955</v>
      </c>
      <c r="AH32" s="54">
        <f>IFERROR(__xludf.DUMMYFUNCTION("IFERROR(
  VLOOKUP(
    A32,
    IMPORTRANGE(
      ""1SCYQd7_cobOYqT0r_F0IqD4tE4rYn5y8Eup4PJTH8es"",
      ""Snapshot!A:M""
    ),
    8,
    FALSE
  ),
  0
)
"),25.0)</f>
        <v>25</v>
      </c>
      <c r="AI32" s="54">
        <f>IFERROR(__xludf.DUMMYFUNCTION("IFERROR(
  VLOOKUP(
    A32,
    IMPORTRANGE(
      ""1SCYQd7_cobOYqT0r_F0IqD4tE4rYn5y8Eup4PJTH8es"",
      ""Snapshot!A:M""
    ),
    9,
    FALSE
  ),
  0
)
"),0.0)</f>
        <v>0</v>
      </c>
      <c r="AJ32" s="54">
        <f>IFERROR(__xludf.DUMMYFUNCTION("IFERROR(
  VLOOKUP(
    A32,
    IMPORTRANGE(
      ""1SCYQd7_cobOYqT0r_F0IqD4tE4rYn5y8Eup4PJTH8es"",
      ""Snapshot!A:M""
    ),
    13,
    FALSE
  ),
  0
)
"),1.0)</f>
        <v>1</v>
      </c>
      <c r="AK32" s="49">
        <f t="shared" ref="AK32:AL32" si="155">LEN(C32)</f>
        <v>38</v>
      </c>
      <c r="AL32" s="49">
        <f t="shared" si="155"/>
        <v>113</v>
      </c>
    </row>
    <row r="33">
      <c r="A33" s="3" t="s">
        <v>744</v>
      </c>
      <c r="B33" s="1" t="str">
        <f>IFERROR(__xludf.DUMMYFUNCTION("IFERROR(
  VLOOKUP(
    A33,
    IMPORTRANGE(
      ""1ZygntHC1J6IxzKbTidmOyf5nUyW4GCLurHCjexrLm_o"",
      ""HTMLキャッシュ!A:F""
    ),
    2,
    FALSE
  ),
  0
)
"),"ST")</f>
        <v>ST</v>
      </c>
      <c r="C33" s="1" t="str">
        <f>IFERROR(__xludf.DUMMYFUNCTION("IFERROR(
  VLOOKUP(
    A33,
    IMPORTRANGE(
      ""1ZygntHC1J6IxzKbTidmOyf5nUyW4GCLurHCjexrLm_o"",
      ""HTMLキャッシュ!A:F""
    ),
    5,
    FALSE
  ),
  0
)
"),"会社概要 - 中高一貫校専門塾エスコット(Escot)～定期試験対策から大学受験指導まで～")</f>
        <v>会社概要 - 中高一貫校専門塾エスコット(Escot)～定期試験対策から大学受験指導まで～</v>
      </c>
      <c r="D33" s="1" t="str">
        <f>IFERROR(__xludf.DUMMYFUNCTION("IFERROR(
  VLOOKUP(
    A33,
    IMPORTRANGE(
      ""1ZygntHC1J6IxzKbTidmOyf5nUyW4GCLurHCjexrLm_o        "",
      ""HTMLキャッシュ!A:F""
    ),
    6,
    FALSE
  ),
  0
)
"),"「中高一貫校専門塾エスコット(Escot)～定期試験対策から大学受験指導まで～」は株式会社アリスメティカジャパ")</f>
        <v>「中高一貫校専門塾エスコット(Escot)～定期試験対策から大学受験指導まで～」は株式会社アリスメティカジャパ</v>
      </c>
      <c r="E33" s="32">
        <f>IFERROR(__xludf.DUMMYFUNCTION("IFERROR(
  VLOOKUP(
    A33,
    IMPORTRANGE(
      ""1ZygntHC1J6IxzKbTidmOyf5nUyW4GCLurHCjexrLm_o        "",
      ""HTMLキャッシュ!A:F""
    ),
    3,
    FALSE
  ),
  0
)
"),45159.581921296296)</f>
        <v>45159.58192</v>
      </c>
      <c r="F33" s="49">
        <f>IFERROR(__xludf.DUMMYFUNCTION("IFERROR(
  VLOOKUP(
    A33,
    IMPORTRANGE(
      ""1ZHMy3vVUd_0MrSduXTe1etBb1HNpAlGwQr006ljwMiM"",
      ""GSC最新!A:F""
    ),
    2,
    FALSE
  ),
  0
)
"),2.0)</f>
        <v>2</v>
      </c>
      <c r="G33" s="49">
        <f>IFERROR(__xludf.DUMMYFUNCTION("IFERROR(
  VLOOKUP(
    A33,
    IMPORTRANGE(
      ""1ZHMy3vVUd_0MrSduXTe1etBb1HNpAlGwQr006ljwMiM"",
      ""GSC最新!A:F""
    ),
    3,
    FALSE
  ),
  0
)
"),4.0)</f>
        <v>4</v>
      </c>
      <c r="H33" s="49">
        <f>IFERROR(__xludf.DUMMYFUNCTION("IFERROR(
  VLOOKUP(
    A33,
    IMPORTRANGE(
      ""1ZHMy3vVUd_0MrSduXTe1etBb1HNpAlGwQr006ljwMiM"",
      ""GSC最新!A:F""
    ),
    4,
    FALSE
  ),
  0
)
"),1.0)</f>
        <v>1</v>
      </c>
      <c r="I33" s="49">
        <f>IFERROR(__xludf.DUMMYFUNCTION("IFERROR(
  VLOOKUP(
    A33,
    IMPORTRANGE(
      ""1ZHMy3vVUd_0MrSduXTe1etBb1HNpAlGwQr006ljwMiM"",
      ""GSC最新!A:F""
    ),
    5,
    FALSE
  ),
  0
)
"),2.0)</f>
        <v>2</v>
      </c>
      <c r="J33" s="50">
        <f t="shared" ref="J33:K33" si="156">IFERROR(F33/H33,"-")</f>
        <v>2</v>
      </c>
      <c r="K33" s="50">
        <f t="shared" si="156"/>
        <v>2</v>
      </c>
      <c r="L33" s="6">
        <f>IFERROR(__xludf.DUMMYFUNCTION("IFERROR(
  VLOOKUP(
    A33,
    IMPORTRANGE(
      ""1ZHMy3vVUd_0MrSduXTe1etBb1HNpAlGwQr006ljwMiM"",
      ""GSC最新!A:R""
    ),
    7,
    FALSE
  ),
  0
)
"),69.0)</f>
        <v>69</v>
      </c>
      <c r="M33" s="6">
        <f>IFERROR(__xludf.DUMMYFUNCTION("IFERROR(
  VLOOKUP(
    A33,
    IMPORTRANGE(
      ""1ZHMy3vVUd_0MrSduXTe1etBb1HNpAlGwQr006ljwMiM"",
      ""GSC最新!A:R""
    ),
    10,
    FALSE
  ),
  0
)
"),167.0)</f>
        <v>167</v>
      </c>
      <c r="N33" s="6">
        <f>IFERROR(__xludf.DUMMYFUNCTION("IFERROR(
  VLOOKUP(
    A33,
    IMPORTRANGE(
      ""1ZHMy3vVUd_0MrSduXTe1etBb1HNpAlGwQr006ljwMiM"",
      ""GSC最新!A:R""
    ),
    13,
    FALSE
  ),
  0
)
"),21.0)</f>
        <v>21</v>
      </c>
      <c r="O33" s="6">
        <f>IFERROR(__xludf.DUMMYFUNCTION("IFERROR(
  VLOOKUP(
    A33,
    IMPORTRANGE(
      ""1ZHMy3vVUd_0MrSduXTe1etBb1HNpAlGwQr006ljwMiM"",
      ""GSC最新!A:R""
    ),
    16,
    FALSE
  ),
  0
)
"),107.0)</f>
        <v>107</v>
      </c>
      <c r="P33" s="51">
        <f t="shared" ref="P33:Q33" si="157">IFERROR(L33/N33,"-")</f>
        <v>3.285714286</v>
      </c>
      <c r="Q33" s="51">
        <f t="shared" si="157"/>
        <v>1.560747664</v>
      </c>
      <c r="R33" s="9">
        <f>IFERROR(__xludf.DUMMYFUNCTION("IFERROR(
  VLOOKUP(
    A33,
    IMPORTRANGE(
      ""1ZHMy3vVUd_0MrSduXTe1etBb1HNpAlGwQr006ljwMiM"",
      ""GSC最新!A:R""
    ),
    8,
    FALSE
  ),
  0
)
"),0.028985507246376812)</f>
        <v>0.02898550725</v>
      </c>
      <c r="S33" s="9">
        <f>IFERROR(__xludf.DUMMYFUNCTION("IFERROR(
  VLOOKUP(
    A33,
    IMPORTRANGE(
      ""1ZHMy3vVUd_0MrSduXTe1etBb1HNpAlGwQr006ljwMiM"",
      ""GSC最新!A:R""
    ),
    11,
    FALSE
  ),
  0
)
"),0.023952095808383235)</f>
        <v>0.02395209581</v>
      </c>
      <c r="T33" s="9">
        <f>IFERROR(__xludf.DUMMYFUNCTION("IFERROR(
  VLOOKUP(
    A33,
    IMPORTRANGE(
      ""1ZHMy3vVUd_0MrSduXTe1etBb1HNpAlGwQr006ljwMiM"",
      ""GSC最新!A:R""
    ),
    14,
    FALSE
  ),
  0
)
"),0.047619047619047616)</f>
        <v>0.04761904762</v>
      </c>
      <c r="U33" s="9">
        <f>IFERROR(__xludf.DUMMYFUNCTION("IFERROR(
  VLOOKUP(
    A33,
    IMPORTRANGE(
      ""1ZHMy3vVUd_0MrSduXTe1etBb1HNpAlGwQr006ljwMiM"",
      ""GSC最新!A:R""
    ),
    17,
    FALSE
  ),
  0
)
"),0.018691588785046728)</f>
        <v>0.01869158879</v>
      </c>
      <c r="V33" s="9">
        <f t="shared" ref="V33:W33" si="158">IFERROR(R33-T33,"-")</f>
        <v>-0.01863354037</v>
      </c>
      <c r="W33" s="9">
        <f t="shared" si="158"/>
        <v>0.005260507023</v>
      </c>
      <c r="X33" s="65">
        <f>IFERROR(__xludf.DUMMYFUNCTION("IFERROR(
  VLOOKUP(
    A33,
    IMPORTRANGE(
      ""1ZHMy3vVUd_0MrSduXTe1etBb1HNpAlGwQr006ljwMiM"",
      ""GSC最新!A:R""
    ),
    9,
    FALSE
  ),
  0
)
"),4.188405797101449)</f>
        <v>4.188405797</v>
      </c>
      <c r="Y33" s="65">
        <f>IFERROR(__xludf.DUMMYFUNCTION("IFERROR(
  VLOOKUP(
    A33,
    IMPORTRANGE(
      ""1ZHMy3vVUd_0MrSduXTe1etBb1HNpAlGwQr006ljwMiM"",
      ""GSC最新!A:R""
    ),
    12,
    FALSE
  ),
  0
)
"),4.970059880239521)</f>
        <v>4.97005988</v>
      </c>
      <c r="Z33" s="65">
        <f>IFERROR(__xludf.DUMMYFUNCTION("IFERROR(
  VLOOKUP(
    A33,
    IMPORTRANGE(
      ""1ZHMy3vVUd_0MrSduXTe1etBb1HNpAlGwQr006ljwMiM"",
      ""GSC最新!A:R""
    ),
    15,
    FALSE
  ),
  0
)
"),8.571428571428571)</f>
        <v>8.571428571</v>
      </c>
      <c r="AA33" s="65">
        <f>IFERROR(__xludf.DUMMYFUNCTION("IFERROR(
  VLOOKUP(
    A33,
    IMPORTRANGE(
      ""1ZHMy3vVUd_0MrSduXTe1etBb1HNpAlGwQr006ljwMiM"",
      ""GSC最新!A:R""
    ),
    18,
    FALSE
  ),
  0
)
"),24.794392523364486)</f>
        <v>24.79439252</v>
      </c>
      <c r="AB33" s="65">
        <f t="shared" ref="AB33:AC33" si="159">X33-Z33</f>
        <v>-4.383022774</v>
      </c>
      <c r="AC33" s="65">
        <f t="shared" si="159"/>
        <v>-19.82433264</v>
      </c>
      <c r="AD33" s="53">
        <f>IFERROR(__xludf.DUMMYFUNCTION("IFERROR(
  VLOOKUP(
    A33,
    IMPORTRANGE(
      ""1ZHMy3vVUd_0MrSduXTe1etBb1HNpAlGwQr006ljwMiM"",
      ""GSC最新!A:F""
    ),
    6,
    FALSE
  ),
  0
)
"),46081.0)</f>
        <v>46081</v>
      </c>
      <c r="AE33" s="54">
        <f>IFERROR(__xludf.DUMMYFUNCTION("IFERROR(
  VLOOKUP(
    A33,
    IMPORTRANGE(
      ""1SCYQd7_cobOYqT0r_F0IqD4tE4rYn5y8Eup4PJTH8es"",
      ""Snapshot!A:M""
    ),
    5,
    FALSE
  ),
  ""-""
)
"),1.0)</f>
        <v>1</v>
      </c>
      <c r="AF33" s="54">
        <f>IFERROR(__xludf.DUMMYFUNCTION("IFERROR(
  VLOOKUP(
    A33,
    IMPORTRANGE(
      ""1SCYQd7_cobOYqT0r_F0IqD4tE4rYn5y8Eup4PJTH8es"",
      ""Snapshot!A:M""
    ),
    6,
    FALSE
  ),
  0
)
"),6.0)</f>
        <v>6</v>
      </c>
      <c r="AG33" s="54">
        <f>IFERROR(__xludf.DUMMYFUNCTION("IFERROR(
  VLOOKUP(
    A33,
    IMPORTRANGE(
      ""1SCYQd7_cobOYqT0r_F0IqD4tE4rYn5y8Eup4PJTH8es"",
      ""Snapshot!A:M""
    ),
    7,
    FALSE
  ),
  0
)
"),693.0)</f>
        <v>693</v>
      </c>
      <c r="AH33" s="54">
        <f>IFERROR(__xludf.DUMMYFUNCTION("IFERROR(
  VLOOKUP(
    A33,
    IMPORTRANGE(
      ""1SCYQd7_cobOYqT0r_F0IqD4tE4rYn5y8Eup4PJTH8es"",
      ""Snapshot!A:M""
    ),
    8,
    FALSE
  ),
  0
)
"),1.0)</f>
        <v>1</v>
      </c>
      <c r="AI33" s="54">
        <f>IFERROR(__xludf.DUMMYFUNCTION("IFERROR(
  VLOOKUP(
    A33,
    IMPORTRANGE(
      ""1SCYQd7_cobOYqT0r_F0IqD4tE4rYn5y8Eup4PJTH8es"",
      ""Snapshot!A:M""
    ),
    9,
    FALSE
  ),
  0
)
"),1.0)</f>
        <v>1</v>
      </c>
      <c r="AJ33" s="54">
        <f>IFERROR(__xludf.DUMMYFUNCTION("IFERROR(
  VLOOKUP(
    A33,
    IMPORTRANGE(
      ""1SCYQd7_cobOYqT0r_F0IqD4tE4rYn5y8Eup4PJTH8es"",
      ""Snapshot!A:M""
    ),
    13,
    FALSE
  ),
  0
)
"),1.0)</f>
        <v>1</v>
      </c>
      <c r="AK33" s="49">
        <f t="shared" ref="AK33:AL33" si="160">LEN(C33)</f>
        <v>45</v>
      </c>
      <c r="AL33" s="49">
        <f t="shared" si="160"/>
        <v>55</v>
      </c>
    </row>
    <row r="34">
      <c r="A34" s="3" t="s">
        <v>745</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"),"中高一貫校生の春休み勉強法 - 中高一貫校専門塾エスコット(Escot)～定期試験対策から大学受験指導まで～")</f>
        <v>中高一貫校生の春休み勉強法 - 中高一貫校専門塾エスコット(Escot)～定期試験対策から大学受験指導まで～</v>
      </c>
      <c r="D34" s="1" t="str">
        <f>IFERROR(__xludf.DUMMYFUNCTION("IFERROR(
  VLOOKUP(
    A34,
    IMPORTRANGE(
      ""1ZygntHC1J6IxzKbTidmOyf5nUyW4GCLurHCjexrLm_o        "",
      ""HTMLキャッシュ!A:F""
    ),
    6,
    FALSE
  ),
  0
)
"),"春休みは学年が上がることによって環境が変わり、勉強以外に考えることや不安に思ってしまうことなども多い中、新学期")</f>
        <v>春休みは学年が上がることによって環境が変わり、勉強以外に考えることや不安に思ってしまうことなども多い中、新学期</v>
      </c>
      <c r="E34" s="32">
        <f>IFERROR(__xludf.DUMMYFUNCTION("IFERROR(
  VLOOKUP(
    A34,
    IMPORTRANGE(
      ""1ZygntHC1J6IxzKbTidmOyf5nUyW4GCLurHCjexrLm_o        "",
      ""HTMLキャッシュ!A:F""
    ),
    3,
    FALSE
  ),
  0
)
"),46078.85587962963)</f>
        <v>46078.85588</v>
      </c>
      <c r="F34" s="49">
        <f>IFERROR(__xludf.DUMMYFUNCTION("IFERROR(
  VLOOKUP(
    A34,
    IMPORTRANGE(
      ""1ZHMy3vVUd_0MrSduXTe1etBb1HNpAlGwQr006ljwMiM"",
      ""GSC最新!A:F""
    ),
    2,
    FALSE
  ),
  0
)
"),1.0)</f>
        <v>1</v>
      </c>
      <c r="G34" s="49">
        <f>IFERROR(__xludf.DUMMYFUNCTION("IFERROR(
  VLOOKUP(
    A34,
    IMPORTRANGE(
      ""1ZHMy3vVUd_0MrSduXTe1etBb1HNpAlGwQr006ljwMiM"",
      ""GSC最新!A:F""
    ),
    3,
    FALSE
  ),
  0
)
"),4.0)</f>
        <v>4</v>
      </c>
      <c r="H34" s="49">
        <f>IFERROR(__xludf.DUMMYFUNCTION("IFERROR(
  VLOOKUP(
    A34,
    IMPORTRANGE(
      ""1ZHMy3vVUd_0MrSduXTe1etBb1HNpAlGwQr006ljwMiM"",
      ""GSC最新!A:F""
    ),
    4,
    FALSE
  ),
  0
)
"),2.0)</f>
        <v>2</v>
      </c>
      <c r="I34" s="49">
        <f>IFERROR(__xludf.DUMMYFUNCTION("IFERROR(
  VLOOKUP(
    A34,
    IMPORTRANGE(
      ""1ZHMy3vVUd_0MrSduXTe1etBb1HNpAlGwQr006ljwMiM"",
      ""GSC最新!A:F""
    ),
    5,
    FALSE
  ),
  0
)
"),2.0)</f>
        <v>2</v>
      </c>
      <c r="J34" s="50">
        <f t="shared" ref="J34:K34" si="161">IFERROR(F34/H34,"-")</f>
        <v>0.5</v>
      </c>
      <c r="K34" s="50">
        <f t="shared" si="161"/>
        <v>2</v>
      </c>
      <c r="L34" s="6">
        <f>IFERROR(__xludf.DUMMYFUNCTION("IFERROR(
  VLOOKUP(
    A34,
    IMPORTRANGE(
      ""1ZHMy3vVUd_0MrSduXTe1etBb1HNpAlGwQr006ljwMiM"",
      ""GSC最新!A:R""
    ),
    7,
    FALSE
  ),
  0
)
"),87.0)</f>
        <v>87</v>
      </c>
      <c r="M34" s="6">
        <f>IFERROR(__xludf.DUMMYFUNCTION("IFERROR(
  VLOOKUP(
    A34,
    IMPORTRANGE(
      ""1ZHMy3vVUd_0MrSduXTe1etBb1HNpAlGwQr006ljwMiM"",
      ""GSC最新!A:R""
    ),
    10,
    FALSE
  ),
  0
)
"),134.0)</f>
        <v>134</v>
      </c>
      <c r="N34" s="6">
        <f>IFERROR(__xludf.DUMMYFUNCTION("IFERROR(
  VLOOKUP(
    A34,
    IMPORTRANGE(
      ""1ZHMy3vVUd_0MrSduXTe1etBb1HNpAlGwQr006ljwMiM"",
      ""GSC最新!A:R""
    ),
    13,
    FALSE
  ),
  0
)
"),194.0)</f>
        <v>194</v>
      </c>
      <c r="O34" s="6">
        <f>IFERROR(__xludf.DUMMYFUNCTION("IFERROR(
  VLOOKUP(
    A34,
    IMPORTRANGE(
      ""1ZHMy3vVUd_0MrSduXTe1etBb1HNpAlGwQr006ljwMiM"",
      ""GSC最新!A:R""
    ),
    16,
    FALSE
  ),
  0
)
"),566.0)</f>
        <v>566</v>
      </c>
      <c r="P34" s="51">
        <f t="shared" ref="P34:Q34" si="162">IFERROR(L34/N34,"-")</f>
        <v>0.4484536082</v>
      </c>
      <c r="Q34" s="51">
        <f t="shared" si="162"/>
        <v>0.2367491166</v>
      </c>
      <c r="R34" s="9">
        <f>IFERROR(__xludf.DUMMYFUNCTION("IFERROR(
  VLOOKUP(
    A34,
    IMPORTRANGE(
      ""1ZHMy3vVUd_0MrSduXTe1etBb1HNpAlGwQr006ljwMiM"",
      ""GSC最新!A:R""
    ),
    8,
    FALSE
  ),
  0
)
"),0.011494252873563218)</f>
        <v>0.01149425287</v>
      </c>
      <c r="S34" s="9">
        <f>IFERROR(__xludf.DUMMYFUNCTION("IFERROR(
  VLOOKUP(
    A34,
    IMPORTRANGE(
      ""1ZHMy3vVUd_0MrSduXTe1etBb1HNpAlGwQr006ljwMiM"",
      ""GSC最新!A:R""
    ),
    11,
    FALSE
  ),
  0
)
"),0.029850746268656716)</f>
        <v>0.02985074627</v>
      </c>
      <c r="T34" s="9">
        <f>IFERROR(__xludf.DUMMYFUNCTION("IFERROR(
  VLOOKUP(
    A34,
    IMPORTRANGE(
      ""1ZHMy3vVUd_0MrSduXTe1etBb1HNpAlGwQr006ljwMiM"",
      ""GSC最新!A:R""
    ),
    14,
    FALSE
  ),
  0
)
"),0.010309278350515464)</f>
        <v>0.01030927835</v>
      </c>
      <c r="U34" s="9">
        <f>IFERROR(__xludf.DUMMYFUNCTION("IFERROR(
  VLOOKUP(
    A34,
    IMPORTRANGE(
      ""1ZHMy3vVUd_0MrSduXTe1etBb1HNpAlGwQr006ljwMiM"",
      ""GSC最新!A:R""
    ),
    17,
    FALSE
  ),
  0
)
"),0.0035335689045936395)</f>
        <v>0.003533568905</v>
      </c>
      <c r="V34" s="9">
        <f t="shared" ref="V34:W34" si="163">IFERROR(R34-T34,"-")</f>
        <v>0.001184974523</v>
      </c>
      <c r="W34" s="9">
        <f t="shared" si="163"/>
        <v>0.02631717736</v>
      </c>
      <c r="X34" s="65">
        <f>IFERROR(__xludf.DUMMYFUNCTION("IFERROR(
  VLOOKUP(
    A34,
    IMPORTRANGE(
      ""1ZHMy3vVUd_0MrSduXTe1etBb1HNpAlGwQr006ljwMiM"",
      ""GSC最新!A:R""
    ),
    9,
    FALSE
  ),
  0
)
"),14.850574712643677)</f>
        <v>14.85057471</v>
      </c>
      <c r="Y34" s="65">
        <f>IFERROR(__xludf.DUMMYFUNCTION("IFERROR(
  VLOOKUP(
    A34,
    IMPORTRANGE(
      ""1ZHMy3vVUd_0MrSduXTe1etBb1HNpAlGwQr006ljwMiM"",
      ""GSC最新!A:R""
    ),
    12,
    FALSE
  ),
  0
)
"),12.917910447761194)</f>
        <v>12.91791045</v>
      </c>
      <c r="Z34" s="65">
        <f>IFERROR(__xludf.DUMMYFUNCTION("IFERROR(
  VLOOKUP(
    A34,
    IMPORTRANGE(
      ""1ZHMy3vVUd_0MrSduXTe1etBb1HNpAlGwQr006ljwMiM"",
      ""GSC最新!A:R""
    ),
    15,
    FALSE
  ),
  0
)
"),37.91237113402062)</f>
        <v>37.91237113</v>
      </c>
      <c r="AA34" s="65">
        <f>IFERROR(__xludf.DUMMYFUNCTION("IFERROR(
  VLOOKUP(
    A34,
    IMPORTRANGE(
      ""1ZHMy3vVUd_0MrSduXTe1etBb1HNpAlGwQr006ljwMiM"",
      ""GSC最新!A:R""
    ),
    18,
    FALSE
  ),
  0
)
"),50.90106007067138)</f>
        <v>50.90106007</v>
      </c>
      <c r="AB34" s="65">
        <f t="shared" ref="AB34:AC34" si="164">X34-Z34</f>
        <v>-23.06179642</v>
      </c>
      <c r="AC34" s="65">
        <f t="shared" si="164"/>
        <v>-37.98314962</v>
      </c>
      <c r="AD34" s="53">
        <f>IFERROR(__xludf.DUMMYFUNCTION("IFERROR(
  VLOOKUP(
    A34,
    IMPORTRANGE(
      ""1ZHMy3vVUd_0MrSduXTe1etBb1HNpAlGwQr006ljwMiM"",
      ""GSC最新!A:F""
    ),
    6,
    FALSE
  ),
  0
)
"),46081.0)</f>
        <v>46081</v>
      </c>
      <c r="AE34" s="54">
        <f>IFERROR(__xludf.DUMMYFUNCTION("IFERROR(
  VLOOKUP(
    A34,
    IMPORTRANGE(
      ""1SCYQd7_cobOYqT0r_F0IqD4tE4rYn5y8Eup4PJTH8es"",
      ""Snapshot!A:M""
    ),
    5,
    FALSE
  ),
  ""-""
)
"),0.0)</f>
        <v>0</v>
      </c>
      <c r="AF34" s="54">
        <f>IFERROR(__xludf.DUMMYFUNCTION("IFERROR(
  VLOOKUP(
    A34,
    IMPORTRANGE(
      ""1SCYQd7_cobOYqT0r_F0IqD4tE4rYn5y8Eup4PJTH8es"",
      ""Snapshot!A:M""
    ),
    6,
    FALSE
  ),
  0
)
"),0.0)</f>
        <v>0</v>
      </c>
      <c r="AG34" s="54">
        <f>IFERROR(__xludf.DUMMYFUNCTION("IFERROR(
  VLOOKUP(
    A34,
    IMPORTRANGE(
      ""1SCYQd7_cobOYqT0r_F0IqD4tE4rYn5y8Eup4PJTH8es"",
      ""Snapshot!A:M""
    ),
    7,
    FALSE
  ),
  0
)
"),1987.0)</f>
        <v>1987</v>
      </c>
      <c r="AH34" s="54">
        <f>IFERROR(__xludf.DUMMYFUNCTION("IFERROR(
  VLOOKUP(
    A34,
    IMPORTRANGE(
      ""1SCYQd7_cobOYqT0r_F0IqD4tE4rYn5y8Eup4PJTH8es"",
      ""Snapshot!A:M""
    ),
    8,
    FALSE
  ),
  0
)
"),10.0)</f>
        <v>10</v>
      </c>
      <c r="AI34" s="54">
        <f>IFERROR(__xludf.DUMMYFUNCTION("IFERROR(
  VLOOKUP(
    A34,
    IMPORTRANGE(
      ""1SCYQd7_cobOYqT0r_F0IqD4tE4rYn5y8Eup4PJTH8es"",
      ""Snapshot!A:M""
    ),
    9,
    FALSE
  ),
  0
)
"),2.0)</f>
        <v>2</v>
      </c>
      <c r="AJ34" s="54">
        <f>IFERROR(__xludf.DUMMYFUNCTION("IFERROR(
  VLOOKUP(
    A34,
    IMPORTRANGE(
      ""1SCYQd7_cobOYqT0r_F0IqD4tE4rYn5y8Eup4PJTH8es"",
      ""Snapshot!A:M""
    ),
    13,
    FALSE
  ),
  0
)
"),2.0)</f>
        <v>2</v>
      </c>
      <c r="AK34" s="49">
        <f t="shared" ref="AK34:AL34" si="165">LEN(C34)</f>
        <v>54</v>
      </c>
      <c r="AL34" s="49">
        <f t="shared" si="165"/>
        <v>55</v>
      </c>
    </row>
    <row r="35">
      <c r="A35" s="3" t="s">
        <v>746</v>
      </c>
      <c r="B35" s="1" t="str">
        <f>IFERROR(__xludf.DUMMYFUNCTION("IFERROR(
  VLOOKUP(
    A35,
    IMPORTRANGE(
      ""1ZygntHC1J6IxzKbTidmOyf5nUyW4GCLurHCjexrLm_o"",
      ""HTMLキャッシュ!A:F""
    ),
    2,
    FALSE
  ),
  0
)
"),"MC")</f>
        <v>MC</v>
      </c>
      <c r="C35" s="1" t="str">
        <f>IFERROR(__xludf.DUMMYFUNCTION("IFERROR(
  VLOOKUP(
    A35,
    IMPORTRANGE(
      ""1ZygntHC1J6IxzKbTidmOyf5nUyW4GCLurHCjexrLm_o"",
      ""HTMLキャッシュ!A:F""
    ),
    5,
    FALSE
  ),
  0
)
"),"数学の応用問題が解けない原因｜問題に対処する4段階チェック")</f>
        <v>数学の応用問題が解けない原因｜問題に対処する4段階チェック</v>
      </c>
      <c r="D35" s="1" t="str">
        <f>IFERROR(__xludf.DUMMYFUNCTION("IFERROR(
  VLOOKUP(
    A35,
    IMPORTRANGE(
      ""1ZygntHC1J6IxzKbTidmOyf5nUyW4GCLurHCjexrLm_o        "",
      ""HTMLキャッシュ!A:F""
    ),
    6,
    FALSE
  ),
  0
)
"),"中高一貫の数学で応用ができない時は発想より土台確認。問題に対処するために教科書理解・単位・基本処理・考え方を4段階で点検し、復習の順番を示す。")</f>
        <v>中高一貫の数学で応用ができない時は発想より土台確認。問題に対処するために教科書理解・単位・基本処理・考え方を4段階で点検し、復習の順番を示す。</v>
      </c>
      <c r="E35" s="32">
        <f>IFERROR(__xludf.DUMMYFUNCTION("IFERROR(
  VLOOKUP(
    A35,
    IMPORTRANGE(
      ""1ZygntHC1J6IxzKbTidmOyf5nUyW4GCLurHCjexrLm_o        "",
      ""HTMLキャッシュ!A:F""
    ),
    3,
    FALSE
  ),
  0
)
"),46077.79216435185)</f>
        <v>46077.79216</v>
      </c>
      <c r="F35" s="49">
        <f>IFERROR(__xludf.DUMMYFUNCTION("IFERROR(
  VLOOKUP(
    A35,
    IMPORTRANGE(
      ""1ZHMy3vVUd_0MrSduXTe1etBb1HNpAlGwQr006ljwMiM"",
      ""GSC最新!A:F""
    ),
    2,
    FALSE
  ),
  0
)
"),2.0)</f>
        <v>2</v>
      </c>
      <c r="G35" s="49">
        <f>IFERROR(__xludf.DUMMYFUNCTION("IFERROR(
  VLOOKUP(
    A35,
    IMPORTRANGE(
      ""1ZHMy3vVUd_0MrSduXTe1etBb1HNpAlGwQr006ljwMiM"",
      ""GSC最新!A:F""
    ),
    3,
    FALSE
  ),
  0
)
"),3.0)</f>
        <v>3</v>
      </c>
      <c r="H35" s="49">
        <f>IFERROR(__xludf.DUMMYFUNCTION("IFERROR(
  VLOOKUP(
    A35,
    IMPORTRANGE(
      ""1ZHMy3vVUd_0MrSduXTe1etBb1HNpAlGwQr006ljwMiM"",
      ""GSC最新!A:F""
    ),
    4,
    FALSE
  ),
  0
)
"),0.0)</f>
        <v>0</v>
      </c>
      <c r="I35" s="49">
        <f>IFERROR(__xludf.DUMMYFUNCTION("IFERROR(
  VLOOKUP(
    A35,
    IMPORTRANGE(
      ""1ZHMy3vVUd_0MrSduXTe1etBb1HNpAlGwQr006ljwMiM"",
      ""GSC最新!A:F""
    ),
    5,
    FALSE
  ),
  0
)
"),0.0)</f>
        <v>0</v>
      </c>
      <c r="J35" s="50" t="str">
        <f t="shared" ref="J35:K35" si="166">IFERROR(F35/H35,"-")</f>
        <v>-</v>
      </c>
      <c r="K35" s="50" t="str">
        <f t="shared" si="166"/>
        <v>-</v>
      </c>
      <c r="L35" s="6">
        <f>IFERROR(__xludf.DUMMYFUNCTION("IFERROR(
  VLOOKUP(
    A35,
    IMPORTRANGE(
      ""1ZHMy3vVUd_0MrSduXTe1etBb1HNpAlGwQr006ljwMiM"",
      ""GSC最新!A:R""
    ),
    7,
    FALSE
  ),
  0
)
"),183.0)</f>
        <v>183</v>
      </c>
      <c r="M35" s="6">
        <f>IFERROR(__xludf.DUMMYFUNCTION("IFERROR(
  VLOOKUP(
    A35,
    IMPORTRANGE(
      ""1ZHMy3vVUd_0MrSduXTe1etBb1HNpAlGwQr006ljwMiM"",
      ""GSC最新!A:R""
    ),
    10,
    FALSE
  ),
  0
)
"),533.0)</f>
        <v>533</v>
      </c>
      <c r="N35" s="6">
        <f>IFERROR(__xludf.DUMMYFUNCTION("IFERROR(
  VLOOKUP(
    A35,
    IMPORTRANGE(
      ""1ZHMy3vVUd_0MrSduXTe1etBb1HNpAlGwQr006ljwMiM"",
      ""GSC最新!A:R""
    ),
    13,
    FALSE
  ),
  0
)
"),86.0)</f>
        <v>86</v>
      </c>
      <c r="O35" s="6">
        <f>IFERROR(__xludf.DUMMYFUNCTION("IFERROR(
  VLOOKUP(
    A35,
    IMPORTRANGE(
      ""1ZHMy3vVUd_0MrSduXTe1etBb1HNpAlGwQr006ljwMiM"",
      ""GSC最新!A:R""
    ),
    16,
    FALSE
  ),
  0
)
"),284.0)</f>
        <v>284</v>
      </c>
      <c r="P35" s="51">
        <f t="shared" ref="P35:Q35" si="167">IFERROR(L35/N35,"-")</f>
        <v>2.127906977</v>
      </c>
      <c r="Q35" s="51">
        <f t="shared" si="167"/>
        <v>1.876760563</v>
      </c>
      <c r="R35" s="9">
        <f>IFERROR(__xludf.DUMMYFUNCTION("IFERROR(
  VLOOKUP(
    A35,
    IMPORTRANGE(
      ""1ZHMy3vVUd_0MrSduXTe1etBb1HNpAlGwQr006ljwMiM"",
      ""GSC最新!A:R""
    ),
    8,
    FALSE
  ),
  0
)
"),0.01092896174863388)</f>
        <v>0.01092896175</v>
      </c>
      <c r="S35" s="9">
        <f>IFERROR(__xludf.DUMMYFUNCTION("IFERROR(
  VLOOKUP(
    A35,
    IMPORTRANGE(
      ""1ZHMy3vVUd_0MrSduXTe1etBb1HNpAlGwQr006ljwMiM"",
      ""GSC最新!A:R""
    ),
    11,
    FALSE
  ),
  0
)
"),0.005628517823639775)</f>
        <v>0.005628517824</v>
      </c>
      <c r="T35" s="9">
        <f>IFERROR(__xludf.DUMMYFUNCTION("IFERROR(
  VLOOKUP(
    A35,
    IMPORTRANGE(
      ""1ZHMy3vVUd_0MrSduXTe1etBb1HNpAlGwQr006ljwMiM"",
      ""GSC最新!A:R""
    ),
    14,
    FALSE
  ),
  0
)
"),0.0)</f>
        <v>0</v>
      </c>
      <c r="U35" s="9">
        <f>IFERROR(__xludf.DUMMYFUNCTION("IFERROR(
  VLOOKUP(
    A35,
    IMPORTRANGE(
      ""1ZHMy3vVUd_0MrSduXTe1etBb1HNpAlGwQr006ljwMiM"",
      ""GSC最新!A:R""
    ),
    17,
    FALSE
  ),
  0
)
"),0.0)</f>
        <v>0</v>
      </c>
      <c r="V35" s="9">
        <f t="shared" ref="V35:W35" si="168">IFERROR(R35-T35,"-")</f>
        <v>0.01092896175</v>
      </c>
      <c r="W35" s="9">
        <f t="shared" si="168"/>
        <v>0.005628517824</v>
      </c>
      <c r="X35" s="65">
        <f>IFERROR(__xludf.DUMMYFUNCTION("IFERROR(
  VLOOKUP(
    A35,
    IMPORTRANGE(
      ""1ZHMy3vVUd_0MrSduXTe1etBb1HNpAlGwQr006ljwMiM"",
      ""GSC最新!A:R""
    ),
    9,
    FALSE
  ),
  0
)
"),5.80327868852459)</f>
        <v>5.803278689</v>
      </c>
      <c r="Y35" s="65">
        <f>IFERROR(__xludf.DUMMYFUNCTION("IFERROR(
  VLOOKUP(
    A35,
    IMPORTRANGE(
      ""1ZHMy3vVUd_0MrSduXTe1etBb1HNpAlGwQr006ljwMiM"",
      ""GSC最新!A:R""
    ),
    12,
    FALSE
  ),
  0
)
"),5.330206378986867)</f>
        <v>5.330206379</v>
      </c>
      <c r="Z35" s="65">
        <f>IFERROR(__xludf.DUMMYFUNCTION("IFERROR(
  VLOOKUP(
    A35,
    IMPORTRANGE(
      ""1ZHMy3vVUd_0MrSduXTe1etBb1HNpAlGwQr006ljwMiM"",
      ""GSC最新!A:R""
    ),
    15,
    FALSE
  ),
  0
)
"),34.95348837209303)</f>
        <v>34.95348837</v>
      </c>
      <c r="AA35" s="65">
        <f>IFERROR(__xludf.DUMMYFUNCTION("IFERROR(
  VLOOKUP(
    A35,
    IMPORTRANGE(
      ""1ZHMy3vVUd_0MrSduXTe1etBb1HNpAlGwQr006ljwMiM"",
      ""GSC最新!A:R""
    ),
    18,
    FALSE
  ),
  0
)
"),36.12323943661972)</f>
        <v>36.12323944</v>
      </c>
      <c r="AB35" s="65">
        <f t="shared" ref="AB35:AC35" si="169">X35-Z35</f>
        <v>-29.15020968</v>
      </c>
      <c r="AC35" s="65">
        <f t="shared" si="169"/>
        <v>-30.79303306</v>
      </c>
      <c r="AD35" s="53">
        <f>IFERROR(__xludf.DUMMYFUNCTION("IFERROR(
  VLOOKUP(
    A35,
    IMPORTRANGE(
      ""1ZHMy3vVUd_0MrSduXTe1etBb1HNpAlGwQr006ljwMiM"",
      ""GSC最新!A:F""
    ),
    6,
    FALSE
  ),
  0
)
"),46081.0)</f>
        <v>46081</v>
      </c>
      <c r="AE35" s="54">
        <f>IFERROR(__xludf.DUMMYFUNCTION("IFERROR(
  VLOOKUP(
    A35,
    IMPORTRANGE(
      ""1SCYQd7_cobOYqT0r_F0IqD4tE4rYn5y8Eup4PJTH8es"",
      ""Snapshot!A:M""
    ),
    5,
    FALSE
  ),
  ""-""
)
"),4.0)</f>
        <v>4</v>
      </c>
      <c r="AF35" s="54">
        <f>IFERROR(__xludf.DUMMYFUNCTION("IFERROR(
  VLOOKUP(
    A35,
    IMPORTRANGE(
      ""1SCYQd7_cobOYqT0r_F0IqD4tE4rYn5y8Eup4PJTH8es"",
      ""Snapshot!A:M""
    ),
    6,
    FALSE
  ),
  0
)
"),8.0)</f>
        <v>8</v>
      </c>
      <c r="AG35" s="54">
        <f>IFERROR(__xludf.DUMMYFUNCTION("IFERROR(
  VLOOKUP(
    A35,
    IMPORTRANGE(
      ""1SCYQd7_cobOYqT0r_F0IqD4tE4rYn5y8Eup4PJTH8es"",
      ""Snapshot!A:M""
    ),
    7,
    FALSE
  ),
  0
)
"),3268.0)</f>
        <v>3268</v>
      </c>
      <c r="AH35" s="54">
        <f>IFERROR(__xludf.DUMMYFUNCTION("IFERROR(
  VLOOKUP(
    A35,
    IMPORTRANGE(
      ""1SCYQd7_cobOYqT0r_F0IqD4tE4rYn5y8Eup4PJTH8es"",
      ""Snapshot!A:M""
    ),
    8,
    FALSE
  ),
  0
)
"),8.0)</f>
        <v>8</v>
      </c>
      <c r="AI35" s="54">
        <f>IFERROR(__xludf.DUMMYFUNCTION("IFERROR(
  VLOOKUP(
    A35,
    IMPORTRANGE(
      ""1SCYQd7_cobOYqT0r_F0IqD4tE4rYn5y8Eup4PJTH8es"",
      ""Snapshot!A:M""
    ),
    9,
    FALSE
  ),
  0
)
"),1.0)</f>
        <v>1</v>
      </c>
      <c r="AJ35" s="54">
        <f>IFERROR(__xludf.DUMMYFUNCTION("IFERROR(
  VLOOKUP(
    A35,
    IMPORTRANGE(
      ""1SCYQd7_cobOYqT0r_F0IqD4tE4rYn5y8Eup4PJTH8es"",
      ""Snapshot!A:M""
    ),
    13,
    FALSE
  ),
  0
)
"),2.0)</f>
        <v>2</v>
      </c>
      <c r="AK35" s="49">
        <f t="shared" ref="AK35:AL35" si="170">LEN(C35)</f>
        <v>29</v>
      </c>
      <c r="AL35" s="49">
        <f t="shared" si="170"/>
        <v>71</v>
      </c>
    </row>
    <row r="36">
      <c r="A36" s="3" t="s">
        <v>747</v>
      </c>
      <c r="B36" s="1" t="str">
        <f>IFERROR(__xludf.DUMMYFUNCTION("IFERROR(
  VLOOKUP(
    A36,
    IMPORTRANGE(
      ""1ZygntHC1J6IxzKbTidmOyf5nUyW4GCLurHCjexrLm_o"",
      ""HTMLキャッシュ!A:F""
    ),
    2,
    FALSE
  ),
  0
)
"),"SC")</f>
        <v>SC</v>
      </c>
      <c r="C36" s="1" t="str">
        <f>IFERROR(__xludf.DUMMYFUNCTION("IFERROR(
  VLOOKUP(
    A36,
    IMPORTRANGE(
      ""1ZygntHC1J6IxzKbTidmOyf5nUyW4GCLurHCjexrLm_o"",
      ""HTMLキャッシュ!A:F""
    ),
    5,
    FALSE
  ),
  0
)
"),"受験直前やる気がなくなる｜立て直し3手順｜中高一貫校生")</f>
        <v>受験直前やる気がなくなる｜立て直し3手順｜中高一貫校生</v>
      </c>
      <c r="D36" s="1" t="str">
        <f>IFERROR(__xludf.DUMMYFUNCTION("IFERROR(
  VLOOKUP(
    A36,
    IMPORTRANGE(
      ""1ZygntHC1J6IxzKbTidmOyf5nUyW4GCLurHCjexrLm_o        "",
      ""HTMLキャッシュ!A:F""
    ),
    6,
    FALSE
  ),
  0
)
"),"受験直前にやる気が落ちたら、体調→10分着手→今日3つで立て直す。疲れ/不安/迷い別の戻し方、直前期の注意点も整理。")</f>
        <v>受験直前にやる気が落ちたら、体調→10分着手→今日3つで立て直す。疲れ/不安/迷い別の戻し方、直前期の注意点も整理。</v>
      </c>
      <c r="E36" s="32">
        <f>IFERROR(__xludf.DUMMYFUNCTION("IFERROR(
  VLOOKUP(
    A36,
    IMPORTRANGE(
      ""1ZygntHC1J6IxzKbTidmOyf5nUyW4GCLurHCjexrLm_o        "",
      ""HTMLキャッシュ!A:F""
    ),
    3,
    FALSE
  ),
  0
)
"),46078.85395833333)</f>
        <v>46078.85396</v>
      </c>
      <c r="F36" s="49">
        <f>IFERROR(__xludf.DUMMYFUNCTION("IFERROR(
  VLOOKUP(
    A36,
    IMPORTRANGE(
      ""1ZHMy3vVUd_0MrSduXTe1etBb1HNpAlGwQr006ljwMiM"",
      ""GSC最新!A:F""
    ),
    2,
    FALSE
  ),
  0
)
"),2.0)</f>
        <v>2</v>
      </c>
      <c r="G36" s="49">
        <f>IFERROR(__xludf.DUMMYFUNCTION("IFERROR(
  VLOOKUP(
    A36,
    IMPORTRANGE(
      ""1ZHMy3vVUd_0MrSduXTe1etBb1HNpAlGwQr006ljwMiM"",
      ""GSC最新!A:F""
    ),
    3,
    FALSE
  ),
  0
)
"),3.0)</f>
        <v>3</v>
      </c>
      <c r="H36" s="49">
        <f>IFERROR(__xludf.DUMMYFUNCTION("IFERROR(
  VLOOKUP(
    A36,
    IMPORTRANGE(
      ""1ZHMy3vVUd_0MrSduXTe1etBb1HNpAlGwQr006ljwMiM"",
      ""GSC最新!A:F""
    ),
    4,
    FALSE
  ),
  0
)
"),1.0)</f>
        <v>1</v>
      </c>
      <c r="I36" s="49">
        <f>IFERROR(__xludf.DUMMYFUNCTION("IFERROR(
  VLOOKUP(
    A36,
    IMPORTRANGE(
      ""1ZHMy3vVUd_0MrSduXTe1etBb1HNpAlGwQr006ljwMiM"",
      ""GSC最新!A:F""
    ),
    5,
    FALSE
  ),
  0
)
"),1.0)</f>
        <v>1</v>
      </c>
      <c r="J36" s="50">
        <f t="shared" ref="J36:K36" si="171">IFERROR(F36/H36,"-")</f>
        <v>2</v>
      </c>
      <c r="K36" s="50">
        <f t="shared" si="171"/>
        <v>3</v>
      </c>
      <c r="L36" s="6">
        <f>IFERROR(__xludf.DUMMYFUNCTION("IFERROR(
  VLOOKUP(
    A36,
    IMPORTRANGE(
      ""1ZHMy3vVUd_0MrSduXTe1etBb1HNpAlGwQr006ljwMiM"",
      ""GSC最新!A:R""
    ),
    7,
    FALSE
  ),
  0
)
"),36.0)</f>
        <v>36</v>
      </c>
      <c r="M36" s="6">
        <f>IFERROR(__xludf.DUMMYFUNCTION("IFERROR(
  VLOOKUP(
    A36,
    IMPORTRANGE(
      ""1ZHMy3vVUd_0MrSduXTe1etBb1HNpAlGwQr006ljwMiM"",
      ""GSC最新!A:R""
    ),
    10,
    FALSE
  ),
  0
)
"),104.0)</f>
        <v>104</v>
      </c>
      <c r="N36" s="6">
        <f>IFERROR(__xludf.DUMMYFUNCTION("IFERROR(
  VLOOKUP(
    A36,
    IMPORTRANGE(
      ""1ZHMy3vVUd_0MrSduXTe1etBb1HNpAlGwQr006ljwMiM"",
      ""GSC最新!A:R""
    ),
    13,
    FALSE
  ),
  0
)
"),20.0)</f>
        <v>20</v>
      </c>
      <c r="O36" s="6">
        <f>IFERROR(__xludf.DUMMYFUNCTION("IFERROR(
  VLOOKUP(
    A36,
    IMPORTRANGE(
      ""1ZHMy3vVUd_0MrSduXTe1etBb1HNpAlGwQr006ljwMiM"",
      ""GSC最新!A:R""
    ),
    16,
    FALSE
  ),
  0
)
"),47.0)</f>
        <v>47</v>
      </c>
      <c r="P36" s="51">
        <f t="shared" ref="P36:Q36" si="172">IFERROR(L36/N36,"-")</f>
        <v>1.8</v>
      </c>
      <c r="Q36" s="51">
        <f t="shared" si="172"/>
        <v>2.212765957</v>
      </c>
      <c r="R36" s="9">
        <f>IFERROR(__xludf.DUMMYFUNCTION("IFERROR(
  VLOOKUP(
    A36,
    IMPORTRANGE(
      ""1ZHMy3vVUd_0MrSduXTe1etBb1HNpAlGwQr006ljwMiM"",
      ""GSC最新!A:R""
    ),
    8,
    FALSE
  ),
  0
)
"),0.05555555555555555)</f>
        <v>0.05555555556</v>
      </c>
      <c r="S36" s="9">
        <f>IFERROR(__xludf.DUMMYFUNCTION("IFERROR(
  VLOOKUP(
    A36,
    IMPORTRANGE(
      ""1ZHMy3vVUd_0MrSduXTe1etBb1HNpAlGwQr006ljwMiM"",
      ""GSC最新!A:R""
    ),
    11,
    FALSE
  ),
  0
)
"),0.028846153846153848)</f>
        <v>0.02884615385</v>
      </c>
      <c r="T36" s="9">
        <f>IFERROR(__xludf.DUMMYFUNCTION("IFERROR(
  VLOOKUP(
    A36,
    IMPORTRANGE(
      ""1ZHMy3vVUd_0MrSduXTe1etBb1HNpAlGwQr006ljwMiM"",
      ""GSC最新!A:R""
    ),
    14,
    FALSE
  ),
  0
)
"),0.05)</f>
        <v>0.05</v>
      </c>
      <c r="U36" s="9">
        <f>IFERROR(__xludf.DUMMYFUNCTION("IFERROR(
  VLOOKUP(
    A36,
    IMPORTRANGE(
      ""1ZHMy3vVUd_0MrSduXTe1etBb1HNpAlGwQr006ljwMiM"",
      ""GSC最新!A:R""
    ),
    17,
    FALSE
  ),
  0
)
"),0.02127659574468085)</f>
        <v>0.02127659574</v>
      </c>
      <c r="V36" s="9">
        <f t="shared" ref="V36:W36" si="173">IFERROR(R36-T36,"-")</f>
        <v>0.005555555556</v>
      </c>
      <c r="W36" s="9">
        <f t="shared" si="173"/>
        <v>0.007569558101</v>
      </c>
      <c r="X36" s="65">
        <f>IFERROR(__xludf.DUMMYFUNCTION("IFERROR(
  VLOOKUP(
    A36,
    IMPORTRANGE(
      ""1ZHMy3vVUd_0MrSduXTe1etBb1HNpAlGwQr006ljwMiM"",
      ""GSC最新!A:R""
    ),
    9,
    FALSE
  ),
  0
)
"),8.944444444444445)</f>
        <v>8.944444444</v>
      </c>
      <c r="Y36" s="65">
        <f>IFERROR(__xludf.DUMMYFUNCTION("IFERROR(
  VLOOKUP(
    A36,
    IMPORTRANGE(
      ""1ZHMy3vVUd_0MrSduXTe1etBb1HNpAlGwQr006ljwMiM"",
      ""GSC最新!A:R""
    ),
    12,
    FALSE
  ),
  0
)
"),8.701923076923077)</f>
        <v>8.701923077</v>
      </c>
      <c r="Z36" s="65">
        <f>IFERROR(__xludf.DUMMYFUNCTION("IFERROR(
  VLOOKUP(
    A36,
    IMPORTRANGE(
      ""1ZHMy3vVUd_0MrSduXTe1etBb1HNpAlGwQr006ljwMiM"",
      ""GSC最新!A:R""
    ),
    15,
    FALSE
  ),
  0
)
"),15.9)</f>
        <v>15.9</v>
      </c>
      <c r="AA36" s="65">
        <f>IFERROR(__xludf.DUMMYFUNCTION("IFERROR(
  VLOOKUP(
    A36,
    IMPORTRANGE(
      ""1ZHMy3vVUd_0MrSduXTe1etBb1HNpAlGwQr006ljwMiM"",
      ""GSC最新!A:R""
    ),
    18,
    FALSE
  ),
  0
)
"),13.659574468085106)</f>
        <v>13.65957447</v>
      </c>
      <c r="AB36" s="65">
        <f t="shared" ref="AB36:AC36" si="174">X36-Z36</f>
        <v>-6.955555556</v>
      </c>
      <c r="AC36" s="65">
        <f t="shared" si="174"/>
        <v>-4.957651391</v>
      </c>
      <c r="AD36" s="53">
        <f>IFERROR(__xludf.DUMMYFUNCTION("IFERROR(
  VLOOKUP(
    A36,
    IMPORTRANGE(
      ""1ZHMy3vVUd_0MrSduXTe1etBb1HNpAlGwQr006ljwMiM"",
      ""GSC最新!A:F""
    ),
    6,
    FALSE
  ),
  0
)
"),46081.0)</f>
        <v>46081</v>
      </c>
      <c r="AE36" s="54">
        <f>IFERROR(__xludf.DUMMYFUNCTION("IFERROR(
  VLOOKUP(
    A36,
    IMPORTRANGE(
      ""1SCYQd7_cobOYqT0r_F0IqD4tE4rYn5y8Eup4PJTH8es"",
      ""Snapshot!A:M""
    ),
    5,
    FALSE
  ),
  ""-""
)
"),1.0)</f>
        <v>1</v>
      </c>
      <c r="AF36" s="54">
        <f>IFERROR(__xludf.DUMMYFUNCTION("IFERROR(
  VLOOKUP(
    A36,
    IMPORTRANGE(
      ""1SCYQd7_cobOYqT0r_F0IqD4tE4rYn5y8Eup4PJTH8es"",
      ""Snapshot!A:M""
    ),
    6,
    FALSE
  ),
  0
)
"),0.0)</f>
        <v>0</v>
      </c>
      <c r="AG36" s="54">
        <f>IFERROR(__xludf.DUMMYFUNCTION("IFERROR(
  VLOOKUP(
    A36,
    IMPORTRANGE(
      ""1SCYQd7_cobOYqT0r_F0IqD4tE4rYn5y8Eup4PJTH8es"",
      ""Snapshot!A:M""
    ),
    7,
    FALSE
  ),
  0
)
"),2223.0)</f>
        <v>2223</v>
      </c>
      <c r="AH36" s="54">
        <f>IFERROR(__xludf.DUMMYFUNCTION("IFERROR(
  VLOOKUP(
    A36,
    IMPORTRANGE(
      ""1SCYQd7_cobOYqT0r_F0IqD4tE4rYn5y8Eup4PJTH8es"",
      ""Snapshot!A:M""
    ),
    8,
    FALSE
  ),
  0
)
"),31.0)</f>
        <v>31</v>
      </c>
      <c r="AI36" s="54">
        <f>IFERROR(__xludf.DUMMYFUNCTION("IFERROR(
  VLOOKUP(
    A36,
    IMPORTRANGE(
      ""1SCYQd7_cobOYqT0r_F0IqD4tE4rYn5y8Eup4PJTH8es"",
      ""Snapshot!A:M""
    ),
    9,
    FALSE
  ),
  0
)
"),0.0)</f>
        <v>0</v>
      </c>
      <c r="AJ36" s="54">
        <f>IFERROR(__xludf.DUMMYFUNCTION("IFERROR(
  VLOOKUP(
    A36,
    IMPORTRANGE(
      ""1SCYQd7_cobOYqT0r_F0IqD4tE4rYn5y8Eup4PJTH8es"",
      ""Snapshot!A:M""
    ),
    13,
    FALSE
  ),
  0
)
"),2.0)</f>
        <v>2</v>
      </c>
      <c r="AK36" s="49">
        <f t="shared" ref="AK36:AL36" si="175">LEN(C36)</f>
        <v>27</v>
      </c>
      <c r="AL36" s="49">
        <f t="shared" si="175"/>
        <v>58</v>
      </c>
    </row>
    <row r="37">
      <c r="A37" s="3" t="s">
        <v>179</v>
      </c>
      <c r="B37" s="1" t="str">
        <f>IFERROR(__xludf.DUMMYFUNCTION("IFERROR(
  VLOOKUP(
    A37,
    IMPORTRANGE(
      ""1ZygntHC1J6IxzKbTidmOyf5nUyW4GCLurHCjexrLm_o"",
      ""HTMLキャッシュ!A:F""
    ),
    2,
    FALSE
  ),
  0
)
"),"-")</f>
        <v>-</v>
      </c>
      <c r="C37" s="1" t="str">
        <f>IFERROR(__xludf.DUMMYFUNCTION("IFERROR(
  VLOOKUP(
    A37,
    IMPORTRANGE(
      ""1ZygntHC1J6IxzKbTidmOyf5nUyW4GCLurHCjexrLm_o"",
      ""HTMLキャッシュ!A:F""
    ),
    5,
    FALSE
  ),
  0
)
"),"国語 - 中高一貫校専門塾エスコット(Escot)～定期試験対策から大学受験指導まで～")</f>
        <v>国語 - 中高一貫校専門塾エスコット(Escot)～定期試験対策から大学受験指導まで～</v>
      </c>
      <c r="D37" s="1" t="str">
        <f>IFERROR(__xludf.DUMMYFUNCTION("IFERROR(
  VLOOKUP(
    A37,
    IMPORTRANGE(
      ""1ZygntHC1J6IxzKbTidmOyf5nUyW4GCLurHCjexrLm_o        "",
      ""HTMLキャッシュ!A:F""
    ),
    6,
    FALSE
  ),
  0
)
"),"国語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国語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37" s="32">
        <f>IFERROR(__xludf.DUMMYFUNCTION("IFERROR(
  VLOOKUP(
    A37,
    IMPORTRANGE(
      ""1ZygntHC1J6IxzKbTidmOyf5nUyW4GCLurHCjexrLm_o        "",
      ""HTMLキャッシュ!A:F""
    ),
    3,
    FALSE
  ),
  0
)
"),25569.375)</f>
        <v>25569.375</v>
      </c>
      <c r="F37" s="49">
        <f>IFERROR(__xludf.DUMMYFUNCTION("IFERROR(
  VLOOKUP(
    A37,
    IMPORTRANGE(
      ""1ZHMy3vVUd_0MrSduXTe1etBb1HNpAlGwQr006ljwMiM"",
      ""GSC最新!A:F""
    ),
    2,
    FALSE
  ),
  0
)
"),5.0)</f>
        <v>5</v>
      </c>
      <c r="G37" s="49">
        <f>IFERROR(__xludf.DUMMYFUNCTION("IFERROR(
  VLOOKUP(
    A37,
    IMPORTRANGE(
      ""1ZHMy3vVUd_0MrSduXTe1etBb1HNpAlGwQr006ljwMiM"",
      ""GSC最新!A:F""
    ),
    3,
    FALSE
  ),
  0
)
"),5.0)</f>
        <v>5</v>
      </c>
      <c r="H37" s="49">
        <f>IFERROR(__xludf.DUMMYFUNCTION("IFERROR(
  VLOOKUP(
    A37,
    IMPORTRANGE(
      ""1ZHMy3vVUd_0MrSduXTe1etBb1HNpAlGwQr006ljwMiM"",
      ""GSC最新!A:F""
    ),
    4,
    FALSE
  ),
  0
)
"),3.0)</f>
        <v>3</v>
      </c>
      <c r="I37" s="49">
        <f>IFERROR(__xludf.DUMMYFUNCTION("IFERROR(
  VLOOKUP(
    A37,
    IMPORTRANGE(
      ""1ZHMy3vVUd_0MrSduXTe1etBb1HNpAlGwQr006ljwMiM"",
      ""GSC最新!A:F""
    ),
    5,
    FALSE
  ),
  0
)
"),5.0)</f>
        <v>5</v>
      </c>
      <c r="J37" s="50">
        <f t="shared" ref="J37:K37" si="176">IFERROR(F37/H37,"-")</f>
        <v>1.666666667</v>
      </c>
      <c r="K37" s="50">
        <f t="shared" si="176"/>
        <v>1</v>
      </c>
      <c r="L37" s="6">
        <f>IFERROR(__xludf.DUMMYFUNCTION("IFERROR(
  VLOOKUP(
    A37,
    IMPORTRANGE(
      ""1ZHMy3vVUd_0MrSduXTe1etBb1HNpAlGwQr006ljwMiM"",
      ""GSC最新!A:R""
    ),
    7,
    FALSE
  ),
  0
)
"),43.0)</f>
        <v>43</v>
      </c>
      <c r="M37" s="6">
        <f>IFERROR(__xludf.DUMMYFUNCTION("IFERROR(
  VLOOKUP(
    A37,
    IMPORTRANGE(
      ""1ZHMy3vVUd_0MrSduXTe1etBb1HNpAlGwQr006ljwMiM"",
      ""GSC最新!A:R""
    ),
    10,
    FALSE
  ),
  0
)
"),69.0)</f>
        <v>69</v>
      </c>
      <c r="N37" s="6">
        <f>IFERROR(__xludf.DUMMYFUNCTION("IFERROR(
  VLOOKUP(
    A37,
    IMPORTRANGE(
      ""1ZHMy3vVUd_0MrSduXTe1etBb1HNpAlGwQr006ljwMiM"",
      ""GSC最新!A:R""
    ),
    13,
    FALSE
  ),
  0
)
"),82.0)</f>
        <v>82</v>
      </c>
      <c r="O37" s="6">
        <f>IFERROR(__xludf.DUMMYFUNCTION("IFERROR(
  VLOOKUP(
    A37,
    IMPORTRANGE(
      ""1ZHMy3vVUd_0MrSduXTe1etBb1HNpAlGwQr006ljwMiM"",
      ""GSC最新!A:R""
    ),
    16,
    FALSE
  ),
  0
)
"),182.0)</f>
        <v>182</v>
      </c>
      <c r="P37" s="51">
        <f t="shared" ref="P37:Q37" si="177">IFERROR(L37/N37,"-")</f>
        <v>0.5243902439</v>
      </c>
      <c r="Q37" s="51">
        <f t="shared" si="177"/>
        <v>0.3791208791</v>
      </c>
      <c r="R37" s="9">
        <f>IFERROR(__xludf.DUMMYFUNCTION("IFERROR(
  VLOOKUP(
    A37,
    IMPORTRANGE(
      ""1ZHMy3vVUd_0MrSduXTe1etBb1HNpAlGwQr006ljwMiM"",
      ""GSC最新!A:R""
    ),
    8,
    FALSE
  ),
  0
)
"),0.11627906976744186)</f>
        <v>0.1162790698</v>
      </c>
      <c r="S37" s="9">
        <f>IFERROR(__xludf.DUMMYFUNCTION("IFERROR(
  VLOOKUP(
    A37,
    IMPORTRANGE(
      ""1ZHMy3vVUd_0MrSduXTe1etBb1HNpAlGwQr006ljwMiM"",
      ""GSC最新!A:R""
    ),
    11,
    FALSE
  ),
  0
)
"),0.07246376811594203)</f>
        <v>0.07246376812</v>
      </c>
      <c r="T37" s="9">
        <f>IFERROR(__xludf.DUMMYFUNCTION("IFERROR(
  VLOOKUP(
    A37,
    IMPORTRANGE(
      ""1ZHMy3vVUd_0MrSduXTe1etBb1HNpAlGwQr006ljwMiM"",
      ""GSC最新!A:R""
    ),
    14,
    FALSE
  ),
  0
)
"),0.036585365853658534)</f>
        <v>0.03658536585</v>
      </c>
      <c r="U37" s="9">
        <f>IFERROR(__xludf.DUMMYFUNCTION("IFERROR(
  VLOOKUP(
    A37,
    IMPORTRANGE(
      ""1ZHMy3vVUd_0MrSduXTe1etBb1HNpAlGwQr006ljwMiM"",
      ""GSC最新!A:R""
    ),
    17,
    FALSE
  ),
  0
)
"),0.027472527472527472)</f>
        <v>0.02747252747</v>
      </c>
      <c r="V37" s="9">
        <f t="shared" ref="V37:W37" si="178">IFERROR(R37-T37,"-")</f>
        <v>0.07969370391</v>
      </c>
      <c r="W37" s="9">
        <f t="shared" si="178"/>
        <v>0.04499124064</v>
      </c>
      <c r="X37" s="65">
        <f>IFERROR(__xludf.DUMMYFUNCTION("IFERROR(
  VLOOKUP(
    A37,
    IMPORTRANGE(
      ""1ZHMy3vVUd_0MrSduXTe1etBb1HNpAlGwQr006ljwMiM"",
      ""GSC最新!A:R""
    ),
    9,
    FALSE
  ),
  0
)
"),5.27906976744186)</f>
        <v>5.279069767</v>
      </c>
      <c r="Y37" s="65">
        <f>IFERROR(__xludf.DUMMYFUNCTION("IFERROR(
  VLOOKUP(
    A37,
    IMPORTRANGE(
      ""1ZHMy3vVUd_0MrSduXTe1etBb1HNpAlGwQr006ljwMiM"",
      ""GSC最新!A:R""
    ),
    12,
    FALSE
  ),
  0
)
"),7.202898550724638)</f>
        <v>7.202898551</v>
      </c>
      <c r="Z37" s="65">
        <f>IFERROR(__xludf.DUMMYFUNCTION("IFERROR(
  VLOOKUP(
    A37,
    IMPORTRANGE(
      ""1ZHMy3vVUd_0MrSduXTe1etBb1HNpAlGwQr006ljwMiM"",
      ""GSC最新!A:R""
    ),
    15,
    FALSE
  ),
  0
)
"),35.451219512195124)</f>
        <v>35.45121951</v>
      </c>
      <c r="AA37" s="65">
        <f>IFERROR(__xludf.DUMMYFUNCTION("IFERROR(
  VLOOKUP(
    A37,
    IMPORTRANGE(
      ""1ZHMy3vVUd_0MrSduXTe1etBb1HNpAlGwQr006ljwMiM"",
      ""GSC最新!A:R""
    ),
    18,
    FALSE
  ),
  0
)
"),39.434065934065934)</f>
        <v>39.43406593</v>
      </c>
      <c r="AB37" s="65">
        <f t="shared" ref="AB37:AC37" si="179">X37-Z37</f>
        <v>-30.17214974</v>
      </c>
      <c r="AC37" s="65">
        <f t="shared" si="179"/>
        <v>-32.23116738</v>
      </c>
      <c r="AD37" s="53">
        <f>IFERROR(__xludf.DUMMYFUNCTION("IFERROR(
  VLOOKUP(
    A37,
    IMPORTRANGE(
      ""1ZHMy3vVUd_0MrSduXTe1etBb1HNpAlGwQr006ljwMiM"",
      ""GSC最新!A:F""
    ),
    6,
    FALSE
  ),
  0
)
"),46081.0)</f>
        <v>46081</v>
      </c>
      <c r="AE37" s="54">
        <f>IFERROR(__xludf.DUMMYFUNCTION("IFERROR(
  VLOOKUP(
    A37,
    IMPORTRANGE(
      ""1SCYQd7_cobOYqT0r_F0IqD4tE4rYn5y8Eup4PJTH8es"",
      ""Snapshot!A:M""
    ),
    5,
    FALSE
  ),
  ""-""
)
"),0.0)</f>
        <v>0</v>
      </c>
      <c r="AF37" s="54">
        <f>IFERROR(__xludf.DUMMYFUNCTION("IFERROR(
  VLOOKUP(
    A37,
    IMPORTRANGE(
      ""1SCYQd7_cobOYqT0r_F0IqD4tE4rYn5y8Eup4PJTH8es"",
      ""Snapshot!A:M""
    ),
    6,
    FALSE
  ),
  0
)
"),0.0)</f>
        <v>0</v>
      </c>
      <c r="AG37" s="54">
        <f>IFERROR(__xludf.DUMMYFUNCTION("IFERROR(
  VLOOKUP(
    A37,
    IMPORTRANGE(
      ""1SCYQd7_cobOYqT0r_F0IqD4tE4rYn5y8Eup4PJTH8es"",
      ""Snapshot!A:M""
    ),
    7,
    FALSE
  ),
  0
)
"),0.0)</f>
        <v>0</v>
      </c>
      <c r="AH37" s="54">
        <f>IFERROR(__xludf.DUMMYFUNCTION("IFERROR(
  VLOOKUP(
    A37,
    IMPORTRANGE(
      ""1SCYQd7_cobOYqT0r_F0IqD4tE4rYn5y8Eup4PJTH8es"",
      ""Snapshot!A:M""
    ),
    8,
    FALSE
  ),
  0
)
"),0.0)</f>
        <v>0</v>
      </c>
      <c r="AI37" s="54">
        <f>IFERROR(__xludf.DUMMYFUNCTION("IFERROR(
  VLOOKUP(
    A37,
    IMPORTRANGE(
      ""1SCYQd7_cobOYqT0r_F0IqD4tE4rYn5y8Eup4PJTH8es"",
      ""Snapshot!A:M""
    ),
    9,
    FALSE
  ),
  0
)
"),0.0)</f>
        <v>0</v>
      </c>
      <c r="AJ37" s="54">
        <f>IFERROR(__xludf.DUMMYFUNCTION("IFERROR(
  VLOOKUP(
    A37,
    IMPORTRANGE(
      ""1SCYQd7_cobOYqT0r_F0IqD4tE4rYn5y8Eup4PJTH8es"",
      ""Snapshot!A:M""
    ),
    13,
    FALSE
  ),
  0
)
"),1.0)</f>
        <v>1</v>
      </c>
      <c r="AK37" s="49">
        <f t="shared" ref="AK37:AL37" si="180">LEN(C37)</f>
        <v>43</v>
      </c>
      <c r="AL37" s="49">
        <f t="shared" si="180"/>
        <v>116</v>
      </c>
    </row>
    <row r="38">
      <c r="A38" s="3" t="s">
        <v>748</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"),"中だるみで落ちこぼれにならないために学習法を見つめなおそう - 中高一貫校専門塾エスコット(Escot)～定期試験対策から大学受験指導まで～")</f>
        <v>中だるみで落ちこぼれにならないために学習法を見つめなおそう - 中高一貫校専門塾エスコット(Escot)～定期試験対策から大学受験指導まで～</v>
      </c>
      <c r="D38" s="1" t="str">
        <f>IFERROR(__xludf.DUMMYFUNCTION("IFERROR(
  VLOOKUP(
    A38,
    IMPORTRANGE(
      ""1ZygntHC1J6IxzKbTidmOyf5nUyW4GCLurHCjexrLm_o        "",
      ""HTMLキャッシュ!A:F""
    ),
    6,
    FALSE
  ),
  0
)
"),"家庭学習の環境を整え、目標を細かく設定して学習習慣を定着させましょう。中高一貫生特有の中だるみを防ぎ、効率的に受験勉強を進めるためのアドバイスとサポートを提供します。")</f>
        <v>家庭学習の環境を整え、目標を細かく設定して学習習慣を定着させましょう。中高一貫生特有の中だるみを防ぎ、効率的に受験勉強を進めるためのアドバイスとサポートを提供します。</v>
      </c>
      <c r="E38" s="32">
        <f>IFERROR(__xludf.DUMMYFUNCTION("IFERROR(
  VLOOKUP(
    A38,
    IMPORTRANGE(
      ""1ZygntHC1J6IxzKbTidmOyf5nUyW4GCLurHCjexrLm_o        "",
      ""HTMLキャッシュ!A:F""
    ),
    3,
    FALSE
  ),
  0
)
"),46078.85655092593)</f>
        <v>46078.85655</v>
      </c>
      <c r="F38" s="49">
        <f>IFERROR(__xludf.DUMMYFUNCTION("IFERROR(
  VLOOKUP(
    A38,
    IMPORTRANGE(
      ""1ZHMy3vVUd_0MrSduXTe1etBb1HNpAlGwQr006ljwMiM"",
      ""GSC最新!A:F""
    ),
    2,
    FALSE
  ),
  0
)
"),0.0)</f>
        <v>0</v>
      </c>
      <c r="G38" s="49">
        <f>IFERROR(__xludf.DUMMYFUNCTION("IFERROR(
  VLOOKUP(
    A38,
    IMPORTRANGE(
      ""1ZHMy3vVUd_0MrSduXTe1etBb1HNpAlGwQr006ljwMiM"",
      ""GSC最新!A:F""
    ),
    3,
    FALSE
  ),
  0
)
"),2.0)</f>
        <v>2</v>
      </c>
      <c r="H38" s="49">
        <f>IFERROR(__xludf.DUMMYFUNCTION("IFERROR(
  VLOOKUP(
    A38,
    IMPORTRANGE(
      ""1ZHMy3vVUd_0MrSduXTe1etBb1HNpAlGwQr006ljwMiM"",
      ""GSC最新!A:F""
    ),
    4,
    FALSE
  ),
  0
)
"),2.0)</f>
        <v>2</v>
      </c>
      <c r="I38" s="49">
        <f>IFERROR(__xludf.DUMMYFUNCTION("IFERROR(
  VLOOKUP(
    A38,
    IMPORTRANGE(
      ""1ZHMy3vVUd_0MrSduXTe1etBb1HNpAlGwQr006ljwMiM"",
      ""GSC最新!A:F""
    ),
    5,
    FALSE
  ),
  0
)
"),4.0)</f>
        <v>4</v>
      </c>
      <c r="J38" s="50">
        <f t="shared" ref="J38:K38" si="181">IFERROR(F38/H38,"-")</f>
        <v>0</v>
      </c>
      <c r="K38" s="50">
        <f t="shared" si="181"/>
        <v>0.5</v>
      </c>
      <c r="L38" s="6">
        <f>IFERROR(__xludf.DUMMYFUNCTION("IFERROR(
  VLOOKUP(
    A38,
    IMPORTRANGE(
      ""1ZHMy3vVUd_0MrSduXTe1etBb1HNpAlGwQr006ljwMiM"",
      ""GSC最新!A:R""
    ),
    7,
    FALSE
  ),
  0
)
"),13.0)</f>
        <v>13</v>
      </c>
      <c r="M38" s="6">
        <f>IFERROR(__xludf.DUMMYFUNCTION("IFERROR(
  VLOOKUP(
    A38,
    IMPORTRANGE(
      ""1ZHMy3vVUd_0MrSduXTe1etBb1HNpAlGwQr006ljwMiM"",
      ""GSC最新!A:R""
    ),
    10,
    FALSE
  ),
  0
)
"),47.0)</f>
        <v>47</v>
      </c>
      <c r="N38" s="6">
        <f>IFERROR(__xludf.DUMMYFUNCTION("IFERROR(
  VLOOKUP(
    A38,
    IMPORTRANGE(
      ""1ZHMy3vVUd_0MrSduXTe1etBb1HNpAlGwQr006ljwMiM"",
      ""GSC最新!A:R""
    ),
    13,
    FALSE
  ),
  0
)
"),180.0)</f>
        <v>180</v>
      </c>
      <c r="O38" s="6">
        <f>IFERROR(__xludf.DUMMYFUNCTION("IFERROR(
  VLOOKUP(
    A38,
    IMPORTRANGE(
      ""1ZHMy3vVUd_0MrSduXTe1etBb1HNpAlGwQr006ljwMiM"",
      ""GSC最新!A:R""
    ),
    16,
    FALSE
  ),
  0
)
"),332.0)</f>
        <v>332</v>
      </c>
      <c r="P38" s="51">
        <f t="shared" ref="P38:Q38" si="182">IFERROR(L38/N38,"-")</f>
        <v>0.07222222222</v>
      </c>
      <c r="Q38" s="51">
        <f t="shared" si="182"/>
        <v>0.1415662651</v>
      </c>
      <c r="R38" s="9">
        <f>IFERROR(__xludf.DUMMYFUNCTION("IFERROR(
  VLOOKUP(
    A38,
    IMPORTRANGE(
      ""1ZHMy3vVUd_0MrSduXTe1etBb1HNpAlGwQr006ljwMiM"",
      ""GSC最新!A:R""
    ),
    8,
    FALSE
  ),
  0
)
"),0.0)</f>
        <v>0</v>
      </c>
      <c r="S38" s="9">
        <f>IFERROR(__xludf.DUMMYFUNCTION("IFERROR(
  VLOOKUP(
    A38,
    IMPORTRANGE(
      ""1ZHMy3vVUd_0MrSduXTe1etBb1HNpAlGwQr006ljwMiM"",
      ""GSC最新!A:R""
    ),
    11,
    FALSE
  ),
  0
)
"),0.0425531914893617)</f>
        <v>0.04255319149</v>
      </c>
      <c r="T38" s="9">
        <f>IFERROR(__xludf.DUMMYFUNCTION("IFERROR(
  VLOOKUP(
    A38,
    IMPORTRANGE(
      ""1ZHMy3vVUd_0MrSduXTe1etBb1HNpAlGwQr006ljwMiM"",
      ""GSC最新!A:R""
    ),
    14,
    FALSE
  ),
  0
)
"),0.011111111111111112)</f>
        <v>0.01111111111</v>
      </c>
      <c r="U38" s="9">
        <f>IFERROR(__xludf.DUMMYFUNCTION("IFERROR(
  VLOOKUP(
    A38,
    IMPORTRANGE(
      ""1ZHMy3vVUd_0MrSduXTe1etBb1HNpAlGwQr006ljwMiM"",
      ""GSC最新!A:R""
    ),
    17,
    FALSE
  ),
  0
)
"),0.012048192771084338)</f>
        <v>0.01204819277</v>
      </c>
      <c r="V38" s="9">
        <f t="shared" ref="V38:W38" si="183">IFERROR(R38-T38,"-")</f>
        <v>-0.01111111111</v>
      </c>
      <c r="W38" s="9">
        <f t="shared" si="183"/>
        <v>0.03050499872</v>
      </c>
      <c r="X38" s="65">
        <f>IFERROR(__xludf.DUMMYFUNCTION("IFERROR(
  VLOOKUP(
    A38,
    IMPORTRANGE(
      ""1ZHMy3vVUd_0MrSduXTe1etBb1HNpAlGwQr006ljwMiM"",
      ""GSC最新!A:R""
    ),
    9,
    FALSE
  ),
  0
)
"),11.923076923076923)</f>
        <v>11.92307692</v>
      </c>
      <c r="Y38" s="65">
        <f>IFERROR(__xludf.DUMMYFUNCTION("IFERROR(
  VLOOKUP(
    A38,
    IMPORTRANGE(
      ""1ZHMy3vVUd_0MrSduXTe1etBb1HNpAlGwQr006ljwMiM"",
      ""GSC最新!A:R""
    ),
    12,
    FALSE
  ),
  0
)
"),12.957446808510639)</f>
        <v>12.95744681</v>
      </c>
      <c r="Z38" s="65">
        <f>IFERROR(__xludf.DUMMYFUNCTION("IFERROR(
  VLOOKUP(
    A38,
    IMPORTRANGE(
      ""1ZHMy3vVUd_0MrSduXTe1etBb1HNpAlGwQr006ljwMiM"",
      ""GSC最新!A:R""
    ),
    15,
    FALSE
  ),
  0
)
"),33.55)</f>
        <v>33.55</v>
      </c>
      <c r="AA38" s="65">
        <f>IFERROR(__xludf.DUMMYFUNCTION("IFERROR(
  VLOOKUP(
    A38,
    IMPORTRANGE(
      ""1ZHMy3vVUd_0MrSduXTe1etBb1HNpAlGwQr006ljwMiM"",
      ""GSC最新!A:R""
    ),
    18,
    FALSE
  ),
  0
)
"),36.72289156626506)</f>
        <v>36.72289157</v>
      </c>
      <c r="AB38" s="65">
        <f t="shared" ref="AB38:AC38" si="184">X38-Z38</f>
        <v>-21.62692308</v>
      </c>
      <c r="AC38" s="65">
        <f t="shared" si="184"/>
        <v>-23.76544476</v>
      </c>
      <c r="AD38" s="53">
        <f>IFERROR(__xludf.DUMMYFUNCTION("IFERROR(
  VLOOKUP(
    A38,
    IMPORTRANGE(
      ""1ZHMy3vVUd_0MrSduXTe1etBb1HNpAlGwQr006ljwMiM"",
      ""GSC最新!A:F""
    ),
    6,
    FALSE
  ),
  0
)
"),46081.0)</f>
        <v>46081</v>
      </c>
      <c r="AE38" s="54">
        <f>IFERROR(__xludf.DUMMYFUNCTION("IFERROR(
  VLOOKUP(
    A38,
    IMPORTRANGE(
      ""1SCYQd7_cobOYqT0r_F0IqD4tE4rYn5y8Eup4PJTH8es"",
      ""Snapshot!A:M""
    ),
    5,
    FALSE
  ),
  ""-""
)
"),0.0)</f>
        <v>0</v>
      </c>
      <c r="AF38" s="54">
        <f>IFERROR(__xludf.DUMMYFUNCTION("IFERROR(
  VLOOKUP(
    A38,
    IMPORTRANGE(
      ""1SCYQd7_cobOYqT0r_F0IqD4tE4rYn5y8Eup4PJTH8es"",
      ""Snapshot!A:M""
    ),
    6,
    FALSE
  ),
  0
)
"),0.0)</f>
        <v>0</v>
      </c>
      <c r="AG38" s="54">
        <f>IFERROR(__xludf.DUMMYFUNCTION("IFERROR(
  VLOOKUP(
    A38,
    IMPORTRANGE(
      ""1SCYQd7_cobOYqT0r_F0IqD4tE4rYn5y8Eup4PJTH8es"",
      ""Snapshot!A:M""
    ),
    7,
    FALSE
  ),
  0
)
"),1786.0)</f>
        <v>1786</v>
      </c>
      <c r="AH38" s="54">
        <f>IFERROR(__xludf.DUMMYFUNCTION("IFERROR(
  VLOOKUP(
    A38,
    IMPORTRANGE(
      ""1SCYQd7_cobOYqT0r_F0IqD4tE4rYn5y8Eup4PJTH8es"",
      ""Snapshot!A:M""
    ),
    8,
    FALSE
  ),
  0
)
"),5.0)</f>
        <v>5</v>
      </c>
      <c r="AI38" s="54">
        <f>IFERROR(__xludf.DUMMYFUNCTION("IFERROR(
  VLOOKUP(
    A38,
    IMPORTRANGE(
      ""1SCYQd7_cobOYqT0r_F0IqD4tE4rYn5y8Eup4PJTH8es"",
      ""Snapshot!A:M""
    ),
    9,
    FALSE
  ),
  0
)
"),2.0)</f>
        <v>2</v>
      </c>
      <c r="AJ38" s="54">
        <f>IFERROR(__xludf.DUMMYFUNCTION("IFERROR(
  VLOOKUP(
    A38,
    IMPORTRANGE(
      ""1SCYQd7_cobOYqT0r_F0IqD4tE4rYn5y8Eup4PJTH8es"",
      ""Snapshot!A:M""
    ),
    13,
    FALSE
  ),
  0
)
"),2.0)</f>
        <v>2</v>
      </c>
      <c r="AK38" s="49">
        <f t="shared" ref="AK38:AL38" si="185">LEN(C38)</f>
        <v>70</v>
      </c>
      <c r="AL38" s="49">
        <f t="shared" si="185"/>
        <v>83</v>
      </c>
    </row>
    <row r="39">
      <c r="A39" s="3" t="s">
        <v>749</v>
      </c>
      <c r="B39" s="1" t="str">
        <f>IFERROR(__xludf.DUMMYFUNCTION("IFERROR(
  VLOOKUP(
    A39,
    IMPORTRANGE(
      ""1ZygntHC1J6IxzKbTidmOyf5nUyW4GCLurHCjexrLm_o"",
      ""HTMLキャッシュ!A:F""
    ),
    2,
    FALSE
  ),
  0
)
"),"SC")</f>
        <v>SC</v>
      </c>
      <c r="C39" s="1" t="str">
        <f>IFERROR(__xludf.DUMMYFUNCTION("IFERROR(
  VLOOKUP(
    A39,
    IMPORTRANGE(
      ""1ZygntHC1J6IxzKbTidmOyf5nUyW4GCLurHCjexrLm_o"",
      ""HTMLキャッシュ!A:F""
    ),
    5,
    FALSE
  ),
  0
)
"),"親が子の高校受験に対してやる気にさせる方法 - 中高一貫校専門塾エスコット(Escot)～定期試験対策から大学受験指導まで～")</f>
        <v>親が子の高校受験に対してやる気にさせる方法 - 中高一貫校専門塾エスコット(Escot)～定期試験対策から大学受験指導まで～</v>
      </c>
      <c r="D39" s="1" t="str">
        <f>IFERROR(__xludf.DUMMYFUNCTION("IFERROR(
  VLOOKUP(
    A39,
    IMPORTRANGE(
      ""1ZygntHC1J6IxzKbTidmOyf5nUyW4GCLurHCjexrLm_o        "",
      ""HTMLキャッシュ!A:F""
    ),
    6,
    FALSE
  ),
  0
)
"),"親が子の高校受験に対してやる気にさせる方法 高校受験対して親が子をやる気にさせるためには、どうしたら良いのでし")</f>
        <v>親が子の高校受験に対してやる気にさせる方法 高校受験対して親が子をやる気にさせるためには、どうしたら良いのでし</v>
      </c>
      <c r="E39" s="32">
        <f>IFERROR(__xludf.DUMMYFUNCTION("IFERROR(
  VLOOKUP(
    A39,
    IMPORTRANGE(
      ""1ZygntHC1J6IxzKbTidmOyf5nUyW4GCLurHCjexrLm_o        "",
      ""HTMLキャッシュ!A:F""
    ),
    3,
    FALSE
  ),
  0
)
"),46078.85538194444)</f>
        <v>46078.85538</v>
      </c>
      <c r="F39" s="49">
        <f>IFERROR(__xludf.DUMMYFUNCTION("IFERROR(
  VLOOKUP(
    A39,
    IMPORTRANGE(
      ""1ZHMy3vVUd_0MrSduXTe1etBb1HNpAlGwQr006ljwMiM"",
      ""GSC最新!A:F""
    ),
    2,
    FALSE
  ),
  0
)
"),0.0)</f>
        <v>0</v>
      </c>
      <c r="G39" s="49">
        <f>IFERROR(__xludf.DUMMYFUNCTION("IFERROR(
  VLOOKUP(
    A39,
    IMPORTRANGE(
      ""1ZHMy3vVUd_0MrSduXTe1etBb1HNpAlGwQr006ljwMiM"",
      ""GSC最新!A:F""
    ),
    3,
    FALSE
  ),
  0
)
"),2.0)</f>
        <v>2</v>
      </c>
      <c r="H39" s="49">
        <f>IFERROR(__xludf.DUMMYFUNCTION("IFERROR(
  VLOOKUP(
    A39,
    IMPORTRANGE(
      ""1ZHMy3vVUd_0MrSduXTe1etBb1HNpAlGwQr006ljwMiM"",
      ""GSC最新!A:F""
    ),
    4,
    FALSE
  ),
  0
)
"),0.0)</f>
        <v>0</v>
      </c>
      <c r="I39" s="49">
        <f>IFERROR(__xludf.DUMMYFUNCTION("IFERROR(
  VLOOKUP(
    A39,
    IMPORTRANGE(
      ""1ZHMy3vVUd_0MrSduXTe1etBb1HNpAlGwQr006ljwMiM"",
      ""GSC最新!A:F""
    ),
    5,
    FALSE
  ),
  0
)
"),0.0)</f>
        <v>0</v>
      </c>
      <c r="J39" s="50" t="str">
        <f t="shared" ref="J39:K39" si="186">IFERROR(F39/H39,"-")</f>
        <v>-</v>
      </c>
      <c r="K39" s="50" t="str">
        <f t="shared" si="186"/>
        <v>-</v>
      </c>
      <c r="L39" s="6">
        <f>IFERROR(__xludf.DUMMYFUNCTION("IFERROR(
  VLOOKUP(
    A39,
    IMPORTRANGE(
      ""1ZHMy3vVUd_0MrSduXTe1etBb1HNpAlGwQr006ljwMiM"",
      ""GSC最新!A:R""
    ),
    7,
    FALSE
  ),
  0
)
"),4.0)</f>
        <v>4</v>
      </c>
      <c r="M39" s="6">
        <f>IFERROR(__xludf.DUMMYFUNCTION("IFERROR(
  VLOOKUP(
    A39,
    IMPORTRANGE(
      ""1ZHMy3vVUd_0MrSduXTe1etBb1HNpAlGwQr006ljwMiM"",
      ""GSC最新!A:R""
    ),
    10,
    FALSE
  ),
  0
)
"),18.0)</f>
        <v>18</v>
      </c>
      <c r="N39" s="6">
        <f>IFERROR(__xludf.DUMMYFUNCTION("IFERROR(
  VLOOKUP(
    A39,
    IMPORTRANGE(
      ""1ZHMy3vVUd_0MrSduXTe1etBb1HNpAlGwQr006ljwMiM"",
      ""GSC最新!A:R""
    ),
    13,
    FALSE
  ),
  0
)
"),0.0)</f>
        <v>0</v>
      </c>
      <c r="O39" s="6">
        <f>IFERROR(__xludf.DUMMYFUNCTION("IFERROR(
  VLOOKUP(
    A39,
    IMPORTRANGE(
      ""1ZHMy3vVUd_0MrSduXTe1etBb1HNpAlGwQr006ljwMiM"",
      ""GSC最新!A:R""
    ),
    16,
    FALSE
  ),
  0
)
"),0.0)</f>
        <v>0</v>
      </c>
      <c r="P39" s="51" t="str">
        <f t="shared" ref="P39:Q39" si="187">IFERROR(L39/N39,"-")</f>
        <v>-</v>
      </c>
      <c r="Q39" s="51" t="str">
        <f t="shared" si="187"/>
        <v>-</v>
      </c>
      <c r="R39" s="9">
        <f>IFERROR(__xludf.DUMMYFUNCTION("IFERROR(
  VLOOKUP(
    A39,
    IMPORTRANGE(
      ""1ZHMy3vVUd_0MrSduXTe1etBb1HNpAlGwQr006ljwMiM"",
      ""GSC最新!A:R""
    ),
    8,
    FALSE
  ),
  0
)
"),0.0)</f>
        <v>0</v>
      </c>
      <c r="S39" s="9">
        <f>IFERROR(__xludf.DUMMYFUNCTION("IFERROR(
  VLOOKUP(
    A39,
    IMPORTRANGE(
      ""1ZHMy3vVUd_0MrSduXTe1etBb1HNpAlGwQr006ljwMiM"",
      ""GSC最新!A:R""
    ),
    11,
    FALSE
  ),
  0
)
"),0.1111111111111111)</f>
        <v>0.1111111111</v>
      </c>
      <c r="T39" s="9">
        <f>IFERROR(__xludf.DUMMYFUNCTION("IFERROR(
  VLOOKUP(
    A39,
    IMPORTRANGE(
      ""1ZHMy3vVUd_0MrSduXTe1etBb1HNpAlGwQr006ljwMiM"",
      ""GSC最新!A:R""
    ),
    14,
    FALSE
  ),
  0
)
"),0.0)</f>
        <v>0</v>
      </c>
      <c r="U39" s="9">
        <f>IFERROR(__xludf.DUMMYFUNCTION("IFERROR(
  VLOOKUP(
    A39,
    IMPORTRANGE(
      ""1ZHMy3vVUd_0MrSduXTe1etBb1HNpAlGwQr006ljwMiM"",
      ""GSC最新!A:R""
    ),
    17,
    FALSE
  ),
  0
)
"),0.0)</f>
        <v>0</v>
      </c>
      <c r="V39" s="9">
        <f t="shared" ref="V39:W39" si="188">IFERROR(R39-T39,"-")</f>
        <v>0</v>
      </c>
      <c r="W39" s="9">
        <f t="shared" si="188"/>
        <v>0.1111111111</v>
      </c>
      <c r="X39" s="65">
        <f>IFERROR(__xludf.DUMMYFUNCTION("IFERROR(
  VLOOKUP(
    A39,
    IMPORTRANGE(
      ""1ZHMy3vVUd_0MrSduXTe1etBb1HNpAlGwQr006ljwMiM"",
      ""GSC最新!A:R""
    ),
    9,
    FALSE
  ),
  0
)
"),6.75)</f>
        <v>6.75</v>
      </c>
      <c r="Y39" s="65">
        <f>IFERROR(__xludf.DUMMYFUNCTION("IFERROR(
  VLOOKUP(
    A39,
    IMPORTRANGE(
      ""1ZHMy3vVUd_0MrSduXTe1etBb1HNpAlGwQr006ljwMiM"",
      ""GSC最新!A:R""
    ),
    12,
    FALSE
  ),
  0
)
"),7.333333333333333)</f>
        <v>7.333333333</v>
      </c>
      <c r="Z39" s="65" t="str">
        <f>IFERROR(__xludf.DUMMYFUNCTION("IFERROR(
  VLOOKUP(
    A39,
    IMPORTRANGE(
      ""1ZHMy3vVUd_0MrSduXTe1etBb1HNpAlGwQr006ljwMiM"",
      ""GSC最新!A:R""
    ),
    15,
    FALSE
  ),
  0
)
"),"")</f>
        <v/>
      </c>
      <c r="AA39" s="65" t="str">
        <f>IFERROR(__xludf.DUMMYFUNCTION("IFERROR(
  VLOOKUP(
    A39,
    IMPORTRANGE(
      ""1ZHMy3vVUd_0MrSduXTe1etBb1HNpAlGwQr006ljwMiM"",
      ""GSC最新!A:R""
    ),
    18,
    FALSE
  ),
  0
)
"),"")</f>
        <v/>
      </c>
      <c r="AB39" s="65">
        <f t="shared" ref="AB39:AC39" si="189">X39-Z39</f>
        <v>6.75</v>
      </c>
      <c r="AC39" s="65">
        <f t="shared" si="189"/>
        <v>7.333333333</v>
      </c>
      <c r="AD39" s="53">
        <f>IFERROR(__xludf.DUMMYFUNCTION("IFERROR(
  VLOOKUP(
    A39,
    IMPORTRANGE(
      ""1ZHMy3vVUd_0MrSduXTe1etBb1HNpAlGwQr006ljwMiM"",
      ""GSC最新!A:F""
    ),
    6,
    FALSE
  ),
  0
)
"),46081.0)</f>
        <v>46081</v>
      </c>
      <c r="AE39" s="54">
        <f>IFERROR(__xludf.DUMMYFUNCTION("IFERROR(
  VLOOKUP(
    A39,
    IMPORTRANGE(
      ""1SCYQd7_cobOYqT0r_F0IqD4tE4rYn5y8Eup4PJTH8es"",
      ""Snapshot!A:M""
    ),
    5,
    FALSE
  ),
  ""-""
)
"),1.0)</f>
        <v>1</v>
      </c>
      <c r="AF39" s="54">
        <f>IFERROR(__xludf.DUMMYFUNCTION("IFERROR(
  VLOOKUP(
    A39,
    IMPORTRANGE(
      ""1SCYQd7_cobOYqT0r_F0IqD4tE4rYn5y8Eup4PJTH8es"",
      ""Snapshot!A:M""
    ),
    6,
    FALSE
  ),
  0
)
"),0.0)</f>
        <v>0</v>
      </c>
      <c r="AG39" s="54">
        <f>IFERROR(__xludf.DUMMYFUNCTION("IFERROR(
  VLOOKUP(
    A39,
    IMPORTRANGE(
      ""1SCYQd7_cobOYqT0r_F0IqD4tE4rYn5y8Eup4PJTH8es"",
      ""Snapshot!A:M""
    ),
    7,
    FALSE
  ),
  0
)
"),1764.0)</f>
        <v>1764</v>
      </c>
      <c r="AH39" s="54">
        <f>IFERROR(__xludf.DUMMYFUNCTION("IFERROR(
  VLOOKUP(
    A39,
    IMPORTRANGE(
      ""1SCYQd7_cobOYqT0r_F0IqD4tE4rYn5y8Eup4PJTH8es"",
      ""Snapshot!A:M""
    ),
    8,
    FALSE
  ),
  0
)
"),31.0)</f>
        <v>31</v>
      </c>
      <c r="AI39" s="54">
        <f>IFERROR(__xludf.DUMMYFUNCTION("IFERROR(
  VLOOKUP(
    A39,
    IMPORTRANGE(
      ""1SCYQd7_cobOYqT0r_F0IqD4tE4rYn5y8Eup4PJTH8es"",
      ""Snapshot!A:M""
    ),
    9,
    FALSE
  ),
  0
)
"),0.0)</f>
        <v>0</v>
      </c>
      <c r="AJ39" s="54">
        <f>IFERROR(__xludf.DUMMYFUNCTION("IFERROR(
  VLOOKUP(
    A39,
    IMPORTRANGE(
      ""1SCYQd7_cobOYqT0r_F0IqD4tE4rYn5y8Eup4PJTH8es"",
      ""Snapshot!A:M""
    ),
    13,
    FALSE
  ),
  0
)
"),2.0)</f>
        <v>2</v>
      </c>
      <c r="AK39" s="49">
        <f t="shared" ref="AK39:AL39" si="190">LEN(C39)</f>
        <v>62</v>
      </c>
      <c r="AL39" s="49">
        <f t="shared" si="190"/>
        <v>55</v>
      </c>
    </row>
    <row r="40">
      <c r="A40" s="3" t="s">
        <v>750</v>
      </c>
      <c r="B40" s="1" t="str">
        <f>IFERROR(__xludf.DUMMYFUNCTION("IFERROR(
  VLOOKUP(
    A40,
    IMPORTRANGE(
      ""1ZygntHC1J6IxzKbTidmOyf5nUyW4GCLurHCjexrLm_o"",
      ""HTMLキャッシュ!A:F""
    ),
    2,
    FALSE
  ),
  0
)
"),"MC")</f>
        <v>MC</v>
      </c>
      <c r="C40" s="1" t="str">
        <f>IFERROR(__xludf.DUMMYFUNCTION("IFERROR(
  VLOOKUP(
    A40,
    IMPORTRANGE(
      ""1ZygntHC1J6IxzKbTidmOyf5nUyW4GCLurHCjexrLm_o"",
      ""HTMLキャッシュ!A:F""
    ),
    5,
    FALSE
  ),
  0
)
"),"中高一貫生の部活と勉強を両立する効率学習術")</f>
        <v>中高一貫生の部活と勉強を両立する効率学習術</v>
      </c>
      <c r="D40" s="1" t="str">
        <f>IFERROR(__xludf.DUMMYFUNCTION("IFERROR(
  VLOOKUP(
    A40,
    IMPORTRANGE(
      ""1ZygntHC1J6IxzKbTidmOyf5nUyW4GCLurHCjexrLm_o        "",
      ""HTMLキャッシュ!A:F""
    ),
    6,
    FALSE
  ),
  0
)
"),"勉強と部活の両立がつらい中高生へ。睡眠時間の目安、朝の勉強への切り替え、スキマ勉強、授業集中、15分仮眠で1日を回すコツを整理。")</f>
        <v>勉強と部活の両立がつらい中高生へ。睡眠時間の目安、朝の勉強への切り替え、スキマ勉強、授業集中、15分仮眠で1日を回すコツを整理。</v>
      </c>
      <c r="E40" s="32">
        <f>IFERROR(__xludf.DUMMYFUNCTION("IFERROR(
  VLOOKUP(
    A40,
    IMPORTRANGE(
      ""1ZygntHC1J6IxzKbTidmOyf5nUyW4GCLurHCjexrLm_o        "",
      ""HTMLキャッシュ!A:F""
    ),
    3,
    FALSE
  ),
  0
)
"),46077.79064814815)</f>
        <v>46077.79065</v>
      </c>
      <c r="F40" s="49">
        <f>IFERROR(__xludf.DUMMYFUNCTION("IFERROR(
  VLOOKUP(
    A40,
    IMPORTRANGE(
      ""1ZHMy3vVUd_0MrSduXTe1etBb1HNpAlGwQr006ljwMiM"",
      ""GSC最新!A:F""
    ),
    2,
    FALSE
  ),
  0
)
"),0.0)</f>
        <v>0</v>
      </c>
      <c r="G40" s="49">
        <f>IFERROR(__xludf.DUMMYFUNCTION("IFERROR(
  VLOOKUP(
    A40,
    IMPORTRANGE(
      ""1ZHMy3vVUd_0MrSduXTe1etBb1HNpAlGwQr006ljwMiM"",
      ""GSC最新!A:F""
    ),
    3,
    FALSE
  ),
  0
)
"),1.0)</f>
        <v>1</v>
      </c>
      <c r="H40" s="49">
        <f>IFERROR(__xludf.DUMMYFUNCTION("IFERROR(
  VLOOKUP(
    A40,
    IMPORTRANGE(
      ""1ZHMy3vVUd_0MrSduXTe1etBb1HNpAlGwQr006ljwMiM"",
      ""GSC最新!A:F""
    ),
    4,
    FALSE
  ),
  0
)
"),0.0)</f>
        <v>0</v>
      </c>
      <c r="I40" s="49">
        <f>IFERROR(__xludf.DUMMYFUNCTION("IFERROR(
  VLOOKUP(
    A40,
    IMPORTRANGE(
      ""1ZHMy3vVUd_0MrSduXTe1etBb1HNpAlGwQr006ljwMiM"",
      ""GSC最新!A:F""
    ),
    5,
    FALSE
  ),
  0
)
"),1.0)</f>
        <v>1</v>
      </c>
      <c r="J40" s="50" t="str">
        <f t="shared" ref="J40:K40" si="191">IFERROR(F40/H40,"-")</f>
        <v>-</v>
      </c>
      <c r="K40" s="50">
        <f t="shared" si="191"/>
        <v>1</v>
      </c>
      <c r="L40" s="6">
        <f>IFERROR(__xludf.DUMMYFUNCTION("IFERROR(
  VLOOKUP(
    A40,
    IMPORTRANGE(
      ""1ZHMy3vVUd_0MrSduXTe1etBb1HNpAlGwQr006ljwMiM"",
      ""GSC最新!A:R""
    ),
    7,
    FALSE
  ),
  0
)
"),228.0)</f>
        <v>228</v>
      </c>
      <c r="M40" s="6">
        <f>IFERROR(__xludf.DUMMYFUNCTION("IFERROR(
  VLOOKUP(
    A40,
    IMPORTRANGE(
      ""1ZHMy3vVUd_0MrSduXTe1etBb1HNpAlGwQr006ljwMiM"",
      ""GSC最新!A:R""
    ),
    10,
    FALSE
  ),
  0
)
"),416.0)</f>
        <v>416</v>
      </c>
      <c r="N40" s="6">
        <f>IFERROR(__xludf.DUMMYFUNCTION("IFERROR(
  VLOOKUP(
    A40,
    IMPORTRANGE(
      ""1ZHMy3vVUd_0MrSduXTe1etBb1HNpAlGwQr006ljwMiM"",
      ""GSC最新!A:R""
    ),
    13,
    FALSE
  ),
  0
)
"),156.0)</f>
        <v>156</v>
      </c>
      <c r="O40" s="6">
        <f>IFERROR(__xludf.DUMMYFUNCTION("IFERROR(
  VLOOKUP(
    A40,
    IMPORTRANGE(
      ""1ZHMy3vVUd_0MrSduXTe1etBb1HNpAlGwQr006ljwMiM"",
      ""GSC最新!A:R""
    ),
    16,
    FALSE
  ),
  0
)
"),298.0)</f>
        <v>298</v>
      </c>
      <c r="P40" s="51">
        <f t="shared" ref="P40:Q40" si="192">IFERROR(L40/N40,"-")</f>
        <v>1.461538462</v>
      </c>
      <c r="Q40" s="51">
        <f t="shared" si="192"/>
        <v>1.395973154</v>
      </c>
      <c r="R40" s="9">
        <f>IFERROR(__xludf.DUMMYFUNCTION("IFERROR(
  VLOOKUP(
    A40,
    IMPORTRANGE(
      ""1ZHMy3vVUd_0MrSduXTe1etBb1HNpAlGwQr006ljwMiM"",
      ""GSC最新!A:R""
    ),
    8,
    FALSE
  ),
  0
)
"),0.0)</f>
        <v>0</v>
      </c>
      <c r="S40" s="9">
        <f>IFERROR(__xludf.DUMMYFUNCTION("IFERROR(
  VLOOKUP(
    A40,
    IMPORTRANGE(
      ""1ZHMy3vVUd_0MrSduXTe1etBb1HNpAlGwQr006ljwMiM"",
      ""GSC最新!A:R""
    ),
    11,
    FALSE
  ),
  0
)
"),0.002403846153846154)</f>
        <v>0.002403846154</v>
      </c>
      <c r="T40" s="9">
        <f>IFERROR(__xludf.DUMMYFUNCTION("IFERROR(
  VLOOKUP(
    A40,
    IMPORTRANGE(
      ""1ZHMy3vVUd_0MrSduXTe1etBb1HNpAlGwQr006ljwMiM"",
      ""GSC最新!A:R""
    ),
    14,
    FALSE
  ),
  0
)
"),0.0)</f>
        <v>0</v>
      </c>
      <c r="U40" s="9">
        <f>IFERROR(__xludf.DUMMYFUNCTION("IFERROR(
  VLOOKUP(
    A40,
    IMPORTRANGE(
      ""1ZHMy3vVUd_0MrSduXTe1etBb1HNpAlGwQr006ljwMiM"",
      ""GSC最新!A:R""
    ),
    17,
    FALSE
  ),
  0
)
"),0.003355704697986577)</f>
        <v>0.003355704698</v>
      </c>
      <c r="V40" s="9">
        <f t="shared" ref="V40:W40" si="193">IFERROR(R40-T40,"-")</f>
        <v>0</v>
      </c>
      <c r="W40" s="9">
        <f t="shared" si="193"/>
        <v>-0.0009518585441</v>
      </c>
      <c r="X40" s="65">
        <f>IFERROR(__xludf.DUMMYFUNCTION("IFERROR(
  VLOOKUP(
    A40,
    IMPORTRANGE(
      ""1ZHMy3vVUd_0MrSduXTe1etBb1HNpAlGwQr006ljwMiM"",
      ""GSC最新!A:R""
    ),
    9,
    FALSE
  ),
  0
)
"),3.1578947368421053)</f>
        <v>3.157894737</v>
      </c>
      <c r="Y40" s="65">
        <f>IFERROR(__xludf.DUMMYFUNCTION("IFERROR(
  VLOOKUP(
    A40,
    IMPORTRANGE(
      ""1ZHMy3vVUd_0MrSduXTe1etBb1HNpAlGwQr006ljwMiM"",
      ""GSC最新!A:R""
    ),
    12,
    FALSE
  ),
  0
)
"),3.425480769230769)</f>
        <v>3.425480769</v>
      </c>
      <c r="Z40" s="65">
        <f>IFERROR(__xludf.DUMMYFUNCTION("IFERROR(
  VLOOKUP(
    A40,
    IMPORTRANGE(
      ""1ZHMy3vVUd_0MrSduXTe1etBb1HNpAlGwQr006ljwMiM"",
      ""GSC最新!A:R""
    ),
    15,
    FALSE
  ),
  0
)
"),10.128205128205128)</f>
        <v>10.12820513</v>
      </c>
      <c r="AA40" s="65">
        <f>IFERROR(__xludf.DUMMYFUNCTION("IFERROR(
  VLOOKUP(
    A40,
    IMPORTRANGE(
      ""1ZHMy3vVUd_0MrSduXTe1etBb1HNpAlGwQr006ljwMiM"",
      ""GSC最新!A:R""
    ),
    18,
    FALSE
  ),
  0
)
"),15.21476510067114)</f>
        <v>15.2147651</v>
      </c>
      <c r="AB40" s="65">
        <f t="shared" ref="AB40:AC40" si="194">X40-Z40</f>
        <v>-6.970310391</v>
      </c>
      <c r="AC40" s="65">
        <f t="shared" si="194"/>
        <v>-11.78928433</v>
      </c>
      <c r="AD40" s="53">
        <f>IFERROR(__xludf.DUMMYFUNCTION("IFERROR(
  VLOOKUP(
    A40,
    IMPORTRANGE(
      ""1ZHMy3vVUd_0MrSduXTe1etBb1HNpAlGwQr006ljwMiM"",
      ""GSC最新!A:F""
    ),
    6,
    FALSE
  ),
  0
)
"),46081.0)</f>
        <v>46081</v>
      </c>
      <c r="AE40" s="54">
        <f>IFERROR(__xludf.DUMMYFUNCTION("IFERROR(
  VLOOKUP(
    A40,
    IMPORTRANGE(
      ""1SCYQd7_cobOYqT0r_F0IqD4tE4rYn5y8Eup4PJTH8es"",
      ""Snapshot!A:M""
    ),
    5,
    FALSE
  ),
  ""-""
)
"),2.0)</f>
        <v>2</v>
      </c>
      <c r="AF40" s="54">
        <f>IFERROR(__xludf.DUMMYFUNCTION("IFERROR(
  VLOOKUP(
    A40,
    IMPORTRANGE(
      ""1SCYQd7_cobOYqT0r_F0IqD4tE4rYn5y8Eup4PJTH8es"",
      ""Snapshot!A:M""
    ),
    6,
    FALSE
  ),
  0
)
"),0.0)</f>
        <v>0</v>
      </c>
      <c r="AG40" s="54">
        <f>IFERROR(__xludf.DUMMYFUNCTION("IFERROR(
  VLOOKUP(
    A40,
    IMPORTRANGE(
      ""1SCYQd7_cobOYqT0r_F0IqD4tE4rYn5y8Eup4PJTH8es"",
      ""Snapshot!A:M""
    ),
    7,
    FALSE
  ),
  0
)
"),3067.0)</f>
        <v>3067</v>
      </c>
      <c r="AH40" s="54">
        <f>IFERROR(__xludf.DUMMYFUNCTION("IFERROR(
  VLOOKUP(
    A40,
    IMPORTRANGE(
      ""1SCYQd7_cobOYqT0r_F0IqD4tE4rYn5y8Eup4PJTH8es"",
      ""Snapshot!A:M""
    ),
    8,
    FALSE
  ),
  0
)
"),5.0)</f>
        <v>5</v>
      </c>
      <c r="AI40" s="54">
        <f>IFERROR(__xludf.DUMMYFUNCTION("IFERROR(
  VLOOKUP(
    A40,
    IMPORTRANGE(
      ""1SCYQd7_cobOYqT0r_F0IqD4tE4rYn5y8Eup4PJTH8es"",
      ""Snapshot!A:M""
    ),
    9,
    FALSE
  ),
  0
)
"),1.0)</f>
        <v>1</v>
      </c>
      <c r="AJ40" s="54">
        <f>IFERROR(__xludf.DUMMYFUNCTION("IFERROR(
  VLOOKUP(
    A40,
    IMPORTRANGE(
      ""1SCYQd7_cobOYqT0r_F0IqD4tE4rYn5y8Eup4PJTH8es"",
      ""Snapshot!A:M""
    ),
    13,
    FALSE
  ),
  0
)
"),2.0)</f>
        <v>2</v>
      </c>
      <c r="AK40" s="49">
        <f t="shared" ref="AK40:AL40" si="195">LEN(C40)</f>
        <v>21</v>
      </c>
      <c r="AL40" s="49">
        <f t="shared" si="195"/>
        <v>64</v>
      </c>
    </row>
    <row r="41">
      <c r="A41" s="3" t="s">
        <v>296</v>
      </c>
      <c r="B41" s="1" t="str">
        <f>IFERROR(__xludf.DUMMYFUNCTION("IFERROR(
  VLOOKUP(
    A41,
    IMPORTRANGE(
      ""1ZygntHC1J6IxzKbTidmOyf5nUyW4GCLurHCjexrLm_o"",
      ""HTMLキャッシュ!A:F""
    ),
    2,
    FALSE
  ),
  0
)
"),"SP")</f>
        <v>SP</v>
      </c>
      <c r="C41" s="1" t="str">
        <f>IFERROR(__xludf.DUMMYFUNCTION("IFERROR(
  VLOOKUP(
    A41,
    IMPORTRANGE(
      ""1ZygntHC1J6IxzKbTidmOyf5nUyW4GCLurHCjexrLm_o"",
      ""HTMLキャッシュ!A:F""
    ),
    5,
    FALSE
  ),
  0
)
"),"中高一貫校英語を伸ばす個別指導講座｜基礎応用対応オンライン塾")</f>
        <v>中高一貫校英語を伸ばす個別指導講座｜基礎応用対応オンライン塾</v>
      </c>
      <c r="D41" s="1" t="str">
        <f>IFERROR(__xludf.DUMMYFUNCTION("IFERROR(
  VLOOKUP(
    A41,
    IMPORTRANGE(
      ""1ZygntHC1J6IxzKbTidmOyf5nUyW4GCLurHCjexrLm_o        "",
      ""HTMLキャッシュ!A:F""
    ),
    6,
    FALSE
  ),
  0
)
"),"英語が伸び悩む中高一貫生へ。語彙文法構造を土台に英問英答まで個別指導で定着。大学受験対応、オンライン体験受付中")</f>
        <v>英語が伸び悩む中高一貫生へ。語彙文法構造を土台に英問英答まで個別指導で定着。大学受験対応、オンライン体験受付中</v>
      </c>
      <c r="E41" s="32">
        <f>IFERROR(__xludf.DUMMYFUNCTION("IFERROR(
  VLOOKUP(
    A41,
    IMPORTRANGE(
      ""1ZygntHC1J6IxzKbTidmOyf5nUyW4GCLurHCjexrLm_o        "",
      ""HTMLキャッシュ!A:F""
    ),
    3,
    FALSE
  ),
  0
)
"),46083.691655092596)</f>
        <v>46083.69166</v>
      </c>
      <c r="F41" s="49">
        <f>IFERROR(__xludf.DUMMYFUNCTION("IFERROR(
  VLOOKUP(
    A41,
    IMPORTRANGE(
      ""1ZHMy3vVUd_0MrSduXTe1etBb1HNpAlGwQr006ljwMiM"",
      ""GSC最新!A:F""
    ),
    2,
    FALSE
  ),
  0
)
"),1.0)</f>
        <v>1</v>
      </c>
      <c r="G41" s="49">
        <f>IFERROR(__xludf.DUMMYFUNCTION("IFERROR(
  VLOOKUP(
    A41,
    IMPORTRANGE(
      ""1ZHMy3vVUd_0MrSduXTe1etBb1HNpAlGwQr006ljwMiM"",
      ""GSC最新!A:F""
    ),
    3,
    FALSE
  ),
  0
)
"),1.0)</f>
        <v>1</v>
      </c>
      <c r="H41" s="49">
        <f>IFERROR(__xludf.DUMMYFUNCTION("IFERROR(
  VLOOKUP(
    A41,
    IMPORTRANGE(
      ""1ZHMy3vVUd_0MrSduXTe1etBb1HNpAlGwQr006ljwMiM"",
      ""GSC最新!A:F""
    ),
    4,
    FALSE
  ),
  0
)
"),0.0)</f>
        <v>0</v>
      </c>
      <c r="I41" s="49">
        <f>IFERROR(__xludf.DUMMYFUNCTION("IFERROR(
  VLOOKUP(
    A41,
    IMPORTRANGE(
      ""1ZHMy3vVUd_0MrSduXTe1etBb1HNpAlGwQr006ljwMiM"",
      ""GSC最新!A:F""
    ),
    5,
    FALSE
  ),
  0
)
"),1.0)</f>
        <v>1</v>
      </c>
      <c r="J41" s="50" t="str">
        <f t="shared" ref="J41:K41" si="196">IFERROR(F41/H41,"-")</f>
        <v>-</v>
      </c>
      <c r="K41" s="50">
        <f t="shared" si="196"/>
        <v>1</v>
      </c>
      <c r="L41" s="6">
        <f>IFERROR(__xludf.DUMMYFUNCTION("IFERROR(
  VLOOKUP(
    A41,
    IMPORTRANGE(
      ""1ZHMy3vVUd_0MrSduXTe1etBb1HNpAlGwQr006ljwMiM"",
      ""GSC最新!A:R""
    ),
    7,
    FALSE
  ),
  0
)
"),260.0)</f>
        <v>260</v>
      </c>
      <c r="M41" s="6">
        <f>IFERROR(__xludf.DUMMYFUNCTION("IFERROR(
  VLOOKUP(
    A41,
    IMPORTRANGE(
      ""1ZHMy3vVUd_0MrSduXTe1etBb1HNpAlGwQr006ljwMiM"",
      ""GSC最新!A:R""
    ),
    10,
    FALSE
  ),
  0
)
"),275.0)</f>
        <v>275</v>
      </c>
      <c r="N41" s="6">
        <f>IFERROR(__xludf.DUMMYFUNCTION("IFERROR(
  VLOOKUP(
    A41,
    IMPORTRANGE(
      ""1ZHMy3vVUd_0MrSduXTe1etBb1HNpAlGwQr006ljwMiM"",
      ""GSC最新!A:R""
    ),
    13,
    FALSE
  ),
  0
)
"),0.0)</f>
        <v>0</v>
      </c>
      <c r="O41" s="6">
        <f>IFERROR(__xludf.DUMMYFUNCTION("IFERROR(
  VLOOKUP(
    A41,
    IMPORTRANGE(
      ""1ZHMy3vVUd_0MrSduXTe1etBb1HNpAlGwQr006ljwMiM"",
      ""GSC最新!A:R""
    ),
    16,
    FALSE
  ),
  0
)
"),71.0)</f>
        <v>71</v>
      </c>
      <c r="P41" s="51" t="str">
        <f t="shared" ref="P41:Q41" si="197">IFERROR(L41/N41,"-")</f>
        <v>-</v>
      </c>
      <c r="Q41" s="51">
        <f t="shared" si="197"/>
        <v>3.873239437</v>
      </c>
      <c r="R41" s="9">
        <f>IFERROR(__xludf.DUMMYFUNCTION("IFERROR(
  VLOOKUP(
    A41,
    IMPORTRANGE(
      ""1ZHMy3vVUd_0MrSduXTe1etBb1HNpAlGwQr006ljwMiM"",
      ""GSC最新!A:R""
    ),
    8,
    FALSE
  ),
  0
)
"),0.0038461538461538464)</f>
        <v>0.003846153846</v>
      </c>
      <c r="S41" s="9">
        <f>IFERROR(__xludf.DUMMYFUNCTION("IFERROR(
  VLOOKUP(
    A41,
    IMPORTRANGE(
      ""1ZHMy3vVUd_0MrSduXTe1etBb1HNpAlGwQr006ljwMiM"",
      ""GSC最新!A:R""
    ),
    11,
    FALSE
  ),
  0
)
"),0.0036363636363636364)</f>
        <v>0.003636363636</v>
      </c>
      <c r="T41" s="9">
        <f>IFERROR(__xludf.DUMMYFUNCTION("IFERROR(
  VLOOKUP(
    A41,
    IMPORTRANGE(
      ""1ZHMy3vVUd_0MrSduXTe1etBb1HNpAlGwQr006ljwMiM"",
      ""GSC最新!A:R""
    ),
    14,
    FALSE
  ),
  0
)
"),0.0)</f>
        <v>0</v>
      </c>
      <c r="U41" s="9">
        <f>IFERROR(__xludf.DUMMYFUNCTION("IFERROR(
  VLOOKUP(
    A41,
    IMPORTRANGE(
      ""1ZHMy3vVUd_0MrSduXTe1etBb1HNpAlGwQr006ljwMiM"",
      ""GSC最新!A:R""
    ),
    17,
    FALSE
  ),
  0
)
"),0.014084507042253521)</f>
        <v>0.01408450704</v>
      </c>
      <c r="V41" s="9">
        <f t="shared" ref="V41:W41" si="198">IFERROR(R41-T41,"-")</f>
        <v>0.003846153846</v>
      </c>
      <c r="W41" s="9">
        <f t="shared" si="198"/>
        <v>-0.01044814341</v>
      </c>
      <c r="X41" s="65">
        <f>IFERROR(__xludf.DUMMYFUNCTION("IFERROR(
  VLOOKUP(
    A41,
    IMPORTRANGE(
      ""1ZHMy3vVUd_0MrSduXTe1etBb1HNpAlGwQr006ljwMiM"",
      ""GSC最新!A:R""
    ),
    9,
    FALSE
  ),
  0
)
"),3.7192307692307693)</f>
        <v>3.719230769</v>
      </c>
      <c r="Y41" s="65">
        <f>IFERROR(__xludf.DUMMYFUNCTION("IFERROR(
  VLOOKUP(
    A41,
    IMPORTRANGE(
      ""1ZHMy3vVUd_0MrSduXTe1etBb1HNpAlGwQr006ljwMiM"",
      ""GSC最新!A:R""
    ),
    12,
    FALSE
  ),
  0
)
"),3.7454545454545456)</f>
        <v>3.745454545</v>
      </c>
      <c r="Z41" s="65" t="str">
        <f>IFERROR(__xludf.DUMMYFUNCTION("IFERROR(
  VLOOKUP(
    A41,
    IMPORTRANGE(
      ""1ZHMy3vVUd_0MrSduXTe1etBb1HNpAlGwQr006ljwMiM"",
      ""GSC最新!A:R""
    ),
    15,
    FALSE
  ),
  0
)
"),"")</f>
        <v/>
      </c>
      <c r="AA41" s="65">
        <f>IFERROR(__xludf.DUMMYFUNCTION("IFERROR(
  VLOOKUP(
    A41,
    IMPORTRANGE(
      ""1ZHMy3vVUd_0MrSduXTe1etBb1HNpAlGwQr006ljwMiM"",
      ""GSC最新!A:R""
    ),
    18,
    FALSE
  ),
  0
)
"),51.816901408450704)</f>
        <v>51.81690141</v>
      </c>
      <c r="AB41" s="65">
        <f t="shared" ref="AB41:AC41" si="199">X41-Z41</f>
        <v>3.719230769</v>
      </c>
      <c r="AC41" s="65">
        <f t="shared" si="199"/>
        <v>-48.07144686</v>
      </c>
      <c r="AD41" s="53">
        <f>IFERROR(__xludf.DUMMYFUNCTION("IFERROR(
  VLOOKUP(
    A41,
    IMPORTRANGE(
      ""1ZHMy3vVUd_0MrSduXTe1etBb1HNpAlGwQr006ljwMiM"",
      ""GSC最新!A:F""
    ),
    6,
    FALSE
  ),
  0
)
"),46081.0)</f>
        <v>46081</v>
      </c>
      <c r="AE41" s="54">
        <f>IFERROR(__xludf.DUMMYFUNCTION("IFERROR(
  VLOOKUP(
    A41,
    IMPORTRANGE(
      ""1SCYQd7_cobOYqT0r_F0IqD4tE4rYn5y8Eup4PJTH8es"",
      ""Snapshot!A:M""
    ),
    5,
    FALSE
  ),
  ""-""
)
"),7.0)</f>
        <v>7</v>
      </c>
      <c r="AF41" s="54">
        <f>IFERROR(__xludf.DUMMYFUNCTION("IFERROR(
  VLOOKUP(
    A41,
    IMPORTRANGE(
      ""1SCYQd7_cobOYqT0r_F0IqD4tE4rYn5y8Eup4PJTH8es"",
      ""Snapshot!A:M""
    ),
    6,
    FALSE
  ),
  0
)
"),4.0)</f>
        <v>4</v>
      </c>
      <c r="AG41" s="54">
        <f>IFERROR(__xludf.DUMMYFUNCTION("IFERROR(
  VLOOKUP(
    A41,
    IMPORTRANGE(
      ""1SCYQd7_cobOYqT0r_F0IqD4tE4rYn5y8Eup4PJTH8es"",
      ""Snapshot!A:M""
    ),
    7,
    FALSE
  ),
  0
)
"),3304.0)</f>
        <v>3304</v>
      </c>
      <c r="AH41" s="54">
        <f>IFERROR(__xludf.DUMMYFUNCTION("IFERROR(
  VLOOKUP(
    A41,
    IMPORTRANGE(
      ""1SCYQd7_cobOYqT0r_F0IqD4tE4rYn5y8Eup4PJTH8es"",
      ""Snapshot!A:M""
    ),
    8,
    FALSE
  ),
  0
)
"),6.0)</f>
        <v>6</v>
      </c>
      <c r="AI41" s="54">
        <f>IFERROR(__xludf.DUMMYFUNCTION("IFERROR(
  VLOOKUP(
    A41,
    IMPORTRANGE(
      ""1SCYQd7_cobOYqT0r_F0IqD4tE4rYn5y8Eup4PJTH8es"",
      ""Snapshot!A:M""
    ),
    9,
    FALSE
  ),
  0
)
"),3.0)</f>
        <v>3</v>
      </c>
      <c r="AJ41" s="54">
        <f>IFERROR(__xludf.DUMMYFUNCTION("IFERROR(
  VLOOKUP(
    A41,
    IMPORTRANGE(
      ""1SCYQd7_cobOYqT0r_F0IqD4tE4rYn5y8Eup4PJTH8es"",
      ""Snapshot!A:M""
    ),
    13,
    FALSE
  ),
  0
)
"),1.0)</f>
        <v>1</v>
      </c>
      <c r="AK41" s="49">
        <f t="shared" ref="AK41:AL41" si="200">LEN(C41)</f>
        <v>30</v>
      </c>
      <c r="AL41" s="49">
        <f t="shared" si="200"/>
        <v>55</v>
      </c>
    </row>
    <row r="42">
      <c r="A42" s="3" t="s">
        <v>309</v>
      </c>
      <c r="B42" s="1" t="str">
        <f>IFERROR(__xludf.DUMMYFUNCTION("IFERROR(
  VLOOKUP(
    A42,
    IMPORTRANGE(
      ""1ZygntHC1J6IxzKbTidmOyf5nUyW4GCLurHCjexrLm_o"",
      ""HTMLキャッシュ!A:F""
    ),
    2,
    FALSE
  ),
  0
)
"),"SP")</f>
        <v>SP</v>
      </c>
      <c r="C42" s="1" t="str">
        <f>IFERROR(__xludf.DUMMYFUNCTION("IFERROR(
  VLOOKUP(
    A42,
    IMPORTRANGE(
      ""1ZygntHC1J6IxzKbTidmOyf5nUyW4GCLurHCjexrLm_o"",
      ""HTMLキャッシュ!A:F""
    ),
    5,
    FALSE
  ),
  0
)
"),"中高一貫校国語読解記述を伸ばす完全個別指導講座｜オンライン塾")</f>
        <v>中高一貫校国語読解記述を伸ばす完全個別指導講座｜オンライン塾</v>
      </c>
      <c r="D42" s="1" t="str">
        <f>IFERROR(__xludf.DUMMYFUNCTION("IFERROR(
  VLOOKUP(
    A42,
    IMPORTRANGE(
      ""1ZygntHC1J6IxzKbTidmOyf5nUyW4GCLurHCjexrLm_o        "",
      ""HTMLキャッシュ!A:F""
    ),
    6,
    FALSE
  ),
  0
)
"),"記述が安定しない中高一貫生へ。構造→根拠→設問の個別指導で読解力を定着。古典文法対応、オンライン体験受付中")</f>
        <v>記述が安定しない中高一貫生へ。構造→根拠→設問の個別指導で読解力を定着。古典文法対応、オンライン体験受付中</v>
      </c>
      <c r="E42" s="32">
        <f>IFERROR(__xludf.DUMMYFUNCTION("IFERROR(
  VLOOKUP(
    A42,
    IMPORTRANGE(
      ""1ZygntHC1J6IxzKbTidmOyf5nUyW4GCLurHCjexrLm_o        "",
      ""HTMLキャッシュ!A:F""
    ),
    3,
    FALSE
  ),
  0
)
"),46078.872662037036)</f>
        <v>46078.87266</v>
      </c>
      <c r="F42" s="49">
        <f>IFERROR(__xludf.DUMMYFUNCTION("IFERROR(
  VLOOKUP(
    A42,
    IMPORTRANGE(
      ""1ZHMy3vVUd_0MrSduXTe1etBb1HNpAlGwQr006ljwMiM"",
      ""GSC最新!A:F""
    ),
    2,
    FALSE
  ),
  0
)
"),1.0)</f>
        <v>1</v>
      </c>
      <c r="G42" s="49">
        <f>IFERROR(__xludf.DUMMYFUNCTION("IFERROR(
  VLOOKUP(
    A42,
    IMPORTRANGE(
      ""1ZHMy3vVUd_0MrSduXTe1etBb1HNpAlGwQr006ljwMiM"",
      ""GSC最新!A:F""
    ),
    3,
    FALSE
  ),
  0
)
"),1.0)</f>
        <v>1</v>
      </c>
      <c r="H42" s="49">
        <f>IFERROR(__xludf.DUMMYFUNCTION("IFERROR(
  VLOOKUP(
    A42,
    IMPORTRANGE(
      ""1ZHMy3vVUd_0MrSduXTe1etBb1HNpAlGwQr006ljwMiM"",
      ""GSC最新!A:F""
    ),
    4,
    FALSE
  ),
  0
)
"),0.0)</f>
        <v>0</v>
      </c>
      <c r="I42" s="49">
        <f>IFERROR(__xludf.DUMMYFUNCTION("IFERROR(
  VLOOKUP(
    A42,
    IMPORTRANGE(
      ""1ZHMy3vVUd_0MrSduXTe1etBb1HNpAlGwQr006ljwMiM"",
      ""GSC最新!A:F""
    ),
    5,
    FALSE
  ),
  0
)
"),0.0)</f>
        <v>0</v>
      </c>
      <c r="J42" s="50" t="str">
        <f t="shared" ref="J42:K42" si="201">IFERROR(F42/H42,"-")</f>
        <v>-</v>
      </c>
      <c r="K42" s="50" t="str">
        <f t="shared" si="201"/>
        <v>-</v>
      </c>
      <c r="L42" s="6">
        <f>IFERROR(__xludf.DUMMYFUNCTION("IFERROR(
  VLOOKUP(
    A42,
    IMPORTRANGE(
      ""1ZHMy3vVUd_0MrSduXTe1etBb1HNpAlGwQr006ljwMiM"",
      ""GSC最新!A:R""
    ),
    7,
    FALSE
  ),
  0
)
"),85.0)</f>
        <v>85</v>
      </c>
      <c r="M42" s="6">
        <f>IFERROR(__xludf.DUMMYFUNCTION("IFERROR(
  VLOOKUP(
    A42,
    IMPORTRANGE(
      ""1ZHMy3vVUd_0MrSduXTe1etBb1HNpAlGwQr006ljwMiM"",
      ""GSC最新!A:R""
    ),
    10,
    FALSE
  ),
  0
)
"),119.0)</f>
        <v>119</v>
      </c>
      <c r="N42" s="6">
        <f>IFERROR(__xludf.DUMMYFUNCTION("IFERROR(
  VLOOKUP(
    A42,
    IMPORTRANGE(
      ""1ZHMy3vVUd_0MrSduXTe1etBb1HNpAlGwQr006ljwMiM"",
      ""GSC最新!A:R""
    ),
    13,
    FALSE
  ),
  0
)
"),2.0)</f>
        <v>2</v>
      </c>
      <c r="O42" s="6">
        <f>IFERROR(__xludf.DUMMYFUNCTION("IFERROR(
  VLOOKUP(
    A42,
    IMPORTRANGE(
      ""1ZHMy3vVUd_0MrSduXTe1etBb1HNpAlGwQr006ljwMiM"",
      ""GSC最新!A:R""
    ),
    16,
    FALSE
  ),
  0
)
"),14.0)</f>
        <v>14</v>
      </c>
      <c r="P42" s="51">
        <f t="shared" ref="P42:Q42" si="202">IFERROR(L42/N42,"-")</f>
        <v>42.5</v>
      </c>
      <c r="Q42" s="51">
        <f t="shared" si="202"/>
        <v>8.5</v>
      </c>
      <c r="R42" s="9">
        <f>IFERROR(__xludf.DUMMYFUNCTION("IFERROR(
  VLOOKUP(
    A42,
    IMPORTRANGE(
      ""1ZHMy3vVUd_0MrSduXTe1etBb1HNpAlGwQr006ljwMiM"",
      ""GSC最新!A:R""
    ),
    8,
    FALSE
  ),
  0
)
"),0.011764705882352941)</f>
        <v>0.01176470588</v>
      </c>
      <c r="S42" s="9">
        <f>IFERROR(__xludf.DUMMYFUNCTION("IFERROR(
  VLOOKUP(
    A42,
    IMPORTRANGE(
      ""1ZHMy3vVUd_0MrSduXTe1etBb1HNpAlGwQr006ljwMiM"",
      ""GSC最新!A:R""
    ),
    11,
    FALSE
  ),
  0
)
"),0.008403361344537815)</f>
        <v>0.008403361345</v>
      </c>
      <c r="T42" s="9">
        <f>IFERROR(__xludf.DUMMYFUNCTION("IFERROR(
  VLOOKUP(
    A42,
    IMPORTRANGE(
      ""1ZHMy3vVUd_0MrSduXTe1etBb1HNpAlGwQr006ljwMiM"",
      ""GSC最新!A:R""
    ),
    14,
    FALSE
  ),
  0
)
"),0.0)</f>
        <v>0</v>
      </c>
      <c r="U42" s="9">
        <f>IFERROR(__xludf.DUMMYFUNCTION("IFERROR(
  VLOOKUP(
    A42,
    IMPORTRANGE(
      ""1ZHMy3vVUd_0MrSduXTe1etBb1HNpAlGwQr006ljwMiM"",
      ""GSC最新!A:R""
    ),
    17,
    FALSE
  ),
  0
)
"),0.0)</f>
        <v>0</v>
      </c>
      <c r="V42" s="9">
        <f t="shared" ref="V42:W42" si="203">IFERROR(R42-T42,"-")</f>
        <v>0.01176470588</v>
      </c>
      <c r="W42" s="9">
        <f t="shared" si="203"/>
        <v>0.008403361345</v>
      </c>
      <c r="X42" s="65">
        <f>IFERROR(__xludf.DUMMYFUNCTION("IFERROR(
  VLOOKUP(
    A42,
    IMPORTRANGE(
      ""1ZHMy3vVUd_0MrSduXTe1etBb1HNpAlGwQr006ljwMiM"",
      ""GSC最新!A:R""
    ),
    9,
    FALSE
  ),
  0
)
"),6.094117647058823)</f>
        <v>6.094117647</v>
      </c>
      <c r="Y42" s="65">
        <f>IFERROR(__xludf.DUMMYFUNCTION("IFERROR(
  VLOOKUP(
    A42,
    IMPORTRANGE(
      ""1ZHMy3vVUd_0MrSduXTe1etBb1HNpAlGwQr006ljwMiM"",
      ""GSC最新!A:R""
    ),
    12,
    FALSE
  ),
  0
)
"),5.436974789915967)</f>
        <v>5.43697479</v>
      </c>
      <c r="Z42" s="65">
        <f>IFERROR(__xludf.DUMMYFUNCTION("IFERROR(
  VLOOKUP(
    A42,
    IMPORTRANGE(
      ""1ZHMy3vVUd_0MrSduXTe1etBb1HNpAlGwQr006ljwMiM"",
      ""GSC最新!A:R""
    ),
    15,
    FALSE
  ),
  0
)
"),54.5)</f>
        <v>54.5</v>
      </c>
      <c r="AA42" s="65">
        <f>IFERROR(__xludf.DUMMYFUNCTION("IFERROR(
  VLOOKUP(
    A42,
    IMPORTRANGE(
      ""1ZHMy3vVUd_0MrSduXTe1etBb1HNpAlGwQr006ljwMiM"",
      ""GSC最新!A:R""
    ),
    18,
    FALSE
  ),
  0
)
"),55.285714285714285)</f>
        <v>55.28571429</v>
      </c>
      <c r="AB42" s="65">
        <f t="shared" ref="AB42:AC42" si="204">X42-Z42</f>
        <v>-48.40588235</v>
      </c>
      <c r="AC42" s="65">
        <f t="shared" si="204"/>
        <v>-49.8487395</v>
      </c>
      <c r="AD42" s="53">
        <f>IFERROR(__xludf.DUMMYFUNCTION("IFERROR(
  VLOOKUP(
    A42,
    IMPORTRANGE(
      ""1ZHMy3vVUd_0MrSduXTe1etBb1HNpAlGwQr006ljwMiM"",
      ""GSC最新!A:F""
    ),
    6,
    FALSE
  ),
  0
)
"),46081.0)</f>
        <v>46081</v>
      </c>
      <c r="AE42" s="54">
        <f>IFERROR(__xludf.DUMMYFUNCTION("IFERROR(
  VLOOKUP(
    A42,
    IMPORTRANGE(
      ""1SCYQd7_cobOYqT0r_F0IqD4tE4rYn5y8Eup4PJTH8es"",
      ""Snapshot!A:M""
    ),
    5,
    FALSE
  ),
  ""-""
)
"),11.0)</f>
        <v>11</v>
      </c>
      <c r="AF42" s="54">
        <f>IFERROR(__xludf.DUMMYFUNCTION("IFERROR(
  VLOOKUP(
    A42,
    IMPORTRANGE(
      ""1SCYQd7_cobOYqT0r_F0IqD4tE4rYn5y8Eup4PJTH8es"",
      ""Snapshot!A:M""
    ),
    6,
    FALSE
  ),
  0
)
"),21.0)</f>
        <v>21</v>
      </c>
      <c r="AG42" s="54">
        <f>IFERROR(__xludf.DUMMYFUNCTION("IFERROR(
  VLOOKUP(
    A42,
    IMPORTRANGE(
      ""1SCYQd7_cobOYqT0r_F0IqD4tE4rYn5y8Eup4PJTH8es"",
      ""Snapshot!A:M""
    ),
    7,
    FALSE
  ),
  0
)
"),5318.0)</f>
        <v>5318</v>
      </c>
      <c r="AH42" s="54">
        <f>IFERROR(__xludf.DUMMYFUNCTION("IFERROR(
  VLOOKUP(
    A42,
    IMPORTRANGE(
      ""1SCYQd7_cobOYqT0r_F0IqD4tE4rYn5y8Eup4PJTH8es"",
      ""Snapshot!A:M""
    ),
    8,
    FALSE
  ),
  0
)
"),4.0)</f>
        <v>4</v>
      </c>
      <c r="AI42" s="54">
        <f>IFERROR(__xludf.DUMMYFUNCTION("IFERROR(
  VLOOKUP(
    A42,
    IMPORTRANGE(
      ""1SCYQd7_cobOYqT0r_F0IqD4tE4rYn5y8Eup4PJTH8es"",
      ""Snapshot!A:M""
    ),
    9,
    FALSE
  ),
  0
)
"),2.0)</f>
        <v>2</v>
      </c>
      <c r="AJ42" s="54">
        <f>IFERROR(__xludf.DUMMYFUNCTION("IFERROR(
  VLOOKUP(
    A42,
    IMPORTRANGE(
      ""1SCYQd7_cobOYqT0r_F0IqD4tE4rYn5y8Eup4PJTH8es"",
      ""Snapshot!A:M""
    ),
    13,
    FALSE
  ),
  0
)
"),1.0)</f>
        <v>1</v>
      </c>
      <c r="AK42" s="49">
        <f t="shared" ref="AK42:AL42" si="205">LEN(C42)</f>
        <v>30</v>
      </c>
      <c r="AL42" s="49">
        <f t="shared" si="205"/>
        <v>53</v>
      </c>
    </row>
    <row r="43">
      <c r="A43" s="3" t="s">
        <v>751</v>
      </c>
      <c r="B43" s="1" t="str">
        <f>IFERROR(__xludf.DUMMYFUNCTION("IFERROR(
  VLOOKUP(
    A43,
    IMPORTRANGE(
      ""1ZygntHC1J6IxzKbTidmOyf5nUyW4GCLurHCjexrLm_o"",
      ""HTMLキャッシュ!A:F""
    ),
    2,
    FALSE
  ),
  0
)
"),"MC")</f>
        <v>MC</v>
      </c>
      <c r="C43" s="1" t="str">
        <f>IFERROR(__xludf.DUMMYFUNCTION("IFERROR(
  VLOOKUP(
    A43,
    IMPORTRANGE(
      ""1ZygntHC1J6IxzKbTidmOyf5nUyW4GCLurHCjexrLm_o"",
      ""HTMLキャッシュ!A:F""
    ),
    5,
    FALSE
  ),
  0
)
"),"中高一貫校に通うメリット・デメリット - 中高一貫校専門塾エスコット(Escot)～定期試験対策から大学受験指導まで～")</f>
        <v>中高一貫校に通うメリット・デメリット - 中高一貫校専門塾エスコット(Escot)～定期試験対策から大学受験指導まで～</v>
      </c>
      <c r="D43" s="1" t="str">
        <f>IFERROR(__xludf.DUMMYFUNCTION("IFERROR(
  VLOOKUP(
    A43,
    IMPORTRANGE(
      ""1ZygntHC1J6IxzKbTidmOyf5nUyW4GCLurHCjexrLm_o        "",
      ""HTMLキャッシュ!A:F""
    ),
    6,
    FALSE
  ),
  0
)
"),"中高一貫校に通うメリット・デメリット 中高一貫校に通うことはメリットとデメリットの両方があります。他の学校と異")</f>
        <v>中高一貫校に通うメリット・デメリット 中高一貫校に通うことはメリットとデメリットの両方があります。他の学校と異</v>
      </c>
      <c r="E43" s="32">
        <f>IFERROR(__xludf.DUMMYFUNCTION("IFERROR(
  VLOOKUP(
    A43,
    IMPORTRANGE(
      ""1ZygntHC1J6IxzKbTidmOyf5nUyW4GCLurHCjexrLm_o        "",
      ""HTMLキャッシュ!A:F""
    ),
    3,
    FALSE
  ),
  0
)
"),46078.85664351852)</f>
        <v>46078.85664</v>
      </c>
      <c r="F43" s="49">
        <f>IFERROR(__xludf.DUMMYFUNCTION("IFERROR(
  VLOOKUP(
    A43,
    IMPORTRANGE(
      ""1ZHMy3vVUd_0MrSduXTe1etBb1HNpAlGwQr006ljwMiM"",
      ""GSC最新!A:F""
    ),
    2,
    FALSE
  ),
  0
)
"),0.0)</f>
        <v>0</v>
      </c>
      <c r="G43" s="49">
        <f>IFERROR(__xludf.DUMMYFUNCTION("IFERROR(
  VLOOKUP(
    A43,
    IMPORTRANGE(
      ""1ZHMy3vVUd_0MrSduXTe1etBb1HNpAlGwQr006ljwMiM"",
      ""GSC最新!A:F""
    ),
    3,
    FALSE
  ),
  0
)
"),1.0)</f>
        <v>1</v>
      </c>
      <c r="H43" s="49">
        <f>IFERROR(__xludf.DUMMYFUNCTION("IFERROR(
  VLOOKUP(
    A43,
    IMPORTRANGE(
      ""1ZHMy3vVUd_0MrSduXTe1etBb1HNpAlGwQr006ljwMiM"",
      ""GSC最新!A:F""
    ),
    4,
    FALSE
  ),
  0
)
"),0.0)</f>
        <v>0</v>
      </c>
      <c r="I43" s="49">
        <f>IFERROR(__xludf.DUMMYFUNCTION("IFERROR(
  VLOOKUP(
    A43,
    IMPORTRANGE(
      ""1ZHMy3vVUd_0MrSduXTe1etBb1HNpAlGwQr006ljwMiM"",
      ""GSC最新!A:F""
    ),
    5,
    FALSE
  ),
  0
)
"),0.0)</f>
        <v>0</v>
      </c>
      <c r="J43" s="50" t="str">
        <f t="shared" ref="J43:K43" si="206">IFERROR(F43/H43,"-")</f>
        <v>-</v>
      </c>
      <c r="K43" s="50" t="str">
        <f t="shared" si="206"/>
        <v>-</v>
      </c>
      <c r="L43" s="6">
        <f>IFERROR(__xludf.DUMMYFUNCTION("IFERROR(
  VLOOKUP(
    A43,
    IMPORTRANGE(
      ""1ZHMy3vVUd_0MrSduXTe1etBb1HNpAlGwQr006ljwMiM"",
      ""GSC最新!A:R""
    ),
    7,
    FALSE
  ),
  0
)
"),28.0)</f>
        <v>28</v>
      </c>
      <c r="M43" s="6">
        <f>IFERROR(__xludf.DUMMYFUNCTION("IFERROR(
  VLOOKUP(
    A43,
    IMPORTRANGE(
      ""1ZHMy3vVUd_0MrSduXTe1etBb1HNpAlGwQr006ljwMiM"",
      ""GSC最新!A:R""
    ),
    10,
    FALSE
  ),
  0
)
"),80.0)</f>
        <v>80</v>
      </c>
      <c r="N43" s="6">
        <f>IFERROR(__xludf.DUMMYFUNCTION("IFERROR(
  VLOOKUP(
    A43,
    IMPORTRANGE(
      ""1ZHMy3vVUd_0MrSduXTe1etBb1HNpAlGwQr006ljwMiM"",
      ""GSC最新!A:R""
    ),
    13,
    FALSE
  ),
  0
)
"),166.0)</f>
        <v>166</v>
      </c>
      <c r="O43" s="6">
        <f>IFERROR(__xludf.DUMMYFUNCTION("IFERROR(
  VLOOKUP(
    A43,
    IMPORTRANGE(
      ""1ZHMy3vVUd_0MrSduXTe1etBb1HNpAlGwQr006ljwMiM"",
      ""GSC最新!A:R""
    ),
    16,
    FALSE
  ),
  0
)
"),428.0)</f>
        <v>428</v>
      </c>
      <c r="P43" s="51">
        <f t="shared" ref="P43:Q43" si="207">IFERROR(L43/N43,"-")</f>
        <v>0.1686746988</v>
      </c>
      <c r="Q43" s="51">
        <f t="shared" si="207"/>
        <v>0.1869158879</v>
      </c>
      <c r="R43" s="9">
        <f>IFERROR(__xludf.DUMMYFUNCTION("IFERROR(
  VLOOKUP(
    A43,
    IMPORTRANGE(
      ""1ZHMy3vVUd_0MrSduXTe1etBb1HNpAlGwQr006ljwMiM"",
      ""GSC最新!A:R""
    ),
    8,
    FALSE
  ),
  0
)
"),0.0)</f>
        <v>0</v>
      </c>
      <c r="S43" s="9">
        <f>IFERROR(__xludf.DUMMYFUNCTION("IFERROR(
  VLOOKUP(
    A43,
    IMPORTRANGE(
      ""1ZHMy3vVUd_0MrSduXTe1etBb1HNpAlGwQr006ljwMiM"",
      ""GSC最新!A:R""
    ),
    11,
    FALSE
  ),
  0
)
"),0.0125)</f>
        <v>0.0125</v>
      </c>
      <c r="T43" s="9">
        <f>IFERROR(__xludf.DUMMYFUNCTION("IFERROR(
  VLOOKUP(
    A43,
    IMPORTRANGE(
      ""1ZHMy3vVUd_0MrSduXTe1etBb1HNpAlGwQr006ljwMiM"",
      ""GSC最新!A:R""
    ),
    14,
    FALSE
  ),
  0
)
"),0.0)</f>
        <v>0</v>
      </c>
      <c r="U43" s="9">
        <f>IFERROR(__xludf.DUMMYFUNCTION("IFERROR(
  VLOOKUP(
    A43,
    IMPORTRANGE(
      ""1ZHMy3vVUd_0MrSduXTe1etBb1HNpAlGwQr006ljwMiM"",
      ""GSC最新!A:R""
    ),
    17,
    FALSE
  ),
  0
)
"),0.0)</f>
        <v>0</v>
      </c>
      <c r="V43" s="9">
        <f t="shared" ref="V43:W43" si="208">IFERROR(R43-T43,"-")</f>
        <v>0</v>
      </c>
      <c r="W43" s="9">
        <f t="shared" si="208"/>
        <v>0.0125</v>
      </c>
      <c r="X43" s="65">
        <f>IFERROR(__xludf.DUMMYFUNCTION("IFERROR(
  VLOOKUP(
    A43,
    IMPORTRANGE(
      ""1ZHMy3vVUd_0MrSduXTe1etBb1HNpAlGwQr006ljwMiM"",
      ""GSC最新!A:R""
    ),
    9,
    FALSE
  ),
  0
)
"),18.357142857142858)</f>
        <v>18.35714286</v>
      </c>
      <c r="Y43" s="65">
        <f>IFERROR(__xludf.DUMMYFUNCTION("IFERROR(
  VLOOKUP(
    A43,
    IMPORTRANGE(
      ""1ZHMy3vVUd_0MrSduXTe1etBb1HNpAlGwQr006ljwMiM"",
      ""GSC最新!A:R""
    ),
    12,
    FALSE
  ),
  0
)
"),20.15)</f>
        <v>20.15</v>
      </c>
      <c r="Z43" s="65">
        <f>IFERROR(__xludf.DUMMYFUNCTION("IFERROR(
  VLOOKUP(
    A43,
    IMPORTRANGE(
      ""1ZHMy3vVUd_0MrSduXTe1etBb1HNpAlGwQr006ljwMiM"",
      ""GSC最新!A:R""
    ),
    15,
    FALSE
  ),
  0
)
"),65.06626506024097)</f>
        <v>65.06626506</v>
      </c>
      <c r="AA43" s="65">
        <f>IFERROR(__xludf.DUMMYFUNCTION("IFERROR(
  VLOOKUP(
    A43,
    IMPORTRANGE(
      ""1ZHMy3vVUd_0MrSduXTe1etBb1HNpAlGwQr006ljwMiM"",
      ""GSC最新!A:R""
    ),
    18,
    FALSE
  ),
  0
)
"),65.00934579439253)</f>
        <v>65.00934579</v>
      </c>
      <c r="AB43" s="65">
        <f t="shared" ref="AB43:AC43" si="209">X43-Z43</f>
        <v>-46.7091222</v>
      </c>
      <c r="AC43" s="65">
        <f t="shared" si="209"/>
        <v>-44.85934579</v>
      </c>
      <c r="AD43" s="53">
        <f>IFERROR(__xludf.DUMMYFUNCTION("IFERROR(
  VLOOKUP(
    A43,
    IMPORTRANGE(
      ""1ZHMy3vVUd_0MrSduXTe1etBb1HNpAlGwQr006ljwMiM"",
      ""GSC最新!A:F""
    ),
    6,
    FALSE
  ),
  0
)
"),46081.0)</f>
        <v>46081</v>
      </c>
      <c r="AE43" s="54">
        <f>IFERROR(__xludf.DUMMYFUNCTION("IFERROR(
  VLOOKUP(
    A43,
    IMPORTRANGE(
      ""1SCYQd7_cobOYqT0r_F0IqD4tE4rYn5y8Eup4PJTH8es"",
      ""Snapshot!A:M""
    ),
    5,
    FALSE
  ),
  ""-""
)
"),5.0)</f>
        <v>5</v>
      </c>
      <c r="AF43" s="54">
        <f>IFERROR(__xludf.DUMMYFUNCTION("IFERROR(
  VLOOKUP(
    A43,
    IMPORTRANGE(
      ""1SCYQd7_cobOYqT0r_F0IqD4tE4rYn5y8Eup4PJTH8es"",
      ""Snapshot!A:M""
    ),
    6,
    FALSE
  ),
  0
)
"),12.0)</f>
        <v>12</v>
      </c>
      <c r="AG43" s="54">
        <f>IFERROR(__xludf.DUMMYFUNCTION("IFERROR(
  VLOOKUP(
    A43,
    IMPORTRANGE(
      ""1SCYQd7_cobOYqT0r_F0IqD4tE4rYn5y8Eup4PJTH8es"",
      ""Snapshot!A:M""
    ),
    7,
    FALSE
  ),
  0
)
"),3843.0)</f>
        <v>3843</v>
      </c>
      <c r="AH43" s="54">
        <f>IFERROR(__xludf.DUMMYFUNCTION("IFERROR(
  VLOOKUP(
    A43,
    IMPORTRANGE(
      ""1SCYQd7_cobOYqT0r_F0IqD4tE4rYn5y8Eup4PJTH8es"",
      ""Snapshot!A:M""
    ),
    8,
    FALSE
  ),
  0
)
"),10.0)</f>
        <v>10</v>
      </c>
      <c r="AI43" s="54">
        <f>IFERROR(__xludf.DUMMYFUNCTION("IFERROR(
  VLOOKUP(
    A43,
    IMPORTRANGE(
      ""1SCYQd7_cobOYqT0r_F0IqD4tE4rYn5y8Eup4PJTH8es"",
      ""Snapshot!A:M""
    ),
    9,
    FALSE
  ),
  0
)
"),1.0)</f>
        <v>1</v>
      </c>
      <c r="AJ43" s="54">
        <f>IFERROR(__xludf.DUMMYFUNCTION("IFERROR(
  VLOOKUP(
    A43,
    IMPORTRANGE(
      ""1SCYQd7_cobOYqT0r_F0IqD4tE4rYn5y8Eup4PJTH8es"",
      ""Snapshot!A:M""
    ),
    13,
    FALSE
  ),
  0
)
"),2.0)</f>
        <v>2</v>
      </c>
      <c r="AK43" s="49">
        <f t="shared" ref="AK43:AL43" si="210">LEN(C43)</f>
        <v>59</v>
      </c>
      <c r="AL43" s="49">
        <f t="shared" si="210"/>
        <v>55</v>
      </c>
    </row>
    <row r="44">
      <c r="A44" s="3" t="s">
        <v>181</v>
      </c>
      <c r="B44" s="1" t="str">
        <f>IFERROR(__xludf.DUMMYFUNCTION("IFERROR(
  VLOOKUP(
    A44,
    IMPORTRANGE(
      ""1ZygntHC1J6IxzKbTidmOyf5nUyW4GCLurHCjexrLm_o"",
      ""HTMLキャッシュ!A:F""
    ),
    2,
    FALSE
  ),
  0
)
"),"-")</f>
        <v>-</v>
      </c>
      <c r="C44" s="1" t="str">
        <f>IFERROR(__xludf.DUMMYFUNCTION("IFERROR(
  VLOOKUP(
    A44,
    IMPORTRANGE(
      ""1ZygntHC1J6IxzKbTidmOyf5nUyW4GCLurHCjexrLm_o"",
      ""HTMLキャッシュ!A:F""
    ),
    5,
    FALSE
  ),
  0
)
"),"開講講座 - 中高一貫校専門塾エスコット(Escot)～定期試験対策から大学受験指導まで～")</f>
        <v>開講講座 - 中高一貫校専門塾エスコット(Escot)～定期試験対策から大学受験指導まで～</v>
      </c>
      <c r="D44" s="1" t="str">
        <f>IFERROR(__xludf.DUMMYFUNCTION("IFERROR(
  VLOOKUP(
    A44,
    IMPORTRANGE(
      ""1ZygntHC1J6IxzKbTidmOyf5nUyW4GCLurHCjexrLm_o        "",
      ""HTMLキャッシュ!A:F""
    ),
    6,
    FALSE
  ),
  0
)
"),"[1ページ目] 開講講座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[1ページ目] 開講講座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44" s="32">
        <f>IFERROR(__xludf.DUMMYFUNCTION("IFERROR(
  VLOOKUP(
    A44,
    IMPORTRANGE(
      ""1ZygntHC1J6IxzKbTidmOyf5nUyW4GCLurHCjexrLm_o        "",
      ""HTMLキャッシュ!A:F""
    ),
    3,
    FALSE
  ),
  0
)
"),45196.52211805555)</f>
        <v>45196.52212</v>
      </c>
      <c r="F44" s="49">
        <f>IFERROR(__xludf.DUMMYFUNCTION("IFERROR(
  VLOOKUP(
    A44,
    IMPORTRANGE(
      ""1ZHMy3vVUd_0MrSduXTe1etBb1HNpAlGwQr006ljwMiM"",
      ""GSC最新!A:F""
    ),
    2,
    FALSE
  ),
  0
)
"),1.0)</f>
        <v>1</v>
      </c>
      <c r="G44" s="49">
        <f>IFERROR(__xludf.DUMMYFUNCTION("IFERROR(
  VLOOKUP(
    A44,
    IMPORTRANGE(
      ""1ZHMy3vVUd_0MrSduXTe1etBb1HNpAlGwQr006ljwMiM"",
      ""GSC最新!A:F""
    ),
    3,
    FALSE
  ),
  0
)
"),1.0)</f>
        <v>1</v>
      </c>
      <c r="H44" s="49">
        <f>IFERROR(__xludf.DUMMYFUNCTION("IFERROR(
  VLOOKUP(
    A44,
    IMPORTRANGE(
      ""1ZHMy3vVUd_0MrSduXTe1etBb1HNpAlGwQr006ljwMiM"",
      ""GSC最新!A:F""
    ),
    4,
    FALSE
  ),
  0
)
"),2.0)</f>
        <v>2</v>
      </c>
      <c r="I44" s="49">
        <f>IFERROR(__xludf.DUMMYFUNCTION("IFERROR(
  VLOOKUP(
    A44,
    IMPORTRANGE(
      ""1ZHMy3vVUd_0MrSduXTe1etBb1HNpAlGwQr006ljwMiM"",
      ""GSC最新!A:F""
    ),
    5,
    FALSE
  ),
  0
)
"),2.0)</f>
        <v>2</v>
      </c>
      <c r="J44" s="50">
        <f t="shared" ref="J44:K44" si="211">IFERROR(F44/H44,"-")</f>
        <v>0.5</v>
      </c>
      <c r="K44" s="50">
        <f t="shared" si="211"/>
        <v>0.5</v>
      </c>
      <c r="L44" s="6">
        <f>IFERROR(__xludf.DUMMYFUNCTION("IFERROR(
  VLOOKUP(
    A44,
    IMPORTRANGE(
      ""1ZHMy3vVUd_0MrSduXTe1etBb1HNpAlGwQr006ljwMiM"",
      ""GSC最新!A:R""
    ),
    7,
    FALSE
  ),
  0
)
"),38.0)</f>
        <v>38</v>
      </c>
      <c r="M44" s="6">
        <f>IFERROR(__xludf.DUMMYFUNCTION("IFERROR(
  VLOOKUP(
    A44,
    IMPORTRANGE(
      ""1ZHMy3vVUd_0MrSduXTe1etBb1HNpAlGwQr006ljwMiM"",
      ""GSC最新!A:R""
    ),
    10,
    FALSE
  ),
  0
)
"),70.0)</f>
        <v>70</v>
      </c>
      <c r="N44" s="6">
        <f>IFERROR(__xludf.DUMMYFUNCTION("IFERROR(
  VLOOKUP(
    A44,
    IMPORTRANGE(
      ""1ZHMy3vVUd_0MrSduXTe1etBb1HNpAlGwQr006ljwMiM"",
      ""GSC最新!A:R""
    ),
    13,
    FALSE
  ),
  0
)
"),11.0)</f>
        <v>11</v>
      </c>
      <c r="O44" s="6">
        <f>IFERROR(__xludf.DUMMYFUNCTION("IFERROR(
  VLOOKUP(
    A44,
    IMPORTRANGE(
      ""1ZHMy3vVUd_0MrSduXTe1etBb1HNpAlGwQr006ljwMiM"",
      ""GSC最新!A:R""
    ),
    16,
    FALSE
  ),
  0
)
"),34.0)</f>
        <v>34</v>
      </c>
      <c r="P44" s="51">
        <f t="shared" ref="P44:Q44" si="212">IFERROR(L44/N44,"-")</f>
        <v>3.454545455</v>
      </c>
      <c r="Q44" s="51">
        <f t="shared" si="212"/>
        <v>2.058823529</v>
      </c>
      <c r="R44" s="9">
        <f>IFERROR(__xludf.DUMMYFUNCTION("IFERROR(
  VLOOKUP(
    A44,
    IMPORTRANGE(
      ""1ZHMy3vVUd_0MrSduXTe1etBb1HNpAlGwQr006ljwMiM"",
      ""GSC最新!A:R""
    ),
    8,
    FALSE
  ),
  0
)
"),0.02631578947368421)</f>
        <v>0.02631578947</v>
      </c>
      <c r="S44" s="9">
        <f>IFERROR(__xludf.DUMMYFUNCTION("IFERROR(
  VLOOKUP(
    A44,
    IMPORTRANGE(
      ""1ZHMy3vVUd_0MrSduXTe1etBb1HNpAlGwQr006ljwMiM"",
      ""GSC最新!A:R""
    ),
    11,
    FALSE
  ),
  0
)
"),0.014285714285714285)</f>
        <v>0.01428571429</v>
      </c>
      <c r="T44" s="9">
        <f>IFERROR(__xludf.DUMMYFUNCTION("IFERROR(
  VLOOKUP(
    A44,
    IMPORTRANGE(
      ""1ZHMy3vVUd_0MrSduXTe1etBb1HNpAlGwQr006ljwMiM"",
      ""GSC最新!A:R""
    ),
    14,
    FALSE
  ),
  0
)
"),0.18181818181818182)</f>
        <v>0.1818181818</v>
      </c>
      <c r="U44" s="9">
        <f>IFERROR(__xludf.DUMMYFUNCTION("IFERROR(
  VLOOKUP(
    A44,
    IMPORTRANGE(
      ""1ZHMy3vVUd_0MrSduXTe1etBb1HNpAlGwQr006ljwMiM"",
      ""GSC最新!A:R""
    ),
    17,
    FALSE
  ),
  0
)
"),0.058823529411764705)</f>
        <v>0.05882352941</v>
      </c>
      <c r="V44" s="9">
        <f t="shared" ref="V44:W44" si="213">IFERROR(R44-T44,"-")</f>
        <v>-0.1555023923</v>
      </c>
      <c r="W44" s="9">
        <f t="shared" si="213"/>
        <v>-0.04453781513</v>
      </c>
      <c r="X44" s="65">
        <f>IFERROR(__xludf.DUMMYFUNCTION("IFERROR(
  VLOOKUP(
    A44,
    IMPORTRANGE(
      ""1ZHMy3vVUd_0MrSduXTe1etBb1HNpAlGwQr006ljwMiM"",
      ""GSC最新!A:R""
    ),
    9,
    FALSE
  ),
  0
)
"),3.3684210526315788)</f>
        <v>3.368421053</v>
      </c>
      <c r="Y44" s="65">
        <f>IFERROR(__xludf.DUMMYFUNCTION("IFERROR(
  VLOOKUP(
    A44,
    IMPORTRANGE(
      ""1ZHMy3vVUd_0MrSduXTe1etBb1HNpAlGwQr006ljwMiM"",
      ""GSC最新!A:R""
    ),
    12,
    FALSE
  ),
  0
)
"),3.2285714285714286)</f>
        <v>3.228571429</v>
      </c>
      <c r="Z44" s="65">
        <f>IFERROR(__xludf.DUMMYFUNCTION("IFERROR(
  VLOOKUP(
    A44,
    IMPORTRANGE(
      ""1ZHMy3vVUd_0MrSduXTe1etBb1HNpAlGwQr006ljwMiM"",
      ""GSC最新!A:R""
    ),
    15,
    FALSE
  ),
  0
)
"),3.3636363636363638)</f>
        <v>3.363636364</v>
      </c>
      <c r="AA44" s="65">
        <f>IFERROR(__xludf.DUMMYFUNCTION("IFERROR(
  VLOOKUP(
    A44,
    IMPORTRANGE(
      ""1ZHMy3vVUd_0MrSduXTe1etBb1HNpAlGwQr006ljwMiM"",
      ""GSC最新!A:R""
    ),
    18,
    FALSE
  ),
  0
)
"),3.6176470588235294)</f>
        <v>3.617647059</v>
      </c>
      <c r="AB44" s="65">
        <f t="shared" ref="AB44:AC44" si="214">X44-Z44</f>
        <v>0.004784688995</v>
      </c>
      <c r="AC44" s="65">
        <f t="shared" si="214"/>
        <v>-0.3890756303</v>
      </c>
      <c r="AD44" s="53">
        <f>IFERROR(__xludf.DUMMYFUNCTION("IFERROR(
  VLOOKUP(
    A44,
    IMPORTRANGE(
      ""1ZHMy3vVUd_0MrSduXTe1etBb1HNpAlGwQr006ljwMiM"",
      ""GSC最新!A:F""
    ),
    6,
    FALSE
  ),
  0
)
"),46081.0)</f>
        <v>46081</v>
      </c>
      <c r="AE44" s="54">
        <f>IFERROR(__xludf.DUMMYFUNCTION("IFERROR(
  VLOOKUP(
    A44,
    IMPORTRANGE(
      ""1SCYQd7_cobOYqT0r_F0IqD4tE4rYn5y8Eup4PJTH8es"",
      ""Snapshot!A:M""
    ),
    5,
    FALSE
  ),
  ""-""
)
"),0.0)</f>
        <v>0</v>
      </c>
      <c r="AF44" s="54">
        <f>IFERROR(__xludf.DUMMYFUNCTION("IFERROR(
  VLOOKUP(
    A44,
    IMPORTRANGE(
      ""1SCYQd7_cobOYqT0r_F0IqD4tE4rYn5y8Eup4PJTH8es"",
      ""Snapshot!A:M""
    ),
    6,
    FALSE
  ),
  0
)
"),0.0)</f>
        <v>0</v>
      </c>
      <c r="AG44" s="54">
        <f>IFERROR(__xludf.DUMMYFUNCTION("IFERROR(
  VLOOKUP(
    A44,
    IMPORTRANGE(
      ""1SCYQd7_cobOYqT0r_F0IqD4tE4rYn5y8Eup4PJTH8es"",
      ""Snapshot!A:M""
    ),
    7,
    FALSE
  ),
  0
)
"),0.0)</f>
        <v>0</v>
      </c>
      <c r="AH44" s="54">
        <f>IFERROR(__xludf.DUMMYFUNCTION("IFERROR(
  VLOOKUP(
    A44,
    IMPORTRANGE(
      ""1SCYQd7_cobOYqT0r_F0IqD4tE4rYn5y8Eup4PJTH8es"",
      ""Snapshot!A:M""
    ),
    8,
    FALSE
  ),
  0
)
"),0.0)</f>
        <v>0</v>
      </c>
      <c r="AI44" s="54">
        <f>IFERROR(__xludf.DUMMYFUNCTION("IFERROR(
  VLOOKUP(
    A44,
    IMPORTRANGE(
      ""1SCYQd7_cobOYqT0r_F0IqD4tE4rYn5y8Eup4PJTH8es"",
      ""Snapshot!A:M""
    ),
    9,
    FALSE
  ),
  0
)
"),0.0)</f>
        <v>0</v>
      </c>
      <c r="AJ44" s="54">
        <f>IFERROR(__xludf.DUMMYFUNCTION("IFERROR(
  VLOOKUP(
    A44,
    IMPORTRANGE(
      ""1SCYQd7_cobOYqT0r_F0IqD4tE4rYn5y8Eup4PJTH8es"",
      ""Snapshot!A:M""
    ),
    13,
    FALSE
  ),
  0
)
"),1.0)</f>
        <v>1</v>
      </c>
      <c r="AK44" s="49">
        <f t="shared" ref="AK44:AL44" si="215">LEN(C44)</f>
        <v>45</v>
      </c>
      <c r="AL44" s="49">
        <f t="shared" si="215"/>
        <v>125</v>
      </c>
    </row>
    <row r="45">
      <c r="A45" s="3" t="s">
        <v>183</v>
      </c>
      <c r="B45" s="1" t="str">
        <f>IFERROR(__xludf.DUMMYFUNCTION("IFERROR(
  VLOOKUP(
    A45,
    IMPORTRANGE(
      ""1ZygntHC1J6IxzKbTidmOyf5nUyW4GCLurHCjexrLm_o"",
      ""HTMLキャッシュ!A:F""
    ),
    2,
    FALSE
  ),
  0
)
"),"-")</f>
        <v>-</v>
      </c>
      <c r="C45" s="1" t="str">
        <f>IFERROR(__xludf.DUMMYFUNCTION("IFERROR(
  VLOOKUP(
    A45,
    IMPORTRANGE(
      ""1ZygntHC1J6IxzKbTidmOyf5nUyW4GCLurHCjexrLm_o"",
      ""HTMLキャッシュ!A:F""
    ),
    5,
    FALSE
  ),
  0
)
"),"受験 - 中高一貫校専門塾エスコット(Escot)～定期試験対策から大学受験指導まで～")</f>
        <v>受験 - 中高一貫校専門塾エスコット(Escot)～定期試験対策から大学受験指導まで～</v>
      </c>
      <c r="D45" s="1" t="str">
        <f>IFERROR(__xludf.DUMMYFUNCTION("IFERROR(
  VLOOKUP(
    A45,
    IMPORTRANGE(
      ""1ZygntHC1J6IxzKbTidmOyf5nUyW4GCLurHCjexrLm_o        "",
      ""HTMLキャッシュ!A:F""
    ),
    6,
    FALSE
  ),
  0
)
"),"受験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受験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45" s="32">
        <f>IFERROR(__xludf.DUMMYFUNCTION("IFERROR(
  VLOOKUP(
    A45,
    IMPORTRANGE(
      ""1ZygntHC1J6IxzKbTidmOyf5nUyW4GCLurHCjexrLm_o        "",
      ""HTMLキャッシュ!A:F""
    ),
    3,
    FALSE
  ),
  0
)
"),25569.375)</f>
        <v>25569.375</v>
      </c>
      <c r="F45" s="49">
        <f>IFERROR(__xludf.DUMMYFUNCTION("IFERROR(
  VLOOKUP(
    A45,
    IMPORTRANGE(
      ""1ZHMy3vVUd_0MrSduXTe1etBb1HNpAlGwQr006ljwMiM"",
      ""GSC最新!A:F""
    ),
    2,
    FALSE
  ),
  0
)
"),0.0)</f>
        <v>0</v>
      </c>
      <c r="G45" s="49">
        <f>IFERROR(__xludf.DUMMYFUNCTION("IFERROR(
  VLOOKUP(
    A45,
    IMPORTRANGE(
      ""1ZHMy3vVUd_0MrSduXTe1etBb1HNpAlGwQr006ljwMiM"",
      ""GSC最新!A:F""
    ),
    3,
    FALSE
  ),
  0
)
"),1.0)</f>
        <v>1</v>
      </c>
      <c r="H45" s="49">
        <f>IFERROR(__xludf.DUMMYFUNCTION("IFERROR(
  VLOOKUP(
    A45,
    IMPORTRANGE(
      ""1ZHMy3vVUd_0MrSduXTe1etBb1HNpAlGwQr006ljwMiM"",
      ""GSC最新!A:F""
    ),
    4,
    FALSE
  ),
  0
)
"),0.0)</f>
        <v>0</v>
      </c>
      <c r="I45" s="49">
        <f>IFERROR(__xludf.DUMMYFUNCTION("IFERROR(
  VLOOKUP(
    A45,
    IMPORTRANGE(
      ""1ZHMy3vVUd_0MrSduXTe1etBb1HNpAlGwQr006ljwMiM"",
      ""GSC最新!A:F""
    ),
    5,
    FALSE
  ),
  0
)
"),0.0)</f>
        <v>0</v>
      </c>
      <c r="J45" s="50" t="str">
        <f t="shared" ref="J45:K45" si="216">IFERROR(F45/H45,"-")</f>
        <v>-</v>
      </c>
      <c r="K45" s="50" t="str">
        <f t="shared" si="216"/>
        <v>-</v>
      </c>
      <c r="L45" s="6">
        <f>IFERROR(__xludf.DUMMYFUNCTION("IFERROR(
  VLOOKUP(
    A45,
    IMPORTRANGE(
      ""1ZHMy3vVUd_0MrSduXTe1etBb1HNpAlGwQr006ljwMiM"",
      ""GSC最新!A:R""
    ),
    7,
    FALSE
  ),
  0
)
"),22.0)</f>
        <v>22</v>
      </c>
      <c r="M45" s="6">
        <f>IFERROR(__xludf.DUMMYFUNCTION("IFERROR(
  VLOOKUP(
    A45,
    IMPORTRANGE(
      ""1ZHMy3vVUd_0MrSduXTe1etBb1HNpAlGwQr006ljwMiM"",
      ""GSC最新!A:R""
    ),
    10,
    FALSE
  ),
  0
)
"),64.0)</f>
        <v>64</v>
      </c>
      <c r="N45" s="6">
        <f>IFERROR(__xludf.DUMMYFUNCTION("IFERROR(
  VLOOKUP(
    A45,
    IMPORTRANGE(
      ""1ZHMy3vVUd_0MrSduXTe1etBb1HNpAlGwQr006ljwMiM"",
      ""GSC最新!A:R""
    ),
    13,
    FALSE
  ),
  0
)
"),1.0)</f>
        <v>1</v>
      </c>
      <c r="O45" s="6">
        <f>IFERROR(__xludf.DUMMYFUNCTION("IFERROR(
  VLOOKUP(
    A45,
    IMPORTRANGE(
      ""1ZHMy3vVUd_0MrSduXTe1etBb1HNpAlGwQr006ljwMiM"",
      ""GSC最新!A:R""
    ),
    16,
    FALSE
  ),
  0
)
"),5.0)</f>
        <v>5</v>
      </c>
      <c r="P45" s="51">
        <f t="shared" ref="P45:Q45" si="217">IFERROR(L45/N45,"-")</f>
        <v>22</v>
      </c>
      <c r="Q45" s="51">
        <f t="shared" si="217"/>
        <v>12.8</v>
      </c>
      <c r="R45" s="9">
        <f>IFERROR(__xludf.DUMMYFUNCTION("IFERROR(
  VLOOKUP(
    A45,
    IMPORTRANGE(
      ""1ZHMy3vVUd_0MrSduXTe1etBb1HNpAlGwQr006ljwMiM"",
      ""GSC最新!A:R""
    ),
    8,
    FALSE
  ),
  0
)
"),0.0)</f>
        <v>0</v>
      </c>
      <c r="S45" s="9">
        <f>IFERROR(__xludf.DUMMYFUNCTION("IFERROR(
  VLOOKUP(
    A45,
    IMPORTRANGE(
      ""1ZHMy3vVUd_0MrSduXTe1etBb1HNpAlGwQr006ljwMiM"",
      ""GSC最新!A:R""
    ),
    11,
    FALSE
  ),
  0
)
"),0.015625)</f>
        <v>0.015625</v>
      </c>
      <c r="T45" s="9">
        <f>IFERROR(__xludf.DUMMYFUNCTION("IFERROR(
  VLOOKUP(
    A45,
    IMPORTRANGE(
      ""1ZHMy3vVUd_0MrSduXTe1etBb1HNpAlGwQr006ljwMiM"",
      ""GSC最新!A:R""
    ),
    14,
    FALSE
  ),
  0
)
"),0.0)</f>
        <v>0</v>
      </c>
      <c r="U45" s="9">
        <f>IFERROR(__xludf.DUMMYFUNCTION("IFERROR(
  VLOOKUP(
    A45,
    IMPORTRANGE(
      ""1ZHMy3vVUd_0MrSduXTe1etBb1HNpAlGwQr006ljwMiM"",
      ""GSC最新!A:R""
    ),
    17,
    FALSE
  ),
  0
)
"),0.0)</f>
        <v>0</v>
      </c>
      <c r="V45" s="9">
        <f t="shared" ref="V45:W45" si="218">IFERROR(R45-T45,"-")</f>
        <v>0</v>
      </c>
      <c r="W45" s="9">
        <f t="shared" si="218"/>
        <v>0.015625</v>
      </c>
      <c r="X45" s="65">
        <f>IFERROR(__xludf.DUMMYFUNCTION("IFERROR(
  VLOOKUP(
    A45,
    IMPORTRANGE(
      ""1ZHMy3vVUd_0MrSduXTe1etBb1HNpAlGwQr006ljwMiM"",
      ""GSC最新!A:R""
    ),
    9,
    FALSE
  ),
  0
)
"),3.5454545454545454)</f>
        <v>3.545454545</v>
      </c>
      <c r="Y45" s="65">
        <f>IFERROR(__xludf.DUMMYFUNCTION("IFERROR(
  VLOOKUP(
    A45,
    IMPORTRANGE(
      ""1ZHMy3vVUd_0MrSduXTe1etBb1HNpAlGwQr006ljwMiM"",
      ""GSC最新!A:R""
    ),
    12,
    FALSE
  ),
  0
)
"),3.75)</f>
        <v>3.75</v>
      </c>
      <c r="Z45" s="65">
        <f>IFERROR(__xludf.DUMMYFUNCTION("IFERROR(
  VLOOKUP(
    A45,
    IMPORTRANGE(
      ""1ZHMy3vVUd_0MrSduXTe1etBb1HNpAlGwQr006ljwMiM"",
      ""GSC最新!A:R""
    ),
    15,
    FALSE
  ),
  0
)
"),77.0)</f>
        <v>77</v>
      </c>
      <c r="AA45" s="65">
        <f>IFERROR(__xludf.DUMMYFUNCTION("IFERROR(
  VLOOKUP(
    A45,
    IMPORTRANGE(
      ""1ZHMy3vVUd_0MrSduXTe1etBb1HNpAlGwQr006ljwMiM"",
      ""GSC最新!A:R""
    ),
    18,
    FALSE
  ),
  0
)
"),44.8)</f>
        <v>44.8</v>
      </c>
      <c r="AB45" s="65">
        <f t="shared" ref="AB45:AC45" si="219">X45-Z45</f>
        <v>-73.45454545</v>
      </c>
      <c r="AC45" s="65">
        <f t="shared" si="219"/>
        <v>-41.05</v>
      </c>
      <c r="AD45" s="53">
        <f>IFERROR(__xludf.DUMMYFUNCTION("IFERROR(
  VLOOKUP(
    A45,
    IMPORTRANGE(
      ""1ZHMy3vVUd_0MrSduXTe1etBb1HNpAlGwQr006ljwMiM"",
      ""GSC最新!A:F""
    ),
    6,
    FALSE
  ),
  0
)
"),46081.0)</f>
        <v>46081</v>
      </c>
      <c r="AE45" s="54">
        <f>IFERROR(__xludf.DUMMYFUNCTION("IFERROR(
  VLOOKUP(
    A45,
    IMPORTRANGE(
      ""1SCYQd7_cobOYqT0r_F0IqD4tE4rYn5y8Eup4PJTH8es"",
      ""Snapshot!A:M""
    ),
    5,
    FALSE
  ),
  ""-""
)
"),0.0)</f>
        <v>0</v>
      </c>
      <c r="AF45" s="54">
        <f>IFERROR(__xludf.DUMMYFUNCTION("IFERROR(
  VLOOKUP(
    A45,
    IMPORTRANGE(
      ""1SCYQd7_cobOYqT0r_F0IqD4tE4rYn5y8Eup4PJTH8es"",
      ""Snapshot!A:M""
    ),
    6,
    FALSE
  ),
  0
)
"),0.0)</f>
        <v>0</v>
      </c>
      <c r="AG45" s="54">
        <f>IFERROR(__xludf.DUMMYFUNCTION("IFERROR(
  VLOOKUP(
    A45,
    IMPORTRANGE(
      ""1SCYQd7_cobOYqT0r_F0IqD4tE4rYn5y8Eup4PJTH8es"",
      ""Snapshot!A:M""
    ),
    7,
    FALSE
  ),
  0
)
"),0.0)</f>
        <v>0</v>
      </c>
      <c r="AH45" s="54">
        <f>IFERROR(__xludf.DUMMYFUNCTION("IFERROR(
  VLOOKUP(
    A45,
    IMPORTRANGE(
      ""1SCYQd7_cobOYqT0r_F0IqD4tE4rYn5y8Eup4PJTH8es"",
      ""Snapshot!A:M""
    ),
    8,
    FALSE
  ),
  0
)
"),0.0)</f>
        <v>0</v>
      </c>
      <c r="AI45" s="54">
        <f>IFERROR(__xludf.DUMMYFUNCTION("IFERROR(
  VLOOKUP(
    A45,
    IMPORTRANGE(
      ""1SCYQd7_cobOYqT0r_F0IqD4tE4rYn5y8Eup4PJTH8es"",
      ""Snapshot!A:M""
    ),
    9,
    FALSE
  ),
  0
)
"),0.0)</f>
        <v>0</v>
      </c>
      <c r="AJ45" s="54">
        <f>IFERROR(__xludf.DUMMYFUNCTION("IFERROR(
  VLOOKUP(
    A45,
    IMPORTRANGE(
      ""1SCYQd7_cobOYqT0r_F0IqD4tE4rYn5y8Eup4PJTH8es"",
      ""Snapshot!A:M""
    ),
    13,
    FALSE
  ),
  0
)
"),1.0)</f>
        <v>1</v>
      </c>
      <c r="AK45" s="49">
        <f t="shared" ref="AK45:AL45" si="220">LEN(C45)</f>
        <v>43</v>
      </c>
      <c r="AL45" s="49">
        <f t="shared" si="220"/>
        <v>116</v>
      </c>
    </row>
    <row r="46">
      <c r="A46" s="3" t="s">
        <v>322</v>
      </c>
      <c r="B46" s="1" t="str">
        <f>IFERROR(__xludf.DUMMYFUNCTION("IFERROR(
  VLOOKUP(
    A46,
    IMPORTRANGE(
      ""1ZygntHC1J6IxzKbTidmOyf5nUyW4GCLurHCjexrLm_o"",
      ""HTMLキャッシュ!A:F""
    ),
    2,
    FALSE
  ),
  0
)
"),"SP")</f>
        <v>SP</v>
      </c>
      <c r="C46" s="1" t="str">
        <f>IFERROR(__xludf.DUMMYFUNCTION("IFERROR(
  VLOOKUP(
    A46,
    IMPORTRANGE(
      ""1ZygntHC1J6IxzKbTidmOyf5nUyW4GCLurHCjexrLm_o"",
      ""HTMLキャッシュ!A:F""
    ),
    5,
    FALSE
  ),
  0
)
"),"中高一貫向け英語文法語法ワンポイント個指導講座｜オンライン塾")</f>
        <v>中高一貫向け英語文法語法ワンポイント個指導講座｜オンライン塾</v>
      </c>
      <c r="D46" s="1" t="str">
        <f>IFERROR(__xludf.DUMMYFUNCTION("IFERROR(
  VLOOKUP(
    A46,
    IMPORTRANGE(
      ""1ZygntHC1J6IxzKbTidmOyf5nUyW4GCLurHCjexrLm_o        "",
      ""HTMLキャッシュ!A:F""
    ),
    6,
    FALSE
  ),
  0
)
"),"定期テスト前に英語文法語法を短期整理。中高一貫生向け個別指導で弱点を即修正。教室・オンライン体験受付中今すぐ相談可無料対応")</f>
        <v>定期テスト前に英語文法語法を短期整理。中高一貫生向け個別指導で弱点を即修正。教室・オンライン体験受付中今すぐ相談可無料対応</v>
      </c>
      <c r="E46" s="32">
        <f>IFERROR(__xludf.DUMMYFUNCTION("IFERROR(
  VLOOKUP(
    A46,
    IMPORTRANGE(
      ""1ZygntHC1J6IxzKbTidmOyf5nUyW4GCLurHCjexrLm_o        "",
      ""HTMLキャッシュ!A:F""
    ),
    3,
    FALSE
  ),
  0
)
"),46081.74383101852)</f>
        <v>46081.74383</v>
      </c>
      <c r="F46" s="49">
        <f>IFERROR(__xludf.DUMMYFUNCTION("IFERROR(
  VLOOKUP(
    A46,
    IMPORTRANGE(
      ""1ZHMy3vVUd_0MrSduXTe1etBb1HNpAlGwQr006ljwMiM"",
      ""GSC最新!A:F""
    ),
    2,
    FALSE
  ),
  0
)
"),0.0)</f>
        <v>0</v>
      </c>
      <c r="G46" s="49">
        <f>IFERROR(__xludf.DUMMYFUNCTION("IFERROR(
  VLOOKUP(
    A46,
    IMPORTRANGE(
      ""1ZHMy3vVUd_0MrSduXTe1etBb1HNpAlGwQr006ljwMiM"",
      ""GSC最新!A:F""
    ),
    3,
    FALSE
  ),
  0
)
"),1.0)</f>
        <v>1</v>
      </c>
      <c r="H46" s="49">
        <f>IFERROR(__xludf.DUMMYFUNCTION("IFERROR(
  VLOOKUP(
    A46,
    IMPORTRANGE(
      ""1ZHMy3vVUd_0MrSduXTe1etBb1HNpAlGwQr006ljwMiM"",
      ""GSC最新!A:F""
    ),
    4,
    FALSE
  ),
  0
)
"),0.0)</f>
        <v>0</v>
      </c>
      <c r="I46" s="49">
        <f>IFERROR(__xludf.DUMMYFUNCTION("IFERROR(
  VLOOKUP(
    A46,
    IMPORTRANGE(
      ""1ZHMy3vVUd_0MrSduXTe1etBb1HNpAlGwQr006ljwMiM"",
      ""GSC最新!A:F""
    ),
    5,
    FALSE
  ),
  0
)
"),0.0)</f>
        <v>0</v>
      </c>
      <c r="J46" s="50" t="str">
        <f t="shared" ref="J46:K46" si="221">IFERROR(F46/H46,"-")</f>
        <v>-</v>
      </c>
      <c r="K46" s="50" t="str">
        <f t="shared" si="221"/>
        <v>-</v>
      </c>
      <c r="L46" s="6">
        <f>IFERROR(__xludf.DUMMYFUNCTION("IFERROR(
  VLOOKUP(
    A46,
    IMPORTRANGE(
      ""1ZHMy3vVUd_0MrSduXTe1etBb1HNpAlGwQr006ljwMiM"",
      ""GSC最新!A:R""
    ),
    7,
    FALSE
  ),
  0
)
"),32.0)</f>
        <v>32</v>
      </c>
      <c r="M46" s="6">
        <f>IFERROR(__xludf.DUMMYFUNCTION("IFERROR(
  VLOOKUP(
    A46,
    IMPORTRANGE(
      ""1ZHMy3vVUd_0MrSduXTe1etBb1HNpAlGwQr006ljwMiM"",
      ""GSC最新!A:R""
    ),
    10,
    FALSE
  ),
  0
)
"),61.0)</f>
        <v>61</v>
      </c>
      <c r="N46" s="6">
        <f>IFERROR(__xludf.DUMMYFUNCTION("IFERROR(
  VLOOKUP(
    A46,
    IMPORTRANGE(
      ""1ZHMy3vVUd_0MrSduXTe1etBb1HNpAlGwQr006ljwMiM"",
      ""GSC最新!A:R""
    ),
    13,
    FALSE
  ),
  0
)
"),3.0)</f>
        <v>3</v>
      </c>
      <c r="O46" s="6">
        <f>IFERROR(__xludf.DUMMYFUNCTION("IFERROR(
  VLOOKUP(
    A46,
    IMPORTRANGE(
      ""1ZHMy3vVUd_0MrSduXTe1etBb1HNpAlGwQr006ljwMiM"",
      ""GSC最新!A:R""
    ),
    16,
    FALSE
  ),
  0
)
"),18.0)</f>
        <v>18</v>
      </c>
      <c r="P46" s="51">
        <f t="shared" ref="P46:Q46" si="222">IFERROR(L46/N46,"-")</f>
        <v>10.66666667</v>
      </c>
      <c r="Q46" s="51">
        <f t="shared" si="222"/>
        <v>3.388888889</v>
      </c>
      <c r="R46" s="9">
        <f>IFERROR(__xludf.DUMMYFUNCTION("IFERROR(
  VLOOKUP(
    A46,
    IMPORTRANGE(
      ""1ZHMy3vVUd_0MrSduXTe1etBb1HNpAlGwQr006ljwMiM"",
      ""GSC最新!A:R""
    ),
    8,
    FALSE
  ),
  0
)
"),0.0)</f>
        <v>0</v>
      </c>
      <c r="S46" s="9">
        <f>IFERROR(__xludf.DUMMYFUNCTION("IFERROR(
  VLOOKUP(
    A46,
    IMPORTRANGE(
      ""1ZHMy3vVUd_0MrSduXTe1etBb1HNpAlGwQr006ljwMiM"",
      ""GSC最新!A:R""
    ),
    11,
    FALSE
  ),
  0
)
"),0.01639344262295082)</f>
        <v>0.01639344262</v>
      </c>
      <c r="T46" s="9">
        <f>IFERROR(__xludf.DUMMYFUNCTION("IFERROR(
  VLOOKUP(
    A46,
    IMPORTRANGE(
      ""1ZHMy3vVUd_0MrSduXTe1etBb1HNpAlGwQr006ljwMiM"",
      ""GSC最新!A:R""
    ),
    14,
    FALSE
  ),
  0
)
"),0.0)</f>
        <v>0</v>
      </c>
      <c r="U46" s="9">
        <f>IFERROR(__xludf.DUMMYFUNCTION("IFERROR(
  VLOOKUP(
    A46,
    IMPORTRANGE(
      ""1ZHMy3vVUd_0MrSduXTe1etBb1HNpAlGwQr006ljwMiM"",
      ""GSC最新!A:R""
    ),
    17,
    FALSE
  ),
  0
)
"),0.0)</f>
        <v>0</v>
      </c>
      <c r="V46" s="9">
        <f t="shared" ref="V46:W46" si="223">IFERROR(R46-T46,"-")</f>
        <v>0</v>
      </c>
      <c r="W46" s="9">
        <f t="shared" si="223"/>
        <v>0.01639344262</v>
      </c>
      <c r="X46" s="65">
        <f>IFERROR(__xludf.DUMMYFUNCTION("IFERROR(
  VLOOKUP(
    A46,
    IMPORTRANGE(
      ""1ZHMy3vVUd_0MrSduXTe1etBb1HNpAlGwQr006ljwMiM"",
      ""GSC最新!A:R""
    ),
    9,
    FALSE
  ),
  0
)
"),7.90625)</f>
        <v>7.90625</v>
      </c>
      <c r="Y46" s="65">
        <f>IFERROR(__xludf.DUMMYFUNCTION("IFERROR(
  VLOOKUP(
    A46,
    IMPORTRANGE(
      ""1ZHMy3vVUd_0MrSduXTe1etBb1HNpAlGwQr006ljwMiM"",
      ""GSC最新!A:R""
    ),
    12,
    FALSE
  ),
  0
)
"),6.426229508196721)</f>
        <v>6.426229508</v>
      </c>
      <c r="Z46" s="65">
        <f>IFERROR(__xludf.DUMMYFUNCTION("IFERROR(
  VLOOKUP(
    A46,
    IMPORTRANGE(
      ""1ZHMy3vVUd_0MrSduXTe1etBb1HNpAlGwQr006ljwMiM"",
      ""GSC最新!A:R""
    ),
    15,
    FALSE
  ),
  0
)
"),7.666666666666667)</f>
        <v>7.666666667</v>
      </c>
      <c r="AA46" s="65">
        <f>IFERROR(__xludf.DUMMYFUNCTION("IFERROR(
  VLOOKUP(
    A46,
    IMPORTRANGE(
      ""1ZHMy3vVUd_0MrSduXTe1etBb1HNpAlGwQr006ljwMiM"",
      ""GSC最新!A:R""
    ),
    18,
    FALSE
  ),
  0
)
"),30.055555555555557)</f>
        <v>30.05555556</v>
      </c>
      <c r="AB46" s="65">
        <f t="shared" ref="AB46:AC46" si="224">X46-Z46</f>
        <v>0.2395833333</v>
      </c>
      <c r="AC46" s="65">
        <f t="shared" si="224"/>
        <v>-23.62932605</v>
      </c>
      <c r="AD46" s="53">
        <f>IFERROR(__xludf.DUMMYFUNCTION("IFERROR(
  VLOOKUP(
    A46,
    IMPORTRANGE(
      ""1ZHMy3vVUd_0MrSduXTe1etBb1HNpAlGwQr006ljwMiM"",
      ""GSC最新!A:F""
    ),
    6,
    FALSE
  ),
  0
)
"),46081.0)</f>
        <v>46081</v>
      </c>
      <c r="AE46" s="54">
        <f>IFERROR(__xludf.DUMMYFUNCTION("IFERROR(
  VLOOKUP(
    A46,
    IMPORTRANGE(
      ""1SCYQd7_cobOYqT0r_F0IqD4tE4rYn5y8Eup4PJTH8es"",
      ""Snapshot!A:M""
    ),
    5,
    FALSE
  ),
  ""-""
)
"),5.0)</f>
        <v>5</v>
      </c>
      <c r="AF46" s="54">
        <f>IFERROR(__xludf.DUMMYFUNCTION("IFERROR(
  VLOOKUP(
    A46,
    IMPORTRANGE(
      ""1SCYQd7_cobOYqT0r_F0IqD4tE4rYn5y8Eup4PJTH8es"",
      ""Snapshot!A:M""
    ),
    6,
    FALSE
  ),
  0
)
"),0.0)</f>
        <v>0</v>
      </c>
      <c r="AG46" s="54">
        <f>IFERROR(__xludf.DUMMYFUNCTION("IFERROR(
  VLOOKUP(
    A46,
    IMPORTRANGE(
      ""1SCYQd7_cobOYqT0r_F0IqD4tE4rYn5y8Eup4PJTH8es"",
      ""Snapshot!A:M""
    ),
    7,
    FALSE
  ),
  0
)
"),1415.0)</f>
        <v>1415</v>
      </c>
      <c r="AH46" s="54">
        <f>IFERROR(__xludf.DUMMYFUNCTION("IFERROR(
  VLOOKUP(
    A46,
    IMPORTRANGE(
      ""1SCYQd7_cobOYqT0r_F0IqD4tE4rYn5y8Eup4PJTH8es"",
      ""Snapshot!A:M""
    ),
    8,
    FALSE
  ),
  0
)
"),0.0)</f>
        <v>0</v>
      </c>
      <c r="AI46" s="54">
        <f>IFERROR(__xludf.DUMMYFUNCTION("IFERROR(
  VLOOKUP(
    A46,
    IMPORTRANGE(
      ""1SCYQd7_cobOYqT0r_F0IqD4tE4rYn5y8Eup4PJTH8es"",
      ""Snapshot!A:M""
    ),
    9,
    FALSE
  ),
  0
)
"),1.0)</f>
        <v>1</v>
      </c>
      <c r="AJ46" s="54">
        <f>IFERROR(__xludf.DUMMYFUNCTION("IFERROR(
  VLOOKUP(
    A46,
    IMPORTRANGE(
      ""1SCYQd7_cobOYqT0r_F0IqD4tE4rYn5y8Eup4PJTH8es"",
      ""Snapshot!A:M""
    ),
    13,
    FALSE
  ),
  0
)
"),1.0)</f>
        <v>1</v>
      </c>
      <c r="AK46" s="49">
        <f t="shared" ref="AK46:AL46" si="225">LEN(C46)</f>
        <v>30</v>
      </c>
      <c r="AL46" s="49">
        <f t="shared" si="225"/>
        <v>61</v>
      </c>
    </row>
    <row r="47">
      <c r="A47" s="3" t="s">
        <v>325</v>
      </c>
      <c r="B47" s="1" t="str">
        <f>IFERROR(__xludf.DUMMYFUNCTION("IFERROR(
  VLOOKUP(
    A47,
    IMPORTRANGE(
      ""1ZygntHC1J6IxzKbTidmOyf5nUyW4GCLurHCjexrLm_o"",
      ""HTMLキャッシュ!A:F""
    ),
    2,
    FALSE
  ),
  0
)
"),"SP")</f>
        <v>SP</v>
      </c>
      <c r="C47" s="1" t="str">
        <f>IFERROR(__xludf.DUMMYFUNCTION("IFERROR(
  VLOOKUP(
    A47,
    IMPORTRANGE(
      ""1ZygntHC1J6IxzKbTidmOyf5nUyW4GCLurHCjexrLm_o"",
      ""HTMLキャッシュ!A:F""
    ),
    5,
    FALSE
  ),
  0
)
"),"中高一貫の英数個別指導｜学校教材で定期試験対策｜中1〜高1")</f>
        <v>中高一貫の英数個別指導｜学校教材で定期試験対策｜中1〜高1</v>
      </c>
      <c r="D47" s="1" t="str">
        <f>IFERROR(__xludf.DUMMYFUNCTION("IFERROR(
  VLOOKUP(
    A47,
    IMPORTRANGE(
      ""1ZygntHC1J6IxzKbTidmOyf5nUyW4GCLurHCjexrLm_o        "",
      ""HTMLキャッシュ!A:F""
    ),
    6,
    FALSE
  ),
  0
)
"),"中高一貫の英語・数学を完全1対1で学校対策。学校ワーク・プリント中心に、ミス原因を整理し、次の定期試験までの学習計画を作成。無料ヒアリング／教室・オンライン対応")</f>
        <v>中高一貫の英語・数学を完全1対1で学校対策。学校ワーク・プリント中心に、ミス原因を整理し、次の定期試験までの学習計画を作成。無料ヒアリング／教室・オンライン対応</v>
      </c>
      <c r="E47" s="32">
        <f>IFERROR(__xludf.DUMMYFUNCTION("IFERROR(
  VLOOKUP(
    A47,
    IMPORTRANGE(
      ""1ZygntHC1J6IxzKbTidmOyf5nUyW4GCLurHCjexrLm_o        "",
      ""HTMLキャッシュ!A:F""
    ),
    3,
    FALSE
  ),
  0
)
"),46078.87943287037)</f>
        <v>46078.87943</v>
      </c>
      <c r="F47" s="49">
        <f>IFERROR(__xludf.DUMMYFUNCTION("IFERROR(
  VLOOKUP(
    A47,
    IMPORTRANGE(
      ""1ZHMy3vVUd_0MrSduXTe1etBb1HNpAlGwQr006ljwMiM"",
      ""GSC最新!A:F""
    ),
    2,
    FALSE
  ),
  0
)
"),1.0)</f>
        <v>1</v>
      </c>
      <c r="G47" s="49">
        <f>IFERROR(__xludf.DUMMYFUNCTION("IFERROR(
  VLOOKUP(
    A47,
    IMPORTRANGE(
      ""1ZHMy3vVUd_0MrSduXTe1etBb1HNpAlGwQr006ljwMiM"",
      ""GSC最新!A:F""
    ),
    3,
    FALSE
  ),
  0
)
"),1.0)</f>
        <v>1</v>
      </c>
      <c r="H47" s="49">
        <f>IFERROR(__xludf.DUMMYFUNCTION("IFERROR(
  VLOOKUP(
    A47,
    IMPORTRANGE(
      ""1ZHMy3vVUd_0MrSduXTe1etBb1HNpAlGwQr006ljwMiM"",
      ""GSC最新!A:F""
    ),
    4,
    FALSE
  ),
  0
)
"),0.0)</f>
        <v>0</v>
      </c>
      <c r="I47" s="49">
        <f>IFERROR(__xludf.DUMMYFUNCTION("IFERROR(
  VLOOKUP(
    A47,
    IMPORTRANGE(
      ""1ZHMy3vVUd_0MrSduXTe1etBb1HNpAlGwQr006ljwMiM"",
      ""GSC最新!A:F""
    ),
    5,
    FALSE
  ),
  0
)
"),1.0)</f>
        <v>1</v>
      </c>
      <c r="J47" s="50" t="str">
        <f t="shared" ref="J47:K47" si="226">IFERROR(F47/H47,"-")</f>
        <v>-</v>
      </c>
      <c r="K47" s="50">
        <f t="shared" si="226"/>
        <v>1</v>
      </c>
      <c r="L47" s="6">
        <f>IFERROR(__xludf.DUMMYFUNCTION("IFERROR(
  VLOOKUP(
    A47,
    IMPORTRANGE(
      ""1ZHMy3vVUd_0MrSduXTe1etBb1HNpAlGwQr006ljwMiM"",
      ""GSC最新!A:R""
    ),
    7,
    FALSE
  ),
  0
)
"),24.0)</f>
        <v>24</v>
      </c>
      <c r="M47" s="6">
        <f>IFERROR(__xludf.DUMMYFUNCTION("IFERROR(
  VLOOKUP(
    A47,
    IMPORTRANGE(
      ""1ZHMy3vVUd_0MrSduXTe1etBb1HNpAlGwQr006ljwMiM"",
      ""GSC最新!A:R""
    ),
    10,
    FALSE
  ),
  0
)
"),49.0)</f>
        <v>49</v>
      </c>
      <c r="N47" s="6">
        <f>IFERROR(__xludf.DUMMYFUNCTION("IFERROR(
  VLOOKUP(
    A47,
    IMPORTRANGE(
      ""1ZHMy3vVUd_0MrSduXTe1etBb1HNpAlGwQr006ljwMiM"",
      ""GSC最新!A:R""
    ),
    13,
    FALSE
  ),
  0
)
"),3.0)</f>
        <v>3</v>
      </c>
      <c r="O47" s="6">
        <f>IFERROR(__xludf.DUMMYFUNCTION("IFERROR(
  VLOOKUP(
    A47,
    IMPORTRANGE(
      ""1ZHMy3vVUd_0MrSduXTe1etBb1HNpAlGwQr006ljwMiM"",
      ""GSC最新!A:R""
    ),
    16,
    FALSE
  ),
  0
)
"),10.0)</f>
        <v>10</v>
      </c>
      <c r="P47" s="51">
        <f t="shared" ref="P47:Q47" si="227">IFERROR(L47/N47,"-")</f>
        <v>8</v>
      </c>
      <c r="Q47" s="51">
        <f t="shared" si="227"/>
        <v>4.9</v>
      </c>
      <c r="R47" s="9">
        <f>IFERROR(__xludf.DUMMYFUNCTION("IFERROR(
  VLOOKUP(
    A47,
    IMPORTRANGE(
      ""1ZHMy3vVUd_0MrSduXTe1etBb1HNpAlGwQr006ljwMiM"",
      ""GSC最新!A:R""
    ),
    8,
    FALSE
  ),
  0
)
"),0.041666666666666664)</f>
        <v>0.04166666667</v>
      </c>
      <c r="S47" s="9">
        <f>IFERROR(__xludf.DUMMYFUNCTION("IFERROR(
  VLOOKUP(
    A47,
    IMPORTRANGE(
      ""1ZHMy3vVUd_0MrSduXTe1etBb1HNpAlGwQr006ljwMiM"",
      ""GSC最新!A:R""
    ),
    11,
    FALSE
  ),
  0
)
"),0.02040816326530612)</f>
        <v>0.02040816327</v>
      </c>
      <c r="T47" s="9">
        <f>IFERROR(__xludf.DUMMYFUNCTION("IFERROR(
  VLOOKUP(
    A47,
    IMPORTRANGE(
      ""1ZHMy3vVUd_0MrSduXTe1etBb1HNpAlGwQr006ljwMiM"",
      ""GSC最新!A:R""
    ),
    14,
    FALSE
  ),
  0
)
"),0.0)</f>
        <v>0</v>
      </c>
      <c r="U47" s="9">
        <f>IFERROR(__xludf.DUMMYFUNCTION("IFERROR(
  VLOOKUP(
    A47,
    IMPORTRANGE(
      ""1ZHMy3vVUd_0MrSduXTe1etBb1HNpAlGwQr006ljwMiM"",
      ""GSC最新!A:R""
    ),
    17,
    FALSE
  ),
  0
)
"),0.1)</f>
        <v>0.1</v>
      </c>
      <c r="V47" s="9">
        <f t="shared" ref="V47:W47" si="228">IFERROR(R47-T47,"-")</f>
        <v>0.04166666667</v>
      </c>
      <c r="W47" s="9">
        <f t="shared" si="228"/>
        <v>-0.07959183673</v>
      </c>
      <c r="X47" s="65">
        <f>IFERROR(__xludf.DUMMYFUNCTION("IFERROR(
  VLOOKUP(
    A47,
    IMPORTRANGE(
      ""1ZHMy3vVUd_0MrSduXTe1etBb1HNpAlGwQr006ljwMiM"",
      ""GSC最新!A:R""
    ),
    9,
    FALSE
  ),
  0
)
"),4.333333333333334)</f>
        <v>4.333333333</v>
      </c>
      <c r="Y47" s="65">
        <f>IFERROR(__xludf.DUMMYFUNCTION("IFERROR(
  VLOOKUP(
    A47,
    IMPORTRANGE(
      ""1ZHMy3vVUd_0MrSduXTe1etBb1HNpAlGwQr006ljwMiM"",
      ""GSC最新!A:R""
    ),
    12,
    FALSE
  ),
  0
)
"),3.7551020408163267)</f>
        <v>3.755102041</v>
      </c>
      <c r="Z47" s="65">
        <f>IFERROR(__xludf.DUMMYFUNCTION("IFERROR(
  VLOOKUP(
    A47,
    IMPORTRANGE(
      ""1ZHMy3vVUd_0MrSduXTe1etBb1HNpAlGwQr006ljwMiM"",
      ""GSC最新!A:R""
    ),
    15,
    FALSE
  ),
  0
)
"),10.666666666666666)</f>
        <v>10.66666667</v>
      </c>
      <c r="AA47" s="65">
        <f>IFERROR(__xludf.DUMMYFUNCTION("IFERROR(
  VLOOKUP(
    A47,
    IMPORTRANGE(
      ""1ZHMy3vVUd_0MrSduXTe1etBb1HNpAlGwQr006ljwMiM"",
      ""GSC最新!A:R""
    ),
    18,
    FALSE
  ),
  0
)
"),10.7)</f>
        <v>10.7</v>
      </c>
      <c r="AB47" s="65">
        <f t="shared" ref="AB47:AC47" si="229">X47-Z47</f>
        <v>-6.333333333</v>
      </c>
      <c r="AC47" s="65">
        <f t="shared" si="229"/>
        <v>-6.944897959</v>
      </c>
      <c r="AD47" s="53">
        <f>IFERROR(__xludf.DUMMYFUNCTION("IFERROR(
  VLOOKUP(
    A47,
    IMPORTRANGE(
      ""1ZHMy3vVUd_0MrSduXTe1etBb1HNpAlGwQr006ljwMiM"",
      ""GSC最新!A:F""
    ),
    6,
    FALSE
  ),
  0
)
"),46081.0)</f>
        <v>46081</v>
      </c>
      <c r="AE47" s="54">
        <f>IFERROR(__xludf.DUMMYFUNCTION("IFERROR(
  VLOOKUP(
    A47,
    IMPORTRANGE(
      ""1SCYQd7_cobOYqT0r_F0IqD4tE4rYn5y8Eup4PJTH8es"",
      ""Snapshot!A:M""
    ),
    5,
    FALSE
  ),
  ""-""
)
"),11.0)</f>
        <v>11</v>
      </c>
      <c r="AF47" s="54">
        <f>IFERROR(__xludf.DUMMYFUNCTION("IFERROR(
  VLOOKUP(
    A47,
    IMPORTRANGE(
      ""1SCYQd7_cobOYqT0r_F0IqD4tE4rYn5y8Eup4PJTH8es"",
      ""Snapshot!A:M""
    ),
    6,
    FALSE
  ),
  0
)
"),21.0)</f>
        <v>21</v>
      </c>
      <c r="AG47" s="54">
        <f>IFERROR(__xludf.DUMMYFUNCTION("IFERROR(
  VLOOKUP(
    A47,
    IMPORTRANGE(
      ""1SCYQd7_cobOYqT0r_F0IqD4tE4rYn5y8Eup4PJTH8es"",
      ""Snapshot!A:M""
    ),
    7,
    FALSE
  ),
  0
)
"),4206.0)</f>
        <v>4206</v>
      </c>
      <c r="AH47" s="54">
        <f>IFERROR(__xludf.DUMMYFUNCTION("IFERROR(
  VLOOKUP(
    A47,
    IMPORTRANGE(
      ""1SCYQd7_cobOYqT0r_F0IqD4tE4rYn5y8Eup4PJTH8es"",
      ""Snapshot!A:M""
    ),
    8,
    FALSE
  ),
  0
)
"),10.0)</f>
        <v>10</v>
      </c>
      <c r="AI47" s="54">
        <f>IFERROR(__xludf.DUMMYFUNCTION("IFERROR(
  VLOOKUP(
    A47,
    IMPORTRANGE(
      ""1SCYQd7_cobOYqT0r_F0IqD4tE4rYn5y8Eup4PJTH8es"",
      ""Snapshot!A:M""
    ),
    9,
    FALSE
  ),
  0
)
"),6.0)</f>
        <v>6</v>
      </c>
      <c r="AJ47" s="54">
        <f>IFERROR(__xludf.DUMMYFUNCTION("IFERROR(
  VLOOKUP(
    A47,
    IMPORTRANGE(
      ""1SCYQd7_cobOYqT0r_F0IqD4tE4rYn5y8Eup4PJTH8es"",
      ""Snapshot!A:M""
    ),
    13,
    FALSE
  ),
  0
)
"),2.0)</f>
        <v>2</v>
      </c>
      <c r="AK47" s="49">
        <f t="shared" ref="AK47:AL47" si="230">LEN(C47)</f>
        <v>29</v>
      </c>
      <c r="AL47" s="49">
        <f t="shared" si="230"/>
        <v>80</v>
      </c>
    </row>
    <row r="48">
      <c r="A48" s="3" t="s">
        <v>185</v>
      </c>
      <c r="B48" s="1" t="str">
        <f>IFERROR(__xludf.DUMMYFUNCTION("IFERROR(
  VLOOKUP(
    A48,
    IMPORTRANGE(
      ""1ZygntHC1J6IxzKbTidmOyf5nUyW4GCLurHCjexrLm_o"",
      ""HTMLキャッシュ!A:F""
    ),
    2,
    FALSE
  ),
  0
)
"),"-")</f>
        <v>-</v>
      </c>
      <c r="C48" s="1" t="str">
        <f>IFERROR(__xludf.DUMMYFUNCTION("IFERROR(
  VLOOKUP(
    A48,
    IMPORTRANGE(
      ""1ZygntHC1J6IxzKbTidmOyf5nUyW4GCLurHCjexrLm_o"",
      ""HTMLキャッシュ!A:F""
    ),
    5,
    FALSE
  ),
  0
)
"),"英語 - 中高一貫校専門塾エスコット(Escot)～定期試験対策から大学受験指導まで～")</f>
        <v>英語 - 中高一貫校専門塾エスコット(Escot)～定期試験対策から大学受験指導まで～</v>
      </c>
      <c r="D48" s="1" t="str">
        <f>IFERROR(__xludf.DUMMYFUNCTION("IFERROR(
  VLOOKUP(
    A48,
    IMPORTRANGE(
      ""1ZygntHC1J6IxzKbTidmOyf5nUyW4GCLurHCjexrLm_o        "",
      ""HTMLキャッシュ!A:F""
    ),
    6,
    FALSE
  ),
  0
)
"),"英語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英語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48" s="32">
        <f>IFERROR(__xludf.DUMMYFUNCTION("IFERROR(
  VLOOKUP(
    A48,
    IMPORTRANGE(
      ""1ZygntHC1J6IxzKbTidmOyf5nUyW4GCLurHCjexrLm_o        "",
      ""HTMLキャッシュ!A:F""
    ),
    3,
    FALSE
  ),
  0
)
"),25569.375)</f>
        <v>25569.375</v>
      </c>
      <c r="F48" s="49">
        <f>IFERROR(__xludf.DUMMYFUNCTION("IFERROR(
  VLOOKUP(
    A48,
    IMPORTRANGE(
      ""1ZHMy3vVUd_0MrSduXTe1etBb1HNpAlGwQr006ljwMiM"",
      ""GSC最新!A:F""
    ),
    2,
    FALSE
  ),
  0
)
"),1.0)</f>
        <v>1</v>
      </c>
      <c r="G48" s="49">
        <f>IFERROR(__xludf.DUMMYFUNCTION("IFERROR(
  VLOOKUP(
    A48,
    IMPORTRANGE(
      ""1ZHMy3vVUd_0MrSduXTe1etBb1HNpAlGwQr006ljwMiM"",
      ""GSC最新!A:F""
    ),
    3,
    FALSE
  ),
  0
)
"),1.0)</f>
        <v>1</v>
      </c>
      <c r="H48" s="49">
        <f>IFERROR(__xludf.DUMMYFUNCTION("IFERROR(
  VLOOKUP(
    A48,
    IMPORTRANGE(
      ""1ZHMy3vVUd_0MrSduXTe1etBb1HNpAlGwQr006ljwMiM"",
      ""GSC最新!A:F""
    ),
    4,
    FALSE
  ),
  0
)
"),1.0)</f>
        <v>1</v>
      </c>
      <c r="I48" s="49">
        <f>IFERROR(__xludf.DUMMYFUNCTION("IFERROR(
  VLOOKUP(
    A48,
    IMPORTRANGE(
      ""1ZHMy3vVUd_0MrSduXTe1etBb1HNpAlGwQr006ljwMiM"",
      ""GSC最新!A:F""
    ),
    5,
    FALSE
  ),
  0
)
"),2.0)</f>
        <v>2</v>
      </c>
      <c r="J48" s="50">
        <f t="shared" ref="J48:K48" si="231">IFERROR(F48/H48,"-")</f>
        <v>1</v>
      </c>
      <c r="K48" s="50">
        <f t="shared" si="231"/>
        <v>0.5</v>
      </c>
      <c r="L48" s="6">
        <f>IFERROR(__xludf.DUMMYFUNCTION("IFERROR(
  VLOOKUP(
    A48,
    IMPORTRANGE(
      ""1ZHMy3vVUd_0MrSduXTe1etBb1HNpAlGwQr006ljwMiM"",
      ""GSC最新!A:R""
    ),
    7,
    FALSE
  ),
  0
)
"),12.0)</f>
        <v>12</v>
      </c>
      <c r="M48" s="6">
        <f>IFERROR(__xludf.DUMMYFUNCTION("IFERROR(
  VLOOKUP(
    A48,
    IMPORTRANGE(
      ""1ZHMy3vVUd_0MrSduXTe1etBb1HNpAlGwQr006ljwMiM"",
      ""GSC最新!A:R""
    ),
    10,
    FALSE
  ),
  0
)
"),30.0)</f>
        <v>30</v>
      </c>
      <c r="N48" s="6">
        <f>IFERROR(__xludf.DUMMYFUNCTION("IFERROR(
  VLOOKUP(
    A48,
    IMPORTRANGE(
      ""1ZHMy3vVUd_0MrSduXTe1etBb1HNpAlGwQr006ljwMiM"",
      ""GSC最新!A:R""
    ),
    13,
    FALSE
  ),
  0
)
"),2.0)</f>
        <v>2</v>
      </c>
      <c r="O48" s="6">
        <f>IFERROR(__xludf.DUMMYFUNCTION("IFERROR(
  VLOOKUP(
    A48,
    IMPORTRANGE(
      ""1ZHMy3vVUd_0MrSduXTe1etBb1HNpAlGwQr006ljwMiM"",
      ""GSC最新!A:R""
    ),
    16,
    FALSE
  ),
  0
)
"),34.0)</f>
        <v>34</v>
      </c>
      <c r="P48" s="51">
        <f t="shared" ref="P48:Q48" si="232">IFERROR(L48/N48,"-")</f>
        <v>6</v>
      </c>
      <c r="Q48" s="51">
        <f t="shared" si="232"/>
        <v>0.8823529412</v>
      </c>
      <c r="R48" s="9">
        <f>IFERROR(__xludf.DUMMYFUNCTION("IFERROR(
  VLOOKUP(
    A48,
    IMPORTRANGE(
      ""1ZHMy3vVUd_0MrSduXTe1etBb1HNpAlGwQr006ljwMiM"",
      ""GSC最新!A:R""
    ),
    8,
    FALSE
  ),
  0
)
"),0.08333333333333333)</f>
        <v>0.08333333333</v>
      </c>
      <c r="S48" s="9">
        <f>IFERROR(__xludf.DUMMYFUNCTION("IFERROR(
  VLOOKUP(
    A48,
    IMPORTRANGE(
      ""1ZHMy3vVUd_0MrSduXTe1etBb1HNpAlGwQr006ljwMiM"",
      ""GSC最新!A:R""
    ),
    11,
    FALSE
  ),
  0
)
"),0.03333333333333333)</f>
        <v>0.03333333333</v>
      </c>
      <c r="T48" s="9">
        <f>IFERROR(__xludf.DUMMYFUNCTION("IFERROR(
  VLOOKUP(
    A48,
    IMPORTRANGE(
      ""1ZHMy3vVUd_0MrSduXTe1etBb1HNpAlGwQr006ljwMiM"",
      ""GSC最新!A:R""
    ),
    14,
    FALSE
  ),
  0
)
"),0.5)</f>
        <v>0.5</v>
      </c>
      <c r="U48" s="9">
        <f>IFERROR(__xludf.DUMMYFUNCTION("IFERROR(
  VLOOKUP(
    A48,
    IMPORTRANGE(
      ""1ZHMy3vVUd_0MrSduXTe1etBb1HNpAlGwQr006ljwMiM"",
      ""GSC最新!A:R""
    ),
    17,
    FALSE
  ),
  0
)
"),0.058823529411764705)</f>
        <v>0.05882352941</v>
      </c>
      <c r="V48" s="9">
        <f t="shared" ref="V48:W48" si="233">IFERROR(R48-T48,"-")</f>
        <v>-0.4166666667</v>
      </c>
      <c r="W48" s="9">
        <f t="shared" si="233"/>
        <v>-0.02549019608</v>
      </c>
      <c r="X48" s="65">
        <f>IFERROR(__xludf.DUMMYFUNCTION("IFERROR(
  VLOOKUP(
    A48,
    IMPORTRANGE(
      ""1ZHMy3vVUd_0MrSduXTe1etBb1HNpAlGwQr006ljwMiM"",
      ""GSC最新!A:R""
    ),
    9,
    FALSE
  ),
  0
)
"),3.75)</f>
        <v>3.75</v>
      </c>
      <c r="Y48" s="65">
        <f>IFERROR(__xludf.DUMMYFUNCTION("IFERROR(
  VLOOKUP(
    A48,
    IMPORTRANGE(
      ""1ZHMy3vVUd_0MrSduXTe1etBb1HNpAlGwQr006ljwMiM"",
      ""GSC最新!A:R""
    ),
    12,
    FALSE
  ),
  0
)
"),3.7333333333333334)</f>
        <v>3.733333333</v>
      </c>
      <c r="Z48" s="65">
        <f>IFERROR(__xludf.DUMMYFUNCTION("IFERROR(
  VLOOKUP(
    A48,
    IMPORTRANGE(
      ""1ZHMy3vVUd_0MrSduXTe1etBb1HNpAlGwQr006ljwMiM"",
      ""GSC最新!A:R""
    ),
    15,
    FALSE
  ),
  0
)
"),1.0)</f>
        <v>1</v>
      </c>
      <c r="AA48" s="65">
        <f>IFERROR(__xludf.DUMMYFUNCTION("IFERROR(
  VLOOKUP(
    A48,
    IMPORTRANGE(
      ""1ZHMy3vVUd_0MrSduXTe1etBb1HNpAlGwQr006ljwMiM"",
      ""GSC最新!A:R""
    ),
    18,
    FALSE
  ),
  0
)
"),58.85294117647059)</f>
        <v>58.85294118</v>
      </c>
      <c r="AB48" s="65">
        <f t="shared" ref="AB48:AC48" si="234">X48-Z48</f>
        <v>2.75</v>
      </c>
      <c r="AC48" s="65">
        <f t="shared" si="234"/>
        <v>-55.11960784</v>
      </c>
      <c r="AD48" s="53">
        <f>IFERROR(__xludf.DUMMYFUNCTION("IFERROR(
  VLOOKUP(
    A48,
    IMPORTRANGE(
      ""1ZHMy3vVUd_0MrSduXTe1etBb1HNpAlGwQr006ljwMiM"",
      ""GSC最新!A:F""
    ),
    6,
    FALSE
  ),
  0
)
"),46081.0)</f>
        <v>46081</v>
      </c>
      <c r="AE48" s="54">
        <f>IFERROR(__xludf.DUMMYFUNCTION("IFERROR(
  VLOOKUP(
    A48,
    IMPORTRANGE(
      ""1SCYQd7_cobOYqT0r_F0IqD4tE4rYn5y8Eup4PJTH8es"",
      ""Snapshot!A:M""
    ),
    5,
    FALSE
  ),
  ""-""
)
"),0.0)</f>
        <v>0</v>
      </c>
      <c r="AF48" s="54">
        <f>IFERROR(__xludf.DUMMYFUNCTION("IFERROR(
  VLOOKUP(
    A48,
    IMPORTRANGE(
      ""1SCYQd7_cobOYqT0r_F0IqD4tE4rYn5y8Eup4PJTH8es"",
      ""Snapshot!A:M""
    ),
    6,
    FALSE
  ),
  0
)
"),0.0)</f>
        <v>0</v>
      </c>
      <c r="AG48" s="54">
        <f>IFERROR(__xludf.DUMMYFUNCTION("IFERROR(
  VLOOKUP(
    A48,
    IMPORTRANGE(
      ""1SCYQd7_cobOYqT0r_F0IqD4tE4rYn5y8Eup4PJTH8es"",
      ""Snapshot!A:M""
    ),
    7,
    FALSE
  ),
  0
)
"),0.0)</f>
        <v>0</v>
      </c>
      <c r="AH48" s="54">
        <f>IFERROR(__xludf.DUMMYFUNCTION("IFERROR(
  VLOOKUP(
    A48,
    IMPORTRANGE(
      ""1SCYQd7_cobOYqT0r_F0IqD4tE4rYn5y8Eup4PJTH8es"",
      ""Snapshot!A:M""
    ),
    8,
    FALSE
  ),
  0
)
"),0.0)</f>
        <v>0</v>
      </c>
      <c r="AI48" s="54">
        <f>IFERROR(__xludf.DUMMYFUNCTION("IFERROR(
  VLOOKUP(
    A48,
    IMPORTRANGE(
      ""1SCYQd7_cobOYqT0r_F0IqD4tE4rYn5y8Eup4PJTH8es"",
      ""Snapshot!A:M""
    ),
    9,
    FALSE
  ),
  0
)
"),0.0)</f>
        <v>0</v>
      </c>
      <c r="AJ48" s="54">
        <f>IFERROR(__xludf.DUMMYFUNCTION("IFERROR(
  VLOOKUP(
    A48,
    IMPORTRANGE(
      ""1SCYQd7_cobOYqT0r_F0IqD4tE4rYn5y8Eup4PJTH8es"",
      ""Snapshot!A:M""
    ),
    13,
    FALSE
  ),
  0
)
"),1.0)</f>
        <v>1</v>
      </c>
      <c r="AK48" s="49">
        <f t="shared" ref="AK48:AL48" si="235">LEN(C48)</f>
        <v>43</v>
      </c>
      <c r="AL48" s="49">
        <f t="shared" si="235"/>
        <v>116</v>
      </c>
    </row>
    <row r="49">
      <c r="A49" s="3" t="s">
        <v>187</v>
      </c>
      <c r="B49" s="1" t="str">
        <f>IFERROR(__xludf.DUMMYFUNCTION("IFERROR(
  VLOOKUP(
    A49,
    IMPORTRANGE(
      ""1ZygntHC1J6IxzKbTidmOyf5nUyW4GCLurHCjexrLm_o"",
      ""HTMLキャッシュ!A:F""
    ),
    2,
    FALSE
  ),
  0
)
"),"-")</f>
        <v>-</v>
      </c>
      <c r="C49" s="1" t="str">
        <f>IFERROR(__xludf.DUMMYFUNCTION("IFERROR(
  VLOOKUP(
    A49,
    IMPORTRANGE(
      ""1ZygntHC1J6IxzKbTidmOyf5nUyW4GCLurHCjexrLm_o"",
      ""HTMLキャッシュ!A:F""
    ),
    5,
    FALSE
  ),
  0
)
"),"数学 - 中高一貫校専門塾エスコット(Escot)～定期試験対策から大学受験指導まで～")</f>
        <v>数学 - 中高一貫校専門塾エスコット(Escot)～定期試験対策から大学受験指導まで～</v>
      </c>
      <c r="D49" s="1" t="str">
        <f>IFERROR(__xludf.DUMMYFUNCTION("IFERROR(
  VLOOKUP(
    A49,
    IMPORTRANGE(
      ""1ZygntHC1J6IxzKbTidmOyf5nUyW4GCLurHCjexrLm_o        "",
      ""HTMLキャッシュ!A:F""
    ),
    6,
    FALSE
  ),
  0
)
"),"数学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数学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49" s="32">
        <f>IFERROR(__xludf.DUMMYFUNCTION("IFERROR(
  VLOOKUP(
    A49,
    IMPORTRANGE(
      ""1ZygntHC1J6IxzKbTidmOyf5nUyW4GCLurHCjexrLm_o        "",
      ""HTMLキャッシュ!A:F""
    ),
    3,
    FALSE
  ),
  0
)
"),25569.375)</f>
        <v>25569.375</v>
      </c>
      <c r="F49" s="49">
        <f>IFERROR(__xludf.DUMMYFUNCTION("IFERROR(
  VLOOKUP(
    A49,
    IMPORTRANGE(
      ""1ZHMy3vVUd_0MrSduXTe1etBb1HNpAlGwQr006ljwMiM"",
      ""GSC最新!A:F""
    ),
    2,
    FALSE
  ),
  0
)
"),0.0)</f>
        <v>0</v>
      </c>
      <c r="G49" s="49">
        <f>IFERROR(__xludf.DUMMYFUNCTION("IFERROR(
  VLOOKUP(
    A49,
    IMPORTRANGE(
      ""1ZHMy3vVUd_0MrSduXTe1etBb1HNpAlGwQr006ljwMiM"",
      ""GSC最新!A:F""
    ),
    3,
    FALSE
  ),
  0
)
"),1.0)</f>
        <v>1</v>
      </c>
      <c r="H49" s="49">
        <f>IFERROR(__xludf.DUMMYFUNCTION("IFERROR(
  VLOOKUP(
    A49,
    IMPORTRANGE(
      ""1ZHMy3vVUd_0MrSduXTe1etBb1HNpAlGwQr006ljwMiM"",
      ""GSC最新!A:F""
    ),
    4,
    FALSE
  ),
  0
)
"),1.0)</f>
        <v>1</v>
      </c>
      <c r="I49" s="49">
        <f>IFERROR(__xludf.DUMMYFUNCTION("IFERROR(
  VLOOKUP(
    A49,
    IMPORTRANGE(
      ""1ZHMy3vVUd_0MrSduXTe1etBb1HNpAlGwQr006ljwMiM"",
      ""GSC最新!A:F""
    ),
    5,
    FALSE
  ),
  0
)
"),1.0)</f>
        <v>1</v>
      </c>
      <c r="J49" s="50">
        <f t="shared" ref="J49:K49" si="236">IFERROR(F49/H49,"-")</f>
        <v>0</v>
      </c>
      <c r="K49" s="50">
        <f t="shared" si="236"/>
        <v>1</v>
      </c>
      <c r="L49" s="6">
        <f>IFERROR(__xludf.DUMMYFUNCTION("IFERROR(
  VLOOKUP(
    A49,
    IMPORTRANGE(
      ""1ZHMy3vVUd_0MrSduXTe1etBb1HNpAlGwQr006ljwMiM"",
      ""GSC最新!A:R""
    ),
    7,
    FALSE
  ),
  0
)
"),10.0)</f>
        <v>10</v>
      </c>
      <c r="M49" s="6">
        <f>IFERROR(__xludf.DUMMYFUNCTION("IFERROR(
  VLOOKUP(
    A49,
    IMPORTRANGE(
      ""1ZHMy3vVUd_0MrSduXTe1etBb1HNpAlGwQr006ljwMiM"",
      ""GSC最新!A:R""
    ),
    10,
    FALSE
  ),
  0
)
"),25.0)</f>
        <v>25</v>
      </c>
      <c r="N49" s="6">
        <f>IFERROR(__xludf.DUMMYFUNCTION("IFERROR(
  VLOOKUP(
    A49,
    IMPORTRANGE(
      ""1ZHMy3vVUd_0MrSduXTe1etBb1HNpAlGwQr006ljwMiM"",
      ""GSC最新!A:R""
    ),
    13,
    FALSE
  ),
  0
)
"),2.0)</f>
        <v>2</v>
      </c>
      <c r="O49" s="6">
        <f>IFERROR(__xludf.DUMMYFUNCTION("IFERROR(
  VLOOKUP(
    A49,
    IMPORTRANGE(
      ""1ZHMy3vVUd_0MrSduXTe1etBb1HNpAlGwQr006ljwMiM"",
      ""GSC最新!A:R""
    ),
    16,
    FALSE
  ),
  0
)
"),8.0)</f>
        <v>8</v>
      </c>
      <c r="P49" s="51">
        <f t="shared" ref="P49:Q49" si="237">IFERROR(L49/N49,"-")</f>
        <v>5</v>
      </c>
      <c r="Q49" s="51">
        <f t="shared" si="237"/>
        <v>3.125</v>
      </c>
      <c r="R49" s="9">
        <f>IFERROR(__xludf.DUMMYFUNCTION("IFERROR(
  VLOOKUP(
    A49,
    IMPORTRANGE(
      ""1ZHMy3vVUd_0MrSduXTe1etBb1HNpAlGwQr006ljwMiM"",
      ""GSC最新!A:R""
    ),
    8,
    FALSE
  ),
  0
)
"),0.0)</f>
        <v>0</v>
      </c>
      <c r="S49" s="9">
        <f>IFERROR(__xludf.DUMMYFUNCTION("IFERROR(
  VLOOKUP(
    A49,
    IMPORTRANGE(
      ""1ZHMy3vVUd_0MrSduXTe1etBb1HNpAlGwQr006ljwMiM"",
      ""GSC最新!A:R""
    ),
    11,
    FALSE
  ),
  0
)
"),0.04)</f>
        <v>0.04</v>
      </c>
      <c r="T49" s="9">
        <f>IFERROR(__xludf.DUMMYFUNCTION("IFERROR(
  VLOOKUP(
    A49,
    IMPORTRANGE(
      ""1ZHMy3vVUd_0MrSduXTe1etBb1HNpAlGwQr006ljwMiM"",
      ""GSC最新!A:R""
    ),
    14,
    FALSE
  ),
  0
)
"),0.5)</f>
        <v>0.5</v>
      </c>
      <c r="U49" s="9">
        <f>IFERROR(__xludf.DUMMYFUNCTION("IFERROR(
  VLOOKUP(
    A49,
    IMPORTRANGE(
      ""1ZHMy3vVUd_0MrSduXTe1etBb1HNpAlGwQr006ljwMiM"",
      ""GSC最新!A:R""
    ),
    17,
    FALSE
  ),
  0
)
"),0.125)</f>
        <v>0.125</v>
      </c>
      <c r="V49" s="9">
        <f t="shared" ref="V49:W49" si="238">IFERROR(R49-T49,"-")</f>
        <v>-0.5</v>
      </c>
      <c r="W49" s="9">
        <f t="shared" si="238"/>
        <v>-0.085</v>
      </c>
      <c r="X49" s="65">
        <f>IFERROR(__xludf.DUMMYFUNCTION("IFERROR(
  VLOOKUP(
    A49,
    IMPORTRANGE(
      ""1ZHMy3vVUd_0MrSduXTe1etBb1HNpAlGwQr006ljwMiM"",
      ""GSC最新!A:R""
    ),
    9,
    FALSE
  ),
  0
)
"),4.5)</f>
        <v>4.5</v>
      </c>
      <c r="Y49" s="65">
        <f>IFERROR(__xludf.DUMMYFUNCTION("IFERROR(
  VLOOKUP(
    A49,
    IMPORTRANGE(
      ""1ZHMy3vVUd_0MrSduXTe1etBb1HNpAlGwQr006ljwMiM"",
      ""GSC最新!A:R""
    ),
    12,
    FALSE
  ),
  0
)
"),6.12)</f>
        <v>6.12</v>
      </c>
      <c r="Z49" s="65">
        <f>IFERROR(__xludf.DUMMYFUNCTION("IFERROR(
  VLOOKUP(
    A49,
    IMPORTRANGE(
      ""1ZHMy3vVUd_0MrSduXTe1etBb1HNpAlGwQr006ljwMiM"",
      ""GSC最新!A:R""
    ),
    15,
    FALSE
  ),
  0
)
"),43.0)</f>
        <v>43</v>
      </c>
      <c r="AA49" s="65">
        <f>IFERROR(__xludf.DUMMYFUNCTION("IFERROR(
  VLOOKUP(
    A49,
    IMPORTRANGE(
      ""1ZHMy3vVUd_0MrSduXTe1etBb1HNpAlGwQr006ljwMiM"",
      ""GSC最新!A:R""
    ),
    18,
    FALSE
  ),
  0
)
"),57.125)</f>
        <v>57.125</v>
      </c>
      <c r="AB49" s="65">
        <f t="shared" ref="AB49:AC49" si="239">X49-Z49</f>
        <v>-38.5</v>
      </c>
      <c r="AC49" s="65">
        <f t="shared" si="239"/>
        <v>-51.005</v>
      </c>
      <c r="AD49" s="53">
        <f>IFERROR(__xludf.DUMMYFUNCTION("IFERROR(
  VLOOKUP(
    A49,
    IMPORTRANGE(
      ""1ZHMy3vVUd_0MrSduXTe1etBb1HNpAlGwQr006ljwMiM"",
      ""GSC最新!A:F""
    ),
    6,
    FALSE
  ),
  0
)
"),46081.0)</f>
        <v>46081</v>
      </c>
      <c r="AE49" s="54">
        <f>IFERROR(__xludf.DUMMYFUNCTION("IFERROR(
  VLOOKUP(
    A49,
    IMPORTRANGE(
      ""1SCYQd7_cobOYqT0r_F0IqD4tE4rYn5y8Eup4PJTH8es"",
      ""Snapshot!A:M""
    ),
    5,
    FALSE
  ),
  ""-""
)
"),0.0)</f>
        <v>0</v>
      </c>
      <c r="AF49" s="54">
        <f>IFERROR(__xludf.DUMMYFUNCTION("IFERROR(
  VLOOKUP(
    A49,
    IMPORTRANGE(
      ""1SCYQd7_cobOYqT0r_F0IqD4tE4rYn5y8Eup4PJTH8es"",
      ""Snapshot!A:M""
    ),
    6,
    FALSE
  ),
  0
)
"),0.0)</f>
        <v>0</v>
      </c>
      <c r="AG49" s="54">
        <f>IFERROR(__xludf.DUMMYFUNCTION("IFERROR(
  VLOOKUP(
    A49,
    IMPORTRANGE(
      ""1SCYQd7_cobOYqT0r_F0IqD4tE4rYn5y8Eup4PJTH8es"",
      ""Snapshot!A:M""
    ),
    7,
    FALSE
  ),
  0
)
"),0.0)</f>
        <v>0</v>
      </c>
      <c r="AH49" s="54">
        <f>IFERROR(__xludf.DUMMYFUNCTION("IFERROR(
  VLOOKUP(
    A49,
    IMPORTRANGE(
      ""1SCYQd7_cobOYqT0r_F0IqD4tE4rYn5y8Eup4PJTH8es"",
      ""Snapshot!A:M""
    ),
    8,
    FALSE
  ),
  0
)
"),0.0)</f>
        <v>0</v>
      </c>
      <c r="AI49" s="54">
        <f>IFERROR(__xludf.DUMMYFUNCTION("IFERROR(
  VLOOKUP(
    A49,
    IMPORTRANGE(
      ""1SCYQd7_cobOYqT0r_F0IqD4tE4rYn5y8Eup4PJTH8es"",
      ""Snapshot!A:M""
    ),
    9,
    FALSE
  ),
  0
)
"),0.0)</f>
        <v>0</v>
      </c>
      <c r="AJ49" s="54">
        <f>IFERROR(__xludf.DUMMYFUNCTION("IFERROR(
  VLOOKUP(
    A49,
    IMPORTRANGE(
      ""1SCYQd7_cobOYqT0r_F0IqD4tE4rYn5y8Eup4PJTH8es"",
      ""Snapshot!A:M""
    ),
    13,
    FALSE
  ),
  0
)
"),1.0)</f>
        <v>1</v>
      </c>
      <c r="AK49" s="49">
        <f t="shared" ref="AK49:AL49" si="240">LEN(C49)</f>
        <v>43</v>
      </c>
      <c r="AL49" s="49">
        <f t="shared" si="240"/>
        <v>116</v>
      </c>
    </row>
    <row r="50">
      <c r="A50" s="3" t="s">
        <v>335</v>
      </c>
      <c r="B50" s="1" t="str">
        <f>IFERROR(__xludf.DUMMYFUNCTION("IFERROR(
  VLOOKUP(
    A50,
    IMPORTRANGE(
      ""1ZygntHC1J6IxzKbTidmOyf5nUyW4GCLurHCjexrLm_o"",
      ""HTMLキャッシュ!A:F""
    ),
    2,
    FALSE
  ),
  0
)
"),"SP")</f>
        <v>SP</v>
      </c>
      <c r="C50" s="1" t="str">
        <f>IFERROR(__xludf.DUMMYFUNCTION("IFERROR(
  VLOOKUP(
    A50,
    IMPORTRANGE(
      ""1ZygntHC1J6IxzKbTidmOyf5nUyW4GCLurHCjexrLm_o"",
      ""HTMLキャッシュ!A:F""
    ),
    5,
    FALSE
  ),
  0
)
"),"中高一貫校定期試験・受験対策の個別指導講座｜志望別オンライン")</f>
        <v>中高一貫校定期試験・受験対策の個別指導講座｜志望別オンライン</v>
      </c>
      <c r="D50" s="1" t="str">
        <f>IFERROR(__xludf.DUMMYFUNCTION("IFERROR(
  VLOOKUP(
    A50,
    IMPORTRANGE(
      ""1ZygntHC1J6IxzKbTidmOyf5nUyW4GCLurHCjexrLm_o        "",
      ""HTMLキャッシュ!A:F""
    ),
    6,
    FALSE
  ),
  0
)
"),"定期テストや受験で伸び悩む中高一貫生へ。英語数学国語を志望別個別指導で強化。教室・オンライン体験受付中")</f>
        <v>定期テストや受験で伸び悩む中高一貫生へ。英語数学国語を志望別個別指導で強化。教室・オンライン体験受付中</v>
      </c>
      <c r="E50" s="32">
        <f>IFERROR(__xludf.DUMMYFUNCTION("IFERROR(
  VLOOKUP(
    A50,
    IMPORTRANGE(
      ""1ZygntHC1J6IxzKbTidmOyf5nUyW4GCLurHCjexrLm_o        "",
      ""HTMLキャッシュ!A:F""
    ),
    3,
    FALSE
  ),
  0
)
"),46084.64103009259)</f>
        <v>46084.64103</v>
      </c>
      <c r="F50" s="49">
        <f>IFERROR(__xludf.DUMMYFUNCTION("IFERROR(
  VLOOKUP(
    A50,
    IMPORTRANGE(
      ""1ZHMy3vVUd_0MrSduXTe1etBb1HNpAlGwQr006ljwMiM"",
      ""GSC最新!A:F""
    ),
    2,
    FALSE
  ),
  0
)
"),1.0)</f>
        <v>1</v>
      </c>
      <c r="G50" s="49">
        <f>IFERROR(__xludf.DUMMYFUNCTION("IFERROR(
  VLOOKUP(
    A50,
    IMPORTRANGE(
      ""1ZHMy3vVUd_0MrSduXTe1etBb1HNpAlGwQr006ljwMiM"",
      ""GSC最新!A:F""
    ),
    3,
    FALSE
  ),
  0
)
"),1.0)</f>
        <v>1</v>
      </c>
      <c r="H50" s="49">
        <f>IFERROR(__xludf.DUMMYFUNCTION("IFERROR(
  VLOOKUP(
    A50,
    IMPORTRANGE(
      ""1ZHMy3vVUd_0MrSduXTe1etBb1HNpAlGwQr006ljwMiM"",
      ""GSC最新!A:F""
    ),
    4,
    FALSE
  ),
  0
)
"),0.0)</f>
        <v>0</v>
      </c>
      <c r="I50" s="49">
        <f>IFERROR(__xludf.DUMMYFUNCTION("IFERROR(
  VLOOKUP(
    A50,
    IMPORTRANGE(
      ""1ZHMy3vVUd_0MrSduXTe1etBb1HNpAlGwQr006ljwMiM"",
      ""GSC最新!A:F""
    ),
    5,
    FALSE
  ),
  0
)
"),0.0)</f>
        <v>0</v>
      </c>
      <c r="J50" s="50" t="str">
        <f t="shared" ref="J50:K50" si="241">IFERROR(F50/H50,"-")</f>
        <v>-</v>
      </c>
      <c r="K50" s="50" t="str">
        <f t="shared" si="241"/>
        <v>-</v>
      </c>
      <c r="L50" s="6">
        <f>IFERROR(__xludf.DUMMYFUNCTION("IFERROR(
  VLOOKUP(
    A50,
    IMPORTRANGE(
      ""1ZHMy3vVUd_0MrSduXTe1etBb1HNpAlGwQr006ljwMiM"",
      ""GSC最新!A:R""
    ),
    7,
    FALSE
  ),
  0
)
"),11.0)</f>
        <v>11</v>
      </c>
      <c r="M50" s="6">
        <f>IFERROR(__xludf.DUMMYFUNCTION("IFERROR(
  VLOOKUP(
    A50,
    IMPORTRANGE(
      ""1ZHMy3vVUd_0MrSduXTe1etBb1HNpAlGwQr006ljwMiM"",
      ""GSC最新!A:R""
    ),
    10,
    FALSE
  ),
  0
)
"),18.0)</f>
        <v>18</v>
      </c>
      <c r="N50" s="6">
        <f>IFERROR(__xludf.DUMMYFUNCTION("IFERROR(
  VLOOKUP(
    A50,
    IMPORTRANGE(
      ""1ZHMy3vVUd_0MrSduXTe1etBb1HNpAlGwQr006ljwMiM"",
      ""GSC最新!A:R""
    ),
    13,
    FALSE
  ),
  0
)
"),0.0)</f>
        <v>0</v>
      </c>
      <c r="O50" s="6">
        <f>IFERROR(__xludf.DUMMYFUNCTION("IFERROR(
  VLOOKUP(
    A50,
    IMPORTRANGE(
      ""1ZHMy3vVUd_0MrSduXTe1etBb1HNpAlGwQr006ljwMiM"",
      ""GSC最新!A:R""
    ),
    16,
    FALSE
  ),
  0
)
"),1.0)</f>
        <v>1</v>
      </c>
      <c r="P50" s="51" t="str">
        <f t="shared" ref="P50:Q50" si="242">IFERROR(L50/N50,"-")</f>
        <v>-</v>
      </c>
      <c r="Q50" s="51">
        <f t="shared" si="242"/>
        <v>18</v>
      </c>
      <c r="R50" s="9">
        <f>IFERROR(__xludf.DUMMYFUNCTION("IFERROR(
  VLOOKUP(
    A50,
    IMPORTRANGE(
      ""1ZHMy3vVUd_0MrSduXTe1etBb1HNpAlGwQr006ljwMiM"",
      ""GSC最新!A:R""
    ),
    8,
    FALSE
  ),
  0
)
"),0.09090909090909091)</f>
        <v>0.09090909091</v>
      </c>
      <c r="S50" s="9">
        <f>IFERROR(__xludf.DUMMYFUNCTION("IFERROR(
  VLOOKUP(
    A50,
    IMPORTRANGE(
      ""1ZHMy3vVUd_0MrSduXTe1etBb1HNpAlGwQr006ljwMiM"",
      ""GSC最新!A:R""
    ),
    11,
    FALSE
  ),
  0
)
"),0.05555555555555555)</f>
        <v>0.05555555556</v>
      </c>
      <c r="T50" s="9">
        <f>IFERROR(__xludf.DUMMYFUNCTION("IFERROR(
  VLOOKUP(
    A50,
    IMPORTRANGE(
      ""1ZHMy3vVUd_0MrSduXTe1etBb1HNpAlGwQr006ljwMiM"",
      ""GSC最新!A:R""
    ),
    14,
    FALSE
  ),
  0
)
"),0.0)</f>
        <v>0</v>
      </c>
      <c r="U50" s="9">
        <f>IFERROR(__xludf.DUMMYFUNCTION("IFERROR(
  VLOOKUP(
    A50,
    IMPORTRANGE(
      ""1ZHMy3vVUd_0MrSduXTe1etBb1HNpAlGwQr006ljwMiM"",
      ""GSC最新!A:R""
    ),
    17,
    FALSE
  ),
  0
)
"),0.0)</f>
        <v>0</v>
      </c>
      <c r="V50" s="9">
        <f t="shared" ref="V50:W50" si="243">IFERROR(R50-T50,"-")</f>
        <v>0.09090909091</v>
      </c>
      <c r="W50" s="9">
        <f t="shared" si="243"/>
        <v>0.05555555556</v>
      </c>
      <c r="X50" s="65">
        <f>IFERROR(__xludf.DUMMYFUNCTION("IFERROR(
  VLOOKUP(
    A50,
    IMPORTRANGE(
      ""1ZHMy3vVUd_0MrSduXTe1etBb1HNpAlGwQr006ljwMiM"",
      ""GSC最新!A:R""
    ),
    9,
    FALSE
  ),
  0
)
"),4.363636363636363)</f>
        <v>4.363636364</v>
      </c>
      <c r="Y50" s="65">
        <f>IFERROR(__xludf.DUMMYFUNCTION("IFERROR(
  VLOOKUP(
    A50,
    IMPORTRANGE(
      ""1ZHMy3vVUd_0MrSduXTe1etBb1HNpAlGwQr006ljwMiM"",
      ""GSC最新!A:R""
    ),
    12,
    FALSE
  ),
  0
)
"),4.888888888888889)</f>
        <v>4.888888889</v>
      </c>
      <c r="Z50" s="65" t="str">
        <f>IFERROR(__xludf.DUMMYFUNCTION("IFERROR(
  VLOOKUP(
    A50,
    IMPORTRANGE(
      ""1ZHMy3vVUd_0MrSduXTe1etBb1HNpAlGwQr006ljwMiM"",
      ""GSC最新!A:R""
    ),
    15,
    FALSE
  ),
  0
)
"),"")</f>
        <v/>
      </c>
      <c r="AA50" s="65">
        <f>IFERROR(__xludf.DUMMYFUNCTION("IFERROR(
  VLOOKUP(
    A50,
    IMPORTRANGE(
      ""1ZHMy3vVUd_0MrSduXTe1etBb1HNpAlGwQr006ljwMiM"",
      ""GSC最新!A:R""
    ),
    18,
    FALSE
  ),
  0
)
"),10.0)</f>
        <v>10</v>
      </c>
      <c r="AB50" s="65">
        <f t="shared" ref="AB50:AC50" si="244">X50-Z50</f>
        <v>4.363636364</v>
      </c>
      <c r="AC50" s="65">
        <f t="shared" si="244"/>
        <v>-5.111111111</v>
      </c>
      <c r="AD50" s="53">
        <f>IFERROR(__xludf.DUMMYFUNCTION("IFERROR(
  VLOOKUP(
    A50,
    IMPORTRANGE(
      ""1ZHMy3vVUd_0MrSduXTe1etBb1HNpAlGwQr006ljwMiM"",
      ""GSC最新!A:F""
    ),
    6,
    FALSE
  ),
  0
)
"),46081.0)</f>
        <v>46081</v>
      </c>
      <c r="AE50" s="54">
        <f>IFERROR(__xludf.DUMMYFUNCTION("IFERROR(
  VLOOKUP(
    A50,
    IMPORTRANGE(
      ""1SCYQd7_cobOYqT0r_F0IqD4tE4rYn5y8Eup4PJTH8es"",
      ""Snapshot!A:M""
    ),
    5,
    FALSE
  ),
  ""-""
)
"),15.0)</f>
        <v>15</v>
      </c>
      <c r="AF50" s="54">
        <f>IFERROR(__xludf.DUMMYFUNCTION("IFERROR(
  VLOOKUP(
    A50,
    IMPORTRANGE(
      ""1SCYQd7_cobOYqT0r_F0IqD4tE4rYn5y8Eup4PJTH8es"",
      ""Snapshot!A:M""
    ),
    6,
    FALSE
  ),
  0
)
"),17.0)</f>
        <v>17</v>
      </c>
      <c r="AG50" s="54">
        <f>IFERROR(__xludf.DUMMYFUNCTION("IFERROR(
  VLOOKUP(
    A50,
    IMPORTRANGE(
      ""1SCYQd7_cobOYqT0r_F0IqD4tE4rYn5y8Eup4PJTH8es"",
      ""Snapshot!A:M""
    ),
    7,
    FALSE
  ),
  0
)
"),5093.0)</f>
        <v>5093</v>
      </c>
      <c r="AH50" s="54">
        <f>IFERROR(__xludf.DUMMYFUNCTION("IFERROR(
  VLOOKUP(
    A50,
    IMPORTRANGE(
      ""1SCYQd7_cobOYqT0r_F0IqD4tE4rYn5y8Eup4PJTH8es"",
      ""Snapshot!A:M""
    ),
    8,
    FALSE
  ),
  0
)
"),0.0)</f>
        <v>0</v>
      </c>
      <c r="AI50" s="54">
        <f>IFERROR(__xludf.DUMMYFUNCTION("IFERROR(
  VLOOKUP(
    A50,
    IMPORTRANGE(
      ""1SCYQd7_cobOYqT0r_F0IqD4tE4rYn5y8Eup4PJTH8es"",
      ""Snapshot!A:M""
    ),
    9,
    FALSE
  ),
  0
)
"),1.0)</f>
        <v>1</v>
      </c>
      <c r="AJ50" s="54">
        <f>IFERROR(__xludf.DUMMYFUNCTION("IFERROR(
  VLOOKUP(
    A50,
    IMPORTRANGE(
      ""1SCYQd7_cobOYqT0r_F0IqD4tE4rYn5y8Eup4PJTH8es"",
      ""Snapshot!A:M""
    ),
    13,
    FALSE
  ),
  0
)
"),1.0)</f>
        <v>1</v>
      </c>
      <c r="AK50" s="49">
        <f t="shared" ref="AK50:AL50" si="245">LEN(C50)</f>
        <v>30</v>
      </c>
      <c r="AL50" s="49">
        <f t="shared" si="245"/>
        <v>51</v>
      </c>
    </row>
    <row r="51">
      <c r="A51" s="3" t="s">
        <v>752</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"),"数学の解法が分からない人へ｜応用で止まる原因と改善ポイント")</f>
        <v>数学の解法が分からない人へ｜応用で止まる原因と改善ポイント</v>
      </c>
      <c r="D51" s="1" t="str">
        <f>IFERROR(__xludf.DUMMYFUNCTION("IFERROR(
  VLOOKUP(
    A51,
    IMPORTRANGE(
      ""1ZygntHC1J6IxzKbTidmOyf5nUyW4GCLurHCjexrLm_o        "",
      ""HTMLキャッシュ!A:F""
    ),
    6,
    FALSE
  ),
  0
)
"),"数学の解法が定まらず点が伸びない人向け。応用で止まる原因を、ミス・公式の使い方・文章題の整理不足に分けて確認。途中式、図と条件の整理、類題反復で改善する。")</f>
        <v>数学の解法が定まらず点が伸びない人向け。応用で止まる原因を、ミス・公式の使い方・文章題の整理不足に分けて確認。途中式、図と条件の整理、類題反復で改善する。</v>
      </c>
      <c r="E51" s="32">
        <f>IFERROR(__xludf.DUMMYFUNCTION("IFERROR(
  VLOOKUP(
    A51,
    IMPORTRANGE(
      ""1ZygntHC1J6IxzKbTidmOyf5nUyW4GCLurHCjexrLm_o        "",
      ""HTMLキャッシュ!A:F""
    ),
    3,
    FALSE
  ),
  0
)
"),46077.793171296296)</f>
        <v>46077.79317</v>
      </c>
      <c r="F51" s="49">
        <f>IFERROR(__xludf.DUMMYFUNCTION("IFERROR(
  VLOOKUP(
    A51,
    IMPORTRANGE(
      ""1ZHMy3vVUd_0MrSduXTe1etBb1HNpAlGwQr006ljwMiM"",
      ""GSC最新!A:F""
    ),
    2,
    FALSE
  ),
  0
)
"),0.0)</f>
        <v>0</v>
      </c>
      <c r="G51" s="49">
        <f>IFERROR(__xludf.DUMMYFUNCTION("IFERROR(
  VLOOKUP(
    A51,
    IMPORTRANGE(
      ""1ZHMy3vVUd_0MrSduXTe1etBb1HNpAlGwQr006ljwMiM"",
      ""GSC最新!A:F""
    ),
    3,
    FALSE
  ),
  0
)
"),0.0)</f>
        <v>0</v>
      </c>
      <c r="H51" s="49">
        <f>IFERROR(__xludf.DUMMYFUNCTION("IFERROR(
  VLOOKUP(
    A51,
    IMPORTRANGE(
      ""1ZHMy3vVUd_0MrSduXTe1etBb1HNpAlGwQr006ljwMiM"",
      ""GSC最新!A:F""
    ),
    4,
    FALSE
  ),
  0
)
"),0.0)</f>
        <v>0</v>
      </c>
      <c r="I51" s="49">
        <f>IFERROR(__xludf.DUMMYFUNCTION("IFERROR(
  VLOOKUP(
    A51,
    IMPORTRANGE(
      ""1ZHMy3vVUd_0MrSduXTe1etBb1HNpAlGwQr006ljwMiM"",
      ""GSC最新!A:F""
    ),
    5,
    FALSE
  ),
  0
)
"),0.0)</f>
        <v>0</v>
      </c>
      <c r="J51" s="50" t="str">
        <f t="shared" ref="J51:K51" si="246">IFERROR(F51/H51,"-")</f>
        <v>-</v>
      </c>
      <c r="K51" s="50" t="str">
        <f t="shared" si="246"/>
        <v>-</v>
      </c>
      <c r="L51" s="6">
        <f>IFERROR(__xludf.DUMMYFUNCTION("IFERROR(
  VLOOKUP(
    A51,
    IMPORTRANGE(
      ""1ZHMy3vVUd_0MrSduXTe1etBb1HNpAlGwQr006ljwMiM"",
      ""GSC最新!A:R""
    ),
    7,
    FALSE
  ),
  0
)
"),330.0)</f>
        <v>330</v>
      </c>
      <c r="M51" s="6">
        <f>IFERROR(__xludf.DUMMYFUNCTION("IFERROR(
  VLOOKUP(
    A51,
    IMPORTRANGE(
      ""1ZHMy3vVUd_0MrSduXTe1etBb1HNpAlGwQr006ljwMiM"",
      ""GSC最新!A:R""
    ),
    10,
    FALSE
  ),
  0
)
"),456.0)</f>
        <v>456</v>
      </c>
      <c r="N51" s="6">
        <f>IFERROR(__xludf.DUMMYFUNCTION("IFERROR(
  VLOOKUP(
    A51,
    IMPORTRANGE(
      ""1ZHMy3vVUd_0MrSduXTe1etBb1HNpAlGwQr006ljwMiM"",
      ""GSC最新!A:R""
    ),
    13,
    FALSE
  ),
  0
)
"),0.0)</f>
        <v>0</v>
      </c>
      <c r="O51" s="6">
        <f>IFERROR(__xludf.DUMMYFUNCTION("IFERROR(
  VLOOKUP(
    A51,
    IMPORTRANGE(
      ""1ZHMy3vVUd_0MrSduXTe1etBb1HNpAlGwQr006ljwMiM"",
      ""GSC最新!A:R""
    ),
    16,
    FALSE
  ),
  0
)
"),2.0)</f>
        <v>2</v>
      </c>
      <c r="P51" s="51" t="str">
        <f t="shared" ref="P51:Q51" si="247">IFERROR(L51/N51,"-")</f>
        <v>-</v>
      </c>
      <c r="Q51" s="51">
        <f t="shared" si="247"/>
        <v>228</v>
      </c>
      <c r="R51" s="9">
        <f>IFERROR(__xludf.DUMMYFUNCTION("IFERROR(
  VLOOKUP(
    A51,
    IMPORTRANGE(
      ""1ZHMy3vVUd_0MrSduXTe1etBb1HNpAlGwQr006ljwMiM"",
      ""GSC最新!A:R""
    ),
    8,
    FALSE
  ),
  0
)
"),0.0)</f>
        <v>0</v>
      </c>
      <c r="S51" s="9">
        <f>IFERROR(__xludf.DUMMYFUNCTION("IFERROR(
  VLOOKUP(
    A51,
    IMPORTRANGE(
      ""1ZHMy3vVUd_0MrSduXTe1etBb1HNpAlGwQr006ljwMiM"",
      ""GSC最新!A:R""
    ),
    11,
    FALSE
  ),
  0
)
"),0.0)</f>
        <v>0</v>
      </c>
      <c r="T51" s="9">
        <f>IFERROR(__xludf.DUMMYFUNCTION("IFERROR(
  VLOOKUP(
    A51,
    IMPORTRANGE(
      ""1ZHMy3vVUd_0MrSduXTe1etBb1HNpAlGwQr006ljwMiM"",
      ""GSC最新!A:R""
    ),
    14,
    FALSE
  ),
  0
)
"),0.0)</f>
        <v>0</v>
      </c>
      <c r="U51" s="9">
        <f>IFERROR(__xludf.DUMMYFUNCTION("IFERROR(
  VLOOKUP(
    A51,
    IMPORTRANGE(
      ""1ZHMy3vVUd_0MrSduXTe1etBb1HNpAlGwQr006ljwMiM"",
      ""GSC最新!A:R""
    ),
    17,
    FALSE
  ),
  0
)
"),0.0)</f>
        <v>0</v>
      </c>
      <c r="V51" s="9">
        <f t="shared" ref="V51:W51" si="248">IFERROR(R51-T51,"-")</f>
        <v>0</v>
      </c>
      <c r="W51" s="9">
        <f t="shared" si="248"/>
        <v>0</v>
      </c>
      <c r="X51" s="65">
        <f>IFERROR(__xludf.DUMMYFUNCTION("IFERROR(
  VLOOKUP(
    A51,
    IMPORTRANGE(
      ""1ZHMy3vVUd_0MrSduXTe1etBb1HNpAlGwQr006ljwMiM"",
      ""GSC最新!A:R""
    ),
    9,
    FALSE
  ),
  0
)
"),4.451515151515151)</f>
        <v>4.451515152</v>
      </c>
      <c r="Y51" s="65">
        <f>IFERROR(__xludf.DUMMYFUNCTION("IFERROR(
  VLOOKUP(
    A51,
    IMPORTRANGE(
      ""1ZHMy3vVUd_0MrSduXTe1etBb1HNpAlGwQr006ljwMiM"",
      ""GSC最新!A:R""
    ),
    12,
    FALSE
  ),
  0
)
"),3.9758771929824563)</f>
        <v>3.975877193</v>
      </c>
      <c r="Z51" s="65" t="str">
        <f>IFERROR(__xludf.DUMMYFUNCTION("IFERROR(
  VLOOKUP(
    A51,
    IMPORTRANGE(
      ""1ZHMy3vVUd_0MrSduXTe1etBb1HNpAlGwQr006ljwMiM"",
      ""GSC最新!A:R""
    ),
    15,
    FALSE
  ),
  0
)
"),"")</f>
        <v/>
      </c>
      <c r="AA51" s="65">
        <f>IFERROR(__xludf.DUMMYFUNCTION("IFERROR(
  VLOOKUP(
    A51,
    IMPORTRANGE(
      ""1ZHMy3vVUd_0MrSduXTe1etBb1HNpAlGwQr006ljwMiM"",
      ""GSC最新!A:R""
    ),
    18,
    FALSE
  ),
  0
)
"),3.0)</f>
        <v>3</v>
      </c>
      <c r="AB51" s="65">
        <f t="shared" ref="AB51:AC51" si="249">X51-Z51</f>
        <v>4.451515152</v>
      </c>
      <c r="AC51" s="65">
        <f t="shared" si="249"/>
        <v>0.975877193</v>
      </c>
      <c r="AD51" s="53">
        <f>IFERROR(__xludf.DUMMYFUNCTION("IFERROR(
  VLOOKUP(
    A51,
    IMPORTRANGE(
      ""1ZHMy3vVUd_0MrSduXTe1etBb1HNpAlGwQr006ljwMiM"",
      ""GSC最新!A:F""
    ),
    6,
    FALSE
  ),
  0
)
"),46081.0)</f>
        <v>46081</v>
      </c>
      <c r="AE51" s="54">
        <f>IFERROR(__xludf.DUMMYFUNCTION("IFERROR(
  VLOOKUP(
    A51,
    IMPORTRANGE(
      ""1SCYQd7_cobOYqT0r_F0IqD4tE4rYn5y8Eup4PJTH8es"",
      ""Snapshot!A:M""
    ),
    5,
    FALSE
  ),
  ""-""
)
"),1.0)</f>
        <v>1</v>
      </c>
      <c r="AF51" s="54">
        <f>IFERROR(__xludf.DUMMYFUNCTION("IFERROR(
  VLOOKUP(
    A51,
    IMPORTRANGE(
      ""1SCYQd7_cobOYqT0r_F0IqD4tE4rYn5y8Eup4PJTH8es"",
      ""Snapshot!A:M""
    ),
    6,
    FALSE
  ),
  0
)
"),1.0)</f>
        <v>1</v>
      </c>
      <c r="AG51" s="54">
        <f>IFERROR(__xludf.DUMMYFUNCTION("IFERROR(
  VLOOKUP(
    A51,
    IMPORTRANGE(
      ""1SCYQd7_cobOYqT0r_F0IqD4tE4rYn5y8Eup4PJTH8es"",
      ""Snapshot!A:M""
    ),
    7,
    FALSE
  ),
  0
)
"),2926.0)</f>
        <v>2926</v>
      </c>
      <c r="AH51" s="54">
        <f>IFERROR(__xludf.DUMMYFUNCTION("IFERROR(
  VLOOKUP(
    A51,
    IMPORTRANGE(
      ""1SCYQd7_cobOYqT0r_F0IqD4tE4rYn5y8Eup4PJTH8es"",
      ""Snapshot!A:M""
    ),
    8,
    FALSE
  ),
  0
)
"),11.0)</f>
        <v>11</v>
      </c>
      <c r="AI51" s="54">
        <f>IFERROR(__xludf.DUMMYFUNCTION("IFERROR(
  VLOOKUP(
    A51,
    IMPORTRANGE(
      ""1SCYQd7_cobOYqT0r_F0IqD4tE4rYn5y8Eup4PJTH8es"",
      ""Snapshot!A:M""
    ),
    9,
    FALSE
  ),
  0
)
"),1.0)</f>
        <v>1</v>
      </c>
      <c r="AJ51" s="54">
        <f>IFERROR(__xludf.DUMMYFUNCTION("IFERROR(
  VLOOKUP(
    A51,
    IMPORTRANGE(
      ""1SCYQd7_cobOYqT0r_F0IqD4tE4rYn5y8Eup4PJTH8es"",
      ""Snapshot!A:M""
    ),
    13,
    FALSE
  ),
  0
)
"),2.0)</f>
        <v>2</v>
      </c>
      <c r="AK51" s="49">
        <f t="shared" ref="AK51:AL51" si="250">LEN(C51)</f>
        <v>29</v>
      </c>
      <c r="AL51" s="49">
        <f t="shared" si="250"/>
        <v>77</v>
      </c>
    </row>
    <row r="52">
      <c r="A52" s="3" t="s">
        <v>753</v>
      </c>
      <c r="B52" s="1" t="str">
        <f>IFERROR(__xludf.DUMMYFUNCTION("IFERROR(
  VLOOKUP(
    A52,
    IMPORTRANGE(
      ""1ZygntHC1J6IxzKbTidmOyf5nUyW4GCLurHCjexrLm_o"",
      ""HTMLキャッシュ!A:F""
    ),
    2,
    FALSE
  ),
  0
)
"),"SC")</f>
        <v>SC</v>
      </c>
      <c r="C52" s="1" t="str">
        <f>IFERROR(__xludf.DUMMYFUNCTION("IFERROR(
  VLOOKUP(
    A52,
    IMPORTRANGE(
      ""1ZygntHC1J6IxzKbTidmOyf5nUyW4GCLurHCjexrLm_o"",
      ""HTMLキャッシュ!A:F""
    ),
    5,
    FALSE
  ),
  0
)
"),"難しい問題に歯が立たない中1数学｜原因と克服対策ガイド")</f>
        <v>難しい問題に歯が立たない中1数学｜原因と克服対策ガイド</v>
      </c>
      <c r="D52" s="1" t="str">
        <f>IFERROR(__xludf.DUMMYFUNCTION("IFERROR(
  VLOOKUP(
    A52,
    IMPORTRANGE(
      ""1ZygntHC1J6IxzKbTidmOyf5nUyW4GCLurHCjexrLm_o        "",
      ""HTMLキャッシュ!A:F""
    ),
    6,
    FALSE
  ),
  0
)
"),"難しい問題に歯が立たない中1向け。計算の不安や用語の読み違いを整理し、計算→文字式→方程式→比例反比例→図形へつなぐ学習法と家庭学習の進め方を解説。")</f>
        <v>難しい問題に歯が立たない中1向け。計算の不安や用語の読み違いを整理し、計算→文字式→方程式→比例反比例→図形へつなぐ学習法と家庭学習の進め方を解説。</v>
      </c>
      <c r="E52" s="32">
        <f>IFERROR(__xludf.DUMMYFUNCTION("IFERROR(
  VLOOKUP(
    A52,
    IMPORTRANGE(
      ""1ZygntHC1J6IxzKbTidmOyf5nUyW4GCLurHCjexrLm_o        "",
      ""HTMLキャッシュ!A:F""
    ),
    3,
    FALSE
  ),
  0
)
"),46077.78613425926)</f>
        <v>46077.78613</v>
      </c>
      <c r="F52" s="49">
        <f>IFERROR(__xludf.DUMMYFUNCTION("IFERROR(
  VLOOKUP(
    A52,
    IMPORTRANGE(
      ""1ZHMy3vVUd_0MrSduXTe1etBb1HNpAlGwQr006ljwMiM"",
      ""GSC最新!A:F""
    ),
    2,
    FALSE
  ),
  0
)
"),0.0)</f>
        <v>0</v>
      </c>
      <c r="G52" s="49">
        <f>IFERROR(__xludf.DUMMYFUNCTION("IFERROR(
  VLOOKUP(
    A52,
    IMPORTRANGE(
      ""1ZHMy3vVUd_0MrSduXTe1etBb1HNpAlGwQr006ljwMiM"",
      ""GSC最新!A:F""
    ),
    3,
    FALSE
  ),
  0
)
"),0.0)</f>
        <v>0</v>
      </c>
      <c r="H52" s="49">
        <f>IFERROR(__xludf.DUMMYFUNCTION("IFERROR(
  VLOOKUP(
    A52,
    IMPORTRANGE(
      ""1ZHMy3vVUd_0MrSduXTe1etBb1HNpAlGwQr006ljwMiM"",
      ""GSC最新!A:F""
    ),
    4,
    FALSE
  ),
  0
)
"),0.0)</f>
        <v>0</v>
      </c>
      <c r="I52" s="49">
        <f>IFERROR(__xludf.DUMMYFUNCTION("IFERROR(
  VLOOKUP(
    A52,
    IMPORTRANGE(
      ""1ZHMy3vVUd_0MrSduXTe1etBb1HNpAlGwQr006ljwMiM"",
      ""GSC最新!A:F""
    ),
    5,
    FALSE
  ),
  0
)
"),1.0)</f>
        <v>1</v>
      </c>
      <c r="J52" s="50" t="str">
        <f t="shared" ref="J52:K52" si="251">IFERROR(F52/H52,"-")</f>
        <v>-</v>
      </c>
      <c r="K52" s="50">
        <f t="shared" si="251"/>
        <v>0</v>
      </c>
      <c r="L52" s="6">
        <f>IFERROR(__xludf.DUMMYFUNCTION("IFERROR(
  VLOOKUP(
    A52,
    IMPORTRANGE(
      ""1ZHMy3vVUd_0MrSduXTe1etBb1HNpAlGwQr006ljwMiM"",
      ""GSC最新!A:R""
    ),
    7,
    FALSE
  ),
  0
)
"),167.0)</f>
        <v>167</v>
      </c>
      <c r="M52" s="6">
        <f>IFERROR(__xludf.DUMMYFUNCTION("IFERROR(
  VLOOKUP(
    A52,
    IMPORTRANGE(
      ""1ZHMy3vVUd_0MrSduXTe1etBb1HNpAlGwQr006ljwMiM"",
      ""GSC最新!A:R""
    ),
    10,
    FALSE
  ),
  0
)
"),216.0)</f>
        <v>216</v>
      </c>
      <c r="N52" s="6">
        <f>IFERROR(__xludf.DUMMYFUNCTION("IFERROR(
  VLOOKUP(
    A52,
    IMPORTRANGE(
      ""1ZHMy3vVUd_0MrSduXTe1etBb1HNpAlGwQr006ljwMiM"",
      ""GSC最新!A:R""
    ),
    13,
    FALSE
  ),
  0
)
"),5.0)</f>
        <v>5</v>
      </c>
      <c r="O52" s="6">
        <f>IFERROR(__xludf.DUMMYFUNCTION("IFERROR(
  VLOOKUP(
    A52,
    IMPORTRANGE(
      ""1ZHMy3vVUd_0MrSduXTe1etBb1HNpAlGwQr006ljwMiM"",
      ""GSC最新!A:R""
    ),
    16,
    FALSE
  ),
  0
)
"),9.0)</f>
        <v>9</v>
      </c>
      <c r="P52" s="51">
        <f t="shared" ref="P52:Q52" si="252">IFERROR(L52/N52,"-")</f>
        <v>33.4</v>
      </c>
      <c r="Q52" s="51">
        <f t="shared" si="252"/>
        <v>24</v>
      </c>
      <c r="R52" s="9">
        <f>IFERROR(__xludf.DUMMYFUNCTION("IFERROR(
  VLOOKUP(
    A52,
    IMPORTRANGE(
      ""1ZHMy3vVUd_0MrSduXTe1etBb1HNpAlGwQr006ljwMiM"",
      ""GSC最新!A:R""
    ),
    8,
    FALSE
  ),
  0
)
"),0.0)</f>
        <v>0</v>
      </c>
      <c r="S52" s="9">
        <f>IFERROR(__xludf.DUMMYFUNCTION("IFERROR(
  VLOOKUP(
    A52,
    IMPORTRANGE(
      ""1ZHMy3vVUd_0MrSduXTe1etBb1HNpAlGwQr006ljwMiM"",
      ""GSC最新!A:R""
    ),
    11,
    FALSE
  ),
  0
)
"),0.0)</f>
        <v>0</v>
      </c>
      <c r="T52" s="9">
        <f>IFERROR(__xludf.DUMMYFUNCTION("IFERROR(
  VLOOKUP(
    A52,
    IMPORTRANGE(
      ""1ZHMy3vVUd_0MrSduXTe1etBb1HNpAlGwQr006ljwMiM"",
      ""GSC最新!A:R""
    ),
    14,
    FALSE
  ),
  0
)
"),0.0)</f>
        <v>0</v>
      </c>
      <c r="U52" s="9">
        <f>IFERROR(__xludf.DUMMYFUNCTION("IFERROR(
  VLOOKUP(
    A52,
    IMPORTRANGE(
      ""1ZHMy3vVUd_0MrSduXTe1etBb1HNpAlGwQr006ljwMiM"",
      ""GSC最新!A:R""
    ),
    17,
    FALSE
  ),
  0
)
"),0.1111111111111111)</f>
        <v>0.1111111111</v>
      </c>
      <c r="V52" s="9">
        <f t="shared" ref="V52:W52" si="253">IFERROR(R52-T52,"-")</f>
        <v>0</v>
      </c>
      <c r="W52" s="9">
        <f t="shared" si="253"/>
        <v>-0.1111111111</v>
      </c>
      <c r="X52" s="65">
        <f>IFERROR(__xludf.DUMMYFUNCTION("IFERROR(
  VLOOKUP(
    A52,
    IMPORTRANGE(
      ""1ZHMy3vVUd_0MrSduXTe1etBb1HNpAlGwQr006ljwMiM"",
      ""GSC最新!A:R""
    ),
    9,
    FALSE
  ),
  0
)
"),5.946107784431137)</f>
        <v>5.946107784</v>
      </c>
      <c r="Y52" s="65">
        <f>IFERROR(__xludf.DUMMYFUNCTION("IFERROR(
  VLOOKUP(
    A52,
    IMPORTRANGE(
      ""1ZHMy3vVUd_0MrSduXTe1etBb1HNpAlGwQr006ljwMiM"",
      ""GSC最新!A:R""
    ),
    12,
    FALSE
  ),
  0
)
"),6.6157407407407405)</f>
        <v>6.615740741</v>
      </c>
      <c r="Z52" s="65">
        <f>IFERROR(__xludf.DUMMYFUNCTION("IFERROR(
  VLOOKUP(
    A52,
    IMPORTRANGE(
      ""1ZHMy3vVUd_0MrSduXTe1etBb1HNpAlGwQr006ljwMiM"",
      ""GSC最新!A:R""
    ),
    15,
    FALSE
  ),
  0
)
"),10.0)</f>
        <v>10</v>
      </c>
      <c r="AA52" s="65">
        <f>IFERROR(__xludf.DUMMYFUNCTION("IFERROR(
  VLOOKUP(
    A52,
    IMPORTRANGE(
      ""1ZHMy3vVUd_0MrSduXTe1etBb1HNpAlGwQr006ljwMiM"",
      ""GSC最新!A:R""
    ),
    18,
    FALSE
  ),
  0
)
"),12.0)</f>
        <v>12</v>
      </c>
      <c r="AB52" s="65">
        <f t="shared" ref="AB52:AC52" si="254">X52-Z52</f>
        <v>-4.053892216</v>
      </c>
      <c r="AC52" s="65">
        <f t="shared" si="254"/>
        <v>-5.384259259</v>
      </c>
      <c r="AD52" s="53">
        <f>IFERROR(__xludf.DUMMYFUNCTION("IFERROR(
  VLOOKUP(
    A52,
    IMPORTRANGE(
      ""1ZHMy3vVUd_0MrSduXTe1etBb1HNpAlGwQr006ljwMiM"",
      ""GSC最新!A:F""
    ),
    6,
    FALSE
  ),
  0
)
"),46081.0)</f>
        <v>46081</v>
      </c>
      <c r="AE52" s="54">
        <f>IFERROR(__xludf.DUMMYFUNCTION("IFERROR(
  VLOOKUP(
    A52,
    IMPORTRANGE(
      ""1SCYQd7_cobOYqT0r_F0IqD4tE4rYn5y8Eup4PJTH8es"",
      ""Snapshot!A:M""
    ),
    5,
    FALSE
  ),
  ""-""
)
"),11.0)</f>
        <v>11</v>
      </c>
      <c r="AF52" s="54">
        <f>IFERROR(__xludf.DUMMYFUNCTION("IFERROR(
  VLOOKUP(
    A52,
    IMPORTRANGE(
      ""1SCYQd7_cobOYqT0r_F0IqD4tE4rYn5y8Eup4PJTH8es"",
      ""Snapshot!A:M""
    ),
    6,
    FALSE
  ),
  0
)
"),10.0)</f>
        <v>10</v>
      </c>
      <c r="AG52" s="54">
        <f>IFERROR(__xludf.DUMMYFUNCTION("IFERROR(
  VLOOKUP(
    A52,
    IMPORTRANGE(
      ""1SCYQd7_cobOYqT0r_F0IqD4tE4rYn5y8Eup4PJTH8es"",
      ""Snapshot!A:M""
    ),
    7,
    FALSE
  ),
  0
)
"),3839.0)</f>
        <v>3839</v>
      </c>
      <c r="AH52" s="54">
        <f>IFERROR(__xludf.DUMMYFUNCTION("IFERROR(
  VLOOKUP(
    A52,
    IMPORTRANGE(
      ""1SCYQd7_cobOYqT0r_F0IqD4tE4rYn5y8Eup4PJTH8es"",
      ""Snapshot!A:M""
    ),
    8,
    FALSE
  ),
  0
)
"),28.0)</f>
        <v>28</v>
      </c>
      <c r="AI52" s="54">
        <f>IFERROR(__xludf.DUMMYFUNCTION("IFERROR(
  VLOOKUP(
    A52,
    IMPORTRANGE(
      ""1SCYQd7_cobOYqT0r_F0IqD4tE4rYn5y8Eup4PJTH8es"",
      ""Snapshot!A:M""
    ),
    9,
    FALSE
  ),
  0
)
"),0.0)</f>
        <v>0</v>
      </c>
      <c r="AJ52" s="54">
        <f>IFERROR(__xludf.DUMMYFUNCTION("IFERROR(
  VLOOKUP(
    A52,
    IMPORTRANGE(
      ""1SCYQd7_cobOYqT0r_F0IqD4tE4rYn5y8Eup4PJTH8es"",
      ""Snapshot!A:M""
    ),
    13,
    FALSE
  ),
  0
)
"),2.0)</f>
        <v>2</v>
      </c>
      <c r="AK52" s="49">
        <f t="shared" ref="AK52:AL52" si="255">LEN(C52)</f>
        <v>27</v>
      </c>
      <c r="AL52" s="49">
        <f t="shared" si="255"/>
        <v>74</v>
      </c>
    </row>
    <row r="53">
      <c r="A53" s="3" t="s">
        <v>754</v>
      </c>
      <c r="B53" s="1" t="str">
        <f>IFERROR(__xludf.DUMMYFUNCTION("IFERROR(
  VLOOKUP(
    A53,
    IMPORTRANGE(
      ""1ZygntHC1J6IxzKbTidmOyf5nUyW4GCLurHCjexrLm_o"",
      ""HTMLキャッシュ!A:F""
    ),
    2,
    FALSE
  ),
  0
)
"),"MC")</f>
        <v>MC</v>
      </c>
      <c r="C53" s="1" t="str">
        <f>IFERROR(__xludf.DUMMYFUNCTION("IFERROR(
  VLOOKUP(
    A53,
    IMPORTRANGE(
      ""1ZygntHC1J6IxzKbTidmOyf5nUyW4GCLurHCjexrLm_o"",
      ""HTMLキャッシュ!A:F""
    ),
    5,
    FALSE
  ),
  0
)
"),"中高一貫校生の英語勉強法！成績を伸ばすコツを専門塾が解説")</f>
        <v>中高一貫校生の英語勉強法！成績を伸ばすコツを専門塾が解説</v>
      </c>
      <c r="D53" s="1" t="str">
        <f>IFERROR(__xludf.DUMMYFUNCTION("IFERROR(
  VLOOKUP(
    A53,
    IMPORTRANGE(
      ""1ZygntHC1J6IxzKbTidmOyf5nUyW4GCLurHCjexrLm_o        "",
      ""HTMLキャッシュ!A:F""
    ),
    6,
    FALSE
  ),
  0
)
"),"授業が回らない英語を語彙・音読・教科書理解で戻す。状況別チェックと毎日20分の回し方を整理。")</f>
        <v>授業が回らない英語を語彙・音読・教科書理解で戻す。状況別チェックと毎日20分の回し方を整理。</v>
      </c>
      <c r="E53" s="32">
        <f>IFERROR(__xludf.DUMMYFUNCTION("IFERROR(
  VLOOKUP(
    A53,
    IMPORTRANGE(
      ""1ZygntHC1J6IxzKbTidmOyf5nUyW4GCLurHCjexrLm_o        "",
      ""HTMLキャッシュ!A:F""
    ),
    3,
    FALSE
  ),
  0
)
"),46073.675532407404)</f>
        <v>46073.67553</v>
      </c>
      <c r="F53" s="49">
        <f>IFERROR(__xludf.DUMMYFUNCTION("IFERROR(
  VLOOKUP(
    A53,
    IMPORTRANGE(
      ""1ZHMy3vVUd_0MrSduXTe1etBb1HNpAlGwQr006ljwMiM"",
      ""GSC最新!A:F""
    ),
    2,
    FALSE
  ),
  0
)
"),0.0)</f>
        <v>0</v>
      </c>
      <c r="G53" s="49">
        <f>IFERROR(__xludf.DUMMYFUNCTION("IFERROR(
  VLOOKUP(
    A53,
    IMPORTRANGE(
      ""1ZHMy3vVUd_0MrSduXTe1etBb1HNpAlGwQr006ljwMiM"",
      ""GSC最新!A:F""
    ),
    3,
    FALSE
  ),
  0
)
"),0.0)</f>
        <v>0</v>
      </c>
      <c r="H53" s="49">
        <f>IFERROR(__xludf.DUMMYFUNCTION("IFERROR(
  VLOOKUP(
    A53,
    IMPORTRANGE(
      ""1ZHMy3vVUd_0MrSduXTe1etBb1HNpAlGwQr006ljwMiM"",
      ""GSC最新!A:F""
    ),
    4,
    FALSE
  ),
  0
)
"),3.0)</f>
        <v>3</v>
      </c>
      <c r="I53" s="49">
        <f>IFERROR(__xludf.DUMMYFUNCTION("IFERROR(
  VLOOKUP(
    A53,
    IMPORTRANGE(
      ""1ZHMy3vVUd_0MrSduXTe1etBb1HNpAlGwQr006ljwMiM"",
      ""GSC最新!A:F""
    ),
    5,
    FALSE
  ),
  0
)
"),6.0)</f>
        <v>6</v>
      </c>
      <c r="J53" s="50">
        <f t="shared" ref="J53:K53" si="256">IFERROR(F53/H53,"-")</f>
        <v>0</v>
      </c>
      <c r="K53" s="50">
        <f t="shared" si="256"/>
        <v>0</v>
      </c>
      <c r="L53" s="6">
        <f>IFERROR(__xludf.DUMMYFUNCTION("IFERROR(
  VLOOKUP(
    A53,
    IMPORTRANGE(
      ""1ZHMy3vVUd_0MrSduXTe1etBb1HNpAlGwQr006ljwMiM"",
      ""GSC最新!A:R""
    ),
    7,
    FALSE
  ),
  0
)
"),14.0)</f>
        <v>14</v>
      </c>
      <c r="M53" s="6">
        <f>IFERROR(__xludf.DUMMYFUNCTION("IFERROR(
  VLOOKUP(
    A53,
    IMPORTRANGE(
      ""1ZHMy3vVUd_0MrSduXTe1etBb1HNpAlGwQr006ljwMiM"",
      ""GSC最新!A:R""
    ),
    10,
    FALSE
  ),
  0
)
"),82.0)</f>
        <v>82</v>
      </c>
      <c r="N53" s="6">
        <f>IFERROR(__xludf.DUMMYFUNCTION("IFERROR(
  VLOOKUP(
    A53,
    IMPORTRANGE(
      ""1ZHMy3vVUd_0MrSduXTe1etBb1HNpAlGwQr006ljwMiM"",
      ""GSC最新!A:R""
    ),
    13,
    FALSE
  ),
  0
)
"),133.0)</f>
        <v>133</v>
      </c>
      <c r="O53" s="6">
        <f>IFERROR(__xludf.DUMMYFUNCTION("IFERROR(
  VLOOKUP(
    A53,
    IMPORTRANGE(
      ""1ZHMy3vVUd_0MrSduXTe1etBb1HNpAlGwQr006ljwMiM"",
      ""GSC最新!A:R""
    ),
    16,
    FALSE
  ),
  0
)
"),414.0)</f>
        <v>414</v>
      </c>
      <c r="P53" s="51">
        <f t="shared" ref="P53:Q53" si="257">IFERROR(L53/N53,"-")</f>
        <v>0.1052631579</v>
      </c>
      <c r="Q53" s="51">
        <f t="shared" si="257"/>
        <v>0.1980676329</v>
      </c>
      <c r="R53" s="9">
        <f>IFERROR(__xludf.DUMMYFUNCTION("IFERROR(
  VLOOKUP(
    A53,
    IMPORTRANGE(
      ""1ZHMy3vVUd_0MrSduXTe1etBb1HNpAlGwQr006ljwMiM"",
      ""GSC最新!A:R""
    ),
    8,
    FALSE
  ),
  0
)
"),0.0)</f>
        <v>0</v>
      </c>
      <c r="S53" s="9">
        <f>IFERROR(__xludf.DUMMYFUNCTION("IFERROR(
  VLOOKUP(
    A53,
    IMPORTRANGE(
      ""1ZHMy3vVUd_0MrSduXTe1etBb1HNpAlGwQr006ljwMiM"",
      ""GSC最新!A:R""
    ),
    11,
    FALSE
  ),
  0
)
"),0.0)</f>
        <v>0</v>
      </c>
      <c r="T53" s="9">
        <f>IFERROR(__xludf.DUMMYFUNCTION("IFERROR(
  VLOOKUP(
    A53,
    IMPORTRANGE(
      ""1ZHMy3vVUd_0MrSduXTe1etBb1HNpAlGwQr006ljwMiM"",
      ""GSC最新!A:R""
    ),
    14,
    FALSE
  ),
  0
)
"),0.022556390977443608)</f>
        <v>0.02255639098</v>
      </c>
      <c r="U53" s="9">
        <f>IFERROR(__xludf.DUMMYFUNCTION("IFERROR(
  VLOOKUP(
    A53,
    IMPORTRANGE(
      ""1ZHMy3vVUd_0MrSduXTe1etBb1HNpAlGwQr006ljwMiM"",
      ""GSC最新!A:R""
    ),
    17,
    FALSE
  ),
  0
)
"),0.014492753623188406)</f>
        <v>0.01449275362</v>
      </c>
      <c r="V53" s="9">
        <f t="shared" ref="V53:W53" si="258">IFERROR(R53-T53,"-")</f>
        <v>-0.02255639098</v>
      </c>
      <c r="W53" s="9">
        <f t="shared" si="258"/>
        <v>-0.01449275362</v>
      </c>
      <c r="X53" s="65">
        <f>IFERROR(__xludf.DUMMYFUNCTION("IFERROR(
  VLOOKUP(
    A53,
    IMPORTRANGE(
      ""1ZHMy3vVUd_0MrSduXTe1etBb1HNpAlGwQr006ljwMiM"",
      ""GSC最新!A:R""
    ),
    9,
    FALSE
  ),
  0
)
"),17.357142857142858)</f>
        <v>17.35714286</v>
      </c>
      <c r="Y53" s="65">
        <f>IFERROR(__xludf.DUMMYFUNCTION("IFERROR(
  VLOOKUP(
    A53,
    IMPORTRANGE(
      ""1ZHMy3vVUd_0MrSduXTe1etBb1HNpAlGwQr006ljwMiM"",
      ""GSC最新!A:R""
    ),
    12,
    FALSE
  ),
  0
)
"),21.414634146341463)</f>
        <v>21.41463415</v>
      </c>
      <c r="Z53" s="65">
        <f>IFERROR(__xludf.DUMMYFUNCTION("IFERROR(
  VLOOKUP(
    A53,
    IMPORTRANGE(
      ""1ZHMy3vVUd_0MrSduXTe1etBb1HNpAlGwQr006ljwMiM"",
      ""GSC最新!A:R""
    ),
    15,
    FALSE
  ),
  0
)
"),36.53383458646616)</f>
        <v>36.53383459</v>
      </c>
      <c r="AA53" s="65">
        <f>IFERROR(__xludf.DUMMYFUNCTION("IFERROR(
  VLOOKUP(
    A53,
    IMPORTRANGE(
      ""1ZHMy3vVUd_0MrSduXTe1etBb1HNpAlGwQr006ljwMiM"",
      ""GSC最新!A:R""
    ),
    18,
    FALSE
  ),
  0
)
"),32.21256038647343)</f>
        <v>32.21256039</v>
      </c>
      <c r="AB53" s="65">
        <f t="shared" ref="AB53:AC53" si="259">X53-Z53</f>
        <v>-19.17669173</v>
      </c>
      <c r="AC53" s="65">
        <f t="shared" si="259"/>
        <v>-10.79792624</v>
      </c>
      <c r="AD53" s="53">
        <f>IFERROR(__xludf.DUMMYFUNCTION("IFERROR(
  VLOOKUP(
    A53,
    IMPORTRANGE(
      ""1ZHMy3vVUd_0MrSduXTe1etBb1HNpAlGwQr006ljwMiM"",
      ""GSC最新!A:F""
    ),
    6,
    FALSE
  ),
  0
)
"),46081.0)</f>
        <v>46081</v>
      </c>
      <c r="AE53" s="54">
        <f>IFERROR(__xludf.DUMMYFUNCTION("IFERROR(
  VLOOKUP(
    A53,
    IMPORTRANGE(
      ""1SCYQd7_cobOYqT0r_F0IqD4tE4rYn5y8Eup4PJTH8es"",
      ""Snapshot!A:M""
    ),
    5,
    FALSE
  ),
  ""-""
)
"),9.0)</f>
        <v>9</v>
      </c>
      <c r="AF53" s="54">
        <f>IFERROR(__xludf.DUMMYFUNCTION("IFERROR(
  VLOOKUP(
    A53,
    IMPORTRANGE(
      ""1SCYQd7_cobOYqT0r_F0IqD4tE4rYn5y8Eup4PJTH8es"",
      ""Snapshot!A:M""
    ),
    6,
    FALSE
  ),
  0
)
"),10.0)</f>
        <v>10</v>
      </c>
      <c r="AG53" s="54">
        <f>IFERROR(__xludf.DUMMYFUNCTION("IFERROR(
  VLOOKUP(
    A53,
    IMPORTRANGE(
      ""1SCYQd7_cobOYqT0r_F0IqD4tE4rYn5y8Eup4PJTH8es"",
      ""Snapshot!A:M""
    ),
    7,
    FALSE
  ),
  0
)
"),5041.0)</f>
        <v>5041</v>
      </c>
      <c r="AH53" s="54">
        <f>IFERROR(__xludf.DUMMYFUNCTION("IFERROR(
  VLOOKUP(
    A53,
    IMPORTRANGE(
      ""1SCYQd7_cobOYqT0r_F0IqD4tE4rYn5y8Eup4PJTH8es"",
      ""Snapshot!A:M""
    ),
    8,
    FALSE
  ),
  0
)
"),3.0)</f>
        <v>3</v>
      </c>
      <c r="AI53" s="54">
        <f>IFERROR(__xludf.DUMMYFUNCTION("IFERROR(
  VLOOKUP(
    A53,
    IMPORTRANGE(
      ""1SCYQd7_cobOYqT0r_F0IqD4tE4rYn5y8Eup4PJTH8es"",
      ""Snapshot!A:M""
    ),
    9,
    FALSE
  ),
  0
)
"),3.0)</f>
        <v>3</v>
      </c>
      <c r="AJ53" s="54">
        <f>IFERROR(__xludf.DUMMYFUNCTION("IFERROR(
  VLOOKUP(
    A53,
    IMPORTRANGE(
      ""1SCYQd7_cobOYqT0r_F0IqD4tE4rYn5y8Eup4PJTH8es"",
      ""Snapshot!A:M""
    ),
    13,
    FALSE
  ),
  0
)
"),2.0)</f>
        <v>2</v>
      </c>
      <c r="AK53" s="49">
        <f t="shared" ref="AK53:AL53" si="260">LEN(C53)</f>
        <v>28</v>
      </c>
      <c r="AL53" s="49">
        <f t="shared" si="260"/>
        <v>46</v>
      </c>
    </row>
    <row r="54">
      <c r="A54" s="3" t="s">
        <v>311</v>
      </c>
      <c r="B54" s="1" t="str">
        <f>IFERROR(__xludf.DUMMYFUNCTION("IFERROR(
  VLOOKUP(
    A54,
    IMPORTRANGE(
      ""1ZygntHC1J6IxzKbTidmOyf5nUyW4GCLurHCjexrLm_o"",
      ""HTMLキャッシュ!A:F""
    ),
    2,
    FALSE
  ),
  0
)
"),"SP")</f>
        <v>SP</v>
      </c>
      <c r="C54" s="1" t="str">
        <f>IFERROR(__xludf.DUMMYFUNCTION("IFERROR(
  VLOOKUP(
    A54,
    IMPORTRANGE(
      ""1ZygntHC1J6IxzKbTidmOyf5nUyW4GCLurHCjexrLm_o"",
      ""HTMLキャッシュ!A:F""
    ),
    5,
    FALSE
  ),
  0
)
"),"中１数学の基礎定着個別指導講座｜学校対応オンライン塾")</f>
        <v>中１数学の基礎定着個別指導講座｜学校対応オンライン塾</v>
      </c>
      <c r="D54" s="1" t="str">
        <f>IFERROR(__xludf.DUMMYFUNCTION("IFERROR(
  VLOOKUP(
    A54,
    IMPORTRANGE(
      ""1ZygntHC1J6IxzKbTidmOyf5nUyW4GCLurHCjexrLm_o        "",
      ""HTMLキャッシュ!A:F""
    ),
    6,
    FALSE
  ),
  0
)
"),"中1の数学がわからない子へ。学校内容を1対1で整理し基礎から定着。定期試験対応・フォロー充実、オンライン体験受付中")</f>
        <v>中1の数学がわからない子へ。学校内容を1対1で整理し基礎から定着。定期試験対応・フォロー充実、オンライン体験受付中</v>
      </c>
      <c r="E54" s="32">
        <f>IFERROR(__xludf.DUMMYFUNCTION("IFERROR(
  VLOOKUP(
    A54,
    IMPORTRANGE(
      ""1ZygntHC1J6IxzKbTidmOyf5nUyW4GCLurHCjexrLm_o        "",
      ""HTMLキャッシュ!A:F""
    ),
    3,
    FALSE
  ),
  0
)
"),46076.84155092593)</f>
        <v>46076.84155</v>
      </c>
      <c r="F54" s="49">
        <f>IFERROR(__xludf.DUMMYFUNCTION("IFERROR(
  VLOOKUP(
    A54,
    IMPORTRANGE(
      ""1ZHMy3vVUd_0MrSduXTe1etBb1HNpAlGwQr006ljwMiM"",
      ""GSC最新!A:F""
    ),
    2,
    FALSE
  ),
  0
)
"),0.0)</f>
        <v>0</v>
      </c>
      <c r="G54" s="49">
        <f>IFERROR(__xludf.DUMMYFUNCTION("IFERROR(
  VLOOKUP(
    A54,
    IMPORTRANGE(
      ""1ZHMy3vVUd_0MrSduXTe1etBb1HNpAlGwQr006ljwMiM"",
      ""GSC最新!A:F""
    ),
    3,
    FALSE
  ),
  0
)
"),0.0)</f>
        <v>0</v>
      </c>
      <c r="H54" s="49">
        <f>IFERROR(__xludf.DUMMYFUNCTION("IFERROR(
  VLOOKUP(
    A54,
    IMPORTRANGE(
      ""1ZHMy3vVUd_0MrSduXTe1etBb1HNpAlGwQr006ljwMiM"",
      ""GSC最新!A:F""
    ),
    4,
    FALSE
  ),
  0
)
"),0.0)</f>
        <v>0</v>
      </c>
      <c r="I54" s="49">
        <f>IFERROR(__xludf.DUMMYFUNCTION("IFERROR(
  VLOOKUP(
    A54,
    IMPORTRANGE(
      ""1ZHMy3vVUd_0MrSduXTe1etBb1HNpAlGwQr006ljwMiM"",
      ""GSC最新!A:F""
    ),
    5,
    FALSE
  ),
  0
)
"),1.0)</f>
        <v>1</v>
      </c>
      <c r="J54" s="50" t="str">
        <f t="shared" ref="J54:K54" si="261">IFERROR(F54/H54,"-")</f>
        <v>-</v>
      </c>
      <c r="K54" s="50">
        <f t="shared" si="261"/>
        <v>0</v>
      </c>
      <c r="L54" s="6">
        <f>IFERROR(__xludf.DUMMYFUNCTION("IFERROR(
  VLOOKUP(
    A54,
    IMPORTRANGE(
      ""1ZHMy3vVUd_0MrSduXTe1etBb1HNpAlGwQr006ljwMiM"",
      ""GSC最新!A:R""
    ),
    7,
    FALSE
  ),
  0
)
"),88.0)</f>
        <v>88</v>
      </c>
      <c r="M54" s="6">
        <f>IFERROR(__xludf.DUMMYFUNCTION("IFERROR(
  VLOOKUP(
    A54,
    IMPORTRANGE(
      ""1ZHMy3vVUd_0MrSduXTe1etBb1HNpAlGwQr006ljwMiM"",
      ""GSC最新!A:R""
    ),
    10,
    FALSE
  ),
  0
)
"),108.0)</f>
        <v>108</v>
      </c>
      <c r="N54" s="6">
        <f>IFERROR(__xludf.DUMMYFUNCTION("IFERROR(
  VLOOKUP(
    A54,
    IMPORTRANGE(
      ""1ZHMy3vVUd_0MrSduXTe1etBb1HNpAlGwQr006ljwMiM"",
      ""GSC最新!A:R""
    ),
    13,
    FALSE
  ),
  0
)
"),3.0)</f>
        <v>3</v>
      </c>
      <c r="O54" s="6">
        <f>IFERROR(__xludf.DUMMYFUNCTION("IFERROR(
  VLOOKUP(
    A54,
    IMPORTRANGE(
      ""1ZHMy3vVUd_0MrSduXTe1etBb1HNpAlGwQr006ljwMiM"",
      ""GSC最新!A:R""
    ),
    16,
    FALSE
  ),
  0
)
"),9.0)</f>
        <v>9</v>
      </c>
      <c r="P54" s="51">
        <f t="shared" ref="P54:Q54" si="262">IFERROR(L54/N54,"-")</f>
        <v>29.33333333</v>
      </c>
      <c r="Q54" s="51">
        <f t="shared" si="262"/>
        <v>12</v>
      </c>
      <c r="R54" s="9">
        <f>IFERROR(__xludf.DUMMYFUNCTION("IFERROR(
  VLOOKUP(
    A54,
    IMPORTRANGE(
      ""1ZHMy3vVUd_0MrSduXTe1etBb1HNpAlGwQr006ljwMiM"",
      ""GSC最新!A:R""
    ),
    8,
    FALSE
  ),
  0
)
"),0.0)</f>
        <v>0</v>
      </c>
      <c r="S54" s="9">
        <f>IFERROR(__xludf.DUMMYFUNCTION("IFERROR(
  VLOOKUP(
    A54,
    IMPORTRANGE(
      ""1ZHMy3vVUd_0MrSduXTe1etBb1HNpAlGwQr006ljwMiM"",
      ""GSC最新!A:R""
    ),
    11,
    FALSE
  ),
  0
)
"),0.0)</f>
        <v>0</v>
      </c>
      <c r="T54" s="9">
        <f>IFERROR(__xludf.DUMMYFUNCTION("IFERROR(
  VLOOKUP(
    A54,
    IMPORTRANGE(
      ""1ZHMy3vVUd_0MrSduXTe1etBb1HNpAlGwQr006ljwMiM"",
      ""GSC最新!A:R""
    ),
    14,
    FALSE
  ),
  0
)
"),0.0)</f>
        <v>0</v>
      </c>
      <c r="U54" s="9">
        <f>IFERROR(__xludf.DUMMYFUNCTION("IFERROR(
  VLOOKUP(
    A54,
    IMPORTRANGE(
      ""1ZHMy3vVUd_0MrSduXTe1etBb1HNpAlGwQr006ljwMiM"",
      ""GSC最新!A:R""
    ),
    17,
    FALSE
  ),
  0
)
"),0.1111111111111111)</f>
        <v>0.1111111111</v>
      </c>
      <c r="V54" s="9">
        <f t="shared" ref="V54:W54" si="263">IFERROR(R54-T54,"-")</f>
        <v>0</v>
      </c>
      <c r="W54" s="9">
        <f t="shared" si="263"/>
        <v>-0.1111111111</v>
      </c>
      <c r="X54" s="65">
        <f>IFERROR(__xludf.DUMMYFUNCTION("IFERROR(
  VLOOKUP(
    A54,
    IMPORTRANGE(
      ""1ZHMy3vVUd_0MrSduXTe1etBb1HNpAlGwQr006ljwMiM"",
      ""GSC最新!A:R""
    ),
    9,
    FALSE
  ),
  0
)
"),2.0568181818181817)</f>
        <v>2.056818182</v>
      </c>
      <c r="Y54" s="65">
        <f>IFERROR(__xludf.DUMMYFUNCTION("IFERROR(
  VLOOKUP(
    A54,
    IMPORTRANGE(
      ""1ZHMy3vVUd_0MrSduXTe1etBb1HNpAlGwQr006ljwMiM"",
      ""GSC最新!A:R""
    ),
    12,
    FALSE
  ),
  0
)
"),2.2962962962962963)</f>
        <v>2.296296296</v>
      </c>
      <c r="Z54" s="65">
        <f>IFERROR(__xludf.DUMMYFUNCTION("IFERROR(
  VLOOKUP(
    A54,
    IMPORTRANGE(
      ""1ZHMy3vVUd_0MrSduXTe1etBb1HNpAlGwQr006ljwMiM"",
      ""GSC最新!A:R""
    ),
    15,
    FALSE
  ),
  0
)
"),30.666666666666668)</f>
        <v>30.66666667</v>
      </c>
      <c r="AA54" s="65">
        <f>IFERROR(__xludf.DUMMYFUNCTION("IFERROR(
  VLOOKUP(
    A54,
    IMPORTRANGE(
      ""1ZHMy3vVUd_0MrSduXTe1etBb1HNpAlGwQr006ljwMiM"",
      ""GSC最新!A:R""
    ),
    18,
    FALSE
  ),
  0
)
"),25.22222222222222)</f>
        <v>25.22222222</v>
      </c>
      <c r="AB54" s="65">
        <f t="shared" ref="AB54:AC54" si="264">X54-Z54</f>
        <v>-28.60984848</v>
      </c>
      <c r="AC54" s="65">
        <f t="shared" si="264"/>
        <v>-22.92592593</v>
      </c>
      <c r="AD54" s="53">
        <f>IFERROR(__xludf.DUMMYFUNCTION("IFERROR(
  VLOOKUP(
    A54,
    IMPORTRANGE(
      ""1ZHMy3vVUd_0MrSduXTe1etBb1HNpAlGwQr006ljwMiM"",
      ""GSC最新!A:F""
    ),
    6,
    FALSE
  ),
  0
)
"),46081.0)</f>
        <v>46081</v>
      </c>
      <c r="AE54" s="54">
        <f>IFERROR(__xludf.DUMMYFUNCTION("IFERROR(
  VLOOKUP(
    A54,
    IMPORTRANGE(
      ""1SCYQd7_cobOYqT0r_F0IqD4tE4rYn5y8Eup4PJTH8es"",
      ""Snapshot!A:M""
    ),
    5,
    FALSE
  ),
  ""-""
)
"),9.0)</f>
        <v>9</v>
      </c>
      <c r="AF54" s="54">
        <f>IFERROR(__xludf.DUMMYFUNCTION("IFERROR(
  VLOOKUP(
    A54,
    IMPORTRANGE(
      ""1SCYQd7_cobOYqT0r_F0IqD4tE4rYn5y8Eup4PJTH8es"",
      ""Snapshot!A:M""
    ),
    6,
    FALSE
  ),
  0
)
"),11.0)</f>
        <v>11</v>
      </c>
      <c r="AG54" s="54">
        <f>IFERROR(__xludf.DUMMYFUNCTION("IFERROR(
  VLOOKUP(
    A54,
    IMPORTRANGE(
      ""1SCYQd7_cobOYqT0r_F0IqD4tE4rYn5y8Eup4PJTH8es"",
      ""Snapshot!A:M""
    ),
    7,
    FALSE
  ),
  0
)
"),3869.0)</f>
        <v>3869</v>
      </c>
      <c r="AH54" s="54">
        <f>IFERROR(__xludf.DUMMYFUNCTION("IFERROR(
  VLOOKUP(
    A54,
    IMPORTRANGE(
      ""1SCYQd7_cobOYqT0r_F0IqD4tE4rYn5y8Eup4PJTH8es"",
      ""Snapshot!A:M""
    ),
    8,
    FALSE
  ),
  0
)
"),6.0)</f>
        <v>6</v>
      </c>
      <c r="AI54" s="54">
        <f>IFERROR(__xludf.DUMMYFUNCTION("IFERROR(
  VLOOKUP(
    A54,
    IMPORTRANGE(
      ""1SCYQd7_cobOYqT0r_F0IqD4tE4rYn5y8Eup4PJTH8es"",
      ""Snapshot!A:M""
    ),
    9,
    FALSE
  ),
  0
)
"),5.0)</f>
        <v>5</v>
      </c>
      <c r="AJ54" s="54">
        <f>IFERROR(__xludf.DUMMYFUNCTION("IFERROR(
  VLOOKUP(
    A54,
    IMPORTRANGE(
      ""1SCYQd7_cobOYqT0r_F0IqD4tE4rYn5y8Eup4PJTH8es"",
      ""Snapshot!A:M""
    ),
    13,
    FALSE
  ),
  0
)
"),2.0)</f>
        <v>2</v>
      </c>
      <c r="AK54" s="49">
        <f t="shared" ref="AK54:AL54" si="265">LEN(C54)</f>
        <v>26</v>
      </c>
      <c r="AL54" s="49">
        <f t="shared" si="265"/>
        <v>57</v>
      </c>
    </row>
    <row r="55">
      <c r="A55" s="3" t="s">
        <v>755</v>
      </c>
      <c r="B55" s="1" t="str">
        <f>IFERROR(__xludf.DUMMYFUNCTION("IFERROR(
  VLOOKUP(
    A55,
    IMPORTRANGE(
      ""1ZygntHC1J6IxzKbTidmOyf5nUyW4GCLurHCjexrLm_o"",
      ""HTMLキャッシュ!A:F""
    ),
    2,
    FALSE
  ),
  0
)
"),"SC")</f>
        <v>SC</v>
      </c>
      <c r="C55" s="1" t="str">
        <f>IFERROR(__xludf.DUMMYFUNCTION("IFERROR(
  VLOOKUP(
    A55,
    IMPORTRANGE(
      ""1ZygntHC1J6IxzKbTidmOyf5nUyW4GCLurHCjexrLm_o"",
      ""HTMLキャッシュ!A:F""
    ),
    5,
    FALSE
  ),
  0
)
"),"社会科目の効率的な勉強法まとめ｜暗記・思考力の伸ばし方")</f>
        <v>社会科目の効率的な勉強法まとめ｜暗記・思考力の伸ばし方</v>
      </c>
      <c r="D55" s="1" t="str">
        <f>IFERROR(__xludf.DUMMYFUNCTION("IFERROR(
  VLOOKUP(
    A55,
    IMPORTRANGE(
      ""1ZygntHC1J6IxzKbTidmOyf5nUyW4GCLurHCjexrLm_o        "",
      ""HTMLキャッシュ!A:F""
    ),
    6,
    FALSE
  ),
  0
)
"),"中高一貫校の中学生向け社会の勉強法。暗記に頼らず、興味のある分野から始めて社会を得意科目にする考え方を解説。")</f>
        <v>中高一貫校の中学生向け社会の勉強法。暗記に頼らず、興味のある分野から始めて社会を得意科目にする考え方を解説。</v>
      </c>
      <c r="E55" s="32">
        <f>IFERROR(__xludf.DUMMYFUNCTION("IFERROR(
  VLOOKUP(
    A55,
    IMPORTRANGE(
      ""1ZygntHC1J6IxzKbTidmOyf5nUyW4GCLurHCjexrLm_o        "",
      ""HTMLキャッシュ!A:F""
    ),
    3,
    FALSE
  ),
  0
)
"),46074.56694444444)</f>
        <v>46074.56694</v>
      </c>
      <c r="F55" s="49">
        <f>IFERROR(__xludf.DUMMYFUNCTION("IFERROR(
  VLOOKUP(
    A55,
    IMPORTRANGE(
      ""1ZHMy3vVUd_0MrSduXTe1etBb1HNpAlGwQr006ljwMiM"",
      ""GSC最新!A:F""
    ),
    2,
    FALSE
  ),
  0
)
"),0.0)</f>
        <v>0</v>
      </c>
      <c r="G55" s="49">
        <f>IFERROR(__xludf.DUMMYFUNCTION("IFERROR(
  VLOOKUP(
    A55,
    IMPORTRANGE(
      ""1ZHMy3vVUd_0MrSduXTe1etBb1HNpAlGwQr006ljwMiM"",
      ""GSC最新!A:F""
    ),
    3,
    FALSE
  ),
  0
)
"),0.0)</f>
        <v>0</v>
      </c>
      <c r="H55" s="49">
        <f>IFERROR(__xludf.DUMMYFUNCTION("IFERROR(
  VLOOKUP(
    A55,
    IMPORTRANGE(
      ""1ZHMy3vVUd_0MrSduXTe1etBb1HNpAlGwQr006ljwMiM"",
      ""GSC最新!A:F""
    ),
    4,
    FALSE
  ),
  0
)
"),0.0)</f>
        <v>0</v>
      </c>
      <c r="I55" s="49">
        <f>IFERROR(__xludf.DUMMYFUNCTION("IFERROR(
  VLOOKUP(
    A55,
    IMPORTRANGE(
      ""1ZHMy3vVUd_0MrSduXTe1etBb1HNpAlGwQr006ljwMiM"",
      ""GSC最新!A:F""
    ),
    5,
    FALSE
  ),
  0
)
"),0.0)</f>
        <v>0</v>
      </c>
      <c r="J55" s="50" t="str">
        <f t="shared" ref="J55:K55" si="266">IFERROR(F55/H55,"-")</f>
        <v>-</v>
      </c>
      <c r="K55" s="50" t="str">
        <f t="shared" si="266"/>
        <v>-</v>
      </c>
      <c r="L55" s="6">
        <f>IFERROR(__xludf.DUMMYFUNCTION("IFERROR(
  VLOOKUP(
    A55,
    IMPORTRANGE(
      ""1ZHMy3vVUd_0MrSduXTe1etBb1HNpAlGwQr006ljwMiM"",
      ""GSC最新!A:R""
    ),
    7,
    FALSE
  ),
  0
)
"),26.0)</f>
        <v>26</v>
      </c>
      <c r="M55" s="6">
        <f>IFERROR(__xludf.DUMMYFUNCTION("IFERROR(
  VLOOKUP(
    A55,
    IMPORTRANGE(
      ""1ZHMy3vVUd_0MrSduXTe1etBb1HNpAlGwQr006ljwMiM"",
      ""GSC最新!A:R""
    ),
    10,
    FALSE
  ),
  0
)
"),74.0)</f>
        <v>74</v>
      </c>
      <c r="N55" s="6">
        <f>IFERROR(__xludf.DUMMYFUNCTION("IFERROR(
  VLOOKUP(
    A55,
    IMPORTRANGE(
      ""1ZHMy3vVUd_0MrSduXTe1etBb1HNpAlGwQr006ljwMiM"",
      ""GSC最新!A:R""
    ),
    13,
    FALSE
  ),
  0
)
"),0.0)</f>
        <v>0</v>
      </c>
      <c r="O55" s="6">
        <f>IFERROR(__xludf.DUMMYFUNCTION("IFERROR(
  VLOOKUP(
    A55,
    IMPORTRANGE(
      ""1ZHMy3vVUd_0MrSduXTe1etBb1HNpAlGwQr006ljwMiM"",
      ""GSC最新!A:R""
    ),
    16,
    FALSE
  ),
  0
)
"),20.0)</f>
        <v>20</v>
      </c>
      <c r="P55" s="51" t="str">
        <f t="shared" ref="P55:Q55" si="267">IFERROR(L55/N55,"-")</f>
        <v>-</v>
      </c>
      <c r="Q55" s="51">
        <f t="shared" si="267"/>
        <v>3.7</v>
      </c>
      <c r="R55" s="9">
        <f>IFERROR(__xludf.DUMMYFUNCTION("IFERROR(
  VLOOKUP(
    A55,
    IMPORTRANGE(
      ""1ZHMy3vVUd_0MrSduXTe1etBb1HNpAlGwQr006ljwMiM"",
      ""GSC最新!A:R""
    ),
    8,
    FALSE
  ),
  0
)
"),0.0)</f>
        <v>0</v>
      </c>
      <c r="S55" s="9">
        <f>IFERROR(__xludf.DUMMYFUNCTION("IFERROR(
  VLOOKUP(
    A55,
    IMPORTRANGE(
      ""1ZHMy3vVUd_0MrSduXTe1etBb1HNpAlGwQr006ljwMiM"",
      ""GSC最新!A:R""
    ),
    11,
    FALSE
  ),
  0
)
"),0.0)</f>
        <v>0</v>
      </c>
      <c r="T55" s="9">
        <f>IFERROR(__xludf.DUMMYFUNCTION("IFERROR(
  VLOOKUP(
    A55,
    IMPORTRANGE(
      ""1ZHMy3vVUd_0MrSduXTe1etBb1HNpAlGwQr006ljwMiM"",
      ""GSC最新!A:R""
    ),
    14,
    FALSE
  ),
  0
)
"),0.0)</f>
        <v>0</v>
      </c>
      <c r="U55" s="9">
        <f>IFERROR(__xludf.DUMMYFUNCTION("IFERROR(
  VLOOKUP(
    A55,
    IMPORTRANGE(
      ""1ZHMy3vVUd_0MrSduXTe1etBb1HNpAlGwQr006ljwMiM"",
      ""GSC最新!A:R""
    ),
    17,
    FALSE
  ),
  0
)
"),0.0)</f>
        <v>0</v>
      </c>
      <c r="V55" s="9">
        <f t="shared" ref="V55:W55" si="268">IFERROR(R55-T55,"-")</f>
        <v>0</v>
      </c>
      <c r="W55" s="9">
        <f t="shared" si="268"/>
        <v>0</v>
      </c>
      <c r="X55" s="65">
        <f>IFERROR(__xludf.DUMMYFUNCTION("IFERROR(
  VLOOKUP(
    A55,
    IMPORTRANGE(
      ""1ZHMy3vVUd_0MrSduXTe1etBb1HNpAlGwQr006ljwMiM"",
      ""GSC最新!A:R""
    ),
    9,
    FALSE
  ),
  0
)
"),19.615384615384617)</f>
        <v>19.61538462</v>
      </c>
      <c r="Y55" s="65">
        <f>IFERROR(__xludf.DUMMYFUNCTION("IFERROR(
  VLOOKUP(
    A55,
    IMPORTRANGE(
      ""1ZHMy3vVUd_0MrSduXTe1etBb1HNpAlGwQr006ljwMiM"",
      ""GSC最新!A:R""
    ),
    12,
    FALSE
  ),
  0
)
"),24.675675675675677)</f>
        <v>24.67567568</v>
      </c>
      <c r="Z55" s="65" t="str">
        <f>IFERROR(__xludf.DUMMYFUNCTION("IFERROR(
  VLOOKUP(
    A55,
    IMPORTRANGE(
      ""1ZHMy3vVUd_0MrSduXTe1etBb1HNpAlGwQr006ljwMiM"",
      ""GSC最新!A:R""
    ),
    15,
    FALSE
  ),
  0
)
"),"")</f>
        <v/>
      </c>
      <c r="AA55" s="65">
        <f>IFERROR(__xludf.DUMMYFUNCTION("IFERROR(
  VLOOKUP(
    A55,
    IMPORTRANGE(
      ""1ZHMy3vVUd_0MrSduXTe1etBb1HNpAlGwQr006ljwMiM"",
      ""GSC最新!A:R""
    ),
    18,
    FALSE
  ),
  0
)
"),75.0)</f>
        <v>75</v>
      </c>
      <c r="AB55" s="65">
        <f t="shared" ref="AB55:AC55" si="269">X55-Z55</f>
        <v>19.61538462</v>
      </c>
      <c r="AC55" s="65">
        <f t="shared" si="269"/>
        <v>-50.32432432</v>
      </c>
      <c r="AD55" s="53">
        <f>IFERROR(__xludf.DUMMYFUNCTION("IFERROR(
  VLOOKUP(
    A55,
    IMPORTRANGE(
      ""1ZHMy3vVUd_0MrSduXTe1etBb1HNpAlGwQr006ljwMiM"",
      ""GSC最新!A:F""
    ),
    6,
    FALSE
  ),
  0
)
"),46081.0)</f>
        <v>46081</v>
      </c>
      <c r="AE55" s="54">
        <f>IFERROR(__xludf.DUMMYFUNCTION("IFERROR(
  VLOOKUP(
    A55,
    IMPORTRANGE(
      ""1SCYQd7_cobOYqT0r_F0IqD4tE4rYn5y8Eup4PJTH8es"",
      ""Snapshot!A:M""
    ),
    5,
    FALSE
  ),
  ""-""
)
"),1.0)</f>
        <v>1</v>
      </c>
      <c r="AF55" s="54">
        <f>IFERROR(__xludf.DUMMYFUNCTION("IFERROR(
  VLOOKUP(
    A55,
    IMPORTRANGE(
      ""1SCYQd7_cobOYqT0r_F0IqD4tE4rYn5y8Eup4PJTH8es"",
      ""Snapshot!A:M""
    ),
    6,
    FALSE
  ),
  0
)
"),3.0)</f>
        <v>3</v>
      </c>
      <c r="AG55" s="54">
        <f>IFERROR(__xludf.DUMMYFUNCTION("IFERROR(
  VLOOKUP(
    A55,
    IMPORTRANGE(
      ""1SCYQd7_cobOYqT0r_F0IqD4tE4rYn5y8Eup4PJTH8es"",
      ""Snapshot!A:M""
    ),
    7,
    FALSE
  ),
  0
)
"),2072.0)</f>
        <v>2072</v>
      </c>
      <c r="AH55" s="54">
        <f>IFERROR(__xludf.DUMMYFUNCTION("IFERROR(
  VLOOKUP(
    A55,
    IMPORTRANGE(
      ""1SCYQd7_cobOYqT0r_F0IqD4tE4rYn5y8Eup4PJTH8es"",
      ""Snapshot!A:M""
    ),
    8,
    FALSE
  ),
  0
)
"),28.0)</f>
        <v>28</v>
      </c>
      <c r="AI55" s="54">
        <f>IFERROR(__xludf.DUMMYFUNCTION("IFERROR(
  VLOOKUP(
    A55,
    IMPORTRANGE(
      ""1SCYQd7_cobOYqT0r_F0IqD4tE4rYn5y8Eup4PJTH8es"",
      ""Snapshot!A:M""
    ),
    9,
    FALSE
  ),
  0
)
"),0.0)</f>
        <v>0</v>
      </c>
      <c r="AJ55" s="54">
        <f>IFERROR(__xludf.DUMMYFUNCTION("IFERROR(
  VLOOKUP(
    A55,
    IMPORTRANGE(
      ""1SCYQd7_cobOYqT0r_F0IqD4tE4rYn5y8Eup4PJTH8es"",
      ""Snapshot!A:M""
    ),
    13,
    FALSE
  ),
  0
)
"),2.0)</f>
        <v>2</v>
      </c>
      <c r="AK55" s="49">
        <f t="shared" ref="AK55:AL55" si="270">LEN(C55)</f>
        <v>27</v>
      </c>
      <c r="AL55" s="49">
        <f t="shared" si="270"/>
        <v>54</v>
      </c>
    </row>
    <row r="56">
      <c r="A56" s="3" t="s">
        <v>320</v>
      </c>
      <c r="B56" s="1" t="str">
        <f>IFERROR(__xludf.DUMMYFUNCTION("IFERROR(
  VLOOKUP(
    A56,
    IMPORTRANGE(
      ""1ZygntHC1J6IxzKbTidmOyf5nUyW4GCLurHCjexrLm_o"",
      ""HTMLキャッシュ!A:F""
    ),
    2,
    FALSE
  ),
  0
)
"),"SP")</f>
        <v>SP</v>
      </c>
      <c r="C56" s="1" t="str">
        <f>IFERROR(__xludf.DUMMYFUNCTION("IFERROR(
  VLOOKUP(
    A56,
    IMPORTRANGE(
      ""1ZygntHC1J6IxzKbTidmOyf5nUyW4GCLurHCjexrLm_o"",
      ""HTMLキャッシュ!A:F""
    ),
    5,
    FALSE
  ),
  0
)
"),"中高一貫校英語学校対策の個別指導講座｜定期試験対応オンライン")</f>
        <v>中高一貫校英語学校対策の個別指導講座｜定期試験対応オンライン</v>
      </c>
      <c r="D56" s="1" t="str">
        <f>IFERROR(__xludf.DUMMYFUNCTION("IFERROR(
  VLOOKUP(
    A56,
    IMPORTRANGE(
      ""1ZygntHC1J6IxzKbTidmOyf5nUyW4GCLurHCjexrLm_o        "",
      ""HTMLキャッシュ!A:F""
    ),
    6,
    FALSE
  ),
  0
)
"),"学校進度についていけない中高一貫生へ。小テスト・定期試験を逆算した個別指導で先取りと定着を両立。オンライン体験受付中")</f>
        <v>学校進度についていけない中高一貫生へ。小テスト・定期試験を逆算した個別指導で先取りと定着を両立。オンライン体験受付中</v>
      </c>
      <c r="E56" s="32">
        <f>IFERROR(__xludf.DUMMYFUNCTION("IFERROR(
  VLOOKUP(
    A56,
    IMPORTRANGE(
      ""1ZygntHC1J6IxzKbTidmOyf5nUyW4GCLurHCjexrLm_o        "",
      ""HTMLキャッシュ!A:F""
    ),
    3,
    FALSE
  ),
  0
)
"),46076.839224537034)</f>
        <v>46076.83922</v>
      </c>
      <c r="F56" s="49">
        <f>IFERROR(__xludf.DUMMYFUNCTION("IFERROR(
  VLOOKUP(
    A56,
    IMPORTRANGE(
      ""1ZHMy3vVUd_0MrSduXTe1etBb1HNpAlGwQr006ljwMiM"",
      ""GSC最新!A:F""
    ),
    2,
    FALSE
  ),
  0
)
"),0.0)</f>
        <v>0</v>
      </c>
      <c r="G56" s="49">
        <f>IFERROR(__xludf.DUMMYFUNCTION("IFERROR(
  VLOOKUP(
    A56,
    IMPORTRANGE(
      ""1ZHMy3vVUd_0MrSduXTe1etBb1HNpAlGwQr006ljwMiM"",
      ""GSC最新!A:F""
    ),
    3,
    FALSE
  ),
  0
)
"),0.0)</f>
        <v>0</v>
      </c>
      <c r="H56" s="49">
        <f>IFERROR(__xludf.DUMMYFUNCTION("IFERROR(
  VLOOKUP(
    A56,
    IMPORTRANGE(
      ""1ZHMy3vVUd_0MrSduXTe1etBb1HNpAlGwQr006ljwMiM"",
      ""GSC最新!A:F""
    ),
    4,
    FALSE
  ),
  0
)
"),0.0)</f>
        <v>0</v>
      </c>
      <c r="I56" s="49">
        <f>IFERROR(__xludf.DUMMYFUNCTION("IFERROR(
  VLOOKUP(
    A56,
    IMPORTRANGE(
      ""1ZHMy3vVUd_0MrSduXTe1etBb1HNpAlGwQr006ljwMiM"",
      ""GSC最新!A:F""
    ),
    5,
    FALSE
  ),
  0
)
"),0.0)</f>
        <v>0</v>
      </c>
      <c r="J56" s="50" t="str">
        <f t="shared" ref="J56:K56" si="271">IFERROR(F56/H56,"-")</f>
        <v>-</v>
      </c>
      <c r="K56" s="50" t="str">
        <f t="shared" si="271"/>
        <v>-</v>
      </c>
      <c r="L56" s="6">
        <f>IFERROR(__xludf.DUMMYFUNCTION("IFERROR(
  VLOOKUP(
    A56,
    IMPORTRANGE(
      ""1ZHMy3vVUd_0MrSduXTe1etBb1HNpAlGwQr006ljwMiM"",
      ""GSC最新!A:R""
    ),
    7,
    FALSE
  ),
  0
)
"),25.0)</f>
        <v>25</v>
      </c>
      <c r="M56" s="6">
        <f>IFERROR(__xludf.DUMMYFUNCTION("IFERROR(
  VLOOKUP(
    A56,
    IMPORTRANGE(
      ""1ZHMy3vVUd_0MrSduXTe1etBb1HNpAlGwQr006ljwMiM"",
      ""GSC最新!A:R""
    ),
    10,
    FALSE
  ),
  0
)
"),63.0)</f>
        <v>63</v>
      </c>
      <c r="N56" s="6">
        <f>IFERROR(__xludf.DUMMYFUNCTION("IFERROR(
  VLOOKUP(
    A56,
    IMPORTRANGE(
      ""1ZHMy3vVUd_0MrSduXTe1etBb1HNpAlGwQr006ljwMiM"",
      ""GSC最新!A:R""
    ),
    13,
    FALSE
  ),
  0
)
"),0.0)</f>
        <v>0</v>
      </c>
      <c r="O56" s="6">
        <f>IFERROR(__xludf.DUMMYFUNCTION("IFERROR(
  VLOOKUP(
    A56,
    IMPORTRANGE(
      ""1ZHMy3vVUd_0MrSduXTe1etBb1HNpAlGwQr006ljwMiM"",
      ""GSC最新!A:R""
    ),
    16,
    FALSE
  ),
  0
)
"),0.0)</f>
        <v>0</v>
      </c>
      <c r="P56" s="51" t="str">
        <f t="shared" ref="P56:Q56" si="272">IFERROR(L56/N56,"-")</f>
        <v>-</v>
      </c>
      <c r="Q56" s="51" t="str">
        <f t="shared" si="272"/>
        <v>-</v>
      </c>
      <c r="R56" s="9">
        <f>IFERROR(__xludf.DUMMYFUNCTION("IFERROR(
  VLOOKUP(
    A56,
    IMPORTRANGE(
      ""1ZHMy3vVUd_0MrSduXTe1etBb1HNpAlGwQr006ljwMiM"",
      ""GSC最新!A:R""
    ),
    8,
    FALSE
  ),
  0
)
"),0.0)</f>
        <v>0</v>
      </c>
      <c r="S56" s="9">
        <f>IFERROR(__xludf.DUMMYFUNCTION("IFERROR(
  VLOOKUP(
    A56,
    IMPORTRANGE(
      ""1ZHMy3vVUd_0MrSduXTe1etBb1HNpAlGwQr006ljwMiM"",
      ""GSC最新!A:R""
    ),
    11,
    FALSE
  ),
  0
)
"),0.0)</f>
        <v>0</v>
      </c>
      <c r="T56" s="9">
        <f>IFERROR(__xludf.DUMMYFUNCTION("IFERROR(
  VLOOKUP(
    A56,
    IMPORTRANGE(
      ""1ZHMy3vVUd_0MrSduXTe1etBb1HNpAlGwQr006ljwMiM"",
      ""GSC最新!A:R""
    ),
    14,
    FALSE
  ),
  0
)
"),0.0)</f>
        <v>0</v>
      </c>
      <c r="U56" s="9">
        <f>IFERROR(__xludf.DUMMYFUNCTION("IFERROR(
  VLOOKUP(
    A56,
    IMPORTRANGE(
      ""1ZHMy3vVUd_0MrSduXTe1etBb1HNpAlGwQr006ljwMiM"",
      ""GSC最新!A:R""
    ),
    17,
    FALSE
  ),
  0
)
"),0.0)</f>
        <v>0</v>
      </c>
      <c r="V56" s="9">
        <f t="shared" ref="V56:W56" si="273">IFERROR(R56-T56,"-")</f>
        <v>0</v>
      </c>
      <c r="W56" s="9">
        <f t="shared" si="273"/>
        <v>0</v>
      </c>
      <c r="X56" s="65">
        <f>IFERROR(__xludf.DUMMYFUNCTION("IFERROR(
  VLOOKUP(
    A56,
    IMPORTRANGE(
      ""1ZHMy3vVUd_0MrSduXTe1etBb1HNpAlGwQr006ljwMiM"",
      ""GSC最新!A:R""
    ),
    9,
    FALSE
  ),
  0
)
"),4.720000000000001)</f>
        <v>4.72</v>
      </c>
      <c r="Y56" s="65">
        <f>IFERROR(__xludf.DUMMYFUNCTION("IFERROR(
  VLOOKUP(
    A56,
    IMPORTRANGE(
      ""1ZHMy3vVUd_0MrSduXTe1etBb1HNpAlGwQr006ljwMiM"",
      ""GSC最新!A:R""
    ),
    12,
    FALSE
  ),
  0
)
"),4.396825396825397)</f>
        <v>4.396825397</v>
      </c>
      <c r="Z56" s="65" t="str">
        <f>IFERROR(__xludf.DUMMYFUNCTION("IFERROR(
  VLOOKUP(
    A56,
    IMPORTRANGE(
      ""1ZHMy3vVUd_0MrSduXTe1etBb1HNpAlGwQr006ljwMiM"",
      ""GSC最新!A:R""
    ),
    15,
    FALSE
  ),
  0
)
"),"")</f>
        <v/>
      </c>
      <c r="AA56" s="65" t="str">
        <f>IFERROR(__xludf.DUMMYFUNCTION("IFERROR(
  VLOOKUP(
    A56,
    IMPORTRANGE(
      ""1ZHMy3vVUd_0MrSduXTe1etBb1HNpAlGwQr006ljwMiM"",
      ""GSC最新!A:R""
    ),
    18,
    FALSE
  ),
  0
)
"),"")</f>
        <v/>
      </c>
      <c r="AB56" s="65">
        <f t="shared" ref="AB56:AC56" si="274">X56-Z56</f>
        <v>4.72</v>
      </c>
      <c r="AC56" s="65">
        <f t="shared" si="274"/>
        <v>4.396825397</v>
      </c>
      <c r="AD56" s="53">
        <f>IFERROR(__xludf.DUMMYFUNCTION("IFERROR(
  VLOOKUP(
    A56,
    IMPORTRANGE(
      ""1ZHMy3vVUd_0MrSduXTe1etBb1HNpAlGwQr006ljwMiM"",
      ""GSC最新!A:F""
    ),
    6,
    FALSE
  ),
  0
)
"),46081.0)</f>
        <v>46081</v>
      </c>
      <c r="AE56" s="54">
        <f>IFERROR(__xludf.DUMMYFUNCTION("IFERROR(
  VLOOKUP(
    A56,
    IMPORTRANGE(
      ""1SCYQd7_cobOYqT0r_F0IqD4tE4rYn5y8Eup4PJTH8es"",
      ""Snapshot!A:M""
    ),
    5,
    FALSE
  ),
  ""-""
)
"),9.0)</f>
        <v>9</v>
      </c>
      <c r="AF56" s="54">
        <f>IFERROR(__xludf.DUMMYFUNCTION("IFERROR(
  VLOOKUP(
    A56,
    IMPORTRANGE(
      ""1SCYQd7_cobOYqT0r_F0IqD4tE4rYn5y8Eup4PJTH8es"",
      ""Snapshot!A:M""
    ),
    6,
    FALSE
  ),
  0
)
"),15.0)</f>
        <v>15</v>
      </c>
      <c r="AG56" s="54">
        <f>IFERROR(__xludf.DUMMYFUNCTION("IFERROR(
  VLOOKUP(
    A56,
    IMPORTRANGE(
      ""1SCYQd7_cobOYqT0r_F0IqD4tE4rYn5y8Eup4PJTH8es"",
      ""Snapshot!A:M""
    ),
    7,
    FALSE
  ),
  0
)
"),3272.0)</f>
        <v>3272</v>
      </c>
      <c r="AH56" s="54">
        <f>IFERROR(__xludf.DUMMYFUNCTION("IFERROR(
  VLOOKUP(
    A56,
    IMPORTRANGE(
      ""1SCYQd7_cobOYqT0r_F0IqD4tE4rYn5y8Eup4PJTH8es"",
      ""Snapshot!A:M""
    ),
    8,
    FALSE
  ),
  0
)
"),6.0)</f>
        <v>6</v>
      </c>
      <c r="AI56" s="54">
        <f>IFERROR(__xludf.DUMMYFUNCTION("IFERROR(
  VLOOKUP(
    A56,
    IMPORTRANGE(
      ""1SCYQd7_cobOYqT0r_F0IqD4tE4rYn5y8Eup4PJTH8es"",
      ""Snapshot!A:M""
    ),
    9,
    FALSE
  ),
  0
)
"),7.0)</f>
        <v>7</v>
      </c>
      <c r="AJ56" s="54">
        <f>IFERROR(__xludf.DUMMYFUNCTION("IFERROR(
  VLOOKUP(
    A56,
    IMPORTRANGE(
      ""1SCYQd7_cobOYqT0r_F0IqD4tE4rYn5y8Eup4PJTH8es"",
      ""Snapshot!A:M""
    ),
    13,
    FALSE
  ),
  0
)
"),1.0)</f>
        <v>1</v>
      </c>
      <c r="AK56" s="49">
        <f t="shared" ref="AK56:AL56" si="275">LEN(C56)</f>
        <v>30</v>
      </c>
      <c r="AL56" s="49">
        <f t="shared" si="275"/>
        <v>58</v>
      </c>
    </row>
    <row r="57">
      <c r="A57" s="3" t="s">
        <v>321</v>
      </c>
      <c r="B57" s="1" t="str">
        <f>IFERROR(__xludf.DUMMYFUNCTION("IFERROR(
  VLOOKUP(
    A57,
    IMPORTRANGE(
      ""1ZygntHC1J6IxzKbTidmOyf5nUyW4GCLurHCjexrLm_o"",
      ""HTMLキャッシュ!A:F""
    ),
    2,
    FALSE
  ),
  0
)
"),"SP")</f>
        <v>SP</v>
      </c>
      <c r="C57" s="1" t="str">
        <f>IFERROR(__xludf.DUMMYFUNCTION("IFERROR(
  VLOOKUP(
    A57,
    IMPORTRANGE(
      ""1ZygntHC1J6IxzKbTidmOyf5nUyW4GCLurHCjexrLm_o"",
      ""HTMLキャッシュ!A:F""
    ),
    5,
    FALSE
  ),
  0
)
"),"高1数学対策の個別指導講座｜基礎〜応用定期・受験対応塾")</f>
        <v>高1数学対策の個別指導講座｜基礎〜応用定期・受験対応塾</v>
      </c>
      <c r="D57" s="1" t="str">
        <f>IFERROR(__xludf.DUMMYFUNCTION("IFERROR(
  VLOOKUP(
    A57,
    IMPORTRANGE(
      ""1ZygntHC1J6IxzKbTidmOyf5nUyW4GCLurHCjexrLm_o        "",
      ""HTMLキャッシュ!A:F""
    ),
    6,
    FALSE
  ),
  0
)
"),"数Ⅰ基礎つまずきで点が伸びない高1生へ。個別指導で式変形〜図形対応力を定着し定期・受験に強くなる。オンライン体験受付中")</f>
        <v>数Ⅰ基礎つまずきで点が伸びない高1生へ。個別指導で式変形〜図形対応力を定着し定期・受験に強くなる。オンライン体験受付中</v>
      </c>
      <c r="E57" s="32">
        <f>IFERROR(__xludf.DUMMYFUNCTION("IFERROR(
  VLOOKUP(
    A57,
    IMPORTRANGE(
      ""1ZygntHC1J6IxzKbTidmOyf5nUyW4GCLurHCjexrLm_o        "",
      ""HTMLキャッシュ!A:F""
    ),
    3,
    FALSE
  ),
  0
)
"),46081.69173611111)</f>
        <v>46081.69174</v>
      </c>
      <c r="F57" s="49">
        <f>IFERROR(__xludf.DUMMYFUNCTION("IFERROR(
  VLOOKUP(
    A57,
    IMPORTRANGE(
      ""1ZHMy3vVUd_0MrSduXTe1etBb1HNpAlGwQr006ljwMiM"",
      ""GSC最新!A:F""
    ),
    2,
    FALSE
  ),
  0
)
"),0.0)</f>
        <v>0</v>
      </c>
      <c r="G57" s="49">
        <f>IFERROR(__xludf.DUMMYFUNCTION("IFERROR(
  VLOOKUP(
    A57,
    IMPORTRANGE(
      ""1ZHMy3vVUd_0MrSduXTe1etBb1HNpAlGwQr006ljwMiM"",
      ""GSC最新!A:F""
    ),
    3,
    FALSE
  ),
  0
)
"),0.0)</f>
        <v>0</v>
      </c>
      <c r="H57" s="49">
        <f>IFERROR(__xludf.DUMMYFUNCTION("IFERROR(
  VLOOKUP(
    A57,
    IMPORTRANGE(
      ""1ZHMy3vVUd_0MrSduXTe1etBb1HNpAlGwQr006ljwMiM"",
      ""GSC最新!A:F""
    ),
    4,
    FALSE
  ),
  0
)
"),0.0)</f>
        <v>0</v>
      </c>
      <c r="I57" s="49">
        <f>IFERROR(__xludf.DUMMYFUNCTION("IFERROR(
  VLOOKUP(
    A57,
    IMPORTRANGE(
      ""1ZHMy3vVUd_0MrSduXTe1etBb1HNpAlGwQr006ljwMiM"",
      ""GSC最新!A:F""
    ),
    5,
    FALSE
  ),
  0
)
"),0.0)</f>
        <v>0</v>
      </c>
      <c r="J57" s="50" t="str">
        <f t="shared" ref="J57:K57" si="276">IFERROR(F57/H57,"-")</f>
        <v>-</v>
      </c>
      <c r="K57" s="50" t="str">
        <f t="shared" si="276"/>
        <v>-</v>
      </c>
      <c r="L57" s="6">
        <f>IFERROR(__xludf.DUMMYFUNCTION("IFERROR(
  VLOOKUP(
    A57,
    IMPORTRANGE(
      ""1ZHMy3vVUd_0MrSduXTe1etBb1HNpAlGwQr006ljwMiM"",
      ""GSC最新!A:R""
    ),
    7,
    FALSE
  ),
  0
)
"),54.0)</f>
        <v>54</v>
      </c>
      <c r="M57" s="6">
        <f>IFERROR(__xludf.DUMMYFUNCTION("IFERROR(
  VLOOKUP(
    A57,
    IMPORTRANGE(
      ""1ZHMy3vVUd_0MrSduXTe1etBb1HNpAlGwQr006ljwMiM"",
      ""GSC最新!A:R""
    ),
    10,
    FALSE
  ),
  0
)
"),63.0)</f>
        <v>63</v>
      </c>
      <c r="N57" s="6">
        <f>IFERROR(__xludf.DUMMYFUNCTION("IFERROR(
  VLOOKUP(
    A57,
    IMPORTRANGE(
      ""1ZHMy3vVUd_0MrSduXTe1etBb1HNpAlGwQr006ljwMiM"",
      ""GSC最新!A:R""
    ),
    13,
    FALSE
  ),
  0
)
"),0.0)</f>
        <v>0</v>
      </c>
      <c r="O57" s="6">
        <f>IFERROR(__xludf.DUMMYFUNCTION("IFERROR(
  VLOOKUP(
    A57,
    IMPORTRANGE(
      ""1ZHMy3vVUd_0MrSduXTe1etBb1HNpAlGwQr006ljwMiM"",
      ""GSC最新!A:R""
    ),
    16,
    FALSE
  ),
  0
)
"),0.0)</f>
        <v>0</v>
      </c>
      <c r="P57" s="51" t="str">
        <f t="shared" ref="P57:Q57" si="277">IFERROR(L57/N57,"-")</f>
        <v>-</v>
      </c>
      <c r="Q57" s="51" t="str">
        <f t="shared" si="277"/>
        <v>-</v>
      </c>
      <c r="R57" s="9">
        <f>IFERROR(__xludf.DUMMYFUNCTION("IFERROR(
  VLOOKUP(
    A57,
    IMPORTRANGE(
      ""1ZHMy3vVUd_0MrSduXTe1etBb1HNpAlGwQr006ljwMiM"",
      ""GSC最新!A:R""
    ),
    8,
    FALSE
  ),
  0
)
"),0.0)</f>
        <v>0</v>
      </c>
      <c r="S57" s="9">
        <f>IFERROR(__xludf.DUMMYFUNCTION("IFERROR(
  VLOOKUP(
    A57,
    IMPORTRANGE(
      ""1ZHMy3vVUd_0MrSduXTe1etBb1HNpAlGwQr006ljwMiM"",
      ""GSC最新!A:R""
    ),
    11,
    FALSE
  ),
  0
)
"),0.0)</f>
        <v>0</v>
      </c>
      <c r="T57" s="9">
        <f>IFERROR(__xludf.DUMMYFUNCTION("IFERROR(
  VLOOKUP(
    A57,
    IMPORTRANGE(
      ""1ZHMy3vVUd_0MrSduXTe1etBb1HNpAlGwQr006ljwMiM"",
      ""GSC最新!A:R""
    ),
    14,
    FALSE
  ),
  0
)
"),0.0)</f>
        <v>0</v>
      </c>
      <c r="U57" s="9">
        <f>IFERROR(__xludf.DUMMYFUNCTION("IFERROR(
  VLOOKUP(
    A57,
    IMPORTRANGE(
      ""1ZHMy3vVUd_0MrSduXTe1etBb1HNpAlGwQr006ljwMiM"",
      ""GSC最新!A:R""
    ),
    17,
    FALSE
  ),
  0
)
"),0.0)</f>
        <v>0</v>
      </c>
      <c r="V57" s="9">
        <f t="shared" ref="V57:W57" si="278">IFERROR(R57-T57,"-")</f>
        <v>0</v>
      </c>
      <c r="W57" s="9">
        <f t="shared" si="278"/>
        <v>0</v>
      </c>
      <c r="X57" s="65">
        <f>IFERROR(__xludf.DUMMYFUNCTION("IFERROR(
  VLOOKUP(
    A57,
    IMPORTRANGE(
      ""1ZHMy3vVUd_0MrSduXTe1etBb1HNpAlGwQr006ljwMiM"",
      ""GSC最新!A:R""
    ),
    9,
    FALSE
  ),
  0
)
"),3.4444444444444446)</f>
        <v>3.444444444</v>
      </c>
      <c r="Y57" s="65">
        <f>IFERROR(__xludf.DUMMYFUNCTION("IFERROR(
  VLOOKUP(
    A57,
    IMPORTRANGE(
      ""1ZHMy3vVUd_0MrSduXTe1etBb1HNpAlGwQr006ljwMiM"",
      ""GSC最新!A:R""
    ),
    12,
    FALSE
  ),
  0
)
"),3.6984126984126986)</f>
        <v>3.698412698</v>
      </c>
      <c r="Z57" s="65" t="str">
        <f>IFERROR(__xludf.DUMMYFUNCTION("IFERROR(
  VLOOKUP(
    A57,
    IMPORTRANGE(
      ""1ZHMy3vVUd_0MrSduXTe1etBb1HNpAlGwQr006ljwMiM"",
      ""GSC最新!A:R""
    ),
    15,
    FALSE
  ),
  0
)
"),"")</f>
        <v/>
      </c>
      <c r="AA57" s="65" t="str">
        <f>IFERROR(__xludf.DUMMYFUNCTION("IFERROR(
  VLOOKUP(
    A57,
    IMPORTRANGE(
      ""1ZHMy3vVUd_0MrSduXTe1etBb1HNpAlGwQr006ljwMiM"",
      ""GSC最新!A:R""
    ),
    18,
    FALSE
  ),
  0
)
"),"")</f>
        <v/>
      </c>
      <c r="AB57" s="65">
        <f t="shared" ref="AB57:AC57" si="279">X57-Z57</f>
        <v>3.444444444</v>
      </c>
      <c r="AC57" s="65">
        <f t="shared" si="279"/>
        <v>3.698412698</v>
      </c>
      <c r="AD57" s="53">
        <f>IFERROR(__xludf.DUMMYFUNCTION("IFERROR(
  VLOOKUP(
    A57,
    IMPORTRANGE(
      ""1ZHMy3vVUd_0MrSduXTe1etBb1HNpAlGwQr006ljwMiM"",
      ""GSC最新!A:F""
    ),
    6,
    FALSE
  ),
  0
)
"),46081.0)</f>
        <v>46081</v>
      </c>
      <c r="AE57" s="54">
        <f>IFERROR(__xludf.DUMMYFUNCTION("IFERROR(
  VLOOKUP(
    A57,
    IMPORTRANGE(
      ""1SCYQd7_cobOYqT0r_F0IqD4tE4rYn5y8Eup4PJTH8es"",
      ""Snapshot!A:M""
    ),
    5,
    FALSE
  ),
  ""-""
)
"),10.0)</f>
        <v>10</v>
      </c>
      <c r="AF57" s="54">
        <f>IFERROR(__xludf.DUMMYFUNCTION("IFERROR(
  VLOOKUP(
    A57,
    IMPORTRANGE(
      ""1SCYQd7_cobOYqT0r_F0IqD4tE4rYn5y8Eup4PJTH8es"",
      ""Snapshot!A:M""
    ),
    6,
    FALSE
  ),
  0
)
"),11.0)</f>
        <v>11</v>
      </c>
      <c r="AG57" s="54">
        <f>IFERROR(__xludf.DUMMYFUNCTION("IFERROR(
  VLOOKUP(
    A57,
    IMPORTRANGE(
      ""1SCYQd7_cobOYqT0r_F0IqD4tE4rYn5y8Eup4PJTH8es"",
      ""Snapshot!A:M""
    ),
    7,
    FALSE
  ),
  0
)
"),4606.0)</f>
        <v>4606</v>
      </c>
      <c r="AH57" s="54">
        <f>IFERROR(__xludf.DUMMYFUNCTION("IFERROR(
  VLOOKUP(
    A57,
    IMPORTRANGE(
      ""1SCYQd7_cobOYqT0r_F0IqD4tE4rYn5y8Eup4PJTH8es"",
      ""Snapshot!A:M""
    ),
    8,
    FALSE
  ),
  0
)
"),2.0)</f>
        <v>2</v>
      </c>
      <c r="AI57" s="54">
        <f>IFERROR(__xludf.DUMMYFUNCTION("IFERROR(
  VLOOKUP(
    A57,
    IMPORTRANGE(
      ""1SCYQd7_cobOYqT0r_F0IqD4tE4rYn5y8Eup4PJTH8es"",
      ""Snapshot!A:M""
    ),
    9,
    FALSE
  ),
  0
)
"),0.0)</f>
        <v>0</v>
      </c>
      <c r="AJ57" s="54">
        <f>IFERROR(__xludf.DUMMYFUNCTION("IFERROR(
  VLOOKUP(
    A57,
    IMPORTRANGE(
      ""1SCYQd7_cobOYqT0r_F0IqD4tE4rYn5y8Eup4PJTH8es"",
      ""Snapshot!A:M""
    ),
    13,
    FALSE
  ),
  0
)
"),2.0)</f>
        <v>2</v>
      </c>
      <c r="AK57" s="49">
        <f t="shared" ref="AK57:AL57" si="280">LEN(C57)</f>
        <v>27</v>
      </c>
      <c r="AL57" s="49">
        <f t="shared" si="280"/>
        <v>59</v>
      </c>
    </row>
    <row r="58">
      <c r="A58" s="3" t="s">
        <v>328</v>
      </c>
      <c r="B58" s="1" t="str">
        <f>IFERROR(__xludf.DUMMYFUNCTION("IFERROR(
  VLOOKUP(
    A58,
    IMPORTRANGE(
      ""1ZygntHC1J6IxzKbTidmOyf5nUyW4GCLurHCjexrLm_o"",
      ""HTMLキャッシュ!A:F""
    ),
    2,
    FALSE
  ),
  0
)
"),"SP")</f>
        <v>SP</v>
      </c>
      <c r="C58" s="1" t="str">
        <f>IFERROR(__xludf.DUMMYFUNCTION("IFERROR(
  VLOOKUP(
    A58,
    IMPORTRANGE(
      ""1ZygntHC1J6IxzKbTidmOyf5nUyW4GCLurHCjexrLm_o"",
      ""HTMLキャッシュ!A:F""
    ),
    5,
    FALSE
  ),
  0
)
"),"中高一貫校中1英語完全個別指導講座｜基礎土台固めオンライン塾")</f>
        <v>中高一貫校中1英語完全個別指導講座｜基礎土台固めオンライン塾</v>
      </c>
      <c r="D58" s="1" t="str">
        <f>IFERROR(__xludf.DUMMYFUNCTION("IFERROR(
  VLOOKUP(
    A58,
    IMPORTRANGE(
      ""1ZygntHC1J6IxzKbTidmOyf5nUyW4GCLurHCjexrLm_o        "",
      ""HTMLキャッシュ!A:F""
    ),
    6,
    FALSE
  ),
  0
)
"),"中1英語が苦手な中高一貫生へ。文法・語彙・読解を1対1個別指導で定着し、定期試験・英検も対応。オンライン体験受付中")</f>
        <v>中1英語が苦手な中高一貫生へ。文法・語彙・読解を1対1個別指導で定着し、定期試験・英検も対応。オンライン体験受付中</v>
      </c>
      <c r="E58" s="32">
        <f>IFERROR(__xludf.DUMMYFUNCTION("IFERROR(
  VLOOKUP(
    A58,
    IMPORTRANGE(
      ""1ZygntHC1J6IxzKbTidmOyf5nUyW4GCLurHCjexrLm_o        "",
      ""HTMLキャッシュ!A:F""
    ),
    3,
    FALSE
  ),
  0
)
"),46081.677465277775)</f>
        <v>46081.67747</v>
      </c>
      <c r="F58" s="49">
        <f>IFERROR(__xludf.DUMMYFUNCTION("IFERROR(
  VLOOKUP(
    A58,
    IMPORTRANGE(
      ""1ZHMy3vVUd_0MrSduXTe1etBb1HNpAlGwQr006ljwMiM"",
      ""GSC最新!A:F""
    ),
    2,
    FALSE
  ),
  0
)
"),0.0)</f>
        <v>0</v>
      </c>
      <c r="G58" s="49">
        <f>IFERROR(__xludf.DUMMYFUNCTION("IFERROR(
  VLOOKUP(
    A58,
    IMPORTRANGE(
      ""1ZHMy3vVUd_0MrSduXTe1etBb1HNpAlGwQr006ljwMiM"",
      ""GSC最新!A:F""
    ),
    3,
    FALSE
  ),
  0
)
"),0.0)</f>
        <v>0</v>
      </c>
      <c r="H58" s="49">
        <f>IFERROR(__xludf.DUMMYFUNCTION("IFERROR(
  VLOOKUP(
    A58,
    IMPORTRANGE(
      ""1ZHMy3vVUd_0MrSduXTe1etBb1HNpAlGwQr006ljwMiM"",
      ""GSC最新!A:F""
    ),
    4,
    FALSE
  ),
  0
)
"),0.0)</f>
        <v>0</v>
      </c>
      <c r="I58" s="49">
        <f>IFERROR(__xludf.DUMMYFUNCTION("IFERROR(
  VLOOKUP(
    A58,
    IMPORTRANGE(
      ""1ZHMy3vVUd_0MrSduXTe1etBb1HNpAlGwQr006ljwMiM"",
      ""GSC最新!A:F""
    ),
    5,
    FALSE
  ),
  0
)
"),0.0)</f>
        <v>0</v>
      </c>
      <c r="J58" s="50" t="str">
        <f t="shared" ref="J58:K58" si="281">IFERROR(F58/H58,"-")</f>
        <v>-</v>
      </c>
      <c r="K58" s="50" t="str">
        <f t="shared" si="281"/>
        <v>-</v>
      </c>
      <c r="L58" s="6">
        <f>IFERROR(__xludf.DUMMYFUNCTION("IFERROR(
  VLOOKUP(
    A58,
    IMPORTRANGE(
      ""1ZHMy3vVUd_0MrSduXTe1etBb1HNpAlGwQr006ljwMiM"",
      ""GSC最新!A:R""
    ),
    7,
    FALSE
  ),
  0
)
"),22.0)</f>
        <v>22</v>
      </c>
      <c r="M58" s="6">
        <f>IFERROR(__xludf.DUMMYFUNCTION("IFERROR(
  VLOOKUP(
    A58,
    IMPORTRANGE(
      ""1ZHMy3vVUd_0MrSduXTe1etBb1HNpAlGwQr006ljwMiM"",
      ""GSC最新!A:R""
    ),
    10,
    FALSE
  ),
  0
)
"),43.0)</f>
        <v>43</v>
      </c>
      <c r="N58" s="6">
        <f>IFERROR(__xludf.DUMMYFUNCTION("IFERROR(
  VLOOKUP(
    A58,
    IMPORTRANGE(
      ""1ZHMy3vVUd_0MrSduXTe1etBb1HNpAlGwQr006ljwMiM"",
      ""GSC最新!A:R""
    ),
    13,
    FALSE
  ),
  0
)
"),141.0)</f>
        <v>141</v>
      </c>
      <c r="O58" s="6">
        <f>IFERROR(__xludf.DUMMYFUNCTION("IFERROR(
  VLOOKUP(
    A58,
    IMPORTRANGE(
      ""1ZHMy3vVUd_0MrSduXTe1etBb1HNpAlGwQr006ljwMiM"",
      ""GSC最新!A:R""
    ),
    16,
    FALSE
  ),
  0
)
"),201.0)</f>
        <v>201</v>
      </c>
      <c r="P58" s="51">
        <f t="shared" ref="P58:Q58" si="282">IFERROR(L58/N58,"-")</f>
        <v>0.1560283688</v>
      </c>
      <c r="Q58" s="51">
        <f t="shared" si="282"/>
        <v>0.2139303483</v>
      </c>
      <c r="R58" s="9">
        <f>IFERROR(__xludf.DUMMYFUNCTION("IFERROR(
  VLOOKUP(
    A58,
    IMPORTRANGE(
      ""1ZHMy3vVUd_0MrSduXTe1etBb1HNpAlGwQr006ljwMiM"",
      ""GSC最新!A:R""
    ),
    8,
    FALSE
  ),
  0
)
"),0.0)</f>
        <v>0</v>
      </c>
      <c r="S58" s="9">
        <f>IFERROR(__xludf.DUMMYFUNCTION("IFERROR(
  VLOOKUP(
    A58,
    IMPORTRANGE(
      ""1ZHMy3vVUd_0MrSduXTe1etBb1HNpAlGwQr006ljwMiM"",
      ""GSC最新!A:R""
    ),
    11,
    FALSE
  ),
  0
)
"),0.0)</f>
        <v>0</v>
      </c>
      <c r="T58" s="9">
        <f>IFERROR(__xludf.DUMMYFUNCTION("IFERROR(
  VLOOKUP(
    A58,
    IMPORTRANGE(
      ""1ZHMy3vVUd_0MrSduXTe1etBb1HNpAlGwQr006ljwMiM"",
      ""GSC最新!A:R""
    ),
    14,
    FALSE
  ),
  0
)
"),0.0)</f>
        <v>0</v>
      </c>
      <c r="U58" s="9">
        <f>IFERROR(__xludf.DUMMYFUNCTION("IFERROR(
  VLOOKUP(
    A58,
    IMPORTRANGE(
      ""1ZHMy3vVUd_0MrSduXTe1etBb1HNpAlGwQr006ljwMiM"",
      ""GSC最新!A:R""
    ),
    17,
    FALSE
  ),
  0
)
"),0.0)</f>
        <v>0</v>
      </c>
      <c r="V58" s="9">
        <f t="shared" ref="V58:W58" si="283">IFERROR(R58-T58,"-")</f>
        <v>0</v>
      </c>
      <c r="W58" s="9">
        <f t="shared" si="283"/>
        <v>0</v>
      </c>
      <c r="X58" s="65">
        <f>IFERROR(__xludf.DUMMYFUNCTION("IFERROR(
  VLOOKUP(
    A58,
    IMPORTRANGE(
      ""1ZHMy3vVUd_0MrSduXTe1etBb1HNpAlGwQr006ljwMiM"",
      ""GSC最新!A:R""
    ),
    9,
    FALSE
  ),
  0
)
"),4.636363636363637)</f>
        <v>4.636363636</v>
      </c>
      <c r="Y58" s="65">
        <f>IFERROR(__xludf.DUMMYFUNCTION("IFERROR(
  VLOOKUP(
    A58,
    IMPORTRANGE(
      ""1ZHMy3vVUd_0MrSduXTe1etBb1HNpAlGwQr006ljwMiM"",
      ""GSC最新!A:R""
    ),
    12,
    FALSE
  ),
  0
)
"),5.651162790697675)</f>
        <v>5.651162791</v>
      </c>
      <c r="Z58" s="65">
        <f>IFERROR(__xludf.DUMMYFUNCTION("IFERROR(
  VLOOKUP(
    A58,
    IMPORTRANGE(
      ""1ZHMy3vVUd_0MrSduXTe1etBb1HNpAlGwQr006ljwMiM"",
      ""GSC最新!A:R""
    ),
    15,
    FALSE
  ),
  0
)
"),87.32624113475177)</f>
        <v>87.32624113</v>
      </c>
      <c r="AA58" s="65">
        <f>IFERROR(__xludf.DUMMYFUNCTION("IFERROR(
  VLOOKUP(
    A58,
    IMPORTRANGE(
      ""1ZHMy3vVUd_0MrSduXTe1etBb1HNpAlGwQr006ljwMiM"",
      ""GSC最新!A:R""
    ),
    18,
    FALSE
  ),
  0
)
"),85.0)</f>
        <v>85</v>
      </c>
      <c r="AB58" s="65">
        <f t="shared" ref="AB58:AC58" si="284">X58-Z58</f>
        <v>-82.6898775</v>
      </c>
      <c r="AC58" s="65">
        <f t="shared" si="284"/>
        <v>-79.34883721</v>
      </c>
      <c r="AD58" s="53">
        <f>IFERROR(__xludf.DUMMYFUNCTION("IFERROR(
  VLOOKUP(
    A58,
    IMPORTRANGE(
      ""1ZHMy3vVUd_0MrSduXTe1etBb1HNpAlGwQr006ljwMiM"",
      ""GSC最新!A:F""
    ),
    6,
    FALSE
  ),
  0
)
"),46081.0)</f>
        <v>46081</v>
      </c>
      <c r="AE58" s="54">
        <f>IFERROR(__xludf.DUMMYFUNCTION("IFERROR(
  VLOOKUP(
    A58,
    IMPORTRANGE(
      ""1SCYQd7_cobOYqT0r_F0IqD4tE4rYn5y8Eup4PJTH8es"",
      ""Snapshot!A:M""
    ),
    5,
    FALSE
  ),
  ""-""
)
"),11.0)</f>
        <v>11</v>
      </c>
      <c r="AF58" s="54">
        <f>IFERROR(__xludf.DUMMYFUNCTION("IFERROR(
  VLOOKUP(
    A58,
    IMPORTRANGE(
      ""1SCYQd7_cobOYqT0r_F0IqD4tE4rYn5y8Eup4PJTH8es"",
      ""Snapshot!A:M""
    ),
    6,
    FALSE
  ),
  0
)
"),19.0)</f>
        <v>19</v>
      </c>
      <c r="AG58" s="54">
        <f>IFERROR(__xludf.DUMMYFUNCTION("IFERROR(
  VLOOKUP(
    A58,
    IMPORTRANGE(
      ""1SCYQd7_cobOYqT0r_F0IqD4tE4rYn5y8Eup4PJTH8es"",
      ""Snapshot!A:M""
    ),
    7,
    FALSE
  ),
  0
)
"),4529.0)</f>
        <v>4529</v>
      </c>
      <c r="AH58" s="54">
        <f>IFERROR(__xludf.DUMMYFUNCTION("IFERROR(
  VLOOKUP(
    A58,
    IMPORTRANGE(
      ""1SCYQd7_cobOYqT0r_F0IqD4tE4rYn5y8Eup4PJTH8es"",
      ""Snapshot!A:M""
    ),
    8,
    FALSE
  ),
  0
)
"),8.0)</f>
        <v>8</v>
      </c>
      <c r="AI58" s="54">
        <f>IFERROR(__xludf.DUMMYFUNCTION("IFERROR(
  VLOOKUP(
    A58,
    IMPORTRANGE(
      ""1SCYQd7_cobOYqT0r_F0IqD4tE4rYn5y8Eup4PJTH8es"",
      ""Snapshot!A:M""
    ),
    9,
    FALSE
  ),
  0
)
"),7.0)</f>
        <v>7</v>
      </c>
      <c r="AJ58" s="54">
        <f>IFERROR(__xludf.DUMMYFUNCTION("IFERROR(
  VLOOKUP(
    A58,
    IMPORTRANGE(
      ""1SCYQd7_cobOYqT0r_F0IqD4tE4rYn5y8Eup4PJTH8es"",
      ""Snapshot!A:M""
    ),
    13,
    FALSE
  ),
  0
)
"),2.0)</f>
        <v>2</v>
      </c>
      <c r="AK58" s="49">
        <f t="shared" ref="AK58:AL58" si="285">LEN(C58)</f>
        <v>30</v>
      </c>
      <c r="AL58" s="49">
        <f t="shared" si="285"/>
        <v>57</v>
      </c>
    </row>
    <row r="59">
      <c r="A59" s="3" t="s">
        <v>324</v>
      </c>
      <c r="B59" s="1" t="str">
        <f>IFERROR(__xludf.DUMMYFUNCTION("IFERROR(
  VLOOKUP(
    A59,
    IMPORTRANGE(
      ""1ZygntHC1J6IxzKbTidmOyf5nUyW4GCLurHCjexrLm_o"",
      ""HTMLキャッシュ!A:F""
    ),
    2,
    FALSE
  ),
  0
)
"),"SP")</f>
        <v>SP</v>
      </c>
      <c r="C59" s="1" t="str">
        <f>IFERROR(__xludf.DUMMYFUNCTION("IFERROR(
  VLOOKUP(
    A59,
    IMPORTRANGE(
      ""1ZygntHC1J6IxzKbTidmOyf5nUyW4GCLurHCjexrLm_o"",
      ""HTMLキャッシュ!A:F""
    ),
    5,
    FALSE
  ),
  0
)
"),"中3数学体系対策の個別指導講座｜定期・受験対応オンライン塾")</f>
        <v>中3数学体系対策の個別指導講座｜定期・受験対応オンライン塾</v>
      </c>
      <c r="D59" s="1" t="str">
        <f>IFERROR(__xludf.DUMMYFUNCTION("IFERROR(
  VLOOKUP(
    A59,
    IMPORTRANGE(
      ""1ZygntHC1J6IxzKbTidmOyf5nUyW4GCLurHCjexrLm_o        "",
      ""HTMLキャッシュ!A:F""
    ),
    6,
    FALSE
  ),
  0
)
"),"定期試験や高校内容に不安な中3生へ。個別指導で体系数学の土台から先取り・定着。オンライン体験受付中今すぐ相談可")</f>
        <v>定期試験や高校内容に不安な中3生へ。個別指導で体系数学の土台から先取り・定着。オンライン体験受付中今すぐ相談可</v>
      </c>
      <c r="E59" s="32">
        <f>IFERROR(__xludf.DUMMYFUNCTION("IFERROR(
  VLOOKUP(
    A59,
    IMPORTRANGE(
      ""1ZygntHC1J6IxzKbTidmOyf5nUyW4GCLurHCjexrLm_o        "",
      ""HTMLキャッシュ!A:F""
    ),
    3,
    FALSE
  ),
  0
)
"),46081.69369212963)</f>
        <v>46081.69369</v>
      </c>
      <c r="F59" s="49">
        <f>IFERROR(__xludf.DUMMYFUNCTION("IFERROR(
  VLOOKUP(
    A59,
    IMPORTRANGE(
      ""1ZHMy3vVUd_0MrSduXTe1etBb1HNpAlGwQr006ljwMiM"",
      ""GSC最新!A:F""
    ),
    2,
    FALSE
  ),
  0
)
"),0.0)</f>
        <v>0</v>
      </c>
      <c r="G59" s="49">
        <f>IFERROR(__xludf.DUMMYFUNCTION("IFERROR(
  VLOOKUP(
    A59,
    IMPORTRANGE(
      ""1ZHMy3vVUd_0MrSduXTe1etBb1HNpAlGwQr006ljwMiM"",
      ""GSC最新!A:F""
    ),
    3,
    FALSE
  ),
  0
)
"),0.0)</f>
        <v>0</v>
      </c>
      <c r="H59" s="49">
        <f>IFERROR(__xludf.DUMMYFUNCTION("IFERROR(
  VLOOKUP(
    A59,
    IMPORTRANGE(
      ""1ZHMy3vVUd_0MrSduXTe1etBb1HNpAlGwQr006ljwMiM"",
      ""GSC最新!A:F""
    ),
    4,
    FALSE
  ),
  0
)
"),0.0)</f>
        <v>0</v>
      </c>
      <c r="I59" s="49">
        <f>IFERROR(__xludf.DUMMYFUNCTION("IFERROR(
  VLOOKUP(
    A59,
    IMPORTRANGE(
      ""1ZHMy3vVUd_0MrSduXTe1etBb1HNpAlGwQr006ljwMiM"",
      ""GSC最新!A:F""
    ),
    5,
    FALSE
  ),
  0
)
"),0.0)</f>
        <v>0</v>
      </c>
      <c r="J59" s="50" t="str">
        <f t="shared" ref="J59:K59" si="286">IFERROR(F59/H59,"-")</f>
        <v>-</v>
      </c>
      <c r="K59" s="50" t="str">
        <f t="shared" si="286"/>
        <v>-</v>
      </c>
      <c r="L59" s="6">
        <f>IFERROR(__xludf.DUMMYFUNCTION("IFERROR(
  VLOOKUP(
    A59,
    IMPORTRANGE(
      ""1ZHMy3vVUd_0MrSduXTe1etBb1HNpAlGwQr006ljwMiM"",
      ""GSC最新!A:R""
    ),
    7,
    FALSE
  ),
  0
)
"),47.0)</f>
        <v>47</v>
      </c>
      <c r="M59" s="6">
        <f>IFERROR(__xludf.DUMMYFUNCTION("IFERROR(
  VLOOKUP(
    A59,
    IMPORTRANGE(
      ""1ZHMy3vVUd_0MrSduXTe1etBb1HNpAlGwQr006ljwMiM"",
      ""GSC最新!A:R""
    ),
    10,
    FALSE
  ),
  0
)
"),52.0)</f>
        <v>52</v>
      </c>
      <c r="N59" s="6">
        <f>IFERROR(__xludf.DUMMYFUNCTION("IFERROR(
  VLOOKUP(
    A59,
    IMPORTRANGE(
      ""1ZHMy3vVUd_0MrSduXTe1etBb1HNpAlGwQr006ljwMiM"",
      ""GSC最新!A:R""
    ),
    13,
    FALSE
  ),
  0
)
"),0.0)</f>
        <v>0</v>
      </c>
      <c r="O59" s="6">
        <f>IFERROR(__xludf.DUMMYFUNCTION("IFERROR(
  VLOOKUP(
    A59,
    IMPORTRANGE(
      ""1ZHMy3vVUd_0MrSduXTe1etBb1HNpAlGwQr006ljwMiM"",
      ""GSC最新!A:R""
    ),
    16,
    FALSE
  ),
  0
)
"),0.0)</f>
        <v>0</v>
      </c>
      <c r="P59" s="51" t="str">
        <f t="shared" ref="P59:Q59" si="287">IFERROR(L59/N59,"-")</f>
        <v>-</v>
      </c>
      <c r="Q59" s="51" t="str">
        <f t="shared" si="287"/>
        <v>-</v>
      </c>
      <c r="R59" s="9">
        <f>IFERROR(__xludf.DUMMYFUNCTION("IFERROR(
  VLOOKUP(
    A59,
    IMPORTRANGE(
      ""1ZHMy3vVUd_0MrSduXTe1etBb1HNpAlGwQr006ljwMiM"",
      ""GSC最新!A:R""
    ),
    8,
    FALSE
  ),
  0
)
"),0.0)</f>
        <v>0</v>
      </c>
      <c r="S59" s="9">
        <f>IFERROR(__xludf.DUMMYFUNCTION("IFERROR(
  VLOOKUP(
    A59,
    IMPORTRANGE(
      ""1ZHMy3vVUd_0MrSduXTe1etBb1HNpAlGwQr006ljwMiM"",
      ""GSC最新!A:R""
    ),
    11,
    FALSE
  ),
  0
)
"),0.0)</f>
        <v>0</v>
      </c>
      <c r="T59" s="9">
        <f>IFERROR(__xludf.DUMMYFUNCTION("IFERROR(
  VLOOKUP(
    A59,
    IMPORTRANGE(
      ""1ZHMy3vVUd_0MrSduXTe1etBb1HNpAlGwQr006ljwMiM"",
      ""GSC最新!A:R""
    ),
    14,
    FALSE
  ),
  0
)
"),0.0)</f>
        <v>0</v>
      </c>
      <c r="U59" s="9">
        <f>IFERROR(__xludf.DUMMYFUNCTION("IFERROR(
  VLOOKUP(
    A59,
    IMPORTRANGE(
      ""1ZHMy3vVUd_0MrSduXTe1etBb1HNpAlGwQr006ljwMiM"",
      ""GSC最新!A:R""
    ),
    17,
    FALSE
  ),
  0
)
"),0.0)</f>
        <v>0</v>
      </c>
      <c r="V59" s="9">
        <f t="shared" ref="V59:W59" si="288">IFERROR(R59-T59,"-")</f>
        <v>0</v>
      </c>
      <c r="W59" s="9">
        <f t="shared" si="288"/>
        <v>0</v>
      </c>
      <c r="X59" s="65">
        <f>IFERROR(__xludf.DUMMYFUNCTION("IFERROR(
  VLOOKUP(
    A59,
    IMPORTRANGE(
      ""1ZHMy3vVUd_0MrSduXTe1etBb1HNpAlGwQr006ljwMiM"",
      ""GSC最新!A:R""
    ),
    9,
    FALSE
  ),
  0
)
"),2.404255319148936)</f>
        <v>2.404255319</v>
      </c>
      <c r="Y59" s="65">
        <f>IFERROR(__xludf.DUMMYFUNCTION("IFERROR(
  VLOOKUP(
    A59,
    IMPORTRANGE(
      ""1ZHMy3vVUd_0MrSduXTe1etBb1HNpAlGwQr006ljwMiM"",
      ""GSC最新!A:R""
    ),
    12,
    FALSE
  ),
  0
)
"),2.9615384615384617)</f>
        <v>2.961538462</v>
      </c>
      <c r="Z59" s="65" t="str">
        <f>IFERROR(__xludf.DUMMYFUNCTION("IFERROR(
  VLOOKUP(
    A59,
    IMPORTRANGE(
      ""1ZHMy3vVUd_0MrSduXTe1etBb1HNpAlGwQr006ljwMiM"",
      ""GSC最新!A:R""
    ),
    15,
    FALSE
  ),
  0
)
"),"")</f>
        <v/>
      </c>
      <c r="AA59" s="65" t="str">
        <f>IFERROR(__xludf.DUMMYFUNCTION("IFERROR(
  VLOOKUP(
    A59,
    IMPORTRANGE(
      ""1ZHMy3vVUd_0MrSduXTe1etBb1HNpAlGwQr006ljwMiM"",
      ""GSC最新!A:R""
    ),
    18,
    FALSE
  ),
  0
)
"),"")</f>
        <v/>
      </c>
      <c r="AB59" s="65">
        <f t="shared" ref="AB59:AC59" si="289">X59-Z59</f>
        <v>2.404255319</v>
      </c>
      <c r="AC59" s="65">
        <f t="shared" si="289"/>
        <v>2.961538462</v>
      </c>
      <c r="AD59" s="53">
        <f>IFERROR(__xludf.DUMMYFUNCTION("IFERROR(
  VLOOKUP(
    A59,
    IMPORTRANGE(
      ""1ZHMy3vVUd_0MrSduXTe1etBb1HNpAlGwQr006ljwMiM"",
      ""GSC最新!A:F""
    ),
    6,
    FALSE
  ),
  0
)
"),46081.0)</f>
        <v>46081</v>
      </c>
      <c r="AE59" s="54">
        <f>IFERROR(__xludf.DUMMYFUNCTION("IFERROR(
  VLOOKUP(
    A59,
    IMPORTRANGE(
      ""1SCYQd7_cobOYqT0r_F0IqD4tE4rYn5y8Eup4PJTH8es"",
      ""Snapshot!A:M""
    ),
    5,
    FALSE
  ),
  ""-""
)
"),13.0)</f>
        <v>13</v>
      </c>
      <c r="AF59" s="54">
        <f>IFERROR(__xludf.DUMMYFUNCTION("IFERROR(
  VLOOKUP(
    A59,
    IMPORTRANGE(
      ""1SCYQd7_cobOYqT0r_F0IqD4tE4rYn5y8Eup4PJTH8es"",
      ""Snapshot!A:M""
    ),
    6,
    FALSE
  ),
  0
)
"),8.0)</f>
        <v>8</v>
      </c>
      <c r="AG59" s="54">
        <f>IFERROR(__xludf.DUMMYFUNCTION("IFERROR(
  VLOOKUP(
    A59,
    IMPORTRANGE(
      ""1SCYQd7_cobOYqT0r_F0IqD4tE4rYn5y8Eup4PJTH8es"",
      ""Snapshot!A:M""
    ),
    7,
    FALSE
  ),
  0
)
"),5249.0)</f>
        <v>5249</v>
      </c>
      <c r="AH59" s="54">
        <f>IFERROR(__xludf.DUMMYFUNCTION("IFERROR(
  VLOOKUP(
    A59,
    IMPORTRANGE(
      ""1SCYQd7_cobOYqT0r_F0IqD4tE4rYn5y8Eup4PJTH8es"",
      ""Snapshot!A:M""
    ),
    8,
    FALSE
  ),
  0
)
"),4.0)</f>
        <v>4</v>
      </c>
      <c r="AI59" s="54">
        <f>IFERROR(__xludf.DUMMYFUNCTION("IFERROR(
  VLOOKUP(
    A59,
    IMPORTRANGE(
      ""1SCYQd7_cobOYqT0r_F0IqD4tE4rYn5y8Eup4PJTH8es"",
      ""Snapshot!A:M""
    ),
    9,
    FALSE
  ),
  0
)
"),4.0)</f>
        <v>4</v>
      </c>
      <c r="AJ59" s="54">
        <f>IFERROR(__xludf.DUMMYFUNCTION("IFERROR(
  VLOOKUP(
    A59,
    IMPORTRANGE(
      ""1SCYQd7_cobOYqT0r_F0IqD4tE4rYn5y8Eup4PJTH8es"",
      ""Snapshot!A:M""
    ),
    13,
    FALSE
  ),
  0
)
"),2.0)</f>
        <v>2</v>
      </c>
      <c r="AK59" s="49">
        <f t="shared" ref="AK59:AL59" si="290">LEN(C59)</f>
        <v>29</v>
      </c>
      <c r="AL59" s="49">
        <f t="shared" si="290"/>
        <v>55</v>
      </c>
    </row>
    <row r="60">
      <c r="A60" s="3" t="s">
        <v>329</v>
      </c>
      <c r="B60" s="1" t="str">
        <f>IFERROR(__xludf.DUMMYFUNCTION("IFERROR(
  VLOOKUP(
    A60,
    IMPORTRANGE(
      ""1ZygntHC1J6IxzKbTidmOyf5nUyW4GCLurHCjexrLm_o"",
      ""HTMLキャッシュ!A:F""
    ),
    2,
    FALSE
  ),
  0
)
"),"SP")</f>
        <v>SP</v>
      </c>
      <c r="C60" s="1" t="str">
        <f>IFERROR(__xludf.DUMMYFUNCTION("IFERROR(
  VLOOKUP(
    A60,
    IMPORTRANGE(
      ""1ZygntHC1J6IxzKbTidmOyf5nUyW4GCLurHCjexrLm_o"",
      ""HTMLキャッシュ!A:F""
    ),
    5,
    FALSE
  ),
  0
)
"),"中高一貫校数学を伸ばす個別指導講座｜基礎応用対応オンライン塾")</f>
        <v>中高一貫校数学を伸ばす個別指導講座｜基礎応用対応オンライン塾</v>
      </c>
      <c r="D60" s="1" t="str">
        <f>IFERROR(__xludf.DUMMYFUNCTION("IFERROR(
  VLOOKUP(
    A60,
    IMPORTRANGE(
      ""1ZygntHC1J6IxzKbTidmOyf5nUyW4GCLurHCjexrLm_o        "",
      ""HTMLキャッシュ!A:F""
    ),
    6,
    FALSE
  ),
  0
)
"),"数学でつまずく中高一貫生へ。1対1の個別指導で基礎から応用まで定着し得点力アップ。定期試験・受験対応、オンライン体験受付中")</f>
        <v>数学でつまずく中高一貫生へ。1対1の個別指導で基礎から応用まで定着し得点力アップ。定期試験・受験対応、オンライン体験受付中</v>
      </c>
      <c r="E60" s="32">
        <f>IFERROR(__xludf.DUMMYFUNCTION("IFERROR(
  VLOOKUP(
    A60,
    IMPORTRANGE(
      ""1ZygntHC1J6IxzKbTidmOyf5nUyW4GCLurHCjexrLm_o        "",
      ""HTMLキャッシュ!A:F""
    ),
    3,
    FALSE
  ),
  0
)
"),46084.603101851855)</f>
        <v>46084.6031</v>
      </c>
      <c r="F60" s="49">
        <f>IFERROR(__xludf.DUMMYFUNCTION("IFERROR(
  VLOOKUP(
    A60,
    IMPORTRANGE(
      ""1ZHMy3vVUd_0MrSduXTe1etBb1HNpAlGwQr006ljwMiM"",
      ""GSC最新!A:F""
    ),
    2,
    FALSE
  ),
  0
)
"),0.0)</f>
        <v>0</v>
      </c>
      <c r="G60" s="49">
        <f>IFERROR(__xludf.DUMMYFUNCTION("IFERROR(
  VLOOKUP(
    A60,
    IMPORTRANGE(
      ""1ZHMy3vVUd_0MrSduXTe1etBb1HNpAlGwQr006ljwMiM"",
      ""GSC最新!A:F""
    ),
    3,
    FALSE
  ),
  0
)
"),0.0)</f>
        <v>0</v>
      </c>
      <c r="H60" s="49">
        <f>IFERROR(__xludf.DUMMYFUNCTION("IFERROR(
  VLOOKUP(
    A60,
    IMPORTRANGE(
      ""1ZHMy3vVUd_0MrSduXTe1etBb1HNpAlGwQr006ljwMiM"",
      ""GSC最新!A:F""
    ),
    4,
    FALSE
  ),
  0
)
"),0.0)</f>
        <v>0</v>
      </c>
      <c r="I60" s="49">
        <f>IFERROR(__xludf.DUMMYFUNCTION("IFERROR(
  VLOOKUP(
    A60,
    IMPORTRANGE(
      ""1ZHMy3vVUd_0MrSduXTe1etBb1HNpAlGwQr006ljwMiM"",
      ""GSC最新!A:F""
    ),
    5,
    FALSE
  ),
  0
)
"),0.0)</f>
        <v>0</v>
      </c>
      <c r="J60" s="50" t="str">
        <f t="shared" ref="J60:K60" si="291">IFERROR(F60/H60,"-")</f>
        <v>-</v>
      </c>
      <c r="K60" s="50" t="str">
        <f t="shared" si="291"/>
        <v>-</v>
      </c>
      <c r="L60" s="6">
        <f>IFERROR(__xludf.DUMMYFUNCTION("IFERROR(
  VLOOKUP(
    A60,
    IMPORTRANGE(
      ""1ZHMy3vVUd_0MrSduXTe1etBb1HNpAlGwQr006ljwMiM"",
      ""GSC最新!A:R""
    ),
    7,
    FALSE
  ),
  0
)
"),16.0)</f>
        <v>16</v>
      </c>
      <c r="M60" s="6">
        <f>IFERROR(__xludf.DUMMYFUNCTION("IFERROR(
  VLOOKUP(
    A60,
    IMPORTRANGE(
      ""1ZHMy3vVUd_0MrSduXTe1etBb1HNpAlGwQr006ljwMiM"",
      ""GSC最新!A:R""
    ),
    10,
    FALSE
  ),
  0
)
"),41.0)</f>
        <v>41</v>
      </c>
      <c r="N60" s="6">
        <f>IFERROR(__xludf.DUMMYFUNCTION("IFERROR(
  VLOOKUP(
    A60,
    IMPORTRANGE(
      ""1ZHMy3vVUd_0MrSduXTe1etBb1HNpAlGwQr006ljwMiM"",
      ""GSC最新!A:R""
    ),
    13,
    FALSE
  ),
  0
)
"),175.0)</f>
        <v>175</v>
      </c>
      <c r="O60" s="6">
        <f>IFERROR(__xludf.DUMMYFUNCTION("IFERROR(
  VLOOKUP(
    A60,
    IMPORTRANGE(
      ""1ZHMy3vVUd_0MrSduXTe1etBb1HNpAlGwQr006ljwMiM"",
      ""GSC最新!A:R""
    ),
    16,
    FALSE
  ),
  0
)
"),360.0)</f>
        <v>360</v>
      </c>
      <c r="P60" s="51">
        <f t="shared" ref="P60:Q60" si="292">IFERROR(L60/N60,"-")</f>
        <v>0.09142857143</v>
      </c>
      <c r="Q60" s="51">
        <f t="shared" si="292"/>
        <v>0.1138888889</v>
      </c>
      <c r="R60" s="9">
        <f>IFERROR(__xludf.DUMMYFUNCTION("IFERROR(
  VLOOKUP(
    A60,
    IMPORTRANGE(
      ""1ZHMy3vVUd_0MrSduXTe1etBb1HNpAlGwQr006ljwMiM"",
      ""GSC最新!A:R""
    ),
    8,
    FALSE
  ),
  0
)
"),0.0)</f>
        <v>0</v>
      </c>
      <c r="S60" s="9">
        <f>IFERROR(__xludf.DUMMYFUNCTION("IFERROR(
  VLOOKUP(
    A60,
    IMPORTRANGE(
      ""1ZHMy3vVUd_0MrSduXTe1etBb1HNpAlGwQr006ljwMiM"",
      ""GSC最新!A:R""
    ),
    11,
    FALSE
  ),
  0
)
"),0.0)</f>
        <v>0</v>
      </c>
      <c r="T60" s="9">
        <f>IFERROR(__xludf.DUMMYFUNCTION("IFERROR(
  VLOOKUP(
    A60,
    IMPORTRANGE(
      ""1ZHMy3vVUd_0MrSduXTe1etBb1HNpAlGwQr006ljwMiM"",
      ""GSC最新!A:R""
    ),
    14,
    FALSE
  ),
  0
)
"),0.0)</f>
        <v>0</v>
      </c>
      <c r="U60" s="9">
        <f>IFERROR(__xludf.DUMMYFUNCTION("IFERROR(
  VLOOKUP(
    A60,
    IMPORTRANGE(
      ""1ZHMy3vVUd_0MrSduXTe1etBb1HNpAlGwQr006ljwMiM"",
      ""GSC最新!A:R""
    ),
    17,
    FALSE
  ),
  0
)
"),0.0)</f>
        <v>0</v>
      </c>
      <c r="V60" s="9">
        <f t="shared" ref="V60:W60" si="293">IFERROR(R60-T60,"-")</f>
        <v>0</v>
      </c>
      <c r="W60" s="9">
        <f t="shared" si="293"/>
        <v>0</v>
      </c>
      <c r="X60" s="65">
        <f>IFERROR(__xludf.DUMMYFUNCTION("IFERROR(
  VLOOKUP(
    A60,
    IMPORTRANGE(
      ""1ZHMy3vVUd_0MrSduXTe1etBb1HNpAlGwQr006ljwMiM"",
      ""GSC最新!A:R""
    ),
    9,
    FALSE
  ),
  0
)
"),3.1875)</f>
        <v>3.1875</v>
      </c>
      <c r="Y60" s="65">
        <f>IFERROR(__xludf.DUMMYFUNCTION("IFERROR(
  VLOOKUP(
    A60,
    IMPORTRANGE(
      ""1ZHMy3vVUd_0MrSduXTe1etBb1HNpAlGwQr006ljwMiM"",
      ""GSC最新!A:R""
    ),
    12,
    FALSE
  ),
  0
)
"),4.048780487804878)</f>
        <v>4.048780488</v>
      </c>
      <c r="Z60" s="65">
        <f>IFERROR(__xludf.DUMMYFUNCTION("IFERROR(
  VLOOKUP(
    A60,
    IMPORTRANGE(
      ""1ZHMy3vVUd_0MrSduXTe1etBb1HNpAlGwQr006ljwMiM"",
      ""GSC最新!A:R""
    ),
    15,
    FALSE
  ),
  0
)
"),45.285714285714285)</f>
        <v>45.28571429</v>
      </c>
      <c r="AA60" s="65">
        <f>IFERROR(__xludf.DUMMYFUNCTION("IFERROR(
  VLOOKUP(
    A60,
    IMPORTRANGE(
      ""1ZHMy3vVUd_0MrSduXTe1etBb1HNpAlGwQr006ljwMiM"",
      ""GSC最新!A:R""
    ),
    18,
    FALSE
  ),
  0
)
"),46.875)</f>
        <v>46.875</v>
      </c>
      <c r="AB60" s="65">
        <f t="shared" ref="AB60:AC60" si="294">X60-Z60</f>
        <v>-42.09821429</v>
      </c>
      <c r="AC60" s="65">
        <f t="shared" si="294"/>
        <v>-42.82621951</v>
      </c>
      <c r="AD60" s="53">
        <f>IFERROR(__xludf.DUMMYFUNCTION("IFERROR(
  VLOOKUP(
    A60,
    IMPORTRANGE(
      ""1ZHMy3vVUd_0MrSduXTe1etBb1HNpAlGwQr006ljwMiM"",
      ""GSC最新!A:F""
    ),
    6,
    FALSE
  ),
  0
)
"),46081.0)</f>
        <v>46081</v>
      </c>
      <c r="AE60" s="54">
        <f>IFERROR(__xludf.DUMMYFUNCTION("IFERROR(
  VLOOKUP(
    A60,
    IMPORTRANGE(
      ""1SCYQd7_cobOYqT0r_F0IqD4tE4rYn5y8Eup4PJTH8es"",
      ""Snapshot!A:M""
    ),
    5,
    FALSE
  ),
  ""-""
)
"),7.0)</f>
        <v>7</v>
      </c>
      <c r="AF60" s="54">
        <f>IFERROR(__xludf.DUMMYFUNCTION("IFERROR(
  VLOOKUP(
    A60,
    IMPORTRANGE(
      ""1SCYQd7_cobOYqT0r_F0IqD4tE4rYn5y8Eup4PJTH8es"",
      ""Snapshot!A:M""
    ),
    6,
    FALSE
  ),
  0
)
"),8.0)</f>
        <v>8</v>
      </c>
      <c r="AG60" s="54">
        <f>IFERROR(__xludf.DUMMYFUNCTION("IFERROR(
  VLOOKUP(
    A60,
    IMPORTRANGE(
      ""1SCYQd7_cobOYqT0r_F0IqD4tE4rYn5y8Eup4PJTH8es"",
      ""Snapshot!A:M""
    ),
    7,
    FALSE
  ),
  0
)
"),2874.0)</f>
        <v>2874</v>
      </c>
      <c r="AH60" s="54">
        <f>IFERROR(__xludf.DUMMYFUNCTION("IFERROR(
  VLOOKUP(
    A60,
    IMPORTRANGE(
      ""1SCYQd7_cobOYqT0r_F0IqD4tE4rYn5y8Eup4PJTH8es"",
      ""Snapshot!A:M""
    ),
    8,
    FALSE
  ),
  0
)
"),0.0)</f>
        <v>0</v>
      </c>
      <c r="AI60" s="54">
        <f>IFERROR(__xludf.DUMMYFUNCTION("IFERROR(
  VLOOKUP(
    A60,
    IMPORTRANGE(
      ""1SCYQd7_cobOYqT0r_F0IqD4tE4rYn5y8Eup4PJTH8es"",
      ""Snapshot!A:M""
    ),
    9,
    FALSE
  ),
  0
)
"),4.0)</f>
        <v>4</v>
      </c>
      <c r="AJ60" s="54">
        <f>IFERROR(__xludf.DUMMYFUNCTION("IFERROR(
  VLOOKUP(
    A60,
    IMPORTRANGE(
      ""1SCYQd7_cobOYqT0r_F0IqD4tE4rYn5y8Eup4PJTH8es"",
      ""Snapshot!A:M""
    ),
    13,
    FALSE
  ),
  0
)
"),1.0)</f>
        <v>1</v>
      </c>
      <c r="AK60" s="49">
        <f t="shared" ref="AK60:AL60" si="295">LEN(C60)</f>
        <v>30</v>
      </c>
      <c r="AL60" s="49">
        <f t="shared" si="295"/>
        <v>61</v>
      </c>
    </row>
    <row r="61">
      <c r="A61" s="3" t="s">
        <v>330</v>
      </c>
      <c r="B61" s="1" t="str">
        <f>IFERROR(__xludf.DUMMYFUNCTION("IFERROR(
  VLOOKUP(
    A61,
    IMPORTRANGE(
      ""1ZygntHC1J6IxzKbTidmOyf5nUyW4GCLurHCjexrLm_o"",
      ""HTMLキャッシュ!A:F""
    ),
    2,
    FALSE
  ),
  0
)
"),"SP")</f>
        <v>SP</v>
      </c>
      <c r="C61" s="1" t="str">
        <f>IFERROR(__xludf.DUMMYFUNCTION("IFERROR(
  VLOOKUP(
    A61,
    IMPORTRANGE(
      ""1ZygntHC1J6IxzKbTidmOyf5nUyW4GCLurHCjexrLm_o"",
      ""HTMLキャッシュ!A:F""
    ),
    5,
    FALSE
  ),
  0
)
"),"学校教材対応の数学個別指導講座｜定期試験対応オンライン塾")</f>
        <v>学校教材対応の数学個別指導講座｜定期試験対応オンライン塾</v>
      </c>
      <c r="D61" s="1" t="str">
        <f>IFERROR(__xludf.DUMMYFUNCTION("IFERROR(
  VLOOKUP(
    A61,
    IMPORTRANGE(
      ""1ZygntHC1J6IxzKbTidmOyf5nUyW4GCLurHCjexrLm_o        "",
      ""HTMLキャッシュ!A:F""
    ),
    6,
    FALSE
  ),
  0
)
"),"数学で学校進度に追いつけない中高生へ。1対1個別指導で先取り・定着・定期試験対策を完全サポート。オンライン体験受付中")</f>
        <v>数学で学校進度に追いつけない中高生へ。1対1個別指導で先取り・定着・定期試験対策を完全サポート。オンライン体験受付中</v>
      </c>
      <c r="E61" s="32">
        <f>IFERROR(__xludf.DUMMYFUNCTION("IFERROR(
  VLOOKUP(
    A61,
    IMPORTRANGE(
      ""1ZygntHC1J6IxzKbTidmOyf5nUyW4GCLurHCjexrLm_o        "",
      ""HTMLキャッシュ!A:F""
    ),
    3,
    FALSE
  ),
  0
)
"),46081.69541666667)</f>
        <v>46081.69542</v>
      </c>
      <c r="F61" s="49">
        <f>IFERROR(__xludf.DUMMYFUNCTION("IFERROR(
  VLOOKUP(
    A61,
    IMPORTRANGE(
      ""1ZHMy3vVUd_0MrSduXTe1etBb1HNpAlGwQr006ljwMiM"",
      ""GSC最新!A:F""
    ),
    2,
    FALSE
  ),
  0
)
"),0.0)</f>
        <v>0</v>
      </c>
      <c r="G61" s="49">
        <f>IFERROR(__xludf.DUMMYFUNCTION("IFERROR(
  VLOOKUP(
    A61,
    IMPORTRANGE(
      ""1ZHMy3vVUd_0MrSduXTe1etBb1HNpAlGwQr006ljwMiM"",
      ""GSC最新!A:F""
    ),
    3,
    FALSE
  ),
  0
)
"),0.0)</f>
        <v>0</v>
      </c>
      <c r="H61" s="49">
        <f>IFERROR(__xludf.DUMMYFUNCTION("IFERROR(
  VLOOKUP(
    A61,
    IMPORTRANGE(
      ""1ZHMy3vVUd_0MrSduXTe1etBb1HNpAlGwQr006ljwMiM"",
      ""GSC最新!A:F""
    ),
    4,
    FALSE
  ),
  0
)
"),0.0)</f>
        <v>0</v>
      </c>
      <c r="I61" s="49">
        <f>IFERROR(__xludf.DUMMYFUNCTION("IFERROR(
  VLOOKUP(
    A61,
    IMPORTRANGE(
      ""1ZHMy3vVUd_0MrSduXTe1etBb1HNpAlGwQr006ljwMiM"",
      ""GSC最新!A:F""
    ),
    5,
    FALSE
  ),
  0
)
"),1.0)</f>
        <v>1</v>
      </c>
      <c r="J61" s="50" t="str">
        <f t="shared" ref="J61:K61" si="296">IFERROR(F61/H61,"-")</f>
        <v>-</v>
      </c>
      <c r="K61" s="50">
        <f t="shared" si="296"/>
        <v>0</v>
      </c>
      <c r="L61" s="6">
        <f>IFERROR(__xludf.DUMMYFUNCTION("IFERROR(
  VLOOKUP(
    A61,
    IMPORTRANGE(
      ""1ZHMy3vVUd_0MrSduXTe1etBb1HNpAlGwQr006ljwMiM"",
      ""GSC最新!A:R""
    ),
    7,
    FALSE
  ),
  0
)
"),15.0)</f>
        <v>15</v>
      </c>
      <c r="M61" s="6">
        <f>IFERROR(__xludf.DUMMYFUNCTION("IFERROR(
  VLOOKUP(
    A61,
    IMPORTRANGE(
      ""1ZHMy3vVUd_0MrSduXTe1etBb1HNpAlGwQr006ljwMiM"",
      ""GSC最新!A:R""
    ),
    10,
    FALSE
  ),
  0
)
"),39.0)</f>
        <v>39</v>
      </c>
      <c r="N61" s="6">
        <f>IFERROR(__xludf.DUMMYFUNCTION("IFERROR(
  VLOOKUP(
    A61,
    IMPORTRANGE(
      ""1ZHMy3vVUd_0MrSduXTe1etBb1HNpAlGwQr006ljwMiM"",
      ""GSC最新!A:R""
    ),
    13,
    FALSE
  ),
  0
)
"),5.0)</f>
        <v>5</v>
      </c>
      <c r="O61" s="6">
        <f>IFERROR(__xludf.DUMMYFUNCTION("IFERROR(
  VLOOKUP(
    A61,
    IMPORTRANGE(
      ""1ZHMy3vVUd_0MrSduXTe1etBb1HNpAlGwQr006ljwMiM"",
      ""GSC最新!A:R""
    ),
    16,
    FALSE
  ),
  0
)
"),14.0)</f>
        <v>14</v>
      </c>
      <c r="P61" s="51">
        <f t="shared" ref="P61:Q61" si="297">IFERROR(L61/N61,"-")</f>
        <v>3</v>
      </c>
      <c r="Q61" s="51">
        <f t="shared" si="297"/>
        <v>2.785714286</v>
      </c>
      <c r="R61" s="9">
        <f>IFERROR(__xludf.DUMMYFUNCTION("IFERROR(
  VLOOKUP(
    A61,
    IMPORTRANGE(
      ""1ZHMy3vVUd_0MrSduXTe1etBb1HNpAlGwQr006ljwMiM"",
      ""GSC最新!A:R""
    ),
    8,
    FALSE
  ),
  0
)
"),0.0)</f>
        <v>0</v>
      </c>
      <c r="S61" s="9">
        <f>IFERROR(__xludf.DUMMYFUNCTION("IFERROR(
  VLOOKUP(
    A61,
    IMPORTRANGE(
      ""1ZHMy3vVUd_0MrSduXTe1etBb1HNpAlGwQr006ljwMiM"",
      ""GSC最新!A:R""
    ),
    11,
    FALSE
  ),
  0
)
"),0.0)</f>
        <v>0</v>
      </c>
      <c r="T61" s="9">
        <f>IFERROR(__xludf.DUMMYFUNCTION("IFERROR(
  VLOOKUP(
    A61,
    IMPORTRANGE(
      ""1ZHMy3vVUd_0MrSduXTe1etBb1HNpAlGwQr006ljwMiM"",
      ""GSC最新!A:R""
    ),
    14,
    FALSE
  ),
  0
)
"),0.0)</f>
        <v>0</v>
      </c>
      <c r="U61" s="9">
        <f>IFERROR(__xludf.DUMMYFUNCTION("IFERROR(
  VLOOKUP(
    A61,
    IMPORTRANGE(
      ""1ZHMy3vVUd_0MrSduXTe1etBb1HNpAlGwQr006ljwMiM"",
      ""GSC最新!A:R""
    ),
    17,
    FALSE
  ),
  0
)
"),0.07142857142857142)</f>
        <v>0.07142857143</v>
      </c>
      <c r="V61" s="9">
        <f t="shared" ref="V61:W61" si="298">IFERROR(R61-T61,"-")</f>
        <v>0</v>
      </c>
      <c r="W61" s="9">
        <f t="shared" si="298"/>
        <v>-0.07142857143</v>
      </c>
      <c r="X61" s="65">
        <f>IFERROR(__xludf.DUMMYFUNCTION("IFERROR(
  VLOOKUP(
    A61,
    IMPORTRANGE(
      ""1ZHMy3vVUd_0MrSduXTe1etBb1HNpAlGwQr006ljwMiM"",
      ""GSC最新!A:R""
    ),
    9,
    FALSE
  ),
  0
)
"),4.066666666666666)</f>
        <v>4.066666667</v>
      </c>
      <c r="Y61" s="65">
        <f>IFERROR(__xludf.DUMMYFUNCTION("IFERROR(
  VLOOKUP(
    A61,
    IMPORTRANGE(
      ""1ZHMy3vVUd_0MrSduXTe1etBb1HNpAlGwQr006ljwMiM"",
      ""GSC最新!A:R""
    ),
    12,
    FALSE
  ),
  0
)
"),5.461538461538462)</f>
        <v>5.461538462</v>
      </c>
      <c r="Z61" s="65">
        <f>IFERROR(__xludf.DUMMYFUNCTION("IFERROR(
  VLOOKUP(
    A61,
    IMPORTRANGE(
      ""1ZHMy3vVUd_0MrSduXTe1etBb1HNpAlGwQr006ljwMiM"",
      ""GSC最新!A:R""
    ),
    15,
    FALSE
  ),
  0
)
"),20.6)</f>
        <v>20.6</v>
      </c>
      <c r="AA61" s="65">
        <f>IFERROR(__xludf.DUMMYFUNCTION("IFERROR(
  VLOOKUP(
    A61,
    IMPORTRANGE(
      ""1ZHMy3vVUd_0MrSduXTe1etBb1HNpAlGwQr006ljwMiM"",
      ""GSC最新!A:R""
    ),
    18,
    FALSE
  ),
  0
)
"),21.857142857142858)</f>
        <v>21.85714286</v>
      </c>
      <c r="AB61" s="65">
        <f t="shared" ref="AB61:AC61" si="299">X61-Z61</f>
        <v>-16.53333333</v>
      </c>
      <c r="AC61" s="65">
        <f t="shared" si="299"/>
        <v>-16.3956044</v>
      </c>
      <c r="AD61" s="53">
        <f>IFERROR(__xludf.DUMMYFUNCTION("IFERROR(
  VLOOKUP(
    A61,
    IMPORTRANGE(
      ""1ZHMy3vVUd_0MrSduXTe1etBb1HNpAlGwQr006ljwMiM"",
      ""GSC最新!A:F""
    ),
    6,
    FALSE
  ),
  0
)
"),46081.0)</f>
        <v>46081</v>
      </c>
      <c r="AE61" s="54">
        <f>IFERROR(__xludf.DUMMYFUNCTION("IFERROR(
  VLOOKUP(
    A61,
    IMPORTRANGE(
      ""1SCYQd7_cobOYqT0r_F0IqD4tE4rYn5y8Eup4PJTH8es"",
      ""Snapshot!A:M""
    ),
    5,
    FALSE
  ),
  ""-""
)
"),8.0)</f>
        <v>8</v>
      </c>
      <c r="AF61" s="54">
        <f>IFERROR(__xludf.DUMMYFUNCTION("IFERROR(
  VLOOKUP(
    A61,
    IMPORTRANGE(
      ""1SCYQd7_cobOYqT0r_F0IqD4tE4rYn5y8Eup4PJTH8es"",
      ""Snapshot!A:M""
    ),
    6,
    FALSE
  ),
  0
)
"),12.0)</f>
        <v>12</v>
      </c>
      <c r="AG61" s="54">
        <f>IFERROR(__xludf.DUMMYFUNCTION("IFERROR(
  VLOOKUP(
    A61,
    IMPORTRANGE(
      ""1SCYQd7_cobOYqT0r_F0IqD4tE4rYn5y8Eup4PJTH8es"",
      ""Snapshot!A:M""
    ),
    7,
    FALSE
  ),
  0
)
"),2237.0)</f>
        <v>2237</v>
      </c>
      <c r="AH61" s="54">
        <f>IFERROR(__xludf.DUMMYFUNCTION("IFERROR(
  VLOOKUP(
    A61,
    IMPORTRANGE(
      ""1SCYQd7_cobOYqT0r_F0IqD4tE4rYn5y8Eup4PJTH8es"",
      ""Snapshot!A:M""
    ),
    8,
    FALSE
  ),
  0
)
"),5.0)</f>
        <v>5</v>
      </c>
      <c r="AI61" s="54">
        <f>IFERROR(__xludf.DUMMYFUNCTION("IFERROR(
  VLOOKUP(
    A61,
    IMPORTRANGE(
      ""1SCYQd7_cobOYqT0r_F0IqD4tE4rYn5y8Eup4PJTH8es"",
      ""Snapshot!A:M""
    ),
    9,
    FALSE
  ),
  0
)
"),2.0)</f>
        <v>2</v>
      </c>
      <c r="AJ61" s="54">
        <f>IFERROR(__xludf.DUMMYFUNCTION("IFERROR(
  VLOOKUP(
    A61,
    IMPORTRANGE(
      ""1SCYQd7_cobOYqT0r_F0IqD4tE4rYn5y8Eup4PJTH8es"",
      ""Snapshot!A:M""
    ),
    13,
    FALSE
  ),
  0
)
"),2.0)</f>
        <v>2</v>
      </c>
      <c r="AK61" s="49">
        <f t="shared" ref="AK61:AL61" si="300">LEN(C61)</f>
        <v>28</v>
      </c>
      <c r="AL61" s="49">
        <f t="shared" si="300"/>
        <v>58</v>
      </c>
    </row>
    <row r="62">
      <c r="A62" s="3" t="s">
        <v>756</v>
      </c>
      <c r="B62" s="1" t="str">
        <f>IFERROR(__xludf.DUMMYFUNCTION("IFERROR(
  VLOOKUP(
    A62,
    IMPORTRANGE(
      ""1ZygntHC1J6IxzKbTidmOyf5nUyW4GCLurHCjexrLm_o"",
      ""HTMLキャッシュ!A:F""
    ),
    2,
    FALSE
  ),
  0
)
"),"SC")</f>
        <v>SC</v>
      </c>
      <c r="C62" s="1" t="str">
        <f>IFERROR(__xludf.DUMMYFUNCTION("IFERROR(
  VLOOKUP(
    A62,
    IMPORTRANGE(
      ""1ZygntHC1J6IxzKbTidmOyf5nUyW4GCLurHCjexrLm_o"",
      ""HTMLキャッシュ!A:F""
    ),
    5,
    FALSE
  ),
  0
)
"),"英文を覚える方法｜英語暗記のコツと続け方｜中高生・大学受験")</f>
        <v>英文を覚える方法｜英語暗記のコツと続け方｜中高生・大学受験</v>
      </c>
      <c r="D62" s="1" t="str">
        <f>IFERROR(__xludf.DUMMYFUNCTION("IFERROR(
  VLOOKUP(
    A62,
    IMPORTRANGE(
      ""1ZygntHC1J6IxzKbTidmOyf5nUyW4GCLurHCjexrLm_o        "",
      ""HTMLキャッシュ!A:F""
    ),
    6,
    FALSE
  ),
  0
)
"),"英文や英語を暗記できない人向け。興味づけとイメージ化を軸に、英文を覚えるコツと毎日続けやすい暗記法を整理。")</f>
        <v>英文や英語を暗記できない人向け。興味づけとイメージ化を軸に、英文を覚えるコツと毎日続けやすい暗記法を整理。</v>
      </c>
      <c r="E62" s="32">
        <f>IFERROR(__xludf.DUMMYFUNCTION("IFERROR(
  VLOOKUP(
    A62,
    IMPORTRANGE(
      ""1ZygntHC1J6IxzKbTidmOyf5nUyW4GCLurHCjexrLm_o        "",
      ""HTMLキャッシュ!A:F""
    ),
    3,
    FALSE
  ),
  0
)
"),46050.84861111111)</f>
        <v>46050.84861</v>
      </c>
      <c r="F62" s="49">
        <f>IFERROR(__xludf.DUMMYFUNCTION("IFERROR(
  VLOOKUP(
    A62,
    IMPORTRANGE(
      ""1ZHMy3vVUd_0MrSduXTe1etBb1HNpAlGwQr006ljwMiM"",
      ""GSC最新!A:F""
    ),
    2,
    FALSE
  ),
  0
)
"),0.0)</f>
        <v>0</v>
      </c>
      <c r="G62" s="49">
        <f>IFERROR(__xludf.DUMMYFUNCTION("IFERROR(
  VLOOKUP(
    A62,
    IMPORTRANGE(
      ""1ZHMy3vVUd_0MrSduXTe1etBb1HNpAlGwQr006ljwMiM"",
      ""GSC最新!A:F""
    ),
    3,
    FALSE
  ),
  0
)
"),0.0)</f>
        <v>0</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"),0.0)</f>
        <v>0</v>
      </c>
      <c r="J62" s="50" t="str">
        <f t="shared" ref="J62:K62" si="301">IFERROR(F62/H62,"-")</f>
        <v>-</v>
      </c>
      <c r="K62" s="50" t="str">
        <f t="shared" si="301"/>
        <v>-</v>
      </c>
      <c r="L62" s="6">
        <f>IFERROR(__xludf.DUMMYFUNCTION("IFERROR(
  VLOOKUP(
    A62,
    IMPORTRANGE(
      ""1ZHMy3vVUd_0MrSduXTe1etBb1HNpAlGwQr006ljwMiM"",
      ""GSC最新!A:R""
    ),
    7,
    FALSE
  ),
  0
)
"),6.0)</f>
        <v>6</v>
      </c>
      <c r="M62" s="6">
        <f>IFERROR(__xludf.DUMMYFUNCTION("IFERROR(
  VLOOKUP(
    A62,
    IMPORTRANGE(
      ""1ZHMy3vVUd_0MrSduXTe1etBb1HNpAlGwQr006ljwMiM"",
      ""GSC最新!A:R""
    ),
    10,
    FALSE
  ),
  0
)
"),35.0)</f>
        <v>35</v>
      </c>
      <c r="N62" s="6">
        <f>IFERROR(__xludf.DUMMYFUNCTION("IFERROR(
  VLOOKUP(
    A62,
    IMPORTRANGE(
      ""1ZHMy3vVUd_0MrSduXTe1etBb1HNpAlGwQr006ljwMiM"",
      ""GSC最新!A:R""
    ),
    13,
    FALSE
  ),
  0
)
"),1.0)</f>
        <v>1</v>
      </c>
      <c r="O62" s="6">
        <f>IFERROR(__xludf.DUMMYFUNCTION("IFERROR(
  VLOOKUP(
    A62,
    IMPORTRANGE(
      ""1ZHMy3vVUd_0MrSduXTe1etBb1HNpAlGwQr006ljwMiM"",
      ""GSC最新!A:R""
    ),
    16,
    FALSE
  ),
  0
)
"),89.0)</f>
        <v>89</v>
      </c>
      <c r="P62" s="51">
        <f t="shared" ref="P62:Q62" si="302">IFERROR(L62/N62,"-")</f>
        <v>6</v>
      </c>
      <c r="Q62" s="51">
        <f t="shared" si="302"/>
        <v>0.393258427</v>
      </c>
      <c r="R62" s="9">
        <f>IFERROR(__xludf.DUMMYFUNCTION("IFERROR(
  VLOOKUP(
    A62,
    IMPORTRANGE(
      ""1ZHMy3vVUd_0MrSduXTe1etBb1HNpAlGwQr006ljwMiM"",
      ""GSC最新!A:R""
    ),
    8,
    FALSE
  ),
  0
)
"),0.0)</f>
        <v>0</v>
      </c>
      <c r="S62" s="9">
        <f>IFERROR(__xludf.DUMMYFUNCTION("IFERROR(
  VLOOKUP(
    A62,
    IMPORTRANGE(
      ""1ZHMy3vVUd_0MrSduXTe1etBb1HNpAlGwQr006ljwMiM"",
      ""GSC最新!A:R""
    ),
    11,
    FALSE
  ),
  0
)
"),0.0)</f>
        <v>0</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f>
        <v>0</v>
      </c>
      <c r="V62" s="9">
        <f t="shared" ref="V62:W62" si="303">IFERROR(R62-T62,"-")</f>
        <v>0</v>
      </c>
      <c r="W62" s="9">
        <f t="shared" si="303"/>
        <v>0</v>
      </c>
      <c r="X62" s="65">
        <f>IFERROR(__xludf.DUMMYFUNCTION("IFERROR(
  VLOOKUP(
    A62,
    IMPORTRANGE(
      ""1ZHMy3vVUd_0MrSduXTe1etBb1HNpAlGwQr006ljwMiM"",
      ""GSC最新!A:R""
    ),
    9,
    FALSE
  ),
  0
)
"),10.5)</f>
        <v>10.5</v>
      </c>
      <c r="Y62" s="65">
        <f>IFERROR(__xludf.DUMMYFUNCTION("IFERROR(
  VLOOKUP(
    A62,
    IMPORTRANGE(
      ""1ZHMy3vVUd_0MrSduXTe1etBb1HNpAlGwQr006ljwMiM"",
      ""GSC最新!A:R""
    ),
    12,
    FALSE
  ),
  0
)
"),23.2)</f>
        <v>23.2</v>
      </c>
      <c r="Z62" s="65">
        <f>IFERROR(__xludf.DUMMYFUNCTION("IFERROR(
  VLOOKUP(
    A62,
    IMPORTRANGE(
      ""1ZHMy3vVUd_0MrSduXTe1etBb1HNpAlGwQr006ljwMiM"",
      ""GSC最新!A:R""
    ),
    15,
    FALSE
  ),
  0
)
"),18.0)</f>
        <v>18</v>
      </c>
      <c r="AA62" s="65">
        <f>IFERROR(__xludf.DUMMYFUNCTION("IFERROR(
  VLOOKUP(
    A62,
    IMPORTRANGE(
      ""1ZHMy3vVUd_0MrSduXTe1etBb1HNpAlGwQr006ljwMiM"",
      ""GSC最新!A:R""
    ),
    18,
    FALSE
  ),
  0
)
"),61.764044943820224)</f>
        <v>61.76404494</v>
      </c>
      <c r="AB62" s="65">
        <f t="shared" ref="AB62:AC62" si="304">X62-Z62</f>
        <v>-7.5</v>
      </c>
      <c r="AC62" s="65">
        <f t="shared" si="304"/>
        <v>-38.56404494</v>
      </c>
      <c r="AD62" s="53">
        <f>IFERROR(__xludf.DUMMYFUNCTION("IFERROR(
  VLOOKUP(
    A62,
    IMPORTRANGE(
      ""1ZHMy3vVUd_0MrSduXTe1etBb1HNpAlGwQr006ljwMiM"",
      ""GSC最新!A:F""
    ),
    6,
    FALSE
  ),
  0
)
"),46081.0)</f>
        <v>46081</v>
      </c>
      <c r="AE62" s="54">
        <f>IFERROR(__xludf.DUMMYFUNCTION("IFERROR(
  VLOOKUP(
    A62,
    IMPORTRANGE(
      ""1SCYQd7_cobOYqT0r_F0IqD4tE4rYn5y8Eup4PJTH8es"",
      ""Snapshot!A:M""
    ),
    5,
    FALSE
  ),
  ""-""
)
"),5.0)</f>
        <v>5</v>
      </c>
      <c r="AF62" s="54">
        <f>IFERROR(__xludf.DUMMYFUNCTION("IFERROR(
  VLOOKUP(
    A62,
    IMPORTRANGE(
      ""1SCYQd7_cobOYqT0r_F0IqD4tE4rYn5y8Eup4PJTH8es"",
      ""Snapshot!A:M""
    ),
    6,
    FALSE
  ),
  0
)
"),2.0)</f>
        <v>2</v>
      </c>
      <c r="AG62" s="54">
        <f>IFERROR(__xludf.DUMMYFUNCTION("IFERROR(
  VLOOKUP(
    A62,
    IMPORTRANGE(
      ""1SCYQd7_cobOYqT0r_F0IqD4tE4rYn5y8Eup4PJTH8es"",
      ""Snapshot!A:M""
    ),
    7,
    FALSE
  ),
  0
)
"),1530.0)</f>
        <v>1530</v>
      </c>
      <c r="AH62" s="54">
        <f>IFERROR(__xludf.DUMMYFUNCTION("IFERROR(
  VLOOKUP(
    A62,
    IMPORTRANGE(
      ""1SCYQd7_cobOYqT0r_F0IqD4tE4rYn5y8Eup4PJTH8es"",
      ""Snapshot!A:M""
    ),
    8,
    FALSE
  ),
  0
)
"),28.0)</f>
        <v>28</v>
      </c>
      <c r="AI62" s="54">
        <f>IFERROR(__xludf.DUMMYFUNCTION("IFERROR(
  VLOOKUP(
    A62,
    IMPORTRANGE(
      ""1SCYQd7_cobOYqT0r_F0IqD4tE4rYn5y8Eup4PJTH8es"",
      ""Snapshot!A:M""
    ),
    9,
    FALSE
  ),
  0
)
"),0.0)</f>
        <v>0</v>
      </c>
      <c r="AJ62" s="54">
        <f>IFERROR(__xludf.DUMMYFUNCTION("IFERROR(
  VLOOKUP(
    A62,
    IMPORTRANGE(
      ""1SCYQd7_cobOYqT0r_F0IqD4tE4rYn5y8Eup4PJTH8es"",
      ""Snapshot!A:M""
    ),
    13,
    FALSE
  ),
  0
)
"),2.0)</f>
        <v>2</v>
      </c>
      <c r="AK62" s="49">
        <f t="shared" ref="AK62:AL62" si="305">LEN(C62)</f>
        <v>29</v>
      </c>
      <c r="AL62" s="49">
        <f t="shared" si="305"/>
        <v>53</v>
      </c>
    </row>
    <row r="63">
      <c r="A63" s="3" t="s">
        <v>189</v>
      </c>
      <c r="B63" s="1" t="str">
        <f>IFERROR(__xludf.DUMMYFUNCTION("IFERROR(
  VLOOKUP(
    A63,
    IMPORTRANGE(
      ""1ZygntHC1J6IxzKbTidmOyf5nUyW4GCLurHCjexrLm_o"",
      ""HTMLキャッシュ!A:F""
    ),
    2,
    FALSE
  ),
  0
)
"),"-")</f>
        <v>-</v>
      </c>
      <c r="C63" s="1" t="str">
        <f>IFERROR(__xludf.DUMMYFUNCTION("IFERROR(
  VLOOKUP(
    A63,
    IMPORTRANGE(
      ""1ZygntHC1J6IxzKbTidmOyf5nUyW4GCLurHCjexrLm_o"",
      ""HTMLキャッシュ!A:F""
    ),
    5,
    FALSE
  ),
  0
)
"),"ブログ - 中高一貫校専門塾エスコット(Escot)～定期試験対策から大学受験指導まで～")</f>
        <v>ブログ - 中高一貫校専門塾エスコット(Escot)～定期試験対策から大学受験指導まで～</v>
      </c>
      <c r="D63" s="1" t="str">
        <f>IFERROR(__xludf.DUMMYFUNCTION("IFERROR(
  VLOOKUP(
    A63,
    IMPORTRANGE(
      ""1ZygntHC1J6IxzKbTidmOyf5nUyW4GCLurHCjexrLm_o        "",
      ""HTMLキャッシュ!A:F""
    ),
    6,
    FALSE
  ),
  0
)
"),"[1ページ目] ブログ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[1ページ目] ブログ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63" s="32">
        <f>IFERROR(__xludf.DUMMYFUNCTION("IFERROR(
  VLOOKUP(
    A63,
    IMPORTRANGE(
      ""1ZygntHC1J6IxzKbTidmOyf5nUyW4GCLurHCjexrLm_o        "",
      ""HTMLキャッシュ!A:F""
    ),
    3,
    FALSE
  ),
  0
)
"),46025.743414351855)</f>
        <v>46025.74341</v>
      </c>
      <c r="F63" s="49">
        <f>IFERROR(__xludf.DUMMYFUNCTION("IFERROR(
  VLOOKUP(
    A63,
    IMPORTRANGE(
      ""1ZHMy3vVUd_0MrSduXTe1etBb1HNpAlGwQr006ljwMiM"",
      ""GSC最新!A:F""
    ),
    2,
    FALSE
  ),
  0
)
"),0.0)</f>
        <v>0</v>
      </c>
      <c r="G63" s="49">
        <f>IFERROR(__xludf.DUMMYFUNCTION("IFERROR(
  VLOOKUP(
    A63,
    IMPORTRANGE(
      ""1ZHMy3vVUd_0MrSduXTe1etBb1HNpAlGwQr006ljwMiM"",
      ""GSC最新!A:F""
    ),
    3,
    FALSE
  ),
  0
)
"),0.0)</f>
        <v>0</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"),0.0)</f>
        <v>0</v>
      </c>
      <c r="J63" s="50" t="str">
        <f t="shared" ref="J63:K63" si="306">IFERROR(F63/H63,"-")</f>
        <v>-</v>
      </c>
      <c r="K63" s="50" t="str">
        <f t="shared" si="306"/>
        <v>-</v>
      </c>
      <c r="L63" s="6">
        <f>IFERROR(__xludf.DUMMYFUNCTION("IFERROR(
  VLOOKUP(
    A63,
    IMPORTRANGE(
      ""1ZHMy3vVUd_0MrSduXTe1etBb1HNpAlGwQr006ljwMiM"",
      ""GSC最新!A:R""
    ),
    7,
    FALSE
  ),
  0
)
"),6.0)</f>
        <v>6</v>
      </c>
      <c r="M63" s="6">
        <f>IFERROR(__xludf.DUMMYFUNCTION("IFERROR(
  VLOOKUP(
    A63,
    IMPORTRANGE(
      ""1ZHMy3vVUd_0MrSduXTe1etBb1HNpAlGwQr006ljwMiM"",
      ""GSC最新!A:R""
    ),
    10,
    FALSE
  ),
  0
)
"),32.0)</f>
        <v>32</v>
      </c>
      <c r="N63" s="6">
        <f>IFERROR(__xludf.DUMMYFUNCTION("IFERROR(
  VLOOKUP(
    A63,
    IMPORTRANGE(
      ""1ZHMy3vVUd_0MrSduXTe1etBb1HNpAlGwQr006ljwMiM"",
      ""GSC最新!A:R""
    ),
    13,
    FALSE
  ),
  0
)
"),3.0)</f>
        <v>3</v>
      </c>
      <c r="O63" s="6">
        <f>IFERROR(__xludf.DUMMYFUNCTION("IFERROR(
  VLOOKUP(
    A63,
    IMPORTRANGE(
      ""1ZHMy3vVUd_0MrSduXTe1etBb1HNpAlGwQr006ljwMiM"",
      ""GSC最新!A:R""
    ),
    16,
    FALSE
  ),
  0
)
"),52.0)</f>
        <v>52</v>
      </c>
      <c r="P63" s="51">
        <f t="shared" ref="P63:Q63" si="307">IFERROR(L63/N63,"-")</f>
        <v>2</v>
      </c>
      <c r="Q63" s="51">
        <f t="shared" si="307"/>
        <v>0.6153846154</v>
      </c>
      <c r="R63" s="9">
        <f>IFERROR(__xludf.DUMMYFUNCTION("IFERROR(
  VLOOKUP(
    A63,
    IMPORTRANGE(
      ""1ZHMy3vVUd_0MrSduXTe1etBb1HNpAlGwQr006ljwMiM"",
      ""GSC最新!A:R""
    ),
    8,
    FALSE
  ),
  0
)
"),0.0)</f>
        <v>0</v>
      </c>
      <c r="S63" s="9">
        <f>IFERROR(__xludf.DUMMYFUNCTION("IFERROR(
  VLOOKUP(
    A63,
    IMPORTRANGE(
      ""1ZHMy3vVUd_0MrSduXTe1etBb1HNpAlGwQr006ljwMiM"",
      ""GSC最新!A:R""
    ),
    11,
    FALSE
  ),
  0
)
"),0.0)</f>
        <v>0</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f>
        <v>0</v>
      </c>
      <c r="V63" s="9">
        <f t="shared" ref="V63:W63" si="308">IFERROR(R63-T63,"-")</f>
        <v>0</v>
      </c>
      <c r="W63" s="9">
        <f t="shared" si="308"/>
        <v>0</v>
      </c>
      <c r="X63" s="65">
        <f>IFERROR(__xludf.DUMMYFUNCTION("IFERROR(
  VLOOKUP(
    A63,
    IMPORTRANGE(
      ""1ZHMy3vVUd_0MrSduXTe1etBb1HNpAlGwQr006ljwMiM"",
      ""GSC最新!A:R""
    ),
    9,
    FALSE
  ),
  0
)
"),8.5)</f>
        <v>8.5</v>
      </c>
      <c r="Y63" s="65">
        <f>IFERROR(__xludf.DUMMYFUNCTION("IFERROR(
  VLOOKUP(
    A63,
    IMPORTRANGE(
      ""1ZHMy3vVUd_0MrSduXTe1etBb1HNpAlGwQr006ljwMiM"",
      ""GSC最新!A:R""
    ),
    12,
    FALSE
  ),
  0
)
"),9.0625)</f>
        <v>9.0625</v>
      </c>
      <c r="Z63" s="65">
        <f>IFERROR(__xludf.DUMMYFUNCTION("IFERROR(
  VLOOKUP(
    A63,
    IMPORTRANGE(
      ""1ZHMy3vVUd_0MrSduXTe1etBb1HNpAlGwQr006ljwMiM"",
      ""GSC最新!A:R""
    ),
    15,
    FALSE
  ),
  0
)
"),8.0)</f>
        <v>8</v>
      </c>
      <c r="AA63" s="65">
        <f>IFERROR(__xludf.DUMMYFUNCTION("IFERROR(
  VLOOKUP(
    A63,
    IMPORTRANGE(
      ""1ZHMy3vVUd_0MrSduXTe1etBb1HNpAlGwQr006ljwMiM"",
      ""GSC最新!A:R""
    ),
    18,
    FALSE
  ),
  0
)
"),53.03846153846154)</f>
        <v>53.03846154</v>
      </c>
      <c r="AB63" s="65">
        <f t="shared" ref="AB63:AC63" si="309">X63-Z63</f>
        <v>0.5</v>
      </c>
      <c r="AC63" s="65">
        <f t="shared" si="309"/>
        <v>-43.97596154</v>
      </c>
      <c r="AD63" s="53">
        <f>IFERROR(__xludf.DUMMYFUNCTION("IFERROR(
  VLOOKUP(
    A63,
    IMPORTRANGE(
      ""1ZHMy3vVUd_0MrSduXTe1etBb1HNpAlGwQr006ljwMiM"",
      ""GSC最新!A:F""
    ),
    6,
    FALSE
  ),
  0
)
"),46081.0)</f>
        <v>46081</v>
      </c>
      <c r="AE63" s="54">
        <f>IFERROR(__xludf.DUMMYFUNCTION("IFERROR(
  VLOOKUP(
    A63,
    IMPORTRANGE(
      ""1SCYQd7_cobOYqT0r_F0IqD4tE4rYn5y8Eup4PJTH8es"",
      ""Snapshot!A:M""
    ),
    5,
    FALSE
  ),
  ""-""
)
"),0.0)</f>
        <v>0</v>
      </c>
      <c r="AF63" s="54">
        <f>IFERROR(__xludf.DUMMYFUNCTION("IFERROR(
  VLOOKUP(
    A63,
    IMPORTRANGE(
      ""1SCYQd7_cobOYqT0r_F0IqD4tE4rYn5y8Eup4PJTH8es"",
      ""Snapshot!A:M""
    ),
    6,
    FALSE
  ),
  0
)
"),0.0)</f>
        <v>0</v>
      </c>
      <c r="AG63" s="54">
        <f>IFERROR(__xludf.DUMMYFUNCTION("IFERROR(
  VLOOKUP(
    A63,
    IMPORTRANGE(
      ""1SCYQd7_cobOYqT0r_F0IqD4tE4rYn5y8Eup4PJTH8es"",
      ""Snapshot!A:M""
    ),
    7,
    FALSE
  ),
  0
)
"),0.0)</f>
        <v>0</v>
      </c>
      <c r="AH63" s="54">
        <f>IFERROR(__xludf.DUMMYFUNCTION("IFERROR(
  VLOOKUP(
    A63,
    IMPORTRANGE(
      ""1SCYQd7_cobOYqT0r_F0IqD4tE4rYn5y8Eup4PJTH8es"",
      ""Snapshot!A:M""
    ),
    8,
    FALSE
  ),
  0
)
"),0.0)</f>
        <v>0</v>
      </c>
      <c r="AI63" s="54">
        <f>IFERROR(__xludf.DUMMYFUNCTION("IFERROR(
  VLOOKUP(
    A63,
    IMPORTRANGE(
      ""1SCYQd7_cobOYqT0r_F0IqD4tE4rYn5y8Eup4PJTH8es"",
      ""Snapshot!A:M""
    ),
    9,
    FALSE
  ),
  0
)
"),0.0)</f>
        <v>0</v>
      </c>
      <c r="AJ63" s="54">
        <f>IFERROR(__xludf.DUMMYFUNCTION("IFERROR(
  VLOOKUP(
    A63,
    IMPORTRANGE(
      ""1SCYQd7_cobOYqT0r_F0IqD4tE4rYn5y8Eup4PJTH8es"",
      ""Snapshot!A:M""
    ),
    13,
    FALSE
  ),
  0
)
"),1.0)</f>
        <v>1</v>
      </c>
      <c r="AK63" s="49">
        <f t="shared" ref="AK63:AL63" si="310">LEN(C63)</f>
        <v>44</v>
      </c>
      <c r="AL63" s="49">
        <f t="shared" si="310"/>
        <v>124</v>
      </c>
    </row>
    <row r="64">
      <c r="A64" s="3" t="s">
        <v>757</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"),"中高一貫校生のオンライン塾｜定期テスト対策で失敗しない選び方")</f>
        <v>中高一貫校生のオンライン塾｜定期テスト対策で失敗しない選び方</v>
      </c>
      <c r="D64" s="1" t="str">
        <f>IFERROR(__xludf.DUMMYFUNCTION("IFERROR(
  VLOOKUP(
    A64,
    IMPORTRANGE(
      ""1ZygntHC1J6IxzKbTidmOyf5nUyW4GCLurHCjexrLm_o        "",
      ""HTMLキャッシュ!A:F""
    ),
    6,
    FALSE
  ),
  0
)
"),"中高一貫校生のオンライン塾を定期テスト対策の軸で整理。教材連動・双方向・学習管理の確認点と、意味ないを避ける併用パターンまでまとめます。")</f>
        <v>中高一貫校生のオンライン塾を定期テスト対策の軸で整理。教材連動・双方向・学習管理の確認点と、意味ないを避ける併用パターンまでまとめます。</v>
      </c>
      <c r="E64" s="32">
        <f>IFERROR(__xludf.DUMMYFUNCTION("IFERROR(
  VLOOKUP(
    A64,
    IMPORTRANGE(
      ""1ZygntHC1J6IxzKbTidmOyf5nUyW4GCLurHCjexrLm_o        "",
      ""HTMLキャッシュ!A:F""
    ),
    3,
    FALSE
  ),
  0
)
"),46056.78487268519)</f>
        <v>46056.78487</v>
      </c>
      <c r="F64" s="49">
        <f>IFERROR(__xludf.DUMMYFUNCTION("IFERROR(
  VLOOKUP(
    A64,
    IMPORTRANGE(
      ""1ZHMy3vVUd_0MrSduXTe1etBb1HNpAlGwQr006ljwMiM"",
      ""GSC最新!A:F""
    ),
    2,
    FALSE
  ),
  0
)
"),0.0)</f>
        <v>0</v>
      </c>
      <c r="G64" s="49">
        <f>IFERROR(__xludf.DUMMYFUNCTION("IFERROR(
  VLOOKUP(
    A64,
    IMPORTRANGE(
      ""1ZHMy3vVUd_0MrSduXTe1etBb1HNpAlGwQr006ljwMiM"",
      ""GSC最新!A:F""
    ),
    3,
    FALSE
  ),
  0
)
"),0.0)</f>
        <v>0</v>
      </c>
      <c r="H64" s="49">
        <f>IFERROR(__xludf.DUMMYFUNCTION("IFERROR(
  VLOOKUP(
    A64,
    IMPORTRANGE(
      ""1ZHMy3vVUd_0MrSduXTe1etBb1HNpAlGwQr006ljwMiM"",
      ""GSC最新!A:F""
    ),
    4,
    FALSE
  ),
  0
)
"),1.0)</f>
        <v>1</v>
      </c>
      <c r="I64" s="49">
        <f>IFERROR(__xludf.DUMMYFUNCTION("IFERROR(
  VLOOKUP(
    A64,
    IMPORTRANGE(
      ""1ZHMy3vVUd_0MrSduXTe1etBb1HNpAlGwQr006ljwMiM"",
      ""GSC最新!A:F""
    ),
    5,
    FALSE
  ),
  0
)
"),2.0)</f>
        <v>2</v>
      </c>
      <c r="J64" s="50">
        <f t="shared" ref="J64:K64" si="311">IFERROR(F64/H64,"-")</f>
        <v>0</v>
      </c>
      <c r="K64" s="50">
        <f t="shared" si="311"/>
        <v>0</v>
      </c>
      <c r="L64" s="6">
        <f>IFERROR(__xludf.DUMMYFUNCTION("IFERROR(
  VLOOKUP(
    A64,
    IMPORTRANGE(
      ""1ZHMy3vVUd_0MrSduXTe1etBb1HNpAlGwQr006ljwMiM"",
      ""GSC最新!A:R""
    ),
    7,
    FALSE
  ),
  0
)
"),25.0)</f>
        <v>25</v>
      </c>
      <c r="M64" s="6">
        <f>IFERROR(__xludf.DUMMYFUNCTION("IFERROR(
  VLOOKUP(
    A64,
    IMPORTRANGE(
      ""1ZHMy3vVUd_0MrSduXTe1etBb1HNpAlGwQr006ljwMiM"",
      ""GSC最新!A:R""
    ),
    10,
    FALSE
  ),
  0
)
"),35.0)</f>
        <v>35</v>
      </c>
      <c r="N64" s="6">
        <f>IFERROR(__xludf.DUMMYFUNCTION("IFERROR(
  VLOOKUP(
    A64,
    IMPORTRANGE(
      ""1ZHMy3vVUd_0MrSduXTe1etBb1HNpAlGwQr006ljwMiM"",
      ""GSC最新!A:R""
    ),
    13,
    FALSE
  ),
  0
)
"),31.0)</f>
        <v>31</v>
      </c>
      <c r="O64" s="6">
        <f>IFERROR(__xludf.DUMMYFUNCTION("IFERROR(
  VLOOKUP(
    A64,
    IMPORTRANGE(
      ""1ZHMy3vVUd_0MrSduXTe1etBb1HNpAlGwQr006ljwMiM"",
      ""GSC最新!A:R""
    ),
    16,
    FALSE
  ),
  0
)
"),167.0)</f>
        <v>167</v>
      </c>
      <c r="P64" s="51">
        <f t="shared" ref="P64:Q64" si="312">IFERROR(L64/N64,"-")</f>
        <v>0.8064516129</v>
      </c>
      <c r="Q64" s="51">
        <f t="shared" si="312"/>
        <v>0.2095808383</v>
      </c>
      <c r="R64" s="9">
        <f>IFERROR(__xludf.DUMMYFUNCTION("IFERROR(
  VLOOKUP(
    A64,
    IMPORTRANGE(
      ""1ZHMy3vVUd_0MrSduXTe1etBb1HNpAlGwQr006ljwMiM"",
      ""GSC最新!A:R""
    ),
    8,
    FALSE
  ),
  0
)
"),0.0)</f>
        <v>0</v>
      </c>
      <c r="S64" s="9">
        <f>IFERROR(__xludf.DUMMYFUNCTION("IFERROR(
  VLOOKUP(
    A64,
    IMPORTRANGE(
      ""1ZHMy3vVUd_0MrSduXTe1etBb1HNpAlGwQr006ljwMiM"",
      ""GSC最新!A:R""
    ),
    11,
    FALSE
  ),
  0
)
"),0.0)</f>
        <v>0</v>
      </c>
      <c r="T64" s="9">
        <f>IFERROR(__xludf.DUMMYFUNCTION("IFERROR(
  VLOOKUP(
    A64,
    IMPORTRANGE(
      ""1ZHMy3vVUd_0MrSduXTe1etBb1HNpAlGwQr006ljwMiM"",
      ""GSC最新!A:R""
    ),
    14,
    FALSE
  ),
  0
)
"),0.03225806451612903)</f>
        <v>0.03225806452</v>
      </c>
      <c r="U64" s="9">
        <f>IFERROR(__xludf.DUMMYFUNCTION("IFERROR(
  VLOOKUP(
    A64,
    IMPORTRANGE(
      ""1ZHMy3vVUd_0MrSduXTe1etBb1HNpAlGwQr006ljwMiM"",
      ""GSC最新!A:R""
    ),
    17,
    FALSE
  ),
  0
)
"),0.011976047904191617)</f>
        <v>0.0119760479</v>
      </c>
      <c r="V64" s="9">
        <f t="shared" ref="V64:W64" si="313">IFERROR(R64-T64,"-")</f>
        <v>-0.03225806452</v>
      </c>
      <c r="W64" s="9">
        <f t="shared" si="313"/>
        <v>-0.0119760479</v>
      </c>
      <c r="X64" s="65">
        <f>IFERROR(__xludf.DUMMYFUNCTION("IFERROR(
  VLOOKUP(
    A64,
    IMPORTRANGE(
      ""1ZHMy3vVUd_0MrSduXTe1etBb1HNpAlGwQr006ljwMiM"",
      ""GSC最新!A:R""
    ),
    9,
    FALSE
  ),
  0
)
"),10.52)</f>
        <v>10.52</v>
      </c>
      <c r="Y64" s="65">
        <f>IFERROR(__xludf.DUMMYFUNCTION("IFERROR(
  VLOOKUP(
    A64,
    IMPORTRANGE(
      ""1ZHMy3vVUd_0MrSduXTe1etBb1HNpAlGwQr006ljwMiM"",
      ""GSC最新!A:R""
    ),
    12,
    FALSE
  ),
  0
)
"),19.97142857142857)</f>
        <v>19.97142857</v>
      </c>
      <c r="Z64" s="65">
        <f>IFERROR(__xludf.DUMMYFUNCTION("IFERROR(
  VLOOKUP(
    A64,
    IMPORTRANGE(
      ""1ZHMy3vVUd_0MrSduXTe1etBb1HNpAlGwQr006ljwMiM"",
      ""GSC最新!A:R""
    ),
    15,
    FALSE
  ),
  0
)
"),24.741935483870968)</f>
        <v>24.74193548</v>
      </c>
      <c r="AA64" s="65">
        <f>IFERROR(__xludf.DUMMYFUNCTION("IFERROR(
  VLOOKUP(
    A64,
    IMPORTRANGE(
      ""1ZHMy3vVUd_0MrSduXTe1etBb1HNpAlGwQr006ljwMiM"",
      ""GSC最新!A:R""
    ),
    18,
    FALSE
  ),
  0
)
"),29.263473053892216)</f>
        <v>29.26347305</v>
      </c>
      <c r="AB64" s="65">
        <f t="shared" ref="AB64:AC64" si="314">X64-Z64</f>
        <v>-14.22193548</v>
      </c>
      <c r="AC64" s="65">
        <f t="shared" si="314"/>
        <v>-9.292044482</v>
      </c>
      <c r="AD64" s="53">
        <f>IFERROR(__xludf.DUMMYFUNCTION("IFERROR(
  VLOOKUP(
    A64,
    IMPORTRANGE(
      ""1ZHMy3vVUd_0MrSduXTe1etBb1HNpAlGwQr006ljwMiM"",
      ""GSC最新!A:F""
    ),
    6,
    FALSE
  ),
  0
)
"),46081.0)</f>
        <v>46081</v>
      </c>
      <c r="AE64" s="54">
        <f>IFERROR(__xludf.DUMMYFUNCTION("IFERROR(
  VLOOKUP(
    A64,
    IMPORTRANGE(
      ""1SCYQd7_cobOYqT0r_F0IqD4tE4rYn5y8Eup4PJTH8es"",
      ""Snapshot!A:M""
    ),
    5,
    FALSE
  ),
  ""-""
)
"),8.0)</f>
        <v>8</v>
      </c>
      <c r="AF64" s="54">
        <f>IFERROR(__xludf.DUMMYFUNCTION("IFERROR(
  VLOOKUP(
    A64,
    IMPORTRANGE(
      ""1SCYQd7_cobOYqT0r_F0IqD4tE4rYn5y8Eup4PJTH8es"",
      ""Snapshot!A:M""
    ),
    6,
    FALSE
  ),
  0
)
"),12.0)</f>
        <v>12</v>
      </c>
      <c r="AG64" s="54">
        <f>IFERROR(__xludf.DUMMYFUNCTION("IFERROR(
  VLOOKUP(
    A64,
    IMPORTRANGE(
      ""1SCYQd7_cobOYqT0r_F0IqD4tE4rYn5y8Eup4PJTH8es"",
      ""Snapshot!A:M""
    ),
    7,
    FALSE
  ),
  0
)
"),3232.0)</f>
        <v>3232</v>
      </c>
      <c r="AH64" s="54">
        <f>IFERROR(__xludf.DUMMYFUNCTION("IFERROR(
  VLOOKUP(
    A64,
    IMPORTRANGE(
      ""1SCYQd7_cobOYqT0r_F0IqD4tE4rYn5y8Eup4PJTH8es"",
      ""Snapshot!A:M""
    ),
    8,
    FALSE
  ),
  0
)
"),2.0)</f>
        <v>2</v>
      </c>
      <c r="AI64" s="54">
        <f>IFERROR(__xludf.DUMMYFUNCTION("IFERROR(
  VLOOKUP(
    A64,
    IMPORTRANGE(
      ""1SCYQd7_cobOYqT0r_F0IqD4tE4rYn5y8Eup4PJTH8es"",
      ""Snapshot!A:M""
    ),
    9,
    FALSE
  ),
  0
)
"),1.0)</f>
        <v>1</v>
      </c>
      <c r="AJ64" s="54">
        <f>IFERROR(__xludf.DUMMYFUNCTION("IFERROR(
  VLOOKUP(
    A64,
    IMPORTRANGE(
      ""1SCYQd7_cobOYqT0r_F0IqD4tE4rYn5y8Eup4PJTH8es"",
      ""Snapshot!A:M""
    ),
    13,
    FALSE
  ),
  0
)
"),2.0)</f>
        <v>2</v>
      </c>
      <c r="AK64" s="49">
        <f t="shared" ref="AK64:AL64" si="315">LEN(C64)</f>
        <v>30</v>
      </c>
      <c r="AL64" s="49">
        <f t="shared" si="315"/>
        <v>68</v>
      </c>
    </row>
    <row r="65">
      <c r="A65" s="3" t="s">
        <v>191</v>
      </c>
      <c r="B65" s="1" t="str">
        <f>IFERROR(__xludf.DUMMYFUNCTION("IFERROR(
  VLOOKUP(
    A65,
    IMPORTRANGE(
      ""1ZygntHC1J6IxzKbTidmOyf5nUyW4GCLurHCjexrLm_o"",
      ""HTMLキャッシュ!A:F""
    ),
    2,
    FALSE
  ),
  0
)
"),"-")</f>
        <v>-</v>
      </c>
      <c r="C65" s="1" t="str">
        <f>IFERROR(__xludf.DUMMYFUNCTION("IFERROR(
  VLOOKUP(
    A65,
    IMPORTRANGE(
      ""1ZygntHC1J6IxzKbTidmOyf5nUyW4GCLurHCjexrLm_o"",
      ""HTMLキャッシュ!A:F""
    ),
    5,
    FALSE
  ),
  0
)
"),"中２ - 中高一貫校専門塾エスコット(Escot)～定期試験対策から大学受験指導まで～")</f>
        <v>中２ - 中高一貫校専門塾エスコット(Escot)～定期試験対策から大学受験指導まで～</v>
      </c>
      <c r="D65" s="1" t="str">
        <f>IFERROR(__xludf.DUMMYFUNCTION("IFERROR(
  VLOOKUP(
    A65,
    IMPORTRANGE(
      ""1ZygntHC1J6IxzKbTidmOyf5nUyW4GCLurHCjexrLm_o        "",
      ""HTMLキャッシュ!A:F""
    ),
    6,
    FALSE
  ),
  0
)
"),"中２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中２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65" s="32">
        <f>IFERROR(__xludf.DUMMYFUNCTION("IFERROR(
  VLOOKUP(
    A65,
    IMPORTRANGE(
      ""1ZygntHC1J6IxzKbTidmOyf5nUyW4GCLurHCjexrLm_o        "",
      ""HTMLキャッシュ!A:F""
    ),
    3,
    FALSE
  ),
  0
)
"),25569.375)</f>
        <v>25569.375</v>
      </c>
      <c r="F65" s="49">
        <f>IFERROR(__xludf.DUMMYFUNCTION("IFERROR(
  VLOOKUP(
    A65,
    IMPORTRANGE(
      ""1ZHMy3vVUd_0MrSduXTe1etBb1HNpAlGwQr006ljwMiM"",
      ""GSC最新!A:F""
    ),
    2,
    FALSE
  ),
  0
)
"),0.0)</f>
        <v>0</v>
      </c>
      <c r="G65" s="49">
        <f>IFERROR(__xludf.DUMMYFUNCTION("IFERROR(
  VLOOKUP(
    A65,
    IMPORTRANGE(
      ""1ZHMy3vVUd_0MrSduXTe1etBb1HNpAlGwQr006ljwMiM"",
      ""GSC最新!A:F""
    ),
    3,
    FALSE
  ),
  0
)
"),0.0)</f>
        <v>0</v>
      </c>
      <c r="H65" s="49">
        <f>IFERROR(__xludf.DUMMYFUNCTION("IFERROR(
  VLOOKUP(
    A65,
    IMPORTRANGE(
      ""1ZHMy3vVUd_0MrSduXTe1etBb1HNpAlGwQr006ljwMiM"",
      ""GSC最新!A:F""
    ),
    4,
    FALSE
  ),
  0
)
"),0.0)</f>
        <v>0</v>
      </c>
      <c r="I65" s="49">
        <f>IFERROR(__xludf.DUMMYFUNCTION("IFERROR(
  VLOOKUP(
    A65,
    IMPORTRANGE(
      ""1ZHMy3vVUd_0MrSduXTe1etBb1HNpAlGwQr006ljwMiM"",
      ""GSC最新!A:F""
    ),
    5,
    FALSE
  ),
  0
)
"),0.0)</f>
        <v>0</v>
      </c>
      <c r="J65" s="50" t="str">
        <f t="shared" ref="J65:K65" si="316">IFERROR(F65/H65,"-")</f>
        <v>-</v>
      </c>
      <c r="K65" s="50" t="str">
        <f t="shared" si="316"/>
        <v>-</v>
      </c>
      <c r="L65" s="6">
        <f>IFERROR(__xludf.DUMMYFUNCTION("IFERROR(
  VLOOKUP(
    A65,
    IMPORTRANGE(
      ""1ZHMy3vVUd_0MrSduXTe1etBb1HNpAlGwQr006ljwMiM"",
      ""GSC最新!A:R""
    ),
    7,
    FALSE
  ),
  0
)
"),21.0)</f>
        <v>21</v>
      </c>
      <c r="M65" s="6">
        <f>IFERROR(__xludf.DUMMYFUNCTION("IFERROR(
  VLOOKUP(
    A65,
    IMPORTRANGE(
      ""1ZHMy3vVUd_0MrSduXTe1etBb1HNpAlGwQr006ljwMiM"",
      ""GSC最新!A:R""
    ),
    10,
    FALSE
  ),
  0
)
"),33.0)</f>
        <v>33</v>
      </c>
      <c r="N65" s="6">
        <f>IFERROR(__xludf.DUMMYFUNCTION("IFERROR(
  VLOOKUP(
    A65,
    IMPORTRANGE(
      ""1ZHMy3vVUd_0MrSduXTe1etBb1HNpAlGwQr006ljwMiM"",
      ""GSC最新!A:R""
    ),
    13,
    FALSE
  ),
  0
)
"),0.0)</f>
        <v>0</v>
      </c>
      <c r="O65" s="6">
        <f>IFERROR(__xludf.DUMMYFUNCTION("IFERROR(
  VLOOKUP(
    A65,
    IMPORTRANGE(
      ""1ZHMy3vVUd_0MrSduXTe1etBb1HNpAlGwQr006ljwMiM"",
      ""GSC最新!A:R""
    ),
    16,
    FALSE
  ),
  0
)
"),0.0)</f>
        <v>0</v>
      </c>
      <c r="P65" s="51" t="str">
        <f t="shared" ref="P65:Q65" si="317">IFERROR(L65/N65,"-")</f>
        <v>-</v>
      </c>
      <c r="Q65" s="51" t="str">
        <f t="shared" si="317"/>
        <v>-</v>
      </c>
      <c r="R65" s="9">
        <f>IFERROR(__xludf.DUMMYFUNCTION("IFERROR(
  VLOOKUP(
    A65,
    IMPORTRANGE(
      ""1ZHMy3vVUd_0MrSduXTe1etBb1HNpAlGwQr006ljwMiM"",
      ""GSC最新!A:R""
    ),
    8,
    FALSE
  ),
  0
)
"),0.0)</f>
        <v>0</v>
      </c>
      <c r="S65" s="9">
        <f>IFERROR(__xludf.DUMMYFUNCTION("IFERROR(
  VLOOKUP(
    A65,
    IMPORTRANGE(
      ""1ZHMy3vVUd_0MrSduXTe1etBb1HNpAlGwQr006ljwMiM"",
      ""GSC最新!A:R""
    ),
    11,
    FALSE
  ),
  0
)
"),0.0)</f>
        <v>0</v>
      </c>
      <c r="T65" s="9">
        <f>IFERROR(__xludf.DUMMYFUNCTION("IFERROR(
  VLOOKUP(
    A65,
    IMPORTRANGE(
      ""1ZHMy3vVUd_0MrSduXTe1etBb1HNpAlGwQr006ljwMiM"",
      ""GSC最新!A:R""
    ),
    14,
    FALSE
  ),
  0
)
"),0.0)</f>
        <v>0</v>
      </c>
      <c r="U65" s="9">
        <f>IFERROR(__xludf.DUMMYFUNCTION("IFERROR(
  VLOOKUP(
    A65,
    IMPORTRANGE(
      ""1ZHMy3vVUd_0MrSduXTe1etBb1HNpAlGwQr006ljwMiM"",
      ""GSC最新!A:R""
    ),
    17,
    FALSE
  ),
  0
)
"),0.0)</f>
        <v>0</v>
      </c>
      <c r="V65" s="9">
        <f t="shared" ref="V65:W65" si="318">IFERROR(R65-T65,"-")</f>
        <v>0</v>
      </c>
      <c r="W65" s="9">
        <f t="shared" si="318"/>
        <v>0</v>
      </c>
      <c r="X65" s="65">
        <f>IFERROR(__xludf.DUMMYFUNCTION("IFERROR(
  VLOOKUP(
    A65,
    IMPORTRANGE(
      ""1ZHMy3vVUd_0MrSduXTe1etBb1HNpAlGwQr006ljwMiM"",
      ""GSC最新!A:R""
    ),
    9,
    FALSE
  ),
  0
)
"),4.666666666666666)</f>
        <v>4.666666667</v>
      </c>
      <c r="Y65" s="65">
        <f>IFERROR(__xludf.DUMMYFUNCTION("IFERROR(
  VLOOKUP(
    A65,
    IMPORTRANGE(
      ""1ZHMy3vVUd_0MrSduXTe1etBb1HNpAlGwQr006ljwMiM"",
      ""GSC最新!A:R""
    ),
    12,
    FALSE
  ),
  0
)
"),5.151515151515151)</f>
        <v>5.151515152</v>
      </c>
      <c r="Z65" s="65" t="str">
        <f>IFERROR(__xludf.DUMMYFUNCTION("IFERROR(
  VLOOKUP(
    A65,
    IMPORTRANGE(
      ""1ZHMy3vVUd_0MrSduXTe1etBb1HNpAlGwQr006ljwMiM"",
      ""GSC最新!A:R""
    ),
    15,
    FALSE
  ),
  0
)
"),"")</f>
        <v/>
      </c>
      <c r="AA65" s="65" t="str">
        <f>IFERROR(__xludf.DUMMYFUNCTION("IFERROR(
  VLOOKUP(
    A65,
    IMPORTRANGE(
      ""1ZHMy3vVUd_0MrSduXTe1etBb1HNpAlGwQr006ljwMiM"",
      ""GSC最新!A:R""
    ),
    18,
    FALSE
  ),
  0
)
"),"")</f>
        <v/>
      </c>
      <c r="AB65" s="65">
        <f t="shared" ref="AB65:AC65" si="319">X65-Z65</f>
        <v>4.666666667</v>
      </c>
      <c r="AC65" s="65">
        <f t="shared" si="319"/>
        <v>5.151515152</v>
      </c>
      <c r="AD65" s="53">
        <f>IFERROR(__xludf.DUMMYFUNCTION("IFERROR(
  VLOOKUP(
    A65,
    IMPORTRANGE(
      ""1ZHMy3vVUd_0MrSduXTe1etBb1HNpAlGwQr006ljwMiM"",
      ""GSC最新!A:F""
    ),
    6,
    FALSE
  ),
  0
)
"),46081.0)</f>
        <v>46081</v>
      </c>
      <c r="AE65" s="54">
        <f>IFERROR(__xludf.DUMMYFUNCTION("IFERROR(
  VLOOKUP(
    A65,
    IMPORTRANGE(
      ""1SCYQd7_cobOYqT0r_F0IqD4tE4rYn5y8Eup4PJTH8es"",
      ""Snapshot!A:M""
    ),
    5,
    FALSE
  ),
  ""-""
)
"),0.0)</f>
        <v>0</v>
      </c>
      <c r="AF65" s="54">
        <f>IFERROR(__xludf.DUMMYFUNCTION("IFERROR(
  VLOOKUP(
    A65,
    IMPORTRANGE(
      ""1SCYQd7_cobOYqT0r_F0IqD4tE4rYn5y8Eup4PJTH8es"",
      ""Snapshot!A:M""
    ),
    6,
    FALSE
  ),
  0
)
"),0.0)</f>
        <v>0</v>
      </c>
      <c r="AG65" s="54">
        <f>IFERROR(__xludf.DUMMYFUNCTION("IFERROR(
  VLOOKUP(
    A65,
    IMPORTRANGE(
      ""1SCYQd7_cobOYqT0r_F0IqD4tE4rYn5y8Eup4PJTH8es"",
      ""Snapshot!A:M""
    ),
    7,
    FALSE
  ),
  0
)
"),0.0)</f>
        <v>0</v>
      </c>
      <c r="AH65" s="54">
        <f>IFERROR(__xludf.DUMMYFUNCTION("IFERROR(
  VLOOKUP(
    A65,
    IMPORTRANGE(
      ""1SCYQd7_cobOYqT0r_F0IqD4tE4rYn5y8Eup4PJTH8es"",
      ""Snapshot!A:M""
    ),
    8,
    FALSE
  ),
  0
)
"),0.0)</f>
        <v>0</v>
      </c>
      <c r="AI65" s="54">
        <f>IFERROR(__xludf.DUMMYFUNCTION("IFERROR(
  VLOOKUP(
    A65,
    IMPORTRANGE(
      ""1SCYQd7_cobOYqT0r_F0IqD4tE4rYn5y8Eup4PJTH8es"",
      ""Snapshot!A:M""
    ),
    9,
    FALSE
  ),
  0
)
"),0.0)</f>
        <v>0</v>
      </c>
      <c r="AJ65" s="54">
        <f>IFERROR(__xludf.DUMMYFUNCTION("IFERROR(
  VLOOKUP(
    A65,
    IMPORTRANGE(
      ""1SCYQd7_cobOYqT0r_F0IqD4tE4rYn5y8Eup4PJTH8es"",
      ""Snapshot!A:M""
    ),
    13,
    FALSE
  ),
  0
)
"),1.0)</f>
        <v>1</v>
      </c>
      <c r="AK65" s="49">
        <f t="shared" ref="AK65:AL65" si="320">LEN(C65)</f>
        <v>43</v>
      </c>
      <c r="AL65" s="49">
        <f t="shared" si="320"/>
        <v>116</v>
      </c>
    </row>
    <row r="66">
      <c r="A66" s="3" t="s">
        <v>758</v>
      </c>
      <c r="B66" s="1" t="str">
        <f>IFERROR(__xludf.DUMMYFUNCTION("IFERROR(
  VLOOKUP(
    A66,
    IMPORTRANGE(
      ""1ZygntHC1J6IxzKbTidmOyf5nUyW4GCLurHCjexrLm_o"",
      ""HTMLキャッシュ!A:F""
    ),
    2,
    FALSE
  ),
  0
)
"),"SC")</f>
        <v>SC</v>
      </c>
      <c r="C66" s="1" t="str">
        <f>IFERROR(__xludf.DUMMYFUNCTION("IFERROR(
  VLOOKUP(
    A66,
    IMPORTRANGE(
      ""1ZygntHC1J6IxzKbTidmOyf5nUyW4GCLurHCjexrLm_o"",
      ""HTMLキャッシュ!A:F""
    ),
    5,
    FALSE
  ),
  0
)
"),"中学生からはじめる勉強法、そしてノートを利用した自学について - 中高一貫校専門塾エスコット(Escot)～定期試験対策から大学受験指導まで～")</f>
        <v>中学生からはじめる勉強法、そしてノートを利用した自学について - 中高一貫校専門塾エスコット(Escot)～定期試験対策から大学受験指導まで～</v>
      </c>
      <c r="D66" s="1" t="str">
        <f>IFERROR(__xludf.DUMMYFUNCTION("IFERROR(
  VLOOKUP(
    A66,
    IMPORTRANGE(
      ""1ZygntHC1J6IxzKbTidmOyf5nUyW4GCLurHCjexrLm_o        "",
      ""HTMLキャッシュ!A:F""
    ),
    6,
    FALSE
  ),
  0
)
"),"中学生の自習を効率化する勉強法とノート活用の意義 中学生が自学でする勉強法は、ノートを使うのが効果的です。今は")</f>
        <v>中学生の自習を効率化する勉強法とノート活用の意義 中学生が自学でする勉強法は、ノートを使うのが効果的です。今は</v>
      </c>
      <c r="E66" s="32">
        <f>IFERROR(__xludf.DUMMYFUNCTION("IFERROR(
  VLOOKUP(
    A66,
    IMPORTRANGE(
      ""1ZygntHC1J6IxzKbTidmOyf5nUyW4GCLurHCjexrLm_o        "",
      ""HTMLキャッシュ!A:F""
    ),
    3,
    FALSE
  ),
  0
)
"),46043.7862962963)</f>
        <v>46043.7863</v>
      </c>
      <c r="F66" s="49">
        <f>IFERROR(__xludf.DUMMYFUNCTION("IFERROR(
  VLOOKUP(
    A66,
    IMPORTRANGE(
      ""1ZHMy3vVUd_0MrSduXTe1etBb1HNpAlGwQr006ljwMiM"",
      ""GSC最新!A:F""
    ),
    2,
    FALSE
  ),
  0
)
"),0.0)</f>
        <v>0</v>
      </c>
      <c r="G66" s="49">
        <f>IFERROR(__xludf.DUMMYFUNCTION("IFERROR(
  VLOOKUP(
    A66,
    IMPORTRANGE(
      ""1ZHMy3vVUd_0MrSduXTe1etBb1HNpAlGwQr006ljwMiM"",
      ""GSC最新!A:F""
    ),
    3,
    FALSE
  ),
  0
)
"),0.0)</f>
        <v>0</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"),0.0)</f>
        <v>0</v>
      </c>
      <c r="J66" s="50" t="str">
        <f t="shared" ref="J66:K66" si="321">IFERROR(F66/H66,"-")</f>
        <v>-</v>
      </c>
      <c r="K66" s="50" t="str">
        <f t="shared" si="321"/>
        <v>-</v>
      </c>
      <c r="L66" s="6">
        <f>IFERROR(__xludf.DUMMYFUNCTION("IFERROR(
  VLOOKUP(
    A66,
    IMPORTRANGE(
      ""1ZHMy3vVUd_0MrSduXTe1etBb1HNpAlGwQr006ljwMiM"",
      ""GSC最新!A:R""
    ),
    7,
    FALSE
  ),
  0
)
"),6.0)</f>
        <v>6</v>
      </c>
      <c r="M66" s="6">
        <f>IFERROR(__xludf.DUMMYFUNCTION("IFERROR(
  VLOOKUP(
    A66,
    IMPORTRANGE(
      ""1ZHMy3vVUd_0MrSduXTe1etBb1HNpAlGwQr006ljwMiM"",
      ""GSC最新!A:R""
    ),
    10,
    FALSE
  ),
  0
)
"),29.0)</f>
        <v>29</v>
      </c>
      <c r="N66" s="6">
        <f>IFERROR(__xludf.DUMMYFUNCTION("IFERROR(
  VLOOKUP(
    A66,
    IMPORTRANGE(
      ""1ZHMy3vVUd_0MrSduXTe1etBb1HNpAlGwQr006ljwMiM"",
      ""GSC最新!A:R""
    ),
    13,
    FALSE
  ),
  0
)
"),1.0)</f>
        <v>1</v>
      </c>
      <c r="O66" s="6">
        <f>IFERROR(__xludf.DUMMYFUNCTION("IFERROR(
  VLOOKUP(
    A66,
    IMPORTRANGE(
      ""1ZHMy3vVUd_0MrSduXTe1etBb1HNpAlGwQr006ljwMiM"",
      ""GSC最新!A:R""
    ),
    16,
    FALSE
  ),
  0
)
"),287.0)</f>
        <v>287</v>
      </c>
      <c r="P66" s="51">
        <f t="shared" ref="P66:Q66" si="322">IFERROR(L66/N66,"-")</f>
        <v>6</v>
      </c>
      <c r="Q66" s="51">
        <f t="shared" si="322"/>
        <v>0.1010452962</v>
      </c>
      <c r="R66" s="9">
        <f>IFERROR(__xludf.DUMMYFUNCTION("IFERROR(
  VLOOKUP(
    A66,
    IMPORTRANGE(
      ""1ZHMy3vVUd_0MrSduXTe1etBb1HNpAlGwQr006ljwMiM"",
      ""GSC最新!A:R""
    ),
    8,
    FALSE
  ),
  0
)
"),0.0)</f>
        <v>0</v>
      </c>
      <c r="S66" s="9">
        <f>IFERROR(__xludf.DUMMYFUNCTION("IFERROR(
  VLOOKUP(
    A66,
    IMPORTRANGE(
      ""1ZHMy3vVUd_0MrSduXTe1etBb1HNpAlGwQr006ljwMiM"",
      ""GSC最新!A:R""
    ),
    11,
    FALSE
  ),
  0
)
"),0.0)</f>
        <v>0</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f>
        <v>0</v>
      </c>
      <c r="V66" s="9">
        <f t="shared" ref="V66:W66" si="323">IFERROR(R66-T66,"-")</f>
        <v>0</v>
      </c>
      <c r="W66" s="9">
        <f t="shared" si="323"/>
        <v>0</v>
      </c>
      <c r="X66" s="65">
        <f>IFERROR(__xludf.DUMMYFUNCTION("IFERROR(
  VLOOKUP(
    A66,
    IMPORTRANGE(
      ""1ZHMy3vVUd_0MrSduXTe1etBb1HNpAlGwQr006ljwMiM"",
      ""GSC最新!A:R""
    ),
    9,
    FALSE
  ),
  0
)
"),16.833333333333336)</f>
        <v>16.83333333</v>
      </c>
      <c r="Y66" s="65">
        <f>IFERROR(__xludf.DUMMYFUNCTION("IFERROR(
  VLOOKUP(
    A66,
    IMPORTRANGE(
      ""1ZHMy3vVUd_0MrSduXTe1etBb1HNpAlGwQr006ljwMiM"",
      ""GSC最新!A:R""
    ),
    12,
    FALSE
  ),
  0
)
"),13.655172413793103)</f>
        <v>13.65517241</v>
      </c>
      <c r="Z66" s="65">
        <f>IFERROR(__xludf.DUMMYFUNCTION("IFERROR(
  VLOOKUP(
    A66,
    IMPORTRANGE(
      ""1ZHMy3vVUd_0MrSduXTe1etBb1HNpAlGwQr006ljwMiM"",
      ""GSC最新!A:R""
    ),
    15,
    FALSE
  ),
  0
)
"),4.0)</f>
        <v>4</v>
      </c>
      <c r="AA66" s="65">
        <f>IFERROR(__xludf.DUMMYFUNCTION("IFERROR(
  VLOOKUP(
    A66,
    IMPORTRANGE(
      ""1ZHMy3vVUd_0MrSduXTe1etBb1HNpAlGwQr006ljwMiM"",
      ""GSC最新!A:R""
    ),
    18,
    FALSE
  ),
  0
)
"),64.90592334494774)</f>
        <v>64.90592334</v>
      </c>
      <c r="AB66" s="65">
        <f t="shared" ref="AB66:AC66" si="324">X66-Z66</f>
        <v>12.83333333</v>
      </c>
      <c r="AC66" s="65">
        <f t="shared" si="324"/>
        <v>-51.25075093</v>
      </c>
      <c r="AD66" s="53">
        <f>IFERROR(__xludf.DUMMYFUNCTION("IFERROR(
  VLOOKUP(
    A66,
    IMPORTRANGE(
      ""1ZHMy3vVUd_0MrSduXTe1etBb1HNpAlGwQr006ljwMiM"",
      ""GSC最新!A:F""
    ),
    6,
    FALSE
  ),
  0
)
"),46081.0)</f>
        <v>46081</v>
      </c>
      <c r="AE66" s="54">
        <f>IFERROR(__xludf.DUMMYFUNCTION("IFERROR(
  VLOOKUP(
    A66,
    IMPORTRANGE(
      ""1SCYQd7_cobOYqT0r_F0IqD4tE4rYn5y8Eup4PJTH8es"",
      ""Snapshot!A:M""
    ),
    5,
    FALSE
  ),
  ""-""
)
"),1.0)</f>
        <v>1</v>
      </c>
      <c r="AF66" s="54">
        <f>IFERROR(__xludf.DUMMYFUNCTION("IFERROR(
  VLOOKUP(
    A66,
    IMPORTRANGE(
      ""1SCYQd7_cobOYqT0r_F0IqD4tE4rYn5y8Eup4PJTH8es"",
      ""Snapshot!A:M""
    ),
    6,
    FALSE
  ),
  0
)
"),2.0)</f>
        <v>2</v>
      </c>
      <c r="AG66" s="54">
        <f>IFERROR(__xludf.DUMMYFUNCTION("IFERROR(
  VLOOKUP(
    A66,
    IMPORTRANGE(
      ""1SCYQd7_cobOYqT0r_F0IqD4tE4rYn5y8Eup4PJTH8es"",
      ""Snapshot!A:M""
    ),
    7,
    FALSE
  ),
  0
)
"),1307.0)</f>
        <v>1307</v>
      </c>
      <c r="AH66" s="54">
        <f>IFERROR(__xludf.DUMMYFUNCTION("IFERROR(
  VLOOKUP(
    A66,
    IMPORTRANGE(
      ""1SCYQd7_cobOYqT0r_F0IqD4tE4rYn5y8Eup4PJTH8es"",
      ""Snapshot!A:M""
    ),
    8,
    FALSE
  ),
  0
)
"),28.0)</f>
        <v>28</v>
      </c>
      <c r="AI66" s="54">
        <f>IFERROR(__xludf.DUMMYFUNCTION("IFERROR(
  VLOOKUP(
    A66,
    IMPORTRANGE(
      ""1SCYQd7_cobOYqT0r_F0IqD4tE4rYn5y8Eup4PJTH8es"",
      ""Snapshot!A:M""
    ),
    9,
    FALSE
  ),
  0
)
"),0.0)</f>
        <v>0</v>
      </c>
      <c r="AJ66" s="54">
        <f>IFERROR(__xludf.DUMMYFUNCTION("IFERROR(
  VLOOKUP(
    A66,
    IMPORTRANGE(
      ""1SCYQd7_cobOYqT0r_F0IqD4tE4rYn5y8Eup4PJTH8es"",
      ""Snapshot!A:M""
    ),
    13,
    FALSE
  ),
  0
)
"),2.0)</f>
        <v>2</v>
      </c>
      <c r="AK66" s="49">
        <f t="shared" ref="AK66:AL66" si="325">LEN(C66)</f>
        <v>71</v>
      </c>
      <c r="AL66" s="49">
        <f t="shared" si="325"/>
        <v>55</v>
      </c>
    </row>
    <row r="67">
      <c r="A67" s="3" t="s">
        <v>759</v>
      </c>
      <c r="B67" s="1" t="str">
        <f>IFERROR(__xludf.DUMMYFUNCTION("IFERROR(
  VLOOKUP(
    A67,
    IMPORTRANGE(
      ""1ZygntHC1J6IxzKbTidmOyf5nUyW4GCLurHCjexrLm_o"",
      ""HTMLキャッシュ!A:F""
    ),
    2,
    FALSE
  ),
  0
)
"),"NW")</f>
        <v>NW</v>
      </c>
      <c r="C67" s="1" t="str">
        <f>IFERROR(__xludf.DUMMYFUNCTION("IFERROR(
  VLOOKUP(
    A67,
    IMPORTRANGE(
      ""1ZygntHC1J6IxzKbTidmOyf5nUyW4GCLurHCjexrLm_o"",
      ""HTMLキャッシュ!A:F""
    ),
    5,
    FALSE
  ),
  0
)
"),"オンライン１対１個別指導サービス「With You（ウィズ・ユー）」開始のお知らせ - 中高一貫校専門塾エスコット(Escot)～定期試験対策から大学受験指導まで～")</f>
        <v>オンライン１対１個別指導サービス「With You（ウィズ・ユー）」開始のお知らせ - 中高一貫校専門塾エスコット(Escot)～定期試験対策から大学受験指導まで～</v>
      </c>
      <c r="D67" s="1" t="str">
        <f>IFERROR(__xludf.DUMMYFUNCTION("IFERROR(
  VLOOKUP(
    A67,
    IMPORTRANGE(
      ""1ZygntHC1J6IxzKbTidmOyf5nUyW4GCLurHCjexrLm_o        "",
      ""HTMLキャッシュ!A:F""
    ),
    6,
    FALSE
  ),
  0
)
"),"当塾では、オンライン１対１個別指導サービス「With You（ウィズ・ユー）」を2020年4月9日より開始致し")</f>
        <v>当塾では、オンライン１対１個別指導サービス「With You（ウィズ・ユー）」を2020年4月9日より開始致し</v>
      </c>
      <c r="E67" s="32">
        <f>IFERROR(__xludf.DUMMYFUNCTION("IFERROR(
  VLOOKUP(
    A67,
    IMPORTRANGE(
      ""1ZygntHC1J6IxzKbTidmOyf5nUyW4GCLurHCjexrLm_o        "",
      ""HTMLキャッシュ!A:F""
    ),
    3,
    FALSE
  ),
  0
)
"),44305.60221064815)</f>
        <v>44305.60221</v>
      </c>
      <c r="F67" s="49">
        <f>IFERROR(__xludf.DUMMYFUNCTION("IFERROR(
  VLOOKUP(
    A67,
    IMPORTRANGE(
      ""1ZHMy3vVUd_0MrSduXTe1etBb1HNpAlGwQr006ljwMiM"",
      ""GSC最新!A:F""
    ),
    2,
    FALSE
  ),
  0
)
"),0.0)</f>
        <v>0</v>
      </c>
      <c r="G67" s="49">
        <f>IFERROR(__xludf.DUMMYFUNCTION("IFERROR(
  VLOOKUP(
    A67,
    IMPORTRANGE(
      ""1ZHMy3vVUd_0MrSduXTe1etBb1HNpAlGwQr006ljwMiM"",
      ""GSC最新!A:F""
    ),
    3,
    FALSE
  ),
  0
)
"),0.0)</f>
        <v>0</v>
      </c>
      <c r="H67" s="49">
        <f>IFERROR(__xludf.DUMMYFUNCTION("IFERROR(
  VLOOKUP(
    A67,
    IMPORTRANGE(
      ""1ZHMy3vVUd_0MrSduXTe1etBb1HNpAlGwQr006ljwMiM"",
      ""GSC最新!A:F""
    ),
    4,
    FALSE
  ),
  0
)
"),0.0)</f>
        <v>0</v>
      </c>
      <c r="I67" s="49">
        <f>IFERROR(__xludf.DUMMYFUNCTION("IFERROR(
  VLOOKUP(
    A67,
    IMPORTRANGE(
      ""1ZHMy3vVUd_0MrSduXTe1etBb1HNpAlGwQr006ljwMiM"",
      ""GSC最新!A:F""
    ),
    5,
    FALSE
  ),
  0
)
"),0.0)</f>
        <v>0</v>
      </c>
      <c r="J67" s="50" t="str">
        <f t="shared" ref="J67:K67" si="326">IFERROR(F67/H67,"-")</f>
        <v>-</v>
      </c>
      <c r="K67" s="50" t="str">
        <f t="shared" si="326"/>
        <v>-</v>
      </c>
      <c r="L67" s="6">
        <f>IFERROR(__xludf.DUMMYFUNCTION("IFERROR(
  VLOOKUP(
    A67,
    IMPORTRANGE(
      ""1ZHMy3vVUd_0MrSduXTe1etBb1HNpAlGwQr006ljwMiM"",
      ""GSC最新!A:R""
    ),
    7,
    FALSE
  ),
  0
)
"),7.0)</f>
        <v>7</v>
      </c>
      <c r="M67" s="6">
        <f>IFERROR(__xludf.DUMMYFUNCTION("IFERROR(
  VLOOKUP(
    A67,
    IMPORTRANGE(
      ""1ZHMy3vVUd_0MrSduXTe1etBb1HNpAlGwQr006ljwMiM"",
      ""GSC最新!A:R""
    ),
    10,
    FALSE
  ),
  0
)
"),28.0)</f>
        <v>28</v>
      </c>
      <c r="N67" s="6">
        <f>IFERROR(__xludf.DUMMYFUNCTION("IFERROR(
  VLOOKUP(
    A67,
    IMPORTRANGE(
      ""1ZHMy3vVUd_0MrSduXTe1etBb1HNpAlGwQr006ljwMiM"",
      ""GSC最新!A:R""
    ),
    13,
    FALSE
  ),
  0
)
"),160.0)</f>
        <v>160</v>
      </c>
      <c r="O67" s="6">
        <f>IFERROR(__xludf.DUMMYFUNCTION("IFERROR(
  VLOOKUP(
    A67,
    IMPORTRANGE(
      ""1ZHMy3vVUd_0MrSduXTe1etBb1HNpAlGwQr006ljwMiM"",
      ""GSC最新!A:R""
    ),
    16,
    FALSE
  ),
  0
)
"),308.0)</f>
        <v>308</v>
      </c>
      <c r="P67" s="51">
        <f t="shared" ref="P67:Q67" si="327">IFERROR(L67/N67,"-")</f>
        <v>0.04375</v>
      </c>
      <c r="Q67" s="51">
        <f t="shared" si="327"/>
        <v>0.09090909091</v>
      </c>
      <c r="R67" s="9">
        <f>IFERROR(__xludf.DUMMYFUNCTION("IFERROR(
  VLOOKUP(
    A67,
    IMPORTRANGE(
      ""1ZHMy3vVUd_0MrSduXTe1etBb1HNpAlGwQr006ljwMiM"",
      ""GSC最新!A:R""
    ),
    8,
    FALSE
  ),
  0
)
"),0.0)</f>
        <v>0</v>
      </c>
      <c r="S67" s="9">
        <f>IFERROR(__xludf.DUMMYFUNCTION("IFERROR(
  VLOOKUP(
    A67,
    IMPORTRANGE(
      ""1ZHMy3vVUd_0MrSduXTe1etBb1HNpAlGwQr006ljwMiM"",
      ""GSC最新!A:R""
    ),
    11,
    FALSE
  ),
  0
)
"),0.0)</f>
        <v>0</v>
      </c>
      <c r="T67" s="9">
        <f>IFERROR(__xludf.DUMMYFUNCTION("IFERROR(
  VLOOKUP(
    A67,
    IMPORTRANGE(
      ""1ZHMy3vVUd_0MrSduXTe1etBb1HNpAlGwQr006ljwMiM"",
      ""GSC最新!A:R""
    ),
    14,
    FALSE
  ),
  0
)
"),0.0)</f>
        <v>0</v>
      </c>
      <c r="U67" s="9">
        <f>IFERROR(__xludf.DUMMYFUNCTION("IFERROR(
  VLOOKUP(
    A67,
    IMPORTRANGE(
      ""1ZHMy3vVUd_0MrSduXTe1etBb1HNpAlGwQr006ljwMiM"",
      ""GSC最新!A:R""
    ),
    17,
    FALSE
  ),
  0
)
"),0.0)</f>
        <v>0</v>
      </c>
      <c r="V67" s="9">
        <f t="shared" ref="V67:W67" si="328">IFERROR(R67-T67,"-")</f>
        <v>0</v>
      </c>
      <c r="W67" s="9">
        <f t="shared" si="328"/>
        <v>0</v>
      </c>
      <c r="X67" s="65">
        <f>IFERROR(__xludf.DUMMYFUNCTION("IFERROR(
  VLOOKUP(
    A67,
    IMPORTRANGE(
      ""1ZHMy3vVUd_0MrSduXTe1etBb1HNpAlGwQr006ljwMiM"",
      ""GSC最新!A:R""
    ),
    9,
    FALSE
  ),
  0
)
"),6.0)</f>
        <v>6</v>
      </c>
      <c r="Y67" s="65">
        <f>IFERROR(__xludf.DUMMYFUNCTION("IFERROR(
  VLOOKUP(
    A67,
    IMPORTRANGE(
      ""1ZHMy3vVUd_0MrSduXTe1etBb1HNpAlGwQr006ljwMiM"",
      ""GSC最新!A:R""
    ),
    12,
    FALSE
  ),
  0
)
"),5.357142857142857)</f>
        <v>5.357142857</v>
      </c>
      <c r="Z67" s="65">
        <f>IFERROR(__xludf.DUMMYFUNCTION("IFERROR(
  VLOOKUP(
    A67,
    IMPORTRANGE(
      ""1ZHMy3vVUd_0MrSduXTe1etBb1HNpAlGwQr006ljwMiM"",
      ""GSC最新!A:R""
    ),
    15,
    FALSE
  ),
  0
)
"),69.6125)</f>
        <v>69.6125</v>
      </c>
      <c r="AA67" s="65">
        <f>IFERROR(__xludf.DUMMYFUNCTION("IFERROR(
  VLOOKUP(
    A67,
    IMPORTRANGE(
      ""1ZHMy3vVUd_0MrSduXTe1etBb1HNpAlGwQr006ljwMiM"",
      ""GSC最新!A:R""
    ),
    18,
    FALSE
  ),
  0
)
"),67.81168831168831)</f>
        <v>67.81168831</v>
      </c>
      <c r="AB67" s="65">
        <f t="shared" ref="AB67:AC67" si="329">X67-Z67</f>
        <v>-63.6125</v>
      </c>
      <c r="AC67" s="65">
        <f t="shared" si="329"/>
        <v>-62.45454545</v>
      </c>
      <c r="AD67" s="53">
        <f>IFERROR(__xludf.DUMMYFUNCTION("IFERROR(
  VLOOKUP(
    A67,
    IMPORTRANGE(
      ""1ZHMy3vVUd_0MrSduXTe1etBb1HNpAlGwQr006ljwMiM"",
      ""GSC最新!A:F""
    ),
    6,
    FALSE
  ),
  0
)
"),46081.0)</f>
        <v>46081</v>
      </c>
      <c r="AE67" s="54">
        <f>IFERROR(__xludf.DUMMYFUNCTION("IFERROR(
  VLOOKUP(
    A67,
    IMPORTRANGE(
      ""1SCYQd7_cobOYqT0r_F0IqD4tE4rYn5y8Eup4PJTH8es"",
      ""Snapshot!A:M""
    ),
    5,
    FALSE
  ),
  ""-""
)
"),0.0)</f>
        <v>0</v>
      </c>
      <c r="AF67" s="54">
        <f>IFERROR(__xludf.DUMMYFUNCTION("IFERROR(
  VLOOKUP(
    A67,
    IMPORTRANGE(
      ""1SCYQd7_cobOYqT0r_F0IqD4tE4rYn5y8Eup4PJTH8es"",
      ""Snapshot!A:M""
    ),
    6,
    FALSE
  ),
  0
)
"),0.0)</f>
        <v>0</v>
      </c>
      <c r="AG67" s="54">
        <f>IFERROR(__xludf.DUMMYFUNCTION("IFERROR(
  VLOOKUP(
    A67,
    IMPORTRANGE(
      ""1SCYQd7_cobOYqT0r_F0IqD4tE4rYn5y8Eup4PJTH8es"",
      ""Snapshot!A:M""
    ),
    7,
    FALSE
  ),
  0
)
"),841.0)</f>
        <v>841</v>
      </c>
      <c r="AH67" s="54">
        <f>IFERROR(__xludf.DUMMYFUNCTION("IFERROR(
  VLOOKUP(
    A67,
    IMPORTRANGE(
      ""1SCYQd7_cobOYqT0r_F0IqD4tE4rYn5y8Eup4PJTH8es"",
      ""Snapshot!A:M""
    ),
    8,
    FALSE
  ),
  0
)
"),0.0)</f>
        <v>0</v>
      </c>
      <c r="AI67" s="54">
        <f>IFERROR(__xludf.DUMMYFUNCTION("IFERROR(
  VLOOKUP(
    A67,
    IMPORTRANGE(
      ""1SCYQd7_cobOYqT0r_F0IqD4tE4rYn5y8Eup4PJTH8es"",
      ""Snapshot!A:M""
    ),
    9,
    FALSE
  ),
  0
)
"),1.0)</f>
        <v>1</v>
      </c>
      <c r="AJ67" s="54">
        <f>IFERROR(__xludf.DUMMYFUNCTION("IFERROR(
  VLOOKUP(
    A67,
    IMPORTRANGE(
      ""1SCYQd7_cobOYqT0r_F0IqD4tE4rYn5y8Eup4PJTH8es"",
      ""Snapshot!A:M""
    ),
    13,
    FALSE
  ),
  0
)
"),2.0)</f>
        <v>2</v>
      </c>
      <c r="AK67" s="49">
        <f t="shared" ref="AK67:AL67" si="330">LEN(C67)</f>
        <v>82</v>
      </c>
      <c r="AL67" s="49">
        <f t="shared" si="330"/>
        <v>55</v>
      </c>
    </row>
    <row r="68">
      <c r="A68" s="3" t="s">
        <v>193</v>
      </c>
      <c r="B68" s="1" t="str">
        <f>IFERROR(__xludf.DUMMYFUNCTION("IFERROR(
  VLOOKUP(
    A68,
    IMPORTRANGE(
      ""1ZygntHC1J6IxzKbTidmOyf5nUyW4GCLurHCjexrLm_o"",
      ""HTMLキャッシュ!A:F""
    ),
    2,
    FALSE
  ),
  0
)
"),"-")</f>
        <v>-</v>
      </c>
      <c r="C68" s="1" t="str">
        <f>IFERROR(__xludf.DUMMYFUNCTION("IFERROR(
  VLOOKUP(
    A68,
    IMPORTRANGE(
      ""1ZygntHC1J6IxzKbTidmOyf5nUyW4GCLurHCjexrLm_o"",
      ""HTMLキャッシュ!A:F""
    ),
    5,
    FALSE
  ),
  0
)
"),"コラム - 中高一貫校専門塾エスコット(Escot)～定期試験対策から大学受験指導まで～")</f>
        <v>コラム - 中高一貫校専門塾エスコット(Escot)～定期試験対策から大学受験指導まで～</v>
      </c>
      <c r="D68" s="1" t="str">
        <f>IFERROR(__xludf.DUMMYFUNCTION("IFERROR(
  VLOOKUP(
    A68,
    IMPORTRANGE(
      ""1ZygntHC1J6IxzKbTidmOyf5nUyW4GCLurHCjexrLm_o        "",
      ""HTMLキャッシュ!A:F""
    ),
    6,
    FALSE
  ),
  0
)
"),"[1ページ目] コラム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[1ページ目] コラム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68" s="32">
        <f>IFERROR(__xludf.DUMMYFUNCTION("IFERROR(
  VLOOKUP(
    A68,
    IMPORTRANGE(
      ""1ZygntHC1J6IxzKbTidmOyf5nUyW4GCLurHCjexrLm_o        "",
      ""HTMLキャッシュ!A:F""
    ),
    3,
    FALSE
  ),
  0
)
"),46026.72133101852)</f>
        <v>46026.72133</v>
      </c>
      <c r="F68" s="49">
        <f>IFERROR(__xludf.DUMMYFUNCTION("IFERROR(
  VLOOKUP(
    A68,
    IMPORTRANGE(
      ""1ZHMy3vVUd_0MrSduXTe1etBb1HNpAlGwQr006ljwMiM"",
      ""GSC最新!A:F""
    ),
    2,
    FALSE
  ),
  0
)
"),0.0)</f>
        <v>0</v>
      </c>
      <c r="G68" s="49">
        <f>IFERROR(__xludf.DUMMYFUNCTION("IFERROR(
  VLOOKUP(
    A68,
    IMPORTRANGE(
      ""1ZHMy3vVUd_0MrSduXTe1etBb1HNpAlGwQr006ljwMiM"",
      ""GSC最新!A:F""
    ),
    3,
    FALSE
  ),
  0
)
"),0.0)</f>
        <v>0</v>
      </c>
      <c r="H68" s="49">
        <f>IFERROR(__xludf.DUMMYFUNCTION("IFERROR(
  VLOOKUP(
    A68,
    IMPORTRANGE(
      ""1ZHMy3vVUd_0MrSduXTe1etBb1HNpAlGwQr006ljwMiM"",
      ""GSC最新!A:F""
    ),
    4,
    FALSE
  ),
  0
)
"),0.0)</f>
        <v>0</v>
      </c>
      <c r="I68" s="49">
        <f>IFERROR(__xludf.DUMMYFUNCTION("IFERROR(
  VLOOKUP(
    A68,
    IMPORTRANGE(
      ""1ZHMy3vVUd_0MrSduXTe1etBb1HNpAlGwQr006ljwMiM"",
      ""GSC最新!A:F""
    ),
    5,
    FALSE
  ),
  0
)
"),0.0)</f>
        <v>0</v>
      </c>
      <c r="J68" s="50" t="str">
        <f t="shared" ref="J68:K68" si="331">IFERROR(F68/H68,"-")</f>
        <v>-</v>
      </c>
      <c r="K68" s="50" t="str">
        <f t="shared" si="331"/>
        <v>-</v>
      </c>
      <c r="L68" s="6">
        <f>IFERROR(__xludf.DUMMYFUNCTION("IFERROR(
  VLOOKUP(
    A68,
    IMPORTRANGE(
      ""1ZHMy3vVUd_0MrSduXTe1etBb1HNpAlGwQr006ljwMiM"",
      ""GSC最新!A:R""
    ),
    7,
    FALSE
  ),
  0
)
"),10.0)</f>
        <v>10</v>
      </c>
      <c r="M68" s="6">
        <f>IFERROR(__xludf.DUMMYFUNCTION("IFERROR(
  VLOOKUP(
    A68,
    IMPORTRANGE(
      ""1ZHMy3vVUd_0MrSduXTe1etBb1HNpAlGwQr006ljwMiM"",
      ""GSC最新!A:R""
    ),
    10,
    FALSE
  ),
  0
)
"),25.0)</f>
        <v>25</v>
      </c>
      <c r="N68" s="6">
        <f>IFERROR(__xludf.DUMMYFUNCTION("IFERROR(
  VLOOKUP(
    A68,
    IMPORTRANGE(
      ""1ZHMy3vVUd_0MrSduXTe1etBb1HNpAlGwQr006ljwMiM"",
      ""GSC最新!A:R""
    ),
    13,
    FALSE
  ),
  0
)
"),12.0)</f>
        <v>12</v>
      </c>
      <c r="O68" s="6">
        <f>IFERROR(__xludf.DUMMYFUNCTION("IFERROR(
  VLOOKUP(
    A68,
    IMPORTRANGE(
      ""1ZHMy3vVUd_0MrSduXTe1etBb1HNpAlGwQr006ljwMiM"",
      ""GSC最新!A:R""
    ),
    16,
    FALSE
  ),
  0
)
"),17.0)</f>
        <v>17</v>
      </c>
      <c r="P68" s="51">
        <f t="shared" ref="P68:Q68" si="332">IFERROR(L68/N68,"-")</f>
        <v>0.8333333333</v>
      </c>
      <c r="Q68" s="51">
        <f t="shared" si="332"/>
        <v>1.470588235</v>
      </c>
      <c r="R68" s="9">
        <f>IFERROR(__xludf.DUMMYFUNCTION("IFERROR(
  VLOOKUP(
    A68,
    IMPORTRANGE(
      ""1ZHMy3vVUd_0MrSduXTe1etBb1HNpAlGwQr006ljwMiM"",
      ""GSC最新!A:R""
    ),
    8,
    FALSE
  ),
  0
)
"),0.0)</f>
        <v>0</v>
      </c>
      <c r="S68" s="9">
        <f>IFERROR(__xludf.DUMMYFUNCTION("IFERROR(
  VLOOKUP(
    A68,
    IMPORTRANGE(
      ""1ZHMy3vVUd_0MrSduXTe1etBb1HNpAlGwQr006ljwMiM"",
      ""GSC最新!A:R""
    ),
    11,
    FALSE
  ),
  0
)
"),0.0)</f>
        <v>0</v>
      </c>
      <c r="T68" s="9">
        <f>IFERROR(__xludf.DUMMYFUNCTION("IFERROR(
  VLOOKUP(
    A68,
    IMPORTRANGE(
      ""1ZHMy3vVUd_0MrSduXTe1etBb1HNpAlGwQr006ljwMiM"",
      ""GSC最新!A:R""
    ),
    14,
    FALSE
  ),
  0
)
"),0.0)</f>
        <v>0</v>
      </c>
      <c r="U68" s="9">
        <f>IFERROR(__xludf.DUMMYFUNCTION("IFERROR(
  VLOOKUP(
    A68,
    IMPORTRANGE(
      ""1ZHMy3vVUd_0MrSduXTe1etBb1HNpAlGwQr006ljwMiM"",
      ""GSC最新!A:R""
    ),
    17,
    FALSE
  ),
  0
)
"),0.0)</f>
        <v>0</v>
      </c>
      <c r="V68" s="9">
        <f t="shared" ref="V68:W68" si="333">IFERROR(R68-T68,"-")</f>
        <v>0</v>
      </c>
      <c r="W68" s="9">
        <f t="shared" si="333"/>
        <v>0</v>
      </c>
      <c r="X68" s="65">
        <f>IFERROR(__xludf.DUMMYFUNCTION("IFERROR(
  VLOOKUP(
    A68,
    IMPORTRANGE(
      ""1ZHMy3vVUd_0MrSduXTe1etBb1HNpAlGwQr006ljwMiM"",
      ""GSC最新!A:R""
    ),
    9,
    FALSE
  ),
  0
)
"),5.4)</f>
        <v>5.4</v>
      </c>
      <c r="Y68" s="65">
        <f>IFERROR(__xludf.DUMMYFUNCTION("IFERROR(
  VLOOKUP(
    A68,
    IMPORTRANGE(
      ""1ZHMy3vVUd_0MrSduXTe1etBb1HNpAlGwQr006ljwMiM"",
      ""GSC最新!A:R""
    ),
    12,
    FALSE
  ),
  0
)
"),5.24)</f>
        <v>5.24</v>
      </c>
      <c r="Z68" s="65">
        <f>IFERROR(__xludf.DUMMYFUNCTION("IFERROR(
  VLOOKUP(
    A68,
    IMPORTRANGE(
      ""1ZHMy3vVUd_0MrSduXTe1etBb1HNpAlGwQr006ljwMiM"",
      ""GSC最新!A:R""
    ),
    15,
    FALSE
  ),
  0
)
"),52.75)</f>
        <v>52.75</v>
      </c>
      <c r="AA68" s="65">
        <f>IFERROR(__xludf.DUMMYFUNCTION("IFERROR(
  VLOOKUP(
    A68,
    IMPORTRANGE(
      ""1ZHMy3vVUd_0MrSduXTe1etBb1HNpAlGwQr006ljwMiM"",
      ""GSC最新!A:R""
    ),
    18,
    FALSE
  ),
  0
)
"),46.294117647058826)</f>
        <v>46.29411765</v>
      </c>
      <c r="AB68" s="65">
        <f t="shared" ref="AB68:AC68" si="334">X68-Z68</f>
        <v>-47.35</v>
      </c>
      <c r="AC68" s="65">
        <f t="shared" si="334"/>
        <v>-41.05411765</v>
      </c>
      <c r="AD68" s="53">
        <f>IFERROR(__xludf.DUMMYFUNCTION("IFERROR(
  VLOOKUP(
    A68,
    IMPORTRANGE(
      ""1ZHMy3vVUd_0MrSduXTe1etBb1HNpAlGwQr006ljwMiM"",
      ""GSC最新!A:F""
    ),
    6,
    FALSE
  ),
  0
)
"),46081.0)</f>
        <v>46081</v>
      </c>
      <c r="AE68" s="54">
        <f>IFERROR(__xludf.DUMMYFUNCTION("IFERROR(
  VLOOKUP(
    A68,
    IMPORTRANGE(
      ""1SCYQd7_cobOYqT0r_F0IqD4tE4rYn5y8Eup4PJTH8es"",
      ""Snapshot!A:M""
    ),
    5,
    FALSE
  ),
  ""-""
)
"),0.0)</f>
        <v>0</v>
      </c>
      <c r="AF68" s="54">
        <f>IFERROR(__xludf.DUMMYFUNCTION("IFERROR(
  VLOOKUP(
    A68,
    IMPORTRANGE(
      ""1SCYQd7_cobOYqT0r_F0IqD4tE4rYn5y8Eup4PJTH8es"",
      ""Snapshot!A:M""
    ),
    6,
    FALSE
  ),
  0
)
"),0.0)</f>
        <v>0</v>
      </c>
      <c r="AG68" s="54">
        <f>IFERROR(__xludf.DUMMYFUNCTION("IFERROR(
  VLOOKUP(
    A68,
    IMPORTRANGE(
      ""1SCYQd7_cobOYqT0r_F0IqD4tE4rYn5y8Eup4PJTH8es"",
      ""Snapshot!A:M""
    ),
    7,
    FALSE
  ),
  0
)
"),0.0)</f>
        <v>0</v>
      </c>
      <c r="AH68" s="54">
        <f>IFERROR(__xludf.DUMMYFUNCTION("IFERROR(
  VLOOKUP(
    A68,
    IMPORTRANGE(
      ""1SCYQd7_cobOYqT0r_F0IqD4tE4rYn5y8Eup4PJTH8es"",
      ""Snapshot!A:M""
    ),
    8,
    FALSE
  ),
  0
)
"),0.0)</f>
        <v>0</v>
      </c>
      <c r="AI68" s="54">
        <f>IFERROR(__xludf.DUMMYFUNCTION("IFERROR(
  VLOOKUP(
    A68,
    IMPORTRANGE(
      ""1SCYQd7_cobOYqT0r_F0IqD4tE4rYn5y8Eup4PJTH8es"",
      ""Snapshot!A:M""
    ),
    9,
    FALSE
  ),
  0
)
"),0.0)</f>
        <v>0</v>
      </c>
      <c r="AJ68" s="54">
        <f>IFERROR(__xludf.DUMMYFUNCTION("IFERROR(
  VLOOKUP(
    A68,
    IMPORTRANGE(
      ""1SCYQd7_cobOYqT0r_F0IqD4tE4rYn5y8Eup4PJTH8es"",
      ""Snapshot!A:M""
    ),
    13,
    FALSE
  ),
  0
)
"),1.0)</f>
        <v>1</v>
      </c>
      <c r="AK68" s="49">
        <f t="shared" ref="AK68:AL68" si="335">LEN(C68)</f>
        <v>44</v>
      </c>
      <c r="AL68" s="49">
        <f t="shared" si="335"/>
        <v>124</v>
      </c>
    </row>
    <row r="69">
      <c r="A69" s="3" t="s">
        <v>760</v>
      </c>
      <c r="B69" s="1" t="str">
        <f>IFERROR(__xludf.DUMMYFUNCTION("IFERROR(
  VLOOKUP(
    A69,
    IMPORTRANGE(
      ""1ZygntHC1J6IxzKbTidmOyf5nUyW4GCLurHCjexrLm_o"",
      ""HTMLキャッシュ!A:F""
    ),
    2,
    FALSE
  ),
  0
)
"),"MC")</f>
        <v>MC</v>
      </c>
      <c r="C69" s="1" t="str">
        <f>IFERROR(__xludf.DUMMYFUNCTION("IFERROR(
  VLOOKUP(
    A69,
    IMPORTRANGE(
      ""1ZygntHC1J6IxzKbTidmOyf5nUyW4GCLurHCjexrLm_o"",
      ""HTMLキャッシュ!A:F""
    ),
    5,
    FALSE
  ),
  0
)
"),"中高一貫校生の現代文の定期テスト勉強法 - 中高一貫校専門塾エスコット(Escot)～定期試験対策から大学受験指導まで～")</f>
        <v>中高一貫校生の現代文の定期テスト勉強法 - 中高一貫校専門塾エスコット(Escot)～定期試験対策から大学受験指導まで～</v>
      </c>
      <c r="D69" s="1" t="str">
        <f>IFERROR(__xludf.DUMMYFUNCTION("IFERROR(
  VLOOKUP(
    A69,
    IMPORTRANGE(
      ""1ZygntHC1J6IxzKbTidmOyf5nUyW4GCLurHCjexrLm_o        "",
      ""HTMLキャッシュ!A:F""
    ),
    6,
    FALSE
  ),
  0
)
"),"医学部対策講座【英語・数学】 【英語】 医学部英語は大学によって問題形式が全く異なります。基本的")</f>
        <v>医学部対策講座【英語・数学】 【英語】 医学部英語は大学によって問題形式が全く異なります。基本的</v>
      </c>
      <c r="E69" s="32">
        <f>IFERROR(__xludf.DUMMYFUNCTION("IFERROR(
  VLOOKUP(
    A69,
    IMPORTRANGE(
      ""1ZygntHC1J6IxzKbTidmOyf5nUyW4GCLurHCjexrLm_o        "",
      ""HTMLキャッシュ!A:F""
    ),
    3,
    FALSE
  ),
  0
)
"),46084.6337037037)</f>
        <v>46084.6337</v>
      </c>
      <c r="F69" s="49">
        <f>IFERROR(__xludf.DUMMYFUNCTION("IFERROR(
  VLOOKUP(
    A69,
    IMPORTRANGE(
      ""1ZHMy3vVUd_0MrSduXTe1etBb1HNpAlGwQr006ljwMiM"",
      ""GSC最新!A:F""
    ),
    2,
    FALSE
  ),
  0
)
"),0.0)</f>
        <v>0</v>
      </c>
      <c r="G69" s="49">
        <f>IFERROR(__xludf.DUMMYFUNCTION("IFERROR(
  VLOOKUP(
    A69,
    IMPORTRANGE(
      ""1ZHMy3vVUd_0MrSduXTe1etBb1HNpAlGwQr006ljwMiM"",
      ""GSC最新!A:F""
    ),
    3,
    FALSE
  ),
  0
)
"),0.0)</f>
        <v>0</v>
      </c>
      <c r="H69" s="49">
        <f>IFERROR(__xludf.DUMMYFUNCTION("IFERROR(
  VLOOKUP(
    A69,
    IMPORTRANGE(
      ""1ZHMy3vVUd_0MrSduXTe1etBb1HNpAlGwQr006ljwMiM"",
      ""GSC最新!A:F""
    ),
    4,
    FALSE
  ),
  0
)
"),1.0)</f>
        <v>1</v>
      </c>
      <c r="I69" s="49">
        <f>IFERROR(__xludf.DUMMYFUNCTION("IFERROR(
  VLOOKUP(
    A69,
    IMPORTRANGE(
      ""1ZHMy3vVUd_0MrSduXTe1etBb1HNpAlGwQr006ljwMiM"",
      ""GSC最新!A:F""
    ),
    5,
    FALSE
  ),
  0
)
"),1.0)</f>
        <v>1</v>
      </c>
      <c r="J69" s="50">
        <f t="shared" ref="J69:K69" si="336">IFERROR(F69/H69,"-")</f>
        <v>0</v>
      </c>
      <c r="K69" s="50">
        <f t="shared" si="336"/>
        <v>0</v>
      </c>
      <c r="L69" s="6">
        <f>IFERROR(__xludf.DUMMYFUNCTION("IFERROR(
  VLOOKUP(
    A69,
    IMPORTRANGE(
      ""1ZHMy3vVUd_0MrSduXTe1etBb1HNpAlGwQr006ljwMiM"",
      ""GSC最新!A:R""
    ),
    7,
    FALSE
  ),
  0
)
"),12.0)</f>
        <v>12</v>
      </c>
      <c r="M69" s="6">
        <f>IFERROR(__xludf.DUMMYFUNCTION("IFERROR(
  VLOOKUP(
    A69,
    IMPORTRANGE(
      ""1ZHMy3vVUd_0MrSduXTe1etBb1HNpAlGwQr006ljwMiM"",
      ""GSC最新!A:R""
    ),
    10,
    FALSE
  ),
  0
)
"),22.0)</f>
        <v>22</v>
      </c>
      <c r="N69" s="6">
        <f>IFERROR(__xludf.DUMMYFUNCTION("IFERROR(
  VLOOKUP(
    A69,
    IMPORTRANGE(
      ""1ZHMy3vVUd_0MrSduXTe1etBb1HNpAlGwQr006ljwMiM"",
      ""GSC最新!A:R""
    ),
    13,
    FALSE
  ),
  0
)
"),142.0)</f>
        <v>142</v>
      </c>
      <c r="O69" s="6">
        <f>IFERROR(__xludf.DUMMYFUNCTION("IFERROR(
  VLOOKUP(
    A69,
    IMPORTRANGE(
      ""1ZHMy3vVUd_0MrSduXTe1etBb1HNpAlGwQr006ljwMiM"",
      ""GSC最新!A:R""
    ),
    16,
    FALSE
  ),
  0
)
"),412.0)</f>
        <v>412</v>
      </c>
      <c r="P69" s="51">
        <f t="shared" ref="P69:Q69" si="337">IFERROR(L69/N69,"-")</f>
        <v>0.08450704225</v>
      </c>
      <c r="Q69" s="51">
        <f t="shared" si="337"/>
        <v>0.05339805825</v>
      </c>
      <c r="R69" s="9">
        <f>IFERROR(__xludf.DUMMYFUNCTION("IFERROR(
  VLOOKUP(
    A69,
    IMPORTRANGE(
      ""1ZHMy3vVUd_0MrSduXTe1etBb1HNpAlGwQr006ljwMiM"",
      ""GSC最新!A:R""
    ),
    8,
    FALSE
  ),
  0
)
"),0.0)</f>
        <v>0</v>
      </c>
      <c r="S69" s="9">
        <f>IFERROR(__xludf.DUMMYFUNCTION("IFERROR(
  VLOOKUP(
    A69,
    IMPORTRANGE(
      ""1ZHMy3vVUd_0MrSduXTe1etBb1HNpAlGwQr006ljwMiM"",
      ""GSC最新!A:R""
    ),
    11,
    FALSE
  ),
  0
)
"),0.0)</f>
        <v>0</v>
      </c>
      <c r="T69" s="9">
        <f>IFERROR(__xludf.DUMMYFUNCTION("IFERROR(
  VLOOKUP(
    A69,
    IMPORTRANGE(
      ""1ZHMy3vVUd_0MrSduXTe1etBb1HNpAlGwQr006ljwMiM"",
      ""GSC最新!A:R""
    ),
    14,
    FALSE
  ),
  0
)
"),0.007042253521126761)</f>
        <v>0.007042253521</v>
      </c>
      <c r="U69" s="9">
        <f>IFERROR(__xludf.DUMMYFUNCTION("IFERROR(
  VLOOKUP(
    A69,
    IMPORTRANGE(
      ""1ZHMy3vVUd_0MrSduXTe1etBb1HNpAlGwQr006ljwMiM"",
      ""GSC最新!A:R""
    ),
    17,
    FALSE
  ),
  0
)
"),0.0024271844660194173)</f>
        <v>0.002427184466</v>
      </c>
      <c r="V69" s="9">
        <f t="shared" ref="V69:W69" si="338">IFERROR(R69-T69,"-")</f>
        <v>-0.007042253521</v>
      </c>
      <c r="W69" s="9">
        <f t="shared" si="338"/>
        <v>-0.002427184466</v>
      </c>
      <c r="X69" s="65">
        <f>IFERROR(__xludf.DUMMYFUNCTION("IFERROR(
  VLOOKUP(
    A69,
    IMPORTRANGE(
      ""1ZHMy3vVUd_0MrSduXTe1etBb1HNpAlGwQr006ljwMiM"",
      ""GSC最新!A:R""
    ),
    9,
    FALSE
  ),
  0
)
"),14.833333333333334)</f>
        <v>14.83333333</v>
      </c>
      <c r="Y69" s="65">
        <f>IFERROR(__xludf.DUMMYFUNCTION("IFERROR(
  VLOOKUP(
    A69,
    IMPORTRANGE(
      ""1ZHMy3vVUd_0MrSduXTe1etBb1HNpAlGwQr006ljwMiM"",
      ""GSC最新!A:R""
    ),
    12,
    FALSE
  ),
  0
)
"),10.727272727272727)</f>
        <v>10.72727273</v>
      </c>
      <c r="Z69" s="65">
        <f>IFERROR(__xludf.DUMMYFUNCTION("IFERROR(
  VLOOKUP(
    A69,
    IMPORTRANGE(
      ""1ZHMy3vVUd_0MrSduXTe1etBb1HNpAlGwQr006ljwMiM"",
      ""GSC最新!A:R""
    ),
    15,
    FALSE
  ),
  0
)
"),42.767605633802816)</f>
        <v>42.76760563</v>
      </c>
      <c r="AA69" s="65">
        <f>IFERROR(__xludf.DUMMYFUNCTION("IFERROR(
  VLOOKUP(
    A69,
    IMPORTRANGE(
      ""1ZHMy3vVUd_0MrSduXTe1etBb1HNpAlGwQr006ljwMiM"",
      ""GSC最新!A:R""
    ),
    18,
    FALSE
  ),
  0
)
"),44.33252427184466)</f>
        <v>44.33252427</v>
      </c>
      <c r="AB69" s="65">
        <f t="shared" ref="AB69:AC69" si="339">X69-Z69</f>
        <v>-27.9342723</v>
      </c>
      <c r="AC69" s="65">
        <f t="shared" si="339"/>
        <v>-33.60525154</v>
      </c>
      <c r="AD69" s="53">
        <f>IFERROR(__xludf.DUMMYFUNCTION("IFERROR(
  VLOOKUP(
    A69,
    IMPORTRANGE(
      ""1ZHMy3vVUd_0MrSduXTe1etBb1HNpAlGwQr006ljwMiM"",
      ""GSC最新!A:F""
    ),
    6,
    FALSE
  ),
  0
)
"),46081.0)</f>
        <v>46081</v>
      </c>
      <c r="AE69" s="54">
        <f>IFERROR(__xludf.DUMMYFUNCTION("IFERROR(
  VLOOKUP(
    A69,
    IMPORTRANGE(
      ""1SCYQd7_cobOYqT0r_F0IqD4tE4rYn5y8Eup4PJTH8es"",
      ""Snapshot!A:M""
    ),
    5,
    FALSE
  ),
  ""-""
)
"),15.0)</f>
        <v>15</v>
      </c>
      <c r="AF69" s="54">
        <f>IFERROR(__xludf.DUMMYFUNCTION("IFERROR(
  VLOOKUP(
    A69,
    IMPORTRANGE(
      ""1SCYQd7_cobOYqT0r_F0IqD4tE4rYn5y8Eup4PJTH8es"",
      ""Snapshot!A:M""
    ),
    6,
    FALSE
  ),
  0
)
"),17.0)</f>
        <v>17</v>
      </c>
      <c r="AG69" s="54">
        <f>IFERROR(__xludf.DUMMYFUNCTION("IFERROR(
  VLOOKUP(
    A69,
    IMPORTRANGE(
      ""1SCYQd7_cobOYqT0r_F0IqD4tE4rYn5y8Eup4PJTH8es"",
      ""Snapshot!A:M""
    ),
    7,
    FALSE
  ),
  0
)
"),4833.0)</f>
        <v>4833</v>
      </c>
      <c r="AH69" s="54">
        <f>IFERROR(__xludf.DUMMYFUNCTION("IFERROR(
  VLOOKUP(
    A69,
    IMPORTRANGE(
      ""1SCYQd7_cobOYqT0r_F0IqD4tE4rYn5y8Eup4PJTH8es"",
      ""Snapshot!A:M""
    ),
    8,
    FALSE
  ),
  0
)
"),0.0)</f>
        <v>0</v>
      </c>
      <c r="AI69" s="54">
        <f>IFERROR(__xludf.DUMMYFUNCTION("IFERROR(
  VLOOKUP(
    A69,
    IMPORTRANGE(
      ""1SCYQd7_cobOYqT0r_F0IqD4tE4rYn5y8Eup4PJTH8es"",
      ""Snapshot!A:M""
    ),
    9,
    FALSE
  ),
  0
)
"),3.0)</f>
        <v>3</v>
      </c>
      <c r="AJ69" s="54">
        <f>IFERROR(__xludf.DUMMYFUNCTION("IFERROR(
  VLOOKUP(
    A69,
    IMPORTRANGE(
      ""1SCYQd7_cobOYqT0r_F0IqD4tE4rYn5y8Eup4PJTH8es"",
      ""Snapshot!A:M""
    ),
    13,
    FALSE
  ),
  0
)
"),2.0)</f>
        <v>2</v>
      </c>
      <c r="AK69" s="49">
        <f t="shared" ref="AK69:AL69" si="340">LEN(C69)</f>
        <v>60</v>
      </c>
      <c r="AL69" s="49">
        <f t="shared" si="340"/>
        <v>48</v>
      </c>
    </row>
    <row r="70">
      <c r="A70" s="3" t="s">
        <v>761</v>
      </c>
      <c r="B70" s="1" t="str">
        <f>IFERROR(__xludf.DUMMYFUNCTION("IFERROR(
  VLOOKUP(
    A70,
    IMPORTRANGE(
      ""1ZygntHC1J6IxzKbTidmOyf5nUyW4GCLurHCjexrLm_o"",
      ""HTMLキャッシュ!A:F""
    ),
    2,
    FALSE
  ),
  0
)
"),"ST")</f>
        <v>ST</v>
      </c>
      <c r="C70" s="1" t="str">
        <f>IFERROR(__xludf.DUMMYFUNCTION("IFERROR(
  VLOOKUP(
    A70,
    IMPORTRANGE(
      ""1ZygntHC1J6IxzKbTidmOyf5nUyW4GCLurHCjexrLm_o"",
      ""HTMLキャッシュ!A:F""
    ),
    5,
    FALSE
  ),
  0
)
"),"お問い合わせ - 中高一貫校専門塾エスコット(Escot)～定期試験対策から大学受験指導まで～")</f>
        <v>お問い合わせ - 中高一貫校専門塾エスコット(Escot)～定期試験対策から大学受験指導まで～</v>
      </c>
      <c r="D70" s="1" t="str">
        <f>IFERROR(__xludf.DUMMYFUNCTION("IFERROR(
  VLOOKUP(
    A70,
    IMPORTRANGE(
      ""1ZygntHC1J6IxzKbTidmOyf5nUyW4GCLurHCjexrLm_o        "",
      ""HTMLキャッシュ!A:F""
    ),
    6,
    FALSE
  ),
  0
)
"),"メールでのお問い合わせ")</f>
        <v>メールでのお問い合わせ</v>
      </c>
      <c r="E70" s="32">
        <f>IFERROR(__xludf.DUMMYFUNCTION("IFERROR(
  VLOOKUP(
    A70,
    IMPORTRANGE(
      ""1ZygntHC1J6IxzKbTidmOyf5nUyW4GCLurHCjexrLm_o        "",
      ""HTMLキャッシュ!A:F""
    ),
    3,
    FALSE
  ),
  0
)
"),43546.63018518518)</f>
        <v>43546.63019</v>
      </c>
      <c r="F70" s="49">
        <f>IFERROR(__xludf.DUMMYFUNCTION("IFERROR(
  VLOOKUP(
    A70,
    IMPORTRANGE(
      ""1ZHMy3vVUd_0MrSduXTe1etBb1HNpAlGwQr006ljwMiM"",
      ""GSC最新!A:F""
    ),
    2,
    FALSE
  ),
  0
)
"),0.0)</f>
        <v>0</v>
      </c>
      <c r="G70" s="49">
        <f>IFERROR(__xludf.DUMMYFUNCTION("IFERROR(
  VLOOKUP(
    A70,
    IMPORTRANGE(
      ""1ZHMy3vVUd_0MrSduXTe1etBb1HNpAlGwQr006ljwMiM"",
      ""GSC最新!A:F""
    ),
    3,
    FALSE
  ),
  0
)
"),0.0)</f>
        <v>0</v>
      </c>
      <c r="H70" s="49">
        <f>IFERROR(__xludf.DUMMYFUNCTION("IFERROR(
  VLOOKUP(
    A70,
    IMPORTRANGE(
      ""1ZHMy3vVUd_0MrSduXTe1etBb1HNpAlGwQr006ljwMiM"",
      ""GSC最新!A:F""
    ),
    4,
    FALSE
  ),
  0
)
"),0.0)</f>
        <v>0</v>
      </c>
      <c r="I70" s="49">
        <f>IFERROR(__xludf.DUMMYFUNCTION("IFERROR(
  VLOOKUP(
    A70,
    IMPORTRANGE(
      ""1ZHMy3vVUd_0MrSduXTe1etBb1HNpAlGwQr006ljwMiM"",
      ""GSC最新!A:F""
    ),
    5,
    FALSE
  ),
  0
)
"),0.0)</f>
        <v>0</v>
      </c>
      <c r="J70" s="50" t="str">
        <f t="shared" ref="J70:K70" si="341">IFERROR(F70/H70,"-")</f>
        <v>-</v>
      </c>
      <c r="K70" s="50" t="str">
        <f t="shared" si="341"/>
        <v>-</v>
      </c>
      <c r="L70" s="6">
        <f>IFERROR(__xludf.DUMMYFUNCTION("IFERROR(
  VLOOKUP(
    A70,
    IMPORTRANGE(
      ""1ZHMy3vVUd_0MrSduXTe1etBb1HNpAlGwQr006ljwMiM"",
      ""GSC最新!A:R""
    ),
    7,
    FALSE
  ),
  0
)
"),6.0)</f>
        <v>6</v>
      </c>
      <c r="M70" s="6">
        <f>IFERROR(__xludf.DUMMYFUNCTION("IFERROR(
  VLOOKUP(
    A70,
    IMPORTRANGE(
      ""1ZHMy3vVUd_0MrSduXTe1etBb1HNpAlGwQr006ljwMiM"",
      ""GSC最新!A:R""
    ),
    10,
    FALSE
  ),
  0
)
"),18.0)</f>
        <v>18</v>
      </c>
      <c r="N70" s="6">
        <f>IFERROR(__xludf.DUMMYFUNCTION("IFERROR(
  VLOOKUP(
    A70,
    IMPORTRANGE(
      ""1ZHMy3vVUd_0MrSduXTe1etBb1HNpAlGwQr006ljwMiM"",
      ""GSC最新!A:R""
    ),
    13,
    FALSE
  ),
  0
)
"),0.0)</f>
        <v>0</v>
      </c>
      <c r="O70" s="6">
        <f>IFERROR(__xludf.DUMMYFUNCTION("IFERROR(
  VLOOKUP(
    A70,
    IMPORTRANGE(
      ""1ZHMy3vVUd_0MrSduXTe1etBb1HNpAlGwQr006ljwMiM"",
      ""GSC最新!A:R""
    ),
    16,
    FALSE
  ),
  0
)
"),0.0)</f>
        <v>0</v>
      </c>
      <c r="P70" s="51" t="str">
        <f t="shared" ref="P70:Q70" si="342">IFERROR(L70/N70,"-")</f>
        <v>-</v>
      </c>
      <c r="Q70" s="51" t="str">
        <f t="shared" si="342"/>
        <v>-</v>
      </c>
      <c r="R70" s="9">
        <f>IFERROR(__xludf.DUMMYFUNCTION("IFERROR(
  VLOOKUP(
    A70,
    IMPORTRANGE(
      ""1ZHMy3vVUd_0MrSduXTe1etBb1HNpAlGwQr006ljwMiM"",
      ""GSC最新!A:R""
    ),
    8,
    FALSE
  ),
  0
)
"),0.0)</f>
        <v>0</v>
      </c>
      <c r="S70" s="9">
        <f>IFERROR(__xludf.DUMMYFUNCTION("IFERROR(
  VLOOKUP(
    A70,
    IMPORTRANGE(
      ""1ZHMy3vVUd_0MrSduXTe1etBb1HNpAlGwQr006ljwMiM"",
      ""GSC最新!A:R""
    ),
    11,
    FALSE
  ),
  0
)
"),0.0)</f>
        <v>0</v>
      </c>
      <c r="T70" s="9">
        <f>IFERROR(__xludf.DUMMYFUNCTION("IFERROR(
  VLOOKUP(
    A70,
    IMPORTRANGE(
      ""1ZHMy3vVUd_0MrSduXTe1etBb1HNpAlGwQr006ljwMiM"",
      ""GSC最新!A:R""
    ),
    14,
    FALSE
  ),
  0
)
"),0.0)</f>
        <v>0</v>
      </c>
      <c r="U70" s="9">
        <f>IFERROR(__xludf.DUMMYFUNCTION("IFERROR(
  VLOOKUP(
    A70,
    IMPORTRANGE(
      ""1ZHMy3vVUd_0MrSduXTe1etBb1HNpAlGwQr006ljwMiM"",
      ""GSC最新!A:R""
    ),
    17,
    FALSE
  ),
  0
)
"),0.0)</f>
        <v>0</v>
      </c>
      <c r="V70" s="9">
        <f t="shared" ref="V70:W70" si="343">IFERROR(R70-T70,"-")</f>
        <v>0</v>
      </c>
      <c r="W70" s="9">
        <f t="shared" si="343"/>
        <v>0</v>
      </c>
      <c r="X70" s="65">
        <f>IFERROR(__xludf.DUMMYFUNCTION("IFERROR(
  VLOOKUP(
    A70,
    IMPORTRANGE(
      ""1ZHMy3vVUd_0MrSduXTe1etBb1HNpAlGwQr006ljwMiM"",
      ""GSC最新!A:R""
    ),
    9,
    FALSE
  ),
  0
)
"),11.0)</f>
        <v>11</v>
      </c>
      <c r="Y70" s="65">
        <f>IFERROR(__xludf.DUMMYFUNCTION("IFERROR(
  VLOOKUP(
    A70,
    IMPORTRANGE(
      ""1ZHMy3vVUd_0MrSduXTe1etBb1HNpAlGwQr006ljwMiM"",
      ""GSC最新!A:R""
    ),
    12,
    FALSE
  ),
  0
)
"),8.944444444444445)</f>
        <v>8.944444444</v>
      </c>
      <c r="Z70" s="65" t="str">
        <f>IFERROR(__xludf.DUMMYFUNCTION("IFERROR(
  VLOOKUP(
    A70,
    IMPORTRANGE(
      ""1ZHMy3vVUd_0MrSduXTe1etBb1HNpAlGwQr006ljwMiM"",
      ""GSC最新!A:R""
    ),
    15,
    FALSE
  ),
  0
)
"),"")</f>
        <v/>
      </c>
      <c r="AA70" s="65" t="str">
        <f>IFERROR(__xludf.DUMMYFUNCTION("IFERROR(
  VLOOKUP(
    A70,
    IMPORTRANGE(
      ""1ZHMy3vVUd_0MrSduXTe1etBb1HNpAlGwQr006ljwMiM"",
      ""GSC最新!A:R""
    ),
    18,
    FALSE
  ),
  0
)
"),"")</f>
        <v/>
      </c>
      <c r="AB70" s="65">
        <f t="shared" ref="AB70:AC70" si="344">X70-Z70</f>
        <v>11</v>
      </c>
      <c r="AC70" s="65">
        <f t="shared" si="344"/>
        <v>8.944444444</v>
      </c>
      <c r="AD70" s="53">
        <f>IFERROR(__xludf.DUMMYFUNCTION("IFERROR(
  VLOOKUP(
    A70,
    IMPORTRANGE(
      ""1ZHMy3vVUd_0MrSduXTe1etBb1HNpAlGwQr006ljwMiM"",
      ""GSC最新!A:F""
    ),
    6,
    FALSE
  ),
  0
)
"),46081.0)</f>
        <v>46081</v>
      </c>
      <c r="AE70" s="54">
        <f>IFERROR(__xludf.DUMMYFUNCTION("IFERROR(
  VLOOKUP(
    A70,
    IMPORTRANGE(
      ""1SCYQd7_cobOYqT0r_F0IqD4tE4rYn5y8Eup4PJTH8es"",
      ""Snapshot!A:M""
    ),
    5,
    FALSE
  ),
  ""-""
)
"),1.0)</f>
        <v>1</v>
      </c>
      <c r="AF70" s="54">
        <f>IFERROR(__xludf.DUMMYFUNCTION("IFERROR(
  VLOOKUP(
    A70,
    IMPORTRANGE(
      ""1SCYQd7_cobOYqT0r_F0IqD4tE4rYn5y8Eup4PJTH8es"",
      ""Snapshot!A:M""
    ),
    6,
    FALSE
  ),
  0
)
"),0.0)</f>
        <v>0</v>
      </c>
      <c r="AG70" s="54">
        <f>IFERROR(__xludf.DUMMYFUNCTION("IFERROR(
  VLOOKUP(
    A70,
    IMPORTRANGE(
      ""1SCYQd7_cobOYqT0r_F0IqD4tE4rYn5y8Eup4PJTH8es"",
      ""Snapshot!A:M""
    ),
    7,
    FALSE
  ),
  0
)
"),81.0)</f>
        <v>81</v>
      </c>
      <c r="AH70" s="54">
        <f>IFERROR(__xludf.DUMMYFUNCTION("IFERROR(
  VLOOKUP(
    A70,
    IMPORTRANGE(
      ""1SCYQd7_cobOYqT0r_F0IqD4tE4rYn5y8Eup4PJTH8es"",
      ""Snapshot!A:M""
    ),
    8,
    FALSE
  ),
  0
)
"),0.0)</f>
        <v>0</v>
      </c>
      <c r="AI70" s="54">
        <f>IFERROR(__xludf.DUMMYFUNCTION("IFERROR(
  VLOOKUP(
    A70,
    IMPORTRANGE(
      ""1SCYQd7_cobOYqT0r_F0IqD4tE4rYn5y8Eup4PJTH8es"",
      ""Snapshot!A:M""
    ),
    9,
    FALSE
  ),
  0
)
"),1.0)</f>
        <v>1</v>
      </c>
      <c r="AJ70" s="54">
        <f>IFERROR(__xludf.DUMMYFUNCTION("IFERROR(
  VLOOKUP(
    A70,
    IMPORTRANGE(
      ""1SCYQd7_cobOYqT0r_F0IqD4tE4rYn5y8Eup4PJTH8es"",
      ""Snapshot!A:M""
    ),
    13,
    FALSE
  ),
  0
)
"),1.0)</f>
        <v>1</v>
      </c>
      <c r="AK70" s="49">
        <f t="shared" ref="AK70:AL70" si="345">LEN(C70)</f>
        <v>47</v>
      </c>
      <c r="AL70" s="49">
        <f t="shared" si="345"/>
        <v>11</v>
      </c>
    </row>
    <row r="71">
      <c r="A71" s="3" t="s">
        <v>334</v>
      </c>
      <c r="B71" s="1" t="str">
        <f>IFERROR(__xludf.DUMMYFUNCTION("IFERROR(
  VLOOKUP(
    A71,
    IMPORTRANGE(
      ""1ZygntHC1J6IxzKbTidmOyf5nUyW4GCLurHCjexrLm_o"",
      ""HTMLキャッシュ!A:F""
    ),
    2,
    FALSE
  ),
  0
)
"),"SP")</f>
        <v>SP</v>
      </c>
      <c r="C71" s="1" t="str">
        <f>IFERROR(__xludf.DUMMYFUNCTION("IFERROR(
  VLOOKUP(
    A71,
    IMPORTRANGE(
      ""1ZygntHC1J6IxzKbTidmOyf5nUyW4GCLurHCjexrLm_o"",
      ""HTMLキャッシュ!A:F""
    ),
    5,
    FALSE
  ),
  0
)
"),"中高一貫校学習方針と個別指導の特徴｜成果につなぐオンライン塾")</f>
        <v>中高一貫校学習方針と個別指導の特徴｜成果につなぐオンライン塾</v>
      </c>
      <c r="D71" s="1" t="str">
        <f>IFERROR(__xludf.DUMMYFUNCTION("IFERROR(
  VLOOKUP(
    A71,
    IMPORTRANGE(
      ""1ZygntHC1J6IxzKbTidmOyf5nUyW4GCLurHCjexrLm_o        "",
      ""HTMLキャッシュ!A:F""
    ),
    6,
    FALSE
  ),
  0
)
"),"成績が伸び悩む中高一貫生へ。個別指導の方針・定着メソッドを解説し得点力アップへ導く。オンライン体験相談受付中今すぐ")</f>
        <v>成績が伸び悩む中高一貫生へ。個別指導の方針・定着メソッドを解説し得点力アップへ導く。オンライン体験相談受付中今すぐ</v>
      </c>
      <c r="E71" s="32">
        <f>IFERROR(__xludf.DUMMYFUNCTION("IFERROR(
  VLOOKUP(
    A71,
    IMPORTRANGE(
      ""1ZygntHC1J6IxzKbTidmOyf5nUyW4GCLurHCjexrLm_o        "",
      ""HTMLキャッシュ!A:F""
    ),
    3,
    FALSE
  ),
  0
)
"),46083.694548611114)</f>
        <v>46083.69455</v>
      </c>
      <c r="F71" s="49">
        <f>IFERROR(__xludf.DUMMYFUNCTION("IFERROR(
  VLOOKUP(
    A71,
    IMPORTRANGE(
      ""1ZHMy3vVUd_0MrSduXTe1etBb1HNpAlGwQr006ljwMiM"",
      ""GSC最新!A:F""
    ),
    2,
    FALSE
  ),
  0
)
"),0.0)</f>
        <v>0</v>
      </c>
      <c r="G71" s="49">
        <f>IFERROR(__xludf.DUMMYFUNCTION("IFERROR(
  VLOOKUP(
    A71,
    IMPORTRANGE(
      ""1ZHMy3vVUd_0MrSduXTe1etBb1HNpAlGwQr006ljwMiM"",
      ""GSC最新!A:F""
    ),
    3,
    FALSE
  ),
  0
)
"),0.0)</f>
        <v>0</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"),0.0)</f>
        <v>0</v>
      </c>
      <c r="J71" s="50" t="str">
        <f t="shared" ref="J71:K71" si="346">IFERROR(F71/H71,"-")</f>
        <v>-</v>
      </c>
      <c r="K71" s="50" t="str">
        <f t="shared" si="346"/>
        <v>-</v>
      </c>
      <c r="L71" s="6">
        <f>IFERROR(__xludf.DUMMYFUNCTION("IFERROR(
  VLOOKUP(
    A71,
    IMPORTRANGE(
      ""1ZHMy3vVUd_0MrSduXTe1etBb1HNpAlGwQr006ljwMiM"",
      ""GSC最新!A:R""
    ),
    7,
    FALSE
  ),
  0
)
"),7.0)</f>
        <v>7</v>
      </c>
      <c r="M71" s="6">
        <f>IFERROR(__xludf.DUMMYFUNCTION("IFERROR(
  VLOOKUP(
    A71,
    IMPORTRANGE(
      ""1ZHMy3vVUd_0MrSduXTe1etBb1HNpAlGwQr006ljwMiM"",
      ""GSC最新!A:R""
    ),
    10,
    FALSE
  ),
  0
)
"),19.0)</f>
        <v>19</v>
      </c>
      <c r="N71" s="6">
        <f>IFERROR(__xludf.DUMMYFUNCTION("IFERROR(
  VLOOKUP(
    A71,
    IMPORTRANGE(
      ""1ZHMy3vVUd_0MrSduXTe1etBb1HNpAlGwQr006ljwMiM"",
      ""GSC最新!A:R""
    ),
    13,
    FALSE
  ),
  0
)
"),0.0)</f>
        <v>0</v>
      </c>
      <c r="O71" s="6">
        <f>IFERROR(__xludf.DUMMYFUNCTION("IFERROR(
  VLOOKUP(
    A71,
    IMPORTRANGE(
      ""1ZHMy3vVUd_0MrSduXTe1etBb1HNpAlGwQr006ljwMiM"",
      ""GSC最新!A:R""
    ),
    16,
    FALSE
  ),
  0
)
"),2.0)</f>
        <v>2</v>
      </c>
      <c r="P71" s="51" t="str">
        <f t="shared" ref="P71:Q71" si="347">IFERROR(L71/N71,"-")</f>
        <v>-</v>
      </c>
      <c r="Q71" s="51">
        <f t="shared" si="347"/>
        <v>9.5</v>
      </c>
      <c r="R71" s="9">
        <f>IFERROR(__xludf.DUMMYFUNCTION("IFERROR(
  VLOOKUP(
    A71,
    IMPORTRANGE(
      ""1ZHMy3vVUd_0MrSduXTe1etBb1HNpAlGwQr006ljwMiM"",
      ""GSC最新!A:R""
    ),
    8,
    FALSE
  ),
  0
)
"),0.0)</f>
        <v>0</v>
      </c>
      <c r="S71" s="9">
        <f>IFERROR(__xludf.DUMMYFUNCTION("IFERROR(
  VLOOKUP(
    A71,
    IMPORTRANGE(
      ""1ZHMy3vVUd_0MrSduXTe1etBb1HNpAlGwQr006ljwMiM"",
      ""GSC最新!A:R""
    ),
    11,
    FALSE
  ),
  0
)
"),0.0)</f>
        <v>0</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f>
        <v>0</v>
      </c>
      <c r="V71" s="9">
        <f t="shared" ref="V71:W71" si="348">IFERROR(R71-T71,"-")</f>
        <v>0</v>
      </c>
      <c r="W71" s="9">
        <f t="shared" si="348"/>
        <v>0</v>
      </c>
      <c r="X71" s="65">
        <f>IFERROR(__xludf.DUMMYFUNCTION("IFERROR(
  VLOOKUP(
    A71,
    IMPORTRANGE(
      ""1ZHMy3vVUd_0MrSduXTe1etBb1HNpAlGwQr006ljwMiM"",
      ""GSC最新!A:R""
    ),
    9,
    FALSE
  ),
  0
)
"),6.714285714285714)</f>
        <v>6.714285714</v>
      </c>
      <c r="Y71" s="65">
        <f>IFERROR(__xludf.DUMMYFUNCTION("IFERROR(
  VLOOKUP(
    A71,
    IMPORTRANGE(
      ""1ZHMy3vVUd_0MrSduXTe1etBb1HNpAlGwQr006ljwMiM"",
      ""GSC最新!A:R""
    ),
    12,
    FALSE
  ),
  0
)
"),5.684210526315789)</f>
        <v>5.684210526</v>
      </c>
      <c r="Z71" s="65" t="str">
        <f>IFERROR(__xludf.DUMMYFUNCTION("IFERROR(
  VLOOKUP(
    A71,
    IMPORTRANGE(
      ""1ZHMy3vVUd_0MrSduXTe1etBb1HNpAlGwQr006ljwMiM"",
      ""GSC最新!A:R""
    ),
    15,
    FALSE
  ),
  0
)
"),"")</f>
        <v/>
      </c>
      <c r="AA71" s="65">
        <f>IFERROR(__xludf.DUMMYFUNCTION("IFERROR(
  VLOOKUP(
    A71,
    IMPORTRANGE(
      ""1ZHMy3vVUd_0MrSduXTe1etBb1HNpAlGwQr006ljwMiM"",
      ""GSC最新!A:R""
    ),
    18,
    FALSE
  ),
  0
)
"),5.0)</f>
        <v>5</v>
      </c>
      <c r="AB71" s="65">
        <f t="shared" ref="AB71:AC71" si="349">X71-Z71</f>
        <v>6.714285714</v>
      </c>
      <c r="AC71" s="65">
        <f t="shared" si="349"/>
        <v>0.6842105263</v>
      </c>
      <c r="AD71" s="53">
        <f>IFERROR(__xludf.DUMMYFUNCTION("IFERROR(
  VLOOKUP(
    A71,
    IMPORTRANGE(
      ""1ZHMy3vVUd_0MrSduXTe1etBb1HNpAlGwQr006ljwMiM"",
      ""GSC最新!A:F""
    ),
    6,
    FALSE
  ),
  0
)
"),46081.0)</f>
        <v>46081</v>
      </c>
      <c r="AE71" s="54">
        <f>IFERROR(__xludf.DUMMYFUNCTION("IFERROR(
  VLOOKUP(
    A71,
    IMPORTRANGE(
      ""1SCYQd7_cobOYqT0r_F0IqD4tE4rYn5y8Eup4PJTH8es"",
      ""Snapshot!A:M""
    ),
    5,
    FALSE
  ),
  ""-""
)
"),1.0)</f>
        <v>1</v>
      </c>
      <c r="AF71" s="54">
        <f>IFERROR(__xludf.DUMMYFUNCTION("IFERROR(
  VLOOKUP(
    A71,
    IMPORTRANGE(
      ""1SCYQd7_cobOYqT0r_F0IqD4tE4rYn5y8Eup4PJTH8es"",
      ""Snapshot!A:M""
    ),
    6,
    FALSE
  ),
  0
)
"),3.0)</f>
        <v>3</v>
      </c>
      <c r="AG71" s="54">
        <f>IFERROR(__xludf.DUMMYFUNCTION("IFERROR(
  VLOOKUP(
    A71,
    IMPORTRANGE(
      ""1SCYQd7_cobOYqT0r_F0IqD4tE4rYn5y8Eup4PJTH8es"",
      ""Snapshot!A:M""
    ),
    7,
    FALSE
  ),
  0
)
"),1146.0)</f>
        <v>1146</v>
      </c>
      <c r="AH71" s="54">
        <f>IFERROR(__xludf.DUMMYFUNCTION("IFERROR(
  VLOOKUP(
    A71,
    IMPORTRANGE(
      ""1SCYQd7_cobOYqT0r_F0IqD4tE4rYn5y8Eup4PJTH8es"",
      ""Snapshot!A:M""
    ),
    8,
    FALSE
  ),
  0
)
"),5.0)</f>
        <v>5</v>
      </c>
      <c r="AI71" s="54">
        <f>IFERROR(__xludf.DUMMYFUNCTION("IFERROR(
  VLOOKUP(
    A71,
    IMPORTRANGE(
      ""1SCYQd7_cobOYqT0r_F0IqD4tE4rYn5y8Eup4PJTH8es"",
      ""Snapshot!A:M""
    ),
    9,
    FALSE
  ),
  0
)
"),2.0)</f>
        <v>2</v>
      </c>
      <c r="AJ71" s="54">
        <f>IFERROR(__xludf.DUMMYFUNCTION("IFERROR(
  VLOOKUP(
    A71,
    IMPORTRANGE(
      ""1SCYQd7_cobOYqT0r_F0IqD4tE4rYn5y8Eup4PJTH8es"",
      ""Snapshot!A:M""
    ),
    13,
    FALSE
  ),
  0
)
"),1.0)</f>
        <v>1</v>
      </c>
      <c r="AK71" s="49">
        <f t="shared" ref="AK71:AL71" si="350">LEN(C71)</f>
        <v>30</v>
      </c>
      <c r="AL71" s="49">
        <f t="shared" si="350"/>
        <v>57</v>
      </c>
    </row>
    <row r="72">
      <c r="A72" s="3" t="s">
        <v>762</v>
      </c>
      <c r="B72" s="1" t="str">
        <f>IFERROR(__xludf.DUMMYFUNCTION("IFERROR(
  VLOOKUP(
    A72,
    IMPORTRANGE(
      ""1ZygntHC1J6IxzKbTidmOyf5nUyW4GCLurHCjexrLm_o"",
      ""HTMLキャッシュ!A:F""
    ),
    2,
    FALSE
  ),
  0
)
"),"SC")</f>
        <v>SC</v>
      </c>
      <c r="C72" s="1" t="str">
        <f>IFERROR(__xludf.DUMMYFUNCTION("IFERROR(
  VLOOKUP(
    A72,
    IMPORTRANGE(
      ""1ZygntHC1J6IxzKbTidmOyf5nUyW4GCLurHCjexrLm_o"",
      ""HTMLキャッシュ!A:F""
    ),
    5,
    FALSE
  ),
  0
)
"),"中学生の英検準２級勉強法 - 中高一貫校専門塾エスコット(Escot)～定期試験対策から大学受験指導まで～")</f>
        <v>中学生の英検準２級勉強法 - 中高一貫校専門塾エスコット(Escot)～定期試験対策から大学受験指導まで～</v>
      </c>
      <c r="D72" s="1" t="str">
        <f>IFERROR(__xludf.DUMMYFUNCTION("IFERROR(
  VLOOKUP(
    A72,
    IMPORTRANGE(
      ""1ZygntHC1J6IxzKbTidmOyf5nUyW4GCLurHCjexrLm_o        "",
      ""HTMLキャッシュ!A:F""
    ),
    6,
    FALSE
  ),
  0
)
"),"中学生の英検準2級勉強法 中学生で英検準２級を取得することは難しいことではありますが、不可能なことではありませ")</f>
        <v>中学生の英検準2級勉強法 中学生で英検準２級を取得することは難しいことではありますが、不可能なことではありませ</v>
      </c>
      <c r="E72" s="32">
        <f>IFERROR(__xludf.DUMMYFUNCTION("IFERROR(
  VLOOKUP(
    A72,
    IMPORTRANGE(
      ""1ZygntHC1J6IxzKbTidmOyf5nUyW4GCLurHCjexrLm_o        "",
      ""HTMLキャッシュ!A:F""
    ),
    3,
    FALSE
  ),
  0
)
"),44049.6153587963)</f>
        <v>44049.61536</v>
      </c>
      <c r="F72" s="49">
        <f>IFERROR(__xludf.DUMMYFUNCTION("IFERROR(
  VLOOKUP(
    A72,
    IMPORTRANGE(
      ""1ZHMy3vVUd_0MrSduXTe1etBb1HNpAlGwQr006ljwMiM"",
      ""GSC最新!A:F""
    ),
    2,
    FALSE
  ),
  0
)
"),0.0)</f>
        <v>0</v>
      </c>
      <c r="G72" s="49">
        <f>IFERROR(__xludf.DUMMYFUNCTION("IFERROR(
  VLOOKUP(
    A72,
    IMPORTRANGE(
      ""1ZHMy3vVUd_0MrSduXTe1etBb1HNpAlGwQr006ljwMiM"",
      ""GSC最新!A:F""
    ),
    3,
    FALSE
  ),
  0
)
"),0.0)</f>
        <v>0</v>
      </c>
      <c r="H72" s="49">
        <f>IFERROR(__xludf.DUMMYFUNCTION("IFERROR(
  VLOOKUP(
    A72,
    IMPORTRANGE(
      ""1ZHMy3vVUd_0MrSduXTe1etBb1HNpAlGwQr006ljwMiM"",
      ""GSC最新!A:F""
    ),
    4,
    FALSE
  ),
  0
)
"),0.0)</f>
        <v>0</v>
      </c>
      <c r="I72" s="49">
        <f>IFERROR(__xludf.DUMMYFUNCTION("IFERROR(
  VLOOKUP(
    A72,
    IMPORTRANGE(
      ""1ZHMy3vVUd_0MrSduXTe1etBb1HNpAlGwQr006ljwMiM"",
      ""GSC最新!A:F""
    ),
    5,
    FALSE
  ),
  0
)
"),0.0)</f>
        <v>0</v>
      </c>
      <c r="J72" s="50" t="str">
        <f t="shared" ref="J72:K72" si="351">IFERROR(F72/H72,"-")</f>
        <v>-</v>
      </c>
      <c r="K72" s="50" t="str">
        <f t="shared" si="351"/>
        <v>-</v>
      </c>
      <c r="L72" s="6">
        <f>IFERROR(__xludf.DUMMYFUNCTION("IFERROR(
  VLOOKUP(
    A72,
    IMPORTRANGE(
      ""1ZHMy3vVUd_0MrSduXTe1etBb1HNpAlGwQr006ljwMiM"",
      ""GSC最新!A:R""
    ),
    7,
    FALSE
  ),
  0
)
"),14.0)</f>
        <v>14</v>
      </c>
      <c r="M72" s="6">
        <f>IFERROR(__xludf.DUMMYFUNCTION("IFERROR(
  VLOOKUP(
    A72,
    IMPORTRANGE(
      ""1ZHMy3vVUd_0MrSduXTe1etBb1HNpAlGwQr006ljwMiM"",
      ""GSC最新!A:R""
    ),
    10,
    FALSE
  ),
  0
)
"),14.0)</f>
        <v>14</v>
      </c>
      <c r="N72" s="6">
        <f>IFERROR(__xludf.DUMMYFUNCTION("IFERROR(
  VLOOKUP(
    A72,
    IMPORTRANGE(
      ""1ZHMy3vVUd_0MrSduXTe1etBb1HNpAlGwQr006ljwMiM"",
      ""GSC最新!A:R""
    ),
    13,
    FALSE
  ),
  0
)
"),0.0)</f>
        <v>0</v>
      </c>
      <c r="O72" s="6">
        <f>IFERROR(__xludf.DUMMYFUNCTION("IFERROR(
  VLOOKUP(
    A72,
    IMPORTRANGE(
      ""1ZHMy3vVUd_0MrSduXTe1etBb1HNpAlGwQr006ljwMiM"",
      ""GSC最新!A:R""
    ),
    16,
    FALSE
  ),
  0
)
"),243.0)</f>
        <v>243</v>
      </c>
      <c r="P72" s="51" t="str">
        <f t="shared" ref="P72:Q72" si="352">IFERROR(L72/N72,"-")</f>
        <v>-</v>
      </c>
      <c r="Q72" s="51">
        <f t="shared" si="352"/>
        <v>0.05761316872</v>
      </c>
      <c r="R72" s="9">
        <f>IFERROR(__xludf.DUMMYFUNCTION("IFERROR(
  VLOOKUP(
    A72,
    IMPORTRANGE(
      ""1ZHMy3vVUd_0MrSduXTe1etBb1HNpAlGwQr006ljwMiM"",
      ""GSC最新!A:R""
    ),
    8,
    FALSE
  ),
  0
)
"),0.0)</f>
        <v>0</v>
      </c>
      <c r="S72" s="9">
        <f>IFERROR(__xludf.DUMMYFUNCTION("IFERROR(
  VLOOKUP(
    A72,
    IMPORTRANGE(
      ""1ZHMy3vVUd_0MrSduXTe1etBb1HNpAlGwQr006ljwMiM"",
      ""GSC最新!A:R""
    ),
    11,
    FALSE
  ),
  0
)
"),0.0)</f>
        <v>0</v>
      </c>
      <c r="T72" s="9">
        <f>IFERROR(__xludf.DUMMYFUNCTION("IFERROR(
  VLOOKUP(
    A72,
    IMPORTRANGE(
      ""1ZHMy3vVUd_0MrSduXTe1etBb1HNpAlGwQr006ljwMiM"",
      ""GSC最新!A:R""
    ),
    14,
    FALSE
  ),
  0
)
"),0.0)</f>
        <v>0</v>
      </c>
      <c r="U72" s="9">
        <f>IFERROR(__xludf.DUMMYFUNCTION("IFERROR(
  VLOOKUP(
    A72,
    IMPORTRANGE(
      ""1ZHMy3vVUd_0MrSduXTe1etBb1HNpAlGwQr006ljwMiM"",
      ""GSC最新!A:R""
    ),
    17,
    FALSE
  ),
  0
)
"),0.0)</f>
        <v>0</v>
      </c>
      <c r="V72" s="9">
        <f t="shared" ref="V72:W72" si="353">IFERROR(R72-T72,"-")</f>
        <v>0</v>
      </c>
      <c r="W72" s="9">
        <f t="shared" si="353"/>
        <v>0</v>
      </c>
      <c r="X72" s="65">
        <f>IFERROR(__xludf.DUMMYFUNCTION("IFERROR(
  VLOOKUP(
    A72,
    IMPORTRANGE(
      ""1ZHMy3vVUd_0MrSduXTe1etBb1HNpAlGwQr006ljwMiM"",
      ""GSC最新!A:R""
    ),
    9,
    FALSE
  ),
  0
)
"),24.642857142857142)</f>
        <v>24.64285714</v>
      </c>
      <c r="Y72" s="65">
        <f>IFERROR(__xludf.DUMMYFUNCTION("IFERROR(
  VLOOKUP(
    A72,
    IMPORTRANGE(
      ""1ZHMy3vVUd_0MrSduXTe1etBb1HNpAlGwQr006ljwMiM"",
      ""GSC最新!A:R""
    ),
    12,
    FALSE
  ),
  0
)
"),24.642857142857142)</f>
        <v>24.64285714</v>
      </c>
      <c r="Z72" s="65" t="str">
        <f>IFERROR(__xludf.DUMMYFUNCTION("IFERROR(
  VLOOKUP(
    A72,
    IMPORTRANGE(
      ""1ZHMy3vVUd_0MrSduXTe1etBb1HNpAlGwQr006ljwMiM"",
      ""GSC最新!A:R""
    ),
    15,
    FALSE
  ),
  0
)
"),"")</f>
        <v/>
      </c>
      <c r="AA72" s="65">
        <f>IFERROR(__xludf.DUMMYFUNCTION("IFERROR(
  VLOOKUP(
    A72,
    IMPORTRANGE(
      ""1ZHMy3vVUd_0MrSduXTe1etBb1HNpAlGwQr006ljwMiM"",
      ""GSC最新!A:R""
    ),
    18,
    FALSE
  ),
  0
)
"),76.72839506172839)</f>
        <v>76.72839506</v>
      </c>
      <c r="AB72" s="65">
        <f t="shared" ref="AB72:AC72" si="354">X72-Z72</f>
        <v>24.64285714</v>
      </c>
      <c r="AC72" s="65">
        <f t="shared" si="354"/>
        <v>-52.08553792</v>
      </c>
      <c r="AD72" s="53">
        <f>IFERROR(__xludf.DUMMYFUNCTION("IFERROR(
  VLOOKUP(
    A72,
    IMPORTRANGE(
      ""1ZHMy3vVUd_0MrSduXTe1etBb1HNpAlGwQr006ljwMiM"",
      ""GSC最新!A:F""
    ),
    6,
    FALSE
  ),
  0
)
"),46081.0)</f>
        <v>46081</v>
      </c>
      <c r="AE72" s="54">
        <f>IFERROR(__xludf.DUMMYFUNCTION("IFERROR(
  VLOOKUP(
    A72,
    IMPORTRANGE(
      ""1SCYQd7_cobOYqT0r_F0IqD4tE4rYn5y8Eup4PJTH8es"",
      ""Snapshot!A:M""
    ),
    5,
    FALSE
  ),
  ""-""
)
"),1.0)</f>
        <v>1</v>
      </c>
      <c r="AF72" s="54">
        <f>IFERROR(__xludf.DUMMYFUNCTION("IFERROR(
  VLOOKUP(
    A72,
    IMPORTRANGE(
      ""1SCYQd7_cobOYqT0r_F0IqD4tE4rYn5y8Eup4PJTH8es"",
      ""Snapshot!A:M""
    ),
    6,
    FALSE
  ),
  0
)
"),0.0)</f>
        <v>0</v>
      </c>
      <c r="AG72" s="54">
        <f>IFERROR(__xludf.DUMMYFUNCTION("IFERROR(
  VLOOKUP(
    A72,
    IMPORTRANGE(
      ""1SCYQd7_cobOYqT0r_F0IqD4tE4rYn5y8Eup4PJTH8es"",
      ""Snapshot!A:M""
    ),
    7,
    FALSE
  ),
  0
)
"),1611.0)</f>
        <v>1611</v>
      </c>
      <c r="AH72" s="54">
        <f>IFERROR(__xludf.DUMMYFUNCTION("IFERROR(
  VLOOKUP(
    A72,
    IMPORTRANGE(
      ""1SCYQd7_cobOYqT0r_F0IqD4tE4rYn5y8Eup4PJTH8es"",
      ""Snapshot!A:M""
    ),
    8,
    FALSE
  ),
  0
)
"),28.0)</f>
        <v>28</v>
      </c>
      <c r="AI72" s="54">
        <f>IFERROR(__xludf.DUMMYFUNCTION("IFERROR(
  VLOOKUP(
    A72,
    IMPORTRANGE(
      ""1SCYQd7_cobOYqT0r_F0IqD4tE4rYn5y8Eup4PJTH8es"",
      ""Snapshot!A:M""
    ),
    9,
    FALSE
  ),
  0
)
"),0.0)</f>
        <v>0</v>
      </c>
      <c r="AJ72" s="54">
        <f>IFERROR(__xludf.DUMMYFUNCTION("IFERROR(
  VLOOKUP(
    A72,
    IMPORTRANGE(
      ""1SCYQd7_cobOYqT0r_F0IqD4tE4rYn5y8Eup4PJTH8es"",
      ""Snapshot!A:M""
    ),
    13,
    FALSE
  ),
  0
)
"),2.0)</f>
        <v>2</v>
      </c>
      <c r="AK72" s="49">
        <f t="shared" ref="AK72:AL72" si="355">LEN(C72)</f>
        <v>53</v>
      </c>
      <c r="AL72" s="49">
        <f t="shared" si="355"/>
        <v>55</v>
      </c>
    </row>
    <row r="73">
      <c r="A73" s="3" t="s">
        <v>337</v>
      </c>
      <c r="B73" s="1" t="str">
        <f>IFERROR(__xludf.DUMMYFUNCTION("IFERROR(
  VLOOKUP(
    A73,
    IMPORTRANGE(
      ""1ZygntHC1J6IxzKbTidmOyf5nUyW4GCLurHCjexrLm_o"",
      ""HTMLキャッシュ!A:F""
    ),
    2,
    FALSE
  ),
  0
)
"),"SP")</f>
        <v>SP</v>
      </c>
      <c r="C73" s="1" t="str">
        <f>IFERROR(__xludf.DUMMYFUNCTION("IFERROR(
  VLOOKUP(
    A73,
    IMPORTRANGE(
      ""1ZygntHC1J6IxzKbTidmOyf5nUyW4GCLurHCjexrLm_o"",
      ""HTMLキャッシュ!A:F""
    ),
    5,
    FALSE
  ),
  0
)
"),"中2英語対策の個別指導講座｜定期・入試力強化オンライン塾")</f>
        <v>中2英語対策の個別指導講座｜定期・入試力強化オンライン塾</v>
      </c>
      <c r="D73" s="1" t="str">
        <f>IFERROR(__xludf.DUMMYFUNCTION("IFERROR(
  VLOOKUP(
    A73,
    IMPORTRANGE(
      ""1ZygntHC1J6IxzKbTidmOyf5nUyW4GCLurHCjexrLm_o        "",
      ""HTMLキャッシュ!A:F""
    ),
    6,
    FALSE
  ),
  0
)
"),"中2英語で伸び悩む中高一貫生へ。文法・語彙・読解を個別指導で定着し定期・入試につなげる。オンライン体験受付中")</f>
        <v>中2英語で伸び悩む中高一貫生へ。文法・語彙・読解を個別指導で定着し定期・入試につなげる。オンライン体験受付中</v>
      </c>
      <c r="E73" s="32">
        <f>IFERROR(__xludf.DUMMYFUNCTION("IFERROR(
  VLOOKUP(
    A73,
    IMPORTRANGE(
      ""1ZygntHC1J6IxzKbTidmOyf5nUyW4GCLurHCjexrLm_o        "",
      ""HTMLキャッシュ!A:F""
    ),
    3,
    FALSE
  ),
  0
)
"),46081.675775462965)</f>
        <v>46081.67578</v>
      </c>
      <c r="F73" s="49">
        <f>IFERROR(__xludf.DUMMYFUNCTION("IFERROR(
  VLOOKUP(
    A73,
    IMPORTRANGE(
      ""1ZHMy3vVUd_0MrSduXTe1etBb1HNpAlGwQr006ljwMiM"",
      ""GSC最新!A:F""
    ),
    2,
    FALSE
  ),
  0
)
"),0.0)</f>
        <v>0</v>
      </c>
      <c r="G73" s="49">
        <f>IFERROR(__xludf.DUMMYFUNCTION("IFERROR(
  VLOOKUP(
    A73,
    IMPORTRANGE(
      ""1ZHMy3vVUd_0MrSduXTe1etBb1HNpAlGwQr006ljwMiM"",
      ""GSC最新!A:F""
    ),
    3,
    FALSE
  ),
  0
)
"),0.0)</f>
        <v>0</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"),0.0)</f>
        <v>0</v>
      </c>
      <c r="J73" s="50" t="str">
        <f t="shared" ref="J73:K73" si="356">IFERROR(F73/H73,"-")</f>
        <v>-</v>
      </c>
      <c r="K73" s="50" t="str">
        <f t="shared" si="356"/>
        <v>-</v>
      </c>
      <c r="L73" s="6">
        <f>IFERROR(__xludf.DUMMYFUNCTION("IFERROR(
  VLOOKUP(
    A73,
    IMPORTRANGE(
      ""1ZHMy3vVUd_0MrSduXTe1etBb1HNpAlGwQr006ljwMiM"",
      ""GSC最新!A:R""
    ),
    7,
    FALSE
  ),
  0
)
"),11.0)</f>
        <v>11</v>
      </c>
      <c r="M73" s="6">
        <f>IFERROR(__xludf.DUMMYFUNCTION("IFERROR(
  VLOOKUP(
    A73,
    IMPORTRANGE(
      ""1ZHMy3vVUd_0MrSduXTe1etBb1HNpAlGwQr006ljwMiM"",
      ""GSC最新!A:R""
    ),
    10,
    FALSE
  ),
  0
)
"),13.0)</f>
        <v>13</v>
      </c>
      <c r="N73" s="6">
        <f>IFERROR(__xludf.DUMMYFUNCTION("IFERROR(
  VLOOKUP(
    A73,
    IMPORTRANGE(
      ""1ZHMy3vVUd_0MrSduXTe1etBb1HNpAlGwQr006ljwMiM"",
      ""GSC最新!A:R""
    ),
    13,
    FALSE
  ),
  0
)
"),0.0)</f>
        <v>0</v>
      </c>
      <c r="O73" s="6">
        <f>IFERROR(__xludf.DUMMYFUNCTION("IFERROR(
  VLOOKUP(
    A73,
    IMPORTRANGE(
      ""1ZHMy3vVUd_0MrSduXTe1etBb1HNpAlGwQr006ljwMiM"",
      ""GSC最新!A:R""
    ),
    16,
    FALSE
  ),
  0
)
"),0.0)</f>
        <v>0</v>
      </c>
      <c r="P73" s="51" t="str">
        <f t="shared" ref="P73:Q73" si="357">IFERROR(L73/N73,"-")</f>
        <v>-</v>
      </c>
      <c r="Q73" s="51" t="str">
        <f t="shared" si="357"/>
        <v>-</v>
      </c>
      <c r="R73" s="9">
        <f>IFERROR(__xludf.DUMMYFUNCTION("IFERROR(
  VLOOKUP(
    A73,
    IMPORTRANGE(
      ""1ZHMy3vVUd_0MrSduXTe1etBb1HNpAlGwQr006ljwMiM"",
      ""GSC最新!A:R""
    ),
    8,
    FALSE
  ),
  0
)
"),0.0)</f>
        <v>0</v>
      </c>
      <c r="S73" s="9">
        <f>IFERROR(__xludf.DUMMYFUNCTION("IFERROR(
  VLOOKUP(
    A73,
    IMPORTRANGE(
      ""1ZHMy3vVUd_0MrSduXTe1etBb1HNpAlGwQr006ljwMiM"",
      ""GSC最新!A:R""
    ),
    11,
    FALSE
  ),
  0
)
"),0.0)</f>
        <v>0</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f>
        <v>0</v>
      </c>
      <c r="V73" s="9">
        <f t="shared" ref="V73:W73" si="358">IFERROR(R73-T73,"-")</f>
        <v>0</v>
      </c>
      <c r="W73" s="9">
        <f t="shared" si="358"/>
        <v>0</v>
      </c>
      <c r="X73" s="65">
        <f>IFERROR(__xludf.DUMMYFUNCTION("IFERROR(
  VLOOKUP(
    A73,
    IMPORTRANGE(
      ""1ZHMy3vVUd_0MrSduXTe1etBb1HNpAlGwQr006ljwMiM"",
      ""GSC最新!A:R""
    ),
    9,
    FALSE
  ),
  0
)
"),5.818181818181818)</f>
        <v>5.818181818</v>
      </c>
      <c r="Y73" s="65">
        <f>IFERROR(__xludf.DUMMYFUNCTION("IFERROR(
  VLOOKUP(
    A73,
    IMPORTRANGE(
      ""1ZHMy3vVUd_0MrSduXTe1etBb1HNpAlGwQr006ljwMiM"",
      ""GSC最新!A:R""
    ),
    12,
    FALSE
  ),
  0
)
"),5.461538461538462)</f>
        <v>5.461538462</v>
      </c>
      <c r="Z73" s="65" t="str">
        <f>IFERROR(__xludf.DUMMYFUNCTION("IFERROR(
  VLOOKUP(
    A73,
    IMPORTRANGE(
      ""1ZHMy3vVUd_0MrSduXTe1etBb1HNpAlGwQr006ljwMiM"",
      ""GSC最新!A:R""
    ),
    15,
    FALSE
  ),
  0
)
"),"")</f>
        <v/>
      </c>
      <c r="AA73" s="65" t="str">
        <f>IFERROR(__xludf.DUMMYFUNCTION("IFERROR(
  VLOOKUP(
    A73,
    IMPORTRANGE(
      ""1ZHMy3vVUd_0MrSduXTe1etBb1HNpAlGwQr006ljwMiM"",
      ""GSC最新!A:R""
    ),
    18,
    FALSE
  ),
  0
)
"),"")</f>
        <v/>
      </c>
      <c r="AB73" s="65">
        <f t="shared" ref="AB73:AC73" si="359">X73-Z73</f>
        <v>5.818181818</v>
      </c>
      <c r="AC73" s="65">
        <f t="shared" si="359"/>
        <v>5.461538462</v>
      </c>
      <c r="AD73" s="53">
        <f>IFERROR(__xludf.DUMMYFUNCTION("IFERROR(
  VLOOKUP(
    A73,
    IMPORTRANGE(
      ""1ZHMy3vVUd_0MrSduXTe1etBb1HNpAlGwQr006ljwMiM"",
      ""GSC最新!A:F""
    ),
    6,
    FALSE
  ),
  0
)
"),46081.0)</f>
        <v>46081</v>
      </c>
      <c r="AE73" s="54">
        <f>IFERROR(__xludf.DUMMYFUNCTION("IFERROR(
  VLOOKUP(
    A73,
    IMPORTRANGE(
      ""1SCYQd7_cobOYqT0r_F0IqD4tE4rYn5y8Eup4PJTH8es"",
      ""Snapshot!A:M""
    ),
    5,
    FALSE
  ),
  ""-""
)
"),10.0)</f>
        <v>10</v>
      </c>
      <c r="AF73" s="54">
        <f>IFERROR(__xludf.DUMMYFUNCTION("IFERROR(
  VLOOKUP(
    A73,
    IMPORTRANGE(
      ""1SCYQd7_cobOYqT0r_F0IqD4tE4rYn5y8Eup4PJTH8es"",
      ""Snapshot!A:M""
    ),
    6,
    FALSE
  ),
  0
)
"),20.0)</f>
        <v>20</v>
      </c>
      <c r="AG73" s="54">
        <f>IFERROR(__xludf.DUMMYFUNCTION("IFERROR(
  VLOOKUP(
    A73,
    IMPORTRANGE(
      ""1SCYQd7_cobOYqT0r_F0IqD4tE4rYn5y8Eup4PJTH8es"",
      ""Snapshot!A:M""
    ),
    7,
    FALSE
  ),
  0
)
"),4777.0)</f>
        <v>4777</v>
      </c>
      <c r="AH73" s="54">
        <f>IFERROR(__xludf.DUMMYFUNCTION("IFERROR(
  VLOOKUP(
    A73,
    IMPORTRANGE(
      ""1SCYQd7_cobOYqT0r_F0IqD4tE4rYn5y8Eup4PJTH8es"",
      ""Snapshot!A:M""
    ),
    8,
    FALSE
  ),
  0
)
"),7.0)</f>
        <v>7</v>
      </c>
      <c r="AI73" s="54">
        <f>IFERROR(__xludf.DUMMYFUNCTION("IFERROR(
  VLOOKUP(
    A73,
    IMPORTRANGE(
      ""1SCYQd7_cobOYqT0r_F0IqD4tE4rYn5y8Eup4PJTH8es"",
      ""Snapshot!A:M""
    ),
    9,
    FALSE
  ),
  0
)
"),6.0)</f>
        <v>6</v>
      </c>
      <c r="AJ73" s="54">
        <f>IFERROR(__xludf.DUMMYFUNCTION("IFERROR(
  VLOOKUP(
    A73,
    IMPORTRANGE(
      ""1SCYQd7_cobOYqT0r_F0IqD4tE4rYn5y8Eup4PJTH8es"",
      ""Snapshot!A:M""
    ),
    13,
    FALSE
  ),
  0
)
"),2.0)</f>
        <v>2</v>
      </c>
      <c r="AK73" s="49">
        <f t="shared" ref="AK73:AL73" si="360">LEN(C73)</f>
        <v>28</v>
      </c>
      <c r="AL73" s="49">
        <f t="shared" si="360"/>
        <v>54</v>
      </c>
    </row>
    <row r="74">
      <c r="A74" s="3" t="s">
        <v>763</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"),"高校生が個別塾で指導を受ける意義とは何か - 中高一貫校専門塾エスコット(Escot)～定期試験対策から大学受験指導まで～")</f>
        <v>高校生が個別塾で指導を受ける意義とは何か - 中高一貫校専門塾エスコット(Escot)～定期試験対策から大学受験指導まで～</v>
      </c>
      <c r="D74" s="1" t="str">
        <f>IFERROR(__xludf.DUMMYFUNCTION("IFERROR(
  VLOOKUP(
    A74,
    IMPORTRANGE(
      ""1ZygntHC1J6IxzKbTidmOyf5nUyW4GCLurHCjexrLm_o        "",
      ""HTMLキャッシュ!A:F""
    ),
    6,
    FALSE
  ),
  0
)
"),"高校生になると集団塾に通われている方も多いのではないでしょうか。また、独学で学習に励んでいるという方もいらっし")</f>
        <v>高校生になると集団塾に通われている方も多いのではないでしょうか。また、独学で学習に励んでいるという方もいらっし</v>
      </c>
      <c r="E74" s="32">
        <f>IFERROR(__xludf.DUMMYFUNCTION("IFERROR(
  VLOOKUP(
    A74,
    IMPORTRANGE(
      ""1ZygntHC1J6IxzKbTidmOyf5nUyW4GCLurHCjexrLm_o        "",
      ""HTMLキャッシュ!A:F""
    ),
    3,
    FALSE
  ),
  0
)
"),46043.7722337963)</f>
        <v>46043.77223</v>
      </c>
      <c r="F74" s="49">
        <f>IFERROR(__xludf.DUMMYFUNCTION("IFERROR(
  VLOOKUP(
    A74,
    IMPORTRANGE(
      ""1ZHMy3vVUd_0MrSduXTe1etBb1HNpAlGwQr006ljwMiM"",
      ""GSC最新!A:F""
    ),
    2,
    FALSE
  ),
  0
)
"),0.0)</f>
        <v>0</v>
      </c>
      <c r="G74" s="49">
        <f>IFERROR(__xludf.DUMMYFUNCTION("IFERROR(
  VLOOKUP(
    A74,
    IMPORTRANGE(
      ""1ZHMy3vVUd_0MrSduXTe1etBb1HNpAlGwQr006ljwMiM"",
      ""GSC最新!A:F""
    ),
    3,
    FALSE
  ),
  0
)
"),0.0)</f>
        <v>0</v>
      </c>
      <c r="H74" s="49">
        <f>IFERROR(__xludf.DUMMYFUNCTION("IFERROR(
  VLOOKUP(
    A74,
    IMPORTRANGE(
      ""1ZHMy3vVUd_0MrSduXTe1etBb1HNpAlGwQr006ljwMiM"",
      ""GSC最新!A:F""
    ),
    4,
    FALSE
  ),
  0
)
"),0.0)</f>
        <v>0</v>
      </c>
      <c r="I74" s="49">
        <f>IFERROR(__xludf.DUMMYFUNCTION("IFERROR(
  VLOOKUP(
    A74,
    IMPORTRANGE(
      ""1ZHMy3vVUd_0MrSduXTe1etBb1HNpAlGwQr006ljwMiM"",
      ""GSC最新!A:F""
    ),
    5,
    FALSE
  ),
  0
)
"),0.0)</f>
        <v>0</v>
      </c>
      <c r="J74" s="50" t="str">
        <f t="shared" ref="J74:K74" si="361">IFERROR(F74/H74,"-")</f>
        <v>-</v>
      </c>
      <c r="K74" s="50" t="str">
        <f t="shared" si="361"/>
        <v>-</v>
      </c>
      <c r="L74" s="6">
        <f>IFERROR(__xludf.DUMMYFUNCTION("IFERROR(
  VLOOKUP(
    A74,
    IMPORTRANGE(
      ""1ZHMy3vVUd_0MrSduXTe1etBb1HNpAlGwQr006ljwMiM"",
      ""GSC最新!A:R""
    ),
    7,
    FALSE
  ),
  0
)
"),7.0)</f>
        <v>7</v>
      </c>
      <c r="M74" s="6">
        <f>IFERROR(__xludf.DUMMYFUNCTION("IFERROR(
  VLOOKUP(
    A74,
    IMPORTRANGE(
      ""1ZHMy3vVUd_0MrSduXTe1etBb1HNpAlGwQr006ljwMiM"",
      ""GSC最新!A:R""
    ),
    10,
    FALSE
  ),
  0
)
"),14.0)</f>
        <v>14</v>
      </c>
      <c r="N74" s="6">
        <f>IFERROR(__xludf.DUMMYFUNCTION("IFERROR(
  VLOOKUP(
    A74,
    IMPORTRANGE(
      ""1ZHMy3vVUd_0MrSduXTe1etBb1HNpAlGwQr006ljwMiM"",
      ""GSC最新!A:R""
    ),
    13,
    FALSE
  ),
  0
)
"),0.0)</f>
        <v>0</v>
      </c>
      <c r="O74" s="6">
        <f>IFERROR(__xludf.DUMMYFUNCTION("IFERROR(
  VLOOKUP(
    A74,
    IMPORTRANGE(
      ""1ZHMy3vVUd_0MrSduXTe1etBb1HNpAlGwQr006ljwMiM"",
      ""GSC最新!A:R""
    ),
    16,
    FALSE
  ),
  0
)
"),19.0)</f>
        <v>19</v>
      </c>
      <c r="P74" s="51" t="str">
        <f t="shared" ref="P74:Q74" si="362">IFERROR(L74/N74,"-")</f>
        <v>-</v>
      </c>
      <c r="Q74" s="51">
        <f t="shared" si="362"/>
        <v>0.7368421053</v>
      </c>
      <c r="R74" s="9">
        <f>IFERROR(__xludf.DUMMYFUNCTION("IFERROR(
  VLOOKUP(
    A74,
    IMPORTRANGE(
      ""1ZHMy3vVUd_0MrSduXTe1etBb1HNpAlGwQr006ljwMiM"",
      ""GSC最新!A:R""
    ),
    8,
    FALSE
  ),
  0
)
"),0.0)</f>
        <v>0</v>
      </c>
      <c r="S74" s="9">
        <f>IFERROR(__xludf.DUMMYFUNCTION("IFERROR(
  VLOOKUP(
    A74,
    IMPORTRANGE(
      ""1ZHMy3vVUd_0MrSduXTe1etBb1HNpAlGwQr006ljwMiM"",
      ""GSC最新!A:R""
    ),
    11,
    FALSE
  ),
  0
)
"),0.0)</f>
        <v>0</v>
      </c>
      <c r="T74" s="9">
        <f>IFERROR(__xludf.DUMMYFUNCTION("IFERROR(
  VLOOKUP(
    A74,
    IMPORTRANGE(
      ""1ZHMy3vVUd_0MrSduXTe1etBb1HNpAlGwQr006ljwMiM"",
      ""GSC最新!A:R""
    ),
    14,
    FALSE
  ),
  0
)
"),0.0)</f>
        <v>0</v>
      </c>
      <c r="U74" s="9">
        <f>IFERROR(__xludf.DUMMYFUNCTION("IFERROR(
  VLOOKUP(
    A74,
    IMPORTRANGE(
      ""1ZHMy3vVUd_0MrSduXTe1etBb1HNpAlGwQr006ljwMiM"",
      ""GSC最新!A:R""
    ),
    17,
    FALSE
  ),
  0
)
"),0.0)</f>
        <v>0</v>
      </c>
      <c r="V74" s="9">
        <f t="shared" ref="V74:W74" si="363">IFERROR(R74-T74,"-")</f>
        <v>0</v>
      </c>
      <c r="W74" s="9">
        <f t="shared" si="363"/>
        <v>0</v>
      </c>
      <c r="X74" s="65">
        <f>IFERROR(__xludf.DUMMYFUNCTION("IFERROR(
  VLOOKUP(
    A74,
    IMPORTRANGE(
      ""1ZHMy3vVUd_0MrSduXTe1etBb1HNpAlGwQr006ljwMiM"",
      ""GSC最新!A:R""
    ),
    9,
    FALSE
  ),
  0
)
"),7.714285714285714)</f>
        <v>7.714285714</v>
      </c>
      <c r="Y74" s="65">
        <f>IFERROR(__xludf.DUMMYFUNCTION("IFERROR(
  VLOOKUP(
    A74,
    IMPORTRANGE(
      ""1ZHMy3vVUd_0MrSduXTe1etBb1HNpAlGwQr006ljwMiM"",
      ""GSC最新!A:R""
    ),
    12,
    FALSE
  ),
  0
)
"),7.928571428571429)</f>
        <v>7.928571429</v>
      </c>
      <c r="Z74" s="65" t="str">
        <f>IFERROR(__xludf.DUMMYFUNCTION("IFERROR(
  VLOOKUP(
    A74,
    IMPORTRANGE(
      ""1ZHMy3vVUd_0MrSduXTe1etBb1HNpAlGwQr006ljwMiM"",
      ""GSC最新!A:R""
    ),
    15,
    FALSE
  ),
  0
)
"),"")</f>
        <v/>
      </c>
      <c r="AA74" s="65">
        <f>IFERROR(__xludf.DUMMYFUNCTION("IFERROR(
  VLOOKUP(
    A74,
    IMPORTRANGE(
      ""1ZHMy3vVUd_0MrSduXTe1etBb1HNpAlGwQr006ljwMiM"",
      ""GSC最新!A:R""
    ),
    18,
    FALSE
  ),
  0
)
"),77.73684210526316)</f>
        <v>77.73684211</v>
      </c>
      <c r="AB74" s="65">
        <f t="shared" ref="AB74:AC74" si="364">X74-Z74</f>
        <v>7.714285714</v>
      </c>
      <c r="AC74" s="65">
        <f t="shared" si="364"/>
        <v>-69.80827068</v>
      </c>
      <c r="AD74" s="53">
        <f>IFERROR(__xludf.DUMMYFUNCTION("IFERROR(
  VLOOKUP(
    A74,
    IMPORTRANGE(
      ""1ZHMy3vVUd_0MrSduXTe1etBb1HNpAlGwQr006ljwMiM"",
      ""GSC最新!A:F""
    ),
    6,
    FALSE
  ),
  0
)
"),46081.0)</f>
        <v>46081</v>
      </c>
      <c r="AE74" s="54">
        <f>IFERROR(__xludf.DUMMYFUNCTION("IFERROR(
  VLOOKUP(
    A74,
    IMPORTRANGE(
      ""1SCYQd7_cobOYqT0r_F0IqD4tE4rYn5y8Eup4PJTH8es"",
      ""Snapshot!A:M""
    ),
    5,
    FALSE
  ),
  ""-""
)
"),0.0)</f>
        <v>0</v>
      </c>
      <c r="AF74" s="54">
        <f>IFERROR(__xludf.DUMMYFUNCTION("IFERROR(
  VLOOKUP(
    A74,
    IMPORTRANGE(
      ""1SCYQd7_cobOYqT0r_F0IqD4tE4rYn5y8Eup4PJTH8es"",
      ""Snapshot!A:M""
    ),
    6,
    FALSE
  ),
  0
)
"),3.0)</f>
        <v>3</v>
      </c>
      <c r="AG74" s="54">
        <f>IFERROR(__xludf.DUMMYFUNCTION("IFERROR(
  VLOOKUP(
    A74,
    IMPORTRANGE(
      ""1SCYQd7_cobOYqT0r_F0IqD4tE4rYn5y8Eup4PJTH8es"",
      ""Snapshot!A:M""
    ),
    7,
    FALSE
  ),
  0
)
"),2453.0)</f>
        <v>2453</v>
      </c>
      <c r="AH74" s="54">
        <f>IFERROR(__xludf.DUMMYFUNCTION("IFERROR(
  VLOOKUP(
    A74,
    IMPORTRANGE(
      ""1SCYQd7_cobOYqT0r_F0IqD4tE4rYn5y8Eup4PJTH8es"",
      ""Snapshot!A:M""
    ),
    8,
    FALSE
  ),
  0
)
"),5.0)</f>
        <v>5</v>
      </c>
      <c r="AI74" s="54">
        <f>IFERROR(__xludf.DUMMYFUNCTION("IFERROR(
  VLOOKUP(
    A74,
    IMPORTRANGE(
      ""1SCYQd7_cobOYqT0r_F0IqD4tE4rYn5y8Eup4PJTH8es"",
      ""Snapshot!A:M""
    ),
    9,
    FALSE
  ),
  0
)
"),1.0)</f>
        <v>1</v>
      </c>
      <c r="AJ74" s="54">
        <f>IFERROR(__xludf.DUMMYFUNCTION("IFERROR(
  VLOOKUP(
    A74,
    IMPORTRANGE(
      ""1SCYQd7_cobOYqT0r_F0IqD4tE4rYn5y8Eup4PJTH8es"",
      ""Snapshot!A:M""
    ),
    13,
    FALSE
  ),
  0
)
"),2.0)</f>
        <v>2</v>
      </c>
      <c r="AK74" s="49">
        <f t="shared" ref="AK74:AL74" si="365">LEN(C74)</f>
        <v>61</v>
      </c>
      <c r="AL74" s="49">
        <f t="shared" si="365"/>
        <v>55</v>
      </c>
    </row>
    <row r="75">
      <c r="A75" s="3" t="s">
        <v>195</v>
      </c>
      <c r="B75" s="1" t="str">
        <f>IFERROR(__xludf.DUMMYFUNCTION("IFERROR(
  VLOOKUP(
    A75,
    IMPORTRANGE(
      ""1ZygntHC1J6IxzKbTidmOyf5nUyW4GCLurHCjexrLm_o"",
      ""HTMLキャッシュ!A:F""
    ),
    2,
    FALSE
  ),
  0
)
"),"-")</f>
        <v>-</v>
      </c>
      <c r="C75" s="1" t="str">
        <f>IFERROR(__xludf.DUMMYFUNCTION("IFERROR(
  VLOOKUP(
    A75,
    IMPORTRANGE(
      ""1ZygntHC1J6IxzKbTidmOyf5nUyW4GCLurHCjexrLm_o"",
      ""HTMLキャッシュ!A:F""
    ),
    5,
    FALSE
  ),
  0
)
"),"高１ - 中高一貫校専門塾エスコット(Escot)～定期試験対策から大学受験指導まで～")</f>
        <v>高１ - 中高一貫校専門塾エスコット(Escot)～定期試験対策から大学受験指導まで～</v>
      </c>
      <c r="D75" s="1" t="str">
        <f>IFERROR(__xludf.DUMMYFUNCTION("IFERROR(
  VLOOKUP(
    A75,
    IMPORTRANGE(
      ""1ZygntHC1J6IxzKbTidmOyf5nUyW4GCLurHCjexrLm_o        "",
      ""HTMLキャッシュ!A:F""
    ),
    6,
    FALSE
  ),
  0
)
"),"高１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高１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75" s="32">
        <f>IFERROR(__xludf.DUMMYFUNCTION("IFERROR(
  VLOOKUP(
    A75,
    IMPORTRANGE(
      ""1ZygntHC1J6IxzKbTidmOyf5nUyW4GCLurHCjexrLm_o        "",
      ""HTMLキャッシュ!A:F""
    ),
    3,
    FALSE
  ),
  0
)
"),25569.375)</f>
        <v>25569.375</v>
      </c>
      <c r="F75" s="49">
        <f>IFERROR(__xludf.DUMMYFUNCTION("IFERROR(
  VLOOKUP(
    A75,
    IMPORTRANGE(
      ""1ZHMy3vVUd_0MrSduXTe1etBb1HNpAlGwQr006ljwMiM"",
      ""GSC最新!A:F""
    ),
    2,
    FALSE
  ),
  0
)
"),0.0)</f>
        <v>0</v>
      </c>
      <c r="G75" s="49">
        <f>IFERROR(__xludf.DUMMYFUNCTION("IFERROR(
  VLOOKUP(
    A75,
    IMPORTRANGE(
      ""1ZHMy3vVUd_0MrSduXTe1etBb1HNpAlGwQr006ljwMiM"",
      ""GSC最新!A:F""
    ),
    3,
    FALSE
  ),
  0
)
"),0.0)</f>
        <v>0</v>
      </c>
      <c r="H75" s="49">
        <f>IFERROR(__xludf.DUMMYFUNCTION("IFERROR(
  VLOOKUP(
    A75,
    IMPORTRANGE(
      ""1ZHMy3vVUd_0MrSduXTe1etBb1HNpAlGwQr006ljwMiM"",
      ""GSC最新!A:F""
    ),
    4,
    FALSE
  ),
  0
)
"),0.0)</f>
        <v>0</v>
      </c>
      <c r="I75" s="49">
        <f>IFERROR(__xludf.DUMMYFUNCTION("IFERROR(
  VLOOKUP(
    A75,
    IMPORTRANGE(
      ""1ZHMy3vVUd_0MrSduXTe1etBb1HNpAlGwQr006ljwMiM"",
      ""GSC最新!A:F""
    ),
    5,
    FALSE
  ),
  0
)
"),0.0)</f>
        <v>0</v>
      </c>
      <c r="J75" s="50" t="str">
        <f t="shared" ref="J75:K75" si="366">IFERROR(F75/H75,"-")</f>
        <v>-</v>
      </c>
      <c r="K75" s="50" t="str">
        <f t="shared" si="366"/>
        <v>-</v>
      </c>
      <c r="L75" s="6">
        <f>IFERROR(__xludf.DUMMYFUNCTION("IFERROR(
  VLOOKUP(
    A75,
    IMPORTRANGE(
      ""1ZHMy3vVUd_0MrSduXTe1etBb1HNpAlGwQr006ljwMiM"",
      ""GSC最新!A:R""
    ),
    7,
    FALSE
  ),
  0
)
"),4.0)</f>
        <v>4</v>
      </c>
      <c r="M75" s="6">
        <f>IFERROR(__xludf.DUMMYFUNCTION("IFERROR(
  VLOOKUP(
    A75,
    IMPORTRANGE(
      ""1ZHMy3vVUd_0MrSduXTe1etBb1HNpAlGwQr006ljwMiM"",
      ""GSC最新!A:R""
    ),
    10,
    FALSE
  ),
  0
)
"),12.0)</f>
        <v>12</v>
      </c>
      <c r="N75" s="6">
        <f>IFERROR(__xludf.DUMMYFUNCTION("IFERROR(
  VLOOKUP(
    A75,
    IMPORTRANGE(
      ""1ZHMy3vVUd_0MrSduXTe1etBb1HNpAlGwQr006ljwMiM"",
      ""GSC最新!A:R""
    ),
    13,
    FALSE
  ),
  0
)
"),0.0)</f>
        <v>0</v>
      </c>
      <c r="O75" s="6">
        <f>IFERROR(__xludf.DUMMYFUNCTION("IFERROR(
  VLOOKUP(
    A75,
    IMPORTRANGE(
      ""1ZHMy3vVUd_0MrSduXTe1etBb1HNpAlGwQr006ljwMiM"",
      ""GSC最新!A:R""
    ),
    16,
    FALSE
  ),
  0
)
"),0.0)</f>
        <v>0</v>
      </c>
      <c r="P75" s="51" t="str">
        <f t="shared" ref="P75:Q75" si="367">IFERROR(L75/N75,"-")</f>
        <v>-</v>
      </c>
      <c r="Q75" s="51" t="str">
        <f t="shared" si="367"/>
        <v>-</v>
      </c>
      <c r="R75" s="9">
        <f>IFERROR(__xludf.DUMMYFUNCTION("IFERROR(
  VLOOKUP(
    A75,
    IMPORTRANGE(
      ""1ZHMy3vVUd_0MrSduXTe1etBb1HNpAlGwQr006ljwMiM"",
      ""GSC最新!A:R""
    ),
    8,
    FALSE
  ),
  0
)
"),0.0)</f>
        <v>0</v>
      </c>
      <c r="S75" s="9">
        <f>IFERROR(__xludf.DUMMYFUNCTION("IFERROR(
  VLOOKUP(
    A75,
    IMPORTRANGE(
      ""1ZHMy3vVUd_0MrSduXTe1etBb1HNpAlGwQr006ljwMiM"",
      ""GSC最新!A:R""
    ),
    11,
    FALSE
  ),
  0
)
"),0.0)</f>
        <v>0</v>
      </c>
      <c r="T75" s="9">
        <f>IFERROR(__xludf.DUMMYFUNCTION("IFERROR(
  VLOOKUP(
    A75,
    IMPORTRANGE(
      ""1ZHMy3vVUd_0MrSduXTe1etBb1HNpAlGwQr006ljwMiM"",
      ""GSC最新!A:R""
    ),
    14,
    FALSE
  ),
  0
)
"),0.0)</f>
        <v>0</v>
      </c>
      <c r="U75" s="9">
        <f>IFERROR(__xludf.DUMMYFUNCTION("IFERROR(
  VLOOKUP(
    A75,
    IMPORTRANGE(
      ""1ZHMy3vVUd_0MrSduXTe1etBb1HNpAlGwQr006ljwMiM"",
      ""GSC最新!A:R""
    ),
    17,
    FALSE
  ),
  0
)
"),0.0)</f>
        <v>0</v>
      </c>
      <c r="V75" s="9">
        <f t="shared" ref="V75:W75" si="368">IFERROR(R75-T75,"-")</f>
        <v>0</v>
      </c>
      <c r="W75" s="9">
        <f t="shared" si="368"/>
        <v>0</v>
      </c>
      <c r="X75" s="65">
        <f>IFERROR(__xludf.DUMMYFUNCTION("IFERROR(
  VLOOKUP(
    A75,
    IMPORTRANGE(
      ""1ZHMy3vVUd_0MrSduXTe1etBb1HNpAlGwQr006ljwMiM"",
      ""GSC最新!A:R""
    ),
    9,
    FALSE
  ),
  0
)
"),4.5)</f>
        <v>4.5</v>
      </c>
      <c r="Y75" s="65">
        <f>IFERROR(__xludf.DUMMYFUNCTION("IFERROR(
  VLOOKUP(
    A75,
    IMPORTRANGE(
      ""1ZHMy3vVUd_0MrSduXTe1etBb1HNpAlGwQr006ljwMiM"",
      ""GSC最新!A:R""
    ),
    12,
    FALSE
  ),
  0
)
"),5.75)</f>
        <v>5.75</v>
      </c>
      <c r="Z75" s="65" t="str">
        <f>IFERROR(__xludf.DUMMYFUNCTION("IFERROR(
  VLOOKUP(
    A75,
    IMPORTRANGE(
      ""1ZHMy3vVUd_0MrSduXTe1etBb1HNpAlGwQr006ljwMiM"",
      ""GSC最新!A:R""
    ),
    15,
    FALSE
  ),
  0
)
"),"")</f>
        <v/>
      </c>
      <c r="AA75" s="65" t="str">
        <f>IFERROR(__xludf.DUMMYFUNCTION("IFERROR(
  VLOOKUP(
    A75,
    IMPORTRANGE(
      ""1ZHMy3vVUd_0MrSduXTe1etBb1HNpAlGwQr006ljwMiM"",
      ""GSC最新!A:R""
    ),
    18,
    FALSE
  ),
  0
)
"),"")</f>
        <v/>
      </c>
      <c r="AB75" s="65">
        <f t="shared" ref="AB75:AC75" si="369">X75-Z75</f>
        <v>4.5</v>
      </c>
      <c r="AC75" s="65">
        <f t="shared" si="369"/>
        <v>5.75</v>
      </c>
      <c r="AD75" s="53">
        <f>IFERROR(__xludf.DUMMYFUNCTION("IFERROR(
  VLOOKUP(
    A75,
    IMPORTRANGE(
      ""1ZHMy3vVUd_0MrSduXTe1etBb1HNpAlGwQr006ljwMiM"",
      ""GSC最新!A:F""
    ),
    6,
    FALSE
  ),
  0
)
"),46081.0)</f>
        <v>46081</v>
      </c>
      <c r="AE75" s="54">
        <f>IFERROR(__xludf.DUMMYFUNCTION("IFERROR(
  VLOOKUP(
    A75,
    IMPORTRANGE(
      ""1SCYQd7_cobOYqT0r_F0IqD4tE4rYn5y8Eup4PJTH8es"",
      ""Snapshot!A:M""
    ),
    5,
    FALSE
  ),
  ""-""
)
"),0.0)</f>
        <v>0</v>
      </c>
      <c r="AF75" s="54">
        <f>IFERROR(__xludf.DUMMYFUNCTION("IFERROR(
  VLOOKUP(
    A75,
    IMPORTRANGE(
      ""1SCYQd7_cobOYqT0r_F0IqD4tE4rYn5y8Eup4PJTH8es"",
      ""Snapshot!A:M""
    ),
    6,
    FALSE
  ),
  0
)
"),0.0)</f>
        <v>0</v>
      </c>
      <c r="AG75" s="54">
        <f>IFERROR(__xludf.DUMMYFUNCTION("IFERROR(
  VLOOKUP(
    A75,
    IMPORTRANGE(
      ""1SCYQd7_cobOYqT0r_F0IqD4tE4rYn5y8Eup4PJTH8es"",
      ""Snapshot!A:M""
    ),
    7,
    FALSE
  ),
  0
)
"),0.0)</f>
        <v>0</v>
      </c>
      <c r="AH75" s="54">
        <f>IFERROR(__xludf.DUMMYFUNCTION("IFERROR(
  VLOOKUP(
    A75,
    IMPORTRANGE(
      ""1SCYQd7_cobOYqT0r_F0IqD4tE4rYn5y8Eup4PJTH8es"",
      ""Snapshot!A:M""
    ),
    8,
    FALSE
  ),
  0
)
"),0.0)</f>
        <v>0</v>
      </c>
      <c r="AI75" s="54">
        <f>IFERROR(__xludf.DUMMYFUNCTION("IFERROR(
  VLOOKUP(
    A75,
    IMPORTRANGE(
      ""1SCYQd7_cobOYqT0r_F0IqD4tE4rYn5y8Eup4PJTH8es"",
      ""Snapshot!A:M""
    ),
    9,
    FALSE
  ),
  0
)
"),0.0)</f>
        <v>0</v>
      </c>
      <c r="AJ75" s="54">
        <f>IFERROR(__xludf.DUMMYFUNCTION("IFERROR(
  VLOOKUP(
    A75,
    IMPORTRANGE(
      ""1SCYQd7_cobOYqT0r_F0IqD4tE4rYn5y8Eup4PJTH8es"",
      ""Snapshot!A:M""
    ),
    13,
    FALSE
  ),
  0
)
"),1.0)</f>
        <v>1</v>
      </c>
      <c r="AK75" s="49">
        <f t="shared" ref="AK75:AL75" si="370">LEN(C75)</f>
        <v>43</v>
      </c>
      <c r="AL75" s="49">
        <f t="shared" si="370"/>
        <v>116</v>
      </c>
    </row>
    <row r="76">
      <c r="A76" s="3" t="s">
        <v>339</v>
      </c>
      <c r="B76" s="1" t="str">
        <f>IFERROR(__xludf.DUMMYFUNCTION("IFERROR(
  VLOOKUP(
    A76,
    IMPORTRANGE(
      ""1ZygntHC1J6IxzKbTidmOyf5nUyW4GCLurHCjexrLm_o"",
      ""HTMLキャッシュ!A:F""
    ),
    2,
    FALSE
  ),
  0
)
"),"SP")</f>
        <v>SP</v>
      </c>
      <c r="C76" s="1" t="str">
        <f>IFERROR(__xludf.DUMMYFUNCTION("IFERROR(
  VLOOKUP(
    A76,
    IMPORTRANGE(
      ""1ZygntHC1J6IxzKbTidmOyf5nUyW4GCLurHCjexrLm_o"",
      ""HTMLキャッシュ!A:F""
    ),
    5,
    FALSE
  ),
  0
)
"),"英語受験対策の個別指導講座｜添削で得点力強化オンライン塾")</f>
        <v>英語受験対策の個別指導講座｜添削で得点力強化オンライン塾</v>
      </c>
      <c r="D76" s="1" t="str">
        <f>IFERROR(__xludf.DUMMYFUNCTION("IFERROR(
  VLOOKUP(
    A76,
    IMPORTRANGE(
      ""1ZygntHC1J6IxzKbTidmOyf5nUyW4GCLurHCjexrLm_o        "",
      ""HTMLキャッシュ!A:F""
    ),
    6,
    FALSE
  ),
  0
)
"),"英作文・和訳・要約で失点しやすい受験生へ。志望校形式に沿った個別添削で答案力を伸ばす。オンライン体験受付中今すぐ相談可")</f>
        <v>英作文・和訳・要約で失点しやすい受験生へ。志望校形式に沿った個別添削で答案力を伸ばす。オンライン体験受付中今すぐ相談可</v>
      </c>
      <c r="E76" s="32">
        <f>IFERROR(__xludf.DUMMYFUNCTION("IFERROR(
  VLOOKUP(
    A76,
    IMPORTRANGE(
      ""1ZygntHC1J6IxzKbTidmOyf5nUyW4GCLurHCjexrLm_o        "",
      ""HTMLキャッシュ!A:F""
    ),
    3,
    FALSE
  ),
  0
)
"),46081.6659375)</f>
        <v>46081.66594</v>
      </c>
      <c r="F76" s="49">
        <f>IFERROR(__xludf.DUMMYFUNCTION("IFERROR(
  VLOOKUP(
    A76,
    IMPORTRANGE(
      ""1ZHMy3vVUd_0MrSduXTe1etBb1HNpAlGwQr006ljwMiM"",
      ""GSC最新!A:F""
    ),
    2,
    FALSE
  ),
  0
)
"),0.0)</f>
        <v>0</v>
      </c>
      <c r="G76" s="49">
        <f>IFERROR(__xludf.DUMMYFUNCTION("IFERROR(
  VLOOKUP(
    A76,
    IMPORTRANGE(
      ""1ZHMy3vVUd_0MrSduXTe1etBb1HNpAlGwQr006ljwMiM"",
      ""GSC最新!A:F""
    ),
    3,
    FALSE
  ),
  0
)
"),0.0)</f>
        <v>0</v>
      </c>
      <c r="H76" s="49">
        <f>IFERROR(__xludf.DUMMYFUNCTION("IFERROR(
  VLOOKUP(
    A76,
    IMPORTRANGE(
      ""1ZHMy3vVUd_0MrSduXTe1etBb1HNpAlGwQr006ljwMiM"",
      ""GSC最新!A:F""
    ),
    4,
    FALSE
  ),
  0
)
"),0.0)</f>
        <v>0</v>
      </c>
      <c r="I76" s="49">
        <f>IFERROR(__xludf.DUMMYFUNCTION("IFERROR(
  VLOOKUP(
    A76,
    IMPORTRANGE(
      ""1ZHMy3vVUd_0MrSduXTe1etBb1HNpAlGwQr006ljwMiM"",
      ""GSC最新!A:F""
    ),
    5,
    FALSE
  ),
  0
)
"),0.0)</f>
        <v>0</v>
      </c>
      <c r="J76" s="50" t="str">
        <f t="shared" ref="J76:K76" si="371">IFERROR(F76/H76,"-")</f>
        <v>-</v>
      </c>
      <c r="K76" s="50" t="str">
        <f t="shared" si="371"/>
        <v>-</v>
      </c>
      <c r="L76" s="6">
        <f>IFERROR(__xludf.DUMMYFUNCTION("IFERROR(
  VLOOKUP(
    A76,
    IMPORTRANGE(
      ""1ZHMy3vVUd_0MrSduXTe1etBb1HNpAlGwQr006ljwMiM"",
      ""GSC最新!A:R""
    ),
    7,
    FALSE
  ),
  0
)
"),6.0)</f>
        <v>6</v>
      </c>
      <c r="M76" s="6">
        <f>IFERROR(__xludf.DUMMYFUNCTION("IFERROR(
  VLOOKUP(
    A76,
    IMPORTRANGE(
      ""1ZHMy3vVUd_0MrSduXTe1etBb1HNpAlGwQr006ljwMiM"",
      ""GSC最新!A:R""
    ),
    10,
    FALSE
  ),
  0
)
"),11.0)</f>
        <v>11</v>
      </c>
      <c r="N76" s="6">
        <f>IFERROR(__xludf.DUMMYFUNCTION("IFERROR(
  VLOOKUP(
    A76,
    IMPORTRANGE(
      ""1ZHMy3vVUd_0MrSduXTe1etBb1HNpAlGwQr006ljwMiM"",
      ""GSC最新!A:R""
    ),
    13,
    FALSE
  ),
  0
)
"),0.0)</f>
        <v>0</v>
      </c>
      <c r="O76" s="6">
        <f>IFERROR(__xludf.DUMMYFUNCTION("IFERROR(
  VLOOKUP(
    A76,
    IMPORTRANGE(
      ""1ZHMy3vVUd_0MrSduXTe1etBb1HNpAlGwQr006ljwMiM"",
      ""GSC最新!A:R""
    ),
    16,
    FALSE
  ),
  0
)
"),1.0)</f>
        <v>1</v>
      </c>
      <c r="P76" s="51" t="str">
        <f t="shared" ref="P76:Q76" si="372">IFERROR(L76/N76,"-")</f>
        <v>-</v>
      </c>
      <c r="Q76" s="51">
        <f t="shared" si="372"/>
        <v>11</v>
      </c>
      <c r="R76" s="9">
        <f>IFERROR(__xludf.DUMMYFUNCTION("IFERROR(
  VLOOKUP(
    A76,
    IMPORTRANGE(
      ""1ZHMy3vVUd_0MrSduXTe1etBb1HNpAlGwQr006ljwMiM"",
      ""GSC最新!A:R""
    ),
    8,
    FALSE
  ),
  0
)
"),0.0)</f>
        <v>0</v>
      </c>
      <c r="S76" s="9">
        <f>IFERROR(__xludf.DUMMYFUNCTION("IFERROR(
  VLOOKUP(
    A76,
    IMPORTRANGE(
      ""1ZHMy3vVUd_0MrSduXTe1etBb1HNpAlGwQr006ljwMiM"",
      ""GSC最新!A:R""
    ),
    11,
    FALSE
  ),
  0
)
"),0.0)</f>
        <v>0</v>
      </c>
      <c r="T76" s="9">
        <f>IFERROR(__xludf.DUMMYFUNCTION("IFERROR(
  VLOOKUP(
    A76,
    IMPORTRANGE(
      ""1ZHMy3vVUd_0MrSduXTe1etBb1HNpAlGwQr006ljwMiM"",
      ""GSC最新!A:R""
    ),
    14,
    FALSE
  ),
  0
)
"),0.0)</f>
        <v>0</v>
      </c>
      <c r="U76" s="9">
        <f>IFERROR(__xludf.DUMMYFUNCTION("IFERROR(
  VLOOKUP(
    A76,
    IMPORTRANGE(
      ""1ZHMy3vVUd_0MrSduXTe1etBb1HNpAlGwQr006ljwMiM"",
      ""GSC最新!A:R""
    ),
    17,
    FALSE
  ),
  0
)
"),0.0)</f>
        <v>0</v>
      </c>
      <c r="V76" s="9">
        <f t="shared" ref="V76:W76" si="373">IFERROR(R76-T76,"-")</f>
        <v>0</v>
      </c>
      <c r="W76" s="9">
        <f t="shared" si="373"/>
        <v>0</v>
      </c>
      <c r="X76" s="65">
        <f>IFERROR(__xludf.DUMMYFUNCTION("IFERROR(
  VLOOKUP(
    A76,
    IMPORTRANGE(
      ""1ZHMy3vVUd_0MrSduXTe1etBb1HNpAlGwQr006ljwMiM"",
      ""GSC最新!A:R""
    ),
    9,
    FALSE
  ),
  0
)
"),4.0)</f>
        <v>4</v>
      </c>
      <c r="Y76" s="65">
        <f>IFERROR(__xludf.DUMMYFUNCTION("IFERROR(
  VLOOKUP(
    A76,
    IMPORTRANGE(
      ""1ZHMy3vVUd_0MrSduXTe1etBb1HNpAlGwQr006ljwMiM"",
      ""GSC最新!A:R""
    ),
    12,
    FALSE
  ),
  0
)
"),4.272727272727273)</f>
        <v>4.272727273</v>
      </c>
      <c r="Z76" s="65" t="str">
        <f>IFERROR(__xludf.DUMMYFUNCTION("IFERROR(
  VLOOKUP(
    A76,
    IMPORTRANGE(
      ""1ZHMy3vVUd_0MrSduXTe1etBb1HNpAlGwQr006ljwMiM"",
      ""GSC最新!A:R""
    ),
    15,
    FALSE
  ),
  0
)
"),"")</f>
        <v/>
      </c>
      <c r="AA76" s="65">
        <f>IFERROR(__xludf.DUMMYFUNCTION("IFERROR(
  VLOOKUP(
    A76,
    IMPORTRANGE(
      ""1ZHMy3vVUd_0MrSduXTe1etBb1HNpAlGwQr006ljwMiM"",
      ""GSC最新!A:R""
    ),
    18,
    FALSE
  ),
  0
)
"),25.0)</f>
        <v>25</v>
      </c>
      <c r="AB76" s="65">
        <f t="shared" ref="AB76:AC76" si="374">X76-Z76</f>
        <v>4</v>
      </c>
      <c r="AC76" s="65">
        <f t="shared" si="374"/>
        <v>-20.72727273</v>
      </c>
      <c r="AD76" s="53">
        <f>IFERROR(__xludf.DUMMYFUNCTION("IFERROR(
  VLOOKUP(
    A76,
    IMPORTRANGE(
      ""1ZHMy3vVUd_0MrSduXTe1etBb1HNpAlGwQr006ljwMiM"",
      ""GSC最新!A:F""
    ),
    6,
    FALSE
  ),
  0
)
"),46081.0)</f>
        <v>46081</v>
      </c>
      <c r="AE76" s="54">
        <f>IFERROR(__xludf.DUMMYFUNCTION("IFERROR(
  VLOOKUP(
    A76,
    IMPORTRANGE(
      ""1SCYQd7_cobOYqT0r_F0IqD4tE4rYn5y8Eup4PJTH8es"",
      ""Snapshot!A:M""
    ),
    5,
    FALSE
  ),
  ""-""
)
"),10.0)</f>
        <v>10</v>
      </c>
      <c r="AF76" s="54">
        <f>IFERROR(__xludf.DUMMYFUNCTION("IFERROR(
  VLOOKUP(
    A76,
    IMPORTRANGE(
      ""1SCYQd7_cobOYqT0r_F0IqD4tE4rYn5y8Eup4PJTH8es"",
      ""Snapshot!A:M""
    ),
    6,
    FALSE
  ),
  0
)
"),8.0)</f>
        <v>8</v>
      </c>
      <c r="AG76" s="54">
        <f>IFERROR(__xludf.DUMMYFUNCTION("IFERROR(
  VLOOKUP(
    A76,
    IMPORTRANGE(
      ""1SCYQd7_cobOYqT0r_F0IqD4tE4rYn5y8Eup4PJTH8es"",
      ""Snapshot!A:M""
    ),
    7,
    FALSE
  ),
  0
)
"),3828.0)</f>
        <v>3828</v>
      </c>
      <c r="AH76" s="54">
        <f>IFERROR(__xludf.DUMMYFUNCTION("IFERROR(
  VLOOKUP(
    A76,
    IMPORTRANGE(
      ""1SCYQd7_cobOYqT0r_F0IqD4tE4rYn5y8Eup4PJTH8es"",
      ""Snapshot!A:M""
    ),
    8,
    FALSE
  ),
  0
)
"),0.0)</f>
        <v>0</v>
      </c>
      <c r="AI76" s="54">
        <f>IFERROR(__xludf.DUMMYFUNCTION("IFERROR(
  VLOOKUP(
    A76,
    IMPORTRANGE(
      ""1SCYQd7_cobOYqT0r_F0IqD4tE4rYn5y8Eup4PJTH8es"",
      ""Snapshot!A:M""
    ),
    9,
    FALSE
  ),
  0
)
"),0.0)</f>
        <v>0</v>
      </c>
      <c r="AJ76" s="54">
        <f>IFERROR(__xludf.DUMMYFUNCTION("IFERROR(
  VLOOKUP(
    A76,
    IMPORTRANGE(
      ""1SCYQd7_cobOYqT0r_F0IqD4tE4rYn5y8Eup4PJTH8es"",
      ""Snapshot!A:M""
    ),
    13,
    FALSE
  ),
  0
)
"),2.0)</f>
        <v>2</v>
      </c>
      <c r="AK76" s="49">
        <f t="shared" ref="AK76:AL76" si="375">LEN(C76)</f>
        <v>28</v>
      </c>
      <c r="AL76" s="49">
        <f t="shared" si="375"/>
        <v>59</v>
      </c>
    </row>
    <row r="77">
      <c r="A77" s="3" t="s">
        <v>197</v>
      </c>
      <c r="B77" s="1" t="str">
        <f>IFERROR(__xludf.DUMMYFUNCTION("IFERROR(
  VLOOKUP(
    A77,
    IMPORTRANGE(
      ""1ZygntHC1J6IxzKbTidmOyf5nUyW4GCLurHCjexrLm_o"",
      ""HTMLキャッシュ!A:F""
    ),
    2,
    FALSE
  ),
  0
)
"),"-")</f>
        <v>-</v>
      </c>
      <c r="C77" s="1" t="str">
        <f>IFERROR(__xludf.DUMMYFUNCTION("IFERROR(
  VLOOKUP(
    A77,
    IMPORTRANGE(
      ""1ZygntHC1J6IxzKbTidmOyf5nUyW4GCLurHCjexrLm_o"",
      ""HTMLキャッシュ!A:F""
    ),
    5,
    FALSE
  ),
  0
)
"),"中３ - 中高一貫校専門塾エスコット(Escot)～定期試験対策から大学受験指導まで～")</f>
        <v>中３ - 中高一貫校専門塾エスコット(Escot)～定期試験対策から大学受験指導まで～</v>
      </c>
      <c r="D77" s="1" t="str">
        <f>IFERROR(__xludf.DUMMYFUNCTION("IFERROR(
  VLOOKUP(
    A77,
    IMPORTRANGE(
      ""1ZygntHC1J6IxzKbTidmOyf5nUyW4GCLurHCjexrLm_o        "",
      ""HTMLキャッシュ!A:F""
    ),
    6,
    FALSE
  ),
  0
)
"),"中３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中３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77" s="32">
        <f>IFERROR(__xludf.DUMMYFUNCTION("IFERROR(
  VLOOKUP(
    A77,
    IMPORTRANGE(
      ""1ZygntHC1J6IxzKbTidmOyf5nUyW4GCLurHCjexrLm_o        "",
      ""HTMLキャッシュ!A:F""
    ),
    3,
    FALSE
  ),
  0
)
"),25569.375)</f>
        <v>25569.375</v>
      </c>
      <c r="F77" s="49">
        <f>IFERROR(__xludf.DUMMYFUNCTION("IFERROR(
  VLOOKUP(
    A77,
    IMPORTRANGE(
      ""1ZHMy3vVUd_0MrSduXTe1etBb1HNpAlGwQr006ljwMiM"",
      ""GSC最新!A:F""
    ),
    2,
    FALSE
  ),
  0
)
"),0.0)</f>
        <v>0</v>
      </c>
      <c r="G77" s="49">
        <f>IFERROR(__xludf.DUMMYFUNCTION("IFERROR(
  VLOOKUP(
    A77,
    IMPORTRANGE(
      ""1ZHMy3vVUd_0MrSduXTe1etBb1HNpAlGwQr006ljwMiM"",
      ""GSC最新!A:F""
    ),
    3,
    FALSE
  ),
  0
)
"),0.0)</f>
        <v>0</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"),0.0)</f>
        <v>0</v>
      </c>
      <c r="J77" s="50" t="str">
        <f t="shared" ref="J77:K77" si="376">IFERROR(F77/H77,"-")</f>
        <v>-</v>
      </c>
      <c r="K77" s="50" t="str">
        <f t="shared" si="376"/>
        <v>-</v>
      </c>
      <c r="L77" s="6">
        <f>IFERROR(__xludf.DUMMYFUNCTION("IFERROR(
  VLOOKUP(
    A77,
    IMPORTRANGE(
      ""1ZHMy3vVUd_0MrSduXTe1etBb1HNpAlGwQr006ljwMiM"",
      ""GSC最新!A:R""
    ),
    7,
    FALSE
  ),
  0
)
"),8.0)</f>
        <v>8</v>
      </c>
      <c r="M77" s="6">
        <f>IFERROR(__xludf.DUMMYFUNCTION("IFERROR(
  VLOOKUP(
    A77,
    IMPORTRANGE(
      ""1ZHMy3vVUd_0MrSduXTe1etBb1HNpAlGwQr006ljwMiM"",
      ""GSC最新!A:R""
    ),
    10,
    FALSE
  ),
  0
)
"),10.0)</f>
        <v>10</v>
      </c>
      <c r="N77" s="6">
        <f>IFERROR(__xludf.DUMMYFUNCTION("IFERROR(
  VLOOKUP(
    A77,
    IMPORTRANGE(
      ""1ZHMy3vVUd_0MrSduXTe1etBb1HNpAlGwQr006ljwMiM"",
      ""GSC最新!A:R""
    ),
    13,
    FALSE
  ),
  0
)
"),33.0)</f>
        <v>33</v>
      </c>
      <c r="O77" s="6">
        <f>IFERROR(__xludf.DUMMYFUNCTION("IFERROR(
  VLOOKUP(
    A77,
    IMPORTRANGE(
      ""1ZHMy3vVUd_0MrSduXTe1etBb1HNpAlGwQr006ljwMiM"",
      ""GSC最新!A:R""
    ),
    16,
    FALSE
  ),
  0
)
"),48.0)</f>
        <v>48</v>
      </c>
      <c r="P77" s="51">
        <f t="shared" ref="P77:Q77" si="377">IFERROR(L77/N77,"-")</f>
        <v>0.2424242424</v>
      </c>
      <c r="Q77" s="51">
        <f t="shared" si="377"/>
        <v>0.2083333333</v>
      </c>
      <c r="R77" s="9">
        <f>IFERROR(__xludf.DUMMYFUNCTION("IFERROR(
  VLOOKUP(
    A77,
    IMPORTRANGE(
      ""1ZHMy3vVUd_0MrSduXTe1etBb1HNpAlGwQr006ljwMiM"",
      ""GSC最新!A:R""
    ),
    8,
    FALSE
  ),
  0
)
"),0.0)</f>
        <v>0</v>
      </c>
      <c r="S77" s="9">
        <f>IFERROR(__xludf.DUMMYFUNCTION("IFERROR(
  VLOOKUP(
    A77,
    IMPORTRANGE(
      ""1ZHMy3vVUd_0MrSduXTe1etBb1HNpAlGwQr006ljwMiM"",
      ""GSC最新!A:R""
    ),
    11,
    FALSE
  ),
  0
)
"),0.0)</f>
        <v>0</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f>
        <v>0</v>
      </c>
      <c r="V77" s="9">
        <f t="shared" ref="V77:W77" si="378">IFERROR(R77-T77,"-")</f>
        <v>0</v>
      </c>
      <c r="W77" s="9">
        <f t="shared" si="378"/>
        <v>0</v>
      </c>
      <c r="X77" s="65">
        <f>IFERROR(__xludf.DUMMYFUNCTION("IFERROR(
  VLOOKUP(
    A77,
    IMPORTRANGE(
      ""1ZHMy3vVUd_0MrSduXTe1etBb1HNpAlGwQr006ljwMiM"",
      ""GSC最新!A:R""
    ),
    9,
    FALSE
  ),
  0
)
"),2.875)</f>
        <v>2.875</v>
      </c>
      <c r="Y77" s="65">
        <f>IFERROR(__xludf.DUMMYFUNCTION("IFERROR(
  VLOOKUP(
    A77,
    IMPORTRANGE(
      ""1ZHMy3vVUd_0MrSduXTe1etBb1HNpAlGwQr006ljwMiM"",
      ""GSC最新!A:R""
    ),
    12,
    FALSE
  ),
  0
)
"),4.1)</f>
        <v>4.1</v>
      </c>
      <c r="Z77" s="65">
        <f>IFERROR(__xludf.DUMMYFUNCTION("IFERROR(
  VLOOKUP(
    A77,
    IMPORTRANGE(
      ""1ZHMy3vVUd_0MrSduXTe1etBb1HNpAlGwQr006ljwMiM"",
      ""GSC最新!A:R""
    ),
    15,
    FALSE
  ),
  0
)
"),73.15151515151516)</f>
        <v>73.15151515</v>
      </c>
      <c r="AA77" s="65">
        <f>IFERROR(__xludf.DUMMYFUNCTION("IFERROR(
  VLOOKUP(
    A77,
    IMPORTRANGE(
      ""1ZHMy3vVUd_0MrSduXTe1etBb1HNpAlGwQr006ljwMiM"",
      ""GSC最新!A:R""
    ),
    18,
    FALSE
  ),
  0
)
"),73.10416666666667)</f>
        <v>73.10416667</v>
      </c>
      <c r="AB77" s="65">
        <f t="shared" ref="AB77:AC77" si="379">X77-Z77</f>
        <v>-70.27651515</v>
      </c>
      <c r="AC77" s="65">
        <f t="shared" si="379"/>
        <v>-69.00416667</v>
      </c>
      <c r="AD77" s="53">
        <f>IFERROR(__xludf.DUMMYFUNCTION("IFERROR(
  VLOOKUP(
    A77,
    IMPORTRANGE(
      ""1ZHMy3vVUd_0MrSduXTe1etBb1HNpAlGwQr006ljwMiM"",
      ""GSC最新!A:F""
    ),
    6,
    FALSE
  ),
  0
)
"),46081.0)</f>
        <v>46081</v>
      </c>
      <c r="AE77" s="54">
        <f>IFERROR(__xludf.DUMMYFUNCTION("IFERROR(
  VLOOKUP(
    A77,
    IMPORTRANGE(
      ""1SCYQd7_cobOYqT0r_F0IqD4tE4rYn5y8Eup4PJTH8es"",
      ""Snapshot!A:M""
    ),
    5,
    FALSE
  ),
  ""-""
)
"),0.0)</f>
        <v>0</v>
      </c>
      <c r="AF77" s="54">
        <f>IFERROR(__xludf.DUMMYFUNCTION("IFERROR(
  VLOOKUP(
    A77,
    IMPORTRANGE(
      ""1SCYQd7_cobOYqT0r_F0IqD4tE4rYn5y8Eup4PJTH8es"",
      ""Snapshot!A:M""
    ),
    6,
    FALSE
  ),
  0
)
"),0.0)</f>
        <v>0</v>
      </c>
      <c r="AG77" s="54">
        <f>IFERROR(__xludf.DUMMYFUNCTION("IFERROR(
  VLOOKUP(
    A77,
    IMPORTRANGE(
      ""1SCYQd7_cobOYqT0r_F0IqD4tE4rYn5y8Eup4PJTH8es"",
      ""Snapshot!A:M""
    ),
    7,
    FALSE
  ),
  0
)
"),0.0)</f>
        <v>0</v>
      </c>
      <c r="AH77" s="54">
        <f>IFERROR(__xludf.DUMMYFUNCTION("IFERROR(
  VLOOKUP(
    A77,
    IMPORTRANGE(
      ""1SCYQd7_cobOYqT0r_F0IqD4tE4rYn5y8Eup4PJTH8es"",
      ""Snapshot!A:M""
    ),
    8,
    FALSE
  ),
  0
)
"),0.0)</f>
        <v>0</v>
      </c>
      <c r="AI77" s="54">
        <f>IFERROR(__xludf.DUMMYFUNCTION("IFERROR(
  VLOOKUP(
    A77,
    IMPORTRANGE(
      ""1SCYQd7_cobOYqT0r_F0IqD4tE4rYn5y8Eup4PJTH8es"",
      ""Snapshot!A:M""
    ),
    9,
    FALSE
  ),
  0
)
"),0.0)</f>
        <v>0</v>
      </c>
      <c r="AJ77" s="54">
        <f>IFERROR(__xludf.DUMMYFUNCTION("IFERROR(
  VLOOKUP(
    A77,
    IMPORTRANGE(
      ""1SCYQd7_cobOYqT0r_F0IqD4tE4rYn5y8Eup4PJTH8es"",
      ""Snapshot!A:M""
    ),
    13,
    FALSE
  ),
  0
)
"),1.0)</f>
        <v>1</v>
      </c>
      <c r="AK77" s="49">
        <f t="shared" ref="AK77:AL77" si="380">LEN(C77)</f>
        <v>43</v>
      </c>
      <c r="AL77" s="49">
        <f t="shared" si="380"/>
        <v>116</v>
      </c>
    </row>
    <row r="78">
      <c r="A78" s="3" t="s">
        <v>199</v>
      </c>
      <c r="B78" s="1" t="str">
        <f>IFERROR(__xludf.DUMMYFUNCTION("IFERROR(
  VLOOKUP(
    A78,
    IMPORTRANGE(
      ""1ZygntHC1J6IxzKbTidmOyf5nUyW4GCLurHCjexrLm_o"",
      ""HTMLキャッシュ!A:F""
    ),
    2,
    FALSE
  ),
  0
)
"),"-")</f>
        <v>-</v>
      </c>
      <c r="C78" s="1" t="str">
        <f>IFERROR(__xludf.DUMMYFUNCTION("IFERROR(
  VLOOKUP(
    A78,
    IMPORTRANGE(
      ""1ZygntHC1J6IxzKbTidmOyf5nUyW4GCLurHCjexrLm_o"",
      ""HTMLキャッシュ!A:F""
    ),
    5,
    FALSE
  ),
  0
)
"),"中１ - 中高一貫校専門塾エスコット(Escot)～定期試験対策から大学受験指導まで～")</f>
        <v>中１ - 中高一貫校専門塾エスコット(Escot)～定期試験対策から大学受験指導まで～</v>
      </c>
      <c r="D78" s="1" t="str">
        <f>IFERROR(__xludf.DUMMYFUNCTION("IFERROR(
  VLOOKUP(
    A78,
    IMPORTRANGE(
      ""1ZygntHC1J6IxzKbTidmOyf5nUyW4GCLurHCjexrLm_o        "",
      ""HTMLキャッシュ!A:F""
    ),
    6,
    FALSE
  ),
  0
)
"),"中１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中１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78" s="32">
        <f>IFERROR(__xludf.DUMMYFUNCTION("IFERROR(
  VLOOKUP(
    A78,
    IMPORTRANGE(
      ""1ZygntHC1J6IxzKbTidmOyf5nUyW4GCLurHCjexrLm_o        "",
      ""HTMLキャッシュ!A:F""
    ),
    3,
    FALSE
  ),
  0
)
"),25569.375)</f>
        <v>25569.375</v>
      </c>
      <c r="F78" s="49">
        <f>IFERROR(__xludf.DUMMYFUNCTION("IFERROR(
  VLOOKUP(
    A78,
    IMPORTRANGE(
      ""1ZHMy3vVUd_0MrSduXTe1etBb1HNpAlGwQr006ljwMiM"",
      ""GSC最新!A:F""
    ),
    2,
    FALSE
  ),
  0
)
"),0.0)</f>
        <v>0</v>
      </c>
      <c r="G78" s="49">
        <f>IFERROR(__xludf.DUMMYFUNCTION("IFERROR(
  VLOOKUP(
    A78,
    IMPORTRANGE(
      ""1ZHMy3vVUd_0MrSduXTe1etBb1HNpAlGwQr006ljwMiM"",
      ""GSC最新!A:F""
    ),
    3,
    FALSE
  ),
  0
)
"),0.0)</f>
        <v>0</v>
      </c>
      <c r="H78" s="49">
        <f>IFERROR(__xludf.DUMMYFUNCTION("IFERROR(
  VLOOKUP(
    A78,
    IMPORTRANGE(
      ""1ZHMy3vVUd_0MrSduXTe1etBb1HNpAlGwQr006ljwMiM"",
      ""GSC最新!A:F""
    ),
    4,
    FALSE
  ),
  0
)
"),0.0)</f>
        <v>0</v>
      </c>
      <c r="I78" s="49">
        <f>IFERROR(__xludf.DUMMYFUNCTION("IFERROR(
  VLOOKUP(
    A78,
    IMPORTRANGE(
      ""1ZHMy3vVUd_0MrSduXTe1etBb1HNpAlGwQr006ljwMiM"",
      ""GSC最新!A:F""
    ),
    5,
    FALSE
  ),
  0
)
"),0.0)</f>
        <v>0</v>
      </c>
      <c r="J78" s="50" t="str">
        <f t="shared" ref="J78:K78" si="381">IFERROR(F78/H78,"-")</f>
        <v>-</v>
      </c>
      <c r="K78" s="50" t="str">
        <f t="shared" si="381"/>
        <v>-</v>
      </c>
      <c r="L78" s="6">
        <f>IFERROR(__xludf.DUMMYFUNCTION("IFERROR(
  VLOOKUP(
    A78,
    IMPORTRANGE(
      ""1ZHMy3vVUd_0MrSduXTe1etBb1HNpAlGwQr006ljwMiM"",
      ""GSC最新!A:R""
    ),
    7,
    FALSE
  ),
  0
)
"),1.0)</f>
        <v>1</v>
      </c>
      <c r="M78" s="6">
        <f>IFERROR(__xludf.DUMMYFUNCTION("IFERROR(
  VLOOKUP(
    A78,
    IMPORTRANGE(
      ""1ZHMy3vVUd_0MrSduXTe1etBb1HNpAlGwQr006ljwMiM"",
      ""GSC最新!A:R""
    ),
    10,
    FALSE
  ),
  0
)
"),7.0)</f>
        <v>7</v>
      </c>
      <c r="N78" s="6">
        <f>IFERROR(__xludf.DUMMYFUNCTION("IFERROR(
  VLOOKUP(
    A78,
    IMPORTRANGE(
      ""1ZHMy3vVUd_0MrSduXTe1etBb1HNpAlGwQr006ljwMiM"",
      ""GSC最新!A:R""
    ),
    13,
    FALSE
  ),
  0
)
"),0.0)</f>
        <v>0</v>
      </c>
      <c r="O78" s="6">
        <f>IFERROR(__xludf.DUMMYFUNCTION("IFERROR(
  VLOOKUP(
    A78,
    IMPORTRANGE(
      ""1ZHMy3vVUd_0MrSduXTe1etBb1HNpAlGwQr006ljwMiM"",
      ""GSC最新!A:R""
    ),
    16,
    FALSE
  ),
  0
)
"),0.0)</f>
        <v>0</v>
      </c>
      <c r="P78" s="51" t="str">
        <f t="shared" ref="P78:Q78" si="382">IFERROR(L78/N78,"-")</f>
        <v>-</v>
      </c>
      <c r="Q78" s="51" t="str">
        <f t="shared" si="382"/>
        <v>-</v>
      </c>
      <c r="R78" s="9">
        <f>IFERROR(__xludf.DUMMYFUNCTION("IFERROR(
  VLOOKUP(
    A78,
    IMPORTRANGE(
      ""1ZHMy3vVUd_0MrSduXTe1etBb1HNpAlGwQr006ljwMiM"",
      ""GSC最新!A:R""
    ),
    8,
    FALSE
  ),
  0
)
"),0.0)</f>
        <v>0</v>
      </c>
      <c r="S78" s="9">
        <f>IFERROR(__xludf.DUMMYFUNCTION("IFERROR(
  VLOOKUP(
    A78,
    IMPORTRANGE(
      ""1ZHMy3vVUd_0MrSduXTe1etBb1HNpAlGwQr006ljwMiM"",
      ""GSC最新!A:R""
    ),
    11,
    FALSE
  ),
  0
)
"),0.0)</f>
        <v>0</v>
      </c>
      <c r="T78" s="9">
        <f>IFERROR(__xludf.DUMMYFUNCTION("IFERROR(
  VLOOKUP(
    A78,
    IMPORTRANGE(
      ""1ZHMy3vVUd_0MrSduXTe1etBb1HNpAlGwQr006ljwMiM"",
      ""GSC最新!A:R""
    ),
    14,
    FALSE
  ),
  0
)
"),0.0)</f>
        <v>0</v>
      </c>
      <c r="U78" s="9">
        <f>IFERROR(__xludf.DUMMYFUNCTION("IFERROR(
  VLOOKUP(
    A78,
    IMPORTRANGE(
      ""1ZHMy3vVUd_0MrSduXTe1etBb1HNpAlGwQr006ljwMiM"",
      ""GSC最新!A:R""
    ),
    17,
    FALSE
  ),
  0
)
"),0.0)</f>
        <v>0</v>
      </c>
      <c r="V78" s="9">
        <f t="shared" ref="V78:W78" si="383">IFERROR(R78-T78,"-")</f>
        <v>0</v>
      </c>
      <c r="W78" s="9">
        <f t="shared" si="383"/>
        <v>0</v>
      </c>
      <c r="X78" s="65">
        <f>IFERROR(__xludf.DUMMYFUNCTION("IFERROR(
  VLOOKUP(
    A78,
    IMPORTRANGE(
      ""1ZHMy3vVUd_0MrSduXTe1etBb1HNpAlGwQr006ljwMiM"",
      ""GSC最新!A:R""
    ),
    9,
    FALSE
  ),
  0
)
"),9.0)</f>
        <v>9</v>
      </c>
      <c r="Y78" s="65">
        <f>IFERROR(__xludf.DUMMYFUNCTION("IFERROR(
  VLOOKUP(
    A78,
    IMPORTRANGE(
      ""1ZHMy3vVUd_0MrSduXTe1etBb1HNpAlGwQr006ljwMiM"",
      ""GSC最新!A:R""
    ),
    12,
    FALSE
  ),
  0
)
"),5.714285714285714)</f>
        <v>5.714285714</v>
      </c>
      <c r="Z78" s="65" t="str">
        <f>IFERROR(__xludf.DUMMYFUNCTION("IFERROR(
  VLOOKUP(
    A78,
    IMPORTRANGE(
      ""1ZHMy3vVUd_0MrSduXTe1etBb1HNpAlGwQr006ljwMiM"",
      ""GSC最新!A:R""
    ),
    15,
    FALSE
  ),
  0
)
"),"")</f>
        <v/>
      </c>
      <c r="AA78" s="65" t="str">
        <f>IFERROR(__xludf.DUMMYFUNCTION("IFERROR(
  VLOOKUP(
    A78,
    IMPORTRANGE(
      ""1ZHMy3vVUd_0MrSduXTe1etBb1HNpAlGwQr006ljwMiM"",
      ""GSC最新!A:R""
    ),
    18,
    FALSE
  ),
  0
)
"),"")</f>
        <v/>
      </c>
      <c r="AB78" s="65">
        <f t="shared" ref="AB78:AC78" si="384">X78-Z78</f>
        <v>9</v>
      </c>
      <c r="AC78" s="65">
        <f t="shared" si="384"/>
        <v>5.714285714</v>
      </c>
      <c r="AD78" s="53">
        <f>IFERROR(__xludf.DUMMYFUNCTION("IFERROR(
  VLOOKUP(
    A78,
    IMPORTRANGE(
      ""1ZHMy3vVUd_0MrSduXTe1etBb1HNpAlGwQr006ljwMiM"",
      ""GSC最新!A:F""
    ),
    6,
    FALSE
  ),
  0
)
"),46081.0)</f>
        <v>46081</v>
      </c>
      <c r="AE78" s="54">
        <f>IFERROR(__xludf.DUMMYFUNCTION("IFERROR(
  VLOOKUP(
    A78,
    IMPORTRANGE(
      ""1SCYQd7_cobOYqT0r_F0IqD4tE4rYn5y8Eup4PJTH8es"",
      ""Snapshot!A:M""
    ),
    5,
    FALSE
  ),
  ""-""
)
"),0.0)</f>
        <v>0</v>
      </c>
      <c r="AF78" s="54">
        <f>IFERROR(__xludf.DUMMYFUNCTION("IFERROR(
  VLOOKUP(
    A78,
    IMPORTRANGE(
      ""1SCYQd7_cobOYqT0r_F0IqD4tE4rYn5y8Eup4PJTH8es"",
      ""Snapshot!A:M""
    ),
    6,
    FALSE
  ),
  0
)
"),0.0)</f>
        <v>0</v>
      </c>
      <c r="AG78" s="54">
        <f>IFERROR(__xludf.DUMMYFUNCTION("IFERROR(
  VLOOKUP(
    A78,
    IMPORTRANGE(
      ""1SCYQd7_cobOYqT0r_F0IqD4tE4rYn5y8Eup4PJTH8es"",
      ""Snapshot!A:M""
    ),
    7,
    FALSE
  ),
  0
)
"),0.0)</f>
        <v>0</v>
      </c>
      <c r="AH78" s="54">
        <f>IFERROR(__xludf.DUMMYFUNCTION("IFERROR(
  VLOOKUP(
    A78,
    IMPORTRANGE(
      ""1SCYQd7_cobOYqT0r_F0IqD4tE4rYn5y8Eup4PJTH8es"",
      ""Snapshot!A:M""
    ),
    8,
    FALSE
  ),
  0
)
"),0.0)</f>
        <v>0</v>
      </c>
      <c r="AI78" s="54">
        <f>IFERROR(__xludf.DUMMYFUNCTION("IFERROR(
  VLOOKUP(
    A78,
    IMPORTRANGE(
      ""1SCYQd7_cobOYqT0r_F0IqD4tE4rYn5y8Eup4PJTH8es"",
      ""Snapshot!A:M""
    ),
    9,
    FALSE
  ),
  0
)
"),0.0)</f>
        <v>0</v>
      </c>
      <c r="AJ78" s="54">
        <f>IFERROR(__xludf.DUMMYFUNCTION("IFERROR(
  VLOOKUP(
    A78,
    IMPORTRANGE(
      ""1SCYQd7_cobOYqT0r_F0IqD4tE4rYn5y8Eup4PJTH8es"",
      ""Snapshot!A:M""
    ),
    13,
    FALSE
  ),
  0
)
"),1.0)</f>
        <v>1</v>
      </c>
      <c r="AK78" s="49">
        <f t="shared" ref="AK78:AL78" si="385">LEN(C78)</f>
        <v>43</v>
      </c>
      <c r="AL78" s="49">
        <f t="shared" si="385"/>
        <v>116</v>
      </c>
    </row>
    <row r="79">
      <c r="A79" s="3" t="s">
        <v>764</v>
      </c>
      <c r="B79" s="1" t="str">
        <f>IFERROR(__xludf.DUMMYFUNCTION("IFERROR(
  VLOOKUP(
    A79,
    IMPORTRANGE(
      ""1ZygntHC1J6IxzKbTidmOyf5nUyW4GCLurHCjexrLm_o"",
      ""HTMLキャッシュ!A:F""
    ),
    2,
    FALSE
  ),
  0
)
"),"SC")</f>
        <v>SC</v>
      </c>
      <c r="C79" s="1" t="str">
        <f>IFERROR(__xludf.DUMMYFUNCTION("IFERROR(
  VLOOKUP(
    A79,
    IMPORTRANGE(
      ""1ZygntHC1J6IxzKbTidmOyf5nUyW4GCLurHCjexrLm_o"",
      ""HTMLキャッシュ!A:F""
    ),
    5,
    FALSE
  ),
  0
)
"),"確実に暗記する方法とは？ - 中高一貫校専門塾エスコット(Escot)～定期試験対策から大学受験指導まで～")</f>
        <v>確実に暗記する方法とは？ - 中高一貫校専門塾エスコット(Escot)～定期試験対策から大学受験指導まで～</v>
      </c>
      <c r="D79" s="1" t="str">
        <f>IFERROR(__xludf.DUMMYFUNCTION("IFERROR(
  VLOOKUP(
    A79,
    IMPORTRANGE(
      ""1ZygntHC1J6IxzKbTidmOyf5nUyW4GCLurHCjexrLm_o        "",
      ""HTMLキャッシュ!A:F""
    ),
    6,
    FALSE
  ),
  0
)
"),"確実に暗記する方法とは？ テストが近づくと、どうしても暗記をして点数を取ろうという気持ちが強くなります。そこで")</f>
        <v>確実に暗記する方法とは？ テストが近づくと、どうしても暗記をして点数を取ろうという気持ちが強くなります。そこで</v>
      </c>
      <c r="E79" s="32">
        <f>IFERROR(__xludf.DUMMYFUNCTION("IFERROR(
  VLOOKUP(
    A79,
    IMPORTRANGE(
      ""1ZygntHC1J6IxzKbTidmOyf5nUyW4GCLurHCjexrLm_o        "",
      ""HTMLキャッシュ!A:F""
    ),
    3,
    FALSE
  ),
  0
)
"),46043.77332175926)</f>
        <v>46043.77332</v>
      </c>
      <c r="F79" s="49">
        <f>IFERROR(__xludf.DUMMYFUNCTION("IFERROR(
  VLOOKUP(
    A79,
    IMPORTRANGE(
      ""1ZHMy3vVUd_0MrSduXTe1etBb1HNpAlGwQr006ljwMiM"",
      ""GSC最新!A:F""
    ),
    2,
    FALSE
  ),
  0
)
"),0.0)</f>
        <v>0</v>
      </c>
      <c r="G79" s="49">
        <f>IFERROR(__xludf.DUMMYFUNCTION("IFERROR(
  VLOOKUP(
    A79,
    IMPORTRANGE(
      ""1ZHMy3vVUd_0MrSduXTe1etBb1HNpAlGwQr006ljwMiM"",
      ""GSC最新!A:F""
    ),
    3,
    FALSE
  ),
  0
)
"),0.0)</f>
        <v>0</v>
      </c>
      <c r="H79" s="49">
        <f>IFERROR(__xludf.DUMMYFUNCTION("IFERROR(
  VLOOKUP(
    A79,
    IMPORTRANGE(
      ""1ZHMy3vVUd_0MrSduXTe1etBb1HNpAlGwQr006ljwMiM"",
      ""GSC最新!A:F""
    ),
    4,
    FALSE
  ),
  0
)
"),0.0)</f>
        <v>0</v>
      </c>
      <c r="I79" s="49">
        <f>IFERROR(__xludf.DUMMYFUNCTION("IFERROR(
  VLOOKUP(
    A79,
    IMPORTRANGE(
      ""1ZHMy3vVUd_0MrSduXTe1etBb1HNpAlGwQr006ljwMiM"",
      ""GSC最新!A:F""
    ),
    5,
    FALSE
  ),
  0
)
"),0.0)</f>
        <v>0</v>
      </c>
      <c r="J79" s="50" t="str">
        <f t="shared" ref="J79:K79" si="386">IFERROR(F79/H79,"-")</f>
        <v>-</v>
      </c>
      <c r="K79" s="50" t="str">
        <f t="shared" si="386"/>
        <v>-</v>
      </c>
      <c r="L79" s="6">
        <f>IFERROR(__xludf.DUMMYFUNCTION("IFERROR(
  VLOOKUP(
    A79,
    IMPORTRANGE(
      ""1ZHMy3vVUd_0MrSduXTe1etBb1HNpAlGwQr006ljwMiM"",
      ""GSC最新!A:R""
    ),
    7,
    FALSE
  ),
  0
)
"),2.0)</f>
        <v>2</v>
      </c>
      <c r="M79" s="6">
        <f>IFERROR(__xludf.DUMMYFUNCTION("IFERROR(
  VLOOKUP(
    A79,
    IMPORTRANGE(
      ""1ZHMy3vVUd_0MrSduXTe1etBb1HNpAlGwQr006ljwMiM"",
      ""GSC最新!A:R""
    ),
    10,
    FALSE
  ),
  0
)
"),8.0)</f>
        <v>8</v>
      </c>
      <c r="N79" s="6">
        <f>IFERROR(__xludf.DUMMYFUNCTION("IFERROR(
  VLOOKUP(
    A79,
    IMPORTRANGE(
      ""1ZHMy3vVUd_0MrSduXTe1etBb1HNpAlGwQr006ljwMiM"",
      ""GSC最新!A:R""
    ),
    13,
    FALSE
  ),
  0
)
"),0.0)</f>
        <v>0</v>
      </c>
      <c r="O79" s="6">
        <f>IFERROR(__xludf.DUMMYFUNCTION("IFERROR(
  VLOOKUP(
    A79,
    IMPORTRANGE(
      ""1ZHMy3vVUd_0MrSduXTe1etBb1HNpAlGwQr006ljwMiM"",
      ""GSC最新!A:R""
    ),
    16,
    FALSE
  ),
  0
)
"),0.0)</f>
        <v>0</v>
      </c>
      <c r="P79" s="51" t="str">
        <f t="shared" ref="P79:Q79" si="387">IFERROR(L79/N79,"-")</f>
        <v>-</v>
      </c>
      <c r="Q79" s="51" t="str">
        <f t="shared" si="387"/>
        <v>-</v>
      </c>
      <c r="R79" s="9">
        <f>IFERROR(__xludf.DUMMYFUNCTION("IFERROR(
  VLOOKUP(
    A79,
    IMPORTRANGE(
      ""1ZHMy3vVUd_0MrSduXTe1etBb1HNpAlGwQr006ljwMiM"",
      ""GSC最新!A:R""
    ),
    8,
    FALSE
  ),
  0
)
"),0.0)</f>
        <v>0</v>
      </c>
      <c r="S79" s="9">
        <f>IFERROR(__xludf.DUMMYFUNCTION("IFERROR(
  VLOOKUP(
    A79,
    IMPORTRANGE(
      ""1ZHMy3vVUd_0MrSduXTe1etBb1HNpAlGwQr006ljwMiM"",
      ""GSC最新!A:R""
    ),
    11,
    FALSE
  ),
  0
)
"),0.0)</f>
        <v>0</v>
      </c>
      <c r="T79" s="9">
        <f>IFERROR(__xludf.DUMMYFUNCTION("IFERROR(
  VLOOKUP(
    A79,
    IMPORTRANGE(
      ""1ZHMy3vVUd_0MrSduXTe1etBb1HNpAlGwQr006ljwMiM"",
      ""GSC最新!A:R""
    ),
    14,
    FALSE
  ),
  0
)
"),0.0)</f>
        <v>0</v>
      </c>
      <c r="U79" s="9">
        <f>IFERROR(__xludf.DUMMYFUNCTION("IFERROR(
  VLOOKUP(
    A79,
    IMPORTRANGE(
      ""1ZHMy3vVUd_0MrSduXTe1etBb1HNpAlGwQr006ljwMiM"",
      ""GSC最新!A:R""
    ),
    17,
    FALSE
  ),
  0
)
"),0.0)</f>
        <v>0</v>
      </c>
      <c r="V79" s="9">
        <f t="shared" ref="V79:W79" si="388">IFERROR(R79-T79,"-")</f>
        <v>0</v>
      </c>
      <c r="W79" s="9">
        <f t="shared" si="388"/>
        <v>0</v>
      </c>
      <c r="X79" s="65">
        <f>IFERROR(__xludf.DUMMYFUNCTION("IFERROR(
  VLOOKUP(
    A79,
    IMPORTRANGE(
      ""1ZHMy3vVUd_0MrSduXTe1etBb1HNpAlGwQr006ljwMiM"",
      ""GSC最新!A:R""
    ),
    9,
    FALSE
  ),
  0
)
"),19.5)</f>
        <v>19.5</v>
      </c>
      <c r="Y79" s="65">
        <f>IFERROR(__xludf.DUMMYFUNCTION("IFERROR(
  VLOOKUP(
    A79,
    IMPORTRANGE(
      ""1ZHMy3vVUd_0MrSduXTe1etBb1HNpAlGwQr006ljwMiM"",
      ""GSC最新!A:R""
    ),
    12,
    FALSE
  ),
  0
)
"),10.75)</f>
        <v>10.75</v>
      </c>
      <c r="Z79" s="65" t="str">
        <f>IFERROR(__xludf.DUMMYFUNCTION("IFERROR(
  VLOOKUP(
    A79,
    IMPORTRANGE(
      ""1ZHMy3vVUd_0MrSduXTe1etBb1HNpAlGwQr006ljwMiM"",
      ""GSC最新!A:R""
    ),
    15,
    FALSE
  ),
  0
)
"),"")</f>
        <v/>
      </c>
      <c r="AA79" s="65" t="str">
        <f>IFERROR(__xludf.DUMMYFUNCTION("IFERROR(
  VLOOKUP(
    A79,
    IMPORTRANGE(
      ""1ZHMy3vVUd_0MrSduXTe1etBb1HNpAlGwQr006ljwMiM"",
      ""GSC最新!A:R""
    ),
    18,
    FALSE
  ),
  0
)
"),"")</f>
        <v/>
      </c>
      <c r="AB79" s="65">
        <f t="shared" ref="AB79:AC79" si="389">X79-Z79</f>
        <v>19.5</v>
      </c>
      <c r="AC79" s="65">
        <f t="shared" si="389"/>
        <v>10.75</v>
      </c>
      <c r="AD79" s="53">
        <f>IFERROR(__xludf.DUMMYFUNCTION("IFERROR(
  VLOOKUP(
    A79,
    IMPORTRANGE(
      ""1ZHMy3vVUd_0MrSduXTe1etBb1HNpAlGwQr006ljwMiM"",
      ""GSC最新!A:F""
    ),
    6,
    FALSE
  ),
  0
)
"),46081.0)</f>
        <v>46081</v>
      </c>
      <c r="AE79" s="54">
        <f>IFERROR(__xludf.DUMMYFUNCTION("IFERROR(
  VLOOKUP(
    A79,
    IMPORTRANGE(
      ""1SCYQd7_cobOYqT0r_F0IqD4tE4rYn5y8Eup4PJTH8es"",
      ""Snapshot!A:M""
    ),
    5,
    FALSE
  ),
  ""-""
)
"),1.0)</f>
        <v>1</v>
      </c>
      <c r="AF79" s="54">
        <f>IFERROR(__xludf.DUMMYFUNCTION("IFERROR(
  VLOOKUP(
    A79,
    IMPORTRANGE(
      ""1SCYQd7_cobOYqT0r_F0IqD4tE4rYn5y8Eup4PJTH8es"",
      ""Snapshot!A:M""
    ),
    6,
    FALSE
  ),
  0
)
"),2.0)</f>
        <v>2</v>
      </c>
      <c r="AG79" s="54">
        <f>IFERROR(__xludf.DUMMYFUNCTION("IFERROR(
  VLOOKUP(
    A79,
    IMPORTRANGE(
      ""1SCYQd7_cobOYqT0r_F0IqD4tE4rYn5y8Eup4PJTH8es"",
      ""Snapshot!A:M""
    ),
    7,
    FALSE
  ),
  0
)
"),2141.0)</f>
        <v>2141</v>
      </c>
      <c r="AH79" s="54">
        <f>IFERROR(__xludf.DUMMYFUNCTION("IFERROR(
  VLOOKUP(
    A79,
    IMPORTRANGE(
      ""1SCYQd7_cobOYqT0r_F0IqD4tE4rYn5y8Eup4PJTH8es"",
      ""Snapshot!A:M""
    ),
    8,
    FALSE
  ),
  0
)
"),28.0)</f>
        <v>28</v>
      </c>
      <c r="AI79" s="54">
        <f>IFERROR(__xludf.DUMMYFUNCTION("IFERROR(
  VLOOKUP(
    A79,
    IMPORTRANGE(
      ""1SCYQd7_cobOYqT0r_F0IqD4tE4rYn5y8Eup4PJTH8es"",
      ""Snapshot!A:M""
    ),
    9,
    FALSE
  ),
  0
)
"),0.0)</f>
        <v>0</v>
      </c>
      <c r="AJ79" s="54">
        <f>IFERROR(__xludf.DUMMYFUNCTION("IFERROR(
  VLOOKUP(
    A79,
    IMPORTRANGE(
      ""1SCYQd7_cobOYqT0r_F0IqD4tE4rYn5y8Eup4PJTH8es"",
      ""Snapshot!A:M""
    ),
    13,
    FALSE
  ),
  0
)
"),2.0)</f>
        <v>2</v>
      </c>
      <c r="AK79" s="49">
        <f t="shared" ref="AK79:AL79" si="390">LEN(C79)</f>
        <v>53</v>
      </c>
      <c r="AL79" s="49">
        <f t="shared" si="390"/>
        <v>55</v>
      </c>
    </row>
    <row r="80">
      <c r="A80" s="3" t="s">
        <v>765</v>
      </c>
      <c r="B80" s="1" t="str">
        <f>IFERROR(__xludf.DUMMYFUNCTION("IFERROR(
  VLOOKUP(
    A80,
    IMPORTRANGE(
      ""1ZygntHC1J6IxzKbTidmOyf5nUyW4GCLurHCjexrLm_o"",
      ""HTMLキャッシュ!A:F""
    ),
    2,
    FALSE
  ),
  0
)
"),"MC")</f>
        <v>MC</v>
      </c>
      <c r="C80" s="1" t="str">
        <f>IFERROR(__xludf.DUMMYFUNCTION("IFERROR(
  VLOOKUP(
    A80,
    IMPORTRANGE(
      ""1ZygntHC1J6IxzKbTidmOyf5nUyW4GCLurHCjexrLm_o"",
      ""HTMLキャッシュ!A:F""
    ),
    5,
    FALSE
  ),
  0
)
"),"やる気をなくさず受験勉強を続けるために必要な心構えとは？ - 中高一貫校専門塾エスコット(Escot)～定期試験対策から大学受験指導まで～")</f>
        <v>やる気をなくさず受験勉強を続けるために必要な心構えとは？ - 中高一貫校専門塾エスコット(Escot)～定期試験対策から大学受験指導まで～</v>
      </c>
      <c r="D80" s="1" t="str">
        <f>IFERROR(__xludf.DUMMYFUNCTION("IFERROR(
  VLOOKUP(
    A80,
    IMPORTRANGE(
      ""1ZygntHC1J6IxzKbTidmOyf5nUyW4GCLurHCjexrLm_o        "",
      ""HTMLキャッシュ!A:F""
    ),
    6,
    FALSE
  ),
  0
)
"),"やる気をなくさず受験勉強を続けるために必要な心構えとは？ 受験勉強をしなくてはいけないとわかっていても、勉強が")</f>
        <v>やる気をなくさず受験勉強を続けるために必要な心構えとは？ 受験勉強をしなくてはいけないとわかっていても、勉強が</v>
      </c>
      <c r="E80" s="32">
        <f>IFERROR(__xludf.DUMMYFUNCTION("IFERROR(
  VLOOKUP(
    A80,
    IMPORTRANGE(
      ""1ZygntHC1J6IxzKbTidmOyf5nUyW4GCLurHCjexrLm_o        "",
      ""HTMLキャッシュ!A:F""
    ),
    3,
    FALSE
  ),
  0
)
"),46043.77542824074)</f>
        <v>46043.77543</v>
      </c>
      <c r="F80" s="49">
        <f>IFERROR(__xludf.DUMMYFUNCTION("IFERROR(
  VLOOKUP(
    A80,
    IMPORTRANGE(
      ""1ZHMy3vVUd_0MrSduXTe1etBb1HNpAlGwQr006ljwMiM"",
      ""GSC最新!A:F""
    ),
    2,
    FALSE
  ),
  0
)
"),0.0)</f>
        <v>0</v>
      </c>
      <c r="G80" s="49">
        <f>IFERROR(__xludf.DUMMYFUNCTION("IFERROR(
  VLOOKUP(
    A80,
    IMPORTRANGE(
      ""1ZHMy3vVUd_0MrSduXTe1etBb1HNpAlGwQr006ljwMiM"",
      ""GSC最新!A:F""
    ),
    3,
    FALSE
  ),
  0
)
"),0.0)</f>
        <v>0</v>
      </c>
      <c r="H80" s="49">
        <f>IFERROR(__xludf.DUMMYFUNCTION("IFERROR(
  VLOOKUP(
    A80,
    IMPORTRANGE(
      ""1ZHMy3vVUd_0MrSduXTe1etBb1HNpAlGwQr006ljwMiM"",
      ""GSC最新!A:F""
    ),
    4,
    FALSE
  ),
  0
)
"),0.0)</f>
        <v>0</v>
      </c>
      <c r="I80" s="49">
        <f>IFERROR(__xludf.DUMMYFUNCTION("IFERROR(
  VLOOKUP(
    A80,
    IMPORTRANGE(
      ""1ZHMy3vVUd_0MrSduXTe1etBb1HNpAlGwQr006ljwMiM"",
      ""GSC最新!A:F""
    ),
    5,
    FALSE
  ),
  0
)
"),0.0)</f>
        <v>0</v>
      </c>
      <c r="J80" s="50" t="str">
        <f t="shared" ref="J80:K80" si="391">IFERROR(F80/H80,"-")</f>
        <v>-</v>
      </c>
      <c r="K80" s="50" t="str">
        <f t="shared" si="391"/>
        <v>-</v>
      </c>
      <c r="L80" s="6">
        <f>IFERROR(__xludf.DUMMYFUNCTION("IFERROR(
  VLOOKUP(
    A80,
    IMPORTRANGE(
      ""1ZHMy3vVUd_0MrSduXTe1etBb1HNpAlGwQr006ljwMiM"",
      ""GSC最新!A:R""
    ),
    7,
    FALSE
  ),
  0
)
"),2.0)</f>
        <v>2</v>
      </c>
      <c r="M80" s="6">
        <f>IFERROR(__xludf.DUMMYFUNCTION("IFERROR(
  VLOOKUP(
    A80,
    IMPORTRANGE(
      ""1ZHMy3vVUd_0MrSduXTe1etBb1HNpAlGwQr006ljwMiM"",
      ""GSC最新!A:R""
    ),
    10,
    FALSE
  ),
  0
)
"),6.0)</f>
        <v>6</v>
      </c>
      <c r="N80" s="6">
        <f>IFERROR(__xludf.DUMMYFUNCTION("IFERROR(
  VLOOKUP(
    A80,
    IMPORTRANGE(
      ""1ZHMy3vVUd_0MrSduXTe1etBb1HNpAlGwQr006ljwMiM"",
      ""GSC最新!A:R""
    ),
    13,
    FALSE
  ),
  0
)
"),22.0)</f>
        <v>22</v>
      </c>
      <c r="O80" s="6">
        <f>IFERROR(__xludf.DUMMYFUNCTION("IFERROR(
  VLOOKUP(
    A80,
    IMPORTRANGE(
      ""1ZHMy3vVUd_0MrSduXTe1etBb1HNpAlGwQr006ljwMiM"",
      ""GSC最新!A:R""
    ),
    16,
    FALSE
  ),
  0
)
"),23.0)</f>
        <v>23</v>
      </c>
      <c r="P80" s="51">
        <f t="shared" ref="P80:Q80" si="392">IFERROR(L80/N80,"-")</f>
        <v>0.09090909091</v>
      </c>
      <c r="Q80" s="51">
        <f t="shared" si="392"/>
        <v>0.2608695652</v>
      </c>
      <c r="R80" s="9">
        <f>IFERROR(__xludf.DUMMYFUNCTION("IFERROR(
  VLOOKUP(
    A80,
    IMPORTRANGE(
      ""1ZHMy3vVUd_0MrSduXTe1etBb1HNpAlGwQr006ljwMiM"",
      ""GSC最新!A:R""
    ),
    8,
    FALSE
  ),
  0
)
"),0.0)</f>
        <v>0</v>
      </c>
      <c r="S80" s="9">
        <f>IFERROR(__xludf.DUMMYFUNCTION("IFERROR(
  VLOOKUP(
    A80,
    IMPORTRANGE(
      ""1ZHMy3vVUd_0MrSduXTe1etBb1HNpAlGwQr006ljwMiM"",
      ""GSC最新!A:R""
    ),
    11,
    FALSE
  ),
  0
)
"),0.0)</f>
        <v>0</v>
      </c>
      <c r="T80" s="9">
        <f>IFERROR(__xludf.DUMMYFUNCTION("IFERROR(
  VLOOKUP(
    A80,
    IMPORTRANGE(
      ""1ZHMy3vVUd_0MrSduXTe1etBb1HNpAlGwQr006ljwMiM"",
      ""GSC最新!A:R""
    ),
    14,
    FALSE
  ),
  0
)
"),0.0)</f>
        <v>0</v>
      </c>
      <c r="U80" s="9">
        <f>IFERROR(__xludf.DUMMYFUNCTION("IFERROR(
  VLOOKUP(
    A80,
    IMPORTRANGE(
      ""1ZHMy3vVUd_0MrSduXTe1etBb1HNpAlGwQr006ljwMiM"",
      ""GSC最新!A:R""
    ),
    17,
    FALSE
  ),
  0
)
"),0.0)</f>
        <v>0</v>
      </c>
      <c r="V80" s="9">
        <f t="shared" ref="V80:W80" si="393">IFERROR(R80-T80,"-")</f>
        <v>0</v>
      </c>
      <c r="W80" s="9">
        <f t="shared" si="393"/>
        <v>0</v>
      </c>
      <c r="X80" s="65">
        <f>IFERROR(__xludf.DUMMYFUNCTION("IFERROR(
  VLOOKUP(
    A80,
    IMPORTRANGE(
      ""1ZHMy3vVUd_0MrSduXTe1etBb1HNpAlGwQr006ljwMiM"",
      ""GSC最新!A:R""
    ),
    9,
    FALSE
  ),
  0
)
"),31.0)</f>
        <v>31</v>
      </c>
      <c r="Y80" s="65">
        <f>IFERROR(__xludf.DUMMYFUNCTION("IFERROR(
  VLOOKUP(
    A80,
    IMPORTRANGE(
      ""1ZHMy3vVUd_0MrSduXTe1etBb1HNpAlGwQr006ljwMiM"",
      ""GSC最新!A:R""
    ),
    12,
    FALSE
  ),
  0
)
"),15.5)</f>
        <v>15.5</v>
      </c>
      <c r="Z80" s="65">
        <f>IFERROR(__xludf.DUMMYFUNCTION("IFERROR(
  VLOOKUP(
    A80,
    IMPORTRANGE(
      ""1ZHMy3vVUd_0MrSduXTe1etBb1HNpAlGwQr006ljwMiM"",
      ""GSC最新!A:R""
    ),
    15,
    FALSE
  ),
  0
)
"),7.7272727272727275)</f>
        <v>7.727272727</v>
      </c>
      <c r="AA80" s="65">
        <f>IFERROR(__xludf.DUMMYFUNCTION("IFERROR(
  VLOOKUP(
    A80,
    IMPORTRANGE(
      ""1ZHMy3vVUd_0MrSduXTe1etBb1HNpAlGwQr006ljwMiM"",
      ""GSC最新!A:R""
    ),
    18,
    FALSE
  ),
  0
)
"),11.347826086956522)</f>
        <v>11.34782609</v>
      </c>
      <c r="AB80" s="65">
        <f t="shared" ref="AB80:AC80" si="394">X80-Z80</f>
        <v>23.27272727</v>
      </c>
      <c r="AC80" s="65">
        <f t="shared" si="394"/>
        <v>4.152173913</v>
      </c>
      <c r="AD80" s="53">
        <f>IFERROR(__xludf.DUMMYFUNCTION("IFERROR(
  VLOOKUP(
    A80,
    IMPORTRANGE(
      ""1ZHMy3vVUd_0MrSduXTe1etBb1HNpAlGwQr006ljwMiM"",
      ""GSC最新!A:F""
    ),
    6,
    FALSE
  ),
  0
)
"),46081.0)</f>
        <v>46081</v>
      </c>
      <c r="AE80" s="54">
        <f>IFERROR(__xludf.DUMMYFUNCTION("IFERROR(
  VLOOKUP(
    A80,
    IMPORTRANGE(
      ""1SCYQd7_cobOYqT0r_F0IqD4tE4rYn5y8Eup4PJTH8es"",
      ""Snapshot!A:M""
    ),
    5,
    FALSE
  ),
  ""-""
)
"),1.0)</f>
        <v>1</v>
      </c>
      <c r="AF80" s="54">
        <f>IFERROR(__xludf.DUMMYFUNCTION("IFERROR(
  VLOOKUP(
    A80,
    IMPORTRANGE(
      ""1SCYQd7_cobOYqT0r_F0IqD4tE4rYn5y8Eup4PJTH8es"",
      ""Snapshot!A:M""
    ),
    6,
    FALSE
  ),
  0
)
"),2.0)</f>
        <v>2</v>
      </c>
      <c r="AG80" s="54">
        <f>IFERROR(__xludf.DUMMYFUNCTION("IFERROR(
  VLOOKUP(
    A80,
    IMPORTRANGE(
      ""1SCYQd7_cobOYqT0r_F0IqD4tE4rYn5y8Eup4PJTH8es"",
      ""Snapshot!A:M""
    ),
    7,
    FALSE
  ),
  0
)
"),2717.0)</f>
        <v>2717</v>
      </c>
      <c r="AH80" s="54">
        <f>IFERROR(__xludf.DUMMYFUNCTION("IFERROR(
  VLOOKUP(
    A80,
    IMPORTRANGE(
      ""1SCYQd7_cobOYqT0r_F0IqD4tE4rYn5y8Eup4PJTH8es"",
      ""Snapshot!A:M""
    ),
    8,
    FALSE
  ),
  0
)
"),8.0)</f>
        <v>8</v>
      </c>
      <c r="AI80" s="54">
        <f>IFERROR(__xludf.DUMMYFUNCTION("IFERROR(
  VLOOKUP(
    A80,
    IMPORTRANGE(
      ""1SCYQd7_cobOYqT0r_F0IqD4tE4rYn5y8Eup4PJTH8es"",
      ""Snapshot!A:M""
    ),
    9,
    FALSE
  ),
  0
)
"),1.0)</f>
        <v>1</v>
      </c>
      <c r="AJ80" s="54">
        <f>IFERROR(__xludf.DUMMYFUNCTION("IFERROR(
  VLOOKUP(
    A80,
    IMPORTRANGE(
      ""1SCYQd7_cobOYqT0r_F0IqD4tE4rYn5y8Eup4PJTH8es"",
      ""Snapshot!A:M""
    ),
    13,
    FALSE
  ),
  0
)
"),2.0)</f>
        <v>2</v>
      </c>
      <c r="AK80" s="49">
        <f t="shared" ref="AK80:AL80" si="395">LEN(C80)</f>
        <v>69</v>
      </c>
      <c r="AL80" s="49">
        <f t="shared" si="395"/>
        <v>55</v>
      </c>
    </row>
    <row r="81">
      <c r="A81" s="3" t="s">
        <v>766</v>
      </c>
      <c r="B81" s="1" t="str">
        <f>IFERROR(__xludf.DUMMYFUNCTION("IFERROR(
  VLOOKUP(
    A81,
    IMPORTRANGE(
      ""1ZygntHC1J6IxzKbTidmOyf5nUyW4GCLurHCjexrLm_o"",
      ""HTMLキャッシュ!A:F""
    ),
    2,
    FALSE
  ),
  0
)
"),"NW")</f>
        <v>NW</v>
      </c>
      <c r="C81" s="1" t="str">
        <f>IFERROR(__xludf.DUMMYFUNCTION("IFERROR(
  VLOOKUP(
    A81,
    IMPORTRANGE(
      ""1ZygntHC1J6IxzKbTidmOyf5nUyW4GCLurHCjexrLm_o"",
      ""HTMLキャッシュ!A:F""
    ),
    5,
    FALSE
  ),
  0
)
"),"早稲田大突破セミナー開催のお知らせ - 中高一貫校専門塾エスコット(Escot)～定期試験対策から大学受験指導まで～")</f>
        <v>早稲田大突破セミナー開催のお知らせ - 中高一貫校専門塾エスコット(Escot)～定期試験対策から大学受験指導まで～</v>
      </c>
      <c r="D81" s="1" t="str">
        <f>IFERROR(__xludf.DUMMYFUNCTION("IFERROR(
  VLOOKUP(
    A81,
    IMPORTRANGE(
      ""1ZygntHC1J6IxzKbTidmOyf5nUyW4GCLurHCjexrLm_o        "",
      ""HTMLキャッシュ!A:F""
    ),
    6,
    FALSE
  ),
  0
)
"),"早稲田大突破セミナー開催のお知らせ 早稲田大学の最新入試問題(中高一貫専門塾エスコットの講師陣が徹底分析し、そ")</f>
        <v>早稲田大突破セミナー開催のお知らせ 早稲田大学の最新入試問題(中高一貫専門塾エスコットの講師陣が徹底分析し、そ</v>
      </c>
      <c r="E81" s="32">
        <f>IFERROR(__xludf.DUMMYFUNCTION("IFERROR(
  VLOOKUP(
    A81,
    IMPORTRANGE(
      ""1ZygntHC1J6IxzKbTidmOyf5nUyW4GCLurHCjexrLm_o        "",
      ""HTMLキャッシュ!A:F""
    ),
    3,
    FALSE
  ),
  0
)
"),44133.57144675926)</f>
        <v>44133.57145</v>
      </c>
      <c r="F81" s="49">
        <f>IFERROR(__xludf.DUMMYFUNCTION("IFERROR(
  VLOOKUP(
    A81,
    IMPORTRANGE(
      ""1ZHMy3vVUd_0MrSduXTe1etBb1HNpAlGwQr006ljwMiM"",
      ""GSC最新!A:F""
    ),
    2,
    FALSE
  ),
  0
)
"),0.0)</f>
        <v>0</v>
      </c>
      <c r="G81" s="49">
        <f>IFERROR(__xludf.DUMMYFUNCTION("IFERROR(
  VLOOKUP(
    A81,
    IMPORTRANGE(
      ""1ZHMy3vVUd_0MrSduXTe1etBb1HNpAlGwQr006ljwMiM"",
      ""GSC最新!A:F""
    ),
    3,
    FALSE
  ),
  0
)
"),0.0)</f>
        <v>0</v>
      </c>
      <c r="H81" s="49">
        <f>IFERROR(__xludf.DUMMYFUNCTION("IFERROR(
  VLOOKUP(
    A81,
    IMPORTRANGE(
      ""1ZHMy3vVUd_0MrSduXTe1etBb1HNpAlGwQr006ljwMiM"",
      ""GSC最新!A:F""
    ),
    4,
    FALSE
  ),
  0
)
"),0.0)</f>
        <v>0</v>
      </c>
      <c r="I81" s="49">
        <f>IFERROR(__xludf.DUMMYFUNCTION("IFERROR(
  VLOOKUP(
    A81,
    IMPORTRANGE(
      ""1ZHMy3vVUd_0MrSduXTe1etBb1HNpAlGwQr006ljwMiM"",
      ""GSC最新!A:F""
    ),
    5,
    FALSE
  ),
  0
)
"),0.0)</f>
        <v>0</v>
      </c>
      <c r="J81" s="50" t="str">
        <f t="shared" ref="J81:K81" si="396">IFERROR(F81/H81,"-")</f>
        <v>-</v>
      </c>
      <c r="K81" s="50" t="str">
        <f t="shared" si="396"/>
        <v>-</v>
      </c>
      <c r="L81" s="6">
        <f>IFERROR(__xludf.DUMMYFUNCTION("IFERROR(
  VLOOKUP(
    A81,
    IMPORTRANGE(
      ""1ZHMy3vVUd_0MrSduXTe1etBb1HNpAlGwQr006ljwMiM"",
      ""GSC最新!A:R""
    ),
    7,
    FALSE
  ),
  0
)
"),3.0)</f>
        <v>3</v>
      </c>
      <c r="M81" s="6">
        <f>IFERROR(__xludf.DUMMYFUNCTION("IFERROR(
  VLOOKUP(
    A81,
    IMPORTRANGE(
      ""1ZHMy3vVUd_0MrSduXTe1etBb1HNpAlGwQr006ljwMiM"",
      ""GSC最新!A:R""
    ),
    10,
    FALSE
  ),
  0
)
"),4.0)</f>
        <v>4</v>
      </c>
      <c r="N81" s="6">
        <f>IFERROR(__xludf.DUMMYFUNCTION("IFERROR(
  VLOOKUP(
    A81,
    IMPORTRANGE(
      ""1ZHMy3vVUd_0MrSduXTe1etBb1HNpAlGwQr006ljwMiM"",
      ""GSC最新!A:R""
    ),
    13,
    FALSE
  ),
  0
)
"),5.0)</f>
        <v>5</v>
      </c>
      <c r="O81" s="6">
        <f>IFERROR(__xludf.DUMMYFUNCTION("IFERROR(
  VLOOKUP(
    A81,
    IMPORTRANGE(
      ""1ZHMy3vVUd_0MrSduXTe1etBb1HNpAlGwQr006ljwMiM"",
      ""GSC最新!A:R""
    ),
    16,
    FALSE
  ),
  0
)
"),23.0)</f>
        <v>23</v>
      </c>
      <c r="P81" s="51">
        <f t="shared" ref="P81:Q81" si="397">IFERROR(L81/N81,"-")</f>
        <v>0.6</v>
      </c>
      <c r="Q81" s="51">
        <f t="shared" si="397"/>
        <v>0.1739130435</v>
      </c>
      <c r="R81" s="9">
        <f>IFERROR(__xludf.DUMMYFUNCTION("IFERROR(
  VLOOKUP(
    A81,
    IMPORTRANGE(
      ""1ZHMy3vVUd_0MrSduXTe1etBb1HNpAlGwQr006ljwMiM"",
      ""GSC最新!A:R""
    ),
    8,
    FALSE
  ),
  0
)
"),0.0)</f>
        <v>0</v>
      </c>
      <c r="S81" s="9">
        <f>IFERROR(__xludf.DUMMYFUNCTION("IFERROR(
  VLOOKUP(
    A81,
    IMPORTRANGE(
      ""1ZHMy3vVUd_0MrSduXTe1etBb1HNpAlGwQr006ljwMiM"",
      ""GSC最新!A:R""
    ),
    11,
    FALSE
  ),
  0
)
"),0.0)</f>
        <v>0</v>
      </c>
      <c r="T81" s="9">
        <f>IFERROR(__xludf.DUMMYFUNCTION("IFERROR(
  VLOOKUP(
    A81,
    IMPORTRANGE(
      ""1ZHMy3vVUd_0MrSduXTe1etBb1HNpAlGwQr006ljwMiM"",
      ""GSC最新!A:R""
    ),
    14,
    FALSE
  ),
  0
)
"),0.0)</f>
        <v>0</v>
      </c>
      <c r="U81" s="9">
        <f>IFERROR(__xludf.DUMMYFUNCTION("IFERROR(
  VLOOKUP(
    A81,
    IMPORTRANGE(
      ""1ZHMy3vVUd_0MrSduXTe1etBb1HNpAlGwQr006ljwMiM"",
      ""GSC最新!A:R""
    ),
    17,
    FALSE
  ),
  0
)
"),0.0)</f>
        <v>0</v>
      </c>
      <c r="V81" s="9">
        <f t="shared" ref="V81:W81" si="398">IFERROR(R81-T81,"-")</f>
        <v>0</v>
      </c>
      <c r="W81" s="9">
        <f t="shared" si="398"/>
        <v>0</v>
      </c>
      <c r="X81" s="65">
        <f>IFERROR(__xludf.DUMMYFUNCTION("IFERROR(
  VLOOKUP(
    A81,
    IMPORTRANGE(
      ""1ZHMy3vVUd_0MrSduXTe1etBb1HNpAlGwQr006ljwMiM"",
      ""GSC最新!A:R""
    ),
    9,
    FALSE
  ),
  0
)
"),11.666666666666666)</f>
        <v>11.66666667</v>
      </c>
      <c r="Y81" s="65">
        <f>IFERROR(__xludf.DUMMYFUNCTION("IFERROR(
  VLOOKUP(
    A81,
    IMPORTRANGE(
      ""1ZHMy3vVUd_0MrSduXTe1etBb1HNpAlGwQr006ljwMiM"",
      ""GSC最新!A:R""
    ),
    12,
    FALSE
  ),
  0
)
"),11.25)</f>
        <v>11.25</v>
      </c>
      <c r="Z81" s="65">
        <f>IFERROR(__xludf.DUMMYFUNCTION("IFERROR(
  VLOOKUP(
    A81,
    IMPORTRANGE(
      ""1ZHMy3vVUd_0MrSduXTe1etBb1HNpAlGwQr006ljwMiM"",
      ""GSC最新!A:R""
    ),
    15,
    FALSE
  ),
  0
)
"),54.0)</f>
        <v>54</v>
      </c>
      <c r="AA81" s="65">
        <f>IFERROR(__xludf.DUMMYFUNCTION("IFERROR(
  VLOOKUP(
    A81,
    IMPORTRANGE(
      ""1ZHMy3vVUd_0MrSduXTe1etBb1HNpAlGwQr006ljwMiM"",
      ""GSC最新!A:R""
    ),
    18,
    FALSE
  ),
  0
)
"),59.0)</f>
        <v>59</v>
      </c>
      <c r="AB81" s="65">
        <f t="shared" ref="AB81:AC81" si="399">X81-Z81</f>
        <v>-42.33333333</v>
      </c>
      <c r="AC81" s="65">
        <f t="shared" si="399"/>
        <v>-47.75</v>
      </c>
      <c r="AD81" s="53">
        <f>IFERROR(__xludf.DUMMYFUNCTION("IFERROR(
  VLOOKUP(
    A81,
    IMPORTRANGE(
      ""1ZHMy3vVUd_0MrSduXTe1etBb1HNpAlGwQr006ljwMiM"",
      ""GSC最新!A:F""
    ),
    6,
    FALSE
  ),
  0
)
"),46081.0)</f>
        <v>46081</v>
      </c>
      <c r="AE81" s="54">
        <f>IFERROR(__xludf.DUMMYFUNCTION("IFERROR(
  VLOOKUP(
    A81,
    IMPORTRANGE(
      ""1SCYQd7_cobOYqT0r_F0IqD4tE4rYn5y8Eup4PJTH8es"",
      ""Snapshot!A:M""
    ),
    5,
    FALSE
  ),
  ""-""
)
"),1.0)</f>
        <v>1</v>
      </c>
      <c r="AF81" s="54">
        <f>IFERROR(__xludf.DUMMYFUNCTION("IFERROR(
  VLOOKUP(
    A81,
    IMPORTRANGE(
      ""1SCYQd7_cobOYqT0r_F0IqD4tE4rYn5y8Eup4PJTH8es"",
      ""Snapshot!A:M""
    ),
    6,
    FALSE
  ),
  0
)
"),1.0)</f>
        <v>1</v>
      </c>
      <c r="AG81" s="54">
        <f>IFERROR(__xludf.DUMMYFUNCTION("IFERROR(
  VLOOKUP(
    A81,
    IMPORTRANGE(
      ""1SCYQd7_cobOYqT0r_F0IqD4tE4rYn5y8Eup4PJTH8es"",
      ""Snapshot!A:M""
    ),
    7,
    FALSE
  ),
  0
)
"),1538.0)</f>
        <v>1538</v>
      </c>
      <c r="AH81" s="54">
        <f>IFERROR(__xludf.DUMMYFUNCTION("IFERROR(
  VLOOKUP(
    A81,
    IMPORTRANGE(
      ""1SCYQd7_cobOYqT0r_F0IqD4tE4rYn5y8Eup4PJTH8es"",
      ""Snapshot!A:M""
    ),
    8,
    FALSE
  ),
  0
)
"),0.0)</f>
        <v>0</v>
      </c>
      <c r="AI81" s="54">
        <f>IFERROR(__xludf.DUMMYFUNCTION("IFERROR(
  VLOOKUP(
    A81,
    IMPORTRANGE(
      ""1SCYQd7_cobOYqT0r_F0IqD4tE4rYn5y8Eup4PJTH8es"",
      ""Snapshot!A:M""
    ),
    9,
    FALSE
  ),
  0
)
"),1.0)</f>
        <v>1</v>
      </c>
      <c r="AJ81" s="54">
        <f>IFERROR(__xludf.DUMMYFUNCTION("IFERROR(
  VLOOKUP(
    A81,
    IMPORTRANGE(
      ""1SCYQd7_cobOYqT0r_F0IqD4tE4rYn5y8Eup4PJTH8es"",
      ""Snapshot!A:M""
    ),
    13,
    FALSE
  ),
  0
)
"),2.0)</f>
        <v>2</v>
      </c>
      <c r="AK81" s="49">
        <f t="shared" ref="AK81:AL81" si="400">LEN(C81)</f>
        <v>58</v>
      </c>
      <c r="AL81" s="49">
        <f t="shared" si="400"/>
        <v>55</v>
      </c>
    </row>
    <row r="82">
      <c r="A82" s="3" t="s">
        <v>767</v>
      </c>
      <c r="B82" s="1" t="str">
        <f>IFERROR(__xludf.DUMMYFUNCTION("IFERROR(
  VLOOKUP(
    A82,
    IMPORTRANGE(
      ""1ZygntHC1J6IxzKbTidmOyf5nUyW4GCLurHCjexrLm_o"",
      ""HTMLキャッシュ!A:F""
    ),
    2,
    FALSE
  ),
  0
)
"),"ST")</f>
        <v>ST</v>
      </c>
      <c r="C82" s="1" t="str">
        <f>IFERROR(__xludf.DUMMYFUNCTION("IFERROR(
  VLOOKUP(
    A82,
    IMPORTRANGE(
      ""1ZygntHC1J6IxzKbTidmOyf5nUyW4GCLurHCjexrLm_o"",
      ""HTMLキャッシュ!A:F""
    ),
    5,
    FALSE
  ),
  0
)
"),"代表挨拶 - 中高一貫校専門塾エスコット(Escot)～定期試験対策から大学受験指導まで～")</f>
        <v>代表挨拶 - 中高一貫校専門塾エスコット(Escot)～定期試験対策から大学受験指導まで～</v>
      </c>
      <c r="D82" s="1" t="str">
        <f>IFERROR(__xludf.DUMMYFUNCTION("IFERROR(
  VLOOKUP(
    A82,
    IMPORTRANGE(
      ""1ZygntHC1J6IxzKbTidmOyf5nUyW4GCLurHCjexrLm_o        "",
      ""HTMLキャッシュ!A:F""
    ),
    6,
    FALSE
  ),
  0
)
"),"代表挨拶 中高一貫校専門塾エスコット・代表の夏井です。 中学受験という12歳時点での競争を勝ち抜き、無事志望校")</f>
        <v>代表挨拶 中高一貫校専門塾エスコット・代表の夏井です。 中学受験という12歳時点での競争を勝ち抜き、無事志望校</v>
      </c>
      <c r="E82" s="32">
        <f>IFERROR(__xludf.DUMMYFUNCTION("IFERROR(
  VLOOKUP(
    A82,
    IMPORTRANGE(
      ""1ZygntHC1J6IxzKbTidmOyf5nUyW4GCLurHCjexrLm_o        "",
      ""HTMLキャッシュ!A:F""
    ),
    3,
    FALSE
  ),
  0
)
"),43547.59488425926)</f>
        <v>43547.59488</v>
      </c>
      <c r="F82" s="49">
        <f>IFERROR(__xludf.DUMMYFUNCTION("IFERROR(
  VLOOKUP(
    A82,
    IMPORTRANGE(
      ""1ZHMy3vVUd_0MrSduXTe1etBb1HNpAlGwQr006ljwMiM"",
      ""GSC最新!A:F""
    ),
    2,
    FALSE
  ),
  0
)
"),0.0)</f>
        <v>0</v>
      </c>
      <c r="G82" s="49">
        <f>IFERROR(__xludf.DUMMYFUNCTION("IFERROR(
  VLOOKUP(
    A82,
    IMPORTRANGE(
      ""1ZHMy3vVUd_0MrSduXTe1etBb1HNpAlGwQr006ljwMiM"",
      ""GSC最新!A:F""
    ),
    3,
    FALSE
  ),
  0
)
"),0.0)</f>
        <v>0</v>
      </c>
      <c r="H82" s="49">
        <f>IFERROR(__xludf.DUMMYFUNCTION("IFERROR(
  VLOOKUP(
    A82,
    IMPORTRANGE(
      ""1ZHMy3vVUd_0MrSduXTe1etBb1HNpAlGwQr006ljwMiM"",
      ""GSC最新!A:F""
    ),
    4,
    FALSE
  ),
  0
)
"),0.0)</f>
        <v>0</v>
      </c>
      <c r="I82" s="49">
        <f>IFERROR(__xludf.DUMMYFUNCTION("IFERROR(
  VLOOKUP(
    A82,
    IMPORTRANGE(
      ""1ZHMy3vVUd_0MrSduXTe1etBb1HNpAlGwQr006ljwMiM"",
      ""GSC最新!A:F""
    ),
    5,
    FALSE
  ),
  0
)
"),0.0)</f>
        <v>0</v>
      </c>
      <c r="J82" s="50" t="str">
        <f t="shared" ref="J82:K82" si="401">IFERROR(F82/H82,"-")</f>
        <v>-</v>
      </c>
      <c r="K82" s="50" t="str">
        <f t="shared" si="401"/>
        <v>-</v>
      </c>
      <c r="L82" s="6">
        <f>IFERROR(__xludf.DUMMYFUNCTION("IFERROR(
  VLOOKUP(
    A82,
    IMPORTRANGE(
      ""1ZHMy3vVUd_0MrSduXTe1etBb1HNpAlGwQr006ljwMiM"",
      ""GSC最新!A:R""
    ),
    7,
    FALSE
  ),
  0
)
"),5.0)</f>
        <v>5</v>
      </c>
      <c r="M82" s="6">
        <f>IFERROR(__xludf.DUMMYFUNCTION("IFERROR(
  VLOOKUP(
    A82,
    IMPORTRANGE(
      ""1ZHMy3vVUd_0MrSduXTe1etBb1HNpAlGwQr006ljwMiM"",
      ""GSC最新!A:R""
    ),
    10,
    FALSE
  ),
  0
)
"),5.0)</f>
        <v>5</v>
      </c>
      <c r="N82" s="6">
        <f>IFERROR(__xludf.DUMMYFUNCTION("IFERROR(
  VLOOKUP(
    A82,
    IMPORTRANGE(
      ""1ZHMy3vVUd_0MrSduXTe1etBb1HNpAlGwQr006ljwMiM"",
      ""GSC最新!A:R""
    ),
    13,
    FALSE
  ),
  0
)
"),11.0)</f>
        <v>11</v>
      </c>
      <c r="O82" s="6">
        <f>IFERROR(__xludf.DUMMYFUNCTION("IFERROR(
  VLOOKUP(
    A82,
    IMPORTRANGE(
      ""1ZHMy3vVUd_0MrSduXTe1etBb1HNpAlGwQr006ljwMiM"",
      ""GSC最新!A:R""
    ),
    16,
    FALSE
  ),
  0
)
"),21.0)</f>
        <v>21</v>
      </c>
      <c r="P82" s="51">
        <f t="shared" ref="P82:Q82" si="402">IFERROR(L82/N82,"-")</f>
        <v>0.4545454545</v>
      </c>
      <c r="Q82" s="51">
        <f t="shared" si="402"/>
        <v>0.2380952381</v>
      </c>
      <c r="R82" s="9">
        <f>IFERROR(__xludf.DUMMYFUNCTION("IFERROR(
  VLOOKUP(
    A82,
    IMPORTRANGE(
      ""1ZHMy3vVUd_0MrSduXTe1etBb1HNpAlGwQr006ljwMiM"",
      ""GSC最新!A:R""
    ),
    8,
    FALSE
  ),
  0
)
"),0.0)</f>
        <v>0</v>
      </c>
      <c r="S82" s="9">
        <f>IFERROR(__xludf.DUMMYFUNCTION("IFERROR(
  VLOOKUP(
    A82,
    IMPORTRANGE(
      ""1ZHMy3vVUd_0MrSduXTe1etBb1HNpAlGwQr006ljwMiM"",
      ""GSC最新!A:R""
    ),
    11,
    FALSE
  ),
  0
)
"),0.0)</f>
        <v>0</v>
      </c>
      <c r="T82" s="9">
        <f>IFERROR(__xludf.DUMMYFUNCTION("IFERROR(
  VLOOKUP(
    A82,
    IMPORTRANGE(
      ""1ZHMy3vVUd_0MrSduXTe1etBb1HNpAlGwQr006ljwMiM"",
      ""GSC最新!A:R""
    ),
    14,
    FALSE
  ),
  0
)
"),0.0)</f>
        <v>0</v>
      </c>
      <c r="U82" s="9">
        <f>IFERROR(__xludf.DUMMYFUNCTION("IFERROR(
  VLOOKUP(
    A82,
    IMPORTRANGE(
      ""1ZHMy3vVUd_0MrSduXTe1etBb1HNpAlGwQr006ljwMiM"",
      ""GSC最新!A:R""
    ),
    17,
    FALSE
  ),
  0
)
"),0.0)</f>
        <v>0</v>
      </c>
      <c r="V82" s="9">
        <f t="shared" ref="V82:W82" si="403">IFERROR(R82-T82,"-")</f>
        <v>0</v>
      </c>
      <c r="W82" s="9">
        <f t="shared" si="403"/>
        <v>0</v>
      </c>
      <c r="X82" s="65">
        <f>IFERROR(__xludf.DUMMYFUNCTION("IFERROR(
  VLOOKUP(
    A82,
    IMPORTRANGE(
      ""1ZHMy3vVUd_0MrSduXTe1etBb1HNpAlGwQr006ljwMiM"",
      ""GSC最新!A:R""
    ),
    9,
    FALSE
  ),
  0
)
"),6.4)</f>
        <v>6.4</v>
      </c>
      <c r="Y82" s="65">
        <f>IFERROR(__xludf.DUMMYFUNCTION("IFERROR(
  VLOOKUP(
    A82,
    IMPORTRANGE(
      ""1ZHMy3vVUd_0MrSduXTe1etBb1HNpAlGwQr006ljwMiM"",
      ""GSC最新!A:R""
    ),
    12,
    FALSE
  ),
  0
)
"),6.4)</f>
        <v>6.4</v>
      </c>
      <c r="Z82" s="65">
        <f>IFERROR(__xludf.DUMMYFUNCTION("IFERROR(
  VLOOKUP(
    A82,
    IMPORTRANGE(
      ""1ZHMy3vVUd_0MrSduXTe1etBb1HNpAlGwQr006ljwMiM"",
      ""GSC最新!A:R""
    ),
    15,
    FALSE
  ),
  0
)
"),9.727272727272727)</f>
        <v>9.727272727</v>
      </c>
      <c r="AA82" s="65">
        <f>IFERROR(__xludf.DUMMYFUNCTION("IFERROR(
  VLOOKUP(
    A82,
    IMPORTRANGE(
      ""1ZHMy3vVUd_0MrSduXTe1etBb1HNpAlGwQr006ljwMiM"",
      ""GSC最新!A:R""
    ),
    18,
    FALSE
  ),
  0
)
"),7.142857142857143)</f>
        <v>7.142857143</v>
      </c>
      <c r="AB82" s="65">
        <f t="shared" ref="AB82:AC82" si="404">X82-Z82</f>
        <v>-3.327272727</v>
      </c>
      <c r="AC82" s="65">
        <f t="shared" si="404"/>
        <v>-0.7428571429</v>
      </c>
      <c r="AD82" s="53">
        <f>IFERROR(__xludf.DUMMYFUNCTION("IFERROR(
  VLOOKUP(
    A82,
    IMPORTRANGE(
      ""1ZHMy3vVUd_0MrSduXTe1etBb1HNpAlGwQr006ljwMiM"",
      ""GSC最新!A:F""
    ),
    6,
    FALSE
  ),
  0
)
"),46081.0)</f>
        <v>46081</v>
      </c>
      <c r="AE82" s="54">
        <f>IFERROR(__xludf.DUMMYFUNCTION("IFERROR(
  VLOOKUP(
    A82,
    IMPORTRANGE(
      ""1SCYQd7_cobOYqT0r_F0IqD4tE4rYn5y8Eup4PJTH8es"",
      ""Snapshot!A:M""
    ),
    5,
    FALSE
  ),
  ""-""
)
"),1.0)</f>
        <v>1</v>
      </c>
      <c r="AF82" s="54">
        <f>IFERROR(__xludf.DUMMYFUNCTION("IFERROR(
  VLOOKUP(
    A82,
    IMPORTRANGE(
      ""1SCYQd7_cobOYqT0r_F0IqD4tE4rYn5y8Eup4PJTH8es"",
      ""Snapshot!A:M""
    ),
    6,
    FALSE
  ),
  0
)
"),0.0)</f>
        <v>0</v>
      </c>
      <c r="AG82" s="54">
        <f>IFERROR(__xludf.DUMMYFUNCTION("IFERROR(
  VLOOKUP(
    A82,
    IMPORTRANGE(
      ""1SCYQd7_cobOYqT0r_F0IqD4tE4rYn5y8Eup4PJTH8es"",
      ""Snapshot!A:M""
    ),
    7,
    FALSE
  ),
  0
)
"),1004.0)</f>
        <v>1004</v>
      </c>
      <c r="AH82" s="54">
        <f>IFERROR(__xludf.DUMMYFUNCTION("IFERROR(
  VLOOKUP(
    A82,
    IMPORTRANGE(
      ""1SCYQd7_cobOYqT0r_F0IqD4tE4rYn5y8Eup4PJTH8es"",
      ""Snapshot!A:M""
    ),
    8,
    FALSE
  ),
  0
)
"),0.0)</f>
        <v>0</v>
      </c>
      <c r="AI82" s="54">
        <f>IFERROR(__xludf.DUMMYFUNCTION("IFERROR(
  VLOOKUP(
    A82,
    IMPORTRANGE(
      ""1SCYQd7_cobOYqT0r_F0IqD4tE4rYn5y8Eup4PJTH8es"",
      ""Snapshot!A:M""
    ),
    9,
    FALSE
  ),
  0
)
"),1.0)</f>
        <v>1</v>
      </c>
      <c r="AJ82" s="54">
        <f>IFERROR(__xludf.DUMMYFUNCTION("IFERROR(
  VLOOKUP(
    A82,
    IMPORTRANGE(
      ""1SCYQd7_cobOYqT0r_F0IqD4tE4rYn5y8Eup4PJTH8es"",
      ""Snapshot!A:M""
    ),
    13,
    FALSE
  ),
  0
)
"),1.0)</f>
        <v>1</v>
      </c>
      <c r="AK82" s="49">
        <f t="shared" ref="AK82:AL82" si="405">LEN(C82)</f>
        <v>45</v>
      </c>
      <c r="AL82" s="49">
        <f t="shared" si="405"/>
        <v>55</v>
      </c>
    </row>
    <row r="83">
      <c r="A83" s="1" t="s">
        <v>768</v>
      </c>
      <c r="B83" s="1" t="str">
        <f>IFERROR(__xludf.DUMMYFUNCTION("IFERROR(
  VLOOKUP(
    A83,
    IMPORTRANGE(
      ""1ZygntHC1J6IxzKbTidmOyf5nUyW4GCLurHCjexrLm_o"",
      ""HTMLキャッシュ!A:F""
    ),
    2,
    FALSE
  ),
  0
)
"),"NW")</f>
        <v>NW</v>
      </c>
      <c r="C83" s="1" t="str">
        <f>IFERROR(__xludf.DUMMYFUNCTION("IFERROR(
  VLOOKUP(
    A83,
    IMPORTRANGE(
      ""1ZygntHC1J6IxzKbTidmOyf5nUyW4GCLurHCjexrLm_o"",
      ""HTMLキャッシュ!A:F""
    ),
    5,
    FALSE
  ),
  0
)
"),"2024年度生徒募集のお知らせ - 中高一貫校専門塾エスコット(Escot)～定期試験対策から大学受験指導まで～")</f>
        <v>2024年度生徒募集のお知らせ - 中高一貫校専門塾エスコット(Escot)～定期試験対策から大学受験指導まで～</v>
      </c>
      <c r="D83" s="1" t="str">
        <f>IFERROR(__xludf.DUMMYFUNCTION("IFERROR(
  VLOOKUP(
    A83,
    IMPORTRANGE(
      ""1ZygntHC1J6IxzKbTidmOyf5nUyW4GCLurHCjexrLm_o        "",
      ""HTMLキャッシュ!A:F""
    ),
    6,
    FALSE
  ),
  0
)
"),"本日より、2024年度の生徒募集を開始いたします。 2月開講の講座および個別指導の詳細は、下記をご確認ください")</f>
        <v>本日より、2024年度の生徒募集を開始いたします。 2月開講の講座および個別指導の詳細は、下記をご確認ください</v>
      </c>
      <c r="E83" s="32">
        <f>IFERROR(__xludf.DUMMYFUNCTION("IFERROR(
  VLOOKUP(
    A83,
    IMPORTRANGE(
      ""1ZygntHC1J6IxzKbTidmOyf5nUyW4GCLurHCjexrLm_o        "",
      ""HTMLキャッシュ!A:F""
    ),
    3,
    FALSE
  ),
  0
)
"),46027.56857638889)</f>
        <v>46027.56858</v>
      </c>
      <c r="F83" s="49">
        <f>IFERROR(__xludf.DUMMYFUNCTION("IFERROR(
  VLOOKUP(
    A83,
    IMPORTRANGE(
      ""1ZHMy3vVUd_0MrSduXTe1etBb1HNpAlGwQr006ljwMiM"",
      ""GSC最新!A:F""
    ),
    2,
    FALSE
  ),
  0
)
"),0.0)</f>
        <v>0</v>
      </c>
      <c r="G83" s="49">
        <f>IFERROR(__xludf.DUMMYFUNCTION("IFERROR(
  VLOOKUP(
    A83,
    IMPORTRANGE(
      ""1ZHMy3vVUd_0MrSduXTe1etBb1HNpAlGwQr006ljwMiM"",
      ""GSC最新!A:F""
    ),
    3,
    FALSE
  ),
  0
)
"),0.0)</f>
        <v>0</v>
      </c>
      <c r="H83" s="49">
        <f>IFERROR(__xludf.DUMMYFUNCTION("IFERROR(
  VLOOKUP(
    A83,
    IMPORTRANGE(
      ""1ZHMy3vVUd_0MrSduXTe1etBb1HNpAlGwQr006ljwMiM"",
      ""GSC最新!A:F""
    ),
    4,
    FALSE
  ),
  0
)
"),0.0)</f>
        <v>0</v>
      </c>
      <c r="I83" s="49">
        <f>IFERROR(__xludf.DUMMYFUNCTION("IFERROR(
  VLOOKUP(
    A83,
    IMPORTRANGE(
      ""1ZHMy3vVUd_0MrSduXTe1etBb1HNpAlGwQr006ljwMiM"",
      ""GSC最新!A:F""
    ),
    5,
    FALSE
  ),
  0
)
"),0.0)</f>
        <v>0</v>
      </c>
      <c r="J83" s="50" t="str">
        <f t="shared" ref="J83:K83" si="406">IFERROR(F83/H83,"-")</f>
        <v>-</v>
      </c>
      <c r="K83" s="50" t="str">
        <f t="shared" si="406"/>
        <v>-</v>
      </c>
      <c r="L83" s="6">
        <f>IFERROR(__xludf.DUMMYFUNCTION("IFERROR(
  VLOOKUP(
    A83,
    IMPORTRANGE(
      ""1ZHMy3vVUd_0MrSduXTe1etBb1HNpAlGwQr006ljwMiM"",
      ""GSC最新!A:R""
    ),
    7,
    FALSE
  ),
  0
)
"),4.0)</f>
        <v>4</v>
      </c>
      <c r="M83" s="6">
        <f>IFERROR(__xludf.DUMMYFUNCTION("IFERROR(
  VLOOKUP(
    A83,
    IMPORTRANGE(
      ""1ZHMy3vVUd_0MrSduXTe1etBb1HNpAlGwQr006ljwMiM"",
      ""GSC最新!A:R""
    ),
    10,
    FALSE
  ),
  0
)
"),4.0)</f>
        <v>4</v>
      </c>
      <c r="N83" s="6">
        <f>IFERROR(__xludf.DUMMYFUNCTION("IFERROR(
  VLOOKUP(
    A83,
    IMPORTRANGE(
      ""1ZHMy3vVUd_0MrSduXTe1etBb1HNpAlGwQr006ljwMiM"",
      ""GSC最新!A:R""
    ),
    13,
    FALSE
  ),
  0
)
"),0.0)</f>
        <v>0</v>
      </c>
      <c r="O83" s="6">
        <f>IFERROR(__xludf.DUMMYFUNCTION("IFERROR(
  VLOOKUP(
    A83,
    IMPORTRANGE(
      ""1ZHMy3vVUd_0MrSduXTe1etBb1HNpAlGwQr006ljwMiM"",
      ""GSC最新!A:R""
    ),
    16,
    FALSE
  ),
  0
)
"),0.0)</f>
        <v>0</v>
      </c>
      <c r="P83" s="51" t="str">
        <f t="shared" ref="P83:Q83" si="407">IFERROR(L83/N83,"-")</f>
        <v>-</v>
      </c>
      <c r="Q83" s="51" t="str">
        <f t="shared" si="407"/>
        <v>-</v>
      </c>
      <c r="R83" s="9">
        <f>IFERROR(__xludf.DUMMYFUNCTION("IFERROR(
  VLOOKUP(
    A83,
    IMPORTRANGE(
      ""1ZHMy3vVUd_0MrSduXTe1etBb1HNpAlGwQr006ljwMiM"",
      ""GSC最新!A:R""
    ),
    8,
    FALSE
  ),
  0
)
"),0.0)</f>
        <v>0</v>
      </c>
      <c r="S83" s="9">
        <f>IFERROR(__xludf.DUMMYFUNCTION("IFERROR(
  VLOOKUP(
    A83,
    IMPORTRANGE(
      ""1ZHMy3vVUd_0MrSduXTe1etBb1HNpAlGwQr006ljwMiM"",
      ""GSC最新!A:R""
    ),
    11,
    FALSE
  ),
  0
)
"),0.0)</f>
        <v>0</v>
      </c>
      <c r="T83" s="9">
        <f>IFERROR(__xludf.DUMMYFUNCTION("IFERROR(
  VLOOKUP(
    A83,
    IMPORTRANGE(
      ""1ZHMy3vVUd_0MrSduXTe1etBb1HNpAlGwQr006ljwMiM"",
      ""GSC最新!A:R""
    ),
    14,
    FALSE
  ),
  0
)
"),0.0)</f>
        <v>0</v>
      </c>
      <c r="U83" s="9">
        <f>IFERROR(__xludf.DUMMYFUNCTION("IFERROR(
  VLOOKUP(
    A83,
    IMPORTRANGE(
      ""1ZHMy3vVUd_0MrSduXTe1etBb1HNpAlGwQr006ljwMiM"",
      ""GSC最新!A:R""
    ),
    17,
    FALSE
  ),
  0
)
"),0.0)</f>
        <v>0</v>
      </c>
      <c r="V83" s="9">
        <f t="shared" ref="V83:W83" si="408">IFERROR(R83-T83,"-")</f>
        <v>0</v>
      </c>
      <c r="W83" s="9">
        <f t="shared" si="408"/>
        <v>0</v>
      </c>
      <c r="X83" s="65">
        <f>IFERROR(__xludf.DUMMYFUNCTION("IFERROR(
  VLOOKUP(
    A83,
    IMPORTRANGE(
      ""1ZHMy3vVUd_0MrSduXTe1etBb1HNpAlGwQr006ljwMiM"",
      ""GSC最新!A:R""
    ),
    9,
    FALSE
  ),
  0
)
"),5.0)</f>
        <v>5</v>
      </c>
      <c r="Y83" s="65">
        <f>IFERROR(__xludf.DUMMYFUNCTION("IFERROR(
  VLOOKUP(
    A83,
    IMPORTRANGE(
      ""1ZHMy3vVUd_0MrSduXTe1etBb1HNpAlGwQr006ljwMiM"",
      ""GSC最新!A:R""
    ),
    12,
    FALSE
  ),
  0
)
"),5.0)</f>
        <v>5</v>
      </c>
      <c r="Z83" s="65" t="str">
        <f>IFERROR(__xludf.DUMMYFUNCTION("IFERROR(
  VLOOKUP(
    A83,
    IMPORTRANGE(
      ""1ZHMy3vVUd_0MrSduXTe1etBb1HNpAlGwQr006ljwMiM"",
      ""GSC最新!A:R""
    ),
    15,
    FALSE
  ),
  0
)
"),"")</f>
        <v/>
      </c>
      <c r="AA83" s="65" t="str">
        <f>IFERROR(__xludf.DUMMYFUNCTION("IFERROR(
  VLOOKUP(
    A83,
    IMPORTRANGE(
      ""1ZHMy3vVUd_0MrSduXTe1etBb1HNpAlGwQr006ljwMiM"",
      ""GSC最新!A:R""
    ),
    18,
    FALSE
  ),
  0
)
"),"")</f>
        <v/>
      </c>
      <c r="AB83" s="65">
        <f t="shared" ref="AB83:AC83" si="409">X83-Z83</f>
        <v>5</v>
      </c>
      <c r="AC83" s="65">
        <f t="shared" si="409"/>
        <v>5</v>
      </c>
      <c r="AD83" s="53">
        <f>IFERROR(__xludf.DUMMYFUNCTION("IFERROR(
  VLOOKUP(
    A83,
    IMPORTRANGE(
      ""1ZHMy3vVUd_0MrSduXTe1etBb1HNpAlGwQr006ljwMiM"",
      ""GSC最新!A:F""
    ),
    6,
    FALSE
  ),
  0
)
"),46081.0)</f>
        <v>46081</v>
      </c>
      <c r="AE83" s="54">
        <f>IFERROR(__xludf.DUMMYFUNCTION("IFERROR(
  VLOOKUP(
    A83,
    IMPORTRANGE(
      ""1SCYQd7_cobOYqT0r_F0IqD4tE4rYn5y8Eup4PJTH8es"",
      ""Snapshot!A:M""
    ),
    5,
    FALSE
  ),
  ""-""
)
"),0.0)</f>
        <v>0</v>
      </c>
      <c r="AF83" s="54">
        <f>IFERROR(__xludf.DUMMYFUNCTION("IFERROR(
  VLOOKUP(
    A83,
    IMPORTRANGE(
      ""1SCYQd7_cobOYqT0r_F0IqD4tE4rYn5y8Eup4PJTH8es"",
      ""Snapshot!A:M""
    ),
    6,
    FALSE
  ),
  0
)
"),0.0)</f>
        <v>0</v>
      </c>
      <c r="AG83" s="54">
        <f>IFERROR(__xludf.DUMMYFUNCTION("IFERROR(
  VLOOKUP(
    A83,
    IMPORTRANGE(
      ""1SCYQd7_cobOYqT0r_F0IqD4tE4rYn5y8Eup4PJTH8es"",
      ""Snapshot!A:M""
    ),
    7,
    FALSE
  ),
  0
)
"),324.0)</f>
        <v>324</v>
      </c>
      <c r="AH83" s="54">
        <f>IFERROR(__xludf.DUMMYFUNCTION("IFERROR(
  VLOOKUP(
    A83,
    IMPORTRANGE(
      ""1SCYQd7_cobOYqT0r_F0IqD4tE4rYn5y8Eup4PJTH8es"",
      ""Snapshot!A:M""
    ),
    8,
    FALSE
  ),
  0
)
"),3.0)</f>
        <v>3</v>
      </c>
      <c r="AI83" s="54">
        <f>IFERROR(__xludf.DUMMYFUNCTION("IFERROR(
  VLOOKUP(
    A83,
    IMPORTRANGE(
      ""1SCYQd7_cobOYqT0r_F0IqD4tE4rYn5y8Eup4PJTH8es"",
      ""Snapshot!A:M""
    ),
    9,
    FALSE
  ),
  0
)
"),1.0)</f>
        <v>1</v>
      </c>
      <c r="AJ83" s="54">
        <f>IFERROR(__xludf.DUMMYFUNCTION("IFERROR(
  VLOOKUP(
    A83,
    IMPORTRANGE(
      ""1SCYQd7_cobOYqT0r_F0IqD4tE4rYn5y8Eup4PJTH8es"",
      ""Snapshot!A:M""
    ),
    13,
    FALSE
  ),
  0
)
"),2.0)</f>
        <v>2</v>
      </c>
      <c r="AK83" s="49">
        <f t="shared" ref="AK83:AL83" si="410">LEN(C83)</f>
        <v>56</v>
      </c>
      <c r="AL83" s="49">
        <f t="shared" si="410"/>
        <v>55</v>
      </c>
    </row>
    <row r="84">
      <c r="A84" s="1" t="s">
        <v>769</v>
      </c>
      <c r="B84" s="1" t="str">
        <f>IFERROR(__xludf.DUMMYFUNCTION("IFERROR(
  VLOOKUP(
    A84,
    IMPORTRANGE(
      ""1ZygntHC1J6IxzKbTidmOyf5nUyW4GCLurHCjexrLm_o"",
      ""HTMLキャッシュ!A:F""
    ),
    2,
    FALSE
  ),
  0
)
"),"NW")</f>
        <v>NW</v>
      </c>
      <c r="C84" s="1" t="str">
        <f>IFERROR(__xludf.DUMMYFUNCTION("IFERROR(
  VLOOKUP(
    A84,
    IMPORTRANGE(
      ""1ZygntHC1J6IxzKbTidmOyf5nUyW4GCLurHCjexrLm_o"",
      ""HTMLキャッシュ!A:F""
    ),
    5,
    FALSE
  ),
  0
)
"),"2025年 夏期講習 開講のお知らせ - 中高一貫校専門塾エスコット(Escot)～定期試験対策から大学受験指導まで～")</f>
        <v>2025年 夏期講習 開講のお知らせ - 中高一貫校専門塾エスコット(Escot)～定期試験対策から大学受験指導まで～</v>
      </c>
      <c r="D84" s="1" t="str">
        <f>IFERROR(__xludf.DUMMYFUNCTION("IFERROR(
  VLOOKUP(
    A84,
    IMPORTRANGE(
      ""1ZygntHC1J6IxzKbTidmOyf5nUyW4GCLurHCjexrLm_o        "",
      ""HTMLキャッシュ!A:F""
    ),
    6,
    FALSE
  ),
  0
)
"),"夏休みを目前に控え、 中高一貫校専門塾エスコットでは 2025年度 夏期講習会 を実施いたします。 現在通塾さ")</f>
        <v>夏休みを目前に控え、 中高一貫校専門塾エスコットでは 2025年度 夏期講習会 を実施いたします。 現在通塾さ</v>
      </c>
      <c r="E84" s="32">
        <f>IFERROR(__xludf.DUMMYFUNCTION("IFERROR(
  VLOOKUP(
    A84,
    IMPORTRANGE(
      ""1ZygntHC1J6IxzKbTidmOyf5nUyW4GCLurHCjexrLm_o        "",
      ""HTMLキャッシュ!A:F""
    ),
    3,
    FALSE
  ),
  0
)
"),45968.73568287037)</f>
        <v>45968.73568</v>
      </c>
      <c r="F84" s="49">
        <f>IFERROR(__xludf.DUMMYFUNCTION("IFERROR(
  VLOOKUP(
    A84,
    IMPORTRANGE(
      ""1ZHMy3vVUd_0MrSduXTe1etBb1HNpAlGwQr006ljwMiM"",
      ""GSC最新!A:F""
    ),
    2,
    FALSE
  ),
  0
)
"),0.0)</f>
        <v>0</v>
      </c>
      <c r="G84" s="49">
        <f>IFERROR(__xludf.DUMMYFUNCTION("IFERROR(
  VLOOKUP(
    A84,
    IMPORTRANGE(
      ""1ZHMy3vVUd_0MrSduXTe1etBb1HNpAlGwQr006ljwMiM"",
      ""GSC最新!A:F""
    ),
    3,
    FALSE
  ),
  0
)
"),0.0)</f>
        <v>0</v>
      </c>
      <c r="H84" s="49">
        <f>IFERROR(__xludf.DUMMYFUNCTION("IFERROR(
  VLOOKUP(
    A84,
    IMPORTRANGE(
      ""1ZHMy3vVUd_0MrSduXTe1etBb1HNpAlGwQr006ljwMiM"",
      ""GSC最新!A:F""
    ),
    4,
    FALSE
  ),
  0
)
"),0.0)</f>
        <v>0</v>
      </c>
      <c r="I84" s="49">
        <f>IFERROR(__xludf.DUMMYFUNCTION("IFERROR(
  VLOOKUP(
    A84,
    IMPORTRANGE(
      ""1ZHMy3vVUd_0MrSduXTe1etBb1HNpAlGwQr006ljwMiM"",
      ""GSC最新!A:F""
    ),
    5,
    FALSE
  ),
  0
)
"),0.0)</f>
        <v>0</v>
      </c>
      <c r="J84" s="50" t="str">
        <f t="shared" ref="J84:K84" si="411">IFERROR(F84/H84,"-")</f>
        <v>-</v>
      </c>
      <c r="K84" s="50" t="str">
        <f t="shared" si="411"/>
        <v>-</v>
      </c>
      <c r="L84" s="6">
        <f>IFERROR(__xludf.DUMMYFUNCTION("IFERROR(
  VLOOKUP(
    A84,
    IMPORTRANGE(
      ""1ZHMy3vVUd_0MrSduXTe1etBb1HNpAlGwQr006ljwMiM"",
      ""GSC最新!A:R""
    ),
    7,
    FALSE
  ),
  0
)
"),1.0)</f>
        <v>1</v>
      </c>
      <c r="M84" s="6">
        <f>IFERROR(__xludf.DUMMYFUNCTION("IFERROR(
  VLOOKUP(
    A84,
    IMPORTRANGE(
      ""1ZHMy3vVUd_0MrSduXTe1etBb1HNpAlGwQr006ljwMiM"",
      ""GSC最新!A:R""
    ),
    10,
    FALSE
  ),
  0
)
"),4.0)</f>
        <v>4</v>
      </c>
      <c r="N84" s="6">
        <f>IFERROR(__xludf.DUMMYFUNCTION("IFERROR(
  VLOOKUP(
    A84,
    IMPORTRANGE(
      ""1ZHMy3vVUd_0MrSduXTe1etBb1HNpAlGwQr006ljwMiM"",
      ""GSC最新!A:R""
    ),
    13,
    FALSE
  ),
  0
)
"),0.0)</f>
        <v>0</v>
      </c>
      <c r="O84" s="6">
        <f>IFERROR(__xludf.DUMMYFUNCTION("IFERROR(
  VLOOKUP(
    A84,
    IMPORTRANGE(
      ""1ZHMy3vVUd_0MrSduXTe1etBb1HNpAlGwQr006ljwMiM"",
      ""GSC最新!A:R""
    ),
    16,
    FALSE
  ),
  0
)
"),0.0)</f>
        <v>0</v>
      </c>
      <c r="P84" s="51" t="str">
        <f t="shared" ref="P84:Q84" si="412">IFERROR(L84/N84,"-")</f>
        <v>-</v>
      </c>
      <c r="Q84" s="51" t="str">
        <f t="shared" si="412"/>
        <v>-</v>
      </c>
      <c r="R84" s="9">
        <f>IFERROR(__xludf.DUMMYFUNCTION("IFERROR(
  VLOOKUP(
    A84,
    IMPORTRANGE(
      ""1ZHMy3vVUd_0MrSduXTe1etBb1HNpAlGwQr006ljwMiM"",
      ""GSC最新!A:R""
    ),
    8,
    FALSE
  ),
  0
)
"),0.0)</f>
        <v>0</v>
      </c>
      <c r="S84" s="9">
        <f>IFERROR(__xludf.DUMMYFUNCTION("IFERROR(
  VLOOKUP(
    A84,
    IMPORTRANGE(
      ""1ZHMy3vVUd_0MrSduXTe1etBb1HNpAlGwQr006ljwMiM"",
      ""GSC最新!A:R""
    ),
    11,
    FALSE
  ),
  0
)
"),0.0)</f>
        <v>0</v>
      </c>
      <c r="T84" s="9">
        <f>IFERROR(__xludf.DUMMYFUNCTION("IFERROR(
  VLOOKUP(
    A84,
    IMPORTRANGE(
      ""1ZHMy3vVUd_0MrSduXTe1etBb1HNpAlGwQr006ljwMiM"",
      ""GSC最新!A:R""
    ),
    14,
    FALSE
  ),
  0
)
"),0.0)</f>
        <v>0</v>
      </c>
      <c r="U84" s="9">
        <f>IFERROR(__xludf.DUMMYFUNCTION("IFERROR(
  VLOOKUP(
    A84,
    IMPORTRANGE(
      ""1ZHMy3vVUd_0MrSduXTe1etBb1HNpAlGwQr006ljwMiM"",
      ""GSC最新!A:R""
    ),
    17,
    FALSE
  ),
  0
)
"),0.0)</f>
        <v>0</v>
      </c>
      <c r="V84" s="9">
        <f t="shared" ref="V84:W84" si="413">IFERROR(R84-T84,"-")</f>
        <v>0</v>
      </c>
      <c r="W84" s="9">
        <f t="shared" si="413"/>
        <v>0</v>
      </c>
      <c r="X84" s="65">
        <f>IFERROR(__xludf.DUMMYFUNCTION("IFERROR(
  VLOOKUP(
    A84,
    IMPORTRANGE(
      ""1ZHMy3vVUd_0MrSduXTe1etBb1HNpAlGwQr006ljwMiM"",
      ""GSC最新!A:R""
    ),
    9,
    FALSE
  ),
  0
)
"),3.0)</f>
        <v>3</v>
      </c>
      <c r="Y84" s="65">
        <f>IFERROR(__xludf.DUMMYFUNCTION("IFERROR(
  VLOOKUP(
    A84,
    IMPORTRANGE(
      ""1ZHMy3vVUd_0MrSduXTe1etBb1HNpAlGwQr006ljwMiM"",
      ""GSC最新!A:R""
    ),
    12,
    FALSE
  ),
  0
)
"),4.25)</f>
        <v>4.25</v>
      </c>
      <c r="Z84" s="65" t="str">
        <f>IFERROR(__xludf.DUMMYFUNCTION("IFERROR(
  VLOOKUP(
    A84,
    IMPORTRANGE(
      ""1ZHMy3vVUd_0MrSduXTe1etBb1HNpAlGwQr006ljwMiM"",
      ""GSC最新!A:R""
    ),
    15,
    FALSE
  ),
  0
)
"),"")</f>
        <v/>
      </c>
      <c r="AA84" s="65" t="str">
        <f>IFERROR(__xludf.DUMMYFUNCTION("IFERROR(
  VLOOKUP(
    A84,
    IMPORTRANGE(
      ""1ZHMy3vVUd_0MrSduXTe1etBb1HNpAlGwQr006ljwMiM"",
      ""GSC最新!A:R""
    ),
    18,
    FALSE
  ),
  0
)
"),"")</f>
        <v/>
      </c>
      <c r="AB84" s="65">
        <f t="shared" ref="AB84:AC84" si="414">X84-Z84</f>
        <v>3</v>
      </c>
      <c r="AC84" s="65">
        <f t="shared" si="414"/>
        <v>4.25</v>
      </c>
      <c r="AD84" s="53">
        <f>IFERROR(__xludf.DUMMYFUNCTION("IFERROR(
  VLOOKUP(
    A84,
    IMPORTRANGE(
      ""1ZHMy3vVUd_0MrSduXTe1etBb1HNpAlGwQr006ljwMiM"",
      ""GSC最新!A:F""
    ),
    6,
    FALSE
  ),
  0
)
"),46081.0)</f>
        <v>46081</v>
      </c>
      <c r="AE84" s="54">
        <f>IFERROR(__xludf.DUMMYFUNCTION("IFERROR(
  VLOOKUP(
    A84,
    IMPORTRANGE(
      ""1SCYQd7_cobOYqT0r_F0IqD4tE4rYn5y8Eup4PJTH8es"",
      ""Snapshot!A:M""
    ),
    5,
    FALSE
  ),
  ""-""
)
"),0.0)</f>
        <v>0</v>
      </c>
      <c r="AF84" s="54">
        <f>IFERROR(__xludf.DUMMYFUNCTION("IFERROR(
  VLOOKUP(
    A84,
    IMPORTRANGE(
      ""1SCYQd7_cobOYqT0r_F0IqD4tE4rYn5y8Eup4PJTH8es"",
      ""Snapshot!A:M""
    ),
    6,
    FALSE
  ),
  0
)
"),0.0)</f>
        <v>0</v>
      </c>
      <c r="AG84" s="54">
        <f>IFERROR(__xludf.DUMMYFUNCTION("IFERROR(
  VLOOKUP(
    A84,
    IMPORTRANGE(
      ""1SCYQd7_cobOYqT0r_F0IqD4tE4rYn5y8Eup4PJTH8es"",
      ""Snapshot!A:M""
    ),
    7,
    FALSE
  ),
  0
)
"),558.0)</f>
        <v>558</v>
      </c>
      <c r="AH84" s="54">
        <f>IFERROR(__xludf.DUMMYFUNCTION("IFERROR(
  VLOOKUP(
    A84,
    IMPORTRANGE(
      ""1SCYQd7_cobOYqT0r_F0IqD4tE4rYn5y8Eup4PJTH8es"",
      ""Snapshot!A:M""
    ),
    8,
    FALSE
  ),
  0
)
"),1.0)</f>
        <v>1</v>
      </c>
      <c r="AI84" s="54">
        <f>IFERROR(__xludf.DUMMYFUNCTION("IFERROR(
  VLOOKUP(
    A84,
    IMPORTRANGE(
      ""1SCYQd7_cobOYqT0r_F0IqD4tE4rYn5y8Eup4PJTH8es"",
      ""Snapshot!A:M""
    ),
    9,
    FALSE
  ),
  0
)
"),1.0)</f>
        <v>1</v>
      </c>
      <c r="AJ84" s="54">
        <f>IFERROR(__xludf.DUMMYFUNCTION("IFERROR(
  VLOOKUP(
    A84,
    IMPORTRANGE(
      ""1SCYQd7_cobOYqT0r_F0IqD4tE4rYn5y8Eup4PJTH8es"",
      ""Snapshot!A:M""
    ),
    13,
    FALSE
  ),
  0
)
"),2.0)</f>
        <v>2</v>
      </c>
      <c r="AK84" s="49">
        <f t="shared" ref="AK84:AL84" si="415">LEN(C84)</f>
        <v>59</v>
      </c>
      <c r="AL84" s="49">
        <f t="shared" si="415"/>
        <v>55</v>
      </c>
    </row>
    <row r="85">
      <c r="A85" s="1" t="s">
        <v>770</v>
      </c>
      <c r="B85" s="1" t="str">
        <f>IFERROR(__xludf.DUMMYFUNCTION("IFERROR(
  VLOOKUP(
    A85,
    IMPORTRANGE(
      ""1ZygntHC1J6IxzKbTidmOyf5nUyW4GCLurHCjexrLm_o"",
      ""HTMLキャッシュ!A:F""
    ),
    2,
    FALSE
  ),
  0
)
"),"NW")</f>
        <v>NW</v>
      </c>
      <c r="C85" s="1" t="str">
        <f>IFERROR(__xludf.DUMMYFUNCTION("IFERROR(
  VLOOKUP(
    A85,
    IMPORTRANGE(
      ""1ZygntHC1J6IxzKbTidmOyf5nUyW4GCLurHCjexrLm_o"",
      ""HTMLキャッシュ!A:F""
    ),
    5,
    FALSE
  ),
  0
)
"),"2024年度春期講習のお知らせ - 中高一貫校専門塾エスコット(Escot)～定期試験対策から大学受験指導まで～")</f>
        <v>2024年度春期講習のお知らせ - 中高一貫校専門塾エスコット(Escot)～定期試験対策から大学受験指導まで～</v>
      </c>
      <c r="D85" s="1" t="str">
        <f>IFERROR(__xludf.DUMMYFUNCTION("IFERROR(
  VLOOKUP(
    A85,
    IMPORTRANGE(
      ""1ZygntHC1J6IxzKbTidmOyf5nUyW4GCLurHCjexrLm_o        "",
      ""HTMLキャッシュ!A:F""
    ),
    6,
    FALSE
  ),
  0
)
"),"春休みは短いながらも、日頃の積み残しを解消する絶好のタイミングです。 当塾では、この春休みを有意義に過ごしてい")</f>
        <v>春休みは短いながらも、日頃の積み残しを解消する絶好のタイミングです。 当塾では、この春休みを有意義に過ごしてい</v>
      </c>
      <c r="E85" s="32">
        <f>IFERROR(__xludf.DUMMYFUNCTION("IFERROR(
  VLOOKUP(
    A85,
    IMPORTRANGE(
      ""1ZygntHC1J6IxzKbTidmOyf5nUyW4GCLurHCjexrLm_o        "",
      ""HTMLキャッシュ!A:F""
    ),
    3,
    FALSE
  ),
  0
)
"),45591.775289351855)</f>
        <v>45591.77529</v>
      </c>
      <c r="F85" s="49">
        <f>IFERROR(__xludf.DUMMYFUNCTION("IFERROR(
  VLOOKUP(
    A85,
    IMPORTRANGE(
      ""1ZHMy3vVUd_0MrSduXTe1etBb1HNpAlGwQr006ljwMiM"",
      ""GSC最新!A:F""
    ),
    2,
    FALSE
  ),
  0
)
"),0.0)</f>
        <v>0</v>
      </c>
      <c r="G85" s="49">
        <f>IFERROR(__xludf.DUMMYFUNCTION("IFERROR(
  VLOOKUP(
    A85,
    IMPORTRANGE(
      ""1ZHMy3vVUd_0MrSduXTe1etBb1HNpAlGwQr006ljwMiM"",
      ""GSC最新!A:F""
    ),
    3,
    FALSE
  ),
  0
)
"),0.0)</f>
        <v>0</v>
      </c>
      <c r="H85" s="49">
        <f>IFERROR(__xludf.DUMMYFUNCTION("IFERROR(
  VLOOKUP(
    A85,
    IMPORTRANGE(
      ""1ZHMy3vVUd_0MrSduXTe1etBb1HNpAlGwQr006ljwMiM"",
      ""GSC最新!A:F""
    ),
    4,
    FALSE
  ),
  0
)
"),1.0)</f>
        <v>1</v>
      </c>
      <c r="I85" s="49">
        <f>IFERROR(__xludf.DUMMYFUNCTION("IFERROR(
  VLOOKUP(
    A85,
    IMPORTRANGE(
      ""1ZHMy3vVUd_0MrSduXTe1etBb1HNpAlGwQr006ljwMiM"",
      ""GSC最新!A:F""
    ),
    5,
    FALSE
  ),
  0
)
"),1.0)</f>
        <v>1</v>
      </c>
      <c r="J85" s="50">
        <f t="shared" ref="J85:K85" si="416">IFERROR(F85/H85,"-")</f>
        <v>0</v>
      </c>
      <c r="K85" s="50">
        <f t="shared" si="416"/>
        <v>0</v>
      </c>
      <c r="L85" s="6">
        <f>IFERROR(__xludf.DUMMYFUNCTION("IFERROR(
  VLOOKUP(
    A85,
    IMPORTRANGE(
      ""1ZHMy3vVUd_0MrSduXTe1etBb1HNpAlGwQr006ljwMiM"",
      ""GSC最新!A:R""
    ),
    7,
    FALSE
  ),
  0
)
"),1.0)</f>
        <v>1</v>
      </c>
      <c r="M85" s="6">
        <f>IFERROR(__xludf.DUMMYFUNCTION("IFERROR(
  VLOOKUP(
    A85,
    IMPORTRANGE(
      ""1ZHMy3vVUd_0MrSduXTe1etBb1HNpAlGwQr006ljwMiM"",
      ""GSC最新!A:R""
    ),
    10,
    FALSE
  ),
  0
)
"),3.0)</f>
        <v>3</v>
      </c>
      <c r="N85" s="6">
        <f>IFERROR(__xludf.DUMMYFUNCTION("IFERROR(
  VLOOKUP(
    A85,
    IMPORTRANGE(
      ""1ZHMy3vVUd_0MrSduXTe1etBb1HNpAlGwQr006ljwMiM"",
      ""GSC最新!A:R""
    ),
    13,
    FALSE
  ),
  0
)
"),1.0)</f>
        <v>1</v>
      </c>
      <c r="O85" s="6">
        <f>IFERROR(__xludf.DUMMYFUNCTION("IFERROR(
  VLOOKUP(
    A85,
    IMPORTRANGE(
      ""1ZHMy3vVUd_0MrSduXTe1etBb1HNpAlGwQr006ljwMiM"",
      ""GSC最新!A:R""
    ),
    16,
    FALSE
  ),
  0
)
"),1.0)</f>
        <v>1</v>
      </c>
      <c r="P85" s="51">
        <f t="shared" ref="P85:Q85" si="417">IFERROR(L85/N85,"-")</f>
        <v>1</v>
      </c>
      <c r="Q85" s="51">
        <f t="shared" si="417"/>
        <v>3</v>
      </c>
      <c r="R85" s="9">
        <f>IFERROR(__xludf.DUMMYFUNCTION("IFERROR(
  VLOOKUP(
    A85,
    IMPORTRANGE(
      ""1ZHMy3vVUd_0MrSduXTe1etBb1HNpAlGwQr006ljwMiM"",
      ""GSC最新!A:R""
    ),
    8,
    FALSE
  ),
  0
)
"),0.0)</f>
        <v>0</v>
      </c>
      <c r="S85" s="9">
        <f>IFERROR(__xludf.DUMMYFUNCTION("IFERROR(
  VLOOKUP(
    A85,
    IMPORTRANGE(
      ""1ZHMy3vVUd_0MrSduXTe1etBb1HNpAlGwQr006ljwMiM"",
      ""GSC最新!A:R""
    ),
    11,
    FALSE
  ),
  0
)
"),0.0)</f>
        <v>0</v>
      </c>
      <c r="T85" s="9">
        <f>IFERROR(__xludf.DUMMYFUNCTION("IFERROR(
  VLOOKUP(
    A85,
    IMPORTRANGE(
      ""1ZHMy3vVUd_0MrSduXTe1etBb1HNpAlGwQr006ljwMiM"",
      ""GSC最新!A:R""
    ),
    14,
    FALSE
  ),
  0
)
"),1.0)</f>
        <v>1</v>
      </c>
      <c r="U85" s="9">
        <f>IFERROR(__xludf.DUMMYFUNCTION("IFERROR(
  VLOOKUP(
    A85,
    IMPORTRANGE(
      ""1ZHMy3vVUd_0MrSduXTe1etBb1HNpAlGwQr006ljwMiM"",
      ""GSC最新!A:R""
    ),
    17,
    FALSE
  ),
  0
)
"),1.0)</f>
        <v>1</v>
      </c>
      <c r="V85" s="9">
        <f t="shared" ref="V85:W85" si="418">IFERROR(R85-T85,"-")</f>
        <v>-1</v>
      </c>
      <c r="W85" s="9">
        <f t="shared" si="418"/>
        <v>-1</v>
      </c>
      <c r="X85" s="65">
        <f>IFERROR(__xludf.DUMMYFUNCTION("IFERROR(
  VLOOKUP(
    A85,
    IMPORTRANGE(
      ""1ZHMy3vVUd_0MrSduXTe1etBb1HNpAlGwQr006ljwMiM"",
      ""GSC最新!A:R""
    ),
    9,
    FALSE
  ),
  0
)
"),1.0)</f>
        <v>1</v>
      </c>
      <c r="Y85" s="65">
        <f>IFERROR(__xludf.DUMMYFUNCTION("IFERROR(
  VLOOKUP(
    A85,
    IMPORTRANGE(
      ""1ZHMy3vVUd_0MrSduXTe1etBb1HNpAlGwQr006ljwMiM"",
      ""GSC最新!A:R""
    ),
    12,
    FALSE
  ),
  0
)
"),6.666666666666667)</f>
        <v>6.666666667</v>
      </c>
      <c r="Z85" s="65">
        <f>IFERROR(__xludf.DUMMYFUNCTION("IFERROR(
  VLOOKUP(
    A85,
    IMPORTRANGE(
      ""1ZHMy3vVUd_0MrSduXTe1etBb1HNpAlGwQr006ljwMiM"",
      ""GSC最新!A:R""
    ),
    15,
    FALSE
  ),
  0
)
"),4.0)</f>
        <v>4</v>
      </c>
      <c r="AA85" s="65">
        <f>IFERROR(__xludf.DUMMYFUNCTION("IFERROR(
  VLOOKUP(
    A85,
    IMPORTRANGE(
      ""1ZHMy3vVUd_0MrSduXTe1etBb1HNpAlGwQr006ljwMiM"",
      ""GSC最新!A:R""
    ),
    18,
    FALSE
  ),
  0
)
"),4.0)</f>
        <v>4</v>
      </c>
      <c r="AB85" s="65">
        <f t="shared" ref="AB85:AC85" si="419">X85-Z85</f>
        <v>-3</v>
      </c>
      <c r="AC85" s="65">
        <f t="shared" si="419"/>
        <v>2.666666667</v>
      </c>
      <c r="AD85" s="53">
        <f>IFERROR(__xludf.DUMMYFUNCTION("IFERROR(
  VLOOKUP(
    A85,
    IMPORTRANGE(
      ""1ZHMy3vVUd_0MrSduXTe1etBb1HNpAlGwQr006ljwMiM"",
      ""GSC最新!A:F""
    ),
    6,
    FALSE
  ),
  0
)
"),46081.0)</f>
        <v>46081</v>
      </c>
      <c r="AE85" s="54">
        <f>IFERROR(__xludf.DUMMYFUNCTION("IFERROR(
  VLOOKUP(
    A85,
    IMPORTRANGE(
      ""1SCYQd7_cobOYqT0r_F0IqD4tE4rYn5y8Eup4PJTH8es"",
      ""Snapshot!A:M""
    ),
    5,
    FALSE
  ),
  ""-""
)
"),0.0)</f>
        <v>0</v>
      </c>
      <c r="AF85" s="54">
        <f>IFERROR(__xludf.DUMMYFUNCTION("IFERROR(
  VLOOKUP(
    A85,
    IMPORTRANGE(
      ""1SCYQd7_cobOYqT0r_F0IqD4tE4rYn5y8Eup4PJTH8es"",
      ""Snapshot!A:M""
    ),
    6,
    FALSE
  ),
  0
)
"),0.0)</f>
        <v>0</v>
      </c>
      <c r="AG85" s="54">
        <f>IFERROR(__xludf.DUMMYFUNCTION("IFERROR(
  VLOOKUP(
    A85,
    IMPORTRANGE(
      ""1SCYQd7_cobOYqT0r_F0IqD4tE4rYn5y8Eup4PJTH8es"",
      ""Snapshot!A:M""
    ),
    7,
    FALSE
  ),
  0
)
"),558.0)</f>
        <v>558</v>
      </c>
      <c r="AH85" s="54">
        <f>IFERROR(__xludf.DUMMYFUNCTION("IFERROR(
  VLOOKUP(
    A85,
    IMPORTRANGE(
      ""1SCYQd7_cobOYqT0r_F0IqD4tE4rYn5y8Eup4PJTH8es"",
      ""Snapshot!A:M""
    ),
    8,
    FALSE
  ),
  0
)
"),1.0)</f>
        <v>1</v>
      </c>
      <c r="AI85" s="54">
        <f>IFERROR(__xludf.DUMMYFUNCTION("IFERROR(
  VLOOKUP(
    A85,
    IMPORTRANGE(
      ""1SCYQd7_cobOYqT0r_F0IqD4tE4rYn5y8Eup4PJTH8es"",
      ""Snapshot!A:M""
    ),
    9,
    FALSE
  ),
  0
)
"),1.0)</f>
        <v>1</v>
      </c>
      <c r="AJ85" s="54">
        <f>IFERROR(__xludf.DUMMYFUNCTION("IFERROR(
  VLOOKUP(
    A85,
    IMPORTRANGE(
      ""1SCYQd7_cobOYqT0r_F0IqD4tE4rYn5y8Eup4PJTH8es"",
      ""Snapshot!A:M""
    ),
    13,
    FALSE
  ),
  0
)
"),2.0)</f>
        <v>2</v>
      </c>
      <c r="AK85" s="49">
        <f t="shared" ref="AK85:AL85" si="420">LEN(C85)</f>
        <v>56</v>
      </c>
      <c r="AL85" s="49">
        <f t="shared" si="420"/>
        <v>55</v>
      </c>
    </row>
    <row r="86">
      <c r="A86" s="1" t="s">
        <v>771</v>
      </c>
      <c r="B86" s="1" t="str">
        <f>IFERROR(__xludf.DUMMYFUNCTION("IFERROR(
  VLOOKUP(
    A86,
    IMPORTRANGE(
      ""1ZygntHC1J6IxzKbTidmOyf5nUyW4GCLurHCjexrLm_o"",
      ""HTMLキャッシュ!A:F""
    ),
    2,
    FALSE
  ),
  0
)
"),"NW")</f>
        <v>NW</v>
      </c>
      <c r="C86" s="1" t="str">
        <f>IFERROR(__xludf.DUMMYFUNCTION("IFERROR(
  VLOOKUP(
    A86,
    IMPORTRANGE(
      ""1ZygntHC1J6IxzKbTidmOyf5nUyW4GCLurHCjexrLm_o"",
      ""HTMLキャッシュ!A:F""
    ),
    5,
    FALSE
  ),
  0
)
"),"2025年度春期講習開催のお知らせ - 中高一貫校専門塾エスコット(Escot)～定期試験対策から大学受験指導まで～")</f>
        <v>2025年度春期講習開催のお知らせ - 中高一貫校専門塾エスコット(Escot)～定期試験対策から大学受験指導まで～</v>
      </c>
      <c r="D86" s="1" t="str">
        <f>IFERROR(__xludf.DUMMYFUNCTION("IFERROR(
  VLOOKUP(
    A86,
    IMPORTRANGE(
      ""1ZygntHC1J6IxzKbTidmOyf5nUyW4GCLurHCjexrLm_o        "",
      ""HTMLキャッシュ!A:F""
    ),
    6,
    FALSE
  ),
  0
)
"),"春休みは短いながらも、日頃の積み残しを解消し、次の学年に向けて力を蓄える絶好のタイミングです。 中高一貫校専門")</f>
        <v>春休みは短いながらも、日頃の積み残しを解消し、次の学年に向けて力を蓄える絶好のタイミングです。 中高一貫校専門</v>
      </c>
      <c r="E86" s="32">
        <f>IFERROR(__xludf.DUMMYFUNCTION("IFERROR(
  VLOOKUP(
    A86,
    IMPORTRANGE(
      ""1ZygntHC1J6IxzKbTidmOyf5nUyW4GCLurHCjexrLm_o        "",
      ""HTMLキャッシュ!A:F""
    ),
    3,
    FALSE
  ),
  0
)
"),45968.73354166667)</f>
        <v>45968.73354</v>
      </c>
      <c r="F86" s="49">
        <f>IFERROR(__xludf.DUMMYFUNCTION("IFERROR(
  VLOOKUP(
    A86,
    IMPORTRANGE(
      ""1ZHMy3vVUd_0MrSduXTe1etBb1HNpAlGwQr006ljwMiM"",
      ""GSC最新!A:F""
    ),
    2,
    FALSE
  ),
  0
)
"),0.0)</f>
        <v>0</v>
      </c>
      <c r="G86" s="49">
        <f>IFERROR(__xludf.DUMMYFUNCTION("IFERROR(
  VLOOKUP(
    A86,
    IMPORTRANGE(
      ""1ZHMy3vVUd_0MrSduXTe1etBb1HNpAlGwQr006ljwMiM"",
      ""GSC最新!A:F""
    ),
    3,
    FALSE
  ),
  0
)
"),0.0)</f>
        <v>0</v>
      </c>
      <c r="H86" s="49">
        <f>IFERROR(__xludf.DUMMYFUNCTION("IFERROR(
  VLOOKUP(
    A86,
    IMPORTRANGE(
      ""1ZHMy3vVUd_0MrSduXTe1etBb1HNpAlGwQr006ljwMiM"",
      ""GSC最新!A:F""
    ),
    4,
    FALSE
  ),
  0
)
"),0.0)</f>
        <v>0</v>
      </c>
      <c r="I86" s="49">
        <f>IFERROR(__xludf.DUMMYFUNCTION("IFERROR(
  VLOOKUP(
    A86,
    IMPORTRANGE(
      ""1ZHMy3vVUd_0MrSduXTe1etBb1HNpAlGwQr006ljwMiM"",
      ""GSC最新!A:F""
    ),
    5,
    FALSE
  ),
  0
)
"),0.0)</f>
        <v>0</v>
      </c>
      <c r="J86" s="50" t="str">
        <f t="shared" ref="J86:K86" si="421">IFERROR(F86/H86,"-")</f>
        <v>-</v>
      </c>
      <c r="K86" s="50" t="str">
        <f t="shared" si="421"/>
        <v>-</v>
      </c>
      <c r="L86" s="6">
        <f>IFERROR(__xludf.DUMMYFUNCTION("IFERROR(
  VLOOKUP(
    A86,
    IMPORTRANGE(
      ""1ZHMy3vVUd_0MrSduXTe1etBb1HNpAlGwQr006ljwMiM"",
      ""GSC最新!A:R""
    ),
    7,
    FALSE
  ),
  0
)
"),2.0)</f>
        <v>2</v>
      </c>
      <c r="M86" s="6">
        <f>IFERROR(__xludf.DUMMYFUNCTION("IFERROR(
  VLOOKUP(
    A86,
    IMPORTRANGE(
      ""1ZHMy3vVUd_0MrSduXTe1etBb1HNpAlGwQr006ljwMiM"",
      ""GSC最新!A:R""
    ),
    10,
    FALSE
  ),
  0
)
"),3.0)</f>
        <v>3</v>
      </c>
      <c r="N86" s="6">
        <f>IFERROR(__xludf.DUMMYFUNCTION("IFERROR(
  VLOOKUP(
    A86,
    IMPORTRANGE(
      ""1ZHMy3vVUd_0MrSduXTe1etBb1HNpAlGwQr006ljwMiM"",
      ""GSC最新!A:R""
    ),
    13,
    FALSE
  ),
  0
)
"),0.0)</f>
        <v>0</v>
      </c>
      <c r="O86" s="6">
        <f>IFERROR(__xludf.DUMMYFUNCTION("IFERROR(
  VLOOKUP(
    A86,
    IMPORTRANGE(
      ""1ZHMy3vVUd_0MrSduXTe1etBb1HNpAlGwQr006ljwMiM"",
      ""GSC最新!A:R""
    ),
    16,
    FALSE
  ),
  0
)
"),0.0)</f>
        <v>0</v>
      </c>
      <c r="P86" s="51" t="str">
        <f t="shared" ref="P86:Q86" si="422">IFERROR(L86/N86,"-")</f>
        <v>-</v>
      </c>
      <c r="Q86" s="51" t="str">
        <f t="shared" si="422"/>
        <v>-</v>
      </c>
      <c r="R86" s="9">
        <f>IFERROR(__xludf.DUMMYFUNCTION("IFERROR(
  VLOOKUP(
    A86,
    IMPORTRANGE(
      ""1ZHMy3vVUd_0MrSduXTe1etBb1HNpAlGwQr006ljwMiM"",
      ""GSC最新!A:R""
    ),
    8,
    FALSE
  ),
  0
)
"),0.0)</f>
        <v>0</v>
      </c>
      <c r="S86" s="9">
        <f>IFERROR(__xludf.DUMMYFUNCTION("IFERROR(
  VLOOKUP(
    A86,
    IMPORTRANGE(
      ""1ZHMy3vVUd_0MrSduXTe1etBb1HNpAlGwQr006ljwMiM"",
      ""GSC最新!A:R""
    ),
    11,
    FALSE
  ),
  0
)
"),0.0)</f>
        <v>0</v>
      </c>
      <c r="T86" s="9">
        <f>IFERROR(__xludf.DUMMYFUNCTION("IFERROR(
  VLOOKUP(
    A86,
    IMPORTRANGE(
      ""1ZHMy3vVUd_0MrSduXTe1etBb1HNpAlGwQr006ljwMiM"",
      ""GSC最新!A:R""
    ),
    14,
    FALSE
  ),
  0
)
"),0.0)</f>
        <v>0</v>
      </c>
      <c r="U86" s="9">
        <f>IFERROR(__xludf.DUMMYFUNCTION("IFERROR(
  VLOOKUP(
    A86,
    IMPORTRANGE(
      ""1ZHMy3vVUd_0MrSduXTe1etBb1HNpAlGwQr006ljwMiM"",
      ""GSC最新!A:R""
    ),
    17,
    FALSE
  ),
  0
)
"),0.0)</f>
        <v>0</v>
      </c>
      <c r="V86" s="9">
        <f t="shared" ref="V86:W86" si="423">IFERROR(R86-T86,"-")</f>
        <v>0</v>
      </c>
      <c r="W86" s="9">
        <f t="shared" si="423"/>
        <v>0</v>
      </c>
      <c r="X86" s="65">
        <f>IFERROR(__xludf.DUMMYFUNCTION("IFERROR(
  VLOOKUP(
    A86,
    IMPORTRANGE(
      ""1ZHMy3vVUd_0MrSduXTe1etBb1HNpAlGwQr006ljwMiM"",
      ""GSC最新!A:R""
    ),
    9,
    FALSE
  ),
  0
)
"),2.5)</f>
        <v>2.5</v>
      </c>
      <c r="Y86" s="65">
        <f>IFERROR(__xludf.DUMMYFUNCTION("IFERROR(
  VLOOKUP(
    A86,
    IMPORTRANGE(
      ""1ZHMy3vVUd_0MrSduXTe1etBb1HNpAlGwQr006ljwMiM"",
      ""GSC最新!A:R""
    ),
    12,
    FALSE
  ),
  0
)
"),3.3333333333333335)</f>
        <v>3.333333333</v>
      </c>
      <c r="Z86" s="65" t="str">
        <f>IFERROR(__xludf.DUMMYFUNCTION("IFERROR(
  VLOOKUP(
    A86,
    IMPORTRANGE(
      ""1ZHMy3vVUd_0MrSduXTe1etBb1HNpAlGwQr006ljwMiM"",
      ""GSC最新!A:R""
    ),
    15,
    FALSE
  ),
  0
)
"),"")</f>
        <v/>
      </c>
      <c r="AA86" s="65" t="str">
        <f>IFERROR(__xludf.DUMMYFUNCTION("IFERROR(
  VLOOKUP(
    A86,
    IMPORTRANGE(
      ""1ZHMy3vVUd_0MrSduXTe1etBb1HNpAlGwQr006ljwMiM"",
      ""GSC最新!A:R""
    ),
    18,
    FALSE
  ),
  0
)
"),"")</f>
        <v/>
      </c>
      <c r="AB86" s="65">
        <f t="shared" ref="AB86:AC86" si="424">X86-Z86</f>
        <v>2.5</v>
      </c>
      <c r="AC86" s="65">
        <f t="shared" si="424"/>
        <v>3.333333333</v>
      </c>
      <c r="AD86" s="53">
        <f>IFERROR(__xludf.DUMMYFUNCTION("IFERROR(
  VLOOKUP(
    A86,
    IMPORTRANGE(
      ""1ZHMy3vVUd_0MrSduXTe1etBb1HNpAlGwQr006ljwMiM"",
      ""GSC最新!A:F""
    ),
    6,
    FALSE
  ),
  0
)
"),46081.0)</f>
        <v>46081</v>
      </c>
      <c r="AE86" s="54">
        <f>IFERROR(__xludf.DUMMYFUNCTION("IFERROR(
  VLOOKUP(
    A86,
    IMPORTRANGE(
      ""1SCYQd7_cobOYqT0r_F0IqD4tE4rYn5y8Eup4PJTH8es"",
      ""Snapshot!A:M""
    ),
    5,
    FALSE
  ),
  ""-""
)
"),0.0)</f>
        <v>0</v>
      </c>
      <c r="AF86" s="54">
        <f>IFERROR(__xludf.DUMMYFUNCTION("IFERROR(
  VLOOKUP(
    A86,
    IMPORTRANGE(
      ""1SCYQd7_cobOYqT0r_F0IqD4tE4rYn5y8Eup4PJTH8es"",
      ""Snapshot!A:M""
    ),
    6,
    FALSE
  ),
  0
)
"),0.0)</f>
        <v>0</v>
      </c>
      <c r="AG86" s="54">
        <f>IFERROR(__xludf.DUMMYFUNCTION("IFERROR(
  VLOOKUP(
    A86,
    IMPORTRANGE(
      ""1SCYQd7_cobOYqT0r_F0IqD4tE4rYn5y8Eup4PJTH8es"",
      ""Snapshot!A:M""
    ),
    7,
    FALSE
  ),
  0
)
"),530.0)</f>
        <v>530</v>
      </c>
      <c r="AH86" s="54">
        <f>IFERROR(__xludf.DUMMYFUNCTION("IFERROR(
  VLOOKUP(
    A86,
    IMPORTRANGE(
      ""1SCYQd7_cobOYqT0r_F0IqD4tE4rYn5y8Eup4PJTH8es"",
      ""Snapshot!A:M""
    ),
    8,
    FALSE
  ),
  0
)
"),1.0)</f>
        <v>1</v>
      </c>
      <c r="AI86" s="54">
        <f>IFERROR(__xludf.DUMMYFUNCTION("IFERROR(
  VLOOKUP(
    A86,
    IMPORTRANGE(
      ""1SCYQd7_cobOYqT0r_F0IqD4tE4rYn5y8Eup4PJTH8es"",
      ""Snapshot!A:M""
    ),
    9,
    FALSE
  ),
  0
)
"),1.0)</f>
        <v>1</v>
      </c>
      <c r="AJ86" s="54">
        <f>IFERROR(__xludf.DUMMYFUNCTION("IFERROR(
  VLOOKUP(
    A86,
    IMPORTRANGE(
      ""1SCYQd7_cobOYqT0r_F0IqD4tE4rYn5y8Eup4PJTH8es"",
      ""Snapshot!A:M""
    ),
    13,
    FALSE
  ),
  0
)
"),2.0)</f>
        <v>2</v>
      </c>
      <c r="AK86" s="49">
        <f t="shared" ref="AK86:AL86" si="425">LEN(C86)</f>
        <v>58</v>
      </c>
      <c r="AL86" s="49">
        <f t="shared" si="425"/>
        <v>55</v>
      </c>
    </row>
    <row r="87">
      <c r="A87" s="3" t="s">
        <v>772</v>
      </c>
      <c r="B87" s="1" t="str">
        <f>IFERROR(__xludf.DUMMYFUNCTION("IFERROR(
  VLOOKUP(
    A87,
    IMPORTRANGE(
      ""1ZygntHC1J6IxzKbTidmOyf5nUyW4GCLurHCjexrLm_o"",
      ""HTMLキャッシュ!A:F""
    ),
    2,
    FALSE
  ),
  0
)
"),"SC")</f>
        <v>SC</v>
      </c>
      <c r="C87" s="1" t="str">
        <f>IFERROR(__xludf.DUMMYFUNCTION("IFERROR(
  VLOOKUP(
    A87,
    IMPORTRANGE(
      ""1ZygntHC1J6IxzKbTidmOyf5nUyW4GCLurHCjexrLm_o"",
      ""HTMLキャッシュ!A:F""
    ),
    5,
    FALSE
  ),
  0
)
"),"数学ができないとプログラミングも出来ない？ - 中高一貫校専門塾エスコット(Escot)～定期試験対策から大学受験指導まで～")</f>
        <v>数学ができないとプログラミングも出来ない？ - 中高一貫校専門塾エスコット(Escot)～定期試験対策から大学受験指導まで～</v>
      </c>
      <c r="D87" s="1" t="str">
        <f>IFERROR(__xludf.DUMMYFUNCTION("IFERROR(
  VLOOKUP(
    A87,
    IMPORTRANGE(
      ""1ZygntHC1J6IxzKbTidmOyf5nUyW4GCLurHCjexrLm_o        "",
      ""HTMLキャッシュ!A:F""
    ),
    6,
    FALSE
  ),
  0
)
"),"数学ができないとプログラミングも出来ない？ プログラミングと言えば、分類すると理数系で、数学ができない人には難")</f>
        <v>数学ができないとプログラミングも出来ない？ プログラミングと言えば、分類すると理数系で、数学ができない人には難</v>
      </c>
      <c r="E87" s="32">
        <f>IFERROR(__xludf.DUMMYFUNCTION("IFERROR(
  VLOOKUP(
    A87,
    IMPORTRANGE(
      ""1ZygntHC1J6IxzKbTidmOyf5nUyW4GCLurHCjexrLm_o        "",
      ""HTMLキャッシュ!A:F""
    ),
    3,
    FALSE
  ),
  0
)
"),46043.80869212963)</f>
        <v>46043.80869</v>
      </c>
      <c r="F87" s="49">
        <f>IFERROR(__xludf.DUMMYFUNCTION("IFERROR(
  VLOOKUP(
    A87,
    IMPORTRANGE(
      ""1ZHMy3vVUd_0MrSduXTe1etBb1HNpAlGwQr006ljwMiM"",
      ""GSC最新!A:F""
    ),
    2,
    FALSE
  ),
  0
)
"),0.0)</f>
        <v>0</v>
      </c>
      <c r="G87" s="49">
        <f>IFERROR(__xludf.DUMMYFUNCTION("IFERROR(
  VLOOKUP(
    A87,
    IMPORTRANGE(
      ""1ZHMy3vVUd_0MrSduXTe1etBb1HNpAlGwQr006ljwMiM"",
      ""GSC最新!A:F""
    ),
    3,
    FALSE
  ),
  0
)
"),0.0)</f>
        <v>0</v>
      </c>
      <c r="H87" s="49">
        <f>IFERROR(__xludf.DUMMYFUNCTION("IFERROR(
  VLOOKUP(
    A87,
    IMPORTRANGE(
      ""1ZHMy3vVUd_0MrSduXTe1etBb1HNpAlGwQr006ljwMiM"",
      ""GSC最新!A:F""
    ),
    4,
    FALSE
  ),
  0
)
"),0.0)</f>
        <v>0</v>
      </c>
      <c r="I87" s="49">
        <f>IFERROR(__xludf.DUMMYFUNCTION("IFERROR(
  VLOOKUP(
    A87,
    IMPORTRANGE(
      ""1ZHMy3vVUd_0MrSduXTe1etBb1HNpAlGwQr006ljwMiM"",
      ""GSC最新!A:F""
    ),
    5,
    FALSE
  ),
  0
)
"),0.0)</f>
        <v>0</v>
      </c>
      <c r="J87" s="50" t="str">
        <f t="shared" ref="J87:K87" si="426">IFERROR(F87/H87,"-")</f>
        <v>-</v>
      </c>
      <c r="K87" s="50" t="str">
        <f t="shared" si="426"/>
        <v>-</v>
      </c>
      <c r="L87" s="6">
        <f>IFERROR(__xludf.DUMMYFUNCTION("IFERROR(
  VLOOKUP(
    A87,
    IMPORTRANGE(
      ""1ZHMy3vVUd_0MrSduXTe1etBb1HNpAlGwQr006ljwMiM"",
      ""GSC最新!A:R""
    ),
    7,
    FALSE
  ),
  0
)
"),0.0)</f>
        <v>0</v>
      </c>
      <c r="M87" s="6">
        <f>IFERROR(__xludf.DUMMYFUNCTION("IFERROR(
  VLOOKUP(
    A87,
    IMPORTRANGE(
      ""1ZHMy3vVUd_0MrSduXTe1etBb1HNpAlGwQr006ljwMiM"",
      ""GSC最新!A:R""
    ),
    10,
    FALSE
  ),
  0
)
"),2.0)</f>
        <v>2</v>
      </c>
      <c r="N87" s="6">
        <f>IFERROR(__xludf.DUMMYFUNCTION("IFERROR(
  VLOOKUP(
    A87,
    IMPORTRANGE(
      ""1ZHMy3vVUd_0MrSduXTe1etBb1HNpAlGwQr006ljwMiM"",
      ""GSC最新!A:R""
    ),
    13,
    FALSE
  ),
  0
)
"),1.0)</f>
        <v>1</v>
      </c>
      <c r="O87" s="6">
        <f>IFERROR(__xludf.DUMMYFUNCTION("IFERROR(
  VLOOKUP(
    A87,
    IMPORTRANGE(
      ""1ZHMy3vVUd_0MrSduXTe1etBb1HNpAlGwQr006ljwMiM"",
      ""GSC最新!A:R""
    ),
    16,
    FALSE
  ),
  0
)
"),65.0)</f>
        <v>65</v>
      </c>
      <c r="P87" s="51">
        <f t="shared" ref="P87:Q87" si="427">IFERROR(L87/N87,"-")</f>
        <v>0</v>
      </c>
      <c r="Q87" s="51">
        <f t="shared" si="427"/>
        <v>0.03076923077</v>
      </c>
      <c r="R87" s="9">
        <f>IFERROR(__xludf.DUMMYFUNCTION("IFERROR(
  VLOOKUP(
    A87,
    IMPORTRANGE(
      ""1ZHMy3vVUd_0MrSduXTe1etBb1HNpAlGwQr006ljwMiM"",
      ""GSC最新!A:R""
    ),
    8,
    FALSE
  ),
  0
)
"),0.0)</f>
        <v>0</v>
      </c>
      <c r="S87" s="9">
        <f>IFERROR(__xludf.DUMMYFUNCTION("IFERROR(
  VLOOKUP(
    A87,
    IMPORTRANGE(
      ""1ZHMy3vVUd_0MrSduXTe1etBb1HNpAlGwQr006ljwMiM"",
      ""GSC最新!A:R""
    ),
    11,
    FALSE
  ),
  0
)
"),0.0)</f>
        <v>0</v>
      </c>
      <c r="T87" s="9">
        <f>IFERROR(__xludf.DUMMYFUNCTION("IFERROR(
  VLOOKUP(
    A87,
    IMPORTRANGE(
      ""1ZHMy3vVUd_0MrSduXTe1etBb1HNpAlGwQr006ljwMiM"",
      ""GSC最新!A:R""
    ),
    14,
    FALSE
  ),
  0
)
"),0.0)</f>
        <v>0</v>
      </c>
      <c r="U87" s="9">
        <f>IFERROR(__xludf.DUMMYFUNCTION("IFERROR(
  VLOOKUP(
    A87,
    IMPORTRANGE(
      ""1ZHMy3vVUd_0MrSduXTe1etBb1HNpAlGwQr006ljwMiM"",
      ""GSC最新!A:R""
    ),
    17,
    FALSE
  ),
  0
)
"),0.0)</f>
        <v>0</v>
      </c>
      <c r="V87" s="9">
        <f t="shared" ref="V87:W87" si="428">IFERROR(R87-T87,"-")</f>
        <v>0</v>
      </c>
      <c r="W87" s="9">
        <f t="shared" si="428"/>
        <v>0</v>
      </c>
      <c r="X87" s="65" t="str">
        <f>IFERROR(__xludf.DUMMYFUNCTION("IFERROR(
  VLOOKUP(
    A87,
    IMPORTRANGE(
      ""1ZHMy3vVUd_0MrSduXTe1etBb1HNpAlGwQr006ljwMiM"",
      ""GSC最新!A:R""
    ),
    9,
    FALSE
  ),
  0
)
"),"")</f>
        <v/>
      </c>
      <c r="Y87" s="65">
        <f>IFERROR(__xludf.DUMMYFUNCTION("IFERROR(
  VLOOKUP(
    A87,
    IMPORTRANGE(
      ""1ZHMy3vVUd_0MrSduXTe1etBb1HNpAlGwQr006ljwMiM"",
      ""GSC最新!A:R""
    ),
    12,
    FALSE
  ),
  0
)
"),10.0)</f>
        <v>10</v>
      </c>
      <c r="Z87" s="65">
        <f>IFERROR(__xludf.DUMMYFUNCTION("IFERROR(
  VLOOKUP(
    A87,
    IMPORTRANGE(
      ""1ZHMy3vVUd_0MrSduXTe1etBb1HNpAlGwQr006ljwMiM"",
      ""GSC最新!A:R""
    ),
    15,
    FALSE
  ),
  0
)
"),11.0)</f>
        <v>11</v>
      </c>
      <c r="AA87" s="65">
        <f>IFERROR(__xludf.DUMMYFUNCTION("IFERROR(
  VLOOKUP(
    A87,
    IMPORTRANGE(
      ""1ZHMy3vVUd_0MrSduXTe1etBb1HNpAlGwQr006ljwMiM"",
      ""GSC最新!A:R""
    ),
    18,
    FALSE
  ),
  0
)
"),66.76923076923077)</f>
        <v>66.76923077</v>
      </c>
      <c r="AB87" s="65">
        <f t="shared" ref="AB87:AC87" si="429">X87-Z87</f>
        <v>-11</v>
      </c>
      <c r="AC87" s="65">
        <f t="shared" si="429"/>
        <v>-56.76923077</v>
      </c>
      <c r="AD87" s="53">
        <f>IFERROR(__xludf.DUMMYFUNCTION("IFERROR(
  VLOOKUP(
    A87,
    IMPORTRANGE(
      ""1ZHMy3vVUd_0MrSduXTe1etBb1HNpAlGwQr006ljwMiM"",
      ""GSC最新!A:F""
    ),
    6,
    FALSE
  ),
  0
)
"),46081.0)</f>
        <v>46081</v>
      </c>
      <c r="AE87" s="54">
        <f>IFERROR(__xludf.DUMMYFUNCTION("IFERROR(
  VLOOKUP(
    A87,
    IMPORTRANGE(
      ""1SCYQd7_cobOYqT0r_F0IqD4tE4rYn5y8Eup4PJTH8es"",
      ""Snapshot!A:M""
    ),
    5,
    FALSE
  ),
  ""-""
)
"),1.0)</f>
        <v>1</v>
      </c>
      <c r="AF87" s="54">
        <f>IFERROR(__xludf.DUMMYFUNCTION("IFERROR(
  VLOOKUP(
    A87,
    IMPORTRANGE(
      ""1SCYQd7_cobOYqT0r_F0IqD4tE4rYn5y8Eup4PJTH8es"",
      ""Snapshot!A:M""
    ),
    6,
    FALSE
  ),
  0
)
"),3.0)</f>
        <v>3</v>
      </c>
      <c r="AG87" s="54">
        <f>IFERROR(__xludf.DUMMYFUNCTION("IFERROR(
  VLOOKUP(
    A87,
    IMPORTRANGE(
      ""1SCYQd7_cobOYqT0r_F0IqD4tE4rYn5y8Eup4PJTH8es"",
      ""Snapshot!A:M""
    ),
    7,
    FALSE
  ),
  0
)
"),1418.0)</f>
        <v>1418</v>
      </c>
      <c r="AH87" s="54">
        <f>IFERROR(__xludf.DUMMYFUNCTION("IFERROR(
  VLOOKUP(
    A87,
    IMPORTRANGE(
      ""1SCYQd7_cobOYqT0r_F0IqD4tE4rYn5y8Eup4PJTH8es"",
      ""Snapshot!A:M""
    ),
    8,
    FALSE
  ),
  0
)
"),28.0)</f>
        <v>28</v>
      </c>
      <c r="AI87" s="54">
        <f>IFERROR(__xludf.DUMMYFUNCTION("IFERROR(
  VLOOKUP(
    A87,
    IMPORTRANGE(
      ""1SCYQd7_cobOYqT0r_F0IqD4tE4rYn5y8Eup4PJTH8es"",
      ""Snapshot!A:M""
    ),
    9,
    FALSE
  ),
  0
)
"),0.0)</f>
        <v>0</v>
      </c>
      <c r="AJ87" s="54">
        <f>IFERROR(__xludf.DUMMYFUNCTION("IFERROR(
  VLOOKUP(
    A87,
    IMPORTRANGE(
      ""1SCYQd7_cobOYqT0r_F0IqD4tE4rYn5y8Eup4PJTH8es"",
      ""Snapshot!A:M""
    ),
    13,
    FALSE
  ),
  0
)
"),2.0)</f>
        <v>2</v>
      </c>
      <c r="AK87" s="49">
        <f t="shared" ref="AK87:AL87" si="430">LEN(C87)</f>
        <v>62</v>
      </c>
      <c r="AL87" s="49">
        <f t="shared" si="430"/>
        <v>55</v>
      </c>
    </row>
    <row r="88">
      <c r="A88" s="3" t="s">
        <v>773</v>
      </c>
      <c r="B88" s="1" t="str">
        <f>IFERROR(__xludf.DUMMYFUNCTION("IFERROR(
  VLOOKUP(
    A88,
    IMPORTRANGE(
      ""1ZygntHC1J6IxzKbTidmOyf5nUyW4GCLurHCjexrLm_o"",
      ""HTMLキャッシュ!A:F""
    ),
    2,
    FALSE
  ),
  0
)
"),"MC")</f>
        <v>MC</v>
      </c>
      <c r="C88" s="1" t="str">
        <f>IFERROR(__xludf.DUMMYFUNCTION("IFERROR(
  VLOOKUP(
    A88,
    IMPORTRANGE(
      ""1ZygntHC1J6IxzKbTidmOyf5nUyW4GCLurHCjexrLm_o"",
      ""HTMLキャッシュ!A:F""
    ),
    5,
    FALSE
  ),
  0
)
"),"効率よく英単語を覚えるためのコツ - 中高一貫校専門塾エスコット(Escot)～定期試験対策から大学受験指導まで～")</f>
        <v>効率よく英単語を覚えるためのコツ - 中高一貫校専門塾エスコット(Escot)～定期試験対策から大学受験指導まで～</v>
      </c>
      <c r="D88" s="1" t="str">
        <f>IFERROR(__xludf.DUMMYFUNCTION("IFERROR(
  VLOOKUP(
    A88,
    IMPORTRANGE(
      ""1ZygntHC1J6IxzKbTidmOyf5nUyW4GCLurHCjexrLm_o        "",
      ""HTMLキャッシュ!A:F""
    ),
    6,
    FALSE
  ),
  0
)
"),"まず確認：覚えられない原因は「量」ではなく「やり方」 英単語が定着しないときは、次のどこかが欠けていることが多")</f>
        <v>まず確認：覚えられない原因は「量」ではなく「やり方」 英単語が定着しないときは、次のどこかが欠けていることが多</v>
      </c>
      <c r="E88" s="32">
        <f>IFERROR(__xludf.DUMMYFUNCTION("IFERROR(
  VLOOKUP(
    A88,
    IMPORTRANGE(
      ""1ZygntHC1J6IxzKbTidmOyf5nUyW4GCLurHCjexrLm_o        "",
      ""HTMLキャッシュ!A:F""
    ),
    3,
    FALSE
  ),
  0
)
"),46069.83290509259)</f>
        <v>46069.83291</v>
      </c>
      <c r="F88" s="49">
        <f>IFERROR(__xludf.DUMMYFUNCTION("IFERROR(
  VLOOKUP(
    A88,
    IMPORTRANGE(
      ""1ZHMy3vVUd_0MrSduXTe1etBb1HNpAlGwQr006ljwMiM"",
      ""GSC最新!A:F""
    ),
    2,
    FALSE
  ),
  0
)
"),0.0)</f>
        <v>0</v>
      </c>
      <c r="G88" s="49">
        <f>IFERROR(__xludf.DUMMYFUNCTION("IFERROR(
  VLOOKUP(
    A88,
    IMPORTRANGE(
      ""1ZHMy3vVUd_0MrSduXTe1etBb1HNpAlGwQr006ljwMiM"",
      ""GSC最新!A:F""
    ),
    3,
    FALSE
  ),
  0
)
"),0.0)</f>
        <v>0</v>
      </c>
      <c r="H88" s="49">
        <f>IFERROR(__xludf.DUMMYFUNCTION("IFERROR(
  VLOOKUP(
    A88,
    IMPORTRANGE(
      ""1ZHMy3vVUd_0MrSduXTe1etBb1HNpAlGwQr006ljwMiM"",
      ""GSC最新!A:F""
    ),
    4,
    FALSE
  ),
  0
)
"),0.0)</f>
        <v>0</v>
      </c>
      <c r="I88" s="49">
        <f>IFERROR(__xludf.DUMMYFUNCTION("IFERROR(
  VLOOKUP(
    A88,
    IMPORTRANGE(
      ""1ZHMy3vVUd_0MrSduXTe1etBb1HNpAlGwQr006ljwMiM"",
      ""GSC最新!A:F""
    ),
    5,
    FALSE
  ),
  0
)
"),0.0)</f>
        <v>0</v>
      </c>
      <c r="J88" s="50" t="str">
        <f t="shared" ref="J88:K88" si="431">IFERROR(F88/H88,"-")</f>
        <v>-</v>
      </c>
      <c r="K88" s="50" t="str">
        <f t="shared" si="431"/>
        <v>-</v>
      </c>
      <c r="L88" s="6">
        <f>IFERROR(__xludf.DUMMYFUNCTION("IFERROR(
  VLOOKUP(
    A88,
    IMPORTRANGE(
      ""1ZHMy3vVUd_0MrSduXTe1etBb1HNpAlGwQr006ljwMiM"",
      ""GSC最新!A:R""
    ),
    7,
    FALSE
  ),
  0
)
"),1.0)</f>
        <v>1</v>
      </c>
      <c r="M88" s="6">
        <f>IFERROR(__xludf.DUMMYFUNCTION("IFERROR(
  VLOOKUP(
    A88,
    IMPORTRANGE(
      ""1ZHMy3vVUd_0MrSduXTe1etBb1HNpAlGwQr006ljwMiM"",
      ""GSC最新!A:R""
    ),
    10,
    FALSE
  ),
  0
)
"),2.0)</f>
        <v>2</v>
      </c>
      <c r="N88" s="6">
        <f>IFERROR(__xludf.DUMMYFUNCTION("IFERROR(
  VLOOKUP(
    A88,
    IMPORTRANGE(
      ""1ZHMy3vVUd_0MrSduXTe1etBb1HNpAlGwQr006ljwMiM"",
      ""GSC最新!A:R""
    ),
    13,
    FALSE
  ),
  0
)
"),0.0)</f>
        <v>0</v>
      </c>
      <c r="O88" s="6">
        <f>IFERROR(__xludf.DUMMYFUNCTION("IFERROR(
  VLOOKUP(
    A88,
    IMPORTRANGE(
      ""1ZHMy3vVUd_0MrSduXTe1etBb1HNpAlGwQr006ljwMiM"",
      ""GSC最新!A:R""
    ),
    16,
    FALSE
  ),
  0
)
"),1.0)</f>
        <v>1</v>
      </c>
      <c r="P88" s="51" t="str">
        <f t="shared" ref="P88:Q88" si="432">IFERROR(L88/N88,"-")</f>
        <v>-</v>
      </c>
      <c r="Q88" s="51">
        <f t="shared" si="432"/>
        <v>2</v>
      </c>
      <c r="R88" s="9">
        <f>IFERROR(__xludf.DUMMYFUNCTION("IFERROR(
  VLOOKUP(
    A88,
    IMPORTRANGE(
      ""1ZHMy3vVUd_0MrSduXTe1etBb1HNpAlGwQr006ljwMiM"",
      ""GSC最新!A:R""
    ),
    8,
    FALSE
  ),
  0
)
"),0.0)</f>
        <v>0</v>
      </c>
      <c r="S88" s="9">
        <f>IFERROR(__xludf.DUMMYFUNCTION("IFERROR(
  VLOOKUP(
    A88,
    IMPORTRANGE(
      ""1ZHMy3vVUd_0MrSduXTe1etBb1HNpAlGwQr006ljwMiM"",
      ""GSC最新!A:R""
    ),
    11,
    FALSE
  ),
  0
)
"),0.0)</f>
        <v>0</v>
      </c>
      <c r="T88" s="9">
        <f>IFERROR(__xludf.DUMMYFUNCTION("IFERROR(
  VLOOKUP(
    A88,
    IMPORTRANGE(
      ""1ZHMy3vVUd_0MrSduXTe1etBb1HNpAlGwQr006ljwMiM"",
      ""GSC最新!A:R""
    ),
    14,
    FALSE
  ),
  0
)
"),0.0)</f>
        <v>0</v>
      </c>
      <c r="U88" s="9">
        <f>IFERROR(__xludf.DUMMYFUNCTION("IFERROR(
  VLOOKUP(
    A88,
    IMPORTRANGE(
      ""1ZHMy3vVUd_0MrSduXTe1etBb1HNpAlGwQr006ljwMiM"",
      ""GSC最新!A:R""
    ),
    17,
    FALSE
  ),
  0
)
"),0.0)</f>
        <v>0</v>
      </c>
      <c r="V88" s="9">
        <f t="shared" ref="V88:W88" si="433">IFERROR(R88-T88,"-")</f>
        <v>0</v>
      </c>
      <c r="W88" s="9">
        <f t="shared" si="433"/>
        <v>0</v>
      </c>
      <c r="X88" s="65">
        <f>IFERROR(__xludf.DUMMYFUNCTION("IFERROR(
  VLOOKUP(
    A88,
    IMPORTRANGE(
      ""1ZHMy3vVUd_0MrSduXTe1etBb1HNpAlGwQr006ljwMiM"",
      ""GSC最新!A:R""
    ),
    9,
    FALSE
  ),
  0
)
"),9.0)</f>
        <v>9</v>
      </c>
      <c r="Y88" s="65">
        <f>IFERROR(__xludf.DUMMYFUNCTION("IFERROR(
  VLOOKUP(
    A88,
    IMPORTRANGE(
      ""1ZHMy3vVUd_0MrSduXTe1etBb1HNpAlGwQr006ljwMiM"",
      ""GSC最新!A:R""
    ),
    12,
    FALSE
  ),
  0
)
"),8.5)</f>
        <v>8.5</v>
      </c>
      <c r="Z88" s="65" t="str">
        <f>IFERROR(__xludf.DUMMYFUNCTION("IFERROR(
  VLOOKUP(
    A88,
    IMPORTRANGE(
      ""1ZHMy3vVUd_0MrSduXTe1etBb1HNpAlGwQr006ljwMiM"",
      ""GSC最新!A:R""
    ),
    15,
    FALSE
  ),
  0
)
"),"")</f>
        <v/>
      </c>
      <c r="AA88" s="65">
        <f>IFERROR(__xludf.DUMMYFUNCTION("IFERROR(
  VLOOKUP(
    A88,
    IMPORTRANGE(
      ""1ZHMy3vVUd_0MrSduXTe1etBb1HNpAlGwQr006ljwMiM"",
      ""GSC最新!A:R""
    ),
    18,
    FALSE
  ),
  0
)
"),97.0)</f>
        <v>97</v>
      </c>
      <c r="AB88" s="65">
        <f t="shared" ref="AB88:AC88" si="434">X88-Z88</f>
        <v>9</v>
      </c>
      <c r="AC88" s="65">
        <f t="shared" si="434"/>
        <v>-88.5</v>
      </c>
      <c r="AD88" s="53">
        <f>IFERROR(__xludf.DUMMYFUNCTION("IFERROR(
  VLOOKUP(
    A88,
    IMPORTRANGE(
      ""1ZHMy3vVUd_0MrSduXTe1etBb1HNpAlGwQr006ljwMiM"",
      ""GSC最新!A:F""
    ),
    6,
    FALSE
  ),
  0
)
"),46081.0)</f>
        <v>46081</v>
      </c>
      <c r="AE88" s="54">
        <f>IFERROR(__xludf.DUMMYFUNCTION("IFERROR(
  VLOOKUP(
    A88,
    IMPORTRANGE(
      ""1SCYQd7_cobOYqT0r_F0IqD4tE4rYn5y8Eup4PJTH8es"",
      ""Snapshot!A:M""
    ),
    5,
    FALSE
  ),
  ""-""
)
"),0.0)</f>
        <v>0</v>
      </c>
      <c r="AF88" s="54">
        <f>IFERROR(__xludf.DUMMYFUNCTION("IFERROR(
  VLOOKUP(
    A88,
    IMPORTRANGE(
      ""1SCYQd7_cobOYqT0r_F0IqD4tE4rYn5y8Eup4PJTH8es"",
      ""Snapshot!A:M""
    ),
    6,
    FALSE
  ),
  0
)
"),0.0)</f>
        <v>0</v>
      </c>
      <c r="AG88" s="54">
        <f>IFERROR(__xludf.DUMMYFUNCTION("IFERROR(
  VLOOKUP(
    A88,
    IMPORTRANGE(
      ""1SCYQd7_cobOYqT0r_F0IqD4tE4rYn5y8Eup4PJTH8es"",
      ""Snapshot!A:M""
    ),
    7,
    FALSE
  ),
  0
)
"),3064.0)</f>
        <v>3064</v>
      </c>
      <c r="AH88" s="54">
        <f>IFERROR(__xludf.DUMMYFUNCTION("IFERROR(
  VLOOKUP(
    A88,
    IMPORTRANGE(
      ""1SCYQd7_cobOYqT0r_F0IqD4tE4rYn5y8Eup4PJTH8es"",
      ""Snapshot!A:M""
    ),
    8,
    FALSE
  ),
  0
)
"),7.0)</f>
        <v>7</v>
      </c>
      <c r="AI88" s="54">
        <f>IFERROR(__xludf.DUMMYFUNCTION("IFERROR(
  VLOOKUP(
    A88,
    IMPORTRANGE(
      ""1SCYQd7_cobOYqT0r_F0IqD4tE4rYn5y8Eup4PJTH8es"",
      ""Snapshot!A:M""
    ),
    9,
    FALSE
  ),
  0
)
"),2.0)</f>
        <v>2</v>
      </c>
      <c r="AJ88" s="54">
        <f>IFERROR(__xludf.DUMMYFUNCTION("IFERROR(
  VLOOKUP(
    A88,
    IMPORTRANGE(
      ""1SCYQd7_cobOYqT0r_F0IqD4tE4rYn5y8Eup4PJTH8es"",
      ""Snapshot!A:M""
    ),
    13,
    FALSE
  ),
  0
)
"),2.0)</f>
        <v>2</v>
      </c>
      <c r="AK88" s="49">
        <f t="shared" ref="AK88:AL88" si="435">LEN(C88)</f>
        <v>57</v>
      </c>
      <c r="AL88" s="49">
        <f t="shared" si="435"/>
        <v>55</v>
      </c>
    </row>
    <row r="89">
      <c r="A89" s="3" t="s">
        <v>774</v>
      </c>
      <c r="B89" s="1" t="str">
        <f>IFERROR(__xludf.DUMMYFUNCTION("IFERROR(
  VLOOKUP(
    A89,
    IMPORTRANGE(
      ""1ZygntHC1J6IxzKbTidmOyf5nUyW4GCLurHCjexrLm_o"",
      ""HTMLキャッシュ!A:F""
    ),
    2,
    FALSE
  ),
  0
)
"),"NW")</f>
        <v>NW</v>
      </c>
      <c r="C89" s="1" t="str">
        <f>IFERROR(__xludf.DUMMYFUNCTION("IFERROR(
  VLOOKUP(
    A89,
    IMPORTRANGE(
      ""1ZygntHC1J6IxzKbTidmOyf5nUyW4GCLurHCjexrLm_o"",
      ""HTMLキャッシュ!A:F""
    ),
    5,
    FALSE
  ),
  0
)
"),"「古典専門塾 かきつばた」開校のお知らせ - 中高一貫校専門塾エスコット(Escot)～定期試験対策から大学受験指導まで～")</f>
        <v>「古典専門塾 かきつばた」開校のお知らせ - 中高一貫校専門塾エスコット(Escot)～定期試験対策から大学受験指導まで～</v>
      </c>
      <c r="D89" s="1" t="str">
        <f>IFERROR(__xludf.DUMMYFUNCTION("IFERROR(
  VLOOKUP(
    A89,
    IMPORTRANGE(
      ""1ZygntHC1J6IxzKbTidmOyf5nUyW4GCLurHCjexrLm_o        "",
      ""HTMLキャッシュ!A:F""
    ),
    6,
    FALSE
  ),
  0
)
"),"本日は掲題の件につきましてお知らせさせて頂きます。 新塾「古典専門塾 かきつばた」を開校致しました。 古典専門")</f>
        <v>本日は掲題の件につきましてお知らせさせて頂きます。 新塾「古典専門塾 かきつばた」を開校致しました。 古典専門</v>
      </c>
      <c r="E89" s="32">
        <f>IFERROR(__xludf.DUMMYFUNCTION("IFERROR(
  VLOOKUP(
    A89,
    IMPORTRANGE(
      ""1ZygntHC1J6IxzKbTidmOyf5nUyW4GCLurHCjexrLm_o        "",
      ""HTMLキャッシュ!A:F""
    ),
    3,
    FALSE
  ),
  0
)
"),43873.65326388889)</f>
        <v>43873.65326</v>
      </c>
      <c r="F89" s="49">
        <f>IFERROR(__xludf.DUMMYFUNCTION("IFERROR(
  VLOOKUP(
    A89,
    IMPORTRANGE(
      ""1ZHMy3vVUd_0MrSduXTe1etBb1HNpAlGwQr006ljwMiM"",
      ""GSC最新!A:F""
    ),
    2,
    FALSE
  ),
  0
)
"),0.0)</f>
        <v>0</v>
      </c>
      <c r="G89" s="49">
        <f>IFERROR(__xludf.DUMMYFUNCTION("IFERROR(
  VLOOKUP(
    A89,
    IMPORTRANGE(
      ""1ZHMy3vVUd_0MrSduXTe1etBb1HNpAlGwQr006ljwMiM"",
      ""GSC最新!A:F""
    ),
    3,
    FALSE
  ),
  0
)
"),0.0)</f>
        <v>0</v>
      </c>
      <c r="H89" s="49">
        <f>IFERROR(__xludf.DUMMYFUNCTION("IFERROR(
  VLOOKUP(
    A89,
    IMPORTRANGE(
      ""1ZHMy3vVUd_0MrSduXTe1etBb1HNpAlGwQr006ljwMiM"",
      ""GSC最新!A:F""
    ),
    4,
    FALSE
  ),
  0
)
"),1.0)</f>
        <v>1</v>
      </c>
      <c r="I89" s="49">
        <f>IFERROR(__xludf.DUMMYFUNCTION("IFERROR(
  VLOOKUP(
    A89,
    IMPORTRANGE(
      ""1ZHMy3vVUd_0MrSduXTe1etBb1HNpAlGwQr006ljwMiM"",
      ""GSC最新!A:F""
    ),
    5,
    FALSE
  ),
  0
)
"),1.0)</f>
        <v>1</v>
      </c>
      <c r="J89" s="50">
        <f t="shared" ref="J89:K89" si="436">IFERROR(F89/H89,"-")</f>
        <v>0</v>
      </c>
      <c r="K89" s="50">
        <f t="shared" si="436"/>
        <v>0</v>
      </c>
      <c r="L89" s="6">
        <f>IFERROR(__xludf.DUMMYFUNCTION("IFERROR(
  VLOOKUP(
    A89,
    IMPORTRANGE(
      ""1ZHMy3vVUd_0MrSduXTe1etBb1HNpAlGwQr006ljwMiM"",
      ""GSC最新!A:R""
    ),
    7,
    FALSE
  ),
  0
)
"),0.0)</f>
        <v>0</v>
      </c>
      <c r="M89" s="6">
        <f>IFERROR(__xludf.DUMMYFUNCTION("IFERROR(
  VLOOKUP(
    A89,
    IMPORTRANGE(
      ""1ZHMy3vVUd_0MrSduXTe1etBb1HNpAlGwQr006ljwMiM"",
      ""GSC最新!A:R""
    ),
    10,
    FALSE
  ),
  0
)
"),2.0)</f>
        <v>2</v>
      </c>
      <c r="N89" s="6">
        <f>IFERROR(__xludf.DUMMYFUNCTION("IFERROR(
  VLOOKUP(
    A89,
    IMPORTRANGE(
      ""1ZHMy3vVUd_0MrSduXTe1etBb1HNpAlGwQr006ljwMiM"",
      ""GSC最新!A:R""
    ),
    13,
    FALSE
  ),
  0
)
"),1.0)</f>
        <v>1</v>
      </c>
      <c r="O89" s="6">
        <f>IFERROR(__xludf.DUMMYFUNCTION("IFERROR(
  VLOOKUP(
    A89,
    IMPORTRANGE(
      ""1ZHMy3vVUd_0MrSduXTe1etBb1HNpAlGwQr006ljwMiM"",
      ""GSC最新!A:R""
    ),
    16,
    FALSE
  ),
  0
)
"),4.0)</f>
        <v>4</v>
      </c>
      <c r="P89" s="51">
        <f t="shared" ref="P89:Q89" si="437">IFERROR(L89/N89,"-")</f>
        <v>0</v>
      </c>
      <c r="Q89" s="51">
        <f t="shared" si="437"/>
        <v>0.5</v>
      </c>
      <c r="R89" s="9">
        <f>IFERROR(__xludf.DUMMYFUNCTION("IFERROR(
  VLOOKUP(
    A89,
    IMPORTRANGE(
      ""1ZHMy3vVUd_0MrSduXTe1etBb1HNpAlGwQr006ljwMiM"",
      ""GSC最新!A:R""
    ),
    8,
    FALSE
  ),
  0
)
"),0.0)</f>
        <v>0</v>
      </c>
      <c r="S89" s="9">
        <f>IFERROR(__xludf.DUMMYFUNCTION("IFERROR(
  VLOOKUP(
    A89,
    IMPORTRANGE(
      ""1ZHMy3vVUd_0MrSduXTe1etBb1HNpAlGwQr006ljwMiM"",
      ""GSC最新!A:R""
    ),
    11,
    FALSE
  ),
  0
)
"),0.0)</f>
        <v>0</v>
      </c>
      <c r="T89" s="9">
        <f>IFERROR(__xludf.DUMMYFUNCTION("IFERROR(
  VLOOKUP(
    A89,
    IMPORTRANGE(
      ""1ZHMy3vVUd_0MrSduXTe1etBb1HNpAlGwQr006ljwMiM"",
      ""GSC最新!A:R""
    ),
    14,
    FALSE
  ),
  0
)
"),1.0)</f>
        <v>1</v>
      </c>
      <c r="U89" s="9">
        <f>IFERROR(__xludf.DUMMYFUNCTION("IFERROR(
  VLOOKUP(
    A89,
    IMPORTRANGE(
      ""1ZHMy3vVUd_0MrSduXTe1etBb1HNpAlGwQr006ljwMiM"",
      ""GSC最新!A:R""
    ),
    17,
    FALSE
  ),
  0
)
"),0.25)</f>
        <v>0.25</v>
      </c>
      <c r="V89" s="9">
        <f t="shared" ref="V89:W89" si="438">IFERROR(R89-T89,"-")</f>
        <v>-1</v>
      </c>
      <c r="W89" s="9">
        <f t="shared" si="438"/>
        <v>-0.25</v>
      </c>
      <c r="X89" s="65" t="str">
        <f>IFERROR(__xludf.DUMMYFUNCTION("IFERROR(
  VLOOKUP(
    A89,
    IMPORTRANGE(
      ""1ZHMy3vVUd_0MrSduXTe1etBb1HNpAlGwQr006ljwMiM"",
      ""GSC最新!A:R""
    ),
    9,
    FALSE
  ),
  0
)
"),"")</f>
        <v/>
      </c>
      <c r="Y89" s="65">
        <f>IFERROR(__xludf.DUMMYFUNCTION("IFERROR(
  VLOOKUP(
    A89,
    IMPORTRANGE(
      ""1ZHMy3vVUd_0MrSduXTe1etBb1HNpAlGwQr006ljwMiM"",
      ""GSC最新!A:R""
    ),
    12,
    FALSE
  ),
  0
)
"),11.0)</f>
        <v>11</v>
      </c>
      <c r="Z89" s="65">
        <f>IFERROR(__xludf.DUMMYFUNCTION("IFERROR(
  VLOOKUP(
    A89,
    IMPORTRANGE(
      ""1ZHMy3vVUd_0MrSduXTe1etBb1HNpAlGwQr006ljwMiM"",
      ""GSC最新!A:R""
    ),
    15,
    FALSE
  ),
  0
)
"),18.0)</f>
        <v>18</v>
      </c>
      <c r="AA89" s="65">
        <f>IFERROR(__xludf.DUMMYFUNCTION("IFERROR(
  VLOOKUP(
    A89,
    IMPORTRANGE(
      ""1ZHMy3vVUd_0MrSduXTe1etBb1HNpAlGwQr006ljwMiM"",
      ""GSC最新!A:R""
    ),
    18,
    FALSE
  ),
  0
)
"),32.0)</f>
        <v>32</v>
      </c>
      <c r="AB89" s="65">
        <f t="shared" ref="AB89:AC89" si="439">X89-Z89</f>
        <v>-18</v>
      </c>
      <c r="AC89" s="65">
        <f t="shared" si="439"/>
        <v>-21</v>
      </c>
      <c r="AD89" s="53">
        <f>IFERROR(__xludf.DUMMYFUNCTION("IFERROR(
  VLOOKUP(
    A89,
    IMPORTRANGE(
      ""1ZHMy3vVUd_0MrSduXTe1etBb1HNpAlGwQr006ljwMiM"",
      ""GSC最新!A:F""
    ),
    6,
    FALSE
  ),
  0
)
"),46081.0)</f>
        <v>46081</v>
      </c>
      <c r="AE89" s="54">
        <f>IFERROR(__xludf.DUMMYFUNCTION("IFERROR(
  VLOOKUP(
    A89,
    IMPORTRANGE(
      ""1SCYQd7_cobOYqT0r_F0IqD4tE4rYn5y8Eup4PJTH8es"",
      ""Snapshot!A:M""
    ),
    5,
    FALSE
  ),
  ""-""
)
"),0.0)</f>
        <v>0</v>
      </c>
      <c r="AF89" s="54">
        <f>IFERROR(__xludf.DUMMYFUNCTION("IFERROR(
  VLOOKUP(
    A89,
    IMPORTRANGE(
      ""1SCYQd7_cobOYqT0r_F0IqD4tE4rYn5y8Eup4PJTH8es"",
      ""Snapshot!A:M""
    ),
    6,
    FALSE
  ),
  0
)
"),0.0)</f>
        <v>0</v>
      </c>
      <c r="AG89" s="54">
        <f>IFERROR(__xludf.DUMMYFUNCTION("IFERROR(
  VLOOKUP(
    A89,
    IMPORTRANGE(
      ""1SCYQd7_cobOYqT0r_F0IqD4tE4rYn5y8Eup4PJTH8es"",
      ""Snapshot!A:M""
    ),
    7,
    FALSE
  ),
  0
)
"),130.0)</f>
        <v>130</v>
      </c>
      <c r="AH89" s="54">
        <f>IFERROR(__xludf.DUMMYFUNCTION("IFERROR(
  VLOOKUP(
    A89,
    IMPORTRANGE(
      ""1SCYQd7_cobOYqT0r_F0IqD4tE4rYn5y8Eup4PJTH8es"",
      ""Snapshot!A:M""
    ),
    8,
    FALSE
  ),
  0
)
"),0.0)</f>
        <v>0</v>
      </c>
      <c r="AI89" s="54">
        <f>IFERROR(__xludf.DUMMYFUNCTION("IFERROR(
  VLOOKUP(
    A89,
    IMPORTRANGE(
      ""1SCYQd7_cobOYqT0r_F0IqD4tE4rYn5y8Eup4PJTH8es"",
      ""Snapshot!A:M""
    ),
    9,
    FALSE
  ),
  0
)
"),1.0)</f>
        <v>1</v>
      </c>
      <c r="AJ89" s="54">
        <f>IFERROR(__xludf.DUMMYFUNCTION("IFERROR(
  VLOOKUP(
    A89,
    IMPORTRANGE(
      ""1SCYQd7_cobOYqT0r_F0IqD4tE4rYn5y8Eup4PJTH8es"",
      ""Snapshot!A:M""
    ),
    13,
    FALSE
  ),
  0
)
"),2.0)</f>
        <v>2</v>
      </c>
      <c r="AK89" s="49">
        <f t="shared" ref="AK89:AL89" si="440">LEN(C89)</f>
        <v>61</v>
      </c>
      <c r="AL89" s="49">
        <f t="shared" si="440"/>
        <v>55</v>
      </c>
    </row>
    <row r="90">
      <c r="A90" s="3" t="s">
        <v>775</v>
      </c>
      <c r="B90" s="1" t="str">
        <f>IFERROR(__xludf.DUMMYFUNCTION("IFERROR(
  VLOOKUP(
    A90,
    IMPORTRANGE(
      ""1ZygntHC1J6IxzKbTidmOyf5nUyW4GCLurHCjexrLm_o"",
      ""HTMLキャッシュ!A:F""
    ),
    2,
    FALSE
  ),
  0
)
"),"SC")</f>
        <v>SC</v>
      </c>
      <c r="C90" s="1" t="str">
        <f>IFERROR(__xludf.DUMMYFUNCTION("IFERROR(
  VLOOKUP(
    A90,
    IMPORTRANGE(
      ""1ZygntHC1J6IxzKbTidmOyf5nUyW4GCLurHCjexrLm_o"",
      ""HTMLキャッシュ!A:F""
    ),
    5,
    FALSE
  ),
  0
)
"),"中学生の英検の勉強法はこんなかんじでいかが - 中高一貫校専門塾エスコット(Escot)～定期試験対策から大学受験指導まで～")</f>
        <v>中学生の英検の勉強法はこんなかんじでいかが - 中高一貫校専門塾エスコット(Escot)～定期試験対策から大学受験指導まで～</v>
      </c>
      <c r="D90" s="1" t="str">
        <f>IFERROR(__xludf.DUMMYFUNCTION("IFERROR(
  VLOOKUP(
    A90,
    IMPORTRANGE(
      ""1ZygntHC1J6IxzKbTidmOyf5nUyW4GCLurHCjexrLm_o        "",
      ""HTMLキャッシュ!A:F""
    ),
    6,
    FALSE
  ),
  0
)
"),"中学生の英検の勉強法はこんなかんじでいかが 中学生の英検の勉強法は、過去問を解けるようにしておくことが重要です")</f>
        <v>中学生の英検の勉強法はこんなかんじでいかが 中学生の英検の勉強法は、過去問を解けるようにしておくことが重要です</v>
      </c>
      <c r="E90" s="32">
        <f>IFERROR(__xludf.DUMMYFUNCTION("IFERROR(
  VLOOKUP(
    A90,
    IMPORTRANGE(
      ""1ZygntHC1J6IxzKbTidmOyf5nUyW4GCLurHCjexrLm_o        "",
      ""HTMLキャッシュ!A:F""
    ),
    3,
    FALSE
  ),
  0
)
"),44028.56853009259)</f>
        <v>44028.56853</v>
      </c>
      <c r="F90" s="49">
        <f>IFERROR(__xludf.DUMMYFUNCTION("IFERROR(
  VLOOKUP(
    A90,
    IMPORTRANGE(
      ""1ZHMy3vVUd_0MrSduXTe1etBb1HNpAlGwQr006ljwMiM"",
      ""GSC最新!A:F""
    ),
    2,
    FALSE
  ),
  0
)
"),0.0)</f>
        <v>0</v>
      </c>
      <c r="G90" s="49">
        <f>IFERROR(__xludf.DUMMYFUNCTION("IFERROR(
  VLOOKUP(
    A90,
    IMPORTRANGE(
      ""1ZHMy3vVUd_0MrSduXTe1etBb1HNpAlGwQr006ljwMiM"",
      ""GSC最新!A:F""
    ),
    3,
    FALSE
  ),
  0
)
"),0.0)</f>
        <v>0</v>
      </c>
      <c r="H90" s="49">
        <f>IFERROR(__xludf.DUMMYFUNCTION("IFERROR(
  VLOOKUP(
    A90,
    IMPORTRANGE(
      ""1ZHMy3vVUd_0MrSduXTe1etBb1HNpAlGwQr006ljwMiM"",
      ""GSC最新!A:F""
    ),
    4,
    FALSE
  ),
  0
)
"),0.0)</f>
        <v>0</v>
      </c>
      <c r="I90" s="49">
        <f>IFERROR(__xludf.DUMMYFUNCTION("IFERROR(
  VLOOKUP(
    A90,
    IMPORTRANGE(
      ""1ZHMy3vVUd_0MrSduXTe1etBb1HNpAlGwQr006ljwMiM"",
      ""GSC最新!A:F""
    ),
    5,
    FALSE
  ),
  0
)
"),0.0)</f>
        <v>0</v>
      </c>
      <c r="J90" s="50" t="str">
        <f t="shared" ref="J90:K90" si="441">IFERROR(F90/H90,"-")</f>
        <v>-</v>
      </c>
      <c r="K90" s="50" t="str">
        <f t="shared" si="441"/>
        <v>-</v>
      </c>
      <c r="L90" s="6">
        <f>IFERROR(__xludf.DUMMYFUNCTION("IFERROR(
  VLOOKUP(
    A90,
    IMPORTRANGE(
      ""1ZHMy3vVUd_0MrSduXTe1etBb1HNpAlGwQr006ljwMiM"",
      ""GSC最新!A:R""
    ),
    7,
    FALSE
  ),
  0
)
"),1.0)</f>
        <v>1</v>
      </c>
      <c r="M90" s="6">
        <f>IFERROR(__xludf.DUMMYFUNCTION("IFERROR(
  VLOOKUP(
    A90,
    IMPORTRANGE(
      ""1ZHMy3vVUd_0MrSduXTe1etBb1HNpAlGwQr006ljwMiM"",
      ""GSC最新!A:R""
    ),
    10,
    FALSE
  ),
  0
)
"),1.0)</f>
        <v>1</v>
      </c>
      <c r="N90" s="6">
        <f>IFERROR(__xludf.DUMMYFUNCTION("IFERROR(
  VLOOKUP(
    A90,
    IMPORTRANGE(
      ""1ZHMy3vVUd_0MrSduXTe1etBb1HNpAlGwQr006ljwMiM"",
      ""GSC最新!A:R""
    ),
    13,
    FALSE
  ),
  0
)
"),0.0)</f>
        <v>0</v>
      </c>
      <c r="O90" s="6">
        <f>IFERROR(__xludf.DUMMYFUNCTION("IFERROR(
  VLOOKUP(
    A90,
    IMPORTRANGE(
      ""1ZHMy3vVUd_0MrSduXTe1etBb1HNpAlGwQr006ljwMiM"",
      ""GSC最新!A:R""
    ),
    16,
    FALSE
  ),
  0
)
"),15.0)</f>
        <v>15</v>
      </c>
      <c r="P90" s="51" t="str">
        <f t="shared" ref="P90:Q90" si="442">IFERROR(L90/N90,"-")</f>
        <v>-</v>
      </c>
      <c r="Q90" s="51">
        <f t="shared" si="442"/>
        <v>0.06666666667</v>
      </c>
      <c r="R90" s="9">
        <f>IFERROR(__xludf.DUMMYFUNCTION("IFERROR(
  VLOOKUP(
    A90,
    IMPORTRANGE(
      ""1ZHMy3vVUd_0MrSduXTe1etBb1HNpAlGwQr006ljwMiM"",
      ""GSC最新!A:R""
    ),
    8,
    FALSE
  ),
  0
)
"),0.0)</f>
        <v>0</v>
      </c>
      <c r="S90" s="9">
        <f>IFERROR(__xludf.DUMMYFUNCTION("IFERROR(
  VLOOKUP(
    A90,
    IMPORTRANGE(
      ""1ZHMy3vVUd_0MrSduXTe1etBb1HNpAlGwQr006ljwMiM"",
      ""GSC最新!A:R""
    ),
    11,
    FALSE
  ),
  0
)
"),0.0)</f>
        <v>0</v>
      </c>
      <c r="T90" s="9">
        <f>IFERROR(__xludf.DUMMYFUNCTION("IFERROR(
  VLOOKUP(
    A90,
    IMPORTRANGE(
      ""1ZHMy3vVUd_0MrSduXTe1etBb1HNpAlGwQr006ljwMiM"",
      ""GSC最新!A:R""
    ),
    14,
    FALSE
  ),
  0
)
"),0.0)</f>
        <v>0</v>
      </c>
      <c r="U90" s="9">
        <f>IFERROR(__xludf.DUMMYFUNCTION("IFERROR(
  VLOOKUP(
    A90,
    IMPORTRANGE(
      ""1ZHMy3vVUd_0MrSduXTe1etBb1HNpAlGwQr006ljwMiM"",
      ""GSC最新!A:R""
    ),
    17,
    FALSE
  ),
  0
)
"),0.0)</f>
        <v>0</v>
      </c>
      <c r="V90" s="9">
        <f t="shared" ref="V90:W90" si="443">IFERROR(R90-T90,"-")</f>
        <v>0</v>
      </c>
      <c r="W90" s="9">
        <f t="shared" si="443"/>
        <v>0</v>
      </c>
      <c r="X90" s="65">
        <f>IFERROR(__xludf.DUMMYFUNCTION("IFERROR(
  VLOOKUP(
    A90,
    IMPORTRANGE(
      ""1ZHMy3vVUd_0MrSduXTe1etBb1HNpAlGwQr006ljwMiM"",
      ""GSC最新!A:R""
    ),
    9,
    FALSE
  ),
  0
)
"),7.0)</f>
        <v>7</v>
      </c>
      <c r="Y90" s="65">
        <f>IFERROR(__xludf.DUMMYFUNCTION("IFERROR(
  VLOOKUP(
    A90,
    IMPORTRANGE(
      ""1ZHMy3vVUd_0MrSduXTe1etBb1HNpAlGwQr006ljwMiM"",
      ""GSC最新!A:R""
    ),
    12,
    FALSE
  ),
  0
)
"),7.0)</f>
        <v>7</v>
      </c>
      <c r="Z90" s="65" t="str">
        <f>IFERROR(__xludf.DUMMYFUNCTION("IFERROR(
  VLOOKUP(
    A90,
    IMPORTRANGE(
      ""1ZHMy3vVUd_0MrSduXTe1etBb1HNpAlGwQr006ljwMiM"",
      ""GSC最新!A:R""
    ),
    15,
    FALSE
  ),
  0
)
"),"")</f>
        <v/>
      </c>
      <c r="AA90" s="65">
        <f>IFERROR(__xludf.DUMMYFUNCTION("IFERROR(
  VLOOKUP(
    A90,
    IMPORTRANGE(
      ""1ZHMy3vVUd_0MrSduXTe1etBb1HNpAlGwQr006ljwMiM"",
      ""GSC最新!A:R""
    ),
    18,
    FALSE
  ),
  0
)
"),41.0)</f>
        <v>41</v>
      </c>
      <c r="AB90" s="65">
        <f t="shared" ref="AB90:AC90" si="444">X90-Z90</f>
        <v>7</v>
      </c>
      <c r="AC90" s="65">
        <f t="shared" si="444"/>
        <v>-34</v>
      </c>
      <c r="AD90" s="53">
        <f>IFERROR(__xludf.DUMMYFUNCTION("IFERROR(
  VLOOKUP(
    A90,
    IMPORTRANGE(
      ""1ZHMy3vVUd_0MrSduXTe1etBb1HNpAlGwQr006ljwMiM"",
      ""GSC最新!A:F""
    ),
    6,
    FALSE
  ),
  0
)
"),46081.0)</f>
        <v>46081</v>
      </c>
      <c r="AE90" s="54">
        <f>IFERROR(__xludf.DUMMYFUNCTION("IFERROR(
  VLOOKUP(
    A90,
    IMPORTRANGE(
      ""1SCYQd7_cobOYqT0r_F0IqD4tE4rYn5y8Eup4PJTH8es"",
      ""Snapshot!A:M""
    ),
    5,
    FALSE
  ),
  ""-""
)
"),1.0)</f>
        <v>1</v>
      </c>
      <c r="AF90" s="54">
        <f>IFERROR(__xludf.DUMMYFUNCTION("IFERROR(
  VLOOKUP(
    A90,
    IMPORTRANGE(
      ""1SCYQd7_cobOYqT0r_F0IqD4tE4rYn5y8Eup4PJTH8es"",
      ""Snapshot!A:M""
    ),
    6,
    FALSE
  ),
  0
)
"),0.0)</f>
        <v>0</v>
      </c>
      <c r="AG90" s="54">
        <f>IFERROR(__xludf.DUMMYFUNCTION("IFERROR(
  VLOOKUP(
    A90,
    IMPORTRANGE(
      ""1SCYQd7_cobOYqT0r_F0IqD4tE4rYn5y8Eup4PJTH8es"",
      ""Snapshot!A:M""
    ),
    7,
    FALSE
  ),
  0
)
"),1344.0)</f>
        <v>1344</v>
      </c>
      <c r="AH90" s="54">
        <f>IFERROR(__xludf.DUMMYFUNCTION("IFERROR(
  VLOOKUP(
    A90,
    IMPORTRANGE(
      ""1SCYQd7_cobOYqT0r_F0IqD4tE4rYn5y8Eup4PJTH8es"",
      ""Snapshot!A:M""
    ),
    8,
    FALSE
  ),
  0
)
"),28.0)</f>
        <v>28</v>
      </c>
      <c r="AI90" s="54">
        <f>IFERROR(__xludf.DUMMYFUNCTION("IFERROR(
  VLOOKUP(
    A90,
    IMPORTRANGE(
      ""1SCYQd7_cobOYqT0r_F0IqD4tE4rYn5y8Eup4PJTH8es"",
      ""Snapshot!A:M""
    ),
    9,
    FALSE
  ),
  0
)
"),0.0)</f>
        <v>0</v>
      </c>
      <c r="AJ90" s="54">
        <f>IFERROR(__xludf.DUMMYFUNCTION("IFERROR(
  VLOOKUP(
    A90,
    IMPORTRANGE(
      ""1SCYQd7_cobOYqT0r_F0IqD4tE4rYn5y8Eup4PJTH8es"",
      ""Snapshot!A:M""
    ),
    13,
    FALSE
  ),
  0
)
"),2.0)</f>
        <v>2</v>
      </c>
      <c r="AK90" s="49">
        <f t="shared" ref="AK90:AL90" si="445">LEN(C90)</f>
        <v>62</v>
      </c>
      <c r="AL90" s="49">
        <f t="shared" si="445"/>
        <v>55</v>
      </c>
    </row>
    <row r="91">
      <c r="A91" s="3" t="s">
        <v>776</v>
      </c>
      <c r="B91" s="1" t="str">
        <f>IFERROR(__xludf.DUMMYFUNCTION("IFERROR(
  VLOOKUP(
    A91,
    IMPORTRANGE(
      ""1ZygntHC1J6IxzKbTidmOyf5nUyW4GCLurHCjexrLm_o"",
      ""HTMLキャッシュ!A:F""
    ),
    2,
    FALSE
  ),
  0
)
"),"MC")</f>
        <v>MC</v>
      </c>
      <c r="C91" s="1" t="str">
        <f>IFERROR(__xludf.DUMMYFUNCTION("IFERROR(
  VLOOKUP(
    A91,
    IMPORTRANGE(
      ""1ZygntHC1J6IxzKbTidmOyf5nUyW4GCLurHCjexrLm_o"",
      ""HTMLキャッシュ!A:F""
    ),
    5,
    FALSE
  ),
  0
)
"),"中高一貫校に合格するにはいつから塾に通うべき？ - 中高一貫校専門塾エスコット(Escot)～定期試験対策から大学受験指導まで～")</f>
        <v>中高一貫校に合格するにはいつから塾に通うべき？ - 中高一貫校専門塾エスコット(Escot)～定期試験対策から大学受験指導まで～</v>
      </c>
      <c r="D91" s="1" t="str">
        <f>IFERROR(__xludf.DUMMYFUNCTION("IFERROR(
  VLOOKUP(
    A91,
    IMPORTRANGE(
      ""1ZygntHC1J6IxzKbTidmOyf5nUyW4GCLurHCjexrLm_o        "",
      ""HTMLキャッシュ!A:F""
    ),
    6,
    FALSE
  ),
  0
)
"),"中高一貫校に合格するにはいつから塾に通うべき？ 中高一貫校に通うためには、いつから受験勉強をはじめたら良いので")</f>
        <v>中高一貫校に合格するにはいつから塾に通うべき？ 中高一貫校に通うためには、いつから受験勉強をはじめたら良いので</v>
      </c>
      <c r="E91" s="32">
        <f>IFERROR(__xludf.DUMMYFUNCTION("IFERROR(
  VLOOKUP(
    A91,
    IMPORTRANGE(
      ""1ZygntHC1J6IxzKbTidmOyf5nUyW4GCLurHCjexrLm_o        "",
      ""HTMLキャッシュ!A:F""
    ),
    3,
    FALSE
  ),
  0
)
"),46059.909849537034)</f>
        <v>46059.90985</v>
      </c>
      <c r="F91" s="49">
        <f>IFERROR(__xludf.DUMMYFUNCTION("IFERROR(
  VLOOKUP(
    A91,
    IMPORTRANGE(
      ""1ZHMy3vVUd_0MrSduXTe1etBb1HNpAlGwQr006ljwMiM"",
      ""GSC最新!A:F""
    ),
    2,
    FALSE
  ),
  0
)
"),0.0)</f>
        <v>0</v>
      </c>
      <c r="G91" s="49">
        <f>IFERROR(__xludf.DUMMYFUNCTION("IFERROR(
  VLOOKUP(
    A91,
    IMPORTRANGE(
      ""1ZHMy3vVUd_0MrSduXTe1etBb1HNpAlGwQr006ljwMiM"",
      ""GSC最新!A:F""
    ),
    3,
    FALSE
  ),
  0
)
"),0.0)</f>
        <v>0</v>
      </c>
      <c r="H91" s="49">
        <f>IFERROR(__xludf.DUMMYFUNCTION("IFERROR(
  VLOOKUP(
    A91,
    IMPORTRANGE(
      ""1ZHMy3vVUd_0MrSduXTe1etBb1HNpAlGwQr006ljwMiM"",
      ""GSC最新!A:F""
    ),
    4,
    FALSE
  ),
  0
)
"),0.0)</f>
        <v>0</v>
      </c>
      <c r="I91" s="49">
        <f>IFERROR(__xludf.DUMMYFUNCTION("IFERROR(
  VLOOKUP(
    A91,
    IMPORTRANGE(
      ""1ZHMy3vVUd_0MrSduXTe1etBb1HNpAlGwQr006ljwMiM"",
      ""GSC最新!A:F""
    ),
    5,
    FALSE
  ),
  0
)
"),0.0)</f>
        <v>0</v>
      </c>
      <c r="J91" s="50" t="str">
        <f t="shared" ref="J91:K91" si="446">IFERROR(F91/H91,"-")</f>
        <v>-</v>
      </c>
      <c r="K91" s="50" t="str">
        <f t="shared" si="446"/>
        <v>-</v>
      </c>
      <c r="L91" s="6">
        <f>IFERROR(__xludf.DUMMYFUNCTION("IFERROR(
  VLOOKUP(
    A91,
    IMPORTRANGE(
      ""1ZHMy3vVUd_0MrSduXTe1etBb1HNpAlGwQr006ljwMiM"",
      ""GSC最新!A:R""
    ),
    7,
    FALSE
  ),
  0
)
"),0.0)</f>
        <v>0</v>
      </c>
      <c r="M91" s="6">
        <f>IFERROR(__xludf.DUMMYFUNCTION("IFERROR(
  VLOOKUP(
    A91,
    IMPORTRANGE(
      ""1ZHMy3vVUd_0MrSduXTe1etBb1HNpAlGwQr006ljwMiM"",
      ""GSC最新!A:R""
    ),
    10,
    FALSE
  ),
  0
)
"),1.0)</f>
        <v>1</v>
      </c>
      <c r="N91" s="6">
        <f>IFERROR(__xludf.DUMMYFUNCTION("IFERROR(
  VLOOKUP(
    A91,
    IMPORTRANGE(
      ""1ZHMy3vVUd_0MrSduXTe1etBb1HNpAlGwQr006ljwMiM"",
      ""GSC最新!A:R""
    ),
    13,
    FALSE
  ),
  0
)
"),349.0)</f>
        <v>349</v>
      </c>
      <c r="O91" s="6">
        <f>IFERROR(__xludf.DUMMYFUNCTION("IFERROR(
  VLOOKUP(
    A91,
    IMPORTRANGE(
      ""1ZHMy3vVUd_0MrSduXTe1etBb1HNpAlGwQr006ljwMiM"",
      ""GSC最新!A:R""
    ),
    16,
    FALSE
  ),
  0
)
"),656.0)</f>
        <v>656</v>
      </c>
      <c r="P91" s="51">
        <f t="shared" ref="P91:Q91" si="447">IFERROR(L91/N91,"-")</f>
        <v>0</v>
      </c>
      <c r="Q91" s="51">
        <f t="shared" si="447"/>
        <v>0.001524390244</v>
      </c>
      <c r="R91" s="9">
        <f>IFERROR(__xludf.DUMMYFUNCTION("IFERROR(
  VLOOKUP(
    A91,
    IMPORTRANGE(
      ""1ZHMy3vVUd_0MrSduXTe1etBb1HNpAlGwQr006ljwMiM"",
      ""GSC最新!A:R""
    ),
    8,
    FALSE
  ),
  0
)
"),0.0)</f>
        <v>0</v>
      </c>
      <c r="S91" s="9">
        <f>IFERROR(__xludf.DUMMYFUNCTION("IFERROR(
  VLOOKUP(
    A91,
    IMPORTRANGE(
      ""1ZHMy3vVUd_0MrSduXTe1etBb1HNpAlGwQr006ljwMiM"",
      ""GSC最新!A:R""
    ),
    11,
    FALSE
  ),
  0
)
"),0.0)</f>
        <v>0</v>
      </c>
      <c r="T91" s="9">
        <f>IFERROR(__xludf.DUMMYFUNCTION("IFERROR(
  VLOOKUP(
    A91,
    IMPORTRANGE(
      ""1ZHMy3vVUd_0MrSduXTe1etBb1HNpAlGwQr006ljwMiM"",
      ""GSC最新!A:R""
    ),
    14,
    FALSE
  ),
  0
)
"),0.0)</f>
        <v>0</v>
      </c>
      <c r="U91" s="9">
        <f>IFERROR(__xludf.DUMMYFUNCTION("IFERROR(
  VLOOKUP(
    A91,
    IMPORTRANGE(
      ""1ZHMy3vVUd_0MrSduXTe1etBb1HNpAlGwQr006ljwMiM"",
      ""GSC最新!A:R""
    ),
    17,
    FALSE
  ),
  0
)
"),0.0)</f>
        <v>0</v>
      </c>
      <c r="V91" s="9">
        <f t="shared" ref="V91:W91" si="448">IFERROR(R91-T91,"-")</f>
        <v>0</v>
      </c>
      <c r="W91" s="9">
        <f t="shared" si="448"/>
        <v>0</v>
      </c>
      <c r="X91" s="65" t="str">
        <f>IFERROR(__xludf.DUMMYFUNCTION("IFERROR(
  VLOOKUP(
    A91,
    IMPORTRANGE(
      ""1ZHMy3vVUd_0MrSduXTe1etBb1HNpAlGwQr006ljwMiM"",
      ""GSC最新!A:R""
    ),
    9,
    FALSE
  ),
  0
)
"),"")</f>
        <v/>
      </c>
      <c r="Y91" s="65">
        <f>IFERROR(__xludf.DUMMYFUNCTION("IFERROR(
  VLOOKUP(
    A91,
    IMPORTRANGE(
      ""1ZHMy3vVUd_0MrSduXTe1etBb1HNpAlGwQr006ljwMiM"",
      ""GSC最新!A:R""
    ),
    12,
    FALSE
  ),
  0
)
"),3.0)</f>
        <v>3</v>
      </c>
      <c r="Z91" s="65">
        <f>IFERROR(__xludf.DUMMYFUNCTION("IFERROR(
  VLOOKUP(
    A91,
    IMPORTRANGE(
      ""1ZHMy3vVUd_0MrSduXTe1etBb1HNpAlGwQr006ljwMiM"",
      ""GSC最新!A:R""
    ),
    15,
    FALSE
  ),
  0
)
"),42.51002865329513)</f>
        <v>42.51002865</v>
      </c>
      <c r="AA91" s="65">
        <f>IFERROR(__xludf.DUMMYFUNCTION("IFERROR(
  VLOOKUP(
    A91,
    IMPORTRANGE(
      ""1ZHMy3vVUd_0MrSduXTe1etBb1HNpAlGwQr006ljwMiM"",
      ""GSC最新!A:R""
    ),
    18,
    FALSE
  ),
  0
)
"),40.64939024390244)</f>
        <v>40.64939024</v>
      </c>
      <c r="AB91" s="65">
        <f t="shared" ref="AB91:AC91" si="449">X91-Z91</f>
        <v>-42.51002865</v>
      </c>
      <c r="AC91" s="65">
        <f t="shared" si="449"/>
        <v>-37.64939024</v>
      </c>
      <c r="AD91" s="53">
        <f>IFERROR(__xludf.DUMMYFUNCTION("IFERROR(
  VLOOKUP(
    A91,
    IMPORTRANGE(
      ""1ZHMy3vVUd_0MrSduXTe1etBb1HNpAlGwQr006ljwMiM"",
      ""GSC最新!A:F""
    ),
    6,
    FALSE
  ),
  0
)
"),46081.0)</f>
        <v>46081</v>
      </c>
      <c r="AE91" s="54">
        <f>IFERROR(__xludf.DUMMYFUNCTION("IFERROR(
  VLOOKUP(
    A91,
    IMPORTRANGE(
      ""1SCYQd7_cobOYqT0r_F0IqD4tE4rYn5y8Eup4PJTH8es"",
      ""Snapshot!A:M""
    ),
    5,
    FALSE
  ),
  ""-""
)
"),1.0)</f>
        <v>1</v>
      </c>
      <c r="AF91" s="54">
        <f>IFERROR(__xludf.DUMMYFUNCTION("IFERROR(
  VLOOKUP(
    A91,
    IMPORTRANGE(
      ""1SCYQd7_cobOYqT0r_F0IqD4tE4rYn5y8Eup4PJTH8es"",
      ""Snapshot!A:M""
    ),
    6,
    FALSE
  ),
  0
)
"),2.0)</f>
        <v>2</v>
      </c>
      <c r="AG91" s="54">
        <f>IFERROR(__xludf.DUMMYFUNCTION("IFERROR(
  VLOOKUP(
    A91,
    IMPORTRANGE(
      ""1SCYQd7_cobOYqT0r_F0IqD4tE4rYn5y8Eup4PJTH8es"",
      ""Snapshot!A:M""
    ),
    7,
    FALSE
  ),
  0
)
"),1929.0)</f>
        <v>1929</v>
      </c>
      <c r="AH91" s="54">
        <f>IFERROR(__xludf.DUMMYFUNCTION("IFERROR(
  VLOOKUP(
    A91,
    IMPORTRANGE(
      ""1SCYQd7_cobOYqT0r_F0IqD4tE4rYn5y8Eup4PJTH8es"",
      ""Snapshot!A:M""
    ),
    8,
    FALSE
  ),
  0
)
"),5.0)</f>
        <v>5</v>
      </c>
      <c r="AI91" s="54">
        <f>IFERROR(__xludf.DUMMYFUNCTION("IFERROR(
  VLOOKUP(
    A91,
    IMPORTRANGE(
      ""1SCYQd7_cobOYqT0r_F0IqD4tE4rYn5y8Eup4PJTH8es"",
      ""Snapshot!A:M""
    ),
    9,
    FALSE
  ),
  0
)
"),2.0)</f>
        <v>2</v>
      </c>
      <c r="AJ91" s="54">
        <f>IFERROR(__xludf.DUMMYFUNCTION("IFERROR(
  VLOOKUP(
    A91,
    IMPORTRANGE(
      ""1SCYQd7_cobOYqT0r_F0IqD4tE4rYn5y8Eup4PJTH8es"",
      ""Snapshot!A:M""
    ),
    13,
    FALSE
  ),
  0
)
"),2.0)</f>
        <v>2</v>
      </c>
      <c r="AK91" s="49">
        <f t="shared" ref="AK91:AL91" si="450">LEN(C91)</f>
        <v>64</v>
      </c>
      <c r="AL91" s="49">
        <f t="shared" si="450"/>
        <v>55</v>
      </c>
    </row>
    <row r="92">
      <c r="A92" s="3" t="s">
        <v>777</v>
      </c>
      <c r="B92" s="1" t="str">
        <f>IFERROR(__xludf.DUMMYFUNCTION("IFERROR(
  VLOOKUP(
    A92,
    IMPORTRANGE(
      ""1ZygntHC1J6IxzKbTidmOyf5nUyW4GCLurHCjexrLm_o"",
      ""HTMLキャッシュ!A:F""
    ),
    2,
    FALSE
  ),
  0
)
"),"SC")</f>
        <v>SC</v>
      </c>
      <c r="C92" s="1" t="str">
        <f>IFERROR(__xludf.DUMMYFUNCTION("IFERROR(
  VLOOKUP(
    A92,
    IMPORTRANGE(
      ""1ZygntHC1J6IxzKbTidmOyf5nUyW4GCLurHCjexrLm_o"",
      ""HTMLキャッシュ!A:F""
    ),
    5,
    FALSE
  ),
  0
)
"),"高校受験のやる気を起こさせるポイント - 中高一貫校専門塾エスコット(Escot)～定期試験対策から大学受験指導まで～")</f>
        <v>高校受験のやる気を起こさせるポイント - 中高一貫校専門塾エスコット(Escot)～定期試験対策から大学受験指導まで～</v>
      </c>
      <c r="D92" s="1" t="str">
        <f>IFERROR(__xludf.DUMMYFUNCTION("IFERROR(
  VLOOKUP(
    A92,
    IMPORTRANGE(
      ""1ZygntHC1J6IxzKbTidmOyf5nUyW4GCLurHCjexrLm_o        "",
      ""HTMLキャッシュ!A:F""
    ),
    6,
    FALSE
  ),
  0
)
"),"高校受験のやる気を起こさせるポイント 高校受験において、やる気を起させるためにはどうしたらよいのでしょうか。や")</f>
        <v>高校受験のやる気を起こさせるポイント 高校受験において、やる気を起させるためにはどうしたらよいのでしょうか。や</v>
      </c>
      <c r="E92" s="32">
        <f>IFERROR(__xludf.DUMMYFUNCTION("IFERROR(
  VLOOKUP(
    A92,
    IMPORTRANGE(
      ""1ZygntHC1J6IxzKbTidmOyf5nUyW4GCLurHCjexrLm_o        "",
      ""HTMLキャッシュ!A:F""
    ),
    3,
    FALSE
  ),
  0
)
"),46069.833125)</f>
        <v>46069.83313</v>
      </c>
      <c r="F92" s="49">
        <f>IFERROR(__xludf.DUMMYFUNCTION("IFERROR(
  VLOOKUP(
    A92,
    IMPORTRANGE(
      ""1ZHMy3vVUd_0MrSduXTe1etBb1HNpAlGwQr006ljwMiM"",
      ""GSC最新!A:F""
    ),
    2,
    FALSE
  ),
  0
)
"),0.0)</f>
        <v>0</v>
      </c>
      <c r="G92" s="49">
        <f>IFERROR(__xludf.DUMMYFUNCTION("IFERROR(
  VLOOKUP(
    A92,
    IMPORTRANGE(
      ""1ZHMy3vVUd_0MrSduXTe1etBb1HNpAlGwQr006ljwMiM"",
      ""GSC最新!A:F""
    ),
    3,
    FALSE
  ),
  0
)
"),0.0)</f>
        <v>0</v>
      </c>
      <c r="H92" s="49">
        <f>IFERROR(__xludf.DUMMYFUNCTION("IFERROR(
  VLOOKUP(
    A92,
    IMPORTRANGE(
      ""1ZHMy3vVUd_0MrSduXTe1etBb1HNpAlGwQr006ljwMiM"",
      ""GSC最新!A:F""
    ),
    4,
    FALSE
  ),
  0
)
"),0.0)</f>
        <v>0</v>
      </c>
      <c r="I92" s="49">
        <f>IFERROR(__xludf.DUMMYFUNCTION("IFERROR(
  VLOOKUP(
    A92,
    IMPORTRANGE(
      ""1ZHMy3vVUd_0MrSduXTe1etBb1HNpAlGwQr006ljwMiM"",
      ""GSC最新!A:F""
    ),
    5,
    FALSE
  ),
  0
)
"),0.0)</f>
        <v>0</v>
      </c>
      <c r="J92" s="50" t="str">
        <f t="shared" ref="J92:K92" si="451">IFERROR(F92/H92,"-")</f>
        <v>-</v>
      </c>
      <c r="K92" s="50" t="str">
        <f t="shared" si="451"/>
        <v>-</v>
      </c>
      <c r="L92" s="6">
        <f>IFERROR(__xludf.DUMMYFUNCTION("IFERROR(
  VLOOKUP(
    A92,
    IMPORTRANGE(
      ""1ZHMy3vVUd_0MrSduXTe1etBb1HNpAlGwQr006ljwMiM"",
      ""GSC最新!A:R""
    ),
    7,
    FALSE
  ),
  0
)
"),0.0)</f>
        <v>0</v>
      </c>
      <c r="M92" s="6">
        <f>IFERROR(__xludf.DUMMYFUNCTION("IFERROR(
  VLOOKUP(
    A92,
    IMPORTRANGE(
      ""1ZHMy3vVUd_0MrSduXTe1etBb1HNpAlGwQr006ljwMiM"",
      ""GSC最新!A:R""
    ),
    10,
    FALSE
  ),
  0
)
"),1.0)</f>
        <v>1</v>
      </c>
      <c r="N92" s="6">
        <f>IFERROR(__xludf.DUMMYFUNCTION("IFERROR(
  VLOOKUP(
    A92,
    IMPORTRANGE(
      ""1ZHMy3vVUd_0MrSduXTe1etBb1HNpAlGwQr006ljwMiM"",
      ""GSC最新!A:R""
    ),
    13,
    FALSE
  ),
  0
)
"),0.0)</f>
        <v>0</v>
      </c>
      <c r="O92" s="6">
        <f>IFERROR(__xludf.DUMMYFUNCTION("IFERROR(
  VLOOKUP(
    A92,
    IMPORTRANGE(
      ""1ZHMy3vVUd_0MrSduXTe1etBb1HNpAlGwQr006ljwMiM"",
      ""GSC最新!A:R""
    ),
    16,
    FALSE
  ),
  0
)
"),0.0)</f>
        <v>0</v>
      </c>
      <c r="P92" s="51" t="str">
        <f t="shared" ref="P92:Q92" si="452">IFERROR(L92/N92,"-")</f>
        <v>-</v>
      </c>
      <c r="Q92" s="51" t="str">
        <f t="shared" si="452"/>
        <v>-</v>
      </c>
      <c r="R92" s="9">
        <f>IFERROR(__xludf.DUMMYFUNCTION("IFERROR(
  VLOOKUP(
    A92,
    IMPORTRANGE(
      ""1ZHMy3vVUd_0MrSduXTe1etBb1HNpAlGwQr006ljwMiM"",
      ""GSC最新!A:R""
    ),
    8,
    FALSE
  ),
  0
)
"),0.0)</f>
        <v>0</v>
      </c>
      <c r="S92" s="9">
        <f>IFERROR(__xludf.DUMMYFUNCTION("IFERROR(
  VLOOKUP(
    A92,
    IMPORTRANGE(
      ""1ZHMy3vVUd_0MrSduXTe1etBb1HNpAlGwQr006ljwMiM"",
      ""GSC最新!A:R""
    ),
    11,
    FALSE
  ),
  0
)
"),0.0)</f>
        <v>0</v>
      </c>
      <c r="T92" s="9">
        <f>IFERROR(__xludf.DUMMYFUNCTION("IFERROR(
  VLOOKUP(
    A92,
    IMPORTRANGE(
      ""1ZHMy3vVUd_0MrSduXTe1etBb1HNpAlGwQr006ljwMiM"",
      ""GSC最新!A:R""
    ),
    14,
    FALSE
  ),
  0
)
"),0.0)</f>
        <v>0</v>
      </c>
      <c r="U92" s="9">
        <f>IFERROR(__xludf.DUMMYFUNCTION("IFERROR(
  VLOOKUP(
    A92,
    IMPORTRANGE(
      ""1ZHMy3vVUd_0MrSduXTe1etBb1HNpAlGwQr006ljwMiM"",
      ""GSC最新!A:R""
    ),
    17,
    FALSE
  ),
  0
)
"),0.0)</f>
        <v>0</v>
      </c>
      <c r="V92" s="9">
        <f t="shared" ref="V92:W92" si="453">IFERROR(R92-T92,"-")</f>
        <v>0</v>
      </c>
      <c r="W92" s="9">
        <f t="shared" si="453"/>
        <v>0</v>
      </c>
      <c r="X92" s="65" t="str">
        <f>IFERROR(__xludf.DUMMYFUNCTION("IFERROR(
  VLOOKUP(
    A92,
    IMPORTRANGE(
      ""1ZHMy3vVUd_0MrSduXTe1etBb1HNpAlGwQr006ljwMiM"",
      ""GSC最新!A:R""
    ),
    9,
    FALSE
  ),
  0
)
"),"")</f>
        <v/>
      </c>
      <c r="Y92" s="65">
        <f>IFERROR(__xludf.DUMMYFUNCTION("IFERROR(
  VLOOKUP(
    A92,
    IMPORTRANGE(
      ""1ZHMy3vVUd_0MrSduXTe1etBb1HNpAlGwQr006ljwMiM"",
      ""GSC最新!A:R""
    ),
    12,
    FALSE
  ),
  0
)
"),2.0)</f>
        <v>2</v>
      </c>
      <c r="Z92" s="65" t="str">
        <f>IFERROR(__xludf.DUMMYFUNCTION("IFERROR(
  VLOOKUP(
    A92,
    IMPORTRANGE(
      ""1ZHMy3vVUd_0MrSduXTe1etBb1HNpAlGwQr006ljwMiM"",
      ""GSC最新!A:R""
    ),
    15,
    FALSE
  ),
  0
)
"),"")</f>
        <v/>
      </c>
      <c r="AA92" s="65" t="str">
        <f>IFERROR(__xludf.DUMMYFUNCTION("IFERROR(
  VLOOKUP(
    A92,
    IMPORTRANGE(
      ""1ZHMy3vVUd_0MrSduXTe1etBb1HNpAlGwQr006ljwMiM"",
      ""GSC最新!A:R""
    ),
    18,
    FALSE
  ),
  0
)
"),"")</f>
        <v/>
      </c>
      <c r="AB92" s="65">
        <f t="shared" ref="AB92:AC92" si="454">X92-Z92</f>
        <v>0</v>
      </c>
      <c r="AC92" s="65">
        <f t="shared" si="454"/>
        <v>2</v>
      </c>
      <c r="AD92" s="53">
        <f>IFERROR(__xludf.DUMMYFUNCTION("IFERROR(
  VLOOKUP(
    A92,
    IMPORTRANGE(
      ""1ZHMy3vVUd_0MrSduXTe1etBb1HNpAlGwQr006ljwMiM"",
      ""GSC最新!A:F""
    ),
    6,
    FALSE
  ),
  0
)
"),46081.0)</f>
        <v>46081</v>
      </c>
      <c r="AE92" s="54">
        <f>IFERROR(__xludf.DUMMYFUNCTION("IFERROR(
  VLOOKUP(
    A92,
    IMPORTRANGE(
      ""1SCYQd7_cobOYqT0r_F0IqD4tE4rYn5y8Eup4PJTH8es"",
      ""Snapshot!A:M""
    ),
    5,
    FALSE
  ),
  ""-""
)
"),1.0)</f>
        <v>1</v>
      </c>
      <c r="AF92" s="54">
        <f>IFERROR(__xludf.DUMMYFUNCTION("IFERROR(
  VLOOKUP(
    A92,
    IMPORTRANGE(
      ""1SCYQd7_cobOYqT0r_F0IqD4tE4rYn5y8Eup4PJTH8es"",
      ""Snapshot!A:M""
    ),
    6,
    FALSE
  ),
  0
)
"),5.0)</f>
        <v>5</v>
      </c>
      <c r="AG92" s="54">
        <f>IFERROR(__xludf.DUMMYFUNCTION("IFERROR(
  VLOOKUP(
    A92,
    IMPORTRANGE(
      ""1SCYQd7_cobOYqT0r_F0IqD4tE4rYn5y8Eup4PJTH8es"",
      ""Snapshot!A:M""
    ),
    7,
    FALSE
  ),
  0
)
"),2351.0)</f>
        <v>2351</v>
      </c>
      <c r="AH92" s="54">
        <f>IFERROR(__xludf.DUMMYFUNCTION("IFERROR(
  VLOOKUP(
    A92,
    IMPORTRANGE(
      ""1SCYQd7_cobOYqT0r_F0IqD4tE4rYn5y8Eup4PJTH8es"",
      ""Snapshot!A:M""
    ),
    8,
    FALSE
  ),
  0
)
"),28.0)</f>
        <v>28</v>
      </c>
      <c r="AI92" s="54">
        <f>IFERROR(__xludf.DUMMYFUNCTION("IFERROR(
  VLOOKUP(
    A92,
    IMPORTRANGE(
      ""1SCYQd7_cobOYqT0r_F0IqD4tE4rYn5y8Eup4PJTH8es"",
      ""Snapshot!A:M""
    ),
    9,
    FALSE
  ),
  0
)
"),0.0)</f>
        <v>0</v>
      </c>
      <c r="AJ92" s="54">
        <f>IFERROR(__xludf.DUMMYFUNCTION("IFERROR(
  VLOOKUP(
    A92,
    IMPORTRANGE(
      ""1SCYQd7_cobOYqT0r_F0IqD4tE4rYn5y8Eup4PJTH8es"",
      ""Snapshot!A:M""
    ),
    13,
    FALSE
  ),
  0
)
"),2.0)</f>
        <v>2</v>
      </c>
      <c r="AK92" s="49">
        <f t="shared" ref="AK92:AL92" si="455">LEN(C92)</f>
        <v>59</v>
      </c>
      <c r="AL92" s="49">
        <f t="shared" si="455"/>
        <v>55</v>
      </c>
    </row>
    <row r="93">
      <c r="A93" s="3" t="s">
        <v>778</v>
      </c>
      <c r="B93" s="1" t="str">
        <f>IFERROR(__xludf.DUMMYFUNCTION("IFERROR(
  VLOOKUP(
    A93,
    IMPORTRANGE(
      ""1ZygntHC1J6IxzKbTidmOyf5nUyW4GCLurHCjexrLm_o"",
      ""HTMLキャッシュ!A:F""
    ),
    2,
    FALSE
  ),
  0
)
"),"NW")</f>
        <v>NW</v>
      </c>
      <c r="C93" s="1" t="str">
        <f>IFERROR(__xludf.DUMMYFUNCTION("IFERROR(
  VLOOKUP(
    A93,
    IMPORTRANGE(
      ""1ZygntHC1J6IxzKbTidmOyf5nUyW4GCLurHCjexrLm_o"",
      ""HTMLキャッシュ!A:F""
    ),
    5,
    FALSE
  ),
  0
)
"),"2021年度夏期講習開催のお知らせ - 中高一貫校専門塾エスコット(Escot)～定期試験対策から大学受験指導まで～")</f>
        <v>2021年度夏期講習開催のお知らせ - 中高一貫校専門塾エスコット(Escot)～定期試験対策から大学受験指導まで～</v>
      </c>
      <c r="D93" s="1" t="str">
        <f>IFERROR(__xludf.DUMMYFUNCTION("IFERROR(
  VLOOKUP(
    A93,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93" s="32">
        <f>IFERROR(__xludf.DUMMYFUNCTION("IFERROR(
  VLOOKUP(
    A93,
    IMPORTRANGE(
      ""1ZygntHC1J6IxzKbTidmOyf5nUyW4GCLurHCjexrLm_o        "",
      ""HTMLキャッシュ!A:F""
    ),
    3,
    FALSE
  ),
  0
)
"),44384.65986111111)</f>
        <v>44384.65986</v>
      </c>
      <c r="F93" s="49">
        <f>IFERROR(__xludf.DUMMYFUNCTION("IFERROR(
  VLOOKUP(
    A93,
    IMPORTRANGE(
      ""1ZHMy3vVUd_0MrSduXTe1etBb1HNpAlGwQr006ljwMiM"",
      ""GSC最新!A:F""
    ),
    2,
    FALSE
  ),
  0
)
"),0.0)</f>
        <v>0</v>
      </c>
      <c r="G93" s="49">
        <f>IFERROR(__xludf.DUMMYFUNCTION("IFERROR(
  VLOOKUP(
    A93,
    IMPORTRANGE(
      ""1ZHMy3vVUd_0MrSduXTe1etBb1HNpAlGwQr006ljwMiM"",
      ""GSC最新!A:F""
    ),
    3,
    FALSE
  ),
  0
)
"),0.0)</f>
        <v>0</v>
      </c>
      <c r="H93" s="49">
        <f>IFERROR(__xludf.DUMMYFUNCTION("IFERROR(
  VLOOKUP(
    A93,
    IMPORTRANGE(
      ""1ZHMy3vVUd_0MrSduXTe1etBb1HNpAlGwQr006ljwMiM"",
      ""GSC最新!A:F""
    ),
    4,
    FALSE
  ),
  0
)
"),0.0)</f>
        <v>0</v>
      </c>
      <c r="I93" s="49">
        <f>IFERROR(__xludf.DUMMYFUNCTION("IFERROR(
  VLOOKUP(
    A93,
    IMPORTRANGE(
      ""1ZHMy3vVUd_0MrSduXTe1etBb1HNpAlGwQr006ljwMiM"",
      ""GSC最新!A:F""
    ),
    5,
    FALSE
  ),
  0
)
"),0.0)</f>
        <v>0</v>
      </c>
      <c r="J93" s="50" t="str">
        <f t="shared" ref="J93:K93" si="456">IFERROR(F93/H93,"-")</f>
        <v>-</v>
      </c>
      <c r="K93" s="50" t="str">
        <f t="shared" si="456"/>
        <v>-</v>
      </c>
      <c r="L93" s="6">
        <f>IFERROR(__xludf.DUMMYFUNCTION("IFERROR(
  VLOOKUP(
    A93,
    IMPORTRANGE(
      ""1ZHMy3vVUd_0MrSduXTe1etBb1HNpAlGwQr006ljwMiM"",
      ""GSC最新!A:R""
    ),
    7,
    FALSE
  ),
  0
)
"),1.0)</f>
        <v>1</v>
      </c>
      <c r="M93" s="6">
        <f>IFERROR(__xludf.DUMMYFUNCTION("IFERROR(
  VLOOKUP(
    A93,
    IMPORTRANGE(
      ""1ZHMy3vVUd_0MrSduXTe1etBb1HNpAlGwQr006ljwMiM"",
      ""GSC最新!A:R""
    ),
    10,
    FALSE
  ),
  0
)
"),1.0)</f>
        <v>1</v>
      </c>
      <c r="N93" s="6">
        <f>IFERROR(__xludf.DUMMYFUNCTION("IFERROR(
  VLOOKUP(
    A93,
    IMPORTRANGE(
      ""1ZHMy3vVUd_0MrSduXTe1etBb1HNpAlGwQr006ljwMiM"",
      ""GSC最新!A:R""
    ),
    13,
    FALSE
  ),
  0
)
"),0.0)</f>
        <v>0</v>
      </c>
      <c r="O93" s="6">
        <f>IFERROR(__xludf.DUMMYFUNCTION("IFERROR(
  VLOOKUP(
    A93,
    IMPORTRANGE(
      ""1ZHMy3vVUd_0MrSduXTe1etBb1HNpAlGwQr006ljwMiM"",
      ""GSC最新!A:R""
    ),
    16,
    FALSE
  ),
  0
)
"),33.0)</f>
        <v>33</v>
      </c>
      <c r="P93" s="51" t="str">
        <f t="shared" ref="P93:Q93" si="457">IFERROR(L93/N93,"-")</f>
        <v>-</v>
      </c>
      <c r="Q93" s="51">
        <f t="shared" si="457"/>
        <v>0.0303030303</v>
      </c>
      <c r="R93" s="9">
        <f>IFERROR(__xludf.DUMMYFUNCTION("IFERROR(
  VLOOKUP(
    A93,
    IMPORTRANGE(
      ""1ZHMy3vVUd_0MrSduXTe1etBb1HNpAlGwQr006ljwMiM"",
      ""GSC最新!A:R""
    ),
    8,
    FALSE
  ),
  0
)
"),0.0)</f>
        <v>0</v>
      </c>
      <c r="S93" s="9">
        <f>IFERROR(__xludf.DUMMYFUNCTION("IFERROR(
  VLOOKUP(
    A93,
    IMPORTRANGE(
      ""1ZHMy3vVUd_0MrSduXTe1etBb1HNpAlGwQr006ljwMiM"",
      ""GSC最新!A:R""
    ),
    11,
    FALSE
  ),
  0
)
"),0.0)</f>
        <v>0</v>
      </c>
      <c r="T93" s="9">
        <f>IFERROR(__xludf.DUMMYFUNCTION("IFERROR(
  VLOOKUP(
    A93,
    IMPORTRANGE(
      ""1ZHMy3vVUd_0MrSduXTe1etBb1HNpAlGwQr006ljwMiM"",
      ""GSC最新!A:R""
    ),
    14,
    FALSE
  ),
  0
)
"),0.0)</f>
        <v>0</v>
      </c>
      <c r="U93" s="9">
        <f>IFERROR(__xludf.DUMMYFUNCTION("IFERROR(
  VLOOKUP(
    A93,
    IMPORTRANGE(
      ""1ZHMy3vVUd_0MrSduXTe1etBb1HNpAlGwQr006ljwMiM"",
      ""GSC最新!A:R""
    ),
    17,
    FALSE
  ),
  0
)
"),0.0)</f>
        <v>0</v>
      </c>
      <c r="V93" s="9">
        <f t="shared" ref="V93:W93" si="458">IFERROR(R93-T93,"-")</f>
        <v>0</v>
      </c>
      <c r="W93" s="9">
        <f t="shared" si="458"/>
        <v>0</v>
      </c>
      <c r="X93" s="65">
        <f>IFERROR(__xludf.DUMMYFUNCTION("IFERROR(
  VLOOKUP(
    A93,
    IMPORTRANGE(
      ""1ZHMy3vVUd_0MrSduXTe1etBb1HNpAlGwQr006ljwMiM"",
      ""GSC最新!A:R""
    ),
    9,
    FALSE
  ),
  0
)
"),6.0)</f>
        <v>6</v>
      </c>
      <c r="Y93" s="65">
        <f>IFERROR(__xludf.DUMMYFUNCTION("IFERROR(
  VLOOKUP(
    A93,
    IMPORTRANGE(
      ""1ZHMy3vVUd_0MrSduXTe1etBb1HNpAlGwQr006ljwMiM"",
      ""GSC最新!A:R""
    ),
    12,
    FALSE
  ),
  0
)
"),6.0)</f>
        <v>6</v>
      </c>
      <c r="Z93" s="65" t="str">
        <f>IFERROR(__xludf.DUMMYFUNCTION("IFERROR(
  VLOOKUP(
    A93,
    IMPORTRANGE(
      ""1ZHMy3vVUd_0MrSduXTe1etBb1HNpAlGwQr006ljwMiM"",
      ""GSC最新!A:R""
    ),
    15,
    FALSE
  ),
  0
)
"),"")</f>
        <v/>
      </c>
      <c r="AA93" s="65">
        <f>IFERROR(__xludf.DUMMYFUNCTION("IFERROR(
  VLOOKUP(
    A93,
    IMPORTRANGE(
      ""1ZHMy3vVUd_0MrSduXTe1etBb1HNpAlGwQr006ljwMiM"",
      ""GSC最新!A:R""
    ),
    18,
    FALSE
  ),
  0
)
"),79.18181818181819)</f>
        <v>79.18181818</v>
      </c>
      <c r="AB93" s="65">
        <f t="shared" ref="AB93:AC93" si="459">X93-Z93</f>
        <v>6</v>
      </c>
      <c r="AC93" s="65">
        <f t="shared" si="459"/>
        <v>-73.18181818</v>
      </c>
      <c r="AD93" s="53">
        <f>IFERROR(__xludf.DUMMYFUNCTION("IFERROR(
  VLOOKUP(
    A93,
    IMPORTRANGE(
      ""1ZHMy3vVUd_0MrSduXTe1etBb1HNpAlGwQr006ljwMiM"",
      ""GSC最新!A:F""
    ),
    6,
    FALSE
  ),
  0
)
"),46081.0)</f>
        <v>46081</v>
      </c>
      <c r="AE93" s="54">
        <f>IFERROR(__xludf.DUMMYFUNCTION("IFERROR(
  VLOOKUP(
    A93,
    IMPORTRANGE(
      ""1SCYQd7_cobOYqT0r_F0IqD4tE4rYn5y8Eup4PJTH8es"",
      ""Snapshot!A:M""
    ),
    5,
    FALSE
  ),
  ""-""
)
"),0.0)</f>
        <v>0</v>
      </c>
      <c r="AF93" s="54">
        <f>IFERROR(__xludf.DUMMYFUNCTION("IFERROR(
  VLOOKUP(
    A93,
    IMPORTRANGE(
      ""1SCYQd7_cobOYqT0r_F0IqD4tE4rYn5y8Eup4PJTH8es"",
      ""Snapshot!A:M""
    ),
    6,
    FALSE
  ),
  0
)
"),0.0)</f>
        <v>0</v>
      </c>
      <c r="AG93" s="54">
        <f>IFERROR(__xludf.DUMMYFUNCTION("IFERROR(
  VLOOKUP(
    A93,
    IMPORTRANGE(
      ""1SCYQd7_cobOYqT0r_F0IqD4tE4rYn5y8Eup4PJTH8es"",
      ""Snapshot!A:M""
    ),
    7,
    FALSE
  ),
  0
)
"),821.0)</f>
        <v>821</v>
      </c>
      <c r="AH93" s="54">
        <f>IFERROR(__xludf.DUMMYFUNCTION("IFERROR(
  VLOOKUP(
    A93,
    IMPORTRANGE(
      ""1SCYQd7_cobOYqT0r_F0IqD4tE4rYn5y8Eup4PJTH8es"",
      ""Snapshot!A:M""
    ),
    8,
    FALSE
  ),
  0
)
"),1.0)</f>
        <v>1</v>
      </c>
      <c r="AI93" s="54">
        <f>IFERROR(__xludf.DUMMYFUNCTION("IFERROR(
  VLOOKUP(
    A93,
    IMPORTRANGE(
      ""1SCYQd7_cobOYqT0r_F0IqD4tE4rYn5y8Eup4PJTH8es"",
      ""Snapshot!A:M""
    ),
    9,
    FALSE
  ),
  0
)
"),1.0)</f>
        <v>1</v>
      </c>
      <c r="AJ93" s="54">
        <f>IFERROR(__xludf.DUMMYFUNCTION("IFERROR(
  VLOOKUP(
    A93,
    IMPORTRANGE(
      ""1SCYQd7_cobOYqT0r_F0IqD4tE4rYn5y8Eup4PJTH8es"",
      ""Snapshot!A:M""
    ),
    13,
    FALSE
  ),
  0
)
"),2.0)</f>
        <v>2</v>
      </c>
      <c r="AK93" s="49">
        <f t="shared" ref="AK93:AL93" si="460">LEN(C93)</f>
        <v>58</v>
      </c>
      <c r="AL93" s="49">
        <f t="shared" si="460"/>
        <v>55</v>
      </c>
    </row>
    <row r="94">
      <c r="A94" s="3" t="s">
        <v>779</v>
      </c>
      <c r="B94" s="1" t="str">
        <f>IFERROR(__xludf.DUMMYFUNCTION("IFERROR(
  VLOOKUP(
    A94,
    IMPORTRANGE(
      ""1ZygntHC1J6IxzKbTidmOyf5nUyW4GCLurHCjexrLm_o"",
      ""HTMLキャッシュ!A:F""
    ),
    2,
    FALSE
  ),
  0
)
"),"MC")</f>
        <v>MC</v>
      </c>
      <c r="C94" s="1" t="str">
        <f>IFERROR(__xludf.DUMMYFUNCTION("IFERROR(
  VLOOKUP(
    A94,
    IMPORTRANGE(
      ""1ZygntHC1J6IxzKbTidmOyf5nUyW4GCLurHCjexrLm_o"",
      ""HTMLキャッシュ!A:F""
    ),
    5,
    FALSE
  ),
  0
)
"),"2020年問題について - 中高一貫校専門塾エスコット(Escot)～定期試験対策から大学受験指導まで～")</f>
        <v>2020年問題について - 中高一貫校専門塾エスコット(Escot)～定期試験対策から大学受験指導まで～</v>
      </c>
      <c r="D94" s="1" t="str">
        <f>IFERROR(__xludf.DUMMYFUNCTION("IFERROR(
  VLOOKUP(
    A94,
    IMPORTRANGE(
      ""1ZygntHC1J6IxzKbTidmOyf5nUyW4GCLurHCjexrLm_o        "",
      ""HTMLキャッシュ!A:F""
    ),
    6,
    FALSE
  ),
  0
)
"),"Coming Soon...")</f>
        <v>Coming Soon...</v>
      </c>
      <c r="E94" s="32">
        <f>IFERROR(__xludf.DUMMYFUNCTION("IFERROR(
  VLOOKUP(
    A94,
    IMPORTRANGE(
      ""1ZygntHC1J6IxzKbTidmOyf5nUyW4GCLurHCjexrLm_o        "",
      ""HTMLキャッシュ!A:F""
    ),
    3,
    FALSE
  ),
  0
)
"),43542.68682870371)</f>
        <v>43542.68683</v>
      </c>
      <c r="F94" s="49">
        <f>IFERROR(__xludf.DUMMYFUNCTION("IFERROR(
  VLOOKUP(
    A94,
    IMPORTRANGE(
      ""1ZHMy3vVUd_0MrSduXTe1etBb1HNpAlGwQr006ljwMiM"",
      ""GSC最新!A:F""
    ),
    2,
    FALSE
  ),
  0
)
"),0.0)</f>
        <v>0</v>
      </c>
      <c r="G94" s="49">
        <f>IFERROR(__xludf.DUMMYFUNCTION("IFERROR(
  VLOOKUP(
    A94,
    IMPORTRANGE(
      ""1ZHMy3vVUd_0MrSduXTe1etBb1HNpAlGwQr006ljwMiM"",
      ""GSC最新!A:F""
    ),
    3,
    FALSE
  ),
  0
)
"),0.0)</f>
        <v>0</v>
      </c>
      <c r="H94" s="49">
        <f>IFERROR(__xludf.DUMMYFUNCTION("IFERROR(
  VLOOKUP(
    A94,
    IMPORTRANGE(
      ""1ZHMy3vVUd_0MrSduXTe1etBb1HNpAlGwQr006ljwMiM"",
      ""GSC最新!A:F""
    ),
    4,
    FALSE
  ),
  0
)
"),0.0)</f>
        <v>0</v>
      </c>
      <c r="I94" s="49">
        <f>IFERROR(__xludf.DUMMYFUNCTION("IFERROR(
  VLOOKUP(
    A94,
    IMPORTRANGE(
      ""1ZHMy3vVUd_0MrSduXTe1etBb1HNpAlGwQr006ljwMiM"",
      ""GSC最新!A:F""
    ),
    5,
    FALSE
  ),
  0
)
"),0.0)</f>
        <v>0</v>
      </c>
      <c r="J94" s="50" t="str">
        <f t="shared" ref="J94:K94" si="461">IFERROR(F94/H94,"-")</f>
        <v>-</v>
      </c>
      <c r="K94" s="50" t="str">
        <f t="shared" si="461"/>
        <v>-</v>
      </c>
      <c r="L94" s="6">
        <f>IFERROR(__xludf.DUMMYFUNCTION("IFERROR(
  VLOOKUP(
    A94,
    IMPORTRANGE(
      ""1ZHMy3vVUd_0MrSduXTe1etBb1HNpAlGwQr006ljwMiM"",
      ""GSC最新!A:R""
    ),
    7,
    FALSE
  ),
  0
)
"),0.0)</f>
        <v>0</v>
      </c>
      <c r="M94" s="6">
        <f>IFERROR(__xludf.DUMMYFUNCTION("IFERROR(
  VLOOKUP(
    A94,
    IMPORTRANGE(
      ""1ZHMy3vVUd_0MrSduXTe1etBb1HNpAlGwQr006ljwMiM"",
      ""GSC最新!A:R""
    ),
    10,
    FALSE
  ),
  0
)
"),0.0)</f>
        <v>0</v>
      </c>
      <c r="N94" s="6">
        <f>IFERROR(__xludf.DUMMYFUNCTION("IFERROR(
  VLOOKUP(
    A94,
    IMPORTRANGE(
      ""1ZHMy3vVUd_0MrSduXTe1etBb1HNpAlGwQr006ljwMiM"",
      ""GSC最新!A:R""
    ),
    13,
    FALSE
  ),
  0
)
"),0.0)</f>
        <v>0</v>
      </c>
      <c r="O94" s="6">
        <f>IFERROR(__xludf.DUMMYFUNCTION("IFERROR(
  VLOOKUP(
    A94,
    IMPORTRANGE(
      ""1ZHMy3vVUd_0MrSduXTe1etBb1HNpAlGwQr006ljwMiM"",
      ""GSC最新!A:R""
    ),
    16,
    FALSE
  ),
  0
)
"),0.0)</f>
        <v>0</v>
      </c>
      <c r="P94" s="51" t="str">
        <f t="shared" ref="P94:Q94" si="462">IFERROR(L94/N94,"-")</f>
        <v>-</v>
      </c>
      <c r="Q94" s="51" t="str">
        <f t="shared" si="462"/>
        <v>-</v>
      </c>
      <c r="R94" s="9">
        <f>IFERROR(__xludf.DUMMYFUNCTION("IFERROR(
  VLOOKUP(
    A94,
    IMPORTRANGE(
      ""1ZHMy3vVUd_0MrSduXTe1etBb1HNpAlGwQr006ljwMiM"",
      ""GSC最新!A:R""
    ),
    8,
    FALSE
  ),
  0
)
"),0.0)</f>
        <v>0</v>
      </c>
      <c r="S94" s="9">
        <f>IFERROR(__xludf.DUMMYFUNCTION("IFERROR(
  VLOOKUP(
    A94,
    IMPORTRANGE(
      ""1ZHMy3vVUd_0MrSduXTe1etBb1HNpAlGwQr006ljwMiM"",
      ""GSC最新!A:R""
    ),
    11,
    FALSE
  ),
  0
)
"),0.0)</f>
        <v>0</v>
      </c>
      <c r="T94" s="9">
        <f>IFERROR(__xludf.DUMMYFUNCTION("IFERROR(
  VLOOKUP(
    A94,
    IMPORTRANGE(
      ""1ZHMy3vVUd_0MrSduXTe1etBb1HNpAlGwQr006ljwMiM"",
      ""GSC最新!A:R""
    ),
    14,
    FALSE
  ),
  0
)
"),0.0)</f>
        <v>0</v>
      </c>
      <c r="U94" s="9">
        <f>IFERROR(__xludf.DUMMYFUNCTION("IFERROR(
  VLOOKUP(
    A94,
    IMPORTRANGE(
      ""1ZHMy3vVUd_0MrSduXTe1etBb1HNpAlGwQr006ljwMiM"",
      ""GSC最新!A:R""
    ),
    17,
    FALSE
  ),
  0
)
"),0.0)</f>
        <v>0</v>
      </c>
      <c r="V94" s="9">
        <f t="shared" ref="V94:W94" si="463">IFERROR(R94-T94,"-")</f>
        <v>0</v>
      </c>
      <c r="W94" s="9">
        <f t="shared" si="463"/>
        <v>0</v>
      </c>
      <c r="X94" s="65" t="str">
        <f>IFERROR(__xludf.DUMMYFUNCTION("IFERROR(
  VLOOKUP(
    A94,
    IMPORTRANGE(
      ""1ZHMy3vVUd_0MrSduXTe1etBb1HNpAlGwQr006ljwMiM"",
      ""GSC最新!A:R""
    ),
    9,
    FALSE
  ),
  0
)
"),"")</f>
        <v/>
      </c>
      <c r="Y94" s="65" t="str">
        <f>IFERROR(__xludf.DUMMYFUNCTION("IFERROR(
  VLOOKUP(
    A94,
    IMPORTRANGE(
      ""1ZHMy3vVUd_0MrSduXTe1etBb1HNpAlGwQr006ljwMiM"",
      ""GSC最新!A:R""
    ),
    12,
    FALSE
  ),
  0
)
"),"")</f>
        <v/>
      </c>
      <c r="Z94" s="65" t="str">
        <f>IFERROR(__xludf.DUMMYFUNCTION("IFERROR(
  VLOOKUP(
    A94,
    IMPORTRANGE(
      ""1ZHMy3vVUd_0MrSduXTe1etBb1HNpAlGwQr006ljwMiM"",
      ""GSC最新!A:R""
    ),
    15,
    FALSE
  ),
  0
)
"),"")</f>
        <v/>
      </c>
      <c r="AA94" s="65" t="str">
        <f>IFERROR(__xludf.DUMMYFUNCTION("IFERROR(
  VLOOKUP(
    A94,
    IMPORTRANGE(
      ""1ZHMy3vVUd_0MrSduXTe1etBb1HNpAlGwQr006ljwMiM"",
      ""GSC最新!A:R""
    ),
    18,
    FALSE
  ),
  0
)
"),"")</f>
        <v/>
      </c>
      <c r="AB94" s="65">
        <f t="shared" ref="AB94:AC94" si="464">X94-Z94</f>
        <v>0</v>
      </c>
      <c r="AC94" s="65">
        <f t="shared" si="464"/>
        <v>0</v>
      </c>
      <c r="AD94" s="53">
        <f>IFERROR(__xludf.DUMMYFUNCTION("IFERROR(
  VLOOKUP(
    A94,
    IMPORTRANGE(
      ""1ZHMy3vVUd_0MrSduXTe1etBb1HNpAlGwQr006ljwMiM"",
      ""GSC最新!A:F""
    ),
    6,
    FALSE
  ),
  0
)
"),46081.0)</f>
        <v>46081</v>
      </c>
      <c r="AE94" s="54">
        <f>IFERROR(__xludf.DUMMYFUNCTION("IFERROR(
  VLOOKUP(
    A94,
    IMPORTRANGE(
      ""1SCYQd7_cobOYqT0r_F0IqD4tE4rYn5y8Eup4PJTH8es"",
      ""Snapshot!A:M""
    ),
    5,
    FALSE
  ),
  ""-""
)
"),0.0)</f>
        <v>0</v>
      </c>
      <c r="AF94" s="54">
        <f>IFERROR(__xludf.DUMMYFUNCTION("IFERROR(
  VLOOKUP(
    A94,
    IMPORTRANGE(
      ""1SCYQd7_cobOYqT0r_F0IqD4tE4rYn5y8Eup4PJTH8es"",
      ""Snapshot!A:M""
    ),
    6,
    FALSE
  ),
  0
)
"),0.0)</f>
        <v>0</v>
      </c>
      <c r="AG94" s="54">
        <f>IFERROR(__xludf.DUMMYFUNCTION("IFERROR(
  VLOOKUP(
    A94,
    IMPORTRANGE(
      ""1SCYQd7_cobOYqT0r_F0IqD4tE4rYn5y8Eup4PJTH8es"",
      ""Snapshot!A:M""
    ),
    7,
    FALSE
  ),
  0
)
"),14.0)</f>
        <v>14</v>
      </c>
      <c r="AH94" s="54">
        <f>IFERROR(__xludf.DUMMYFUNCTION("IFERROR(
  VLOOKUP(
    A94,
    IMPORTRANGE(
      ""1SCYQd7_cobOYqT0r_F0IqD4tE4rYn5y8Eup4PJTH8es"",
      ""Snapshot!A:M""
    ),
    8,
    FALSE
  ),
  0
)
"),0.0)</f>
        <v>0</v>
      </c>
      <c r="AI94" s="54">
        <f>IFERROR(__xludf.DUMMYFUNCTION("IFERROR(
  VLOOKUP(
    A94,
    IMPORTRANGE(
      ""1SCYQd7_cobOYqT0r_F0IqD4tE4rYn5y8Eup4PJTH8es"",
      ""Snapshot!A:M""
    ),
    9,
    FALSE
  ),
  0
)
"),1.0)</f>
        <v>1</v>
      </c>
      <c r="AJ94" s="54">
        <f>IFERROR(__xludf.DUMMYFUNCTION("IFERROR(
  VLOOKUP(
    A94,
    IMPORTRANGE(
      ""1SCYQd7_cobOYqT0r_F0IqD4tE4rYn5y8Eup4PJTH8es"",
      ""Snapshot!A:M""
    ),
    13,
    FALSE
  ),
  0
)
"),1.0)</f>
        <v>1</v>
      </c>
      <c r="AK94" s="49">
        <f t="shared" ref="AK94:AL94" si="465">LEN(C94)</f>
        <v>52</v>
      </c>
      <c r="AL94" s="49">
        <f t="shared" si="465"/>
        <v>14</v>
      </c>
    </row>
    <row r="95">
      <c r="A95" s="3" t="s">
        <v>780</v>
      </c>
      <c r="B95" s="1" t="str">
        <f>IFERROR(__xludf.DUMMYFUNCTION("IFERROR(
  VLOOKUP(
    A95,
    IMPORTRANGE(
      ""1ZygntHC1J6IxzKbTidmOyf5nUyW4GCLurHCjexrLm_o"",
      ""HTMLキャッシュ!A:F""
    ),
    2,
    FALSE
  ),
  0
)
"),"ST")</f>
        <v>ST</v>
      </c>
      <c r="C95" s="1" t="str">
        <f>IFERROR(__xludf.DUMMYFUNCTION("IFERROR(
  VLOOKUP(
    A95,
    IMPORTRANGE(
      ""1ZygntHC1J6IxzKbTidmOyf5nUyW4GCLurHCjexrLm_o"",
      ""HTMLキャッシュ!A:F""
    ),
    5,
    FALSE
  ),
  0
)
"),"時間割 - 中高一貫校専門塾エスコット(Escot)～定期試験対策から大学受験指導まで～")</f>
        <v>時間割 - 中高一貫校専門塾エスコット(Escot)～定期試験対策から大学受験指導まで～</v>
      </c>
      <c r="D95" s="1" t="str">
        <f>IFERROR(__xludf.DUMMYFUNCTION("IFERROR(
  VLOOKUP(
    A95,
    IMPORTRANGE(
      ""1ZygntHC1J6IxzKbTidmOyf5nUyW4GCLurHCjexrLm_o        "",
      ""HTMLキャッシュ!A:F""
    ),
    6,
    FALSE
  ),
  0
)
"),"英語の時間割 曜日・時間帯ごとの大まかな空き状況はコチラです。 ※実際は細かな変動がございます。")</f>
        <v>英語の時間割 曜日・時間帯ごとの大まかな空き状況はコチラです。 ※実際は細かな変動がございます。</v>
      </c>
      <c r="E95" s="32">
        <f>IFERROR(__xludf.DUMMYFUNCTION("IFERROR(
  VLOOKUP(
    A95,
    IMPORTRANGE(
      ""1ZygntHC1J6IxzKbTidmOyf5nUyW4GCLurHCjexrLm_o        "",
      ""HTMLキャッシュ!A:F""
    ),
    3,
    FALSE
  ),
  0
)
"),43592.65167824074)</f>
        <v>43592.65168</v>
      </c>
      <c r="F95" s="49">
        <f>IFERROR(__xludf.DUMMYFUNCTION("IFERROR(
  VLOOKUP(
    A95,
    IMPORTRANGE(
      ""1ZHMy3vVUd_0MrSduXTe1etBb1HNpAlGwQr006ljwMiM"",
      ""GSC最新!A:F""
    ),
    2,
    FALSE
  ),
  0
)
"),0.0)</f>
        <v>0</v>
      </c>
      <c r="G95" s="49">
        <f>IFERROR(__xludf.DUMMYFUNCTION("IFERROR(
  VLOOKUP(
    A95,
    IMPORTRANGE(
      ""1ZHMy3vVUd_0MrSduXTe1etBb1HNpAlGwQr006ljwMiM"",
      ""GSC最新!A:F""
    ),
    3,
    FALSE
  ),
  0
)
"),0.0)</f>
        <v>0</v>
      </c>
      <c r="H95" s="49">
        <f>IFERROR(__xludf.DUMMYFUNCTION("IFERROR(
  VLOOKUP(
    A95,
    IMPORTRANGE(
      ""1ZHMy3vVUd_0MrSduXTe1etBb1HNpAlGwQr006ljwMiM"",
      ""GSC最新!A:F""
    ),
    4,
    FALSE
  ),
  0
)
"),0.0)</f>
        <v>0</v>
      </c>
      <c r="I95" s="49">
        <f>IFERROR(__xludf.DUMMYFUNCTION("IFERROR(
  VLOOKUP(
    A95,
    IMPORTRANGE(
      ""1ZHMy3vVUd_0MrSduXTe1etBb1HNpAlGwQr006ljwMiM"",
      ""GSC最新!A:F""
    ),
    5,
    FALSE
  ),
  0
)
"),0.0)</f>
        <v>0</v>
      </c>
      <c r="J95" s="50" t="str">
        <f t="shared" ref="J95:K95" si="466">IFERROR(F95/H95,"-")</f>
        <v>-</v>
      </c>
      <c r="K95" s="50" t="str">
        <f t="shared" si="466"/>
        <v>-</v>
      </c>
      <c r="L95" s="6">
        <f>IFERROR(__xludf.DUMMYFUNCTION("IFERROR(
  VLOOKUP(
    A95,
    IMPORTRANGE(
      ""1ZHMy3vVUd_0MrSduXTe1etBb1HNpAlGwQr006ljwMiM"",
      ""GSC最新!A:R""
    ),
    7,
    FALSE
  ),
  0
)
"),0.0)</f>
        <v>0</v>
      </c>
      <c r="M95" s="6">
        <f>IFERROR(__xludf.DUMMYFUNCTION("IFERROR(
  VLOOKUP(
    A95,
    IMPORTRANGE(
      ""1ZHMy3vVUd_0MrSduXTe1etBb1HNpAlGwQr006ljwMiM"",
      ""GSC最新!A:R""
    ),
    10,
    FALSE
  ),
  0
)
"),0.0)</f>
        <v>0</v>
      </c>
      <c r="N95" s="6">
        <f>IFERROR(__xludf.DUMMYFUNCTION("IFERROR(
  VLOOKUP(
    A95,
    IMPORTRANGE(
      ""1ZHMy3vVUd_0MrSduXTe1etBb1HNpAlGwQr006ljwMiM"",
      ""GSC最新!A:R""
    ),
    13,
    FALSE
  ),
  0
)
"),0.0)</f>
        <v>0</v>
      </c>
      <c r="O95" s="6">
        <f>IFERROR(__xludf.DUMMYFUNCTION("IFERROR(
  VLOOKUP(
    A95,
    IMPORTRANGE(
      ""1ZHMy3vVUd_0MrSduXTe1etBb1HNpAlGwQr006ljwMiM"",
      ""GSC最新!A:R""
    ),
    16,
    FALSE
  ),
  0
)
"),0.0)</f>
        <v>0</v>
      </c>
      <c r="P95" s="51" t="str">
        <f t="shared" ref="P95:Q95" si="467">IFERROR(L95/N95,"-")</f>
        <v>-</v>
      </c>
      <c r="Q95" s="51" t="str">
        <f t="shared" si="467"/>
        <v>-</v>
      </c>
      <c r="R95" s="9">
        <f>IFERROR(__xludf.DUMMYFUNCTION("IFERROR(
  VLOOKUP(
    A95,
    IMPORTRANGE(
      ""1ZHMy3vVUd_0MrSduXTe1etBb1HNpAlGwQr006ljwMiM"",
      ""GSC最新!A:R""
    ),
    8,
    FALSE
  ),
  0
)
"),0.0)</f>
        <v>0</v>
      </c>
      <c r="S95" s="9">
        <f>IFERROR(__xludf.DUMMYFUNCTION("IFERROR(
  VLOOKUP(
    A95,
    IMPORTRANGE(
      ""1ZHMy3vVUd_0MrSduXTe1etBb1HNpAlGwQr006ljwMiM"",
      ""GSC最新!A:R""
    ),
    11,
    FALSE
  ),
  0
)
"),0.0)</f>
        <v>0</v>
      </c>
      <c r="T95" s="9">
        <f>IFERROR(__xludf.DUMMYFUNCTION("IFERROR(
  VLOOKUP(
    A95,
    IMPORTRANGE(
      ""1ZHMy3vVUd_0MrSduXTe1etBb1HNpAlGwQr006ljwMiM"",
      ""GSC最新!A:R""
    ),
    14,
    FALSE
  ),
  0
)
"),0.0)</f>
        <v>0</v>
      </c>
      <c r="U95" s="9">
        <f>IFERROR(__xludf.DUMMYFUNCTION("IFERROR(
  VLOOKUP(
    A95,
    IMPORTRANGE(
      ""1ZHMy3vVUd_0MrSduXTe1etBb1HNpAlGwQr006ljwMiM"",
      ""GSC最新!A:R""
    ),
    17,
    FALSE
  ),
  0
)
"),0.0)</f>
        <v>0</v>
      </c>
      <c r="V95" s="9">
        <f t="shared" ref="V95:W95" si="468">IFERROR(R95-T95,"-")</f>
        <v>0</v>
      </c>
      <c r="W95" s="9">
        <f t="shared" si="468"/>
        <v>0</v>
      </c>
      <c r="X95" s="65" t="str">
        <f>IFERROR(__xludf.DUMMYFUNCTION("IFERROR(
  VLOOKUP(
    A95,
    IMPORTRANGE(
      ""1ZHMy3vVUd_0MrSduXTe1etBb1HNpAlGwQr006ljwMiM"",
      ""GSC最新!A:R""
    ),
    9,
    FALSE
  ),
  0
)
"),"")</f>
        <v/>
      </c>
      <c r="Y95" s="65" t="str">
        <f>IFERROR(__xludf.DUMMYFUNCTION("IFERROR(
  VLOOKUP(
    A95,
    IMPORTRANGE(
      ""1ZHMy3vVUd_0MrSduXTe1etBb1HNpAlGwQr006ljwMiM"",
      ""GSC最新!A:R""
    ),
    12,
    FALSE
  ),
  0
)
"),"")</f>
        <v/>
      </c>
      <c r="Z95" s="65" t="str">
        <f>IFERROR(__xludf.DUMMYFUNCTION("IFERROR(
  VLOOKUP(
    A95,
    IMPORTRANGE(
      ""1ZHMy3vVUd_0MrSduXTe1etBb1HNpAlGwQr006ljwMiM"",
      ""GSC最新!A:R""
    ),
    15,
    FALSE
  ),
  0
)
"),"")</f>
        <v/>
      </c>
      <c r="AA95" s="65" t="str">
        <f>IFERROR(__xludf.DUMMYFUNCTION("IFERROR(
  VLOOKUP(
    A95,
    IMPORTRANGE(
      ""1ZHMy3vVUd_0MrSduXTe1etBb1HNpAlGwQr006ljwMiM"",
      ""GSC最新!A:R""
    ),
    18,
    FALSE
  ),
  0
)
"),"")</f>
        <v/>
      </c>
      <c r="AB95" s="65">
        <f t="shared" ref="AB95:AC95" si="469">X95-Z95</f>
        <v>0</v>
      </c>
      <c r="AC95" s="65">
        <f t="shared" si="469"/>
        <v>0</v>
      </c>
      <c r="AD95" s="53">
        <f>IFERROR(__xludf.DUMMYFUNCTION("IFERROR(
  VLOOKUP(
    A95,
    IMPORTRANGE(
      ""1ZHMy3vVUd_0MrSduXTe1etBb1HNpAlGwQr006ljwMiM"",
      ""GSC最新!A:F""
    ),
    6,
    FALSE
  ),
  0
)
"),46081.0)</f>
        <v>46081</v>
      </c>
      <c r="AE95" s="54">
        <f>IFERROR(__xludf.DUMMYFUNCTION("IFERROR(
  VLOOKUP(
    A95,
    IMPORTRANGE(
      ""1SCYQd7_cobOYqT0r_F0IqD4tE4rYn5y8Eup4PJTH8es"",
      ""Snapshot!A:M""
    ),
    5,
    FALSE
  ),
  ""-""
)
"),3.0)</f>
        <v>3</v>
      </c>
      <c r="AF95" s="54">
        <f>IFERROR(__xludf.DUMMYFUNCTION("IFERROR(
  VLOOKUP(
    A95,
    IMPORTRANGE(
      ""1SCYQd7_cobOYqT0r_F0IqD4tE4rYn5y8Eup4PJTH8es"",
      ""Snapshot!A:M""
    ),
    6,
    FALSE
  ),
  0
)
"),0.0)</f>
        <v>0</v>
      </c>
      <c r="AG95" s="54">
        <f>IFERROR(__xludf.DUMMYFUNCTION("IFERROR(
  VLOOKUP(
    A95,
    IMPORTRANGE(
      ""1SCYQd7_cobOYqT0r_F0IqD4tE4rYn5y8Eup4PJTH8es"",
      ""Snapshot!A:M""
    ),
    7,
    FALSE
  ),
  0
)
"),146.0)</f>
        <v>146</v>
      </c>
      <c r="AH95" s="54">
        <f>IFERROR(__xludf.DUMMYFUNCTION("IFERROR(
  VLOOKUP(
    A95,
    IMPORTRANGE(
      ""1SCYQd7_cobOYqT0r_F0IqD4tE4rYn5y8Eup4PJTH8es"",
      ""Snapshot!A:M""
    ),
    8,
    FALSE
  ),
  0
)
"),1.0)</f>
        <v>1</v>
      </c>
      <c r="AI95" s="54">
        <f>IFERROR(__xludf.DUMMYFUNCTION("IFERROR(
  VLOOKUP(
    A95,
    IMPORTRANGE(
      ""1SCYQd7_cobOYqT0r_F0IqD4tE4rYn5y8Eup4PJTH8es"",
      ""Snapshot!A:M""
    ),
    9,
    FALSE
  ),
  0
)
"),1.0)</f>
        <v>1</v>
      </c>
      <c r="AJ95" s="54">
        <f>IFERROR(__xludf.DUMMYFUNCTION("IFERROR(
  VLOOKUP(
    A95,
    IMPORTRANGE(
      ""1SCYQd7_cobOYqT0r_F0IqD4tE4rYn5y8Eup4PJTH8es"",
      ""Snapshot!A:M""
    ),
    13,
    FALSE
  ),
  0
)
"),1.0)</f>
        <v>1</v>
      </c>
      <c r="AK95" s="49">
        <f t="shared" ref="AK95:AL95" si="470">LEN(C95)</f>
        <v>44</v>
      </c>
      <c r="AL95" s="49">
        <f t="shared" si="470"/>
        <v>48</v>
      </c>
    </row>
    <row r="96">
      <c r="A96" s="3" t="s">
        <v>781</v>
      </c>
      <c r="B96" s="1" t="str">
        <f>IFERROR(__xludf.DUMMYFUNCTION("IFERROR(
  VLOOKUP(
    A96,
    IMPORTRANGE(
      ""1ZygntHC1J6IxzKbTidmOyf5nUyW4GCLurHCjexrLm_o"",
      ""HTMLキャッシュ!A:F""
    ),
    2,
    FALSE
  ),
  0
)
"),"ST")</f>
        <v>ST</v>
      </c>
      <c r="C96" s="1" t="str">
        <f>IFERROR(__xludf.DUMMYFUNCTION("IFERROR(
  VLOOKUP(
    A96,
    IMPORTRANGE(
      ""1ZygntHC1J6IxzKbTidmOyf5nUyW4GCLurHCjexrLm_o"",
      ""HTMLキャッシュ!A:F""
    ),
    5,
    FALSE
  ),
  0
)
"),"時間割【英語】 - 中高一貫校専門塾エスコット(Escot)～定期試験対策から大学受験指導まで～")</f>
        <v>時間割【英語】 - 中高一貫校専門塾エスコット(Escot)～定期試験対策から大学受験指導まで～</v>
      </c>
      <c r="D96" s="1" t="str">
        <f>IFERROR(__xludf.DUMMYFUNCTION("IFERROR(
  VLOOKUP(
    A96,
    IMPORTRANGE(
      ""1ZygntHC1J6IxzKbTidmOyf5nUyW4GCLurHCjexrLm_o        "",
      ""HTMLキャッシュ!A:F""
    ),
    6,
    FALSE
  ),
  0
)
"),"時間割【英語】 〇：空き ×：予約済み 【月～金】１限 16:30～18:20 ，２限 18:40～20:30")</f>
        <v>時間割【英語】 〇：空き ×：予約済み 【月～金】１限 16:30～18:20 ，２限 18:40～20:30</v>
      </c>
      <c r="E96" s="32">
        <f>IFERROR(__xludf.DUMMYFUNCTION("IFERROR(
  VLOOKUP(
    A96,
    IMPORTRANGE(
      ""1ZygntHC1J6IxzKbTidmOyf5nUyW4GCLurHCjexrLm_o        "",
      ""HTMLキャッシュ!A:F""
    ),
    3,
    FALSE
  ),
  0
)
"),43598.842824074076)</f>
        <v>43598.84282</v>
      </c>
      <c r="F96" s="49">
        <f>IFERROR(__xludf.DUMMYFUNCTION("IFERROR(
  VLOOKUP(
    A96,
    IMPORTRANGE(
      ""1ZHMy3vVUd_0MrSduXTe1etBb1HNpAlGwQr006ljwMiM"",
      ""GSC最新!A:F""
    ),
    2,
    FALSE
  ),
  0
)
"),0.0)</f>
        <v>0</v>
      </c>
      <c r="G96" s="49">
        <f>IFERROR(__xludf.DUMMYFUNCTION("IFERROR(
  VLOOKUP(
    A96,
    IMPORTRANGE(
      ""1ZHMy3vVUd_0MrSduXTe1etBb1HNpAlGwQr006ljwMiM"",
      ""GSC最新!A:F""
    ),
    3,
    FALSE
  ),
  0
)
"),0.0)</f>
        <v>0</v>
      </c>
      <c r="H96" s="49">
        <f>IFERROR(__xludf.DUMMYFUNCTION("IFERROR(
  VLOOKUP(
    A96,
    IMPORTRANGE(
      ""1ZHMy3vVUd_0MrSduXTe1etBb1HNpAlGwQr006ljwMiM"",
      ""GSC最新!A:F""
    ),
    4,
    FALSE
  ),
  0
)
"),0.0)</f>
        <v>0</v>
      </c>
      <c r="I96" s="49">
        <f>IFERROR(__xludf.DUMMYFUNCTION("IFERROR(
  VLOOKUP(
    A96,
    IMPORTRANGE(
      ""1ZHMy3vVUd_0MrSduXTe1etBb1HNpAlGwQr006ljwMiM"",
      ""GSC最新!A:F""
    ),
    5,
    FALSE
  ),
  0
)
"),0.0)</f>
        <v>0</v>
      </c>
      <c r="J96" s="50" t="str">
        <f t="shared" ref="J96:K96" si="471">IFERROR(F96/H96,"-")</f>
        <v>-</v>
      </c>
      <c r="K96" s="50" t="str">
        <f t="shared" si="471"/>
        <v>-</v>
      </c>
      <c r="L96" s="6">
        <f>IFERROR(__xludf.DUMMYFUNCTION("IFERROR(
  VLOOKUP(
    A96,
    IMPORTRANGE(
      ""1ZHMy3vVUd_0MrSduXTe1etBb1HNpAlGwQr006ljwMiM"",
      ""GSC最新!A:R""
    ),
    7,
    FALSE
  ),
  0
)
"),0.0)</f>
        <v>0</v>
      </c>
      <c r="M96" s="6">
        <f>IFERROR(__xludf.DUMMYFUNCTION("IFERROR(
  VLOOKUP(
    A96,
    IMPORTRANGE(
      ""1ZHMy3vVUd_0MrSduXTe1etBb1HNpAlGwQr006ljwMiM"",
      ""GSC最新!A:R""
    ),
    10,
    FALSE
  ),
  0
)
"),0.0)</f>
        <v>0</v>
      </c>
      <c r="N96" s="6">
        <f>IFERROR(__xludf.DUMMYFUNCTION("IFERROR(
  VLOOKUP(
    A96,
    IMPORTRANGE(
      ""1ZHMy3vVUd_0MrSduXTe1etBb1HNpAlGwQr006ljwMiM"",
      ""GSC最新!A:R""
    ),
    13,
    FALSE
  ),
  0
)
"),0.0)</f>
        <v>0</v>
      </c>
      <c r="O96" s="6">
        <f>IFERROR(__xludf.DUMMYFUNCTION("IFERROR(
  VLOOKUP(
    A96,
    IMPORTRANGE(
      ""1ZHMy3vVUd_0MrSduXTe1etBb1HNpAlGwQr006ljwMiM"",
      ""GSC最新!A:R""
    ),
    16,
    FALSE
  ),
  0
)
"),0.0)</f>
        <v>0</v>
      </c>
      <c r="P96" s="51" t="str">
        <f t="shared" ref="P96:Q96" si="472">IFERROR(L96/N96,"-")</f>
        <v>-</v>
      </c>
      <c r="Q96" s="51" t="str">
        <f t="shared" si="472"/>
        <v>-</v>
      </c>
      <c r="R96" s="9">
        <f>IFERROR(__xludf.DUMMYFUNCTION("IFERROR(
  VLOOKUP(
    A96,
    IMPORTRANGE(
      ""1ZHMy3vVUd_0MrSduXTe1etBb1HNpAlGwQr006ljwMiM"",
      ""GSC最新!A:R""
    ),
    8,
    FALSE
  ),
  0
)
"),0.0)</f>
        <v>0</v>
      </c>
      <c r="S96" s="9">
        <f>IFERROR(__xludf.DUMMYFUNCTION("IFERROR(
  VLOOKUP(
    A96,
    IMPORTRANGE(
      ""1ZHMy3vVUd_0MrSduXTe1etBb1HNpAlGwQr006ljwMiM"",
      ""GSC最新!A:R""
    ),
    11,
    FALSE
  ),
  0
)
"),0.0)</f>
        <v>0</v>
      </c>
      <c r="T96" s="9">
        <f>IFERROR(__xludf.DUMMYFUNCTION("IFERROR(
  VLOOKUP(
    A96,
    IMPORTRANGE(
      ""1ZHMy3vVUd_0MrSduXTe1etBb1HNpAlGwQr006ljwMiM"",
      ""GSC最新!A:R""
    ),
    14,
    FALSE
  ),
  0
)
"),0.0)</f>
        <v>0</v>
      </c>
      <c r="U96" s="9">
        <f>IFERROR(__xludf.DUMMYFUNCTION("IFERROR(
  VLOOKUP(
    A96,
    IMPORTRANGE(
      ""1ZHMy3vVUd_0MrSduXTe1etBb1HNpAlGwQr006ljwMiM"",
      ""GSC最新!A:R""
    ),
    17,
    FALSE
  ),
  0
)
"),0.0)</f>
        <v>0</v>
      </c>
      <c r="V96" s="9">
        <f t="shared" ref="V96:W96" si="473">IFERROR(R96-T96,"-")</f>
        <v>0</v>
      </c>
      <c r="W96" s="9">
        <f t="shared" si="473"/>
        <v>0</v>
      </c>
      <c r="X96" s="65" t="str">
        <f>IFERROR(__xludf.DUMMYFUNCTION("IFERROR(
  VLOOKUP(
    A96,
    IMPORTRANGE(
      ""1ZHMy3vVUd_0MrSduXTe1etBb1HNpAlGwQr006ljwMiM"",
      ""GSC最新!A:R""
    ),
    9,
    FALSE
  ),
  0
)
"),"")</f>
        <v/>
      </c>
      <c r="Y96" s="65" t="str">
        <f>IFERROR(__xludf.DUMMYFUNCTION("IFERROR(
  VLOOKUP(
    A96,
    IMPORTRANGE(
      ""1ZHMy3vVUd_0MrSduXTe1etBb1HNpAlGwQr006ljwMiM"",
      ""GSC最新!A:R""
    ),
    12,
    FALSE
  ),
  0
)
"),"")</f>
        <v/>
      </c>
      <c r="Z96" s="65" t="str">
        <f>IFERROR(__xludf.DUMMYFUNCTION("IFERROR(
  VLOOKUP(
    A96,
    IMPORTRANGE(
      ""1ZHMy3vVUd_0MrSduXTe1etBb1HNpAlGwQr006ljwMiM"",
      ""GSC最新!A:R""
    ),
    15,
    FALSE
  ),
  0
)
"),"")</f>
        <v/>
      </c>
      <c r="AA96" s="65" t="str">
        <f>IFERROR(__xludf.DUMMYFUNCTION("IFERROR(
  VLOOKUP(
    A96,
    IMPORTRANGE(
      ""1ZHMy3vVUd_0MrSduXTe1etBb1HNpAlGwQr006ljwMiM"",
      ""GSC最新!A:R""
    ),
    18,
    FALSE
  ),
  0
)
"),"")</f>
        <v/>
      </c>
      <c r="AB96" s="65">
        <f t="shared" ref="AB96:AC96" si="474">X96-Z96</f>
        <v>0</v>
      </c>
      <c r="AC96" s="65">
        <f t="shared" si="474"/>
        <v>0</v>
      </c>
      <c r="AD96" s="53">
        <f>IFERROR(__xludf.DUMMYFUNCTION("IFERROR(
  VLOOKUP(
    A96,
    IMPORTRANGE(
      ""1ZHMy3vVUd_0MrSduXTe1etBb1HNpAlGwQr006ljwMiM"",
      ""GSC最新!A:F""
    ),
    6,
    FALSE
  ),
  0
)
"),46081.0)</f>
        <v>46081</v>
      </c>
      <c r="AE96" s="54">
        <f>IFERROR(__xludf.DUMMYFUNCTION("IFERROR(
  VLOOKUP(
    A96,
    IMPORTRANGE(
      ""1SCYQd7_cobOYqT0r_F0IqD4tE4rYn5y8Eup4PJTH8es"",
      ""Snapshot!A:M""
    ),
    5,
    FALSE
  ),
  ""-""
)
"),1.0)</f>
        <v>1</v>
      </c>
      <c r="AF96" s="54">
        <f>IFERROR(__xludf.DUMMYFUNCTION("IFERROR(
  VLOOKUP(
    A96,
    IMPORTRANGE(
      ""1SCYQd7_cobOYqT0r_F0IqD4tE4rYn5y8Eup4PJTH8es"",
      ""Snapshot!A:M""
    ),
    6,
    FALSE
  ),
  0
)
"),0.0)</f>
        <v>0</v>
      </c>
      <c r="AG96" s="54">
        <f>IFERROR(__xludf.DUMMYFUNCTION("IFERROR(
  VLOOKUP(
    A96,
    IMPORTRANGE(
      ""1SCYQd7_cobOYqT0r_F0IqD4tE4rYn5y8Eup4PJTH8es"",
      ""Snapshot!A:M""
    ),
    7,
    FALSE
  ),
  0
)
"),175.0)</f>
        <v>175</v>
      </c>
      <c r="AH96" s="54">
        <f>IFERROR(__xludf.DUMMYFUNCTION("IFERROR(
  VLOOKUP(
    A96,
    IMPORTRANGE(
      ""1SCYQd7_cobOYqT0r_F0IqD4tE4rYn5y8Eup4PJTH8es"",
      ""Snapshot!A:M""
    ),
    8,
    FALSE
  ),
  0
)
"),0.0)</f>
        <v>0</v>
      </c>
      <c r="AI96" s="54">
        <f>IFERROR(__xludf.DUMMYFUNCTION("IFERROR(
  VLOOKUP(
    A96,
    IMPORTRANGE(
      ""1SCYQd7_cobOYqT0r_F0IqD4tE4rYn5y8Eup4PJTH8es"",
      ""Snapshot!A:M""
    ),
    9,
    FALSE
  ),
  0
)
"),1.0)</f>
        <v>1</v>
      </c>
      <c r="AJ96" s="54">
        <f>IFERROR(__xludf.DUMMYFUNCTION("IFERROR(
  VLOOKUP(
    A96,
    IMPORTRANGE(
      ""1SCYQd7_cobOYqT0r_F0IqD4tE4rYn5y8Eup4PJTH8es"",
      ""Snapshot!A:M""
    ),
    13,
    FALSE
  ),
  0
)
"),1.0)</f>
        <v>1</v>
      </c>
      <c r="AK96" s="49">
        <f t="shared" ref="AK96:AL96" si="475">LEN(C96)</f>
        <v>48</v>
      </c>
      <c r="AL96" s="49">
        <f t="shared" si="475"/>
        <v>55</v>
      </c>
    </row>
    <row r="97">
      <c r="A97" s="3" t="s">
        <v>782</v>
      </c>
      <c r="B97" s="1" t="str">
        <f>IFERROR(__xludf.DUMMYFUNCTION("IFERROR(
  VLOOKUP(
    A97,
    IMPORTRANGE(
      ""1ZygntHC1J6IxzKbTidmOyf5nUyW4GCLurHCjexrLm_o"",
      ""HTMLキャッシュ!A:F""
    ),
    2,
    FALSE
  ),
  0
)
"),"ST")</f>
        <v>ST</v>
      </c>
      <c r="C97" s="1" t="str">
        <f>IFERROR(__xludf.DUMMYFUNCTION("IFERROR(
  VLOOKUP(
    A97,
    IMPORTRANGE(
      ""1ZygntHC1J6IxzKbTidmOyf5nUyW4GCLurHCjexrLm_o"",
      ""HTMLキャッシュ!A:F""
    ),
    5,
    FALSE
  ),
  0
)
"),"時間割【国語】 - 中高一貫校専門塾エスコット(Escot)～定期試験対策から大学受験指導まで～")</f>
        <v>時間割【国語】 - 中高一貫校専門塾エスコット(Escot)～定期試験対策から大学受験指導まで～</v>
      </c>
      <c r="D97" s="1" t="str">
        <f>IFERROR(__xludf.DUMMYFUNCTION("IFERROR(
  VLOOKUP(
    A97,
    IMPORTRANGE(
      ""1ZygntHC1J6IxzKbTidmOyf5nUyW4GCLurHCjexrLm_o        "",
      ""HTMLキャッシュ!A:F""
    ),
    6,
    FALSE
  ),
  0
)
"),"時間割【国語】 １対１個別指導の空きコマ状況です。(2019/5/7更新) 日 月 火 水 木 金 土 Ａ限")</f>
        <v>時間割【国語】 １対１個別指導の空きコマ状況です。(2019/5/7更新) 日 月 火 水 木 金 土 Ａ限</v>
      </c>
      <c r="E97" s="32">
        <f>IFERROR(__xludf.DUMMYFUNCTION("IFERROR(
  VLOOKUP(
    A97,
    IMPORTRANGE(
      ""1ZygntHC1J6IxzKbTidmOyf5nUyW4GCLurHCjexrLm_o        "",
      ""HTMLキャッシュ!A:F""
    ),
    3,
    FALSE
  ),
  0
)
"),43592.65017361111)</f>
        <v>43592.65017</v>
      </c>
      <c r="F97" s="49">
        <f>IFERROR(__xludf.DUMMYFUNCTION("IFERROR(
  VLOOKUP(
    A97,
    IMPORTRANGE(
      ""1ZHMy3vVUd_0MrSduXTe1etBb1HNpAlGwQr006ljwMiM"",
      ""GSC最新!A:F""
    ),
    2,
    FALSE
  ),
  0
)
"),0.0)</f>
        <v>0</v>
      </c>
      <c r="G97" s="49">
        <f>IFERROR(__xludf.DUMMYFUNCTION("IFERROR(
  VLOOKUP(
    A97,
    IMPORTRANGE(
      ""1ZHMy3vVUd_0MrSduXTe1etBb1HNpAlGwQr006ljwMiM"",
      ""GSC最新!A:F""
    ),
    3,
    FALSE
  ),
  0
)
"),0.0)</f>
        <v>0</v>
      </c>
      <c r="H97" s="49">
        <f>IFERROR(__xludf.DUMMYFUNCTION("IFERROR(
  VLOOKUP(
    A97,
    IMPORTRANGE(
      ""1ZHMy3vVUd_0MrSduXTe1etBb1HNpAlGwQr006ljwMiM"",
      ""GSC最新!A:F""
    ),
    4,
    FALSE
  ),
  0
)
"),0.0)</f>
        <v>0</v>
      </c>
      <c r="I97" s="49">
        <f>IFERROR(__xludf.DUMMYFUNCTION("IFERROR(
  VLOOKUP(
    A97,
    IMPORTRANGE(
      ""1ZHMy3vVUd_0MrSduXTe1etBb1HNpAlGwQr006ljwMiM"",
      ""GSC最新!A:F""
    ),
    5,
    FALSE
  ),
  0
)
"),0.0)</f>
        <v>0</v>
      </c>
      <c r="J97" s="50" t="str">
        <f t="shared" ref="J97:K97" si="476">IFERROR(F97/H97,"-")</f>
        <v>-</v>
      </c>
      <c r="K97" s="50" t="str">
        <f t="shared" si="476"/>
        <v>-</v>
      </c>
      <c r="L97" s="6">
        <f>IFERROR(__xludf.DUMMYFUNCTION("IFERROR(
  VLOOKUP(
    A97,
    IMPORTRANGE(
      ""1ZHMy3vVUd_0MrSduXTe1etBb1HNpAlGwQr006ljwMiM"",
      ""GSC最新!A:R""
    ),
    7,
    FALSE
  ),
  0
)
"),0.0)</f>
        <v>0</v>
      </c>
      <c r="M97" s="6">
        <f>IFERROR(__xludf.DUMMYFUNCTION("IFERROR(
  VLOOKUP(
    A97,
    IMPORTRANGE(
      ""1ZHMy3vVUd_0MrSduXTe1etBb1HNpAlGwQr006ljwMiM"",
      ""GSC最新!A:R""
    ),
    10,
    FALSE
  ),
  0
)
"),0.0)</f>
        <v>0</v>
      </c>
      <c r="N97" s="6">
        <f>IFERROR(__xludf.DUMMYFUNCTION("IFERROR(
  VLOOKUP(
    A97,
    IMPORTRANGE(
      ""1ZHMy3vVUd_0MrSduXTe1etBb1HNpAlGwQr006ljwMiM"",
      ""GSC最新!A:R""
    ),
    13,
    FALSE
  ),
  0
)
"),0.0)</f>
        <v>0</v>
      </c>
      <c r="O97" s="6">
        <f>IFERROR(__xludf.DUMMYFUNCTION("IFERROR(
  VLOOKUP(
    A97,
    IMPORTRANGE(
      ""1ZHMy3vVUd_0MrSduXTe1etBb1HNpAlGwQr006ljwMiM"",
      ""GSC最新!A:R""
    ),
    16,
    FALSE
  ),
  0
)
"),0.0)</f>
        <v>0</v>
      </c>
      <c r="P97" s="51" t="str">
        <f t="shared" ref="P97:Q97" si="477">IFERROR(L97/N97,"-")</f>
        <v>-</v>
      </c>
      <c r="Q97" s="51" t="str">
        <f t="shared" si="477"/>
        <v>-</v>
      </c>
      <c r="R97" s="9">
        <f>IFERROR(__xludf.DUMMYFUNCTION("IFERROR(
  VLOOKUP(
    A97,
    IMPORTRANGE(
      ""1ZHMy3vVUd_0MrSduXTe1etBb1HNpAlGwQr006ljwMiM"",
      ""GSC最新!A:R""
    ),
    8,
    FALSE
  ),
  0
)
"),0.0)</f>
        <v>0</v>
      </c>
      <c r="S97" s="9">
        <f>IFERROR(__xludf.DUMMYFUNCTION("IFERROR(
  VLOOKUP(
    A97,
    IMPORTRANGE(
      ""1ZHMy3vVUd_0MrSduXTe1etBb1HNpAlGwQr006ljwMiM"",
      ""GSC最新!A:R""
    ),
    11,
    FALSE
  ),
  0
)
"),0.0)</f>
        <v>0</v>
      </c>
      <c r="T97" s="9">
        <f>IFERROR(__xludf.DUMMYFUNCTION("IFERROR(
  VLOOKUP(
    A97,
    IMPORTRANGE(
      ""1ZHMy3vVUd_0MrSduXTe1etBb1HNpAlGwQr006ljwMiM"",
      ""GSC最新!A:R""
    ),
    14,
    FALSE
  ),
  0
)
"),0.0)</f>
        <v>0</v>
      </c>
      <c r="U97" s="9">
        <f>IFERROR(__xludf.DUMMYFUNCTION("IFERROR(
  VLOOKUP(
    A97,
    IMPORTRANGE(
      ""1ZHMy3vVUd_0MrSduXTe1etBb1HNpAlGwQr006ljwMiM"",
      ""GSC最新!A:R""
    ),
    17,
    FALSE
  ),
  0
)
"),0.0)</f>
        <v>0</v>
      </c>
      <c r="V97" s="9">
        <f t="shared" ref="V97:W97" si="478">IFERROR(R97-T97,"-")</f>
        <v>0</v>
      </c>
      <c r="W97" s="9">
        <f t="shared" si="478"/>
        <v>0</v>
      </c>
      <c r="X97" s="65" t="str">
        <f>IFERROR(__xludf.DUMMYFUNCTION("IFERROR(
  VLOOKUP(
    A97,
    IMPORTRANGE(
      ""1ZHMy3vVUd_0MrSduXTe1etBb1HNpAlGwQr006ljwMiM"",
      ""GSC最新!A:R""
    ),
    9,
    FALSE
  ),
  0
)
"),"")</f>
        <v/>
      </c>
      <c r="Y97" s="65" t="str">
        <f>IFERROR(__xludf.DUMMYFUNCTION("IFERROR(
  VLOOKUP(
    A97,
    IMPORTRANGE(
      ""1ZHMy3vVUd_0MrSduXTe1etBb1HNpAlGwQr006ljwMiM"",
      ""GSC最新!A:R""
    ),
    12,
    FALSE
  ),
  0
)
"),"")</f>
        <v/>
      </c>
      <c r="Z97" s="65" t="str">
        <f>IFERROR(__xludf.DUMMYFUNCTION("IFERROR(
  VLOOKUP(
    A97,
    IMPORTRANGE(
      ""1ZHMy3vVUd_0MrSduXTe1etBb1HNpAlGwQr006ljwMiM"",
      ""GSC最新!A:R""
    ),
    15,
    FALSE
  ),
  0
)
"),"")</f>
        <v/>
      </c>
      <c r="AA97" s="65" t="str">
        <f>IFERROR(__xludf.DUMMYFUNCTION("IFERROR(
  VLOOKUP(
    A97,
    IMPORTRANGE(
      ""1ZHMy3vVUd_0MrSduXTe1etBb1HNpAlGwQr006ljwMiM"",
      ""GSC最新!A:R""
    ),
    18,
    FALSE
  ),
  0
)
"),"")</f>
        <v/>
      </c>
      <c r="AB97" s="65">
        <f t="shared" ref="AB97:AC97" si="479">X97-Z97</f>
        <v>0</v>
      </c>
      <c r="AC97" s="65">
        <f t="shared" si="479"/>
        <v>0</v>
      </c>
      <c r="AD97" s="53">
        <f>IFERROR(__xludf.DUMMYFUNCTION("IFERROR(
  VLOOKUP(
    A97,
    IMPORTRANGE(
      ""1ZHMy3vVUd_0MrSduXTe1etBb1HNpAlGwQr006ljwMiM"",
      ""GSC最新!A:F""
    ),
    6,
    FALSE
  ),
  0
)
"),46081.0)</f>
        <v>46081</v>
      </c>
      <c r="AE97" s="54">
        <f>IFERROR(__xludf.DUMMYFUNCTION("IFERROR(
  VLOOKUP(
    A97,
    IMPORTRANGE(
      ""1SCYQd7_cobOYqT0r_F0IqD4tE4rYn5y8Eup4PJTH8es"",
      ""Snapshot!A:M""
    ),
    5,
    FALSE
  ),
  ""-""
)
"),1.0)</f>
        <v>1</v>
      </c>
      <c r="AF97" s="54">
        <f>IFERROR(__xludf.DUMMYFUNCTION("IFERROR(
  VLOOKUP(
    A97,
    IMPORTRANGE(
      ""1SCYQd7_cobOYqT0r_F0IqD4tE4rYn5y8Eup4PJTH8es"",
      ""Snapshot!A:M""
    ),
    6,
    FALSE
  ),
  0
)
"),0.0)</f>
        <v>0</v>
      </c>
      <c r="AG97" s="54">
        <f>IFERROR(__xludf.DUMMYFUNCTION("IFERROR(
  VLOOKUP(
    A97,
    IMPORTRANGE(
      ""1SCYQd7_cobOYqT0r_F0IqD4tE4rYn5y8Eup4PJTH8es"",
      ""Snapshot!A:M""
    ),
    7,
    FALSE
  ),
  0
)
"),291.0)</f>
        <v>291</v>
      </c>
      <c r="AH97" s="54">
        <f>IFERROR(__xludf.DUMMYFUNCTION("IFERROR(
  VLOOKUP(
    A97,
    IMPORTRANGE(
      ""1SCYQd7_cobOYqT0r_F0IqD4tE4rYn5y8Eup4PJTH8es"",
      ""Snapshot!A:M""
    ),
    8,
    FALSE
  ),
  0
)
"),0.0)</f>
        <v>0</v>
      </c>
      <c r="AI97" s="54">
        <f>IFERROR(__xludf.DUMMYFUNCTION("IFERROR(
  VLOOKUP(
    A97,
    IMPORTRANGE(
      ""1SCYQd7_cobOYqT0r_F0IqD4tE4rYn5y8Eup4PJTH8es"",
      ""Snapshot!A:M""
    ),
    9,
    FALSE
  ),
  0
)
"),1.0)</f>
        <v>1</v>
      </c>
      <c r="AJ97" s="54">
        <f>IFERROR(__xludf.DUMMYFUNCTION("IFERROR(
  VLOOKUP(
    A97,
    IMPORTRANGE(
      ""1SCYQd7_cobOYqT0r_F0IqD4tE4rYn5y8Eup4PJTH8es"",
      ""Snapshot!A:M""
    ),
    13,
    FALSE
  ),
  0
)
"),1.0)</f>
        <v>1</v>
      </c>
      <c r="AK97" s="49">
        <f t="shared" ref="AK97:AL97" si="480">LEN(C97)</f>
        <v>48</v>
      </c>
      <c r="AL97" s="49">
        <f t="shared" si="480"/>
        <v>54</v>
      </c>
    </row>
    <row r="98">
      <c r="A98" s="3" t="s">
        <v>783</v>
      </c>
      <c r="B98" s="1" t="str">
        <f>IFERROR(__xludf.DUMMYFUNCTION("IFERROR(
  VLOOKUP(
    A98,
    IMPORTRANGE(
      ""1ZygntHC1J6IxzKbTidmOyf5nUyW4GCLurHCjexrLm_o"",
      ""HTMLキャッシュ!A:F""
    ),
    2,
    FALSE
  ),
  0
)
"),"ST")</f>
        <v>ST</v>
      </c>
      <c r="C98" s="1" t="str">
        <f>IFERROR(__xludf.DUMMYFUNCTION("IFERROR(
  VLOOKUP(
    A98,
    IMPORTRANGE(
      ""1ZygntHC1J6IxzKbTidmOyf5nUyW4GCLurHCjexrLm_o"",
      ""HTMLキャッシュ!A:F""
    ),
    5,
    FALSE
  ),
  0
)
"),"時間割【数学】 - 中高一貫校専門塾エスコット(Escot)～定期試験対策から大学受験指導まで～")</f>
        <v>時間割【数学】 - 中高一貫校専門塾エスコット(Escot)～定期試験対策から大学受験指導まで～</v>
      </c>
      <c r="D98" s="1" t="str">
        <f>IFERROR(__xludf.DUMMYFUNCTION("IFERROR(
  VLOOKUP(
    A98,
    IMPORTRANGE(
      ""1ZygntHC1J6IxzKbTidmOyf5nUyW4GCLurHCjexrLm_o        "",
      ""HTMLキャッシュ!A:F""
    ),
    6,
    FALSE
  ),
  0
)
"),"時間割【数学】 １対１個別指導の空きコマ状況です。(2019/5/7更新) 日 月 火 水 木 金 土 Ａ限")</f>
        <v>時間割【数学】 １対１個別指導の空きコマ状況です。(2019/5/7更新) 日 月 火 水 木 金 土 Ａ限</v>
      </c>
      <c r="E98" s="32">
        <f>IFERROR(__xludf.DUMMYFUNCTION("IFERROR(
  VLOOKUP(
    A98,
    IMPORTRANGE(
      ""1ZygntHC1J6IxzKbTidmOyf5nUyW4GCLurHCjexrLm_o        "",
      ""HTMLキャッシュ!A:F""
    ),
    3,
    FALSE
  ),
  0
)
"),43592.64928240741)</f>
        <v>43592.64928</v>
      </c>
      <c r="F98" s="49">
        <f>IFERROR(__xludf.DUMMYFUNCTION("IFERROR(
  VLOOKUP(
    A98,
    IMPORTRANGE(
      ""1ZHMy3vVUd_0MrSduXTe1etBb1HNpAlGwQr006ljwMiM"",
      ""GSC最新!A:F""
    ),
    2,
    FALSE
  ),
  0
)
"),0.0)</f>
        <v>0</v>
      </c>
      <c r="G98" s="49">
        <f>IFERROR(__xludf.DUMMYFUNCTION("IFERROR(
  VLOOKUP(
    A98,
    IMPORTRANGE(
      ""1ZHMy3vVUd_0MrSduXTe1etBb1HNpAlGwQr006ljwMiM"",
      ""GSC最新!A:F""
    ),
    3,
    FALSE
  ),
  0
)
"),0.0)</f>
        <v>0</v>
      </c>
      <c r="H98" s="49">
        <f>IFERROR(__xludf.DUMMYFUNCTION("IFERROR(
  VLOOKUP(
    A98,
    IMPORTRANGE(
      ""1ZHMy3vVUd_0MrSduXTe1etBb1HNpAlGwQr006ljwMiM"",
      ""GSC最新!A:F""
    ),
    4,
    FALSE
  ),
  0
)
"),0.0)</f>
        <v>0</v>
      </c>
      <c r="I98" s="49">
        <f>IFERROR(__xludf.DUMMYFUNCTION("IFERROR(
  VLOOKUP(
    A98,
    IMPORTRANGE(
      ""1ZHMy3vVUd_0MrSduXTe1etBb1HNpAlGwQr006ljwMiM"",
      ""GSC最新!A:F""
    ),
    5,
    FALSE
  ),
  0
)
"),0.0)</f>
        <v>0</v>
      </c>
      <c r="J98" s="50" t="str">
        <f t="shared" ref="J98:K98" si="481">IFERROR(F98/H98,"-")</f>
        <v>-</v>
      </c>
      <c r="K98" s="50" t="str">
        <f t="shared" si="481"/>
        <v>-</v>
      </c>
      <c r="L98" s="6">
        <f>IFERROR(__xludf.DUMMYFUNCTION("IFERROR(
  VLOOKUP(
    A98,
    IMPORTRANGE(
      ""1ZHMy3vVUd_0MrSduXTe1etBb1HNpAlGwQr006ljwMiM"",
      ""GSC最新!A:R""
    ),
    7,
    FALSE
  ),
  0
)
"),0.0)</f>
        <v>0</v>
      </c>
      <c r="M98" s="6">
        <f>IFERROR(__xludf.DUMMYFUNCTION("IFERROR(
  VLOOKUP(
    A98,
    IMPORTRANGE(
      ""1ZHMy3vVUd_0MrSduXTe1etBb1HNpAlGwQr006ljwMiM"",
      ""GSC最新!A:R""
    ),
    10,
    FALSE
  ),
  0
)
"),0.0)</f>
        <v>0</v>
      </c>
      <c r="N98" s="6">
        <f>IFERROR(__xludf.DUMMYFUNCTION("IFERROR(
  VLOOKUP(
    A98,
    IMPORTRANGE(
      ""1ZHMy3vVUd_0MrSduXTe1etBb1HNpAlGwQr006ljwMiM"",
      ""GSC最新!A:R""
    ),
    13,
    FALSE
  ),
  0
)
"),0.0)</f>
        <v>0</v>
      </c>
      <c r="O98" s="6">
        <f>IFERROR(__xludf.DUMMYFUNCTION("IFERROR(
  VLOOKUP(
    A98,
    IMPORTRANGE(
      ""1ZHMy3vVUd_0MrSduXTe1etBb1HNpAlGwQr006ljwMiM"",
      ""GSC最新!A:R""
    ),
    16,
    FALSE
  ),
  0
)
"),0.0)</f>
        <v>0</v>
      </c>
      <c r="P98" s="51" t="str">
        <f t="shared" ref="P98:Q98" si="482">IFERROR(L98/N98,"-")</f>
        <v>-</v>
      </c>
      <c r="Q98" s="51" t="str">
        <f t="shared" si="482"/>
        <v>-</v>
      </c>
      <c r="R98" s="9">
        <f>IFERROR(__xludf.DUMMYFUNCTION("IFERROR(
  VLOOKUP(
    A98,
    IMPORTRANGE(
      ""1ZHMy3vVUd_0MrSduXTe1etBb1HNpAlGwQr006ljwMiM"",
      ""GSC最新!A:R""
    ),
    8,
    FALSE
  ),
  0
)
"),0.0)</f>
        <v>0</v>
      </c>
      <c r="S98" s="9">
        <f>IFERROR(__xludf.DUMMYFUNCTION("IFERROR(
  VLOOKUP(
    A98,
    IMPORTRANGE(
      ""1ZHMy3vVUd_0MrSduXTe1etBb1HNpAlGwQr006ljwMiM"",
      ""GSC最新!A:R""
    ),
    11,
    FALSE
  ),
  0
)
"),0.0)</f>
        <v>0</v>
      </c>
      <c r="T98" s="9">
        <f>IFERROR(__xludf.DUMMYFUNCTION("IFERROR(
  VLOOKUP(
    A98,
    IMPORTRANGE(
      ""1ZHMy3vVUd_0MrSduXTe1etBb1HNpAlGwQr006ljwMiM"",
      ""GSC最新!A:R""
    ),
    14,
    FALSE
  ),
  0
)
"),0.0)</f>
        <v>0</v>
      </c>
      <c r="U98" s="9">
        <f>IFERROR(__xludf.DUMMYFUNCTION("IFERROR(
  VLOOKUP(
    A98,
    IMPORTRANGE(
      ""1ZHMy3vVUd_0MrSduXTe1etBb1HNpAlGwQr006ljwMiM"",
      ""GSC最新!A:R""
    ),
    17,
    FALSE
  ),
  0
)
"),0.0)</f>
        <v>0</v>
      </c>
      <c r="V98" s="9">
        <f t="shared" ref="V98:W98" si="483">IFERROR(R98-T98,"-")</f>
        <v>0</v>
      </c>
      <c r="W98" s="9">
        <f t="shared" si="483"/>
        <v>0</v>
      </c>
      <c r="X98" s="65" t="str">
        <f>IFERROR(__xludf.DUMMYFUNCTION("IFERROR(
  VLOOKUP(
    A98,
    IMPORTRANGE(
      ""1ZHMy3vVUd_0MrSduXTe1etBb1HNpAlGwQr006ljwMiM"",
      ""GSC最新!A:R""
    ),
    9,
    FALSE
  ),
  0
)
"),"")</f>
        <v/>
      </c>
      <c r="Y98" s="65" t="str">
        <f>IFERROR(__xludf.DUMMYFUNCTION("IFERROR(
  VLOOKUP(
    A98,
    IMPORTRANGE(
      ""1ZHMy3vVUd_0MrSduXTe1etBb1HNpAlGwQr006ljwMiM"",
      ""GSC最新!A:R""
    ),
    12,
    FALSE
  ),
  0
)
"),"")</f>
        <v/>
      </c>
      <c r="Z98" s="65" t="str">
        <f>IFERROR(__xludf.DUMMYFUNCTION("IFERROR(
  VLOOKUP(
    A98,
    IMPORTRANGE(
      ""1ZHMy3vVUd_0MrSduXTe1etBb1HNpAlGwQr006ljwMiM"",
      ""GSC最新!A:R""
    ),
    15,
    FALSE
  ),
  0
)
"),"")</f>
        <v/>
      </c>
      <c r="AA98" s="65" t="str">
        <f>IFERROR(__xludf.DUMMYFUNCTION("IFERROR(
  VLOOKUP(
    A98,
    IMPORTRANGE(
      ""1ZHMy3vVUd_0MrSduXTe1etBb1HNpAlGwQr006ljwMiM"",
      ""GSC最新!A:R""
    ),
    18,
    FALSE
  ),
  0
)
"),"")</f>
        <v/>
      </c>
      <c r="AB98" s="65">
        <f t="shared" ref="AB98:AC98" si="484">X98-Z98</f>
        <v>0</v>
      </c>
      <c r="AC98" s="65">
        <f t="shared" si="484"/>
        <v>0</v>
      </c>
      <c r="AD98" s="53">
        <f>IFERROR(__xludf.DUMMYFUNCTION("IFERROR(
  VLOOKUP(
    A98,
    IMPORTRANGE(
      ""1ZHMy3vVUd_0MrSduXTe1etBb1HNpAlGwQr006ljwMiM"",
      ""GSC最新!A:F""
    ),
    6,
    FALSE
  ),
  0
)
"),46081.0)</f>
        <v>46081</v>
      </c>
      <c r="AE98" s="54">
        <f>IFERROR(__xludf.DUMMYFUNCTION("IFERROR(
  VLOOKUP(
    A98,
    IMPORTRANGE(
      ""1SCYQd7_cobOYqT0r_F0IqD4tE4rYn5y8Eup4PJTH8es"",
      ""Snapshot!A:M""
    ),
    5,
    FALSE
  ),
  ""-""
)
"),1.0)</f>
        <v>1</v>
      </c>
      <c r="AF98" s="54">
        <f>IFERROR(__xludf.DUMMYFUNCTION("IFERROR(
  VLOOKUP(
    A98,
    IMPORTRANGE(
      ""1SCYQd7_cobOYqT0r_F0IqD4tE4rYn5y8Eup4PJTH8es"",
      ""Snapshot!A:M""
    ),
    6,
    FALSE
  ),
  0
)
"),0.0)</f>
        <v>0</v>
      </c>
      <c r="AG98" s="54">
        <f>IFERROR(__xludf.DUMMYFUNCTION("IFERROR(
  VLOOKUP(
    A98,
    IMPORTRANGE(
      ""1SCYQd7_cobOYqT0r_F0IqD4tE4rYn5y8Eup4PJTH8es"",
      ""Snapshot!A:M""
    ),
    7,
    FALSE
  ),
  0
)
"),291.0)</f>
        <v>291</v>
      </c>
      <c r="AH98" s="54">
        <f>IFERROR(__xludf.DUMMYFUNCTION("IFERROR(
  VLOOKUP(
    A98,
    IMPORTRANGE(
      ""1SCYQd7_cobOYqT0r_F0IqD4tE4rYn5y8Eup4PJTH8es"",
      ""Snapshot!A:M""
    ),
    8,
    FALSE
  ),
  0
)
"),0.0)</f>
        <v>0</v>
      </c>
      <c r="AI98" s="54">
        <f>IFERROR(__xludf.DUMMYFUNCTION("IFERROR(
  VLOOKUP(
    A98,
    IMPORTRANGE(
      ""1SCYQd7_cobOYqT0r_F0IqD4tE4rYn5y8Eup4PJTH8es"",
      ""Snapshot!A:M""
    ),
    9,
    FALSE
  ),
  0
)
"),1.0)</f>
        <v>1</v>
      </c>
      <c r="AJ98" s="54">
        <f>IFERROR(__xludf.DUMMYFUNCTION("IFERROR(
  VLOOKUP(
    A98,
    IMPORTRANGE(
      ""1SCYQd7_cobOYqT0r_F0IqD4tE4rYn5y8Eup4PJTH8es"",
      ""Snapshot!A:M""
    ),
    13,
    FALSE
  ),
  0
)
"),1.0)</f>
        <v>1</v>
      </c>
      <c r="AK98" s="49">
        <f t="shared" ref="AK98:AL98" si="485">LEN(C98)</f>
        <v>48</v>
      </c>
      <c r="AL98" s="49">
        <f t="shared" si="485"/>
        <v>54</v>
      </c>
    </row>
    <row r="99">
      <c r="A99" s="3" t="s">
        <v>784</v>
      </c>
      <c r="B99" s="1" t="str">
        <f>IFERROR(__xludf.DUMMYFUNCTION("IFERROR(
  VLOOKUP(
    A99,
    IMPORTRANGE(
      ""1ZygntHC1J6IxzKbTidmOyf5nUyW4GCLurHCjexrLm_o"",
      ""HTMLキャッシュ!A:F""
    ),
    2,
    FALSE
  ),
  0
)
"),"MC")</f>
        <v>MC</v>
      </c>
      <c r="C99" s="1" t="str">
        <f>IFERROR(__xludf.DUMMYFUNCTION("IFERROR(
  VLOOKUP(
    A99,
    IMPORTRANGE(
      ""1ZygntHC1J6IxzKbTidmOyf5nUyW4GCLurHCjexrLm_o"",
      ""HTMLキャッシュ!A:F""
    ),
    5,
    FALSE
  ),
  0
)
"),"早稲田大突破セミナー【動画でご覧いただけます】 - 中高一貫校専門塾エスコット(Escot)～定期試験対策から大学受験指導まで～")</f>
        <v>早稲田大突破セミナー【動画でご覧いただけます】 - 中高一貫校専門塾エスコット(Escot)～定期試験対策から大学受験指導まで～</v>
      </c>
      <c r="D99" s="1" t="str">
        <f>IFERROR(__xludf.DUMMYFUNCTION("IFERROR(
  VLOOKUP(
    A99,
    IMPORTRANGE(
      ""1ZygntHC1J6IxzKbTidmOyf5nUyW4GCLurHCjexrLm_o        "",
      ""HTMLキャッシュ!A:F""
    ),
    6,
    FALSE
  ),
  0
)
"),"2020年11月３日に開催された「早稲田大突破セミナー」を動画でご覧いただけます！ 早稲田大突破セミナーとは、")</f>
        <v>2020年11月３日に開催された「早稲田大突破セミナー」を動画でご覧いただけます！ 早稲田大突破セミナーとは、</v>
      </c>
      <c r="E99" s="32">
        <f>IFERROR(__xludf.DUMMYFUNCTION("IFERROR(
  VLOOKUP(
    A99,
    IMPORTRANGE(
      ""1ZygntHC1J6IxzKbTidmOyf5nUyW4GCLurHCjexrLm_o        "",
      ""HTMLキャッシュ!A:F""
    ),
    3,
    FALSE
  ),
  0
)
"),44151.59238425926)</f>
        <v>44151.59238</v>
      </c>
      <c r="F99" s="49">
        <f>IFERROR(__xludf.DUMMYFUNCTION("IFERROR(
  VLOOKUP(
    A99,
    IMPORTRANGE(
      ""1ZHMy3vVUd_0MrSduXTe1etBb1HNpAlGwQr006ljwMiM"",
      ""GSC最新!A:F""
    ),
    2,
    FALSE
  ),
  0
)
"),0.0)</f>
        <v>0</v>
      </c>
      <c r="G99" s="49">
        <f>IFERROR(__xludf.DUMMYFUNCTION("IFERROR(
  VLOOKUP(
    A99,
    IMPORTRANGE(
      ""1ZHMy3vVUd_0MrSduXTe1etBb1HNpAlGwQr006ljwMiM"",
      ""GSC最新!A:F""
    ),
    3,
    FALSE
  ),
  0
)
"),0.0)</f>
        <v>0</v>
      </c>
      <c r="H99" s="49">
        <f>IFERROR(__xludf.DUMMYFUNCTION("IFERROR(
  VLOOKUP(
    A99,
    IMPORTRANGE(
      ""1ZHMy3vVUd_0MrSduXTe1etBb1HNpAlGwQr006ljwMiM"",
      ""GSC最新!A:F""
    ),
    4,
    FALSE
  ),
  0
)
"),0.0)</f>
        <v>0</v>
      </c>
      <c r="I99" s="49">
        <f>IFERROR(__xludf.DUMMYFUNCTION("IFERROR(
  VLOOKUP(
    A99,
    IMPORTRANGE(
      ""1ZHMy3vVUd_0MrSduXTe1etBb1HNpAlGwQr006ljwMiM"",
      ""GSC最新!A:F""
    ),
    5,
    FALSE
  ),
  0
)
"),0.0)</f>
        <v>0</v>
      </c>
      <c r="J99" s="50" t="str">
        <f t="shared" ref="J99:K99" si="486">IFERROR(F99/H99,"-")</f>
        <v>-</v>
      </c>
      <c r="K99" s="50" t="str">
        <f t="shared" si="486"/>
        <v>-</v>
      </c>
      <c r="L99" s="6">
        <f>IFERROR(__xludf.DUMMYFUNCTION("IFERROR(
  VLOOKUP(
    A99,
    IMPORTRANGE(
      ""1ZHMy3vVUd_0MrSduXTe1etBb1HNpAlGwQr006ljwMiM"",
      ""GSC最新!A:R""
    ),
    7,
    FALSE
  ),
  0
)
"),0.0)</f>
        <v>0</v>
      </c>
      <c r="M99" s="6">
        <f>IFERROR(__xludf.DUMMYFUNCTION("IFERROR(
  VLOOKUP(
    A99,
    IMPORTRANGE(
      ""1ZHMy3vVUd_0MrSduXTe1etBb1HNpAlGwQr006ljwMiM"",
      ""GSC最新!A:R""
    ),
    10,
    FALSE
  ),
  0
)
"),0.0)</f>
        <v>0</v>
      </c>
      <c r="N99" s="6">
        <f>IFERROR(__xludf.DUMMYFUNCTION("IFERROR(
  VLOOKUP(
    A99,
    IMPORTRANGE(
      ""1ZHMy3vVUd_0MrSduXTe1etBb1HNpAlGwQr006ljwMiM"",
      ""GSC最新!A:R""
    ),
    13,
    FALSE
  ),
  0
)
"),1.0)</f>
        <v>1</v>
      </c>
      <c r="O99" s="6">
        <f>IFERROR(__xludf.DUMMYFUNCTION("IFERROR(
  VLOOKUP(
    A99,
    IMPORTRANGE(
      ""1ZHMy3vVUd_0MrSduXTe1etBb1HNpAlGwQr006ljwMiM"",
      ""GSC最新!A:R""
    ),
    16,
    FALSE
  ),
  0
)
"),1.0)</f>
        <v>1</v>
      </c>
      <c r="P99" s="51">
        <f t="shared" ref="P99:Q99" si="487">IFERROR(L99/N99,"-")</f>
        <v>0</v>
      </c>
      <c r="Q99" s="51">
        <f t="shared" si="487"/>
        <v>0</v>
      </c>
      <c r="R99" s="9">
        <f>IFERROR(__xludf.DUMMYFUNCTION("IFERROR(
  VLOOKUP(
    A99,
    IMPORTRANGE(
      ""1ZHMy3vVUd_0MrSduXTe1etBb1HNpAlGwQr006ljwMiM"",
      ""GSC最新!A:R""
    ),
    8,
    FALSE
  ),
  0
)
"),0.0)</f>
        <v>0</v>
      </c>
      <c r="S99" s="9">
        <f>IFERROR(__xludf.DUMMYFUNCTION("IFERROR(
  VLOOKUP(
    A99,
    IMPORTRANGE(
      ""1ZHMy3vVUd_0MrSduXTe1etBb1HNpAlGwQr006ljwMiM"",
      ""GSC最新!A:R""
    ),
    11,
    FALSE
  ),
  0
)
"),0.0)</f>
        <v>0</v>
      </c>
      <c r="T99" s="9">
        <f>IFERROR(__xludf.DUMMYFUNCTION("IFERROR(
  VLOOKUP(
    A99,
    IMPORTRANGE(
      ""1ZHMy3vVUd_0MrSduXTe1etBb1HNpAlGwQr006ljwMiM"",
      ""GSC最新!A:R""
    ),
    14,
    FALSE
  ),
  0
)
"),0.0)</f>
        <v>0</v>
      </c>
      <c r="U99" s="9">
        <f>IFERROR(__xludf.DUMMYFUNCTION("IFERROR(
  VLOOKUP(
    A99,
    IMPORTRANGE(
      ""1ZHMy3vVUd_0MrSduXTe1etBb1HNpAlGwQr006ljwMiM"",
      ""GSC最新!A:R""
    ),
    17,
    FALSE
  ),
  0
)
"),0.0)</f>
        <v>0</v>
      </c>
      <c r="V99" s="9">
        <f t="shared" ref="V99:W99" si="488">IFERROR(R99-T99,"-")</f>
        <v>0</v>
      </c>
      <c r="W99" s="9">
        <f t="shared" si="488"/>
        <v>0</v>
      </c>
      <c r="X99" s="65" t="str">
        <f>IFERROR(__xludf.DUMMYFUNCTION("IFERROR(
  VLOOKUP(
    A99,
    IMPORTRANGE(
      ""1ZHMy3vVUd_0MrSduXTe1etBb1HNpAlGwQr006ljwMiM"",
      ""GSC最新!A:R""
    ),
    9,
    FALSE
  ),
  0
)
"),"")</f>
        <v/>
      </c>
      <c r="Y99" s="65" t="str">
        <f>IFERROR(__xludf.DUMMYFUNCTION("IFERROR(
  VLOOKUP(
    A99,
    IMPORTRANGE(
      ""1ZHMy3vVUd_0MrSduXTe1etBb1HNpAlGwQr006ljwMiM"",
      ""GSC最新!A:R""
    ),
    12,
    FALSE
  ),
  0
)
"),"")</f>
        <v/>
      </c>
      <c r="Z99" s="65">
        <f>IFERROR(__xludf.DUMMYFUNCTION("IFERROR(
  VLOOKUP(
    A99,
    IMPORTRANGE(
      ""1ZHMy3vVUd_0MrSduXTe1etBb1HNpAlGwQr006ljwMiM"",
      ""GSC最新!A:R""
    ),
    15,
    FALSE
  ),
  0
)
"),73.0)</f>
        <v>73</v>
      </c>
      <c r="AA99" s="65">
        <f>IFERROR(__xludf.DUMMYFUNCTION("IFERROR(
  VLOOKUP(
    A99,
    IMPORTRANGE(
      ""1ZHMy3vVUd_0MrSduXTe1etBb1HNpAlGwQr006ljwMiM"",
      ""GSC最新!A:R""
    ),
    18,
    FALSE
  ),
  0
)
"),73.0)</f>
        <v>73</v>
      </c>
      <c r="AB99" s="65">
        <f t="shared" ref="AB99:AC99" si="489">X99-Z99</f>
        <v>-73</v>
      </c>
      <c r="AC99" s="65">
        <f t="shared" si="489"/>
        <v>-73</v>
      </c>
      <c r="AD99" s="53">
        <f>IFERROR(__xludf.DUMMYFUNCTION("IFERROR(
  VLOOKUP(
    A99,
    IMPORTRANGE(
      ""1ZHMy3vVUd_0MrSduXTe1etBb1HNpAlGwQr006ljwMiM"",
      ""GSC最新!A:F""
    ),
    6,
    FALSE
  ),
  0
)
"),46081.0)</f>
        <v>46081</v>
      </c>
      <c r="AE99" s="54">
        <f>IFERROR(__xludf.DUMMYFUNCTION("IFERROR(
  VLOOKUP(
    A99,
    IMPORTRANGE(
      ""1SCYQd7_cobOYqT0r_F0IqD4tE4rYn5y8Eup4PJTH8es"",
      ""Snapshot!A:M""
    ),
    5,
    FALSE
  ),
  ""-""
)
"),8.0)</f>
        <v>8</v>
      </c>
      <c r="AF99" s="54">
        <f>IFERROR(__xludf.DUMMYFUNCTION("IFERROR(
  VLOOKUP(
    A99,
    IMPORTRANGE(
      ""1SCYQd7_cobOYqT0r_F0IqD4tE4rYn5y8Eup4PJTH8es"",
      ""Snapshot!A:M""
    ),
    6,
    FALSE
  ),
  0
)
"),8.0)</f>
        <v>8</v>
      </c>
      <c r="AG99" s="54">
        <f>IFERROR(__xludf.DUMMYFUNCTION("IFERROR(
  VLOOKUP(
    A99,
    IMPORTRANGE(
      ""1SCYQd7_cobOYqT0r_F0IqD4tE4rYn5y8Eup4PJTH8es"",
      ""Snapshot!A:M""
    ),
    7,
    FALSE
  ),
  0
)
"),1322.0)</f>
        <v>1322</v>
      </c>
      <c r="AH99" s="54">
        <f>IFERROR(__xludf.DUMMYFUNCTION("IFERROR(
  VLOOKUP(
    A99,
    IMPORTRANGE(
      ""1SCYQd7_cobOYqT0r_F0IqD4tE4rYn5y8Eup4PJTH8es"",
      ""Snapshot!A:M""
    ),
    8,
    FALSE
  ),
  0
)
"),0.0)</f>
        <v>0</v>
      </c>
      <c r="AI99" s="54">
        <f>IFERROR(__xludf.DUMMYFUNCTION("IFERROR(
  VLOOKUP(
    A99,
    IMPORTRANGE(
      ""1SCYQd7_cobOYqT0r_F0IqD4tE4rYn5y8Eup4PJTH8es"",
      ""Snapshot!A:M""
    ),
    9,
    FALSE
  ),
  0
)
"),1.0)</f>
        <v>1</v>
      </c>
      <c r="AJ99" s="54">
        <f>IFERROR(__xludf.DUMMYFUNCTION("IFERROR(
  VLOOKUP(
    A99,
    IMPORTRANGE(
      ""1SCYQd7_cobOYqT0r_F0IqD4tE4rYn5y8Eup4PJTH8es"",
      ""Snapshot!A:M""
    ),
    13,
    FALSE
  ),
  0
)
"),2.0)</f>
        <v>2</v>
      </c>
      <c r="AK99" s="49">
        <f t="shared" ref="AK99:AL99" si="490">LEN(C99)</f>
        <v>64</v>
      </c>
      <c r="AL99" s="49">
        <f t="shared" si="490"/>
        <v>55</v>
      </c>
    </row>
    <row r="100">
      <c r="A100" s="3" t="s">
        <v>785</v>
      </c>
      <c r="B100" s="1" t="str">
        <f>IFERROR(__xludf.DUMMYFUNCTION("IFERROR(
  VLOOKUP(
    A100,
    IMPORTRANGE(
      ""1ZygntHC1J6IxzKbTidmOyf5nUyW4GCLurHCjexrLm_o"",
      ""HTMLキャッシュ!A:F""
    ),
    2,
    FALSE
  ),
  0
)
"),"SC")</f>
        <v>SC</v>
      </c>
      <c r="C100" s="1" t="str">
        <f>IFERROR(__xludf.DUMMYFUNCTION("IFERROR(
  VLOOKUP(
    A100,
    IMPORTRANGE(
      ""1ZygntHC1J6IxzKbTidmOyf5nUyW4GCLurHCjexrLm_o"",
      ""HTMLキャッシュ!A:F""
    ),
    5,
    FALSE
  ),
  0
)
"),"中学生の勉強法と親の心構えで気をつけたいこと - 中高一貫校専門塾エスコット(Escot)～定期試験対策から大学受験指導まで～")</f>
        <v>中学生の勉強法と親の心構えで気をつけたいこと - 中高一貫校専門塾エスコット(Escot)～定期試験対策から大学受験指導まで～</v>
      </c>
      <c r="D100" s="1" t="str">
        <f>IFERROR(__xludf.DUMMYFUNCTION("IFERROR(
  VLOOKUP(
    A100,
    IMPORTRANGE(
      ""1ZygntHC1J6IxzKbTidmOyf5nUyW4GCLurHCjexrLm_o        "",
      ""HTMLキャッシュ!A:F""
    ),
    6,
    FALSE
  ),
  0
)
"),"中学生 家庭学習 保護者向け 中学生の勉強法と親の心構えで気をつけたいこと 子どもが中学生の場合、勉強法はある")</f>
        <v>中学生 家庭学習 保護者向け 中学生の勉強法と親の心構えで気をつけたいこと 子どもが中学生の場合、勉強法はある</v>
      </c>
      <c r="E100" s="32">
        <f>IFERROR(__xludf.DUMMYFUNCTION("IFERROR(
  VLOOKUP(
    A100,
    IMPORTRANGE(
      ""1ZygntHC1J6IxzKbTidmOyf5nUyW4GCLurHCjexrLm_o        "",
      ""HTMLキャッシュ!A:F""
    ),
    3,
    FALSE
  ),
  0
)
"),46084.57502314815)</f>
        <v>46084.57502</v>
      </c>
      <c r="F100" s="49">
        <f>IFERROR(__xludf.DUMMYFUNCTION("IFERROR(
  VLOOKUP(
    A100,
    IMPORTRANGE(
      ""1ZHMy3vVUd_0MrSduXTe1etBb1HNpAlGwQr006ljwMiM"",
      ""GSC最新!A:F""
    ),
    2,
    FALSE
  ),
  0
)
"),0.0)</f>
        <v>0</v>
      </c>
      <c r="G100" s="49">
        <f>IFERROR(__xludf.DUMMYFUNCTION("IFERROR(
  VLOOKUP(
    A100,
    IMPORTRANGE(
      ""1ZHMy3vVUd_0MrSduXTe1etBb1HNpAlGwQr006ljwMiM"",
      ""GSC最新!A:F""
    ),
    3,
    FALSE
  ),
  0
)
"),0.0)</f>
        <v>0</v>
      </c>
      <c r="H100" s="49">
        <f>IFERROR(__xludf.DUMMYFUNCTION("IFERROR(
  VLOOKUP(
    A100,
    IMPORTRANGE(
      ""1ZHMy3vVUd_0MrSduXTe1etBb1HNpAlGwQr006ljwMiM"",
      ""GSC最新!A:F""
    ),
    4,
    FALSE
  ),
  0
)
"),1.0)</f>
        <v>1</v>
      </c>
      <c r="I100" s="49">
        <f>IFERROR(__xludf.DUMMYFUNCTION("IFERROR(
  VLOOKUP(
    A100,
    IMPORTRANGE(
      ""1ZHMy3vVUd_0MrSduXTe1etBb1HNpAlGwQr006ljwMiM"",
      ""GSC最新!A:F""
    ),
    5,
    FALSE
  ),
  0
)
"),1.0)</f>
        <v>1</v>
      </c>
      <c r="J100" s="50">
        <f t="shared" ref="J100:K100" si="491">IFERROR(F100/H100,"-")</f>
        <v>0</v>
      </c>
      <c r="K100" s="50">
        <f t="shared" si="491"/>
        <v>0</v>
      </c>
      <c r="L100" s="6">
        <f>IFERROR(__xludf.DUMMYFUNCTION("IFERROR(
  VLOOKUP(
    A100,
    IMPORTRANGE(
      ""1ZHMy3vVUd_0MrSduXTe1etBb1HNpAlGwQr006ljwMiM"",
      ""GSC最新!A:R""
    ),
    7,
    FALSE
  ),
  0
)
"),0.0)</f>
        <v>0</v>
      </c>
      <c r="M100" s="6">
        <f>IFERROR(__xludf.DUMMYFUNCTION("IFERROR(
  VLOOKUP(
    A100,
    IMPORTRANGE(
      ""1ZHMy3vVUd_0MrSduXTe1etBb1HNpAlGwQr006ljwMiM"",
      ""GSC最新!A:R""
    ),
    10,
    FALSE
  ),
  0
)
"),0.0)</f>
        <v>0</v>
      </c>
      <c r="N100" s="6">
        <f>IFERROR(__xludf.DUMMYFUNCTION("IFERROR(
  VLOOKUP(
    A100,
    IMPORTRANGE(
      ""1ZHMy3vVUd_0MrSduXTe1etBb1HNpAlGwQr006ljwMiM"",
      ""GSC最新!A:R""
    ),
    13,
    FALSE
  ),
  0
)
"),55.0)</f>
        <v>55</v>
      </c>
      <c r="O100" s="6">
        <f>IFERROR(__xludf.DUMMYFUNCTION("IFERROR(
  VLOOKUP(
    A100,
    IMPORTRANGE(
      ""1ZHMy3vVUd_0MrSduXTe1etBb1HNpAlGwQr006ljwMiM"",
      ""GSC最新!A:R""
    ),
    16,
    FALSE
  ),
  0
)
"),84.0)</f>
        <v>84</v>
      </c>
      <c r="P100" s="51">
        <f t="shared" ref="P100:Q100" si="492">IFERROR(L100/N100,"-")</f>
        <v>0</v>
      </c>
      <c r="Q100" s="51">
        <f t="shared" si="492"/>
        <v>0</v>
      </c>
      <c r="R100" s="9">
        <f>IFERROR(__xludf.DUMMYFUNCTION("IFERROR(
  VLOOKUP(
    A100,
    IMPORTRANGE(
      ""1ZHMy3vVUd_0MrSduXTe1etBb1HNpAlGwQr006ljwMiM"",
      ""GSC最新!A:R""
    ),
    8,
    FALSE
  ),
  0
)
"),0.0)</f>
        <v>0</v>
      </c>
      <c r="S100" s="9">
        <f>IFERROR(__xludf.DUMMYFUNCTION("IFERROR(
  VLOOKUP(
    A100,
    IMPORTRANGE(
      ""1ZHMy3vVUd_0MrSduXTe1etBb1HNpAlGwQr006ljwMiM"",
      ""GSC最新!A:R""
    ),
    11,
    FALSE
  ),
  0
)
"),0.0)</f>
        <v>0</v>
      </c>
      <c r="T100" s="9">
        <f>IFERROR(__xludf.DUMMYFUNCTION("IFERROR(
  VLOOKUP(
    A100,
    IMPORTRANGE(
      ""1ZHMy3vVUd_0MrSduXTe1etBb1HNpAlGwQr006ljwMiM"",
      ""GSC最新!A:R""
    ),
    14,
    FALSE
  ),
  0
)
"),0.01818181818181818)</f>
        <v>0.01818181818</v>
      </c>
      <c r="U100" s="9">
        <f>IFERROR(__xludf.DUMMYFUNCTION("IFERROR(
  VLOOKUP(
    A100,
    IMPORTRANGE(
      ""1ZHMy3vVUd_0MrSduXTe1etBb1HNpAlGwQr006ljwMiM"",
      ""GSC最新!A:R""
    ),
    17,
    FALSE
  ),
  0
)
"),0.011904761904761904)</f>
        <v>0.0119047619</v>
      </c>
      <c r="V100" s="9">
        <f t="shared" ref="V100:W100" si="493">IFERROR(R100-T100,"-")</f>
        <v>-0.01818181818</v>
      </c>
      <c r="W100" s="9">
        <f t="shared" si="493"/>
        <v>-0.0119047619</v>
      </c>
      <c r="X100" s="65" t="str">
        <f>IFERROR(__xludf.DUMMYFUNCTION("IFERROR(
  VLOOKUP(
    A100,
    IMPORTRANGE(
      ""1ZHMy3vVUd_0MrSduXTe1etBb1HNpAlGwQr006ljwMiM"",
      ""GSC最新!A:R""
    ),
    9,
    FALSE
  ),
  0
)
"),"")</f>
        <v/>
      </c>
      <c r="Y100" s="65" t="str">
        <f>IFERROR(__xludf.DUMMYFUNCTION("IFERROR(
  VLOOKUP(
    A100,
    IMPORTRANGE(
      ""1ZHMy3vVUd_0MrSduXTe1etBb1HNpAlGwQr006ljwMiM"",
      ""GSC最新!A:R""
    ),
    12,
    FALSE
  ),
  0
)
"),"")</f>
        <v/>
      </c>
      <c r="Z100" s="65">
        <f>IFERROR(__xludf.DUMMYFUNCTION("IFERROR(
  VLOOKUP(
    A100,
    IMPORTRANGE(
      ""1ZHMy3vVUd_0MrSduXTe1etBb1HNpAlGwQr006ljwMiM"",
      ""GSC最新!A:R""
    ),
    15,
    FALSE
  ),
  0
)
"),59.32727272727273)</f>
        <v>59.32727273</v>
      </c>
      <c r="AA100" s="65">
        <f>IFERROR(__xludf.DUMMYFUNCTION("IFERROR(
  VLOOKUP(
    A100,
    IMPORTRANGE(
      ""1ZHMy3vVUd_0MrSduXTe1etBb1HNpAlGwQr006ljwMiM"",
      ""GSC最新!A:R""
    ),
    18,
    FALSE
  ),
  0
)
"),59.785714285714285)</f>
        <v>59.78571429</v>
      </c>
      <c r="AB100" s="65">
        <f t="shared" ref="AB100:AC100" si="494">X100-Z100</f>
        <v>-59.32727273</v>
      </c>
      <c r="AC100" s="65">
        <f t="shared" si="494"/>
        <v>-59.78571429</v>
      </c>
      <c r="AD100" s="53">
        <f>IFERROR(__xludf.DUMMYFUNCTION("IFERROR(
  VLOOKUP(
    A100,
    IMPORTRANGE(
      ""1ZHMy3vVUd_0MrSduXTe1etBb1HNpAlGwQr006ljwMiM"",
      ""GSC最新!A:F""
    ),
    6,
    FALSE
  ),
  0
)
"),46081.0)</f>
        <v>46081</v>
      </c>
      <c r="AE100" s="54">
        <f>IFERROR(__xludf.DUMMYFUNCTION("IFERROR(
  VLOOKUP(
    A100,
    IMPORTRANGE(
      ""1SCYQd7_cobOYqT0r_F0IqD4tE4rYn5y8Eup4PJTH8es"",
      ""Snapshot!A:M""
    ),
    5,
    FALSE
  ),
  ""-""
)
"),4.0)</f>
        <v>4</v>
      </c>
      <c r="AF100" s="54">
        <f>IFERROR(__xludf.DUMMYFUNCTION("IFERROR(
  VLOOKUP(
    A100,
    IMPORTRANGE(
      ""1SCYQd7_cobOYqT0r_F0IqD4tE4rYn5y8Eup4PJTH8es"",
      ""Snapshot!A:M""
    ),
    6,
    FALSE
  ),
  0
)
"),3.0)</f>
        <v>3</v>
      </c>
      <c r="AG100" s="54">
        <f>IFERROR(__xludf.DUMMYFUNCTION("IFERROR(
  VLOOKUP(
    A100,
    IMPORTRANGE(
      ""1SCYQd7_cobOYqT0r_F0IqD4tE4rYn5y8Eup4PJTH8es"",
      ""Snapshot!A:M""
    ),
    7,
    FALSE
  ),
  0
)
"),3220.0)</f>
        <v>3220</v>
      </c>
      <c r="AH100" s="54">
        <f>IFERROR(__xludf.DUMMYFUNCTION("IFERROR(
  VLOOKUP(
    A100,
    IMPORTRANGE(
      ""1SCYQd7_cobOYqT0r_F0IqD4tE4rYn5y8Eup4PJTH8es"",
      ""Snapshot!A:M""
    ),
    8,
    FALSE
  ),
  0
)
"),28.0)</f>
        <v>28</v>
      </c>
      <c r="AI100" s="54">
        <f>IFERROR(__xludf.DUMMYFUNCTION("IFERROR(
  VLOOKUP(
    A100,
    IMPORTRANGE(
      ""1SCYQd7_cobOYqT0r_F0IqD4tE4rYn5y8Eup4PJTH8es"",
      ""Snapshot!A:M""
    ),
    9,
    FALSE
  ),
  0
)
"),0.0)</f>
        <v>0</v>
      </c>
      <c r="AJ100" s="54">
        <f>IFERROR(__xludf.DUMMYFUNCTION("IFERROR(
  VLOOKUP(
    A100,
    IMPORTRANGE(
      ""1SCYQd7_cobOYqT0r_F0IqD4tE4rYn5y8Eup4PJTH8es"",
      ""Snapshot!A:M""
    ),
    13,
    FALSE
  ),
  0
)
"),2.0)</f>
        <v>2</v>
      </c>
      <c r="AK100" s="49">
        <f t="shared" ref="AK100:AL100" si="495">LEN(C100)</f>
        <v>63</v>
      </c>
      <c r="AL100" s="49">
        <f t="shared" si="495"/>
        <v>55</v>
      </c>
    </row>
    <row r="101">
      <c r="A101" s="3" t="s">
        <v>786</v>
      </c>
      <c r="B101" s="1" t="str">
        <f>IFERROR(__xludf.DUMMYFUNCTION("IFERROR(
  VLOOKUP(
    A101,
    IMPORTRANGE(
      ""1ZygntHC1J6IxzKbTidmOyf5nUyW4GCLurHCjexrLm_o"",
      ""HTMLキャッシュ!A:F""
    ),
    2,
    FALSE
  ),
  0
)
"),"SC")</f>
        <v>SC</v>
      </c>
      <c r="C101" s="1" t="str">
        <f>IFERROR(__xludf.DUMMYFUNCTION("IFERROR(
  VLOOKUP(
    A101,
    IMPORTRANGE(
      ""1ZygntHC1J6IxzKbTidmOyf5nUyW4GCLurHCjexrLm_o"",
      ""HTMLキャッシュ!A:F""
    ),
    5,
    FALSE
  ),
  0
)
"),"数学が出来ない人の勉強法 - 中高一貫校専門塾エスコット(Escot)～定期試験対策から大学受験指導まで～")</f>
        <v>数学が出来ない人の勉強法 - 中高一貫校専門塾エスコット(Escot)～定期試験対策から大学受験指導まで～</v>
      </c>
      <c r="D101" s="1" t="str">
        <f>IFERROR(__xludf.DUMMYFUNCTION("IFERROR(
  VLOOKUP(
    A101,
    IMPORTRANGE(
      ""1ZygntHC1J6IxzKbTidmOyf5nUyW4GCLurHCjexrLm_o        "",
      ""HTMLキャッシュ!A:F""
    ),
    6,
    FALSE
  ),
  0
)
"),"数学 勉強法 苦手克服 数学が出来ない人の勉強法 数学が苦手だと頭を抱えている人はたくさんいますよね。数学は出")</f>
        <v>数学 勉強法 苦手克服 数学が出来ない人の勉強法 数学が苦手だと頭を抱えている人はたくさんいますよね。数学は出</v>
      </c>
      <c r="E101" s="32">
        <f>IFERROR(__xludf.DUMMYFUNCTION("IFERROR(
  VLOOKUP(
    A101,
    IMPORTRANGE(
      ""1ZygntHC1J6IxzKbTidmOyf5nUyW4GCLurHCjexrLm_o        "",
      ""HTMLキャッシュ!A:F""
    ),
    3,
    FALSE
  ),
  0
)
"),46084.55721064815)</f>
        <v>46084.55721</v>
      </c>
      <c r="F101" s="49">
        <f>IFERROR(__xludf.DUMMYFUNCTION("IFERROR(
  VLOOKUP(
    A101,
    IMPORTRANGE(
      ""1ZHMy3vVUd_0MrSduXTe1etBb1HNpAlGwQr006ljwMiM"",
      ""GSC最新!A:F""
    ),
    2,
    FALSE
  ),
  0
)
"),0.0)</f>
        <v>0</v>
      </c>
      <c r="G101" s="49">
        <f>IFERROR(__xludf.DUMMYFUNCTION("IFERROR(
  VLOOKUP(
    A101,
    IMPORTRANGE(
      ""1ZHMy3vVUd_0MrSduXTe1etBb1HNpAlGwQr006ljwMiM"",
      ""GSC最新!A:F""
    ),
    3,
    FALSE
  ),
  0
)
"),0.0)</f>
        <v>0</v>
      </c>
      <c r="H101" s="49">
        <f>IFERROR(__xludf.DUMMYFUNCTION("IFERROR(
  VLOOKUP(
    A101,
    IMPORTRANGE(
      ""1ZHMy3vVUd_0MrSduXTe1etBb1HNpAlGwQr006ljwMiM"",
      ""GSC最新!A:F""
    ),
    4,
    FALSE
  ),
  0
)
"),0.0)</f>
        <v>0</v>
      </c>
      <c r="I101" s="49">
        <f>IFERROR(__xludf.DUMMYFUNCTION("IFERROR(
  VLOOKUP(
    A101,
    IMPORTRANGE(
      ""1ZHMy3vVUd_0MrSduXTe1etBb1HNpAlGwQr006ljwMiM"",
      ""GSC最新!A:F""
    ),
    5,
    FALSE
  ),
  0
)
"),0.0)</f>
        <v>0</v>
      </c>
      <c r="J101" s="50" t="str">
        <f t="shared" ref="J101:K101" si="496">IFERROR(F101/H101,"-")</f>
        <v>-</v>
      </c>
      <c r="K101" s="50" t="str">
        <f t="shared" si="496"/>
        <v>-</v>
      </c>
      <c r="L101" s="6">
        <f>IFERROR(__xludf.DUMMYFUNCTION("IFERROR(
  VLOOKUP(
    A101,
    IMPORTRANGE(
      ""1ZHMy3vVUd_0MrSduXTe1etBb1HNpAlGwQr006ljwMiM"",
      ""GSC最新!A:R""
    ),
    7,
    FALSE
  ),
  0
)
"),0.0)</f>
        <v>0</v>
      </c>
      <c r="M101" s="6">
        <f>IFERROR(__xludf.DUMMYFUNCTION("IFERROR(
  VLOOKUP(
    A101,
    IMPORTRANGE(
      ""1ZHMy3vVUd_0MrSduXTe1etBb1HNpAlGwQr006ljwMiM"",
      ""GSC最新!A:R""
    ),
    10,
    FALSE
  ),
  0
)
"),0.0)</f>
        <v>0</v>
      </c>
      <c r="N101" s="6">
        <f>IFERROR(__xludf.DUMMYFUNCTION("IFERROR(
  VLOOKUP(
    A101,
    IMPORTRANGE(
      ""1ZHMy3vVUd_0MrSduXTe1etBb1HNpAlGwQr006ljwMiM"",
      ""GSC最新!A:R""
    ),
    13,
    FALSE
  ),
  0
)
"),0.0)</f>
        <v>0</v>
      </c>
      <c r="O101" s="6">
        <f>IFERROR(__xludf.DUMMYFUNCTION("IFERROR(
  VLOOKUP(
    A101,
    IMPORTRANGE(
      ""1ZHMy3vVUd_0MrSduXTe1etBb1HNpAlGwQr006ljwMiM"",
      ""GSC最新!A:R""
    ),
    16,
    FALSE
  ),
  0
)
"),0.0)</f>
        <v>0</v>
      </c>
      <c r="P101" s="51" t="str">
        <f t="shared" ref="P101:Q101" si="497">IFERROR(L101/N101,"-")</f>
        <v>-</v>
      </c>
      <c r="Q101" s="51" t="str">
        <f t="shared" si="497"/>
        <v>-</v>
      </c>
      <c r="R101" s="9">
        <f>IFERROR(__xludf.DUMMYFUNCTION("IFERROR(
  VLOOKUP(
    A101,
    IMPORTRANGE(
      ""1ZHMy3vVUd_0MrSduXTe1etBb1HNpAlGwQr006ljwMiM"",
      ""GSC最新!A:R""
    ),
    8,
    FALSE
  ),
  0
)
"),0.0)</f>
        <v>0</v>
      </c>
      <c r="S101" s="9">
        <f>IFERROR(__xludf.DUMMYFUNCTION("IFERROR(
  VLOOKUP(
    A101,
    IMPORTRANGE(
      ""1ZHMy3vVUd_0MrSduXTe1etBb1HNpAlGwQr006ljwMiM"",
      ""GSC最新!A:R""
    ),
    11,
    FALSE
  ),
  0
)
"),0.0)</f>
        <v>0</v>
      </c>
      <c r="T101" s="9">
        <f>IFERROR(__xludf.DUMMYFUNCTION("IFERROR(
  VLOOKUP(
    A101,
    IMPORTRANGE(
      ""1ZHMy3vVUd_0MrSduXTe1etBb1HNpAlGwQr006ljwMiM"",
      ""GSC最新!A:R""
    ),
    14,
    FALSE
  ),
  0
)
"),0.0)</f>
        <v>0</v>
      </c>
      <c r="U101" s="9">
        <f>IFERROR(__xludf.DUMMYFUNCTION("IFERROR(
  VLOOKUP(
    A101,
    IMPORTRANGE(
      ""1ZHMy3vVUd_0MrSduXTe1etBb1HNpAlGwQr006ljwMiM"",
      ""GSC最新!A:R""
    ),
    17,
    FALSE
  ),
  0
)
"),0.0)</f>
        <v>0</v>
      </c>
      <c r="V101" s="9">
        <f t="shared" ref="V101:W101" si="498">IFERROR(R101-T101,"-")</f>
        <v>0</v>
      </c>
      <c r="W101" s="9">
        <f t="shared" si="498"/>
        <v>0</v>
      </c>
      <c r="X101" s="65" t="str">
        <f>IFERROR(__xludf.DUMMYFUNCTION("IFERROR(
  VLOOKUP(
    A101,
    IMPORTRANGE(
      ""1ZHMy3vVUd_0MrSduXTe1etBb1HNpAlGwQr006ljwMiM"",
      ""GSC最新!A:R""
    ),
    9,
    FALSE
  ),
  0
)
"),"")</f>
        <v/>
      </c>
      <c r="Y101" s="65" t="str">
        <f>IFERROR(__xludf.DUMMYFUNCTION("IFERROR(
  VLOOKUP(
    A101,
    IMPORTRANGE(
      ""1ZHMy3vVUd_0MrSduXTe1etBb1HNpAlGwQr006ljwMiM"",
      ""GSC最新!A:R""
    ),
    12,
    FALSE
  ),
  0
)
"),"")</f>
        <v/>
      </c>
      <c r="Z101" s="65" t="str">
        <f>IFERROR(__xludf.DUMMYFUNCTION("IFERROR(
  VLOOKUP(
    A101,
    IMPORTRANGE(
      ""1ZHMy3vVUd_0MrSduXTe1etBb1HNpAlGwQr006ljwMiM"",
      ""GSC最新!A:R""
    ),
    15,
    FALSE
  ),
  0
)
"),"")</f>
        <v/>
      </c>
      <c r="AA101" s="65" t="str">
        <f>IFERROR(__xludf.DUMMYFUNCTION("IFERROR(
  VLOOKUP(
    A101,
    IMPORTRANGE(
      ""1ZHMy3vVUd_0MrSduXTe1etBb1HNpAlGwQr006ljwMiM"",
      ""GSC最新!A:R""
    ),
    18,
    FALSE
  ),
  0
)
"),"")</f>
        <v/>
      </c>
      <c r="AB101" s="65">
        <f t="shared" ref="AB101:AC101" si="499">X101-Z101</f>
        <v>0</v>
      </c>
      <c r="AC101" s="65">
        <f t="shared" si="499"/>
        <v>0</v>
      </c>
      <c r="AD101" s="53">
        <f>IFERROR(__xludf.DUMMYFUNCTION("IFERROR(
  VLOOKUP(
    A101,
    IMPORTRANGE(
      ""1ZHMy3vVUd_0MrSduXTe1etBb1HNpAlGwQr006ljwMiM"",
      ""GSC最新!A:F""
    ),
    6,
    FALSE
  ),
  0
)
"),46081.0)</f>
        <v>46081</v>
      </c>
      <c r="AE101" s="54">
        <f>IFERROR(__xludf.DUMMYFUNCTION("IFERROR(
  VLOOKUP(
    A101,
    IMPORTRANGE(
      ""1SCYQd7_cobOYqT0r_F0IqD4tE4rYn5y8Eup4PJTH8es"",
      ""Snapshot!A:M""
    ),
    5,
    FALSE
  ),
  ""-""
)
"),3.0)</f>
        <v>3</v>
      </c>
      <c r="AF101" s="54">
        <f>IFERROR(__xludf.DUMMYFUNCTION("IFERROR(
  VLOOKUP(
    A101,
    IMPORTRANGE(
      ""1SCYQd7_cobOYqT0r_F0IqD4tE4rYn5y8Eup4PJTH8es"",
      ""Snapshot!A:M""
    ),
    6,
    FALSE
  ),
  0
)
"),3.0)</f>
        <v>3</v>
      </c>
      <c r="AG101" s="54">
        <f>IFERROR(__xludf.DUMMYFUNCTION("IFERROR(
  VLOOKUP(
    A101,
    IMPORTRANGE(
      ""1SCYQd7_cobOYqT0r_F0IqD4tE4rYn5y8Eup4PJTH8es"",
      ""Snapshot!A:M""
    ),
    7,
    FALSE
  ),
  0
)
"),3521.0)</f>
        <v>3521</v>
      </c>
      <c r="AH101" s="54">
        <f>IFERROR(__xludf.DUMMYFUNCTION("IFERROR(
  VLOOKUP(
    A101,
    IMPORTRANGE(
      ""1SCYQd7_cobOYqT0r_F0IqD4tE4rYn5y8Eup4PJTH8es"",
      ""Snapshot!A:M""
    ),
    8,
    FALSE
  ),
  0
)
"),27.0)</f>
        <v>27</v>
      </c>
      <c r="AI101" s="54">
        <f>IFERROR(__xludf.DUMMYFUNCTION("IFERROR(
  VLOOKUP(
    A101,
    IMPORTRANGE(
      ""1SCYQd7_cobOYqT0r_F0IqD4tE4rYn5y8Eup4PJTH8es"",
      ""Snapshot!A:M""
    ),
    9,
    FALSE
  ),
  0
)
"),0.0)</f>
        <v>0</v>
      </c>
      <c r="AJ101" s="54">
        <f>IFERROR(__xludf.DUMMYFUNCTION("IFERROR(
  VLOOKUP(
    A101,
    IMPORTRANGE(
      ""1SCYQd7_cobOYqT0r_F0IqD4tE4rYn5y8Eup4PJTH8es"",
      ""Snapshot!A:M""
    ),
    13,
    FALSE
  ),
  0
)
"),2.0)</f>
        <v>2</v>
      </c>
      <c r="AK101" s="49">
        <f t="shared" ref="AK101:AL101" si="500">LEN(C101)</f>
        <v>53</v>
      </c>
      <c r="AL101" s="49">
        <f t="shared" si="500"/>
        <v>55</v>
      </c>
    </row>
    <row r="102">
      <c r="A102" s="3" t="s">
        <v>787</v>
      </c>
      <c r="B102" s="1" t="str">
        <f>IFERROR(__xludf.DUMMYFUNCTION("IFERROR(
  VLOOKUP(
    A102,
    IMPORTRANGE(
      ""1ZygntHC1J6IxzKbTidmOyf5nUyW4GCLurHCjexrLm_o"",
      ""HTMLキャッシュ!A:F""
    ),
    2,
    FALSE
  ),
  0
)
"),"SC")</f>
        <v>SC</v>
      </c>
      <c r="C102" s="1" t="str">
        <f>IFERROR(__xludf.DUMMYFUNCTION("IFERROR(
  VLOOKUP(
    A102,
    IMPORTRANGE(
      ""1ZygntHC1J6IxzKbTidmOyf5nUyW4GCLurHCjexrLm_o"",
      ""HTMLキャッシュ!A:F""
    ),
    5,
    FALSE
  ),
  0
)
"),"受験でやる気でない理由とその対処法 - 中高一貫校専門塾エスコット(Escot)～定期試験対策から大学受験指導まで～")</f>
        <v>受験でやる気でない理由とその対処法 - 中高一貫校専門塾エスコット(Escot)～定期試験対策から大学受験指導まで～</v>
      </c>
      <c r="D102" s="1" t="str">
        <f>IFERROR(__xludf.DUMMYFUNCTION("IFERROR(
  VLOOKUP(
    A102,
    IMPORTRANGE(
      ""1ZygntHC1J6IxzKbTidmOyf5nUyW4GCLurHCjexrLm_o        "",
      ""HTMLキャッシュ!A:F""
    ),
    6,
    FALSE
  ),
  0
)
"),"受験 やる気 対処法 受験でやる気でない理由とその対処法 受験を控えているにも関わらず、やる気がでないでない人")</f>
        <v>受験 やる気 対処法 受験でやる気でない理由とその対処法 受験を控えているにも関わらず、やる気がでないでない人</v>
      </c>
      <c r="E102" s="32">
        <f>IFERROR(__xludf.DUMMYFUNCTION("IFERROR(
  VLOOKUP(
    A102,
    IMPORTRANGE(
      ""1ZygntHC1J6IxzKbTidmOyf5nUyW4GCLurHCjexrLm_o        "",
      ""HTMLキャッシュ!A:F""
    ),
    3,
    FALSE
  ),
  0
)
"),46084.599016203705)</f>
        <v>46084.59902</v>
      </c>
      <c r="F102" s="49">
        <f>IFERROR(__xludf.DUMMYFUNCTION("IFERROR(
  VLOOKUP(
    A102,
    IMPORTRANGE(
      ""1ZHMy3vVUd_0MrSduXTe1etBb1HNpAlGwQr006ljwMiM"",
      ""GSC最新!A:F""
    ),
    2,
    FALSE
  ),
  0
)
"),0.0)</f>
        <v>0</v>
      </c>
      <c r="G102" s="49">
        <f>IFERROR(__xludf.DUMMYFUNCTION("IFERROR(
  VLOOKUP(
    A102,
    IMPORTRANGE(
      ""1ZHMy3vVUd_0MrSduXTe1etBb1HNpAlGwQr006ljwMiM"",
      ""GSC最新!A:F""
    ),
    3,
    FALSE
  ),
  0
)
"),0.0)</f>
        <v>0</v>
      </c>
      <c r="H102" s="49">
        <f>IFERROR(__xludf.DUMMYFUNCTION("IFERROR(
  VLOOKUP(
    A102,
    IMPORTRANGE(
      ""1ZHMy3vVUd_0MrSduXTe1etBb1HNpAlGwQr006ljwMiM"",
      ""GSC最新!A:F""
    ),
    4,
    FALSE
  ),
  0
)
"),0.0)</f>
        <v>0</v>
      </c>
      <c r="I102" s="49">
        <f>IFERROR(__xludf.DUMMYFUNCTION("IFERROR(
  VLOOKUP(
    A102,
    IMPORTRANGE(
      ""1ZHMy3vVUd_0MrSduXTe1etBb1HNpAlGwQr006ljwMiM"",
      ""GSC最新!A:F""
    ),
    5,
    FALSE
  ),
  0
)
"),0.0)</f>
        <v>0</v>
      </c>
      <c r="J102" s="50" t="str">
        <f t="shared" ref="J102:K102" si="501">IFERROR(F102/H102,"-")</f>
        <v>-</v>
      </c>
      <c r="K102" s="50" t="str">
        <f t="shared" si="501"/>
        <v>-</v>
      </c>
      <c r="L102" s="6">
        <f>IFERROR(__xludf.DUMMYFUNCTION("IFERROR(
  VLOOKUP(
    A102,
    IMPORTRANGE(
      ""1ZHMy3vVUd_0MrSduXTe1etBb1HNpAlGwQr006ljwMiM"",
      ""GSC最新!A:R""
    ),
    7,
    FALSE
  ),
  0
)
"),0.0)</f>
        <v>0</v>
      </c>
      <c r="M102" s="6">
        <f>IFERROR(__xludf.DUMMYFUNCTION("IFERROR(
  VLOOKUP(
    A102,
    IMPORTRANGE(
      ""1ZHMy3vVUd_0MrSduXTe1etBb1HNpAlGwQr006ljwMiM"",
      ""GSC最新!A:R""
    ),
    10,
    FALSE
  ),
  0
)
"),0.0)</f>
        <v>0</v>
      </c>
      <c r="N102" s="6">
        <f>IFERROR(__xludf.DUMMYFUNCTION("IFERROR(
  VLOOKUP(
    A102,
    IMPORTRANGE(
      ""1ZHMy3vVUd_0MrSduXTe1etBb1HNpAlGwQr006ljwMiM"",
      ""GSC最新!A:R""
    ),
    13,
    FALSE
  ),
  0
)
"),0.0)</f>
        <v>0</v>
      </c>
      <c r="O102" s="6">
        <f>IFERROR(__xludf.DUMMYFUNCTION("IFERROR(
  VLOOKUP(
    A102,
    IMPORTRANGE(
      ""1ZHMy3vVUd_0MrSduXTe1etBb1HNpAlGwQr006ljwMiM"",
      ""GSC最新!A:R""
    ),
    16,
    FALSE
  ),
  0
)
"),45.0)</f>
        <v>45</v>
      </c>
      <c r="P102" s="51" t="str">
        <f t="shared" ref="P102:Q102" si="502">IFERROR(L102/N102,"-")</f>
        <v>-</v>
      </c>
      <c r="Q102" s="51">
        <f t="shared" si="502"/>
        <v>0</v>
      </c>
      <c r="R102" s="9">
        <f>IFERROR(__xludf.DUMMYFUNCTION("IFERROR(
  VLOOKUP(
    A102,
    IMPORTRANGE(
      ""1ZHMy3vVUd_0MrSduXTe1etBb1HNpAlGwQr006ljwMiM"",
      ""GSC最新!A:R""
    ),
    8,
    FALSE
  ),
  0
)
"),0.0)</f>
        <v>0</v>
      </c>
      <c r="S102" s="9">
        <f>IFERROR(__xludf.DUMMYFUNCTION("IFERROR(
  VLOOKUP(
    A102,
    IMPORTRANGE(
      ""1ZHMy3vVUd_0MrSduXTe1etBb1HNpAlGwQr006ljwMiM"",
      ""GSC最新!A:R""
    ),
    11,
    FALSE
  ),
  0
)
"),0.0)</f>
        <v>0</v>
      </c>
      <c r="T102" s="9">
        <f>IFERROR(__xludf.DUMMYFUNCTION("IFERROR(
  VLOOKUP(
    A102,
    IMPORTRANGE(
      ""1ZHMy3vVUd_0MrSduXTe1etBb1HNpAlGwQr006ljwMiM"",
      ""GSC最新!A:R""
    ),
    14,
    FALSE
  ),
  0
)
"),0.0)</f>
        <v>0</v>
      </c>
      <c r="U102" s="9">
        <f>IFERROR(__xludf.DUMMYFUNCTION("IFERROR(
  VLOOKUP(
    A102,
    IMPORTRANGE(
      ""1ZHMy3vVUd_0MrSduXTe1etBb1HNpAlGwQr006ljwMiM"",
      ""GSC最新!A:R""
    ),
    17,
    FALSE
  ),
  0
)
"),0.0)</f>
        <v>0</v>
      </c>
      <c r="V102" s="9">
        <f t="shared" ref="V102:W102" si="503">IFERROR(R102-T102,"-")</f>
        <v>0</v>
      </c>
      <c r="W102" s="9">
        <f t="shared" si="503"/>
        <v>0</v>
      </c>
      <c r="X102" s="65" t="str">
        <f>IFERROR(__xludf.DUMMYFUNCTION("IFERROR(
  VLOOKUP(
    A102,
    IMPORTRANGE(
      ""1ZHMy3vVUd_0MrSduXTe1etBb1HNpAlGwQr006ljwMiM"",
      ""GSC最新!A:R""
    ),
    9,
    FALSE
  ),
  0
)
"),"")</f>
        <v/>
      </c>
      <c r="Y102" s="65" t="str">
        <f>IFERROR(__xludf.DUMMYFUNCTION("IFERROR(
  VLOOKUP(
    A102,
    IMPORTRANGE(
      ""1ZHMy3vVUd_0MrSduXTe1etBb1HNpAlGwQr006ljwMiM"",
      ""GSC最新!A:R""
    ),
    12,
    FALSE
  ),
  0
)
"),"")</f>
        <v/>
      </c>
      <c r="Z102" s="65" t="str">
        <f>IFERROR(__xludf.DUMMYFUNCTION("IFERROR(
  VLOOKUP(
    A102,
    IMPORTRANGE(
      ""1ZHMy3vVUd_0MrSduXTe1etBb1HNpAlGwQr006ljwMiM"",
      ""GSC最新!A:R""
    ),
    15,
    FALSE
  ),
  0
)
"),"")</f>
        <v/>
      </c>
      <c r="AA102" s="65">
        <f>IFERROR(__xludf.DUMMYFUNCTION("IFERROR(
  VLOOKUP(
    A102,
    IMPORTRANGE(
      ""1ZHMy3vVUd_0MrSduXTe1etBb1HNpAlGwQr006ljwMiM"",
      ""GSC最新!A:R""
    ),
    18,
    FALSE
  ),
  0
)
"),70.75555555555556)</f>
        <v>70.75555556</v>
      </c>
      <c r="AB102" s="65">
        <f t="shared" ref="AB102:AC102" si="504">X102-Z102</f>
        <v>0</v>
      </c>
      <c r="AC102" s="65">
        <f t="shared" si="504"/>
        <v>-70.75555556</v>
      </c>
      <c r="AD102" s="53">
        <f>IFERROR(__xludf.DUMMYFUNCTION("IFERROR(
  VLOOKUP(
    A102,
    IMPORTRANGE(
      ""1ZHMy3vVUd_0MrSduXTe1etBb1HNpAlGwQr006ljwMiM"",
      ""GSC最新!A:F""
    ),
    6,
    FALSE
  ),
  0
)
"),46081.0)</f>
        <v>46081</v>
      </c>
      <c r="AE102" s="54">
        <f>IFERROR(__xludf.DUMMYFUNCTION("IFERROR(
  VLOOKUP(
    A102,
    IMPORTRANGE(
      ""1SCYQd7_cobOYqT0r_F0IqD4tE4rYn5y8Eup4PJTH8es"",
      ""Snapshot!A:M""
    ),
    5,
    FALSE
  ),
  ""-""
)
"),3.0)</f>
        <v>3</v>
      </c>
      <c r="AF102" s="54">
        <f>IFERROR(__xludf.DUMMYFUNCTION("IFERROR(
  VLOOKUP(
    A102,
    IMPORTRANGE(
      ""1SCYQd7_cobOYqT0r_F0IqD4tE4rYn5y8Eup4PJTH8es"",
      ""Snapshot!A:M""
    ),
    6,
    FALSE
  ),
  0
)
"),4.0)</f>
        <v>4</v>
      </c>
      <c r="AG102" s="54">
        <f>IFERROR(__xludf.DUMMYFUNCTION("IFERROR(
  VLOOKUP(
    A102,
    IMPORTRANGE(
      ""1SCYQd7_cobOYqT0r_F0IqD4tE4rYn5y8Eup4PJTH8es"",
      ""Snapshot!A:M""
    ),
    7,
    FALSE
  ),
  0
)
"),3228.0)</f>
        <v>3228</v>
      </c>
      <c r="AH102" s="54">
        <f>IFERROR(__xludf.DUMMYFUNCTION("IFERROR(
  VLOOKUP(
    A102,
    IMPORTRANGE(
      ""1SCYQd7_cobOYqT0r_F0IqD4tE4rYn5y8Eup4PJTH8es"",
      ""Snapshot!A:M""
    ),
    8,
    FALSE
  ),
  0
)
"),28.0)</f>
        <v>28</v>
      </c>
      <c r="AI102" s="54">
        <f>IFERROR(__xludf.DUMMYFUNCTION("IFERROR(
  VLOOKUP(
    A102,
    IMPORTRANGE(
      ""1SCYQd7_cobOYqT0r_F0IqD4tE4rYn5y8Eup4PJTH8es"",
      ""Snapshot!A:M""
    ),
    9,
    FALSE
  ),
  0
)
"),0.0)</f>
        <v>0</v>
      </c>
      <c r="AJ102" s="54">
        <f>IFERROR(__xludf.DUMMYFUNCTION("IFERROR(
  VLOOKUP(
    A102,
    IMPORTRANGE(
      ""1SCYQd7_cobOYqT0r_F0IqD4tE4rYn5y8Eup4PJTH8es"",
      ""Snapshot!A:M""
    ),
    13,
    FALSE
  ),
  0
)
"),2.0)</f>
        <v>2</v>
      </c>
      <c r="AK102" s="49">
        <f t="shared" ref="AK102:AL102" si="505">LEN(C102)</f>
        <v>58</v>
      </c>
      <c r="AL102" s="49">
        <f t="shared" si="505"/>
        <v>55</v>
      </c>
    </row>
    <row r="103">
      <c r="A103" s="3" t="s">
        <v>788</v>
      </c>
      <c r="B103" s="1" t="str">
        <f>IFERROR(__xludf.DUMMYFUNCTION("IFERROR(
  VLOOKUP(
    A103,
    IMPORTRANGE(
      ""1ZygntHC1J6IxzKbTidmOyf5nUyW4GCLurHCjexrLm_o"",
      ""HTMLキャッシュ!A:F""
    ),
    2,
    FALSE
  ),
  0
)
"),"SC")</f>
        <v>SC</v>
      </c>
      <c r="C103" s="1" t="str">
        <f>IFERROR(__xludf.DUMMYFUNCTION("IFERROR(
  VLOOKUP(
    A103,
    IMPORTRANGE(
      ""1ZygntHC1J6IxzKbTidmOyf5nUyW4GCLurHCjexrLm_o"",
      ""HTMLキャッシュ!A:F""
    ),
    5,
    FALSE
  ),
  0
)
"),"受験生なのにやる気が出ない！どうすればいい？ - 中高一貫校専門塾エスコット(Escot)～定期試験対策から大学受験指導まで～")</f>
        <v>受験生なのにやる気が出ない！どうすればいい？ - 中高一貫校専門塾エスコット(Escot)～定期試験対策から大学受験指導まで～</v>
      </c>
      <c r="D103" s="1" t="str">
        <f>IFERROR(__xludf.DUMMYFUNCTION("IFERROR(
  VLOOKUP(
    A103,
    IMPORTRANGE(
      ""1ZygntHC1J6IxzKbTidmOyf5nUyW4GCLurHCjexrLm_o        "",
      ""HTMLキャッシュ!A:F""
    ),
    6,
    FALSE
  ),
  0
)
"),"受験生 やる気 勉強が進まない 受験生なのにやる気が出ない！どうすればいい？ 受験を控えているのにやる気が起こ")</f>
        <v>受験生 やる気 勉強が進まない 受験生なのにやる気が出ない！どうすればいい？ 受験を控えているのにやる気が起こ</v>
      </c>
      <c r="E103" s="32">
        <f>IFERROR(__xludf.DUMMYFUNCTION("IFERROR(
  VLOOKUP(
    A103,
    IMPORTRANGE(
      ""1ZygntHC1J6IxzKbTidmOyf5nUyW4GCLurHCjexrLm_o        "",
      ""HTMLキャッシュ!A:F""
    ),
    3,
    FALSE
  ),
  0
)
"),46081.85087962963)</f>
        <v>46081.85088</v>
      </c>
      <c r="F103" s="49">
        <f>IFERROR(__xludf.DUMMYFUNCTION("IFERROR(
  VLOOKUP(
    A103,
    IMPORTRANGE(
      ""1ZHMy3vVUd_0MrSduXTe1etBb1HNpAlGwQr006ljwMiM"",
      ""GSC最新!A:F""
    ),
    2,
    FALSE
  ),
  0
)
"),0.0)</f>
        <v>0</v>
      </c>
      <c r="G103" s="49">
        <f>IFERROR(__xludf.DUMMYFUNCTION("IFERROR(
  VLOOKUP(
    A103,
    IMPORTRANGE(
      ""1ZHMy3vVUd_0MrSduXTe1etBb1HNpAlGwQr006ljwMiM"",
      ""GSC最新!A:F""
    ),
    3,
    FALSE
  ),
  0
)
"),0.0)</f>
        <v>0</v>
      </c>
      <c r="H103" s="49">
        <f>IFERROR(__xludf.DUMMYFUNCTION("IFERROR(
  VLOOKUP(
    A103,
    IMPORTRANGE(
      ""1ZHMy3vVUd_0MrSduXTe1etBb1HNpAlGwQr006ljwMiM"",
      ""GSC最新!A:F""
    ),
    4,
    FALSE
  ),
  0
)
"),0.0)</f>
        <v>0</v>
      </c>
      <c r="I103" s="49">
        <f>IFERROR(__xludf.DUMMYFUNCTION("IFERROR(
  VLOOKUP(
    A103,
    IMPORTRANGE(
      ""1ZHMy3vVUd_0MrSduXTe1etBb1HNpAlGwQr006ljwMiM"",
      ""GSC最新!A:F""
    ),
    5,
    FALSE
  ),
  0
)
"),0.0)</f>
        <v>0</v>
      </c>
      <c r="J103" s="50" t="str">
        <f t="shared" ref="J103:K103" si="506">IFERROR(F103/H103,"-")</f>
        <v>-</v>
      </c>
      <c r="K103" s="50" t="str">
        <f t="shared" si="506"/>
        <v>-</v>
      </c>
      <c r="L103" s="6">
        <f>IFERROR(__xludf.DUMMYFUNCTION("IFERROR(
  VLOOKUP(
    A103,
    IMPORTRANGE(
      ""1ZHMy3vVUd_0MrSduXTe1etBb1HNpAlGwQr006ljwMiM"",
      ""GSC最新!A:R""
    ),
    7,
    FALSE
  ),
  0
)
"),0.0)</f>
        <v>0</v>
      </c>
      <c r="M103" s="6">
        <f>IFERROR(__xludf.DUMMYFUNCTION("IFERROR(
  VLOOKUP(
    A103,
    IMPORTRANGE(
      ""1ZHMy3vVUd_0MrSduXTe1etBb1HNpAlGwQr006ljwMiM"",
      ""GSC最新!A:R""
    ),
    10,
    FALSE
  ),
  0
)
"),0.0)</f>
        <v>0</v>
      </c>
      <c r="N103" s="6">
        <f>IFERROR(__xludf.DUMMYFUNCTION("IFERROR(
  VLOOKUP(
    A103,
    IMPORTRANGE(
      ""1ZHMy3vVUd_0MrSduXTe1etBb1HNpAlGwQr006ljwMiM"",
      ""GSC最新!A:R""
    ),
    13,
    FALSE
  ),
  0
)
"),1.0)</f>
        <v>1</v>
      </c>
      <c r="O103" s="6">
        <f>IFERROR(__xludf.DUMMYFUNCTION("IFERROR(
  VLOOKUP(
    A103,
    IMPORTRANGE(
      ""1ZHMy3vVUd_0MrSduXTe1etBb1HNpAlGwQr006ljwMiM"",
      ""GSC最新!A:R""
    ),
    16,
    FALSE
  ),
  0
)
"),5.0)</f>
        <v>5</v>
      </c>
      <c r="P103" s="51">
        <f t="shared" ref="P103:Q103" si="507">IFERROR(L103/N103,"-")</f>
        <v>0</v>
      </c>
      <c r="Q103" s="51">
        <f t="shared" si="507"/>
        <v>0</v>
      </c>
      <c r="R103" s="9">
        <f>IFERROR(__xludf.DUMMYFUNCTION("IFERROR(
  VLOOKUP(
    A103,
    IMPORTRANGE(
      ""1ZHMy3vVUd_0MrSduXTe1etBb1HNpAlGwQr006ljwMiM"",
      ""GSC最新!A:R""
    ),
    8,
    FALSE
  ),
  0
)
"),0.0)</f>
        <v>0</v>
      </c>
      <c r="S103" s="9">
        <f>IFERROR(__xludf.DUMMYFUNCTION("IFERROR(
  VLOOKUP(
    A103,
    IMPORTRANGE(
      ""1ZHMy3vVUd_0MrSduXTe1etBb1HNpAlGwQr006ljwMiM"",
      ""GSC最新!A:R""
    ),
    11,
    FALSE
  ),
  0
)
"),0.0)</f>
        <v>0</v>
      </c>
      <c r="T103" s="9">
        <f>IFERROR(__xludf.DUMMYFUNCTION("IFERROR(
  VLOOKUP(
    A103,
    IMPORTRANGE(
      ""1ZHMy3vVUd_0MrSduXTe1etBb1HNpAlGwQr006ljwMiM"",
      ""GSC最新!A:R""
    ),
    14,
    FALSE
  ),
  0
)
"),0.0)</f>
        <v>0</v>
      </c>
      <c r="U103" s="9">
        <f>IFERROR(__xludf.DUMMYFUNCTION("IFERROR(
  VLOOKUP(
    A103,
    IMPORTRANGE(
      ""1ZHMy3vVUd_0MrSduXTe1etBb1HNpAlGwQr006ljwMiM"",
      ""GSC最新!A:R""
    ),
    17,
    FALSE
  ),
  0
)
"),0.0)</f>
        <v>0</v>
      </c>
      <c r="V103" s="9">
        <f t="shared" ref="V103:W103" si="508">IFERROR(R103-T103,"-")</f>
        <v>0</v>
      </c>
      <c r="W103" s="9">
        <f t="shared" si="508"/>
        <v>0</v>
      </c>
      <c r="X103" s="65" t="str">
        <f>IFERROR(__xludf.DUMMYFUNCTION("IFERROR(
  VLOOKUP(
    A103,
    IMPORTRANGE(
      ""1ZHMy3vVUd_0MrSduXTe1etBb1HNpAlGwQr006ljwMiM"",
      ""GSC最新!A:R""
    ),
    9,
    FALSE
  ),
  0
)
"),"")</f>
        <v/>
      </c>
      <c r="Y103" s="65" t="str">
        <f>IFERROR(__xludf.DUMMYFUNCTION("IFERROR(
  VLOOKUP(
    A103,
    IMPORTRANGE(
      ""1ZHMy3vVUd_0MrSduXTe1etBb1HNpAlGwQr006ljwMiM"",
      ""GSC最新!A:R""
    ),
    12,
    FALSE
  ),
  0
)
"),"")</f>
        <v/>
      </c>
      <c r="Z103" s="65">
        <f>IFERROR(__xludf.DUMMYFUNCTION("IFERROR(
  VLOOKUP(
    A103,
    IMPORTRANGE(
      ""1ZHMy3vVUd_0MrSduXTe1etBb1HNpAlGwQr006ljwMiM"",
      ""GSC最新!A:R""
    ),
    15,
    FALSE
  ),
  0
)
"),6.0)</f>
        <v>6</v>
      </c>
      <c r="AA103" s="65">
        <f>IFERROR(__xludf.DUMMYFUNCTION("IFERROR(
  VLOOKUP(
    A103,
    IMPORTRANGE(
      ""1ZHMy3vVUd_0MrSduXTe1etBb1HNpAlGwQr006ljwMiM"",
      ""GSC最新!A:R""
    ),
    18,
    FALSE
  ),
  0
)
"),7.4)</f>
        <v>7.4</v>
      </c>
      <c r="AB103" s="65">
        <f t="shared" ref="AB103:AC103" si="509">X103-Z103</f>
        <v>-6</v>
      </c>
      <c r="AC103" s="65">
        <f t="shared" si="509"/>
        <v>-7.4</v>
      </c>
      <c r="AD103" s="53">
        <f>IFERROR(__xludf.DUMMYFUNCTION("IFERROR(
  VLOOKUP(
    A103,
    IMPORTRANGE(
      ""1ZHMy3vVUd_0MrSduXTe1etBb1HNpAlGwQr006ljwMiM"",
      ""GSC最新!A:F""
    ),
    6,
    FALSE
  ),
  0
)
"),46081.0)</f>
        <v>46081</v>
      </c>
      <c r="AE103" s="54">
        <f>IFERROR(__xludf.DUMMYFUNCTION("IFERROR(
  VLOOKUP(
    A103,
    IMPORTRANGE(
      ""1SCYQd7_cobOYqT0r_F0IqD4tE4rYn5y8Eup4PJTH8es"",
      ""Snapshot!A:M""
    ),
    5,
    FALSE
  ),
  ""-""
)
"),3.0)</f>
        <v>3</v>
      </c>
      <c r="AF103" s="54">
        <f>IFERROR(__xludf.DUMMYFUNCTION("IFERROR(
  VLOOKUP(
    A103,
    IMPORTRANGE(
      ""1SCYQd7_cobOYqT0r_F0IqD4tE4rYn5y8Eup4PJTH8es"",
      ""Snapshot!A:M""
    ),
    6,
    FALSE
  ),
  0
)
"),0.0)</f>
        <v>0</v>
      </c>
      <c r="AG103" s="54">
        <f>IFERROR(__xludf.DUMMYFUNCTION("IFERROR(
  VLOOKUP(
    A103,
    IMPORTRANGE(
      ""1SCYQd7_cobOYqT0r_F0IqD4tE4rYn5y8Eup4PJTH8es"",
      ""Snapshot!A:M""
    ),
    7,
    FALSE
  ),
  0
)
"),2998.0)</f>
        <v>2998</v>
      </c>
      <c r="AH103" s="54">
        <f>IFERROR(__xludf.DUMMYFUNCTION("IFERROR(
  VLOOKUP(
    A103,
    IMPORTRANGE(
      ""1SCYQd7_cobOYqT0r_F0IqD4tE4rYn5y8Eup4PJTH8es"",
      ""Snapshot!A:M""
    ),
    8,
    FALSE
  ),
  0
)
"),28.0)</f>
        <v>28</v>
      </c>
      <c r="AI103" s="54">
        <f>IFERROR(__xludf.DUMMYFUNCTION("IFERROR(
  VLOOKUP(
    A103,
    IMPORTRANGE(
      ""1SCYQd7_cobOYqT0r_F0IqD4tE4rYn5y8Eup4PJTH8es"",
      ""Snapshot!A:M""
    ),
    9,
    FALSE
  ),
  0
)
"),0.0)</f>
        <v>0</v>
      </c>
      <c r="AJ103" s="54">
        <f>IFERROR(__xludf.DUMMYFUNCTION("IFERROR(
  VLOOKUP(
    A103,
    IMPORTRANGE(
      ""1SCYQd7_cobOYqT0r_F0IqD4tE4rYn5y8Eup4PJTH8es"",
      ""Snapshot!A:M""
    ),
    13,
    FALSE
  ),
  0
)
"),2.0)</f>
        <v>2</v>
      </c>
      <c r="AK103" s="49">
        <f t="shared" ref="AK103:AL103" si="510">LEN(C103)</f>
        <v>63</v>
      </c>
      <c r="AL103" s="49">
        <f t="shared" si="510"/>
        <v>55</v>
      </c>
    </row>
    <row r="104">
      <c r="A104" s="3" t="s">
        <v>789</v>
      </c>
      <c r="B104" s="1" t="str">
        <f>IFERROR(__xludf.DUMMYFUNCTION("IFERROR(
  VLOOKUP(
    A104,
    IMPORTRANGE(
      ""1ZygntHC1J6IxzKbTidmOyf5nUyW4GCLurHCjexrLm_o"",
      ""HTMLキャッシュ!A:F""
    ),
    2,
    FALSE
  ),
  0
)
"),"SC")</f>
        <v>SC</v>
      </c>
      <c r="C104" s="1" t="str">
        <f>IFERROR(__xludf.DUMMYFUNCTION("IFERROR(
  VLOOKUP(
    A104,
    IMPORTRANGE(
      ""1ZygntHC1J6IxzKbTidmOyf5nUyW4GCLurHCjexrLm_o"",
      ""HTMLキャッシュ!A:F""
    ),
    5,
    FALSE
  ),
  0
)
"),"本当に賢い中学生の勉強を嫌いにならない勉強法 - 中高一貫校専門塾エスコット(Escot)～定期試験対策から大学受験指導まで～")</f>
        <v>本当に賢い中学生の勉強を嫌いにならない勉強法 - 中高一貫校専門塾エスコット(Escot)～定期試験対策から大学受験指導まで～</v>
      </c>
      <c r="D104" s="1" t="str">
        <f>IFERROR(__xludf.DUMMYFUNCTION("IFERROR(
  VLOOKUP(
    A104,
    IMPORTRANGE(
      ""1ZygntHC1J6IxzKbTidmOyf5nUyW4GCLurHCjexrLm_o        "",
      ""HTMLキャッシュ!A:F""
    ),
    6,
    FALSE
  ),
  0
)
"),"中学生 勉強法 勉強嫌いを防ぐ 本当に賢い中学生の勉強を嫌いにならない勉強法 中学校と高校とで大きく違うところ")</f>
        <v>中学生 勉強法 勉強嫌いを防ぐ 本当に賢い中学生の勉強を嫌いにならない勉強法 中学校と高校とで大きく違うところ</v>
      </c>
      <c r="E104" s="32">
        <f>IFERROR(__xludf.DUMMYFUNCTION("IFERROR(
  VLOOKUP(
    A104,
    IMPORTRANGE(
      ""1ZygntHC1J6IxzKbTidmOyf5nUyW4GCLurHCjexrLm_o        "",
      ""HTMLキャッシュ!A:F""
    ),
    3,
    FALSE
  ),
  0
)
"),46084.58069444444)</f>
        <v>46084.58069</v>
      </c>
      <c r="F104" s="49">
        <f>IFERROR(__xludf.DUMMYFUNCTION("IFERROR(
  VLOOKUP(
    A104,
    IMPORTRANGE(
      ""1ZHMy3vVUd_0MrSduXTe1etBb1HNpAlGwQr006ljwMiM"",
      ""GSC最新!A:F""
    ),
    2,
    FALSE
  ),
  0
)
"),0.0)</f>
        <v>0</v>
      </c>
      <c r="G104" s="49">
        <f>IFERROR(__xludf.DUMMYFUNCTION("IFERROR(
  VLOOKUP(
    A104,
    IMPORTRANGE(
      ""1ZHMy3vVUd_0MrSduXTe1etBb1HNpAlGwQr006ljwMiM"",
      ""GSC最新!A:F""
    ),
    3,
    FALSE
  ),
  0
)
"),0.0)</f>
        <v>0</v>
      </c>
      <c r="H104" s="49">
        <f>IFERROR(__xludf.DUMMYFUNCTION("IFERROR(
  VLOOKUP(
    A104,
    IMPORTRANGE(
      ""1ZHMy3vVUd_0MrSduXTe1etBb1HNpAlGwQr006ljwMiM"",
      ""GSC最新!A:F""
    ),
    4,
    FALSE
  ),
  0
)
"),0.0)</f>
        <v>0</v>
      </c>
      <c r="I104" s="49">
        <f>IFERROR(__xludf.DUMMYFUNCTION("IFERROR(
  VLOOKUP(
    A104,
    IMPORTRANGE(
      ""1ZHMy3vVUd_0MrSduXTe1etBb1HNpAlGwQr006ljwMiM"",
      ""GSC最新!A:F""
    ),
    5,
    FALSE
  ),
  0
)
"),0.0)</f>
        <v>0</v>
      </c>
      <c r="J104" s="50" t="str">
        <f t="shared" ref="J104:K104" si="511">IFERROR(F104/H104,"-")</f>
        <v>-</v>
      </c>
      <c r="K104" s="50" t="str">
        <f t="shared" si="511"/>
        <v>-</v>
      </c>
      <c r="L104" s="6">
        <f>IFERROR(__xludf.DUMMYFUNCTION("IFERROR(
  VLOOKUP(
    A104,
    IMPORTRANGE(
      ""1ZHMy3vVUd_0MrSduXTe1etBb1HNpAlGwQr006ljwMiM"",
      ""GSC最新!A:R""
    ),
    7,
    FALSE
  ),
  0
)
"),0.0)</f>
        <v>0</v>
      </c>
      <c r="M104" s="6">
        <f>IFERROR(__xludf.DUMMYFUNCTION("IFERROR(
  VLOOKUP(
    A104,
    IMPORTRANGE(
      ""1ZHMy3vVUd_0MrSduXTe1etBb1HNpAlGwQr006ljwMiM"",
      ""GSC最新!A:R""
    ),
    10,
    FALSE
  ),
  0
)
"),0.0)</f>
        <v>0</v>
      </c>
      <c r="N104" s="6">
        <f>IFERROR(__xludf.DUMMYFUNCTION("IFERROR(
  VLOOKUP(
    A104,
    IMPORTRANGE(
      ""1ZHMy3vVUd_0MrSduXTe1etBb1HNpAlGwQr006ljwMiM"",
      ""GSC最新!A:R""
    ),
    13,
    FALSE
  ),
  0
)
"),0.0)</f>
        <v>0</v>
      </c>
      <c r="O104" s="6">
        <f>IFERROR(__xludf.DUMMYFUNCTION("IFERROR(
  VLOOKUP(
    A104,
    IMPORTRANGE(
      ""1ZHMy3vVUd_0MrSduXTe1etBb1HNpAlGwQr006ljwMiM"",
      ""GSC最新!A:R""
    ),
    16,
    FALSE
  ),
  0
)
"),0.0)</f>
        <v>0</v>
      </c>
      <c r="P104" s="51" t="str">
        <f t="shared" ref="P104:Q104" si="512">IFERROR(L104/N104,"-")</f>
        <v>-</v>
      </c>
      <c r="Q104" s="51" t="str">
        <f t="shared" si="512"/>
        <v>-</v>
      </c>
      <c r="R104" s="9">
        <f>IFERROR(__xludf.DUMMYFUNCTION("IFERROR(
  VLOOKUP(
    A104,
    IMPORTRANGE(
      ""1ZHMy3vVUd_0MrSduXTe1etBb1HNpAlGwQr006ljwMiM"",
      ""GSC最新!A:R""
    ),
    8,
    FALSE
  ),
  0
)
"),0.0)</f>
        <v>0</v>
      </c>
      <c r="S104" s="9">
        <f>IFERROR(__xludf.DUMMYFUNCTION("IFERROR(
  VLOOKUP(
    A104,
    IMPORTRANGE(
      ""1ZHMy3vVUd_0MrSduXTe1etBb1HNpAlGwQr006ljwMiM"",
      ""GSC最新!A:R""
    ),
    11,
    FALSE
  ),
  0
)
"),0.0)</f>
        <v>0</v>
      </c>
      <c r="T104" s="9">
        <f>IFERROR(__xludf.DUMMYFUNCTION("IFERROR(
  VLOOKUP(
    A104,
    IMPORTRANGE(
      ""1ZHMy3vVUd_0MrSduXTe1etBb1HNpAlGwQr006ljwMiM"",
      ""GSC最新!A:R""
    ),
    14,
    FALSE
  ),
  0
)
"),0.0)</f>
        <v>0</v>
      </c>
      <c r="U104" s="9">
        <f>IFERROR(__xludf.DUMMYFUNCTION("IFERROR(
  VLOOKUP(
    A104,
    IMPORTRANGE(
      ""1ZHMy3vVUd_0MrSduXTe1etBb1HNpAlGwQr006ljwMiM"",
      ""GSC最新!A:R""
    ),
    17,
    FALSE
  ),
  0
)
"),0.0)</f>
        <v>0</v>
      </c>
      <c r="V104" s="9">
        <f t="shared" ref="V104:W104" si="513">IFERROR(R104-T104,"-")</f>
        <v>0</v>
      </c>
      <c r="W104" s="9">
        <f t="shared" si="513"/>
        <v>0</v>
      </c>
      <c r="X104" s="65" t="str">
        <f>IFERROR(__xludf.DUMMYFUNCTION("IFERROR(
  VLOOKUP(
    A104,
    IMPORTRANGE(
      ""1ZHMy3vVUd_0MrSduXTe1etBb1HNpAlGwQr006ljwMiM"",
      ""GSC最新!A:R""
    ),
    9,
    FALSE
  ),
  0
)
"),"")</f>
        <v/>
      </c>
      <c r="Y104" s="65" t="str">
        <f>IFERROR(__xludf.DUMMYFUNCTION("IFERROR(
  VLOOKUP(
    A104,
    IMPORTRANGE(
      ""1ZHMy3vVUd_0MrSduXTe1etBb1HNpAlGwQr006ljwMiM"",
      ""GSC最新!A:R""
    ),
    12,
    FALSE
  ),
  0
)
"),"")</f>
        <v/>
      </c>
      <c r="Z104" s="65" t="str">
        <f>IFERROR(__xludf.DUMMYFUNCTION("IFERROR(
  VLOOKUP(
    A104,
    IMPORTRANGE(
      ""1ZHMy3vVUd_0MrSduXTe1etBb1HNpAlGwQr006ljwMiM"",
      ""GSC最新!A:R""
    ),
    15,
    FALSE
  ),
  0
)
"),"")</f>
        <v/>
      </c>
      <c r="AA104" s="65" t="str">
        <f>IFERROR(__xludf.DUMMYFUNCTION("IFERROR(
  VLOOKUP(
    A104,
    IMPORTRANGE(
      ""1ZHMy3vVUd_0MrSduXTe1etBb1HNpAlGwQr006ljwMiM"",
      ""GSC最新!A:R""
    ),
    18,
    FALSE
  ),
  0
)
"),"")</f>
        <v/>
      </c>
      <c r="AB104" s="65">
        <f t="shared" ref="AB104:AC104" si="514">X104-Z104</f>
        <v>0</v>
      </c>
      <c r="AC104" s="65">
        <f t="shared" si="514"/>
        <v>0</v>
      </c>
      <c r="AD104" s="53">
        <f>IFERROR(__xludf.DUMMYFUNCTION("IFERROR(
  VLOOKUP(
    A104,
    IMPORTRANGE(
      ""1ZHMy3vVUd_0MrSduXTe1etBb1HNpAlGwQr006ljwMiM"",
      ""GSC最新!A:F""
    ),
    6,
    FALSE
  ),
  0
)
"),46081.0)</f>
        <v>46081</v>
      </c>
      <c r="AE104" s="54">
        <f>IFERROR(__xludf.DUMMYFUNCTION("IFERROR(
  VLOOKUP(
    A104,
    IMPORTRANGE(
      ""1SCYQd7_cobOYqT0r_F0IqD4tE4rYn5y8Eup4PJTH8es"",
      ""Snapshot!A:M""
    ),
    5,
    FALSE
  ),
  ""-""
)
"),3.0)</f>
        <v>3</v>
      </c>
      <c r="AF104" s="54">
        <f>IFERROR(__xludf.DUMMYFUNCTION("IFERROR(
  VLOOKUP(
    A104,
    IMPORTRANGE(
      ""1SCYQd7_cobOYqT0r_F0IqD4tE4rYn5y8Eup4PJTH8es"",
      ""Snapshot!A:M""
    ),
    6,
    FALSE
  ),
  0
)
"),3.0)</f>
        <v>3</v>
      </c>
      <c r="AG104" s="54">
        <f>IFERROR(__xludf.DUMMYFUNCTION("IFERROR(
  VLOOKUP(
    A104,
    IMPORTRANGE(
      ""1SCYQd7_cobOYqT0r_F0IqD4tE4rYn5y8Eup4PJTH8es"",
      ""Snapshot!A:M""
    ),
    7,
    FALSE
  ),
  0
)
"),3083.0)</f>
        <v>3083</v>
      </c>
      <c r="AH104" s="54">
        <f>IFERROR(__xludf.DUMMYFUNCTION("IFERROR(
  VLOOKUP(
    A104,
    IMPORTRANGE(
      ""1SCYQd7_cobOYqT0r_F0IqD4tE4rYn5y8Eup4PJTH8es"",
      ""Snapshot!A:M""
    ),
    8,
    FALSE
  ),
  0
)
"),28.0)</f>
        <v>28</v>
      </c>
      <c r="AI104" s="54">
        <f>IFERROR(__xludf.DUMMYFUNCTION("IFERROR(
  VLOOKUP(
    A104,
    IMPORTRANGE(
      ""1SCYQd7_cobOYqT0r_F0IqD4tE4rYn5y8Eup4PJTH8es"",
      ""Snapshot!A:M""
    ),
    9,
    FALSE
  ),
  0
)
"),0.0)</f>
        <v>0</v>
      </c>
      <c r="AJ104" s="54">
        <f>IFERROR(__xludf.DUMMYFUNCTION("IFERROR(
  VLOOKUP(
    A104,
    IMPORTRANGE(
      ""1SCYQd7_cobOYqT0r_F0IqD4tE4rYn5y8Eup4PJTH8es"",
      ""Snapshot!A:M""
    ),
    13,
    FALSE
  ),
  0
)
"),2.0)</f>
        <v>2</v>
      </c>
      <c r="AK104" s="49">
        <f t="shared" ref="AK104:AL104" si="515">LEN(C104)</f>
        <v>63</v>
      </c>
      <c r="AL104" s="49">
        <f t="shared" si="515"/>
        <v>55</v>
      </c>
    </row>
    <row r="105">
      <c r="A105" s="3" t="s">
        <v>790</v>
      </c>
      <c r="B105" s="1" t="str">
        <f>IFERROR(__xludf.DUMMYFUNCTION("IFERROR(
  VLOOKUP(
    A105,
    IMPORTRANGE(
      ""1ZygntHC1J6IxzKbTidmOyf5nUyW4GCLurHCjexrLm_o"",
      ""HTMLキャッシュ!A:F""
    ),
    2,
    FALSE
  ),
  0
)
"),"SC")</f>
        <v>SC</v>
      </c>
      <c r="C105" s="1" t="str">
        <f>IFERROR(__xludf.DUMMYFUNCTION("IFERROR(
  VLOOKUP(
    A105,
    IMPORTRANGE(
      ""1ZygntHC1J6IxzKbTidmOyf5nUyW4GCLurHCjexrLm_o"",
      ""HTMLキャッシュ!A:F""
    ),
    5,
    FALSE
  ),
  0
)
"),"中学生が行うべき数学の効果的な勉強法とは？ - 中高一貫校専門塾エスコット(Escot)～定期試験対策から大学受験指導まで～")</f>
        <v>中学生が行うべき数学の効果的な勉強法とは？ - 中高一貫校専門塾エスコット(Escot)～定期試験対策から大学受験指導まで～</v>
      </c>
      <c r="D105" s="1" t="str">
        <f>IFERROR(__xludf.DUMMYFUNCTION("IFERROR(
  VLOOKUP(
    A105,
    IMPORTRANGE(
      ""1ZygntHC1J6IxzKbTidmOyf5nUyW4GCLurHCjexrLm_o        "",
      ""HTMLキャッシュ!A:F""
    ),
    6,
    FALSE
  ),
  0
)
"),"中学生 数学 勉強法 中学生が行うべき数学の効果的な勉強法とは？ 中学生の数学の範囲であれば、最初は難しく感じ")</f>
        <v>中学生 数学 勉強法 中学生が行うべき数学の効果的な勉強法とは？ 中学生の数学の範囲であれば、最初は難しく感じ</v>
      </c>
      <c r="E105" s="32">
        <f>IFERROR(__xludf.DUMMYFUNCTION("IFERROR(
  VLOOKUP(
    A105,
    IMPORTRANGE(
      ""1ZygntHC1J6IxzKbTidmOyf5nUyW4GCLurHCjexrLm_o        "",
      ""HTMLキャッシュ!A:F""
    ),
    3,
    FALSE
  ),
  0
)
"),46084.61913194445)</f>
        <v>46084.61913</v>
      </c>
      <c r="F105" s="49">
        <f>IFERROR(__xludf.DUMMYFUNCTION("IFERROR(
  VLOOKUP(
    A105,
    IMPORTRANGE(
      ""1ZHMy3vVUd_0MrSduXTe1etBb1HNpAlGwQr006ljwMiM"",
      ""GSC最新!A:F""
    ),
    2,
    FALSE
  ),
  0
)
"),0.0)</f>
        <v>0</v>
      </c>
      <c r="G105" s="49">
        <f>IFERROR(__xludf.DUMMYFUNCTION("IFERROR(
  VLOOKUP(
    A105,
    IMPORTRANGE(
      ""1ZHMy3vVUd_0MrSduXTe1etBb1HNpAlGwQr006ljwMiM"",
      ""GSC最新!A:F""
    ),
    3,
    FALSE
  ),
  0
)
"),0.0)</f>
        <v>0</v>
      </c>
      <c r="H105" s="49">
        <f>IFERROR(__xludf.DUMMYFUNCTION("IFERROR(
  VLOOKUP(
    A105,
    IMPORTRANGE(
      ""1ZHMy3vVUd_0MrSduXTe1etBb1HNpAlGwQr006ljwMiM"",
      ""GSC最新!A:F""
    ),
    4,
    FALSE
  ),
  0
)
"),0.0)</f>
        <v>0</v>
      </c>
      <c r="I105" s="49">
        <f>IFERROR(__xludf.DUMMYFUNCTION("IFERROR(
  VLOOKUP(
    A105,
    IMPORTRANGE(
      ""1ZHMy3vVUd_0MrSduXTe1etBb1HNpAlGwQr006ljwMiM"",
      ""GSC最新!A:F""
    ),
    5,
    FALSE
  ),
  0
)
"),0.0)</f>
        <v>0</v>
      </c>
      <c r="J105" s="50" t="str">
        <f t="shared" ref="J105:K105" si="516">IFERROR(F105/H105,"-")</f>
        <v>-</v>
      </c>
      <c r="K105" s="50" t="str">
        <f t="shared" si="516"/>
        <v>-</v>
      </c>
      <c r="L105" s="6">
        <f>IFERROR(__xludf.DUMMYFUNCTION("IFERROR(
  VLOOKUP(
    A105,
    IMPORTRANGE(
      ""1ZHMy3vVUd_0MrSduXTe1etBb1HNpAlGwQr006ljwMiM"",
      ""GSC最新!A:R""
    ),
    7,
    FALSE
  ),
  0
)
"),0.0)</f>
        <v>0</v>
      </c>
      <c r="M105" s="6">
        <f>IFERROR(__xludf.DUMMYFUNCTION("IFERROR(
  VLOOKUP(
    A105,
    IMPORTRANGE(
      ""1ZHMy3vVUd_0MrSduXTe1etBb1HNpAlGwQr006ljwMiM"",
      ""GSC最新!A:R""
    ),
    10,
    FALSE
  ),
  0
)
"),0.0)</f>
        <v>0</v>
      </c>
      <c r="N105" s="6">
        <f>IFERROR(__xludf.DUMMYFUNCTION("IFERROR(
  VLOOKUP(
    A105,
    IMPORTRANGE(
      ""1ZHMy3vVUd_0MrSduXTe1etBb1HNpAlGwQr006ljwMiM"",
      ""GSC最新!A:R""
    ),
    13,
    FALSE
  ),
  0
)
"),0.0)</f>
        <v>0</v>
      </c>
      <c r="O105" s="6">
        <f>IFERROR(__xludf.DUMMYFUNCTION("IFERROR(
  VLOOKUP(
    A105,
    IMPORTRANGE(
      ""1ZHMy3vVUd_0MrSduXTe1etBb1HNpAlGwQr006ljwMiM"",
      ""GSC最新!A:R""
    ),
    16,
    FALSE
  ),
  0
)
"),0.0)</f>
        <v>0</v>
      </c>
      <c r="P105" s="51" t="str">
        <f t="shared" ref="P105:Q105" si="517">IFERROR(L105/N105,"-")</f>
        <v>-</v>
      </c>
      <c r="Q105" s="51" t="str">
        <f t="shared" si="517"/>
        <v>-</v>
      </c>
      <c r="R105" s="9">
        <f>IFERROR(__xludf.DUMMYFUNCTION("IFERROR(
  VLOOKUP(
    A105,
    IMPORTRANGE(
      ""1ZHMy3vVUd_0MrSduXTe1etBb1HNpAlGwQr006ljwMiM"",
      ""GSC最新!A:R""
    ),
    8,
    FALSE
  ),
  0
)
"),0.0)</f>
        <v>0</v>
      </c>
      <c r="S105" s="9">
        <f>IFERROR(__xludf.DUMMYFUNCTION("IFERROR(
  VLOOKUP(
    A105,
    IMPORTRANGE(
      ""1ZHMy3vVUd_0MrSduXTe1etBb1HNpAlGwQr006ljwMiM"",
      ""GSC最新!A:R""
    ),
    11,
    FALSE
  ),
  0
)
"),0.0)</f>
        <v>0</v>
      </c>
      <c r="T105" s="9">
        <f>IFERROR(__xludf.DUMMYFUNCTION("IFERROR(
  VLOOKUP(
    A105,
    IMPORTRANGE(
      ""1ZHMy3vVUd_0MrSduXTe1etBb1HNpAlGwQr006ljwMiM"",
      ""GSC最新!A:R""
    ),
    14,
    FALSE
  ),
  0
)
"),0.0)</f>
        <v>0</v>
      </c>
      <c r="U105" s="9">
        <f>IFERROR(__xludf.DUMMYFUNCTION("IFERROR(
  VLOOKUP(
    A105,
    IMPORTRANGE(
      ""1ZHMy3vVUd_0MrSduXTe1etBb1HNpAlGwQr006ljwMiM"",
      ""GSC最新!A:R""
    ),
    17,
    FALSE
  ),
  0
)
"),0.0)</f>
        <v>0</v>
      </c>
      <c r="V105" s="9">
        <f t="shared" ref="V105:W105" si="518">IFERROR(R105-T105,"-")</f>
        <v>0</v>
      </c>
      <c r="W105" s="9">
        <f t="shared" si="518"/>
        <v>0</v>
      </c>
      <c r="X105" s="65" t="str">
        <f>IFERROR(__xludf.DUMMYFUNCTION("IFERROR(
  VLOOKUP(
    A105,
    IMPORTRANGE(
      ""1ZHMy3vVUd_0MrSduXTe1etBb1HNpAlGwQr006ljwMiM"",
      ""GSC最新!A:R""
    ),
    9,
    FALSE
  ),
  0
)
"),"")</f>
        <v/>
      </c>
      <c r="Y105" s="65" t="str">
        <f>IFERROR(__xludf.DUMMYFUNCTION("IFERROR(
  VLOOKUP(
    A105,
    IMPORTRANGE(
      ""1ZHMy3vVUd_0MrSduXTe1etBb1HNpAlGwQr006ljwMiM"",
      ""GSC最新!A:R""
    ),
    12,
    FALSE
  ),
  0
)
"),"")</f>
        <v/>
      </c>
      <c r="Z105" s="65" t="str">
        <f>IFERROR(__xludf.DUMMYFUNCTION("IFERROR(
  VLOOKUP(
    A105,
    IMPORTRANGE(
      ""1ZHMy3vVUd_0MrSduXTe1etBb1HNpAlGwQr006ljwMiM"",
      ""GSC最新!A:R""
    ),
    15,
    FALSE
  ),
  0
)
"),"")</f>
        <v/>
      </c>
      <c r="AA105" s="65" t="str">
        <f>IFERROR(__xludf.DUMMYFUNCTION("IFERROR(
  VLOOKUP(
    A105,
    IMPORTRANGE(
      ""1ZHMy3vVUd_0MrSduXTe1etBb1HNpAlGwQr006ljwMiM"",
      ""GSC最新!A:R""
    ),
    18,
    FALSE
  ),
  0
)
"),"")</f>
        <v/>
      </c>
      <c r="AB105" s="65">
        <f t="shared" ref="AB105:AC105" si="519">X105-Z105</f>
        <v>0</v>
      </c>
      <c r="AC105" s="65">
        <f t="shared" si="519"/>
        <v>0</v>
      </c>
      <c r="AD105" s="53">
        <f>IFERROR(__xludf.DUMMYFUNCTION("IFERROR(
  VLOOKUP(
    A105,
    IMPORTRANGE(
      ""1ZHMy3vVUd_0MrSduXTe1etBb1HNpAlGwQr006ljwMiM"",
      ""GSC最新!A:F""
    ),
    6,
    FALSE
  ),
  0
)
"),46081.0)</f>
        <v>46081</v>
      </c>
      <c r="AE105" s="54">
        <f>IFERROR(__xludf.DUMMYFUNCTION("IFERROR(
  VLOOKUP(
    A105,
    IMPORTRANGE(
      ""1SCYQd7_cobOYqT0r_F0IqD4tE4rYn5y8Eup4PJTH8es"",
      ""Snapshot!A:M""
    ),
    5,
    FALSE
  ),
  ""-""
)
"),3.0)</f>
        <v>3</v>
      </c>
      <c r="AF105" s="54">
        <f>IFERROR(__xludf.DUMMYFUNCTION("IFERROR(
  VLOOKUP(
    A105,
    IMPORTRANGE(
      ""1SCYQd7_cobOYqT0r_F0IqD4tE4rYn5y8Eup4PJTH8es"",
      ""Snapshot!A:M""
    ),
    6,
    FALSE
  ),
  0
)
"),3.0)</f>
        <v>3</v>
      </c>
      <c r="AG105" s="54">
        <f>IFERROR(__xludf.DUMMYFUNCTION("IFERROR(
  VLOOKUP(
    A105,
    IMPORTRANGE(
      ""1SCYQd7_cobOYqT0r_F0IqD4tE4rYn5y8Eup4PJTH8es"",
      ""Snapshot!A:M""
    ),
    7,
    FALSE
  ),
  0
)
"),3175.0)</f>
        <v>3175</v>
      </c>
      <c r="AH105" s="54">
        <f>IFERROR(__xludf.DUMMYFUNCTION("IFERROR(
  VLOOKUP(
    A105,
    IMPORTRANGE(
      ""1SCYQd7_cobOYqT0r_F0IqD4tE4rYn5y8Eup4PJTH8es"",
      ""Snapshot!A:M""
    ),
    8,
    FALSE
  ),
  0
)
"),27.0)</f>
        <v>27</v>
      </c>
      <c r="AI105" s="54">
        <f>IFERROR(__xludf.DUMMYFUNCTION("IFERROR(
  VLOOKUP(
    A105,
    IMPORTRANGE(
      ""1SCYQd7_cobOYqT0r_F0IqD4tE4rYn5y8Eup4PJTH8es"",
      ""Snapshot!A:M""
    ),
    9,
    FALSE
  ),
  0
)
"),0.0)</f>
        <v>0</v>
      </c>
      <c r="AJ105" s="54">
        <f>IFERROR(__xludf.DUMMYFUNCTION("IFERROR(
  VLOOKUP(
    A105,
    IMPORTRANGE(
      ""1SCYQd7_cobOYqT0r_F0IqD4tE4rYn5y8Eup4PJTH8es"",
      ""Snapshot!A:M""
    ),
    13,
    FALSE
  ),
  0
)
"),2.0)</f>
        <v>2</v>
      </c>
      <c r="AK105" s="49">
        <f t="shared" ref="AK105:AL105" si="520">LEN(C105)</f>
        <v>62</v>
      </c>
      <c r="AL105" s="49">
        <f t="shared" si="520"/>
        <v>55</v>
      </c>
    </row>
    <row r="106">
      <c r="A106" s="3" t="s">
        <v>791</v>
      </c>
      <c r="B106" s="1" t="str">
        <f>IFERROR(__xludf.DUMMYFUNCTION("IFERROR(
  VLOOKUP(
    A106,
    IMPORTRANGE(
      ""1ZygntHC1J6IxzKbTidmOyf5nUyW4GCLurHCjexrLm_o"",
      ""HTMLキャッシュ!A:F""
    ),
    2,
    FALSE
  ),
  0
)
"),"SC")</f>
        <v>SC</v>
      </c>
      <c r="C106" s="1" t="str">
        <f>IFERROR(__xludf.DUMMYFUNCTION("IFERROR(
  VLOOKUP(
    A106,
    IMPORTRANGE(
      ""1ZygntHC1J6IxzKbTidmOyf5nUyW4GCLurHCjexrLm_o"",
      ""HTMLキャッシュ!A:F""
    ),
    5,
    FALSE
  ),
  0
)
"),"受験の勉強でやる気が出ない時にすること - 中高一貫校専門塾エスコット(Escot)～定期試験対策から大学受験指導まで～")</f>
        <v>受験の勉強でやる気が出ない時にすること - 中高一貫校専門塾エスコット(Escot)～定期試験対策から大学受験指導まで～</v>
      </c>
      <c r="D106" s="1" t="str">
        <f>IFERROR(__xludf.DUMMYFUNCTION("IFERROR(
  VLOOKUP(
    A106,
    IMPORTRANGE(
      ""1ZygntHC1J6IxzKbTidmOyf5nUyW4GCLurHCjexrLm_o        "",
      ""HTMLキャッシュ!A:F""
    ),
    6,
    FALSE
  ),
  0
)
"),"受験 やる気 勉強が進まない 受験の勉強でやる気が出ない時にすること 受験に向けて頑張ろうと意気込んでも、必ず")</f>
        <v>受験 やる気 勉強が進まない 受験の勉強でやる気が出ない時にすること 受験に向けて頑張ろうと意気込んでも、必ず</v>
      </c>
      <c r="E106" s="32">
        <f>IFERROR(__xludf.DUMMYFUNCTION("IFERROR(
  VLOOKUP(
    A106,
    IMPORTRANGE(
      ""1ZygntHC1J6IxzKbTidmOyf5nUyW4GCLurHCjexrLm_o        "",
      ""HTMLキャッシュ!A:F""
    ),
    3,
    FALSE
  ),
  0
)
"),46084.61736111111)</f>
        <v>46084.61736</v>
      </c>
      <c r="F106" s="49">
        <f>IFERROR(__xludf.DUMMYFUNCTION("IFERROR(
  VLOOKUP(
    A106,
    IMPORTRANGE(
      ""1ZHMy3vVUd_0MrSduXTe1etBb1HNpAlGwQr006ljwMiM"",
      ""GSC最新!A:F""
    ),
    2,
    FALSE
  ),
  0
)
"),0.0)</f>
        <v>0</v>
      </c>
      <c r="G106" s="49">
        <f>IFERROR(__xludf.DUMMYFUNCTION("IFERROR(
  VLOOKUP(
    A106,
    IMPORTRANGE(
      ""1ZHMy3vVUd_0MrSduXTe1etBb1HNpAlGwQr006ljwMiM"",
      ""GSC最新!A:F""
    ),
    3,
    FALSE
  ),
  0
)
"),0.0)</f>
        <v>0</v>
      </c>
      <c r="H106" s="49">
        <f>IFERROR(__xludf.DUMMYFUNCTION("IFERROR(
  VLOOKUP(
    A106,
    IMPORTRANGE(
      ""1ZHMy3vVUd_0MrSduXTe1etBb1HNpAlGwQr006ljwMiM"",
      ""GSC最新!A:F""
    ),
    4,
    FALSE
  ),
  0
)
"),0.0)</f>
        <v>0</v>
      </c>
      <c r="I106" s="49">
        <f>IFERROR(__xludf.DUMMYFUNCTION("IFERROR(
  VLOOKUP(
    A106,
    IMPORTRANGE(
      ""1ZHMy3vVUd_0MrSduXTe1etBb1HNpAlGwQr006ljwMiM"",
      ""GSC最新!A:F""
    ),
    5,
    FALSE
  ),
  0
)
"),0.0)</f>
        <v>0</v>
      </c>
      <c r="J106" s="50" t="str">
        <f t="shared" ref="J106:K106" si="521">IFERROR(F106/H106,"-")</f>
        <v>-</v>
      </c>
      <c r="K106" s="50" t="str">
        <f t="shared" si="521"/>
        <v>-</v>
      </c>
      <c r="L106" s="6">
        <f>IFERROR(__xludf.DUMMYFUNCTION("IFERROR(
  VLOOKUP(
    A106,
    IMPORTRANGE(
      ""1ZHMy3vVUd_0MrSduXTe1etBb1HNpAlGwQr006ljwMiM"",
      ""GSC最新!A:R""
    ),
    7,
    FALSE
  ),
  0
)
"),0.0)</f>
        <v>0</v>
      </c>
      <c r="M106" s="6">
        <f>IFERROR(__xludf.DUMMYFUNCTION("IFERROR(
  VLOOKUP(
    A106,
    IMPORTRANGE(
      ""1ZHMy3vVUd_0MrSduXTe1etBb1HNpAlGwQr006ljwMiM"",
      ""GSC最新!A:R""
    ),
    10,
    FALSE
  ),
  0
)
"),0.0)</f>
        <v>0</v>
      </c>
      <c r="N106" s="6">
        <f>IFERROR(__xludf.DUMMYFUNCTION("IFERROR(
  VLOOKUP(
    A106,
    IMPORTRANGE(
      ""1ZHMy3vVUd_0MrSduXTe1etBb1HNpAlGwQr006ljwMiM"",
      ""GSC最新!A:R""
    ),
    13,
    FALSE
  ),
  0
)
"),0.0)</f>
        <v>0</v>
      </c>
      <c r="O106" s="6">
        <f>IFERROR(__xludf.DUMMYFUNCTION("IFERROR(
  VLOOKUP(
    A106,
    IMPORTRANGE(
      ""1ZHMy3vVUd_0MrSduXTe1etBb1HNpAlGwQr006ljwMiM"",
      ""GSC最新!A:R""
    ),
    16,
    FALSE
  ),
  0
)
"),2.0)</f>
        <v>2</v>
      </c>
      <c r="P106" s="51" t="str">
        <f t="shared" ref="P106:Q106" si="522">IFERROR(L106/N106,"-")</f>
        <v>-</v>
      </c>
      <c r="Q106" s="51">
        <f t="shared" si="522"/>
        <v>0</v>
      </c>
      <c r="R106" s="9">
        <f>IFERROR(__xludf.DUMMYFUNCTION("IFERROR(
  VLOOKUP(
    A106,
    IMPORTRANGE(
      ""1ZHMy3vVUd_0MrSduXTe1etBb1HNpAlGwQr006ljwMiM"",
      ""GSC最新!A:R""
    ),
    8,
    FALSE
  ),
  0
)
"),0.0)</f>
        <v>0</v>
      </c>
      <c r="S106" s="9">
        <f>IFERROR(__xludf.DUMMYFUNCTION("IFERROR(
  VLOOKUP(
    A106,
    IMPORTRANGE(
      ""1ZHMy3vVUd_0MrSduXTe1etBb1HNpAlGwQr006ljwMiM"",
      ""GSC最新!A:R""
    ),
    11,
    FALSE
  ),
  0
)
"),0.0)</f>
        <v>0</v>
      </c>
      <c r="T106" s="9">
        <f>IFERROR(__xludf.DUMMYFUNCTION("IFERROR(
  VLOOKUP(
    A106,
    IMPORTRANGE(
      ""1ZHMy3vVUd_0MrSduXTe1etBb1HNpAlGwQr006ljwMiM"",
      ""GSC最新!A:R""
    ),
    14,
    FALSE
  ),
  0
)
"),0.0)</f>
        <v>0</v>
      </c>
      <c r="U106" s="9">
        <f>IFERROR(__xludf.DUMMYFUNCTION("IFERROR(
  VLOOKUP(
    A106,
    IMPORTRANGE(
      ""1ZHMy3vVUd_0MrSduXTe1etBb1HNpAlGwQr006ljwMiM"",
      ""GSC最新!A:R""
    ),
    17,
    FALSE
  ),
  0
)
"),0.0)</f>
        <v>0</v>
      </c>
      <c r="V106" s="9">
        <f t="shared" ref="V106:W106" si="523">IFERROR(R106-T106,"-")</f>
        <v>0</v>
      </c>
      <c r="W106" s="9">
        <f t="shared" si="523"/>
        <v>0</v>
      </c>
      <c r="X106" s="65" t="str">
        <f>IFERROR(__xludf.DUMMYFUNCTION("IFERROR(
  VLOOKUP(
    A106,
    IMPORTRANGE(
      ""1ZHMy3vVUd_0MrSduXTe1etBb1HNpAlGwQr006ljwMiM"",
      ""GSC最新!A:R""
    ),
    9,
    FALSE
  ),
  0
)
"),"")</f>
        <v/>
      </c>
      <c r="Y106" s="65" t="str">
        <f>IFERROR(__xludf.DUMMYFUNCTION("IFERROR(
  VLOOKUP(
    A106,
    IMPORTRANGE(
      ""1ZHMy3vVUd_0MrSduXTe1etBb1HNpAlGwQr006ljwMiM"",
      ""GSC最新!A:R""
    ),
    12,
    FALSE
  ),
  0
)
"),"")</f>
        <v/>
      </c>
      <c r="Z106" s="65" t="str">
        <f>IFERROR(__xludf.DUMMYFUNCTION("IFERROR(
  VLOOKUP(
    A106,
    IMPORTRANGE(
      ""1ZHMy3vVUd_0MrSduXTe1etBb1HNpAlGwQr006ljwMiM"",
      ""GSC最新!A:R""
    ),
    15,
    FALSE
  ),
  0
)
"),"")</f>
        <v/>
      </c>
      <c r="AA106" s="65">
        <f>IFERROR(__xludf.DUMMYFUNCTION("IFERROR(
  VLOOKUP(
    A106,
    IMPORTRANGE(
      ""1ZHMy3vVUd_0MrSduXTe1etBb1HNpAlGwQr006ljwMiM"",
      ""GSC最新!A:R""
    ),
    18,
    FALSE
  ),
  0
)
"),37.0)</f>
        <v>37</v>
      </c>
      <c r="AB106" s="65">
        <f t="shared" ref="AB106:AC106" si="524">X106-Z106</f>
        <v>0</v>
      </c>
      <c r="AC106" s="65">
        <f t="shared" si="524"/>
        <v>-37</v>
      </c>
      <c r="AD106" s="53">
        <f>IFERROR(__xludf.DUMMYFUNCTION("IFERROR(
  VLOOKUP(
    A106,
    IMPORTRANGE(
      ""1ZHMy3vVUd_0MrSduXTe1etBb1HNpAlGwQr006ljwMiM"",
      ""GSC最新!A:F""
    ),
    6,
    FALSE
  ),
  0
)
"),46081.0)</f>
        <v>46081</v>
      </c>
      <c r="AE106" s="54">
        <f>IFERROR(__xludf.DUMMYFUNCTION("IFERROR(
  VLOOKUP(
    A106,
    IMPORTRANGE(
      ""1SCYQd7_cobOYqT0r_F0IqD4tE4rYn5y8Eup4PJTH8es"",
      ""Snapshot!A:M""
    ),
    5,
    FALSE
  ),
  ""-""
)
"),2.0)</f>
        <v>2</v>
      </c>
      <c r="AF106" s="54">
        <f>IFERROR(__xludf.DUMMYFUNCTION("IFERROR(
  VLOOKUP(
    A106,
    IMPORTRANGE(
      ""1SCYQd7_cobOYqT0r_F0IqD4tE4rYn5y8Eup4PJTH8es"",
      ""Snapshot!A:M""
    ),
    6,
    FALSE
  ),
  0
)
"),4.0)</f>
        <v>4</v>
      </c>
      <c r="AG106" s="54">
        <f>IFERROR(__xludf.DUMMYFUNCTION("IFERROR(
  VLOOKUP(
    A106,
    IMPORTRANGE(
      ""1SCYQd7_cobOYqT0r_F0IqD4tE4rYn5y8Eup4PJTH8es"",
      ""Snapshot!A:M""
    ),
    7,
    FALSE
  ),
  0
)
"),2909.0)</f>
        <v>2909</v>
      </c>
      <c r="AH106" s="54">
        <f>IFERROR(__xludf.DUMMYFUNCTION("IFERROR(
  VLOOKUP(
    A106,
    IMPORTRANGE(
      ""1SCYQd7_cobOYqT0r_F0IqD4tE4rYn5y8Eup4PJTH8es"",
      ""Snapshot!A:M""
    ),
    8,
    FALSE
  ),
  0
)
"),28.0)</f>
        <v>28</v>
      </c>
      <c r="AI106" s="54">
        <f>IFERROR(__xludf.DUMMYFUNCTION("IFERROR(
  VLOOKUP(
    A106,
    IMPORTRANGE(
      ""1SCYQd7_cobOYqT0r_F0IqD4tE4rYn5y8Eup4PJTH8es"",
      ""Snapshot!A:M""
    ),
    9,
    FALSE
  ),
  0
)
"),0.0)</f>
        <v>0</v>
      </c>
      <c r="AJ106" s="54">
        <f>IFERROR(__xludf.DUMMYFUNCTION("IFERROR(
  VLOOKUP(
    A106,
    IMPORTRANGE(
      ""1SCYQd7_cobOYqT0r_F0IqD4tE4rYn5y8Eup4PJTH8es"",
      ""Snapshot!A:M""
    ),
    13,
    FALSE
  ),
  0
)
"),2.0)</f>
        <v>2</v>
      </c>
      <c r="AK106" s="49">
        <f t="shared" ref="AK106:AL106" si="525">LEN(C106)</f>
        <v>60</v>
      </c>
      <c r="AL106" s="49">
        <f t="shared" si="525"/>
        <v>55</v>
      </c>
    </row>
    <row r="107">
      <c r="A107" s="3" t="s">
        <v>792</v>
      </c>
      <c r="B107" s="1" t="str">
        <f>IFERROR(__xludf.DUMMYFUNCTION("IFERROR(
  VLOOKUP(
    A107,
    IMPORTRANGE(
      ""1ZygntHC1J6IxzKbTidmOyf5nUyW4GCLurHCjexrLm_o"",
      ""HTMLキャッシュ!A:F""
    ),
    2,
    FALSE
  ),
  0
)
"),"SC")</f>
        <v>SC</v>
      </c>
      <c r="C107" s="1" t="str">
        <f>IFERROR(__xludf.DUMMYFUNCTION("IFERROR(
  VLOOKUP(
    A107,
    IMPORTRANGE(
      ""1ZygntHC1J6IxzKbTidmOyf5nUyW4GCLurHCjexrLm_o"",
      ""HTMLキャッシュ!A:F""
    ),
    5,
    FALSE
  ),
  0
)
"),"受験勉強のやる気を出すためには - 中高一貫校専門塾エスコット(Escot)～定期試験対策から大学受験指導まで～")</f>
        <v>受験勉強のやる気を出すためには - 中高一貫校専門塾エスコット(Escot)～定期試験対策から大学受験指導まで～</v>
      </c>
      <c r="D107" s="1" t="str">
        <f>IFERROR(__xludf.DUMMYFUNCTION("IFERROR(
  VLOOKUP(
    A107,
    IMPORTRANGE(
      ""1ZygntHC1J6IxzKbTidmOyf5nUyW4GCLurHCjexrLm_o        "",
      ""HTMLキャッシュ!A:F""
    ),
    6,
    FALSE
  ),
  0
)
"),"受験勉強 やる気 受験勉強のやる気を出すためには やる気は「気合い」で出すものではなく、仕組みで発生させるもの")</f>
        <v>受験勉強 やる気 受験勉強のやる気を出すためには やる気は「気合い」で出すものではなく、仕組みで発生させるもの</v>
      </c>
      <c r="E107" s="32">
        <f>IFERROR(__xludf.DUMMYFUNCTION("IFERROR(
  VLOOKUP(
    A107,
    IMPORTRANGE(
      ""1ZygntHC1J6IxzKbTidmOyf5nUyW4GCLurHCjexrLm_o        "",
      ""HTMLキャッシュ!A:F""
    ),
    3,
    FALSE
  ),
  0
)
"),46084.53508101852)</f>
        <v>46084.53508</v>
      </c>
      <c r="F107" s="49">
        <f>IFERROR(__xludf.DUMMYFUNCTION("IFERROR(
  VLOOKUP(
    A107,
    IMPORTRANGE(
      ""1ZHMy3vVUd_0MrSduXTe1etBb1HNpAlGwQr006ljwMiM"",
      ""GSC最新!A:F""
    ),
    2,
    FALSE
  ),
  0
)
"),0.0)</f>
        <v>0</v>
      </c>
      <c r="G107" s="49">
        <f>IFERROR(__xludf.DUMMYFUNCTION("IFERROR(
  VLOOKUP(
    A107,
    IMPORTRANGE(
      ""1ZHMy3vVUd_0MrSduXTe1etBb1HNpAlGwQr006ljwMiM"",
      ""GSC最新!A:F""
    ),
    3,
    FALSE
  ),
  0
)
"),0.0)</f>
        <v>0</v>
      </c>
      <c r="H107" s="49">
        <f>IFERROR(__xludf.DUMMYFUNCTION("IFERROR(
  VLOOKUP(
    A107,
    IMPORTRANGE(
      ""1ZHMy3vVUd_0MrSduXTe1etBb1HNpAlGwQr006ljwMiM"",
      ""GSC最新!A:F""
    ),
    4,
    FALSE
  ),
  0
)
"),0.0)</f>
        <v>0</v>
      </c>
      <c r="I107" s="49">
        <f>IFERROR(__xludf.DUMMYFUNCTION("IFERROR(
  VLOOKUP(
    A107,
    IMPORTRANGE(
      ""1ZHMy3vVUd_0MrSduXTe1etBb1HNpAlGwQr006ljwMiM"",
      ""GSC最新!A:F""
    ),
    5,
    FALSE
  ),
  0
)
"),0.0)</f>
        <v>0</v>
      </c>
      <c r="J107" s="50" t="str">
        <f t="shared" ref="J107:K107" si="526">IFERROR(F107/H107,"-")</f>
        <v>-</v>
      </c>
      <c r="K107" s="50" t="str">
        <f t="shared" si="526"/>
        <v>-</v>
      </c>
      <c r="L107" s="6">
        <f>IFERROR(__xludf.DUMMYFUNCTION("IFERROR(
  VLOOKUP(
    A107,
    IMPORTRANGE(
      ""1ZHMy3vVUd_0MrSduXTe1etBb1HNpAlGwQr006ljwMiM"",
      ""GSC最新!A:R""
    ),
    7,
    FALSE
  ),
  0
)
"),0.0)</f>
        <v>0</v>
      </c>
      <c r="M107" s="6">
        <f>IFERROR(__xludf.DUMMYFUNCTION("IFERROR(
  VLOOKUP(
    A107,
    IMPORTRANGE(
      ""1ZHMy3vVUd_0MrSduXTe1etBb1HNpAlGwQr006ljwMiM"",
      ""GSC最新!A:R""
    ),
    10,
    FALSE
  ),
  0
)
"),0.0)</f>
        <v>0</v>
      </c>
      <c r="N107" s="6">
        <f>IFERROR(__xludf.DUMMYFUNCTION("IFERROR(
  VLOOKUP(
    A107,
    IMPORTRANGE(
      ""1ZHMy3vVUd_0MrSduXTe1etBb1HNpAlGwQr006ljwMiM"",
      ""GSC最新!A:R""
    ),
    13,
    FALSE
  ),
  0
)
"),0.0)</f>
        <v>0</v>
      </c>
      <c r="O107" s="6">
        <f>IFERROR(__xludf.DUMMYFUNCTION("IFERROR(
  VLOOKUP(
    A107,
    IMPORTRANGE(
      ""1ZHMy3vVUd_0MrSduXTe1etBb1HNpAlGwQr006ljwMiM"",
      ""GSC最新!A:R""
    ),
    16,
    FALSE
  ),
  0
)
"),0.0)</f>
        <v>0</v>
      </c>
      <c r="P107" s="51" t="str">
        <f t="shared" ref="P107:Q107" si="527">IFERROR(L107/N107,"-")</f>
        <v>-</v>
      </c>
      <c r="Q107" s="51" t="str">
        <f t="shared" si="527"/>
        <v>-</v>
      </c>
      <c r="R107" s="9">
        <f>IFERROR(__xludf.DUMMYFUNCTION("IFERROR(
  VLOOKUP(
    A107,
    IMPORTRANGE(
      ""1ZHMy3vVUd_0MrSduXTe1etBb1HNpAlGwQr006ljwMiM"",
      ""GSC最新!A:R""
    ),
    8,
    FALSE
  ),
  0
)
"),0.0)</f>
        <v>0</v>
      </c>
      <c r="S107" s="9">
        <f>IFERROR(__xludf.DUMMYFUNCTION("IFERROR(
  VLOOKUP(
    A107,
    IMPORTRANGE(
      ""1ZHMy3vVUd_0MrSduXTe1etBb1HNpAlGwQr006ljwMiM"",
      ""GSC最新!A:R""
    ),
    11,
    FALSE
  ),
  0
)
"),0.0)</f>
        <v>0</v>
      </c>
      <c r="T107" s="9">
        <f>IFERROR(__xludf.DUMMYFUNCTION("IFERROR(
  VLOOKUP(
    A107,
    IMPORTRANGE(
      ""1ZHMy3vVUd_0MrSduXTe1etBb1HNpAlGwQr006ljwMiM"",
      ""GSC最新!A:R""
    ),
    14,
    FALSE
  ),
  0
)
"),0.0)</f>
        <v>0</v>
      </c>
      <c r="U107" s="9">
        <f>IFERROR(__xludf.DUMMYFUNCTION("IFERROR(
  VLOOKUP(
    A107,
    IMPORTRANGE(
      ""1ZHMy3vVUd_0MrSduXTe1etBb1HNpAlGwQr006ljwMiM"",
      ""GSC最新!A:R""
    ),
    17,
    FALSE
  ),
  0
)
"),0.0)</f>
        <v>0</v>
      </c>
      <c r="V107" s="9">
        <f t="shared" ref="V107:W107" si="528">IFERROR(R107-T107,"-")</f>
        <v>0</v>
      </c>
      <c r="W107" s="9">
        <f t="shared" si="528"/>
        <v>0</v>
      </c>
      <c r="X107" s="65" t="str">
        <f>IFERROR(__xludf.DUMMYFUNCTION("IFERROR(
  VLOOKUP(
    A107,
    IMPORTRANGE(
      ""1ZHMy3vVUd_0MrSduXTe1etBb1HNpAlGwQr006ljwMiM"",
      ""GSC最新!A:R""
    ),
    9,
    FALSE
  ),
  0
)
"),"")</f>
        <v/>
      </c>
      <c r="Y107" s="65" t="str">
        <f>IFERROR(__xludf.DUMMYFUNCTION("IFERROR(
  VLOOKUP(
    A107,
    IMPORTRANGE(
      ""1ZHMy3vVUd_0MrSduXTe1etBb1HNpAlGwQr006ljwMiM"",
      ""GSC最新!A:R""
    ),
    12,
    FALSE
  ),
  0
)
"),"")</f>
        <v/>
      </c>
      <c r="Z107" s="65" t="str">
        <f>IFERROR(__xludf.DUMMYFUNCTION("IFERROR(
  VLOOKUP(
    A107,
    IMPORTRANGE(
      ""1ZHMy3vVUd_0MrSduXTe1etBb1HNpAlGwQr006ljwMiM"",
      ""GSC最新!A:R""
    ),
    15,
    FALSE
  ),
  0
)
"),"")</f>
        <v/>
      </c>
      <c r="AA107" s="65" t="str">
        <f>IFERROR(__xludf.DUMMYFUNCTION("IFERROR(
  VLOOKUP(
    A107,
    IMPORTRANGE(
      ""1ZHMy3vVUd_0MrSduXTe1etBb1HNpAlGwQr006ljwMiM"",
      ""GSC最新!A:R""
    ),
    18,
    FALSE
  ),
  0
)
"),"")</f>
        <v/>
      </c>
      <c r="AB107" s="65">
        <f t="shared" ref="AB107:AC107" si="529">X107-Z107</f>
        <v>0</v>
      </c>
      <c r="AC107" s="65">
        <f t="shared" si="529"/>
        <v>0</v>
      </c>
      <c r="AD107" s="53">
        <f>IFERROR(__xludf.DUMMYFUNCTION("IFERROR(
  VLOOKUP(
    A107,
    IMPORTRANGE(
      ""1ZHMy3vVUd_0MrSduXTe1etBb1HNpAlGwQr006ljwMiM"",
      ""GSC最新!A:F""
    ),
    6,
    FALSE
  ),
  0
)
"),46081.0)</f>
        <v>46081</v>
      </c>
      <c r="AE107" s="54">
        <f>IFERROR(__xludf.DUMMYFUNCTION("IFERROR(
  VLOOKUP(
    A107,
    IMPORTRANGE(
      ""1SCYQd7_cobOYqT0r_F0IqD4tE4rYn5y8Eup4PJTH8es"",
      ""Snapshot!A:M""
    ),
    5,
    FALSE
  ),
  ""-""
)
"),8.0)</f>
        <v>8</v>
      </c>
      <c r="AF107" s="54">
        <f>IFERROR(__xludf.DUMMYFUNCTION("IFERROR(
  VLOOKUP(
    A107,
    IMPORTRANGE(
      ""1SCYQd7_cobOYqT0r_F0IqD4tE4rYn5y8Eup4PJTH8es"",
      ""Snapshot!A:M""
    ),
    6,
    FALSE
  ),
  0
)
"),0.0)</f>
        <v>0</v>
      </c>
      <c r="AG107" s="54">
        <f>IFERROR(__xludf.DUMMYFUNCTION("IFERROR(
  VLOOKUP(
    A107,
    IMPORTRANGE(
      ""1SCYQd7_cobOYqT0r_F0IqD4tE4rYn5y8Eup4PJTH8es"",
      ""Snapshot!A:M""
    ),
    7,
    FALSE
  ),
  0
)
"),2228.0)</f>
        <v>2228</v>
      </c>
      <c r="AH107" s="54">
        <f>IFERROR(__xludf.DUMMYFUNCTION("IFERROR(
  VLOOKUP(
    A107,
    IMPORTRANGE(
      ""1SCYQd7_cobOYqT0r_F0IqD4tE4rYn5y8Eup4PJTH8es"",
      ""Snapshot!A:M""
    ),
    8,
    FALSE
  ),
  0
)
"),28.0)</f>
        <v>28</v>
      </c>
      <c r="AI107" s="54">
        <f>IFERROR(__xludf.DUMMYFUNCTION("IFERROR(
  VLOOKUP(
    A107,
    IMPORTRANGE(
      ""1SCYQd7_cobOYqT0r_F0IqD4tE4rYn5y8Eup4PJTH8es"",
      ""Snapshot!A:M""
    ),
    9,
    FALSE
  ),
  0
)
"),0.0)</f>
        <v>0</v>
      </c>
      <c r="AJ107" s="54">
        <f>IFERROR(__xludf.DUMMYFUNCTION("IFERROR(
  VLOOKUP(
    A107,
    IMPORTRANGE(
      ""1SCYQd7_cobOYqT0r_F0IqD4tE4rYn5y8Eup4PJTH8es"",
      ""Snapshot!A:M""
    ),
    13,
    FALSE
  ),
  0
)
"),2.0)</f>
        <v>2</v>
      </c>
      <c r="AK107" s="49">
        <f t="shared" ref="AK107:AL107" si="530">LEN(C107)</f>
        <v>56</v>
      </c>
      <c r="AL107" s="49">
        <f t="shared" si="530"/>
        <v>55</v>
      </c>
    </row>
    <row r="108">
      <c r="A108" s="3" t="s">
        <v>793</v>
      </c>
      <c r="B108" s="1" t="str">
        <f>IFERROR(__xludf.DUMMYFUNCTION("IFERROR(
  VLOOKUP(
    A108,
    IMPORTRANGE(
      ""1ZygntHC1J6IxzKbTidmOyf5nUyW4GCLurHCjexrLm_o"",
      ""HTMLキャッシュ!A:F""
    ),
    2,
    FALSE
  ),
  0
)
"),"SC")</f>
        <v>SC</v>
      </c>
      <c r="C108" s="1" t="str">
        <f>IFERROR(__xludf.DUMMYFUNCTION("IFERROR(
  VLOOKUP(
    A108,
    IMPORTRANGE(
      ""1ZygntHC1J6IxzKbTidmOyf5nUyW4GCLurHCjexrLm_o"",
      ""HTMLキャッシュ!A:F""
    ),
    5,
    FALSE
  ),
  0
)
"),"受験でやる気が出ないときの対処法 - 中高一貫校専門塾エスコット(Escot)～定期試験対策から大学受験指導まで～")</f>
        <v>受験でやる気が出ないときの対処法 - 中高一貫校専門塾エスコット(Escot)～定期試験対策から大学受験指導まで～</v>
      </c>
      <c r="D108" s="1" t="str">
        <f>IFERROR(__xludf.DUMMYFUNCTION("IFERROR(
  VLOOKUP(
    A108,
    IMPORTRANGE(
      ""1ZygntHC1J6IxzKbTidmOyf5nUyW4GCLurHCjexrLm_o        "",
      ""HTMLキャッシュ!A:F""
    ),
    6,
    FALSE
  ),
  0
)
"),"受験勉強 やる気が出ない 受験でやる気が出ないときの対処法 受験があるのにやる気が出ない――それは特別なことで")</f>
        <v>受験勉強 やる気が出ない 受験でやる気が出ないときの対処法 受験があるのにやる気が出ない――それは特別なことで</v>
      </c>
      <c r="E108" s="32">
        <f>IFERROR(__xludf.DUMMYFUNCTION("IFERROR(
  VLOOKUP(
    A108,
    IMPORTRANGE(
      ""1ZygntHC1J6IxzKbTidmOyf5nUyW4GCLurHCjexrLm_o        "",
      ""HTMLキャッシュ!A:F""
    ),
    3,
    FALSE
  ),
  0
)
"),46083.56288194445)</f>
        <v>46083.56288</v>
      </c>
      <c r="F108" s="49">
        <f>IFERROR(__xludf.DUMMYFUNCTION("IFERROR(
  VLOOKUP(
    A108,
    IMPORTRANGE(
      ""1ZHMy3vVUd_0MrSduXTe1etBb1HNpAlGwQr006ljwMiM"",
      ""GSC最新!A:F""
    ),
    2,
    FALSE
  ),
  0
)
"),0.0)</f>
        <v>0</v>
      </c>
      <c r="G108" s="49">
        <f>IFERROR(__xludf.DUMMYFUNCTION("IFERROR(
  VLOOKUP(
    A108,
    IMPORTRANGE(
      ""1ZHMy3vVUd_0MrSduXTe1etBb1HNpAlGwQr006ljwMiM"",
      ""GSC最新!A:F""
    ),
    3,
    FALSE
  ),
  0
)
"),0.0)</f>
        <v>0</v>
      </c>
      <c r="H108" s="49">
        <f>IFERROR(__xludf.DUMMYFUNCTION("IFERROR(
  VLOOKUP(
    A108,
    IMPORTRANGE(
      ""1ZHMy3vVUd_0MrSduXTe1etBb1HNpAlGwQr006ljwMiM"",
      ""GSC最新!A:F""
    ),
    4,
    FALSE
  ),
  0
)
"),0.0)</f>
        <v>0</v>
      </c>
      <c r="I108" s="49">
        <f>IFERROR(__xludf.DUMMYFUNCTION("IFERROR(
  VLOOKUP(
    A108,
    IMPORTRANGE(
      ""1ZHMy3vVUd_0MrSduXTe1etBb1HNpAlGwQr006ljwMiM"",
      ""GSC最新!A:F""
    ),
    5,
    FALSE
  ),
  0
)
"),0.0)</f>
        <v>0</v>
      </c>
      <c r="J108" s="50" t="str">
        <f t="shared" ref="J108:K108" si="531">IFERROR(F108/H108,"-")</f>
        <v>-</v>
      </c>
      <c r="K108" s="50" t="str">
        <f t="shared" si="531"/>
        <v>-</v>
      </c>
      <c r="L108" s="6">
        <f>IFERROR(__xludf.DUMMYFUNCTION("IFERROR(
  VLOOKUP(
    A108,
    IMPORTRANGE(
      ""1ZHMy3vVUd_0MrSduXTe1etBb1HNpAlGwQr006ljwMiM"",
      ""GSC最新!A:R""
    ),
    7,
    FALSE
  ),
  0
)
"),0.0)</f>
        <v>0</v>
      </c>
      <c r="M108" s="6">
        <f>IFERROR(__xludf.DUMMYFUNCTION("IFERROR(
  VLOOKUP(
    A108,
    IMPORTRANGE(
      ""1ZHMy3vVUd_0MrSduXTe1etBb1HNpAlGwQr006ljwMiM"",
      ""GSC最新!A:R""
    ),
    10,
    FALSE
  ),
  0
)
"),0.0)</f>
        <v>0</v>
      </c>
      <c r="N108" s="6">
        <f>IFERROR(__xludf.DUMMYFUNCTION("IFERROR(
  VLOOKUP(
    A108,
    IMPORTRANGE(
      ""1ZHMy3vVUd_0MrSduXTe1etBb1HNpAlGwQr006ljwMiM"",
      ""GSC最新!A:R""
    ),
    13,
    FALSE
  ),
  0
)
"),0.0)</f>
        <v>0</v>
      </c>
      <c r="O108" s="6">
        <f>IFERROR(__xludf.DUMMYFUNCTION("IFERROR(
  VLOOKUP(
    A108,
    IMPORTRANGE(
      ""1ZHMy3vVUd_0MrSduXTe1etBb1HNpAlGwQr006ljwMiM"",
      ""GSC最新!A:R""
    ),
    16,
    FALSE
  ),
  0
)
"),0.0)</f>
        <v>0</v>
      </c>
      <c r="P108" s="51" t="str">
        <f t="shared" ref="P108:Q108" si="532">IFERROR(L108/N108,"-")</f>
        <v>-</v>
      </c>
      <c r="Q108" s="51" t="str">
        <f t="shared" si="532"/>
        <v>-</v>
      </c>
      <c r="R108" s="9">
        <f>IFERROR(__xludf.DUMMYFUNCTION("IFERROR(
  VLOOKUP(
    A108,
    IMPORTRANGE(
      ""1ZHMy3vVUd_0MrSduXTe1etBb1HNpAlGwQr006ljwMiM"",
      ""GSC最新!A:R""
    ),
    8,
    FALSE
  ),
  0
)
"),0.0)</f>
        <v>0</v>
      </c>
      <c r="S108" s="9">
        <f>IFERROR(__xludf.DUMMYFUNCTION("IFERROR(
  VLOOKUP(
    A108,
    IMPORTRANGE(
      ""1ZHMy3vVUd_0MrSduXTe1etBb1HNpAlGwQr006ljwMiM"",
      ""GSC最新!A:R""
    ),
    11,
    FALSE
  ),
  0
)
"),0.0)</f>
        <v>0</v>
      </c>
      <c r="T108" s="9">
        <f>IFERROR(__xludf.DUMMYFUNCTION("IFERROR(
  VLOOKUP(
    A108,
    IMPORTRANGE(
      ""1ZHMy3vVUd_0MrSduXTe1etBb1HNpAlGwQr006ljwMiM"",
      ""GSC最新!A:R""
    ),
    14,
    FALSE
  ),
  0
)
"),0.0)</f>
        <v>0</v>
      </c>
      <c r="U108" s="9">
        <f>IFERROR(__xludf.DUMMYFUNCTION("IFERROR(
  VLOOKUP(
    A108,
    IMPORTRANGE(
      ""1ZHMy3vVUd_0MrSduXTe1etBb1HNpAlGwQr006ljwMiM"",
      ""GSC最新!A:R""
    ),
    17,
    FALSE
  ),
  0
)
"),0.0)</f>
        <v>0</v>
      </c>
      <c r="V108" s="9">
        <f t="shared" ref="V108:W108" si="533">IFERROR(R108-T108,"-")</f>
        <v>0</v>
      </c>
      <c r="W108" s="9">
        <f t="shared" si="533"/>
        <v>0</v>
      </c>
      <c r="X108" s="65" t="str">
        <f>IFERROR(__xludf.DUMMYFUNCTION("IFERROR(
  VLOOKUP(
    A108,
    IMPORTRANGE(
      ""1ZHMy3vVUd_0MrSduXTe1etBb1HNpAlGwQr006ljwMiM"",
      ""GSC最新!A:R""
    ),
    9,
    FALSE
  ),
  0
)
"),"")</f>
        <v/>
      </c>
      <c r="Y108" s="65" t="str">
        <f>IFERROR(__xludf.DUMMYFUNCTION("IFERROR(
  VLOOKUP(
    A108,
    IMPORTRANGE(
      ""1ZHMy3vVUd_0MrSduXTe1etBb1HNpAlGwQr006ljwMiM"",
      ""GSC最新!A:R""
    ),
    12,
    FALSE
  ),
  0
)
"),"")</f>
        <v/>
      </c>
      <c r="Z108" s="65" t="str">
        <f>IFERROR(__xludf.DUMMYFUNCTION("IFERROR(
  VLOOKUP(
    A108,
    IMPORTRANGE(
      ""1ZHMy3vVUd_0MrSduXTe1etBb1HNpAlGwQr006ljwMiM"",
      ""GSC最新!A:R""
    ),
    15,
    FALSE
  ),
  0
)
"),"")</f>
        <v/>
      </c>
      <c r="AA108" s="65" t="str">
        <f>IFERROR(__xludf.DUMMYFUNCTION("IFERROR(
  VLOOKUP(
    A108,
    IMPORTRANGE(
      ""1ZHMy3vVUd_0MrSduXTe1etBb1HNpAlGwQr006ljwMiM"",
      ""GSC最新!A:R""
    ),
    18,
    FALSE
  ),
  0
)
"),"")</f>
        <v/>
      </c>
      <c r="AB108" s="65">
        <f t="shared" ref="AB108:AC108" si="534">X108-Z108</f>
        <v>0</v>
      </c>
      <c r="AC108" s="65">
        <f t="shared" si="534"/>
        <v>0</v>
      </c>
      <c r="AD108" s="53">
        <f>IFERROR(__xludf.DUMMYFUNCTION("IFERROR(
  VLOOKUP(
    A108,
    IMPORTRANGE(
      ""1ZHMy3vVUd_0MrSduXTe1etBb1HNpAlGwQr006ljwMiM"",
      ""GSC最新!A:F""
    ),
    6,
    FALSE
  ),
  0
)
"),46081.0)</f>
        <v>46081</v>
      </c>
      <c r="AE108" s="54">
        <f>IFERROR(__xludf.DUMMYFUNCTION("IFERROR(
  VLOOKUP(
    A108,
    IMPORTRANGE(
      ""1SCYQd7_cobOYqT0r_F0IqD4tE4rYn5y8Eup4PJTH8es"",
      ""Snapshot!A:M""
    ),
    5,
    FALSE
  ),
  ""-""
)
"),3.0)</f>
        <v>3</v>
      </c>
      <c r="AF108" s="54">
        <f>IFERROR(__xludf.DUMMYFUNCTION("IFERROR(
  VLOOKUP(
    A108,
    IMPORTRANGE(
      ""1SCYQd7_cobOYqT0r_F0IqD4tE4rYn5y8Eup4PJTH8es"",
      ""Snapshot!A:M""
    ),
    6,
    FALSE
  ),
  0
)
"),0.0)</f>
        <v>0</v>
      </c>
      <c r="AG108" s="54">
        <f>IFERROR(__xludf.DUMMYFUNCTION("IFERROR(
  VLOOKUP(
    A108,
    IMPORTRANGE(
      ""1SCYQd7_cobOYqT0r_F0IqD4tE4rYn5y8Eup4PJTH8es"",
      ""Snapshot!A:M""
    ),
    7,
    FALSE
  ),
  0
)
"),2267.0)</f>
        <v>2267</v>
      </c>
      <c r="AH108" s="54">
        <f>IFERROR(__xludf.DUMMYFUNCTION("IFERROR(
  VLOOKUP(
    A108,
    IMPORTRANGE(
      ""1SCYQd7_cobOYqT0r_F0IqD4tE4rYn5y8Eup4PJTH8es"",
      ""Snapshot!A:M""
    ),
    8,
    FALSE
  ),
  0
)
"),28.0)</f>
        <v>28</v>
      </c>
      <c r="AI108" s="54">
        <f>IFERROR(__xludf.DUMMYFUNCTION("IFERROR(
  VLOOKUP(
    A108,
    IMPORTRANGE(
      ""1SCYQd7_cobOYqT0r_F0IqD4tE4rYn5y8Eup4PJTH8es"",
      ""Snapshot!A:M""
    ),
    9,
    FALSE
  ),
  0
)
"),0.0)</f>
        <v>0</v>
      </c>
      <c r="AJ108" s="54">
        <f>IFERROR(__xludf.DUMMYFUNCTION("IFERROR(
  VLOOKUP(
    A108,
    IMPORTRANGE(
      ""1SCYQd7_cobOYqT0r_F0IqD4tE4rYn5y8Eup4PJTH8es"",
      ""Snapshot!A:M""
    ),
    13,
    FALSE
  ),
  0
)
"),2.0)</f>
        <v>2</v>
      </c>
      <c r="AK108" s="49">
        <f t="shared" ref="AK108:AL108" si="535">LEN(C108)</f>
        <v>57</v>
      </c>
      <c r="AL108" s="49">
        <f t="shared" si="535"/>
        <v>55</v>
      </c>
    </row>
    <row r="109">
      <c r="A109" s="3" t="s">
        <v>794</v>
      </c>
      <c r="B109" s="1" t="str">
        <f>IFERROR(__xludf.DUMMYFUNCTION("IFERROR(
  VLOOKUP(
    A109,
    IMPORTRANGE(
      ""1ZygntHC1J6IxzKbTidmOyf5nUyW4GCLurHCjexrLm_o"",
      ""HTMLキャッシュ!A:F""
    ),
    2,
    FALSE
  ),
  0
)
"),"MC")</f>
        <v>MC</v>
      </c>
      <c r="C109" s="1" t="str">
        <f>IFERROR(__xludf.DUMMYFUNCTION("IFERROR(
  VLOOKUP(
    A109,
    IMPORTRANGE(
      ""1ZygntHC1J6IxzKbTidmOyf5nUyW4GCLurHCjexrLm_o"",
      ""HTMLキャッシュ!A:F""
    ),
    5,
    FALSE
  ),
  0
)
"),"中高一貫校生に塾が必要な理由とは？ - 中高一貫校専門塾エスコット(Escot)～定期試験対策から大学受験指導まで～")</f>
        <v>中高一貫校生に塾が必要な理由とは？ - 中高一貫校専門塾エスコット(Escot)～定期試験対策から大学受験指導まで～</v>
      </c>
      <c r="D109" s="1" t="str">
        <f>IFERROR(__xludf.DUMMYFUNCTION("IFERROR(
  VLOOKUP(
    A109,
    IMPORTRANGE(
      ""1ZygntHC1J6IxzKbTidmOyf5nUyW4GCLurHCjexrLm_o        "",
      ""HTMLキャッシュ!A:F""
    ),
    6,
    FALSE
  ),
  0
)
"),"中高一貫 塾は必要？ 中高一貫校生に塾は必要なのか 合格後に「塾を続けるべきか」を悩むのは自然なことです。授業")</f>
        <v>中高一貫 塾は必要？ 中高一貫校生に塾は必要なのか 合格後に「塾を続けるべきか」を悩むのは自然なことです。授業</v>
      </c>
      <c r="E109" s="32">
        <f>IFERROR(__xludf.DUMMYFUNCTION("IFERROR(
  VLOOKUP(
    A109,
    IMPORTRANGE(
      ""1ZygntHC1J6IxzKbTidmOyf5nUyW4GCLurHCjexrLm_o        "",
      ""HTMLキャッシュ!A:F""
    ),
    3,
    FALSE
  ),
  0
)
"),46084.54038194445)</f>
        <v>46084.54038</v>
      </c>
      <c r="F109" s="49">
        <f>IFERROR(__xludf.DUMMYFUNCTION("IFERROR(
  VLOOKUP(
    A109,
    IMPORTRANGE(
      ""1ZHMy3vVUd_0MrSduXTe1etBb1HNpAlGwQr006ljwMiM"",
      ""GSC最新!A:F""
    ),
    2,
    FALSE
  ),
  0
)
"),0.0)</f>
        <v>0</v>
      </c>
      <c r="G109" s="49">
        <f>IFERROR(__xludf.DUMMYFUNCTION("IFERROR(
  VLOOKUP(
    A109,
    IMPORTRANGE(
      ""1ZHMy3vVUd_0MrSduXTe1etBb1HNpAlGwQr006ljwMiM"",
      ""GSC最新!A:F""
    ),
    3,
    FALSE
  ),
  0
)
"),0.0)</f>
        <v>0</v>
      </c>
      <c r="H109" s="49">
        <f>IFERROR(__xludf.DUMMYFUNCTION("IFERROR(
  VLOOKUP(
    A109,
    IMPORTRANGE(
      ""1ZHMy3vVUd_0MrSduXTe1etBb1HNpAlGwQr006ljwMiM"",
      ""GSC最新!A:F""
    ),
    4,
    FALSE
  ),
  0
)
"),0.0)</f>
        <v>0</v>
      </c>
      <c r="I109" s="49">
        <f>IFERROR(__xludf.DUMMYFUNCTION("IFERROR(
  VLOOKUP(
    A109,
    IMPORTRANGE(
      ""1ZHMy3vVUd_0MrSduXTe1etBb1HNpAlGwQr006ljwMiM"",
      ""GSC最新!A:F""
    ),
    5,
    FALSE
  ),
  0
)
"),0.0)</f>
        <v>0</v>
      </c>
      <c r="J109" s="50" t="str">
        <f t="shared" ref="J109:K109" si="536">IFERROR(F109/H109,"-")</f>
        <v>-</v>
      </c>
      <c r="K109" s="50" t="str">
        <f t="shared" si="536"/>
        <v>-</v>
      </c>
      <c r="L109" s="6">
        <f>IFERROR(__xludf.DUMMYFUNCTION("IFERROR(
  VLOOKUP(
    A109,
    IMPORTRANGE(
      ""1ZHMy3vVUd_0MrSduXTe1etBb1HNpAlGwQr006ljwMiM"",
      ""GSC最新!A:R""
    ),
    7,
    FALSE
  ),
  0
)
"),0.0)</f>
        <v>0</v>
      </c>
      <c r="M109" s="6">
        <f>IFERROR(__xludf.DUMMYFUNCTION("IFERROR(
  VLOOKUP(
    A109,
    IMPORTRANGE(
      ""1ZHMy3vVUd_0MrSduXTe1etBb1HNpAlGwQr006ljwMiM"",
      ""GSC最新!A:R""
    ),
    10,
    FALSE
  ),
  0
)
"),0.0)</f>
        <v>0</v>
      </c>
      <c r="N109" s="6">
        <f>IFERROR(__xludf.DUMMYFUNCTION("IFERROR(
  VLOOKUP(
    A109,
    IMPORTRANGE(
      ""1ZHMy3vVUd_0MrSduXTe1etBb1HNpAlGwQr006ljwMiM"",
      ""GSC最新!A:R""
    ),
    13,
    FALSE
  ),
  0
)
"),0.0)</f>
        <v>0</v>
      </c>
      <c r="O109" s="6">
        <f>IFERROR(__xludf.DUMMYFUNCTION("IFERROR(
  VLOOKUP(
    A109,
    IMPORTRANGE(
      ""1ZHMy3vVUd_0MrSduXTe1etBb1HNpAlGwQr006ljwMiM"",
      ""GSC最新!A:R""
    ),
    16,
    FALSE
  ),
  0
)
"),0.0)</f>
        <v>0</v>
      </c>
      <c r="P109" s="51" t="str">
        <f t="shared" ref="P109:Q109" si="537">IFERROR(L109/N109,"-")</f>
        <v>-</v>
      </c>
      <c r="Q109" s="51" t="str">
        <f t="shared" si="537"/>
        <v>-</v>
      </c>
      <c r="R109" s="9">
        <f>IFERROR(__xludf.DUMMYFUNCTION("IFERROR(
  VLOOKUP(
    A109,
    IMPORTRANGE(
      ""1ZHMy3vVUd_0MrSduXTe1etBb1HNpAlGwQr006ljwMiM"",
      ""GSC最新!A:R""
    ),
    8,
    FALSE
  ),
  0
)
"),0.0)</f>
        <v>0</v>
      </c>
      <c r="S109" s="9">
        <f>IFERROR(__xludf.DUMMYFUNCTION("IFERROR(
  VLOOKUP(
    A109,
    IMPORTRANGE(
      ""1ZHMy3vVUd_0MrSduXTe1etBb1HNpAlGwQr006ljwMiM"",
      ""GSC最新!A:R""
    ),
    11,
    FALSE
  ),
  0
)
"),0.0)</f>
        <v>0</v>
      </c>
      <c r="T109" s="9">
        <f>IFERROR(__xludf.DUMMYFUNCTION("IFERROR(
  VLOOKUP(
    A109,
    IMPORTRANGE(
      ""1ZHMy3vVUd_0MrSduXTe1etBb1HNpAlGwQr006ljwMiM"",
      ""GSC最新!A:R""
    ),
    14,
    FALSE
  ),
  0
)
"),0.0)</f>
        <v>0</v>
      </c>
      <c r="U109" s="9">
        <f>IFERROR(__xludf.DUMMYFUNCTION("IFERROR(
  VLOOKUP(
    A109,
    IMPORTRANGE(
      ""1ZHMy3vVUd_0MrSduXTe1etBb1HNpAlGwQr006ljwMiM"",
      ""GSC最新!A:R""
    ),
    17,
    FALSE
  ),
  0
)
"),0.0)</f>
        <v>0</v>
      </c>
      <c r="V109" s="9">
        <f t="shared" ref="V109:W109" si="538">IFERROR(R109-T109,"-")</f>
        <v>0</v>
      </c>
      <c r="W109" s="9">
        <f t="shared" si="538"/>
        <v>0</v>
      </c>
      <c r="X109" s="65" t="str">
        <f>IFERROR(__xludf.DUMMYFUNCTION("IFERROR(
  VLOOKUP(
    A109,
    IMPORTRANGE(
      ""1ZHMy3vVUd_0MrSduXTe1etBb1HNpAlGwQr006ljwMiM"",
      ""GSC最新!A:R""
    ),
    9,
    FALSE
  ),
  0
)
"),"")</f>
        <v/>
      </c>
      <c r="Y109" s="65" t="str">
        <f>IFERROR(__xludf.DUMMYFUNCTION("IFERROR(
  VLOOKUP(
    A109,
    IMPORTRANGE(
      ""1ZHMy3vVUd_0MrSduXTe1etBb1HNpAlGwQr006ljwMiM"",
      ""GSC最新!A:R""
    ),
    12,
    FALSE
  ),
  0
)
"),"")</f>
        <v/>
      </c>
      <c r="Z109" s="65" t="str">
        <f>IFERROR(__xludf.DUMMYFUNCTION("IFERROR(
  VLOOKUP(
    A109,
    IMPORTRANGE(
      ""1ZHMy3vVUd_0MrSduXTe1etBb1HNpAlGwQr006ljwMiM"",
      ""GSC最新!A:R""
    ),
    15,
    FALSE
  ),
  0
)
"),"")</f>
        <v/>
      </c>
      <c r="AA109" s="65" t="str">
        <f>IFERROR(__xludf.DUMMYFUNCTION("IFERROR(
  VLOOKUP(
    A109,
    IMPORTRANGE(
      ""1ZHMy3vVUd_0MrSduXTe1etBb1HNpAlGwQr006ljwMiM"",
      ""GSC最新!A:R""
    ),
    18,
    FALSE
  ),
  0
)
"),"")</f>
        <v/>
      </c>
      <c r="AB109" s="65">
        <f t="shared" ref="AB109:AC109" si="539">X109-Z109</f>
        <v>0</v>
      </c>
      <c r="AC109" s="65">
        <f t="shared" si="539"/>
        <v>0</v>
      </c>
      <c r="AD109" s="53">
        <f>IFERROR(__xludf.DUMMYFUNCTION("IFERROR(
  VLOOKUP(
    A109,
    IMPORTRANGE(
      ""1ZHMy3vVUd_0MrSduXTe1etBb1HNpAlGwQr006ljwMiM"",
      ""GSC最新!A:F""
    ),
    6,
    FALSE
  ),
  0
)
"),46081.0)</f>
        <v>46081</v>
      </c>
      <c r="AE109" s="54">
        <f>IFERROR(__xludf.DUMMYFUNCTION("IFERROR(
  VLOOKUP(
    A109,
    IMPORTRANGE(
      ""1SCYQd7_cobOYqT0r_F0IqD4tE4rYn5y8Eup4PJTH8es"",
      ""Snapshot!A:M""
    ),
    5,
    FALSE
  ),
  ""-""
)
"),5.0)</f>
        <v>5</v>
      </c>
      <c r="AF109" s="54">
        <f>IFERROR(__xludf.DUMMYFUNCTION("IFERROR(
  VLOOKUP(
    A109,
    IMPORTRANGE(
      ""1SCYQd7_cobOYqT0r_F0IqD4tE4rYn5y8Eup4PJTH8es"",
      ""Snapshot!A:M""
    ),
    6,
    FALSE
  ),
  0
)
"),0.0)</f>
        <v>0</v>
      </c>
      <c r="AG109" s="54">
        <f>IFERROR(__xludf.DUMMYFUNCTION("IFERROR(
  VLOOKUP(
    A109,
    IMPORTRANGE(
      ""1SCYQd7_cobOYqT0r_F0IqD4tE4rYn5y8Eup4PJTH8es"",
      ""Snapshot!A:M""
    ),
    7,
    FALSE
  ),
  0
)
"),3954.0)</f>
        <v>3954</v>
      </c>
      <c r="AH109" s="54">
        <f>IFERROR(__xludf.DUMMYFUNCTION("IFERROR(
  VLOOKUP(
    A109,
    IMPORTRANGE(
      ""1SCYQd7_cobOYqT0r_F0IqD4tE4rYn5y8Eup4PJTH8es"",
      ""Snapshot!A:M""
    ),
    8,
    FALSE
  ),
  0
)
"),9.0)</f>
        <v>9</v>
      </c>
      <c r="AI109" s="54">
        <f>IFERROR(__xludf.DUMMYFUNCTION("IFERROR(
  VLOOKUP(
    A109,
    IMPORTRANGE(
      ""1SCYQd7_cobOYqT0r_F0IqD4tE4rYn5y8Eup4PJTH8es"",
      ""Snapshot!A:M""
    ),
    9,
    FALSE
  ),
  0
)
"),3.0)</f>
        <v>3</v>
      </c>
      <c r="AJ109" s="54">
        <f>IFERROR(__xludf.DUMMYFUNCTION("IFERROR(
  VLOOKUP(
    A109,
    IMPORTRANGE(
      ""1SCYQd7_cobOYqT0r_F0IqD4tE4rYn5y8Eup4PJTH8es"",
      ""Snapshot!A:M""
    ),
    13,
    FALSE
  ),
  0
)
"),2.0)</f>
        <v>2</v>
      </c>
      <c r="AK109" s="49">
        <f t="shared" ref="AK109:AL109" si="540">LEN(C109)</f>
        <v>58</v>
      </c>
      <c r="AL109" s="49">
        <f t="shared" si="540"/>
        <v>55</v>
      </c>
    </row>
    <row r="110">
      <c r="A110" s="3" t="s">
        <v>795</v>
      </c>
      <c r="B110" s="1" t="str">
        <f>IFERROR(__xludf.DUMMYFUNCTION("IFERROR(
  VLOOKUP(
    A110,
    IMPORTRANGE(
      ""1ZygntHC1J6IxzKbTidmOyf5nUyW4GCLurHCjexrLm_o"",
      ""HTMLキャッシュ!A:F""
    ),
    2,
    FALSE
  ),
  0
)
"),"SC")</f>
        <v>SC</v>
      </c>
      <c r="C110" s="1" t="str">
        <f>IFERROR(__xludf.DUMMYFUNCTION("IFERROR(
  VLOOKUP(
    A110,
    IMPORTRANGE(
      ""1ZygntHC1J6IxzKbTidmOyf5nUyW4GCLurHCjexrLm_o"",
      ""HTMLキャッシュ!A:F""
    ),
    5,
    FALSE
  ),
  0
)
"),"数学が出来ない人はどのような人か - 中高一貫校専門塾エスコット(Escot)～定期試験対策から大学受験指導まで～")</f>
        <v>数学が出来ない人はどのような人か - 中高一貫校専門塾エスコット(Escot)～定期試験対策から大学受験指導まで～</v>
      </c>
      <c r="D110" s="1" t="str">
        <f>IFERROR(__xludf.DUMMYFUNCTION("IFERROR(
  VLOOKUP(
    A110,
    IMPORTRANGE(
      ""1ZygntHC1J6IxzKbTidmOyf5nUyW4GCLurHCjexrLm_o        "",
      ""HTMLキャッシュ!A:F""
    ),
    6,
    FALSE
  ),
  0
)
"),"数学 苦手 数学が出来ない人はどのような人か 数学が苦手な人の多くは「能力」ではなく、つまずき方と向き合い方に")</f>
        <v>数学 苦手 数学が出来ない人はどのような人か 数学が苦手な人の多くは「能力」ではなく、つまずき方と向き合い方に</v>
      </c>
      <c r="E110" s="32">
        <f>IFERROR(__xludf.DUMMYFUNCTION("IFERROR(
  VLOOKUP(
    A110,
    IMPORTRANGE(
      ""1ZygntHC1J6IxzKbTidmOyf5nUyW4GCLurHCjexrLm_o        "",
      ""HTMLキャッシュ!A:F""
    ),
    3,
    FALSE
  ),
  0
)
"),46084.537835648145)</f>
        <v>46084.53784</v>
      </c>
      <c r="F110" s="49">
        <f>IFERROR(__xludf.DUMMYFUNCTION("IFERROR(
  VLOOKUP(
    A110,
    IMPORTRANGE(
      ""1ZHMy3vVUd_0MrSduXTe1etBb1HNpAlGwQr006ljwMiM"",
      ""GSC最新!A:F""
    ),
    2,
    FALSE
  ),
  0
)
"),0.0)</f>
        <v>0</v>
      </c>
      <c r="G110" s="49">
        <f>IFERROR(__xludf.DUMMYFUNCTION("IFERROR(
  VLOOKUP(
    A110,
    IMPORTRANGE(
      ""1ZHMy3vVUd_0MrSduXTe1etBb1HNpAlGwQr006ljwMiM"",
      ""GSC最新!A:F""
    ),
    3,
    FALSE
  ),
  0
)
"),0.0)</f>
        <v>0</v>
      </c>
      <c r="H110" s="49">
        <f>IFERROR(__xludf.DUMMYFUNCTION("IFERROR(
  VLOOKUP(
    A110,
    IMPORTRANGE(
      ""1ZHMy3vVUd_0MrSduXTe1etBb1HNpAlGwQr006ljwMiM"",
      ""GSC最新!A:F""
    ),
    4,
    FALSE
  ),
  0
)
"),0.0)</f>
        <v>0</v>
      </c>
      <c r="I110" s="49">
        <f>IFERROR(__xludf.DUMMYFUNCTION("IFERROR(
  VLOOKUP(
    A110,
    IMPORTRANGE(
      ""1ZHMy3vVUd_0MrSduXTe1etBb1HNpAlGwQr006ljwMiM"",
      ""GSC最新!A:F""
    ),
    5,
    FALSE
  ),
  0
)
"),0.0)</f>
        <v>0</v>
      </c>
      <c r="J110" s="50" t="str">
        <f t="shared" ref="J110:K110" si="541">IFERROR(F110/H110,"-")</f>
        <v>-</v>
      </c>
      <c r="K110" s="50" t="str">
        <f t="shared" si="541"/>
        <v>-</v>
      </c>
      <c r="L110" s="6">
        <f>IFERROR(__xludf.DUMMYFUNCTION("IFERROR(
  VLOOKUP(
    A110,
    IMPORTRANGE(
      ""1ZHMy3vVUd_0MrSduXTe1etBb1HNpAlGwQr006ljwMiM"",
      ""GSC最新!A:R""
    ),
    7,
    FALSE
  ),
  0
)
"),0.0)</f>
        <v>0</v>
      </c>
      <c r="M110" s="6">
        <f>IFERROR(__xludf.DUMMYFUNCTION("IFERROR(
  VLOOKUP(
    A110,
    IMPORTRANGE(
      ""1ZHMy3vVUd_0MrSduXTe1etBb1HNpAlGwQr006ljwMiM"",
      ""GSC最新!A:R""
    ),
    10,
    FALSE
  ),
  0
)
"),0.0)</f>
        <v>0</v>
      </c>
      <c r="N110" s="6">
        <f>IFERROR(__xludf.DUMMYFUNCTION("IFERROR(
  VLOOKUP(
    A110,
    IMPORTRANGE(
      ""1ZHMy3vVUd_0MrSduXTe1etBb1HNpAlGwQr006ljwMiM"",
      ""GSC最新!A:R""
    ),
    13,
    FALSE
  ),
  0
)
"),0.0)</f>
        <v>0</v>
      </c>
      <c r="O110" s="6">
        <f>IFERROR(__xludf.DUMMYFUNCTION("IFERROR(
  VLOOKUP(
    A110,
    IMPORTRANGE(
      ""1ZHMy3vVUd_0MrSduXTe1etBb1HNpAlGwQr006ljwMiM"",
      ""GSC最新!A:R""
    ),
    16,
    FALSE
  ),
  0
)
"),3.0)</f>
        <v>3</v>
      </c>
      <c r="P110" s="51" t="str">
        <f t="shared" ref="P110:Q110" si="542">IFERROR(L110/N110,"-")</f>
        <v>-</v>
      </c>
      <c r="Q110" s="51">
        <f t="shared" si="542"/>
        <v>0</v>
      </c>
      <c r="R110" s="9">
        <f>IFERROR(__xludf.DUMMYFUNCTION("IFERROR(
  VLOOKUP(
    A110,
    IMPORTRANGE(
      ""1ZHMy3vVUd_0MrSduXTe1etBb1HNpAlGwQr006ljwMiM"",
      ""GSC最新!A:R""
    ),
    8,
    FALSE
  ),
  0
)
"),0.0)</f>
        <v>0</v>
      </c>
      <c r="S110" s="9">
        <f>IFERROR(__xludf.DUMMYFUNCTION("IFERROR(
  VLOOKUP(
    A110,
    IMPORTRANGE(
      ""1ZHMy3vVUd_0MrSduXTe1etBb1HNpAlGwQr006ljwMiM"",
      ""GSC最新!A:R""
    ),
    11,
    FALSE
  ),
  0
)
"),0.0)</f>
        <v>0</v>
      </c>
      <c r="T110" s="9">
        <f>IFERROR(__xludf.DUMMYFUNCTION("IFERROR(
  VLOOKUP(
    A110,
    IMPORTRANGE(
      ""1ZHMy3vVUd_0MrSduXTe1etBb1HNpAlGwQr006ljwMiM"",
      ""GSC最新!A:R""
    ),
    14,
    FALSE
  ),
  0
)
"),0.0)</f>
        <v>0</v>
      </c>
      <c r="U110" s="9">
        <f>IFERROR(__xludf.DUMMYFUNCTION("IFERROR(
  VLOOKUP(
    A110,
    IMPORTRANGE(
      ""1ZHMy3vVUd_0MrSduXTe1etBb1HNpAlGwQr006ljwMiM"",
      ""GSC最新!A:R""
    ),
    17,
    FALSE
  ),
  0
)
"),0.0)</f>
        <v>0</v>
      </c>
      <c r="V110" s="9">
        <f t="shared" ref="V110:W110" si="543">IFERROR(R110-T110,"-")</f>
        <v>0</v>
      </c>
      <c r="W110" s="9">
        <f t="shared" si="543"/>
        <v>0</v>
      </c>
      <c r="X110" s="65" t="str">
        <f>IFERROR(__xludf.DUMMYFUNCTION("IFERROR(
  VLOOKUP(
    A110,
    IMPORTRANGE(
      ""1ZHMy3vVUd_0MrSduXTe1etBb1HNpAlGwQr006ljwMiM"",
      ""GSC最新!A:R""
    ),
    9,
    FALSE
  ),
  0
)
"),"")</f>
        <v/>
      </c>
      <c r="Y110" s="65" t="str">
        <f>IFERROR(__xludf.DUMMYFUNCTION("IFERROR(
  VLOOKUP(
    A110,
    IMPORTRANGE(
      ""1ZHMy3vVUd_0MrSduXTe1etBb1HNpAlGwQr006ljwMiM"",
      ""GSC最新!A:R""
    ),
    12,
    FALSE
  ),
  0
)
"),"")</f>
        <v/>
      </c>
      <c r="Z110" s="65" t="str">
        <f>IFERROR(__xludf.DUMMYFUNCTION("IFERROR(
  VLOOKUP(
    A110,
    IMPORTRANGE(
      ""1ZHMy3vVUd_0MrSduXTe1etBb1HNpAlGwQr006ljwMiM"",
      ""GSC最新!A:R""
    ),
    15,
    FALSE
  ),
  0
)
"),"")</f>
        <v/>
      </c>
      <c r="AA110" s="65">
        <f>IFERROR(__xludf.DUMMYFUNCTION("IFERROR(
  VLOOKUP(
    A110,
    IMPORTRANGE(
      ""1ZHMy3vVUd_0MrSduXTe1etBb1HNpAlGwQr006ljwMiM"",
      ""GSC最新!A:R""
    ),
    18,
    FALSE
  ),
  0
)
"),6.0)</f>
        <v>6</v>
      </c>
      <c r="AB110" s="65">
        <f t="shared" ref="AB110:AC110" si="544">X110-Z110</f>
        <v>0</v>
      </c>
      <c r="AC110" s="65">
        <f t="shared" si="544"/>
        <v>-6</v>
      </c>
      <c r="AD110" s="53">
        <f>IFERROR(__xludf.DUMMYFUNCTION("IFERROR(
  VLOOKUP(
    A110,
    IMPORTRANGE(
      ""1ZHMy3vVUd_0MrSduXTe1etBb1HNpAlGwQr006ljwMiM"",
      ""GSC最新!A:F""
    ),
    6,
    FALSE
  ),
  0
)
"),46081.0)</f>
        <v>46081</v>
      </c>
      <c r="AE110" s="54">
        <f>IFERROR(__xludf.DUMMYFUNCTION("IFERROR(
  VLOOKUP(
    A110,
    IMPORTRANGE(
      ""1SCYQd7_cobOYqT0r_F0IqD4tE4rYn5y8Eup4PJTH8es"",
      ""Snapshot!A:M""
    ),
    5,
    FALSE
  ),
  ""-""
)
"),6.0)</f>
        <v>6</v>
      </c>
      <c r="AF110" s="54">
        <f>IFERROR(__xludf.DUMMYFUNCTION("IFERROR(
  VLOOKUP(
    A110,
    IMPORTRANGE(
      ""1SCYQd7_cobOYqT0r_F0IqD4tE4rYn5y8Eup4PJTH8es"",
      ""Snapshot!A:M""
    ),
    6,
    FALSE
  ),
  0
)
"),0.0)</f>
        <v>0</v>
      </c>
      <c r="AG110" s="54">
        <f>IFERROR(__xludf.DUMMYFUNCTION("IFERROR(
  VLOOKUP(
    A110,
    IMPORTRANGE(
      ""1SCYQd7_cobOYqT0r_F0IqD4tE4rYn5y8Eup4PJTH8es"",
      ""Snapshot!A:M""
    ),
    7,
    FALSE
  ),
  0
)
"),3803.0)</f>
        <v>3803</v>
      </c>
      <c r="AH110" s="54">
        <f>IFERROR(__xludf.DUMMYFUNCTION("IFERROR(
  VLOOKUP(
    A110,
    IMPORTRANGE(
      ""1SCYQd7_cobOYqT0r_F0IqD4tE4rYn5y8Eup4PJTH8es"",
      ""Snapshot!A:M""
    ),
    8,
    FALSE
  ),
  0
)
"),28.0)</f>
        <v>28</v>
      </c>
      <c r="AI110" s="54">
        <f>IFERROR(__xludf.DUMMYFUNCTION("IFERROR(
  VLOOKUP(
    A110,
    IMPORTRANGE(
      ""1SCYQd7_cobOYqT0r_F0IqD4tE4rYn5y8Eup4PJTH8es"",
      ""Snapshot!A:M""
    ),
    9,
    FALSE
  ),
  0
)
"),0.0)</f>
        <v>0</v>
      </c>
      <c r="AJ110" s="54">
        <f>IFERROR(__xludf.DUMMYFUNCTION("IFERROR(
  VLOOKUP(
    A110,
    IMPORTRANGE(
      ""1SCYQd7_cobOYqT0r_F0IqD4tE4rYn5y8Eup4PJTH8es"",
      ""Snapshot!A:M""
    ),
    13,
    FALSE
  ),
  0
)
"),2.0)</f>
        <v>2</v>
      </c>
      <c r="AK110" s="49">
        <f t="shared" ref="AK110:AL110" si="545">LEN(C110)</f>
        <v>57</v>
      </c>
      <c r="AL110" s="49">
        <f t="shared" si="545"/>
        <v>55</v>
      </c>
    </row>
    <row r="111">
      <c r="A111" s="3" t="s">
        <v>796</v>
      </c>
      <c r="B111" s="1" t="str">
        <f>IFERROR(__xludf.DUMMYFUNCTION("IFERROR(
  VLOOKUP(
    A111,
    IMPORTRANGE(
      ""1ZygntHC1J6IxzKbTidmOyf5nUyW4GCLurHCjexrLm_o"",
      ""HTMLキャッシュ!A:F""
    ),
    2,
    FALSE
  ),
  0
)
"),"MC")</f>
        <v>MC</v>
      </c>
      <c r="C111" s="1" t="str">
        <f>IFERROR(__xludf.DUMMYFUNCTION("IFERROR(
  VLOOKUP(
    A111,
    IMPORTRANGE(
      ""1ZygntHC1J6IxzKbTidmOyf5nUyW4GCLurHCjexrLm_o"",
      ""HTMLキャッシュ!A:F""
    ),
    5,
    FALSE
  ),
  0
)
"),"中学生が個別塾で指導を受ける意義とは何か - 中高一貫校専門塾エスコット(Escot)～定期試験対策から大学受験指導まで～")</f>
        <v>中学生が個別塾で指導を受ける意義とは何か - 中高一貫校専門塾エスコット(Escot)～定期試験対策から大学受験指導まで～</v>
      </c>
      <c r="D111" s="1" t="str">
        <f>IFERROR(__xludf.DUMMYFUNCTION("IFERROR(
  VLOOKUP(
    A111,
    IMPORTRANGE(
      ""1ZygntHC1J6IxzKbTidmOyf5nUyW4GCLurHCjexrLm_o        "",
      ""HTMLキャッシュ!A:F""
    ),
    6,
    FALSE
  ),
  0
)
"),"中学生 個別指導 中学生が個別指導を受ける意義 参考書・動画・学習アプリが充実した今、あえて個別指導を選ぶ理由")</f>
        <v>中学生 個別指導 中学生が個別指導を受ける意義 参考書・動画・学習アプリが充実した今、あえて個別指導を選ぶ理由</v>
      </c>
      <c r="E111" s="32">
        <f>IFERROR(__xludf.DUMMYFUNCTION("IFERROR(
  VLOOKUP(
    A111,
    IMPORTRANGE(
      ""1ZygntHC1J6IxzKbTidmOyf5nUyW4GCLurHCjexrLm_o        "",
      ""HTMLキャッシュ!A:F""
    ),
    3,
    FALSE
  ),
  0
)
"),46084.637037037035)</f>
        <v>46084.63704</v>
      </c>
      <c r="F111" s="49">
        <f>IFERROR(__xludf.DUMMYFUNCTION("IFERROR(
  VLOOKUP(
    A111,
    IMPORTRANGE(
      ""1ZHMy3vVUd_0MrSduXTe1etBb1HNpAlGwQr006ljwMiM"",
      ""GSC最新!A:F""
    ),
    2,
    FALSE
  ),
  0
)
"),0.0)</f>
        <v>0</v>
      </c>
      <c r="G111" s="49">
        <f>IFERROR(__xludf.DUMMYFUNCTION("IFERROR(
  VLOOKUP(
    A111,
    IMPORTRANGE(
      ""1ZHMy3vVUd_0MrSduXTe1etBb1HNpAlGwQr006ljwMiM"",
      ""GSC最新!A:F""
    ),
    3,
    FALSE
  ),
  0
)
"),0.0)</f>
        <v>0</v>
      </c>
      <c r="H111" s="49">
        <f>IFERROR(__xludf.DUMMYFUNCTION("IFERROR(
  VLOOKUP(
    A111,
    IMPORTRANGE(
      ""1ZHMy3vVUd_0MrSduXTe1etBb1HNpAlGwQr006ljwMiM"",
      ""GSC最新!A:F""
    ),
    4,
    FALSE
  ),
  0
)
"),0.0)</f>
        <v>0</v>
      </c>
      <c r="I111" s="49">
        <f>IFERROR(__xludf.DUMMYFUNCTION("IFERROR(
  VLOOKUP(
    A111,
    IMPORTRANGE(
      ""1ZHMy3vVUd_0MrSduXTe1etBb1HNpAlGwQr006ljwMiM"",
      ""GSC最新!A:F""
    ),
    5,
    FALSE
  ),
  0
)
"),0.0)</f>
        <v>0</v>
      </c>
      <c r="J111" s="50" t="str">
        <f t="shared" ref="J111:K111" si="546">IFERROR(F111/H111,"-")</f>
        <v>-</v>
      </c>
      <c r="K111" s="50" t="str">
        <f t="shared" si="546"/>
        <v>-</v>
      </c>
      <c r="L111" s="6">
        <f>IFERROR(__xludf.DUMMYFUNCTION("IFERROR(
  VLOOKUP(
    A111,
    IMPORTRANGE(
      ""1ZHMy3vVUd_0MrSduXTe1etBb1HNpAlGwQr006ljwMiM"",
      ""GSC最新!A:R""
    ),
    7,
    FALSE
  ),
  0
)
"),0.0)</f>
        <v>0</v>
      </c>
      <c r="M111" s="6">
        <f>IFERROR(__xludf.DUMMYFUNCTION("IFERROR(
  VLOOKUP(
    A111,
    IMPORTRANGE(
      ""1ZHMy3vVUd_0MrSduXTe1etBb1HNpAlGwQr006ljwMiM"",
      ""GSC最新!A:R""
    ),
    10,
    FALSE
  ),
  0
)
"),0.0)</f>
        <v>0</v>
      </c>
      <c r="N111" s="6">
        <f>IFERROR(__xludf.DUMMYFUNCTION("IFERROR(
  VLOOKUP(
    A111,
    IMPORTRANGE(
      ""1ZHMy3vVUd_0MrSduXTe1etBb1HNpAlGwQr006ljwMiM"",
      ""GSC最新!A:R""
    ),
    13,
    FALSE
  ),
  0
)
"),0.0)</f>
        <v>0</v>
      </c>
      <c r="O111" s="6">
        <f>IFERROR(__xludf.DUMMYFUNCTION("IFERROR(
  VLOOKUP(
    A111,
    IMPORTRANGE(
      ""1ZHMy3vVUd_0MrSduXTe1etBb1HNpAlGwQr006ljwMiM"",
      ""GSC最新!A:R""
    ),
    16,
    FALSE
  ),
  0
)
"),0.0)</f>
        <v>0</v>
      </c>
      <c r="P111" s="51" t="str">
        <f t="shared" ref="P111:Q111" si="547">IFERROR(L111/N111,"-")</f>
        <v>-</v>
      </c>
      <c r="Q111" s="51" t="str">
        <f t="shared" si="547"/>
        <v>-</v>
      </c>
      <c r="R111" s="9">
        <f>IFERROR(__xludf.DUMMYFUNCTION("IFERROR(
  VLOOKUP(
    A111,
    IMPORTRANGE(
      ""1ZHMy3vVUd_0MrSduXTe1etBb1HNpAlGwQr006ljwMiM"",
      ""GSC最新!A:R""
    ),
    8,
    FALSE
  ),
  0
)
"),0.0)</f>
        <v>0</v>
      </c>
      <c r="S111" s="9">
        <f>IFERROR(__xludf.DUMMYFUNCTION("IFERROR(
  VLOOKUP(
    A111,
    IMPORTRANGE(
      ""1ZHMy3vVUd_0MrSduXTe1etBb1HNpAlGwQr006ljwMiM"",
      ""GSC最新!A:R""
    ),
    11,
    FALSE
  ),
  0
)
"),0.0)</f>
        <v>0</v>
      </c>
      <c r="T111" s="9">
        <f>IFERROR(__xludf.DUMMYFUNCTION("IFERROR(
  VLOOKUP(
    A111,
    IMPORTRANGE(
      ""1ZHMy3vVUd_0MrSduXTe1etBb1HNpAlGwQr006ljwMiM"",
      ""GSC最新!A:R""
    ),
    14,
    FALSE
  ),
  0
)
"),0.0)</f>
        <v>0</v>
      </c>
      <c r="U111" s="9">
        <f>IFERROR(__xludf.DUMMYFUNCTION("IFERROR(
  VLOOKUP(
    A111,
    IMPORTRANGE(
      ""1ZHMy3vVUd_0MrSduXTe1etBb1HNpAlGwQr006ljwMiM"",
      ""GSC最新!A:R""
    ),
    17,
    FALSE
  ),
  0
)
"),0.0)</f>
        <v>0</v>
      </c>
      <c r="V111" s="9">
        <f t="shared" ref="V111:W111" si="548">IFERROR(R111-T111,"-")</f>
        <v>0</v>
      </c>
      <c r="W111" s="9">
        <f t="shared" si="548"/>
        <v>0</v>
      </c>
      <c r="X111" s="65" t="str">
        <f>IFERROR(__xludf.DUMMYFUNCTION("IFERROR(
  VLOOKUP(
    A111,
    IMPORTRANGE(
      ""1ZHMy3vVUd_0MrSduXTe1etBb1HNpAlGwQr006ljwMiM"",
      ""GSC最新!A:R""
    ),
    9,
    FALSE
  ),
  0
)
"),"")</f>
        <v/>
      </c>
      <c r="Y111" s="65" t="str">
        <f>IFERROR(__xludf.DUMMYFUNCTION("IFERROR(
  VLOOKUP(
    A111,
    IMPORTRANGE(
      ""1ZHMy3vVUd_0MrSduXTe1etBb1HNpAlGwQr006ljwMiM"",
      ""GSC最新!A:R""
    ),
    12,
    FALSE
  ),
  0
)
"),"")</f>
        <v/>
      </c>
      <c r="Z111" s="65" t="str">
        <f>IFERROR(__xludf.DUMMYFUNCTION("IFERROR(
  VLOOKUP(
    A111,
    IMPORTRANGE(
      ""1ZHMy3vVUd_0MrSduXTe1etBb1HNpAlGwQr006ljwMiM"",
      ""GSC最新!A:R""
    ),
    15,
    FALSE
  ),
  0
)
"),"")</f>
        <v/>
      </c>
      <c r="AA111" s="65" t="str">
        <f>IFERROR(__xludf.DUMMYFUNCTION("IFERROR(
  VLOOKUP(
    A111,
    IMPORTRANGE(
      ""1ZHMy3vVUd_0MrSduXTe1etBb1HNpAlGwQr006ljwMiM"",
      ""GSC最新!A:R""
    ),
    18,
    FALSE
  ),
  0
)
"),"")</f>
        <v/>
      </c>
      <c r="AB111" s="65">
        <f t="shared" ref="AB111:AC111" si="549">X111-Z111</f>
        <v>0</v>
      </c>
      <c r="AC111" s="65">
        <f t="shared" si="549"/>
        <v>0</v>
      </c>
      <c r="AD111" s="53">
        <f>IFERROR(__xludf.DUMMYFUNCTION("IFERROR(
  VLOOKUP(
    A111,
    IMPORTRANGE(
      ""1ZHMy3vVUd_0MrSduXTe1etBb1HNpAlGwQr006ljwMiM"",
      ""GSC最新!A:F""
    ),
    6,
    FALSE
  ),
  0
)
"),46081.0)</f>
        <v>46081</v>
      </c>
      <c r="AE111" s="54">
        <f>IFERROR(__xludf.DUMMYFUNCTION("IFERROR(
  VLOOKUP(
    A111,
    IMPORTRANGE(
      ""1SCYQd7_cobOYqT0r_F0IqD4tE4rYn5y8Eup4PJTH8es"",
      ""Snapshot!A:M""
    ),
    5,
    FALSE
  ),
  ""-""
)
"),4.0)</f>
        <v>4</v>
      </c>
      <c r="AF111" s="54">
        <f>IFERROR(__xludf.DUMMYFUNCTION("IFERROR(
  VLOOKUP(
    A111,
    IMPORTRANGE(
      ""1SCYQd7_cobOYqT0r_F0IqD4tE4rYn5y8Eup4PJTH8es"",
      ""Snapshot!A:M""
    ),
    6,
    FALSE
  ),
  0
)
"),0.0)</f>
        <v>0</v>
      </c>
      <c r="AG111" s="54">
        <f>IFERROR(__xludf.DUMMYFUNCTION("IFERROR(
  VLOOKUP(
    A111,
    IMPORTRANGE(
      ""1SCYQd7_cobOYqT0r_F0IqD4tE4rYn5y8Eup4PJTH8es"",
      ""Snapshot!A:M""
    ),
    7,
    FALSE
  ),
  0
)
"),3769.0)</f>
        <v>3769</v>
      </c>
      <c r="AH111" s="54">
        <f>IFERROR(__xludf.DUMMYFUNCTION("IFERROR(
  VLOOKUP(
    A111,
    IMPORTRANGE(
      ""1SCYQd7_cobOYqT0r_F0IqD4tE4rYn5y8Eup4PJTH8es"",
      ""Snapshot!A:M""
    ),
    8,
    FALSE
  ),
  0
)
"),7.0)</f>
        <v>7</v>
      </c>
      <c r="AI111" s="54">
        <f>IFERROR(__xludf.DUMMYFUNCTION("IFERROR(
  VLOOKUP(
    A111,
    IMPORTRANGE(
      ""1SCYQd7_cobOYqT0r_F0IqD4tE4rYn5y8Eup4PJTH8es"",
      ""Snapshot!A:M""
    ),
    9,
    FALSE
  ),
  0
)
"),2.0)</f>
        <v>2</v>
      </c>
      <c r="AJ111" s="54">
        <f>IFERROR(__xludf.DUMMYFUNCTION("IFERROR(
  VLOOKUP(
    A111,
    IMPORTRANGE(
      ""1SCYQd7_cobOYqT0r_F0IqD4tE4rYn5y8Eup4PJTH8es"",
      ""Snapshot!A:M""
    ),
    13,
    FALSE
  ),
  0
)
"),2.0)</f>
        <v>2</v>
      </c>
      <c r="AK111" s="49">
        <f t="shared" ref="AK111:AL111" si="550">LEN(C111)</f>
        <v>61</v>
      </c>
      <c r="AL111" s="49">
        <f t="shared" si="550"/>
        <v>55</v>
      </c>
    </row>
    <row r="112">
      <c r="A112" s="3" t="s">
        <v>797</v>
      </c>
      <c r="B112" s="1" t="str">
        <f>IFERROR(__xludf.DUMMYFUNCTION("IFERROR(
  VLOOKUP(
    A112,
    IMPORTRANGE(
      ""1ZygntHC1J6IxzKbTidmOyf5nUyW4GCLurHCjexrLm_o"",
      ""HTMLキャッシュ!A:F""
    ),
    2,
    FALSE
  ),
  0
)
"),"SC")</f>
        <v>SC</v>
      </c>
      <c r="C112" s="1" t="str">
        <f>IFERROR(__xludf.DUMMYFUNCTION("IFERROR(
  VLOOKUP(
    A112,
    IMPORTRANGE(
      ""1ZygntHC1J6IxzKbTidmOyf5nUyW4GCLurHCjexrLm_o"",
      ""HTMLキャッシュ!A:F""
    ),
    5,
    FALSE
  ),
  0
)
"),"受験勉強でやる気を出すための4つの対策 - 中高一貫校専門塾エスコット(Escot)～定期試験対策から大学受験指導まで～")</f>
        <v>受験勉強でやる気を出すための4つの対策 - 中高一貫校専門塾エスコット(Escot)～定期試験対策から大学受験指導まで～</v>
      </c>
      <c r="D112" s="1" t="str">
        <f>IFERROR(__xludf.DUMMYFUNCTION("IFERROR(
  VLOOKUP(
    A112,
    IMPORTRANGE(
      ""1ZygntHC1J6IxzKbTidmOyf5nUyW4GCLurHCjexrLm_o        "",
      ""HTMLキャッシュ!A:F""
    ),
    6,
    FALSE
  ),
  0
)
"),"受験勉強 やる気 受験勉強でやる気を出すための４つの対策 やる気が出る日もあれば、どうしても出ない日もあります")</f>
        <v>受験勉強 やる気 受験勉強でやる気を出すための４つの対策 やる気が出る日もあれば、どうしても出ない日もあります</v>
      </c>
      <c r="E112" s="32">
        <f>IFERROR(__xludf.DUMMYFUNCTION("IFERROR(
  VLOOKUP(
    A112,
    IMPORTRANGE(
      ""1ZygntHC1J6IxzKbTidmOyf5nUyW4GCLurHCjexrLm_o        "",
      ""HTMLキャッシュ!A:F""
    ),
    3,
    FALSE
  ),
  0
)
"),46084.58255787037)</f>
        <v>46084.58256</v>
      </c>
      <c r="F112" s="49">
        <f>IFERROR(__xludf.DUMMYFUNCTION("IFERROR(
  VLOOKUP(
    A112,
    IMPORTRANGE(
      ""1ZHMy3vVUd_0MrSduXTe1etBb1HNpAlGwQr006ljwMiM"",
      ""GSC最新!A:F""
    ),
    2,
    FALSE
  ),
  0
)
"),0.0)</f>
        <v>0</v>
      </c>
      <c r="G112" s="49">
        <f>IFERROR(__xludf.DUMMYFUNCTION("IFERROR(
  VLOOKUP(
    A112,
    IMPORTRANGE(
      ""1ZHMy3vVUd_0MrSduXTe1etBb1HNpAlGwQr006ljwMiM"",
      ""GSC最新!A:F""
    ),
    3,
    FALSE
  ),
  0
)
"),0.0)</f>
        <v>0</v>
      </c>
      <c r="H112" s="49">
        <f>IFERROR(__xludf.DUMMYFUNCTION("IFERROR(
  VLOOKUP(
    A112,
    IMPORTRANGE(
      ""1ZHMy3vVUd_0MrSduXTe1etBb1HNpAlGwQr006ljwMiM"",
      ""GSC最新!A:F""
    ),
    4,
    FALSE
  ),
  0
)
"),0.0)</f>
        <v>0</v>
      </c>
      <c r="I112" s="49">
        <f>IFERROR(__xludf.DUMMYFUNCTION("IFERROR(
  VLOOKUP(
    A112,
    IMPORTRANGE(
      ""1ZHMy3vVUd_0MrSduXTe1etBb1HNpAlGwQr006ljwMiM"",
      ""GSC最新!A:F""
    ),
    5,
    FALSE
  ),
  0
)
"),0.0)</f>
        <v>0</v>
      </c>
      <c r="J112" s="50" t="str">
        <f t="shared" ref="J112:K112" si="551">IFERROR(F112/H112,"-")</f>
        <v>-</v>
      </c>
      <c r="K112" s="50" t="str">
        <f t="shared" si="551"/>
        <v>-</v>
      </c>
      <c r="L112" s="6">
        <f>IFERROR(__xludf.DUMMYFUNCTION("IFERROR(
  VLOOKUP(
    A112,
    IMPORTRANGE(
      ""1ZHMy3vVUd_0MrSduXTe1etBb1HNpAlGwQr006ljwMiM"",
      ""GSC最新!A:R""
    ),
    7,
    FALSE
  ),
  0
)
"),0.0)</f>
        <v>0</v>
      </c>
      <c r="M112" s="6">
        <f>IFERROR(__xludf.DUMMYFUNCTION("IFERROR(
  VLOOKUP(
    A112,
    IMPORTRANGE(
      ""1ZHMy3vVUd_0MrSduXTe1etBb1HNpAlGwQr006ljwMiM"",
      ""GSC最新!A:R""
    ),
    10,
    FALSE
  ),
  0
)
"),0.0)</f>
        <v>0</v>
      </c>
      <c r="N112" s="6">
        <f>IFERROR(__xludf.DUMMYFUNCTION("IFERROR(
  VLOOKUP(
    A112,
    IMPORTRANGE(
      ""1ZHMy3vVUd_0MrSduXTe1etBb1HNpAlGwQr006ljwMiM"",
      ""GSC最新!A:R""
    ),
    13,
    FALSE
  ),
  0
)
"),0.0)</f>
        <v>0</v>
      </c>
      <c r="O112" s="6">
        <f>IFERROR(__xludf.DUMMYFUNCTION("IFERROR(
  VLOOKUP(
    A112,
    IMPORTRANGE(
      ""1ZHMy3vVUd_0MrSduXTe1etBb1HNpAlGwQr006ljwMiM"",
      ""GSC最新!A:R""
    ),
    16,
    FALSE
  ),
  0
)
"),2.0)</f>
        <v>2</v>
      </c>
      <c r="P112" s="51" t="str">
        <f t="shared" ref="P112:Q112" si="552">IFERROR(L112/N112,"-")</f>
        <v>-</v>
      </c>
      <c r="Q112" s="51">
        <f t="shared" si="552"/>
        <v>0</v>
      </c>
      <c r="R112" s="9">
        <f>IFERROR(__xludf.DUMMYFUNCTION("IFERROR(
  VLOOKUP(
    A112,
    IMPORTRANGE(
      ""1ZHMy3vVUd_0MrSduXTe1etBb1HNpAlGwQr006ljwMiM"",
      ""GSC最新!A:R""
    ),
    8,
    FALSE
  ),
  0
)
"),0.0)</f>
        <v>0</v>
      </c>
      <c r="S112" s="9">
        <f>IFERROR(__xludf.DUMMYFUNCTION("IFERROR(
  VLOOKUP(
    A112,
    IMPORTRANGE(
      ""1ZHMy3vVUd_0MrSduXTe1etBb1HNpAlGwQr006ljwMiM"",
      ""GSC最新!A:R""
    ),
    11,
    FALSE
  ),
  0
)
"),0.0)</f>
        <v>0</v>
      </c>
      <c r="T112" s="9">
        <f>IFERROR(__xludf.DUMMYFUNCTION("IFERROR(
  VLOOKUP(
    A112,
    IMPORTRANGE(
      ""1ZHMy3vVUd_0MrSduXTe1etBb1HNpAlGwQr006ljwMiM"",
      ""GSC最新!A:R""
    ),
    14,
    FALSE
  ),
  0
)
"),0.0)</f>
        <v>0</v>
      </c>
      <c r="U112" s="9">
        <f>IFERROR(__xludf.DUMMYFUNCTION("IFERROR(
  VLOOKUP(
    A112,
    IMPORTRANGE(
      ""1ZHMy3vVUd_0MrSduXTe1etBb1HNpAlGwQr006ljwMiM"",
      ""GSC最新!A:R""
    ),
    17,
    FALSE
  ),
  0
)
"),0.0)</f>
        <v>0</v>
      </c>
      <c r="V112" s="9">
        <f t="shared" ref="V112:W112" si="553">IFERROR(R112-T112,"-")</f>
        <v>0</v>
      </c>
      <c r="W112" s="9">
        <f t="shared" si="553"/>
        <v>0</v>
      </c>
      <c r="X112" s="65" t="str">
        <f>IFERROR(__xludf.DUMMYFUNCTION("IFERROR(
  VLOOKUP(
    A112,
    IMPORTRANGE(
      ""1ZHMy3vVUd_0MrSduXTe1etBb1HNpAlGwQr006ljwMiM"",
      ""GSC最新!A:R""
    ),
    9,
    FALSE
  ),
  0
)
"),"")</f>
        <v/>
      </c>
      <c r="Y112" s="65" t="str">
        <f>IFERROR(__xludf.DUMMYFUNCTION("IFERROR(
  VLOOKUP(
    A112,
    IMPORTRANGE(
      ""1ZHMy3vVUd_0MrSduXTe1etBb1HNpAlGwQr006ljwMiM"",
      ""GSC最新!A:R""
    ),
    12,
    FALSE
  ),
  0
)
"),"")</f>
        <v/>
      </c>
      <c r="Z112" s="65" t="str">
        <f>IFERROR(__xludf.DUMMYFUNCTION("IFERROR(
  VLOOKUP(
    A112,
    IMPORTRANGE(
      ""1ZHMy3vVUd_0MrSduXTe1etBb1HNpAlGwQr006ljwMiM"",
      ""GSC最新!A:R""
    ),
    15,
    FALSE
  ),
  0
)
"),"")</f>
        <v/>
      </c>
      <c r="AA112" s="65">
        <f>IFERROR(__xludf.DUMMYFUNCTION("IFERROR(
  VLOOKUP(
    A112,
    IMPORTRANGE(
      ""1ZHMy3vVUd_0MrSduXTe1etBb1HNpAlGwQr006ljwMiM"",
      ""GSC最新!A:R""
    ),
    18,
    FALSE
  ),
  0
)
"),13.5)</f>
        <v>13.5</v>
      </c>
      <c r="AB112" s="65">
        <f t="shared" ref="AB112:AC112" si="554">X112-Z112</f>
        <v>0</v>
      </c>
      <c r="AC112" s="65">
        <f t="shared" si="554"/>
        <v>-13.5</v>
      </c>
      <c r="AD112" s="53">
        <f>IFERROR(__xludf.DUMMYFUNCTION("IFERROR(
  VLOOKUP(
    A112,
    IMPORTRANGE(
      ""1ZHMy3vVUd_0MrSduXTe1etBb1HNpAlGwQr006ljwMiM"",
      ""GSC最新!A:F""
    ),
    6,
    FALSE
  ),
  0
)
"),46081.0)</f>
        <v>46081</v>
      </c>
      <c r="AE112" s="54">
        <f>IFERROR(__xludf.DUMMYFUNCTION("IFERROR(
  VLOOKUP(
    A112,
    IMPORTRANGE(
      ""1SCYQd7_cobOYqT0r_F0IqD4tE4rYn5y8Eup4PJTH8es"",
      ""Snapshot!A:M""
    ),
    5,
    FALSE
  ),
  ""-""
)
"),3.0)</f>
        <v>3</v>
      </c>
      <c r="AF112" s="54">
        <f>IFERROR(__xludf.DUMMYFUNCTION("IFERROR(
  VLOOKUP(
    A112,
    IMPORTRANGE(
      ""1SCYQd7_cobOYqT0r_F0IqD4tE4rYn5y8Eup4PJTH8es"",
      ""Snapshot!A:M""
    ),
    6,
    FALSE
  ),
  0
)
"),1.0)</f>
        <v>1</v>
      </c>
      <c r="AG112" s="54">
        <f>IFERROR(__xludf.DUMMYFUNCTION("IFERROR(
  VLOOKUP(
    A112,
    IMPORTRANGE(
      ""1SCYQd7_cobOYqT0r_F0IqD4tE4rYn5y8Eup4PJTH8es"",
      ""Snapshot!A:M""
    ),
    7,
    FALSE
  ),
  0
)
"),3344.0)</f>
        <v>3344</v>
      </c>
      <c r="AH112" s="54">
        <f>IFERROR(__xludf.DUMMYFUNCTION("IFERROR(
  VLOOKUP(
    A112,
    IMPORTRANGE(
      ""1SCYQd7_cobOYqT0r_F0IqD4tE4rYn5y8Eup4PJTH8es"",
      ""Snapshot!A:M""
    ),
    8,
    FALSE
  ),
  0
)
"),28.0)</f>
        <v>28</v>
      </c>
      <c r="AI112" s="54">
        <f>IFERROR(__xludf.DUMMYFUNCTION("IFERROR(
  VLOOKUP(
    A112,
    IMPORTRANGE(
      ""1SCYQd7_cobOYqT0r_F0IqD4tE4rYn5y8Eup4PJTH8es"",
      ""Snapshot!A:M""
    ),
    9,
    FALSE
  ),
  0
)
"),0.0)</f>
        <v>0</v>
      </c>
      <c r="AJ112" s="54">
        <f>IFERROR(__xludf.DUMMYFUNCTION("IFERROR(
  VLOOKUP(
    A112,
    IMPORTRANGE(
      ""1SCYQd7_cobOYqT0r_F0IqD4tE4rYn5y8Eup4PJTH8es"",
      ""Snapshot!A:M""
    ),
    13,
    FALSE
  ),
  0
)
"),2.0)</f>
        <v>2</v>
      </c>
      <c r="AK112" s="49">
        <f t="shared" ref="AK112:AL112" si="555">LEN(C112)</f>
        <v>60</v>
      </c>
      <c r="AL112" s="49">
        <f t="shared" si="555"/>
        <v>55</v>
      </c>
    </row>
    <row r="113">
      <c r="A113" s="3" t="s">
        <v>798</v>
      </c>
      <c r="B113" s="1" t="str">
        <f>IFERROR(__xludf.DUMMYFUNCTION("IFERROR(
  VLOOKUP(
    A113,
    IMPORTRANGE(
      ""1ZygntHC1J6IxzKbTidmOyf5nUyW4GCLurHCjexrLm_o"",
      ""HTMLキャッシュ!A:F""
    ),
    2,
    FALSE
  ),
  0
)
"),"MC")</f>
        <v>MC</v>
      </c>
      <c r="C113" s="1" t="str">
        <f>IFERROR(__xludf.DUMMYFUNCTION("IFERROR(
  VLOOKUP(
    A113,
    IMPORTRANGE(
      ""1ZygntHC1J6IxzKbTidmOyf5nUyW4GCLurHCjexrLm_o"",
      ""HTMLキャッシュ!A:F""
    ),
    5,
    FALSE
  ),
  0
)
"),"勉強に集中するためにまずは環境づくりをしよう - 中高一貫校専門塾エスコット(Escot)～定期試験対策から大学受験指導まで～")</f>
        <v>勉強に集中するためにまずは環境づくりをしよう - 中高一貫校専門塾エスコット(Escot)～定期試験対策から大学受験指導まで～</v>
      </c>
      <c r="D113" s="1" t="str">
        <f>IFERROR(__xludf.DUMMYFUNCTION("IFERROR(
  VLOOKUP(
    A113,
    IMPORTRANGE(
      ""1ZygntHC1J6IxzKbTidmOyf5nUyW4GCLurHCjexrLm_o        "",
      ""HTMLキャッシュ!A:F""
    ),
    6,
    FALSE
  ),
  0
)
"),"学習法 集中 勉強に集中できないときの環境づくり 『勉強に集中できない』『勉強を始めたものの気が散ってしまう』")</f>
        <v>学習法 集中 勉強に集中できないときの環境づくり 『勉強に集中できない』『勉強を始めたものの気が散ってしまう』</v>
      </c>
      <c r="E113" s="32">
        <f>IFERROR(__xludf.DUMMYFUNCTION("IFERROR(
  VLOOKUP(
    A113,
    IMPORTRANGE(
      ""1ZygntHC1J6IxzKbTidmOyf5nUyW4GCLurHCjexrLm_o        "",
      ""HTMLキャッシュ!A:F""
    ),
    3,
    FALSE
  ),
  0
)
"),46084.601481481484)</f>
        <v>46084.60148</v>
      </c>
      <c r="F113" s="49">
        <f>IFERROR(__xludf.DUMMYFUNCTION("IFERROR(
  VLOOKUP(
    A113,
    IMPORTRANGE(
      ""1ZHMy3vVUd_0MrSduXTe1etBb1HNpAlGwQr006ljwMiM"",
      ""GSC最新!A:F""
    ),
    2,
    FALSE
  ),
  0
)
"),0.0)</f>
        <v>0</v>
      </c>
      <c r="G113" s="49">
        <f>IFERROR(__xludf.DUMMYFUNCTION("IFERROR(
  VLOOKUP(
    A113,
    IMPORTRANGE(
      ""1ZHMy3vVUd_0MrSduXTe1etBb1HNpAlGwQr006ljwMiM"",
      ""GSC最新!A:F""
    ),
    3,
    FALSE
  ),
  0
)
"),0.0)</f>
        <v>0</v>
      </c>
      <c r="H113" s="49">
        <f>IFERROR(__xludf.DUMMYFUNCTION("IFERROR(
  VLOOKUP(
    A113,
    IMPORTRANGE(
      ""1ZHMy3vVUd_0MrSduXTe1etBb1HNpAlGwQr006ljwMiM"",
      ""GSC最新!A:F""
    ),
    4,
    FALSE
  ),
  0
)
"),0.0)</f>
        <v>0</v>
      </c>
      <c r="I113" s="49">
        <f>IFERROR(__xludf.DUMMYFUNCTION("IFERROR(
  VLOOKUP(
    A113,
    IMPORTRANGE(
      ""1ZHMy3vVUd_0MrSduXTe1etBb1HNpAlGwQr006ljwMiM"",
      ""GSC最新!A:F""
    ),
    5,
    FALSE
  ),
  0
)
"),0.0)</f>
        <v>0</v>
      </c>
      <c r="J113" s="50" t="str">
        <f t="shared" ref="J113:K113" si="556">IFERROR(F113/H113,"-")</f>
        <v>-</v>
      </c>
      <c r="K113" s="50" t="str">
        <f t="shared" si="556"/>
        <v>-</v>
      </c>
      <c r="L113" s="6">
        <f>IFERROR(__xludf.DUMMYFUNCTION("IFERROR(
  VLOOKUP(
    A113,
    IMPORTRANGE(
      ""1ZHMy3vVUd_0MrSduXTe1etBb1HNpAlGwQr006ljwMiM"",
      ""GSC最新!A:R""
    ),
    7,
    FALSE
  ),
  0
)
"),0.0)</f>
        <v>0</v>
      </c>
      <c r="M113" s="6">
        <f>IFERROR(__xludf.DUMMYFUNCTION("IFERROR(
  VLOOKUP(
    A113,
    IMPORTRANGE(
      ""1ZHMy3vVUd_0MrSduXTe1etBb1HNpAlGwQr006ljwMiM"",
      ""GSC最新!A:R""
    ),
    10,
    FALSE
  ),
  0
)
"),0.0)</f>
        <v>0</v>
      </c>
      <c r="N113" s="6">
        <f>IFERROR(__xludf.DUMMYFUNCTION("IFERROR(
  VLOOKUP(
    A113,
    IMPORTRANGE(
      ""1ZHMy3vVUd_0MrSduXTe1etBb1HNpAlGwQr006ljwMiM"",
      ""GSC最新!A:R""
    ),
    13,
    FALSE
  ),
  0
)
"),0.0)</f>
        <v>0</v>
      </c>
      <c r="O113" s="6">
        <f>IFERROR(__xludf.DUMMYFUNCTION("IFERROR(
  VLOOKUP(
    A113,
    IMPORTRANGE(
      ""1ZHMy3vVUd_0MrSduXTe1etBb1HNpAlGwQr006ljwMiM"",
      ""GSC最新!A:R""
    ),
    16,
    FALSE
  ),
  0
)
"),0.0)</f>
        <v>0</v>
      </c>
      <c r="P113" s="51" t="str">
        <f t="shared" ref="P113:Q113" si="557">IFERROR(L113/N113,"-")</f>
        <v>-</v>
      </c>
      <c r="Q113" s="51" t="str">
        <f t="shared" si="557"/>
        <v>-</v>
      </c>
      <c r="R113" s="9">
        <f>IFERROR(__xludf.DUMMYFUNCTION("IFERROR(
  VLOOKUP(
    A113,
    IMPORTRANGE(
      ""1ZHMy3vVUd_0MrSduXTe1etBb1HNpAlGwQr006ljwMiM"",
      ""GSC最新!A:R""
    ),
    8,
    FALSE
  ),
  0
)
"),0.0)</f>
        <v>0</v>
      </c>
      <c r="S113" s="9">
        <f>IFERROR(__xludf.DUMMYFUNCTION("IFERROR(
  VLOOKUP(
    A113,
    IMPORTRANGE(
      ""1ZHMy3vVUd_0MrSduXTe1etBb1HNpAlGwQr006ljwMiM"",
      ""GSC最新!A:R""
    ),
    11,
    FALSE
  ),
  0
)
"),0.0)</f>
        <v>0</v>
      </c>
      <c r="T113" s="9">
        <f>IFERROR(__xludf.DUMMYFUNCTION("IFERROR(
  VLOOKUP(
    A113,
    IMPORTRANGE(
      ""1ZHMy3vVUd_0MrSduXTe1etBb1HNpAlGwQr006ljwMiM"",
      ""GSC最新!A:R""
    ),
    14,
    FALSE
  ),
  0
)
"),0.0)</f>
        <v>0</v>
      </c>
      <c r="U113" s="9">
        <f>IFERROR(__xludf.DUMMYFUNCTION("IFERROR(
  VLOOKUP(
    A113,
    IMPORTRANGE(
      ""1ZHMy3vVUd_0MrSduXTe1etBb1HNpAlGwQr006ljwMiM"",
      ""GSC最新!A:R""
    ),
    17,
    FALSE
  ),
  0
)
"),0.0)</f>
        <v>0</v>
      </c>
      <c r="V113" s="9">
        <f t="shared" ref="V113:W113" si="558">IFERROR(R113-T113,"-")</f>
        <v>0</v>
      </c>
      <c r="W113" s="9">
        <f t="shared" si="558"/>
        <v>0</v>
      </c>
      <c r="X113" s="65" t="str">
        <f>IFERROR(__xludf.DUMMYFUNCTION("IFERROR(
  VLOOKUP(
    A113,
    IMPORTRANGE(
      ""1ZHMy3vVUd_0MrSduXTe1etBb1HNpAlGwQr006ljwMiM"",
      ""GSC最新!A:R""
    ),
    9,
    FALSE
  ),
  0
)
"),"")</f>
        <v/>
      </c>
      <c r="Y113" s="65" t="str">
        <f>IFERROR(__xludf.DUMMYFUNCTION("IFERROR(
  VLOOKUP(
    A113,
    IMPORTRANGE(
      ""1ZHMy3vVUd_0MrSduXTe1etBb1HNpAlGwQr006ljwMiM"",
      ""GSC最新!A:R""
    ),
    12,
    FALSE
  ),
  0
)
"),"")</f>
        <v/>
      </c>
      <c r="Z113" s="65" t="str">
        <f>IFERROR(__xludf.DUMMYFUNCTION("IFERROR(
  VLOOKUP(
    A113,
    IMPORTRANGE(
      ""1ZHMy3vVUd_0MrSduXTe1etBb1HNpAlGwQr006ljwMiM"",
      ""GSC最新!A:R""
    ),
    15,
    FALSE
  ),
  0
)
"),"")</f>
        <v/>
      </c>
      <c r="AA113" s="65" t="str">
        <f>IFERROR(__xludf.DUMMYFUNCTION("IFERROR(
  VLOOKUP(
    A113,
    IMPORTRANGE(
      ""1ZHMy3vVUd_0MrSduXTe1etBb1HNpAlGwQr006ljwMiM"",
      ""GSC最新!A:R""
    ),
    18,
    FALSE
  ),
  0
)
"),"")</f>
        <v/>
      </c>
      <c r="AB113" s="65">
        <f t="shared" ref="AB113:AC113" si="559">X113-Z113</f>
        <v>0</v>
      </c>
      <c r="AC113" s="65">
        <f t="shared" si="559"/>
        <v>0</v>
      </c>
      <c r="AD113" s="53">
        <f>IFERROR(__xludf.DUMMYFUNCTION("IFERROR(
  VLOOKUP(
    A113,
    IMPORTRANGE(
      ""1ZHMy3vVUd_0MrSduXTe1etBb1HNpAlGwQr006ljwMiM"",
      ""GSC最新!A:F""
    ),
    6,
    FALSE
  ),
  0
)
"),46081.0)</f>
        <v>46081</v>
      </c>
      <c r="AE113" s="54">
        <f>IFERROR(__xludf.DUMMYFUNCTION("IFERROR(
  VLOOKUP(
    A113,
    IMPORTRANGE(
      ""1SCYQd7_cobOYqT0r_F0IqD4tE4rYn5y8Eup4PJTH8es"",
      ""Snapshot!A:M""
    ),
    5,
    FALSE
  ),
  ""-""
)
"),3.0)</f>
        <v>3</v>
      </c>
      <c r="AF113" s="54">
        <f>IFERROR(__xludf.DUMMYFUNCTION("IFERROR(
  VLOOKUP(
    A113,
    IMPORTRANGE(
      ""1SCYQd7_cobOYqT0r_F0IqD4tE4rYn5y8Eup4PJTH8es"",
      ""Snapshot!A:M""
    ),
    6,
    FALSE
  ),
  0
)
"),0.0)</f>
        <v>0</v>
      </c>
      <c r="AG113" s="54">
        <f>IFERROR(__xludf.DUMMYFUNCTION("IFERROR(
  VLOOKUP(
    A113,
    IMPORTRANGE(
      ""1SCYQd7_cobOYqT0r_F0IqD4tE4rYn5y8Eup4PJTH8es"",
      ""Snapshot!A:M""
    ),
    7,
    FALSE
  ),
  0
)
"),3356.0)</f>
        <v>3356</v>
      </c>
      <c r="AH113" s="54">
        <f>IFERROR(__xludf.DUMMYFUNCTION("IFERROR(
  VLOOKUP(
    A113,
    IMPORTRANGE(
      ""1SCYQd7_cobOYqT0r_F0IqD4tE4rYn5y8Eup4PJTH8es"",
      ""Snapshot!A:M""
    ),
    8,
    FALSE
  ),
  0
)
"),6.0)</f>
        <v>6</v>
      </c>
      <c r="AI113" s="54">
        <f>IFERROR(__xludf.DUMMYFUNCTION("IFERROR(
  VLOOKUP(
    A113,
    IMPORTRANGE(
      ""1SCYQd7_cobOYqT0r_F0IqD4tE4rYn5y8Eup4PJTH8es"",
      ""Snapshot!A:M""
    ),
    9,
    FALSE
  ),
  0
)
"),3.0)</f>
        <v>3</v>
      </c>
      <c r="AJ113" s="54">
        <f>IFERROR(__xludf.DUMMYFUNCTION("IFERROR(
  VLOOKUP(
    A113,
    IMPORTRANGE(
      ""1SCYQd7_cobOYqT0r_F0IqD4tE4rYn5y8Eup4PJTH8es"",
      ""Snapshot!A:M""
    ),
    13,
    FALSE
  ),
  0
)
"),2.0)</f>
        <v>2</v>
      </c>
      <c r="AK113" s="49">
        <f t="shared" ref="AK113:AL113" si="560">LEN(C113)</f>
        <v>63</v>
      </c>
      <c r="AL113" s="49">
        <f t="shared" si="560"/>
        <v>55</v>
      </c>
    </row>
    <row r="114">
      <c r="A114" s="3" t="s">
        <v>799</v>
      </c>
      <c r="B114" s="1" t="str">
        <f>IFERROR(__xludf.DUMMYFUNCTION("IFERROR(
  VLOOKUP(
    A114,
    IMPORTRANGE(
      ""1ZygntHC1J6IxzKbTidmOyf5nUyW4GCLurHCjexrLm_o"",
      ""HTMLキャッシュ!A:F""
    ),
    2,
    FALSE
  ),
  0
)
"),"MC")</f>
        <v>MC</v>
      </c>
      <c r="C114" s="1" t="str">
        <f>IFERROR(__xludf.DUMMYFUNCTION("IFERROR(
  VLOOKUP(
    A114,
    IMPORTRANGE(
      ""1ZygntHC1J6IxzKbTidmOyf5nUyW4GCLurHCjexrLm_o"",
      ""HTMLキャッシュ!A:F""
    ),
    5,
    FALSE
  ),
  0
)
"),"中学生が陥りやすい「よくない」勉強法 - 中高一貫校専門塾エスコット(Escot)～定期試験対策から大学受験指導まで～")</f>
        <v>中学生が陥りやすい「よくない」勉強法 - 中高一貫校専門塾エスコット(Escot)～定期試験対策から大学受験指導まで～</v>
      </c>
      <c r="D114" s="1" t="str">
        <f>IFERROR(__xludf.DUMMYFUNCTION("IFERROR(
  VLOOKUP(
    A114,
    IMPORTRANGE(
      ""1ZygntHC1J6IxzKbTidmOyf5nUyW4GCLurHCjexrLm_o        "",
      ""HTMLキャッシュ!A:F""
    ),
    6,
    FALSE
  ),
  0
)
"),"勉強法 伸びない原因 勉強しているのに伸びない「よくない勉強法」 勉強しているはずなのに成績が伸びない、実力が")</f>
        <v>勉強法 伸びない原因 勉強しているのに伸びない「よくない勉強法」 勉強しているはずなのに成績が伸びない、実力が</v>
      </c>
      <c r="E114" s="32">
        <f>IFERROR(__xludf.DUMMYFUNCTION("IFERROR(
  VLOOKUP(
    A114,
    IMPORTRANGE(
      ""1ZygntHC1J6IxzKbTidmOyf5nUyW4GCLurHCjexrLm_o        "",
      ""HTMLキャッシュ!A:F""
    ),
    3,
    FALSE
  ),
  0
)
"),46083.58868055556)</f>
        <v>46083.58868</v>
      </c>
      <c r="F114" s="49">
        <f>IFERROR(__xludf.DUMMYFUNCTION("IFERROR(
  VLOOKUP(
    A114,
    IMPORTRANGE(
      ""1ZHMy3vVUd_0MrSduXTe1etBb1HNpAlGwQr006ljwMiM"",
      ""GSC最新!A:F""
    ),
    2,
    FALSE
  ),
  0
)
"),0.0)</f>
        <v>0</v>
      </c>
      <c r="G114" s="49">
        <f>IFERROR(__xludf.DUMMYFUNCTION("IFERROR(
  VLOOKUP(
    A114,
    IMPORTRANGE(
      ""1ZHMy3vVUd_0MrSduXTe1etBb1HNpAlGwQr006ljwMiM"",
      ""GSC最新!A:F""
    ),
    3,
    FALSE
  ),
  0
)
"),0.0)</f>
        <v>0</v>
      </c>
      <c r="H114" s="49">
        <f>IFERROR(__xludf.DUMMYFUNCTION("IFERROR(
  VLOOKUP(
    A114,
    IMPORTRANGE(
      ""1ZHMy3vVUd_0MrSduXTe1etBb1HNpAlGwQr006ljwMiM"",
      ""GSC最新!A:F""
    ),
    4,
    FALSE
  ),
  0
)
"),0.0)</f>
        <v>0</v>
      </c>
      <c r="I114" s="49">
        <f>IFERROR(__xludf.DUMMYFUNCTION("IFERROR(
  VLOOKUP(
    A114,
    IMPORTRANGE(
      ""1ZHMy3vVUd_0MrSduXTe1etBb1HNpAlGwQr006ljwMiM"",
      ""GSC最新!A:F""
    ),
    5,
    FALSE
  ),
  0
)
"),0.0)</f>
        <v>0</v>
      </c>
      <c r="J114" s="50" t="str">
        <f t="shared" ref="J114:K114" si="561">IFERROR(F114/H114,"-")</f>
        <v>-</v>
      </c>
      <c r="K114" s="50" t="str">
        <f t="shared" si="561"/>
        <v>-</v>
      </c>
      <c r="L114" s="6">
        <f>IFERROR(__xludf.DUMMYFUNCTION("IFERROR(
  VLOOKUP(
    A114,
    IMPORTRANGE(
      ""1ZHMy3vVUd_0MrSduXTe1etBb1HNpAlGwQr006ljwMiM"",
      ""GSC最新!A:R""
    ),
    7,
    FALSE
  ),
  0
)
"),0.0)</f>
        <v>0</v>
      </c>
      <c r="M114" s="6">
        <f>IFERROR(__xludf.DUMMYFUNCTION("IFERROR(
  VLOOKUP(
    A114,
    IMPORTRANGE(
      ""1ZHMy3vVUd_0MrSduXTe1etBb1HNpAlGwQr006ljwMiM"",
      ""GSC最新!A:R""
    ),
    10,
    FALSE
  ),
  0
)
"),0.0)</f>
        <v>0</v>
      </c>
      <c r="N114" s="6">
        <f>IFERROR(__xludf.DUMMYFUNCTION("IFERROR(
  VLOOKUP(
    A114,
    IMPORTRANGE(
      ""1ZHMy3vVUd_0MrSduXTe1etBb1HNpAlGwQr006ljwMiM"",
      ""GSC最新!A:R""
    ),
    13,
    FALSE
  ),
  0
)
"),5.0)</f>
        <v>5</v>
      </c>
      <c r="O114" s="6">
        <f>IFERROR(__xludf.DUMMYFUNCTION("IFERROR(
  VLOOKUP(
    A114,
    IMPORTRANGE(
      ""1ZHMy3vVUd_0MrSduXTe1etBb1HNpAlGwQr006ljwMiM"",
      ""GSC最新!A:R""
    ),
    16,
    FALSE
  ),
  0
)
"),16.0)</f>
        <v>16</v>
      </c>
      <c r="P114" s="51">
        <f t="shared" ref="P114:Q114" si="562">IFERROR(L114/N114,"-")</f>
        <v>0</v>
      </c>
      <c r="Q114" s="51">
        <f t="shared" si="562"/>
        <v>0</v>
      </c>
      <c r="R114" s="9">
        <f>IFERROR(__xludf.DUMMYFUNCTION("IFERROR(
  VLOOKUP(
    A114,
    IMPORTRANGE(
      ""1ZHMy3vVUd_0MrSduXTe1etBb1HNpAlGwQr006ljwMiM"",
      ""GSC最新!A:R""
    ),
    8,
    FALSE
  ),
  0
)
"),0.0)</f>
        <v>0</v>
      </c>
      <c r="S114" s="9">
        <f>IFERROR(__xludf.DUMMYFUNCTION("IFERROR(
  VLOOKUP(
    A114,
    IMPORTRANGE(
      ""1ZHMy3vVUd_0MrSduXTe1etBb1HNpAlGwQr006ljwMiM"",
      ""GSC最新!A:R""
    ),
    11,
    FALSE
  ),
  0
)
"),0.0)</f>
        <v>0</v>
      </c>
      <c r="T114" s="9">
        <f>IFERROR(__xludf.DUMMYFUNCTION("IFERROR(
  VLOOKUP(
    A114,
    IMPORTRANGE(
      ""1ZHMy3vVUd_0MrSduXTe1etBb1HNpAlGwQr006ljwMiM"",
      ""GSC最新!A:R""
    ),
    14,
    FALSE
  ),
  0
)
"),0.0)</f>
        <v>0</v>
      </c>
      <c r="U114" s="9">
        <f>IFERROR(__xludf.DUMMYFUNCTION("IFERROR(
  VLOOKUP(
    A114,
    IMPORTRANGE(
      ""1ZHMy3vVUd_0MrSduXTe1etBb1HNpAlGwQr006ljwMiM"",
      ""GSC最新!A:R""
    ),
    17,
    FALSE
  ),
  0
)
"),0.0)</f>
        <v>0</v>
      </c>
      <c r="V114" s="9">
        <f t="shared" ref="V114:W114" si="563">IFERROR(R114-T114,"-")</f>
        <v>0</v>
      </c>
      <c r="W114" s="9">
        <f t="shared" si="563"/>
        <v>0</v>
      </c>
      <c r="X114" s="65" t="str">
        <f>IFERROR(__xludf.DUMMYFUNCTION("IFERROR(
  VLOOKUP(
    A114,
    IMPORTRANGE(
      ""1ZHMy3vVUd_0MrSduXTe1etBb1HNpAlGwQr006ljwMiM"",
      ""GSC最新!A:R""
    ),
    9,
    FALSE
  ),
  0
)
"),"")</f>
        <v/>
      </c>
      <c r="Y114" s="65" t="str">
        <f>IFERROR(__xludf.DUMMYFUNCTION("IFERROR(
  VLOOKUP(
    A114,
    IMPORTRANGE(
      ""1ZHMy3vVUd_0MrSduXTe1etBb1HNpAlGwQr006ljwMiM"",
      ""GSC最新!A:R""
    ),
    12,
    FALSE
  ),
  0
)
"),"")</f>
        <v/>
      </c>
      <c r="Z114" s="65">
        <f>IFERROR(__xludf.DUMMYFUNCTION("IFERROR(
  VLOOKUP(
    A114,
    IMPORTRANGE(
      ""1ZHMy3vVUd_0MrSduXTe1etBb1HNpAlGwQr006ljwMiM"",
      ""GSC最新!A:R""
    ),
    15,
    FALSE
  ),
  0
)
"),49.0)</f>
        <v>49</v>
      </c>
      <c r="AA114" s="65">
        <f>IFERROR(__xludf.DUMMYFUNCTION("IFERROR(
  VLOOKUP(
    A114,
    IMPORTRANGE(
      ""1ZHMy3vVUd_0MrSduXTe1etBb1HNpAlGwQr006ljwMiM"",
      ""GSC最新!A:R""
    ),
    18,
    FALSE
  ),
  0
)
"),48.375)</f>
        <v>48.375</v>
      </c>
      <c r="AB114" s="65">
        <f t="shared" ref="AB114:AC114" si="564">X114-Z114</f>
        <v>-49</v>
      </c>
      <c r="AC114" s="65">
        <f t="shared" si="564"/>
        <v>-48.375</v>
      </c>
      <c r="AD114" s="53">
        <f>IFERROR(__xludf.DUMMYFUNCTION("IFERROR(
  VLOOKUP(
    A114,
    IMPORTRANGE(
      ""1ZHMy3vVUd_0MrSduXTe1etBb1HNpAlGwQr006ljwMiM"",
      ""GSC最新!A:F""
    ),
    6,
    FALSE
  ),
  0
)
"),46081.0)</f>
        <v>46081</v>
      </c>
      <c r="AE114" s="54">
        <f>IFERROR(__xludf.DUMMYFUNCTION("IFERROR(
  VLOOKUP(
    A114,
    IMPORTRANGE(
      ""1SCYQd7_cobOYqT0r_F0IqD4tE4rYn5y8Eup4PJTH8es"",
      ""Snapshot!A:M""
    ),
    5,
    FALSE
  ),
  ""-""
)
"),1.0)</f>
        <v>1</v>
      </c>
      <c r="AF114" s="54">
        <f>IFERROR(__xludf.DUMMYFUNCTION("IFERROR(
  VLOOKUP(
    A114,
    IMPORTRANGE(
      ""1SCYQd7_cobOYqT0r_F0IqD4tE4rYn5y8Eup4PJTH8es"",
      ""Snapshot!A:M""
    ),
    6,
    FALSE
  ),
  0
)
"),0.0)</f>
        <v>0</v>
      </c>
      <c r="AG114" s="54">
        <f>IFERROR(__xludf.DUMMYFUNCTION("IFERROR(
  VLOOKUP(
    A114,
    IMPORTRANGE(
      ""1SCYQd7_cobOYqT0r_F0IqD4tE4rYn5y8Eup4PJTH8es"",
      ""Snapshot!A:M""
    ),
    7,
    FALSE
  ),
  0
)
"),3532.0)</f>
        <v>3532</v>
      </c>
      <c r="AH114" s="54">
        <f>IFERROR(__xludf.DUMMYFUNCTION("IFERROR(
  VLOOKUP(
    A114,
    IMPORTRANGE(
      ""1SCYQd7_cobOYqT0r_F0IqD4tE4rYn5y8Eup4PJTH8es"",
      ""Snapshot!A:M""
    ),
    8,
    FALSE
  ),
  0
)
"),8.0)</f>
        <v>8</v>
      </c>
      <c r="AI114" s="54">
        <f>IFERROR(__xludf.DUMMYFUNCTION("IFERROR(
  VLOOKUP(
    A114,
    IMPORTRANGE(
      ""1SCYQd7_cobOYqT0r_F0IqD4tE4rYn5y8Eup4PJTH8es"",
      ""Snapshot!A:M""
    ),
    9,
    FALSE
  ),
  0
)
"),2.0)</f>
        <v>2</v>
      </c>
      <c r="AJ114" s="54">
        <f>IFERROR(__xludf.DUMMYFUNCTION("IFERROR(
  VLOOKUP(
    A114,
    IMPORTRANGE(
      ""1SCYQd7_cobOYqT0r_F0IqD4tE4rYn5y8Eup4PJTH8es"",
      ""Snapshot!A:M""
    ),
    13,
    FALSE
  ),
  0
)
"),2.0)</f>
        <v>2</v>
      </c>
      <c r="AK114" s="49">
        <f t="shared" ref="AK114:AL114" si="565">LEN(C114)</f>
        <v>59</v>
      </c>
      <c r="AL114" s="49">
        <f t="shared" si="565"/>
        <v>55</v>
      </c>
    </row>
    <row r="115">
      <c r="A115" s="3" t="s">
        <v>343</v>
      </c>
      <c r="B115" s="1" t="str">
        <f>IFERROR(__xludf.DUMMYFUNCTION("IFERROR(
  VLOOKUP(
    A115,
    IMPORTRANGE(
      ""1ZygntHC1J6IxzKbTidmOyf5nUyW4GCLurHCjexrLm_o"",
      ""HTMLキャッシュ!A:F""
    ),
    2,
    FALSE
  ),
  0
)
"),"SP")</f>
        <v>SP</v>
      </c>
      <c r="C115" s="1" t="str">
        <f>IFERROR(__xludf.DUMMYFUNCTION("IFERROR(
  VLOOKUP(
    A115,
    IMPORTRANGE(
      ""1ZygntHC1J6IxzKbTidmOyf5nUyW4GCLurHCjexrLm_o"",
      ""HTMLキャッシュ!A:F""
    ),
    5,
    FALSE
  ),
  0
)
"),"高1英語学校対策の個別指導講座｜定期・受験対応オンライン塾")</f>
        <v>高1英語学校対策の個別指導講座｜定期・受験対応オンライン塾</v>
      </c>
      <c r="D115" s="1" t="str">
        <f>IFERROR(__xludf.DUMMYFUNCTION("IFERROR(
  VLOOKUP(
    A115,
    IMPORTRANGE(
      ""1ZygntHC1J6IxzKbTidmOyf5nUyW4GCLurHCjexrLm_o        "",
      ""HTMLキャッシュ!A:F""
    ),
    6,
    FALSE
  ),
  0
)
"),"文法増加で点が伸びない高1生へ。教材進度に合わせ個別指導で定期試験と受験力を両立。オンライン体験受付中今すぐ相談可")</f>
        <v>文法増加で点が伸びない高1生へ。教材進度に合わせ個別指導で定期試験と受験力を両立。オンライン体験受付中今すぐ相談可</v>
      </c>
      <c r="E115" s="32">
        <f>IFERROR(__xludf.DUMMYFUNCTION("IFERROR(
  VLOOKUP(
    A115,
    IMPORTRANGE(
      ""1ZygntHC1J6IxzKbTidmOyf5nUyW4GCLurHCjexrLm_o        "",
      ""HTMLキャッシュ!A:F""
    ),
    3,
    FALSE
  ),
  0
)
"),46081.79739583333)</f>
        <v>46081.7974</v>
      </c>
      <c r="F115" s="49">
        <f>IFERROR(__xludf.DUMMYFUNCTION("IFERROR(
  VLOOKUP(
    A115,
    IMPORTRANGE(
      ""1ZHMy3vVUd_0MrSduXTe1etBb1HNpAlGwQr006ljwMiM"",
      ""GSC最新!A:F""
    ),
    2,
    FALSE
  ),
  0
)
"),0.0)</f>
        <v>0</v>
      </c>
      <c r="G115" s="49">
        <f>IFERROR(__xludf.DUMMYFUNCTION("IFERROR(
  VLOOKUP(
    A115,
    IMPORTRANGE(
      ""1ZHMy3vVUd_0MrSduXTe1etBb1HNpAlGwQr006ljwMiM"",
      ""GSC最新!A:F""
    ),
    3,
    FALSE
  ),
  0
)
"),0.0)</f>
        <v>0</v>
      </c>
      <c r="H115" s="49">
        <f>IFERROR(__xludf.DUMMYFUNCTION("IFERROR(
  VLOOKUP(
    A115,
    IMPORTRANGE(
      ""1ZHMy3vVUd_0MrSduXTe1etBb1HNpAlGwQr006ljwMiM"",
      ""GSC最新!A:F""
    ),
    4,
    FALSE
  ),
  0
)
"),0.0)</f>
        <v>0</v>
      </c>
      <c r="I115" s="49">
        <f>IFERROR(__xludf.DUMMYFUNCTION("IFERROR(
  VLOOKUP(
    A115,
    IMPORTRANGE(
      ""1ZHMy3vVUd_0MrSduXTe1etBb1HNpAlGwQr006ljwMiM"",
      ""GSC最新!A:F""
    ),
    5,
    FALSE
  ),
  0
)
"),0.0)</f>
        <v>0</v>
      </c>
      <c r="J115" s="50" t="str">
        <f t="shared" ref="J115:K115" si="566">IFERROR(F115/H115,"-")</f>
        <v>-</v>
      </c>
      <c r="K115" s="50" t="str">
        <f t="shared" si="566"/>
        <v>-</v>
      </c>
      <c r="L115" s="6">
        <f>IFERROR(__xludf.DUMMYFUNCTION("IFERROR(
  VLOOKUP(
    A115,
    IMPORTRANGE(
      ""1ZHMy3vVUd_0MrSduXTe1etBb1HNpAlGwQr006ljwMiM"",
      ""GSC最新!A:R""
    ),
    7,
    FALSE
  ),
  0
)
"),0.0)</f>
        <v>0</v>
      </c>
      <c r="M115" s="6">
        <f>IFERROR(__xludf.DUMMYFUNCTION("IFERROR(
  VLOOKUP(
    A115,
    IMPORTRANGE(
      ""1ZHMy3vVUd_0MrSduXTe1etBb1HNpAlGwQr006ljwMiM"",
      ""GSC最新!A:R""
    ),
    10,
    FALSE
  ),
  0
)
"),0.0)</f>
        <v>0</v>
      </c>
      <c r="N115" s="6">
        <f>IFERROR(__xludf.DUMMYFUNCTION("IFERROR(
  VLOOKUP(
    A115,
    IMPORTRANGE(
      ""1ZHMy3vVUd_0MrSduXTe1etBb1HNpAlGwQr006ljwMiM"",
      ""GSC最新!A:R""
    ),
    13,
    FALSE
  ),
  0
)
"),0.0)</f>
        <v>0</v>
      </c>
      <c r="O115" s="6">
        <f>IFERROR(__xludf.DUMMYFUNCTION("IFERROR(
  VLOOKUP(
    A115,
    IMPORTRANGE(
      ""1ZHMy3vVUd_0MrSduXTe1etBb1HNpAlGwQr006ljwMiM"",
      ""GSC最新!A:R""
    ),
    16,
    FALSE
  ),
  0
)
"),4.0)</f>
        <v>4</v>
      </c>
      <c r="P115" s="51" t="str">
        <f t="shared" ref="P115:Q115" si="567">IFERROR(L115/N115,"-")</f>
        <v>-</v>
      </c>
      <c r="Q115" s="51">
        <f t="shared" si="567"/>
        <v>0</v>
      </c>
      <c r="R115" s="9">
        <f>IFERROR(__xludf.DUMMYFUNCTION("IFERROR(
  VLOOKUP(
    A115,
    IMPORTRANGE(
      ""1ZHMy3vVUd_0MrSduXTe1etBb1HNpAlGwQr006ljwMiM"",
      ""GSC最新!A:R""
    ),
    8,
    FALSE
  ),
  0
)
"),0.0)</f>
        <v>0</v>
      </c>
      <c r="S115" s="9">
        <f>IFERROR(__xludf.DUMMYFUNCTION("IFERROR(
  VLOOKUP(
    A115,
    IMPORTRANGE(
      ""1ZHMy3vVUd_0MrSduXTe1etBb1HNpAlGwQr006ljwMiM"",
      ""GSC最新!A:R""
    ),
    11,
    FALSE
  ),
  0
)
"),0.0)</f>
        <v>0</v>
      </c>
      <c r="T115" s="9">
        <f>IFERROR(__xludf.DUMMYFUNCTION("IFERROR(
  VLOOKUP(
    A115,
    IMPORTRANGE(
      ""1ZHMy3vVUd_0MrSduXTe1etBb1HNpAlGwQr006ljwMiM"",
      ""GSC最新!A:R""
    ),
    14,
    FALSE
  ),
  0
)
"),0.0)</f>
        <v>0</v>
      </c>
      <c r="U115" s="9">
        <f>IFERROR(__xludf.DUMMYFUNCTION("IFERROR(
  VLOOKUP(
    A115,
    IMPORTRANGE(
      ""1ZHMy3vVUd_0MrSduXTe1etBb1HNpAlGwQr006ljwMiM"",
      ""GSC最新!A:R""
    ),
    17,
    FALSE
  ),
  0
)
"),0.0)</f>
        <v>0</v>
      </c>
      <c r="V115" s="9">
        <f t="shared" ref="V115:W115" si="568">IFERROR(R115-T115,"-")</f>
        <v>0</v>
      </c>
      <c r="W115" s="9">
        <f t="shared" si="568"/>
        <v>0</v>
      </c>
      <c r="X115" s="65" t="str">
        <f>IFERROR(__xludf.DUMMYFUNCTION("IFERROR(
  VLOOKUP(
    A115,
    IMPORTRANGE(
      ""1ZHMy3vVUd_0MrSduXTe1etBb1HNpAlGwQr006ljwMiM"",
      ""GSC最新!A:R""
    ),
    9,
    FALSE
  ),
  0
)
"),"")</f>
        <v/>
      </c>
      <c r="Y115" s="65" t="str">
        <f>IFERROR(__xludf.DUMMYFUNCTION("IFERROR(
  VLOOKUP(
    A115,
    IMPORTRANGE(
      ""1ZHMy3vVUd_0MrSduXTe1etBb1HNpAlGwQr006ljwMiM"",
      ""GSC最新!A:R""
    ),
    12,
    FALSE
  ),
  0
)
"),"")</f>
        <v/>
      </c>
      <c r="Z115" s="65" t="str">
        <f>IFERROR(__xludf.DUMMYFUNCTION("IFERROR(
  VLOOKUP(
    A115,
    IMPORTRANGE(
      ""1ZHMy3vVUd_0MrSduXTe1etBb1HNpAlGwQr006ljwMiM"",
      ""GSC最新!A:R""
    ),
    15,
    FALSE
  ),
  0
)
"),"")</f>
        <v/>
      </c>
      <c r="AA115" s="65">
        <f>IFERROR(__xludf.DUMMYFUNCTION("IFERROR(
  VLOOKUP(
    A115,
    IMPORTRANGE(
      ""1ZHMy3vVUd_0MrSduXTe1etBb1HNpAlGwQr006ljwMiM"",
      ""GSC最新!A:R""
    ),
    18,
    FALSE
  ),
  0
)
"),63.25)</f>
        <v>63.25</v>
      </c>
      <c r="AB115" s="65">
        <f t="shared" ref="AB115:AC115" si="569">X115-Z115</f>
        <v>0</v>
      </c>
      <c r="AC115" s="65">
        <f t="shared" si="569"/>
        <v>-63.25</v>
      </c>
      <c r="AD115" s="53">
        <f>IFERROR(__xludf.DUMMYFUNCTION("IFERROR(
  VLOOKUP(
    A115,
    IMPORTRANGE(
      ""1ZHMy3vVUd_0MrSduXTe1etBb1HNpAlGwQr006ljwMiM"",
      ""GSC最新!A:F""
    ),
    6,
    FALSE
  ),
  0
)
"),46081.0)</f>
        <v>46081</v>
      </c>
      <c r="AE115" s="54">
        <f>IFERROR(__xludf.DUMMYFUNCTION("IFERROR(
  VLOOKUP(
    A115,
    IMPORTRANGE(
      ""1SCYQd7_cobOYqT0r_F0IqD4tE4rYn5y8Eup4PJTH8es"",
      ""Snapshot!A:M""
    ),
    5,
    FALSE
  ),
  ""-""
)
"),5.0)</f>
        <v>5</v>
      </c>
      <c r="AF115" s="54">
        <f>IFERROR(__xludf.DUMMYFUNCTION("IFERROR(
  VLOOKUP(
    A115,
    IMPORTRANGE(
      ""1SCYQd7_cobOYqT0r_F0IqD4tE4rYn5y8Eup4PJTH8es"",
      ""Snapshot!A:M""
    ),
    6,
    FALSE
  ),
  0
)
"),5.0)</f>
        <v>5</v>
      </c>
      <c r="AG115" s="54">
        <f>IFERROR(__xludf.DUMMYFUNCTION("IFERROR(
  VLOOKUP(
    A115,
    IMPORTRANGE(
      ""1SCYQd7_cobOYqT0r_F0IqD4tE4rYn5y8Eup4PJTH8es"",
      ""Snapshot!A:M""
    ),
    7,
    FALSE
  ),
  0
)
"),2918.0)</f>
        <v>2918</v>
      </c>
      <c r="AH115" s="54">
        <f>IFERROR(__xludf.DUMMYFUNCTION("IFERROR(
  VLOOKUP(
    A115,
    IMPORTRANGE(
      ""1SCYQd7_cobOYqT0r_F0IqD4tE4rYn5y8Eup4PJTH8es"",
      ""Snapshot!A:M""
    ),
    8,
    FALSE
  ),
  0
)
"),4.0)</f>
        <v>4</v>
      </c>
      <c r="AI115" s="54">
        <f>IFERROR(__xludf.DUMMYFUNCTION("IFERROR(
  VLOOKUP(
    A115,
    IMPORTRANGE(
      ""1SCYQd7_cobOYqT0r_F0IqD4tE4rYn5y8Eup4PJTH8es"",
      ""Snapshot!A:M""
    ),
    9,
    FALSE
  ),
  0
)
"),3.0)</f>
        <v>3</v>
      </c>
      <c r="AJ115" s="54">
        <f>IFERROR(__xludf.DUMMYFUNCTION("IFERROR(
  VLOOKUP(
    A115,
    IMPORTRANGE(
      ""1SCYQd7_cobOYqT0r_F0IqD4tE4rYn5y8Eup4PJTH8es"",
      ""Snapshot!A:M""
    ),
    13,
    FALSE
  ),
  0
)
"),2.0)</f>
        <v>2</v>
      </c>
      <c r="AK115" s="49">
        <f t="shared" ref="AK115:AL115" si="570">LEN(C115)</f>
        <v>29</v>
      </c>
      <c r="AL115" s="49">
        <f t="shared" si="570"/>
        <v>57</v>
      </c>
    </row>
    <row r="116">
      <c r="A116" s="3" t="s">
        <v>800</v>
      </c>
      <c r="B116" s="1" t="str">
        <f>IFERROR(__xludf.DUMMYFUNCTION("IFERROR(
  VLOOKUP(
    A116,
    IMPORTRANGE(
      ""1ZygntHC1J6IxzKbTidmOyf5nUyW4GCLurHCjexrLm_o"",
      ""HTMLキャッシュ!A:F""
    ),
    2,
    FALSE
  ),
  0
)
"),"MC")</f>
        <v>MC</v>
      </c>
      <c r="C116" s="1" t="str">
        <f>IFERROR(__xludf.DUMMYFUNCTION("IFERROR(
  VLOOKUP(
    A116,
    IMPORTRANGE(
      ""1ZygntHC1J6IxzKbTidmOyf5nUyW4GCLurHCjexrLm_o"",
      ""HTMLキャッシュ!A:F""
    ),
    5,
    FALSE
  ),
  0
)
"),"効率の良い英検対策 - 中高一貫校専門塾エスコット(Escot)～定期試験対策から大学受験指導まで～")</f>
        <v>効率の良い英検対策 - 中高一貫校専門塾エスコット(Escot)～定期試験対策から大学受験指導まで～</v>
      </c>
      <c r="D116" s="1" t="str">
        <f>IFERROR(__xludf.DUMMYFUNCTION("IFERROR(
  VLOOKUP(
    A116,
    IMPORTRANGE(
      ""1ZygntHC1J6IxzKbTidmOyf5nUyW4GCLurHCjexrLm_o        "",
      ""HTMLキャッシュ!A:F""
    ),
    6,
    FALSE
  ),
  0
)
"),"代表 夏井：今回ですが、効率の良い英検対策という事で、中学生高校生ひいては小学生、色んな生徒さんが英検を受験し")</f>
        <v>代表 夏井：今回ですが、効率の良い英検対策という事で、中学生高校生ひいては小学生、色んな生徒さんが英検を受験し</v>
      </c>
      <c r="E116" s="32">
        <f>IFERROR(__xludf.DUMMYFUNCTION("IFERROR(
  VLOOKUP(
    A116,
    IMPORTRANGE(
      ""1ZygntHC1J6IxzKbTidmOyf5nUyW4GCLurHCjexrLm_o        "",
      ""HTMLキャッシュ!A:F""
    ),
    3,
    FALSE
  ),
  0
)
"),45190.62396990741)</f>
        <v>45190.62397</v>
      </c>
      <c r="F116" s="49">
        <f>IFERROR(__xludf.DUMMYFUNCTION("IFERROR(
  VLOOKUP(
    A116,
    IMPORTRANGE(
      ""1ZHMy3vVUd_0MrSduXTe1etBb1HNpAlGwQr006ljwMiM"",
      ""GSC最新!A:F""
    ),
    2,
    FALSE
  ),
  0
)
"),0.0)</f>
        <v>0</v>
      </c>
      <c r="G116" s="49">
        <f>IFERROR(__xludf.DUMMYFUNCTION("IFERROR(
  VLOOKUP(
    A116,
    IMPORTRANGE(
      ""1ZHMy3vVUd_0MrSduXTe1etBb1HNpAlGwQr006ljwMiM"",
      ""GSC最新!A:F""
    ),
    3,
    FALSE
  ),
  0
)
"),0.0)</f>
        <v>0</v>
      </c>
      <c r="H116" s="49">
        <f>IFERROR(__xludf.DUMMYFUNCTION("IFERROR(
  VLOOKUP(
    A116,
    IMPORTRANGE(
      ""1ZHMy3vVUd_0MrSduXTe1etBb1HNpAlGwQr006ljwMiM"",
      ""GSC最新!A:F""
    ),
    4,
    FALSE
  ),
  0
)
"),0.0)</f>
        <v>0</v>
      </c>
      <c r="I116" s="49">
        <f>IFERROR(__xludf.DUMMYFUNCTION("IFERROR(
  VLOOKUP(
    A116,
    IMPORTRANGE(
      ""1ZHMy3vVUd_0MrSduXTe1etBb1HNpAlGwQr006ljwMiM"",
      ""GSC最新!A:F""
    ),
    5,
    FALSE
  ),
  0
)
"),0.0)</f>
        <v>0</v>
      </c>
      <c r="J116" s="50" t="str">
        <f t="shared" ref="J116:K116" si="571">IFERROR(F116/H116,"-")</f>
        <v>-</v>
      </c>
      <c r="K116" s="50" t="str">
        <f t="shared" si="571"/>
        <v>-</v>
      </c>
      <c r="L116" s="6">
        <f>IFERROR(__xludf.DUMMYFUNCTION("IFERROR(
  VLOOKUP(
    A116,
    IMPORTRANGE(
      ""1ZHMy3vVUd_0MrSduXTe1etBb1HNpAlGwQr006ljwMiM"",
      ""GSC最新!A:R""
    ),
    7,
    FALSE
  ),
  0
)
"),0.0)</f>
        <v>0</v>
      </c>
      <c r="M116" s="6">
        <f>IFERROR(__xludf.DUMMYFUNCTION("IFERROR(
  VLOOKUP(
    A116,
    IMPORTRANGE(
      ""1ZHMy3vVUd_0MrSduXTe1etBb1HNpAlGwQr006ljwMiM"",
      ""GSC最新!A:R""
    ),
    10,
    FALSE
  ),
  0
)
"),0.0)</f>
        <v>0</v>
      </c>
      <c r="N116" s="6">
        <f>IFERROR(__xludf.DUMMYFUNCTION("IFERROR(
  VLOOKUP(
    A116,
    IMPORTRANGE(
      ""1ZHMy3vVUd_0MrSduXTe1etBb1HNpAlGwQr006ljwMiM"",
      ""GSC最新!A:R""
    ),
    13,
    FALSE
  ),
  0
)
"),0.0)</f>
        <v>0</v>
      </c>
      <c r="O116" s="6">
        <f>IFERROR(__xludf.DUMMYFUNCTION("IFERROR(
  VLOOKUP(
    A116,
    IMPORTRANGE(
      ""1ZHMy3vVUd_0MrSduXTe1etBb1HNpAlGwQr006ljwMiM"",
      ""GSC最新!A:R""
    ),
    16,
    FALSE
  ),
  0
)
"),0.0)</f>
        <v>0</v>
      </c>
      <c r="P116" s="51" t="str">
        <f t="shared" ref="P116:Q116" si="572">IFERROR(L116/N116,"-")</f>
        <v>-</v>
      </c>
      <c r="Q116" s="51" t="str">
        <f t="shared" si="572"/>
        <v>-</v>
      </c>
      <c r="R116" s="9">
        <f>IFERROR(__xludf.DUMMYFUNCTION("IFERROR(
  VLOOKUP(
    A116,
    IMPORTRANGE(
      ""1ZHMy3vVUd_0MrSduXTe1etBb1HNpAlGwQr006ljwMiM"",
      ""GSC最新!A:R""
    ),
    8,
    FALSE
  ),
  0
)
"),0.0)</f>
        <v>0</v>
      </c>
      <c r="S116" s="9">
        <f>IFERROR(__xludf.DUMMYFUNCTION("IFERROR(
  VLOOKUP(
    A116,
    IMPORTRANGE(
      ""1ZHMy3vVUd_0MrSduXTe1etBb1HNpAlGwQr006ljwMiM"",
      ""GSC最新!A:R""
    ),
    11,
    FALSE
  ),
  0
)
"),0.0)</f>
        <v>0</v>
      </c>
      <c r="T116" s="9">
        <f>IFERROR(__xludf.DUMMYFUNCTION("IFERROR(
  VLOOKUP(
    A116,
    IMPORTRANGE(
      ""1ZHMy3vVUd_0MrSduXTe1etBb1HNpAlGwQr006ljwMiM"",
      ""GSC最新!A:R""
    ),
    14,
    FALSE
  ),
  0
)
"),0.0)</f>
        <v>0</v>
      </c>
      <c r="U116" s="9">
        <f>IFERROR(__xludf.DUMMYFUNCTION("IFERROR(
  VLOOKUP(
    A116,
    IMPORTRANGE(
      ""1ZHMy3vVUd_0MrSduXTe1etBb1HNpAlGwQr006ljwMiM"",
      ""GSC最新!A:R""
    ),
    17,
    FALSE
  ),
  0
)
"),0.0)</f>
        <v>0</v>
      </c>
      <c r="V116" s="9">
        <f t="shared" ref="V116:W116" si="573">IFERROR(R116-T116,"-")</f>
        <v>0</v>
      </c>
      <c r="W116" s="9">
        <f t="shared" si="573"/>
        <v>0</v>
      </c>
      <c r="X116" s="65" t="str">
        <f>IFERROR(__xludf.DUMMYFUNCTION("IFERROR(
  VLOOKUP(
    A116,
    IMPORTRANGE(
      ""1ZHMy3vVUd_0MrSduXTe1etBb1HNpAlGwQr006ljwMiM"",
      ""GSC最新!A:R""
    ),
    9,
    FALSE
  ),
  0
)
"),"")</f>
        <v/>
      </c>
      <c r="Y116" s="65" t="str">
        <f>IFERROR(__xludf.DUMMYFUNCTION("IFERROR(
  VLOOKUP(
    A116,
    IMPORTRANGE(
      ""1ZHMy3vVUd_0MrSduXTe1etBb1HNpAlGwQr006ljwMiM"",
      ""GSC最新!A:R""
    ),
    12,
    FALSE
  ),
  0
)
"),"")</f>
        <v/>
      </c>
      <c r="Z116" s="65" t="str">
        <f>IFERROR(__xludf.DUMMYFUNCTION("IFERROR(
  VLOOKUP(
    A116,
    IMPORTRANGE(
      ""1ZHMy3vVUd_0MrSduXTe1etBb1HNpAlGwQr006ljwMiM"",
      ""GSC最新!A:R""
    ),
    15,
    FALSE
  ),
  0
)
"),"")</f>
        <v/>
      </c>
      <c r="AA116" s="65" t="str">
        <f>IFERROR(__xludf.DUMMYFUNCTION("IFERROR(
  VLOOKUP(
    A116,
    IMPORTRANGE(
      ""1ZHMy3vVUd_0MrSduXTe1etBb1HNpAlGwQr006ljwMiM"",
      ""GSC最新!A:R""
    ),
    18,
    FALSE
  ),
  0
)
"),"")</f>
        <v/>
      </c>
      <c r="AB116" s="65">
        <f t="shared" ref="AB116:AC116" si="574">X116-Z116</f>
        <v>0</v>
      </c>
      <c r="AC116" s="65">
        <f t="shared" si="574"/>
        <v>0</v>
      </c>
      <c r="AD116" s="53">
        <f>IFERROR(__xludf.DUMMYFUNCTION("IFERROR(
  VLOOKUP(
    A116,
    IMPORTRANGE(
      ""1ZHMy3vVUd_0MrSduXTe1etBb1HNpAlGwQr006ljwMiM"",
      ""GSC最新!A:F""
    ),
    6,
    FALSE
  ),
  0
)
"),46081.0)</f>
        <v>46081</v>
      </c>
      <c r="AE116" s="54">
        <f>IFERROR(__xludf.DUMMYFUNCTION("IFERROR(
  VLOOKUP(
    A116,
    IMPORTRANGE(
      ""1SCYQd7_cobOYqT0r_F0IqD4tE4rYn5y8Eup4PJTH8es"",
      ""Snapshot!A:M""
    ),
    5,
    FALSE
  ),
  ""-""
)
"),1.0)</f>
        <v>1</v>
      </c>
      <c r="AF116" s="54">
        <f>IFERROR(__xludf.DUMMYFUNCTION("IFERROR(
  VLOOKUP(
    A116,
    IMPORTRANGE(
      ""1SCYQd7_cobOYqT0r_F0IqD4tE4rYn5y8Eup4PJTH8es"",
      ""Snapshot!A:M""
    ),
    6,
    FALSE
  ),
  0
)
"),0.0)</f>
        <v>0</v>
      </c>
      <c r="AG116" s="54">
        <f>IFERROR(__xludf.DUMMYFUNCTION("IFERROR(
  VLOOKUP(
    A116,
    IMPORTRANGE(
      ""1SCYQd7_cobOYqT0r_F0IqD4tE4rYn5y8Eup4PJTH8es"",
      ""Snapshot!A:M""
    ),
    7,
    FALSE
  ),
  0
)
"),3578.0)</f>
        <v>3578</v>
      </c>
      <c r="AH116" s="54">
        <f>IFERROR(__xludf.DUMMYFUNCTION("IFERROR(
  VLOOKUP(
    A116,
    IMPORTRANGE(
      ""1SCYQd7_cobOYqT0r_F0IqD4tE4rYn5y8Eup4PJTH8es"",
      ""Snapshot!A:M""
    ),
    8,
    FALSE
  ),
  0
)
"),1.0)</f>
        <v>1</v>
      </c>
      <c r="AI116" s="54">
        <f>IFERROR(__xludf.DUMMYFUNCTION("IFERROR(
  VLOOKUP(
    A116,
    IMPORTRANGE(
      ""1SCYQd7_cobOYqT0r_F0IqD4tE4rYn5y8Eup4PJTH8es"",
      ""Snapshot!A:M""
    ),
    9,
    FALSE
  ),
  0
)
"),1.0)</f>
        <v>1</v>
      </c>
      <c r="AJ116" s="54">
        <f>IFERROR(__xludf.DUMMYFUNCTION("IFERROR(
  VLOOKUP(
    A116,
    IMPORTRANGE(
      ""1SCYQd7_cobOYqT0r_F0IqD4tE4rYn5y8Eup4PJTH8es"",
      ""Snapshot!A:M""
    ),
    13,
    FALSE
  ),
  0
)
"),2.0)</f>
        <v>2</v>
      </c>
      <c r="AK116" s="49">
        <f t="shared" ref="AK116:AL116" si="575">LEN(C116)</f>
        <v>50</v>
      </c>
      <c r="AL116" s="49">
        <f t="shared" si="575"/>
        <v>55</v>
      </c>
    </row>
    <row r="117">
      <c r="A117" s="3" t="s">
        <v>346</v>
      </c>
      <c r="B117" s="1" t="str">
        <f>IFERROR(__xludf.DUMMYFUNCTION("IFERROR(
  VLOOKUP(
    A117,
    IMPORTRANGE(
      ""1ZygntHC1J6IxzKbTidmOyf5nUyW4GCLurHCjexrLm_o"",
      ""HTMLキャッシュ!A:F""
    ),
    2,
    FALSE
  ),
  0
)
"),"SP")</f>
        <v>SP</v>
      </c>
      <c r="C117" s="1" t="str">
        <f>IFERROR(__xludf.DUMMYFUNCTION("IFERROR(
  VLOOKUP(
    A117,
    IMPORTRANGE(
      ""1ZygntHC1J6IxzKbTidmOyf5nUyW4GCLurHCjexrLm_o"",
      ""HTMLキャッシュ!A:F""
    ),
    5,
    FALSE
  ),
  0
)
"),"中高一貫受験数学の個別指導講座｜模試対応オンライン塾")</f>
        <v>中高一貫受験数学の個別指導講座｜模試対応オンライン塾</v>
      </c>
      <c r="D117" s="1" t="str">
        <f>IFERROR(__xludf.DUMMYFUNCTION("IFERROR(
  VLOOKUP(
    A117,
    IMPORTRANGE(
      ""1ZygntHC1J6IxzKbTidmOyf5nUyW4GCLurHCjexrLm_o        "",
      ""HTMLキャッシュ!A:F""
    ),
    6,
    FALSE
  ),
  0
)
"),"模試や定期で点が安定しない中高一貫生へ。答案分析と個別演習で弱点を整理し、得点力を高めます。体験受付中")</f>
        <v>模試や定期で点が安定しない中高一貫生へ。答案分析と個別演習で弱点を整理し、得点力を高めます。体験受付中</v>
      </c>
      <c r="E117" s="32">
        <f>IFERROR(__xludf.DUMMYFUNCTION("IFERROR(
  VLOOKUP(
    A117,
    IMPORTRANGE(
      ""1ZygntHC1J6IxzKbTidmOyf5nUyW4GCLurHCjexrLm_o        "",
      ""HTMLキャッシュ!A:F""
    ),
    3,
    FALSE
  ),
  0
)
"),46083.69395833334)</f>
        <v>46083.69396</v>
      </c>
      <c r="F117" s="49">
        <f>IFERROR(__xludf.DUMMYFUNCTION("IFERROR(
  VLOOKUP(
    A117,
    IMPORTRANGE(
      ""1ZHMy3vVUd_0MrSduXTe1etBb1HNpAlGwQr006ljwMiM"",
      ""GSC最新!A:F""
    ),
    2,
    FALSE
  ),
  0
)
"),0.0)</f>
        <v>0</v>
      </c>
      <c r="G117" s="49">
        <f>IFERROR(__xludf.DUMMYFUNCTION("IFERROR(
  VLOOKUP(
    A117,
    IMPORTRANGE(
      ""1ZHMy3vVUd_0MrSduXTe1etBb1HNpAlGwQr006ljwMiM"",
      ""GSC最新!A:F""
    ),
    3,
    FALSE
  ),
  0
)
"),0.0)</f>
        <v>0</v>
      </c>
      <c r="H117" s="49">
        <f>IFERROR(__xludf.DUMMYFUNCTION("IFERROR(
  VLOOKUP(
    A117,
    IMPORTRANGE(
      ""1ZHMy3vVUd_0MrSduXTe1etBb1HNpAlGwQr006ljwMiM"",
      ""GSC最新!A:F""
    ),
    4,
    FALSE
  ),
  0
)
"),0.0)</f>
        <v>0</v>
      </c>
      <c r="I117" s="49">
        <f>IFERROR(__xludf.DUMMYFUNCTION("IFERROR(
  VLOOKUP(
    A117,
    IMPORTRANGE(
      ""1ZHMy3vVUd_0MrSduXTe1etBb1HNpAlGwQr006ljwMiM"",
      ""GSC最新!A:F""
    ),
    5,
    FALSE
  ),
  0
)
"),0.0)</f>
        <v>0</v>
      </c>
      <c r="J117" s="50" t="str">
        <f t="shared" ref="J117:K117" si="576">IFERROR(F117/H117,"-")</f>
        <v>-</v>
      </c>
      <c r="K117" s="50" t="str">
        <f t="shared" si="576"/>
        <v>-</v>
      </c>
      <c r="L117" s="6">
        <f>IFERROR(__xludf.DUMMYFUNCTION("IFERROR(
  VLOOKUP(
    A117,
    IMPORTRANGE(
      ""1ZHMy3vVUd_0MrSduXTe1etBb1HNpAlGwQr006ljwMiM"",
      ""GSC最新!A:R""
    ),
    7,
    FALSE
  ),
  0
)
"),0.0)</f>
        <v>0</v>
      </c>
      <c r="M117" s="6">
        <f>IFERROR(__xludf.DUMMYFUNCTION("IFERROR(
  VLOOKUP(
    A117,
    IMPORTRANGE(
      ""1ZHMy3vVUd_0MrSduXTe1etBb1HNpAlGwQr006ljwMiM"",
      ""GSC最新!A:R""
    ),
    10,
    FALSE
  ),
  0
)
"),0.0)</f>
        <v>0</v>
      </c>
      <c r="N117" s="6">
        <f>IFERROR(__xludf.DUMMYFUNCTION("IFERROR(
  VLOOKUP(
    A117,
    IMPORTRANGE(
      ""1ZHMy3vVUd_0MrSduXTe1etBb1HNpAlGwQr006ljwMiM"",
      ""GSC最新!A:R""
    ),
    13,
    FALSE
  ),
  0
)
"),0.0)</f>
        <v>0</v>
      </c>
      <c r="O117" s="6">
        <f>IFERROR(__xludf.DUMMYFUNCTION("IFERROR(
  VLOOKUP(
    A117,
    IMPORTRANGE(
      ""1ZHMy3vVUd_0MrSduXTe1etBb1HNpAlGwQr006ljwMiM"",
      ""GSC最新!A:R""
    ),
    16,
    FALSE
  ),
  0
)
"),1.0)</f>
        <v>1</v>
      </c>
      <c r="P117" s="51" t="str">
        <f t="shared" ref="P117:Q117" si="577">IFERROR(L117/N117,"-")</f>
        <v>-</v>
      </c>
      <c r="Q117" s="51">
        <f t="shared" si="577"/>
        <v>0</v>
      </c>
      <c r="R117" s="9">
        <f>IFERROR(__xludf.DUMMYFUNCTION("IFERROR(
  VLOOKUP(
    A117,
    IMPORTRANGE(
      ""1ZHMy3vVUd_0MrSduXTe1etBb1HNpAlGwQr006ljwMiM"",
      ""GSC最新!A:R""
    ),
    8,
    FALSE
  ),
  0
)
"),0.0)</f>
        <v>0</v>
      </c>
      <c r="S117" s="9">
        <f>IFERROR(__xludf.DUMMYFUNCTION("IFERROR(
  VLOOKUP(
    A117,
    IMPORTRANGE(
      ""1ZHMy3vVUd_0MrSduXTe1etBb1HNpAlGwQr006ljwMiM"",
      ""GSC最新!A:R""
    ),
    11,
    FALSE
  ),
  0
)
"),0.0)</f>
        <v>0</v>
      </c>
      <c r="T117" s="9">
        <f>IFERROR(__xludf.DUMMYFUNCTION("IFERROR(
  VLOOKUP(
    A117,
    IMPORTRANGE(
      ""1ZHMy3vVUd_0MrSduXTe1etBb1HNpAlGwQr006ljwMiM"",
      ""GSC最新!A:R""
    ),
    14,
    FALSE
  ),
  0
)
"),0.0)</f>
        <v>0</v>
      </c>
      <c r="U117" s="9">
        <f>IFERROR(__xludf.DUMMYFUNCTION("IFERROR(
  VLOOKUP(
    A117,
    IMPORTRANGE(
      ""1ZHMy3vVUd_0MrSduXTe1etBb1HNpAlGwQr006ljwMiM"",
      ""GSC最新!A:R""
    ),
    17,
    FALSE
  ),
  0
)
"),0.0)</f>
        <v>0</v>
      </c>
      <c r="V117" s="9">
        <f t="shared" ref="V117:W117" si="578">IFERROR(R117-T117,"-")</f>
        <v>0</v>
      </c>
      <c r="W117" s="9">
        <f t="shared" si="578"/>
        <v>0</v>
      </c>
      <c r="X117" s="65" t="str">
        <f>IFERROR(__xludf.DUMMYFUNCTION("IFERROR(
  VLOOKUP(
    A117,
    IMPORTRANGE(
      ""1ZHMy3vVUd_0MrSduXTe1etBb1HNpAlGwQr006ljwMiM"",
      ""GSC最新!A:R""
    ),
    9,
    FALSE
  ),
  0
)
"),"")</f>
        <v/>
      </c>
      <c r="Y117" s="65" t="str">
        <f>IFERROR(__xludf.DUMMYFUNCTION("IFERROR(
  VLOOKUP(
    A117,
    IMPORTRANGE(
      ""1ZHMy3vVUd_0MrSduXTe1etBb1HNpAlGwQr006ljwMiM"",
      ""GSC最新!A:R""
    ),
    12,
    FALSE
  ),
  0
)
"),"")</f>
        <v/>
      </c>
      <c r="Z117" s="65" t="str">
        <f>IFERROR(__xludf.DUMMYFUNCTION("IFERROR(
  VLOOKUP(
    A117,
    IMPORTRANGE(
      ""1ZHMy3vVUd_0MrSduXTe1etBb1HNpAlGwQr006ljwMiM"",
      ""GSC最新!A:R""
    ),
    15,
    FALSE
  ),
  0
)
"),"")</f>
        <v/>
      </c>
      <c r="AA117" s="65">
        <f>IFERROR(__xludf.DUMMYFUNCTION("IFERROR(
  VLOOKUP(
    A117,
    IMPORTRANGE(
      ""1ZHMy3vVUd_0MrSduXTe1etBb1HNpAlGwQr006ljwMiM"",
      ""GSC最新!A:R""
    ),
    18,
    FALSE
  ),
  0
)
"),19.0)</f>
        <v>19</v>
      </c>
      <c r="AB117" s="65">
        <f t="shared" ref="AB117:AC117" si="579">X117-Z117</f>
        <v>0</v>
      </c>
      <c r="AC117" s="65">
        <f t="shared" si="579"/>
        <v>-19</v>
      </c>
      <c r="AD117" s="53">
        <f>IFERROR(__xludf.DUMMYFUNCTION("IFERROR(
  VLOOKUP(
    A117,
    IMPORTRANGE(
      ""1ZHMy3vVUd_0MrSduXTe1etBb1HNpAlGwQr006ljwMiM"",
      ""GSC最新!A:F""
    ),
    6,
    FALSE
  ),
  0
)
"),46081.0)</f>
        <v>46081</v>
      </c>
      <c r="AE117" s="54">
        <f>IFERROR(__xludf.DUMMYFUNCTION("IFERROR(
  VLOOKUP(
    A117,
    IMPORTRANGE(
      ""1SCYQd7_cobOYqT0r_F0IqD4tE4rYn5y8Eup4PJTH8es"",
      ""Snapshot!A:M""
    ),
    5,
    FALSE
  ),
  ""-""
)
"),9.0)</f>
        <v>9</v>
      </c>
      <c r="AF117" s="54">
        <f>IFERROR(__xludf.DUMMYFUNCTION("IFERROR(
  VLOOKUP(
    A117,
    IMPORTRANGE(
      ""1SCYQd7_cobOYqT0r_F0IqD4tE4rYn5y8Eup4PJTH8es"",
      ""Snapshot!A:M""
    ),
    6,
    FALSE
  ),
  0
)
"),11.0)</f>
        <v>11</v>
      </c>
      <c r="AG117" s="54">
        <f>IFERROR(__xludf.DUMMYFUNCTION("IFERROR(
  VLOOKUP(
    A117,
    IMPORTRANGE(
      ""1SCYQd7_cobOYqT0r_F0IqD4tE4rYn5y8Eup4PJTH8es"",
      ""Snapshot!A:M""
    ),
    7,
    FALSE
  ),
  0
)
"),4206.0)</f>
        <v>4206</v>
      </c>
      <c r="AH117" s="54">
        <f>IFERROR(__xludf.DUMMYFUNCTION("IFERROR(
  VLOOKUP(
    A117,
    IMPORTRANGE(
      ""1SCYQd7_cobOYqT0r_F0IqD4tE4rYn5y8Eup4PJTH8es"",
      ""Snapshot!A:M""
    ),
    8,
    FALSE
  ),
  0
)
"),8.0)</f>
        <v>8</v>
      </c>
      <c r="AI117" s="54">
        <f>IFERROR(__xludf.DUMMYFUNCTION("IFERROR(
  VLOOKUP(
    A117,
    IMPORTRANGE(
      ""1SCYQd7_cobOYqT0r_F0IqD4tE4rYn5y8Eup4PJTH8es"",
      ""Snapshot!A:M""
    ),
    9,
    FALSE
  ),
  0
)
"),4.0)</f>
        <v>4</v>
      </c>
      <c r="AJ117" s="54">
        <f>IFERROR(__xludf.DUMMYFUNCTION("IFERROR(
  VLOOKUP(
    A117,
    IMPORTRANGE(
      ""1SCYQd7_cobOYqT0r_F0IqD4tE4rYn5y8Eup4PJTH8es"",
      ""Snapshot!A:M""
    ),
    13,
    FALSE
  ),
  0
)
"),2.0)</f>
        <v>2</v>
      </c>
      <c r="AK117" s="49">
        <f t="shared" ref="AK117:AL117" si="580">LEN(C117)</f>
        <v>26</v>
      </c>
      <c r="AL117" s="49">
        <f t="shared" si="580"/>
        <v>51</v>
      </c>
    </row>
    <row r="118">
      <c r="A118" s="3" t="s">
        <v>344</v>
      </c>
      <c r="B118" s="1" t="str">
        <f>IFERROR(__xludf.DUMMYFUNCTION("IFERROR(
  VLOOKUP(
    A118,
    IMPORTRANGE(
      ""1ZygntHC1J6IxzKbTidmOyf5nUyW4GCLurHCjexrLm_o"",
      ""HTMLキャッシュ!A:F""
    ),
    2,
    FALSE
  ),
  0
)
"),"SP")</f>
        <v>SP</v>
      </c>
      <c r="C118" s="1" t="str">
        <f>IFERROR(__xludf.DUMMYFUNCTION("IFERROR(
  VLOOKUP(
    A118,
    IMPORTRANGE(
      ""1ZygntHC1J6IxzKbTidmOyf5nUyW4GCLurHCjexrLm_o"",
      ""HTMLキャッシュ!A:F""
    ),
    5,
    FALSE
  ),
  0
)
"),"中2数学の個別指導講座｜定期試験対応＆計算幾何攻略オンライン")</f>
        <v>中2数学の個別指導講座｜定期試験対応＆計算幾何攻略オンライン</v>
      </c>
      <c r="D118" s="1" t="str">
        <f>IFERROR(__xludf.DUMMYFUNCTION("IFERROR(
  VLOOKUP(
    A118,
    IMPORTRANGE(
      ""1ZygntHC1J6IxzKbTidmOyf5nUyW4GCLurHCjexrLm_o        "",
      ""HTMLキャッシュ!A:F""
    ),
    6,
    FALSE
  ),
  0
)
"),"中高一貫中2数学でつまずく生徒へ。計算・幾何・確率を個別指導で整理し定期試験に直結。オンライン体験受付中今すぐ相談可")</f>
        <v>中高一貫中2数学でつまずく生徒へ。計算・幾何・確率を個別指導で整理し定期試験に直結。オンライン体験受付中今すぐ相談可</v>
      </c>
      <c r="E118" s="32">
        <f>IFERROR(__xludf.DUMMYFUNCTION("IFERROR(
  VLOOKUP(
    A118,
    IMPORTRANGE(
      ""1ZygntHC1J6IxzKbTidmOyf5nUyW4GCLurHCjexrLm_o        "",
      ""HTMLキャッシュ!A:F""
    ),
    3,
    FALSE
  ),
  0
)
"),46076.87211805556)</f>
        <v>46076.87212</v>
      </c>
      <c r="F118" s="49">
        <f>IFERROR(__xludf.DUMMYFUNCTION("IFERROR(
  VLOOKUP(
    A118,
    IMPORTRANGE(
      ""1ZHMy3vVUd_0MrSduXTe1etBb1HNpAlGwQr006ljwMiM"",
      ""GSC最新!A:F""
    ),
    2,
    FALSE
  ),
  0
)
"),0.0)</f>
        <v>0</v>
      </c>
      <c r="G118" s="49">
        <f>IFERROR(__xludf.DUMMYFUNCTION("IFERROR(
  VLOOKUP(
    A118,
    IMPORTRANGE(
      ""1ZHMy3vVUd_0MrSduXTe1etBb1HNpAlGwQr006ljwMiM"",
      ""GSC最新!A:F""
    ),
    3,
    FALSE
  ),
  0
)
"),0.0)</f>
        <v>0</v>
      </c>
      <c r="H118" s="49">
        <f>IFERROR(__xludf.DUMMYFUNCTION("IFERROR(
  VLOOKUP(
    A118,
    IMPORTRANGE(
      ""1ZHMy3vVUd_0MrSduXTe1etBb1HNpAlGwQr006ljwMiM"",
      ""GSC最新!A:F""
    ),
    4,
    FALSE
  ),
  0
)
"),0.0)</f>
        <v>0</v>
      </c>
      <c r="I118" s="49">
        <f>IFERROR(__xludf.DUMMYFUNCTION("IFERROR(
  VLOOKUP(
    A118,
    IMPORTRANGE(
      ""1ZHMy3vVUd_0MrSduXTe1etBb1HNpAlGwQr006ljwMiM"",
      ""GSC最新!A:F""
    ),
    5,
    FALSE
  ),
  0
)
"),0.0)</f>
        <v>0</v>
      </c>
      <c r="J118" s="50" t="str">
        <f t="shared" ref="J118:K118" si="581">IFERROR(F118/H118,"-")</f>
        <v>-</v>
      </c>
      <c r="K118" s="50" t="str">
        <f t="shared" si="581"/>
        <v>-</v>
      </c>
      <c r="L118" s="6">
        <f>IFERROR(__xludf.DUMMYFUNCTION("IFERROR(
  VLOOKUP(
    A118,
    IMPORTRANGE(
      ""1ZHMy3vVUd_0MrSduXTe1etBb1HNpAlGwQr006ljwMiM"",
      ""GSC最新!A:R""
    ),
    7,
    FALSE
  ),
  0
)
"),0.0)</f>
        <v>0</v>
      </c>
      <c r="M118" s="6">
        <f>IFERROR(__xludf.DUMMYFUNCTION("IFERROR(
  VLOOKUP(
    A118,
    IMPORTRANGE(
      ""1ZHMy3vVUd_0MrSduXTe1etBb1HNpAlGwQr006ljwMiM"",
      ""GSC最新!A:R""
    ),
    10,
    FALSE
  ),
  0
)
"),0.0)</f>
        <v>0</v>
      </c>
      <c r="N118" s="6">
        <f>IFERROR(__xludf.DUMMYFUNCTION("IFERROR(
  VLOOKUP(
    A118,
    IMPORTRANGE(
      ""1ZHMy3vVUd_0MrSduXTe1etBb1HNpAlGwQr006ljwMiM"",
      ""GSC最新!A:R""
    ),
    13,
    FALSE
  ),
  0
)
"),0.0)</f>
        <v>0</v>
      </c>
      <c r="O118" s="6">
        <f>IFERROR(__xludf.DUMMYFUNCTION("IFERROR(
  VLOOKUP(
    A118,
    IMPORTRANGE(
      ""1ZHMy3vVUd_0MrSduXTe1etBb1HNpAlGwQr006ljwMiM"",
      ""GSC最新!A:R""
    ),
    16,
    FALSE
  ),
  0
)
"),0.0)</f>
        <v>0</v>
      </c>
      <c r="P118" s="51" t="str">
        <f t="shared" ref="P118:Q118" si="582">IFERROR(L118/N118,"-")</f>
        <v>-</v>
      </c>
      <c r="Q118" s="51" t="str">
        <f t="shared" si="582"/>
        <v>-</v>
      </c>
      <c r="R118" s="9">
        <f>IFERROR(__xludf.DUMMYFUNCTION("IFERROR(
  VLOOKUP(
    A118,
    IMPORTRANGE(
      ""1ZHMy3vVUd_0MrSduXTe1etBb1HNpAlGwQr006ljwMiM"",
      ""GSC最新!A:R""
    ),
    8,
    FALSE
  ),
  0
)
"),0.0)</f>
        <v>0</v>
      </c>
      <c r="S118" s="9">
        <f>IFERROR(__xludf.DUMMYFUNCTION("IFERROR(
  VLOOKUP(
    A118,
    IMPORTRANGE(
      ""1ZHMy3vVUd_0MrSduXTe1etBb1HNpAlGwQr006ljwMiM"",
      ""GSC最新!A:R""
    ),
    11,
    FALSE
  ),
  0
)
"),0.0)</f>
        <v>0</v>
      </c>
      <c r="T118" s="9">
        <f>IFERROR(__xludf.DUMMYFUNCTION("IFERROR(
  VLOOKUP(
    A118,
    IMPORTRANGE(
      ""1ZHMy3vVUd_0MrSduXTe1etBb1HNpAlGwQr006ljwMiM"",
      ""GSC最新!A:R""
    ),
    14,
    FALSE
  ),
  0
)
"),0.0)</f>
        <v>0</v>
      </c>
      <c r="U118" s="9">
        <f>IFERROR(__xludf.DUMMYFUNCTION("IFERROR(
  VLOOKUP(
    A118,
    IMPORTRANGE(
      ""1ZHMy3vVUd_0MrSduXTe1etBb1HNpAlGwQr006ljwMiM"",
      ""GSC最新!A:R""
    ),
    17,
    FALSE
  ),
  0
)
"),0.0)</f>
        <v>0</v>
      </c>
      <c r="V118" s="9">
        <f t="shared" ref="V118:W118" si="583">IFERROR(R118-T118,"-")</f>
        <v>0</v>
      </c>
      <c r="W118" s="9">
        <f t="shared" si="583"/>
        <v>0</v>
      </c>
      <c r="X118" s="65" t="str">
        <f>IFERROR(__xludf.DUMMYFUNCTION("IFERROR(
  VLOOKUP(
    A118,
    IMPORTRANGE(
      ""1ZHMy3vVUd_0MrSduXTe1etBb1HNpAlGwQr006ljwMiM"",
      ""GSC最新!A:R""
    ),
    9,
    FALSE
  ),
  0
)
"),"")</f>
        <v/>
      </c>
      <c r="Y118" s="65" t="str">
        <f>IFERROR(__xludf.DUMMYFUNCTION("IFERROR(
  VLOOKUP(
    A118,
    IMPORTRANGE(
      ""1ZHMy3vVUd_0MrSduXTe1etBb1HNpAlGwQr006ljwMiM"",
      ""GSC最新!A:R""
    ),
    12,
    FALSE
  ),
  0
)
"),"")</f>
        <v/>
      </c>
      <c r="Z118" s="65" t="str">
        <f>IFERROR(__xludf.DUMMYFUNCTION("IFERROR(
  VLOOKUP(
    A118,
    IMPORTRANGE(
      ""1ZHMy3vVUd_0MrSduXTe1etBb1HNpAlGwQr006ljwMiM"",
      ""GSC最新!A:R""
    ),
    15,
    FALSE
  ),
  0
)
"),"")</f>
        <v/>
      </c>
      <c r="AA118" s="65" t="str">
        <f>IFERROR(__xludf.DUMMYFUNCTION("IFERROR(
  VLOOKUP(
    A118,
    IMPORTRANGE(
      ""1ZHMy3vVUd_0MrSduXTe1etBb1HNpAlGwQr006ljwMiM"",
      ""GSC最新!A:R""
    ),
    18,
    FALSE
  ),
  0
)
"),"")</f>
        <v/>
      </c>
      <c r="AB118" s="65">
        <f t="shared" ref="AB118:AC118" si="584">X118-Z118</f>
        <v>0</v>
      </c>
      <c r="AC118" s="65">
        <f t="shared" si="584"/>
        <v>0</v>
      </c>
      <c r="AD118" s="53">
        <f>IFERROR(__xludf.DUMMYFUNCTION("IFERROR(
  VLOOKUP(
    A118,
    IMPORTRANGE(
      ""1ZHMy3vVUd_0MrSduXTe1etBb1HNpAlGwQr006ljwMiM"",
      ""GSC最新!A:F""
    ),
    6,
    FALSE
  ),
  0
)
"),46081.0)</f>
        <v>46081</v>
      </c>
      <c r="AE118" s="54">
        <f>IFERROR(__xludf.DUMMYFUNCTION("IFERROR(
  VLOOKUP(
    A118,
    IMPORTRANGE(
      ""1SCYQd7_cobOYqT0r_F0IqD4tE4rYn5y8Eup4PJTH8es"",
      ""Snapshot!A:M""
    ),
    5,
    FALSE
  ),
  ""-""
)
"),9.0)</f>
        <v>9</v>
      </c>
      <c r="AF118" s="54">
        <f>IFERROR(__xludf.DUMMYFUNCTION("IFERROR(
  VLOOKUP(
    A118,
    IMPORTRANGE(
      ""1SCYQd7_cobOYqT0r_F0IqD4tE4rYn5y8Eup4PJTH8es"",
      ""Snapshot!A:M""
    ),
    6,
    FALSE
  ),
  0
)
"),10.0)</f>
        <v>10</v>
      </c>
      <c r="AG118" s="54">
        <f>IFERROR(__xludf.DUMMYFUNCTION("IFERROR(
  VLOOKUP(
    A118,
    IMPORTRANGE(
      ""1SCYQd7_cobOYqT0r_F0IqD4tE4rYn5y8Eup4PJTH8es"",
      ""Snapshot!A:M""
    ),
    7,
    FALSE
  ),
  0
)
"),4040.0)</f>
        <v>4040</v>
      </c>
      <c r="AH118" s="54">
        <f>IFERROR(__xludf.DUMMYFUNCTION("IFERROR(
  VLOOKUP(
    A118,
    IMPORTRANGE(
      ""1SCYQd7_cobOYqT0r_F0IqD4tE4rYn5y8Eup4PJTH8es"",
      ""Snapshot!A:M""
    ),
    8,
    FALSE
  ),
  0
)
"),6.0)</f>
        <v>6</v>
      </c>
      <c r="AI118" s="54">
        <f>IFERROR(__xludf.DUMMYFUNCTION("IFERROR(
  VLOOKUP(
    A118,
    IMPORTRANGE(
      ""1SCYQd7_cobOYqT0r_F0IqD4tE4rYn5y8Eup4PJTH8es"",
      ""Snapshot!A:M""
    ),
    9,
    FALSE
  ),
  0
)
"),5.0)</f>
        <v>5</v>
      </c>
      <c r="AJ118" s="54">
        <f>IFERROR(__xludf.DUMMYFUNCTION("IFERROR(
  VLOOKUP(
    A118,
    IMPORTRANGE(
      ""1SCYQd7_cobOYqT0r_F0IqD4tE4rYn5y8Eup4PJTH8es"",
      ""Snapshot!A:M""
    ),
    13,
    FALSE
  ),
  0
)
"),2.0)</f>
        <v>2</v>
      </c>
      <c r="AK118" s="49">
        <f t="shared" ref="AK118:AL118" si="585">LEN(C118)</f>
        <v>30</v>
      </c>
      <c r="AL118" s="49">
        <f t="shared" si="585"/>
        <v>58</v>
      </c>
    </row>
    <row r="119">
      <c r="A119" s="3" t="s">
        <v>345</v>
      </c>
      <c r="B119" s="1" t="str">
        <f>IFERROR(__xludf.DUMMYFUNCTION("IFERROR(
  VLOOKUP(
    A119,
    IMPORTRANGE(
      ""1ZygntHC1J6IxzKbTidmOyf5nUyW4GCLurHCjexrLm_o"",
      ""HTMLキャッシュ!A:F""
    ),
    2,
    FALSE
  ),
  0
)
"),"SP")</f>
        <v>SP</v>
      </c>
      <c r="C119" s="1" t="str">
        <f>IFERROR(__xludf.DUMMYFUNCTION("IFERROR(
  VLOOKUP(
    A119,
    IMPORTRANGE(
      ""1ZygntHC1J6IxzKbTidmOyf5nUyW4GCLurHCjexrLm_o"",
      ""HTMLキャッシュ!A:F""
    ),
    5,
    FALSE
  ),
  0
)
"),"中3英語の個別指導講座｜定期・入試対応英文法読解強化塾")</f>
        <v>中3英語の個別指導講座｜定期・入試対応英文法読解強化塾</v>
      </c>
      <c r="D119" s="1" t="str">
        <f>IFERROR(__xludf.DUMMYFUNCTION("IFERROR(
  VLOOKUP(
    A119,
    IMPORTRANGE(
      ""1ZygntHC1J6IxzKbTidmOyf5nUyW4GCLurHCjexrLm_o        "",
      ""HTMLキャッシュ!A:F""
    ),
    6,
    FALSE
  ),
  0
)
"),"英文量・語彙増加で伸び悩む中3生へ。文法・読解・入試対応力を1対1個別指導で確実に定着。オンライン体験受付中")</f>
        <v>英文量・語彙増加で伸び悩む中3生へ。文法・読解・入試対応力を1対1個別指導で確実に定着。オンライン体験受付中</v>
      </c>
      <c r="E119" s="32">
        <f>IFERROR(__xludf.DUMMYFUNCTION("IFERROR(
  VLOOKUP(
    A119,
    IMPORTRANGE(
      ""1ZygntHC1J6IxzKbTidmOyf5nUyW4GCLurHCjexrLm_o        "",
      ""HTMLキャッシュ!A:F""
    ),
    3,
    FALSE
  ),
  0
)
"),46081.670127314814)</f>
        <v>46081.67013</v>
      </c>
      <c r="F119" s="49">
        <f>IFERROR(__xludf.DUMMYFUNCTION("IFERROR(
  VLOOKUP(
    A119,
    IMPORTRANGE(
      ""1ZHMy3vVUd_0MrSduXTe1etBb1HNpAlGwQr006ljwMiM"",
      ""GSC最新!A:F""
    ),
    2,
    FALSE
  ),
  0
)
"),0.0)</f>
        <v>0</v>
      </c>
      <c r="G119" s="49">
        <f>IFERROR(__xludf.DUMMYFUNCTION("IFERROR(
  VLOOKUP(
    A119,
    IMPORTRANGE(
      ""1ZHMy3vVUd_0MrSduXTe1etBb1HNpAlGwQr006ljwMiM"",
      ""GSC最新!A:F""
    ),
    3,
    FALSE
  ),
  0
)
"),0.0)</f>
        <v>0</v>
      </c>
      <c r="H119" s="49">
        <f>IFERROR(__xludf.DUMMYFUNCTION("IFERROR(
  VLOOKUP(
    A119,
    IMPORTRANGE(
      ""1ZHMy3vVUd_0MrSduXTe1etBb1HNpAlGwQr006ljwMiM"",
      ""GSC最新!A:F""
    ),
    4,
    FALSE
  ),
  0
)
"),0.0)</f>
        <v>0</v>
      </c>
      <c r="I119" s="49">
        <f>IFERROR(__xludf.DUMMYFUNCTION("IFERROR(
  VLOOKUP(
    A119,
    IMPORTRANGE(
      ""1ZHMy3vVUd_0MrSduXTe1etBb1HNpAlGwQr006ljwMiM"",
      ""GSC最新!A:F""
    ),
    5,
    FALSE
  ),
  0
)
"),0.0)</f>
        <v>0</v>
      </c>
      <c r="J119" s="50" t="str">
        <f t="shared" ref="J119:K119" si="586">IFERROR(F119/H119,"-")</f>
        <v>-</v>
      </c>
      <c r="K119" s="50" t="str">
        <f t="shared" si="586"/>
        <v>-</v>
      </c>
      <c r="L119" s="6">
        <f>IFERROR(__xludf.DUMMYFUNCTION("IFERROR(
  VLOOKUP(
    A119,
    IMPORTRANGE(
      ""1ZHMy3vVUd_0MrSduXTe1etBb1HNpAlGwQr006ljwMiM"",
      ""GSC最新!A:R""
    ),
    7,
    FALSE
  ),
  0
)
"),0.0)</f>
        <v>0</v>
      </c>
      <c r="M119" s="6">
        <f>IFERROR(__xludf.DUMMYFUNCTION("IFERROR(
  VLOOKUP(
    A119,
    IMPORTRANGE(
      ""1ZHMy3vVUd_0MrSduXTe1etBb1HNpAlGwQr006ljwMiM"",
      ""GSC最新!A:R""
    ),
    10,
    FALSE
  ),
  0
)
"),0.0)</f>
        <v>0</v>
      </c>
      <c r="N119" s="6">
        <f>IFERROR(__xludf.DUMMYFUNCTION("IFERROR(
  VLOOKUP(
    A119,
    IMPORTRANGE(
      ""1ZHMy3vVUd_0MrSduXTe1etBb1HNpAlGwQr006ljwMiM"",
      ""GSC最新!A:R""
    ),
    13,
    FALSE
  ),
  0
)
"),0.0)</f>
        <v>0</v>
      </c>
      <c r="O119" s="6">
        <f>IFERROR(__xludf.DUMMYFUNCTION("IFERROR(
  VLOOKUP(
    A119,
    IMPORTRANGE(
      ""1ZHMy3vVUd_0MrSduXTe1etBb1HNpAlGwQr006ljwMiM"",
      ""GSC最新!A:R""
    ),
    16,
    FALSE
  ),
  0
)
"),0.0)</f>
        <v>0</v>
      </c>
      <c r="P119" s="51" t="str">
        <f t="shared" ref="P119:Q119" si="587">IFERROR(L119/N119,"-")</f>
        <v>-</v>
      </c>
      <c r="Q119" s="51" t="str">
        <f t="shared" si="587"/>
        <v>-</v>
      </c>
      <c r="R119" s="9">
        <f>IFERROR(__xludf.DUMMYFUNCTION("IFERROR(
  VLOOKUP(
    A119,
    IMPORTRANGE(
      ""1ZHMy3vVUd_0MrSduXTe1etBb1HNpAlGwQr006ljwMiM"",
      ""GSC最新!A:R""
    ),
    8,
    FALSE
  ),
  0
)
"),0.0)</f>
        <v>0</v>
      </c>
      <c r="S119" s="9">
        <f>IFERROR(__xludf.DUMMYFUNCTION("IFERROR(
  VLOOKUP(
    A119,
    IMPORTRANGE(
      ""1ZHMy3vVUd_0MrSduXTe1etBb1HNpAlGwQr006ljwMiM"",
      ""GSC最新!A:R""
    ),
    11,
    FALSE
  ),
  0
)
"),0.0)</f>
        <v>0</v>
      </c>
      <c r="T119" s="9">
        <f>IFERROR(__xludf.DUMMYFUNCTION("IFERROR(
  VLOOKUP(
    A119,
    IMPORTRANGE(
      ""1ZHMy3vVUd_0MrSduXTe1etBb1HNpAlGwQr006ljwMiM"",
      ""GSC最新!A:R""
    ),
    14,
    FALSE
  ),
  0
)
"),0.0)</f>
        <v>0</v>
      </c>
      <c r="U119" s="9">
        <f>IFERROR(__xludf.DUMMYFUNCTION("IFERROR(
  VLOOKUP(
    A119,
    IMPORTRANGE(
      ""1ZHMy3vVUd_0MrSduXTe1etBb1HNpAlGwQr006ljwMiM"",
      ""GSC最新!A:R""
    ),
    17,
    FALSE
  ),
  0
)
"),0.0)</f>
        <v>0</v>
      </c>
      <c r="V119" s="9">
        <f t="shared" ref="V119:W119" si="588">IFERROR(R119-T119,"-")</f>
        <v>0</v>
      </c>
      <c r="W119" s="9">
        <f t="shared" si="588"/>
        <v>0</v>
      </c>
      <c r="X119" s="65" t="str">
        <f>IFERROR(__xludf.DUMMYFUNCTION("IFERROR(
  VLOOKUP(
    A119,
    IMPORTRANGE(
      ""1ZHMy3vVUd_0MrSduXTe1etBb1HNpAlGwQr006ljwMiM"",
      ""GSC最新!A:R""
    ),
    9,
    FALSE
  ),
  0
)
"),"")</f>
        <v/>
      </c>
      <c r="Y119" s="65" t="str">
        <f>IFERROR(__xludf.DUMMYFUNCTION("IFERROR(
  VLOOKUP(
    A119,
    IMPORTRANGE(
      ""1ZHMy3vVUd_0MrSduXTe1etBb1HNpAlGwQr006ljwMiM"",
      ""GSC最新!A:R""
    ),
    12,
    FALSE
  ),
  0
)
"),"")</f>
        <v/>
      </c>
      <c r="Z119" s="65" t="str">
        <f>IFERROR(__xludf.DUMMYFUNCTION("IFERROR(
  VLOOKUP(
    A119,
    IMPORTRANGE(
      ""1ZHMy3vVUd_0MrSduXTe1etBb1HNpAlGwQr006ljwMiM"",
      ""GSC最新!A:R""
    ),
    15,
    FALSE
  ),
  0
)
"),"")</f>
        <v/>
      </c>
      <c r="AA119" s="65" t="str">
        <f>IFERROR(__xludf.DUMMYFUNCTION("IFERROR(
  VLOOKUP(
    A119,
    IMPORTRANGE(
      ""1ZHMy3vVUd_0MrSduXTe1etBb1HNpAlGwQr006ljwMiM"",
      ""GSC最新!A:R""
    ),
    18,
    FALSE
  ),
  0
)
"),"")</f>
        <v/>
      </c>
      <c r="AB119" s="65">
        <f t="shared" ref="AB119:AC119" si="589">X119-Z119</f>
        <v>0</v>
      </c>
      <c r="AC119" s="65">
        <f t="shared" si="589"/>
        <v>0</v>
      </c>
      <c r="AD119" s="53">
        <f>IFERROR(__xludf.DUMMYFUNCTION("IFERROR(
  VLOOKUP(
    A119,
    IMPORTRANGE(
      ""1ZHMy3vVUd_0MrSduXTe1etBb1HNpAlGwQr006ljwMiM"",
      ""GSC最新!A:F""
    ),
    6,
    FALSE
  ),
  0
)
"),46081.0)</f>
        <v>46081</v>
      </c>
      <c r="AE119" s="54">
        <f>IFERROR(__xludf.DUMMYFUNCTION("IFERROR(
  VLOOKUP(
    A119,
    IMPORTRANGE(
      ""1SCYQd7_cobOYqT0r_F0IqD4tE4rYn5y8Eup4PJTH8es"",
      ""Snapshot!A:M""
    ),
    5,
    FALSE
  ),
  ""-""
)
"),11.0)</f>
        <v>11</v>
      </c>
      <c r="AF119" s="54">
        <f>IFERROR(__xludf.DUMMYFUNCTION("IFERROR(
  VLOOKUP(
    A119,
    IMPORTRANGE(
      ""1SCYQd7_cobOYqT0r_F0IqD4tE4rYn5y8Eup4PJTH8es"",
      ""Snapshot!A:M""
    ),
    6,
    FALSE
  ),
  0
)
"),7.0)</f>
        <v>7</v>
      </c>
      <c r="AG119" s="54">
        <f>IFERROR(__xludf.DUMMYFUNCTION("IFERROR(
  VLOOKUP(
    A119,
    IMPORTRANGE(
      ""1SCYQd7_cobOYqT0r_F0IqD4tE4rYn5y8Eup4PJTH8es"",
      ""Snapshot!A:M""
    ),
    7,
    FALSE
  ),
  0
)
"),4245.0)</f>
        <v>4245</v>
      </c>
      <c r="AH119" s="54">
        <f>IFERROR(__xludf.DUMMYFUNCTION("IFERROR(
  VLOOKUP(
    A119,
    IMPORTRANGE(
      ""1SCYQd7_cobOYqT0r_F0IqD4tE4rYn5y8Eup4PJTH8es"",
      ""Snapshot!A:M""
    ),
    8,
    FALSE
  ),
  0
)
"),8.0)</f>
        <v>8</v>
      </c>
      <c r="AI119" s="54">
        <f>IFERROR(__xludf.DUMMYFUNCTION("IFERROR(
  VLOOKUP(
    A119,
    IMPORTRANGE(
      ""1SCYQd7_cobOYqT0r_F0IqD4tE4rYn5y8Eup4PJTH8es"",
      ""Snapshot!A:M""
    ),
    9,
    FALSE
  ),
  0
)
"),7.0)</f>
        <v>7</v>
      </c>
      <c r="AJ119" s="54">
        <f>IFERROR(__xludf.DUMMYFUNCTION("IFERROR(
  VLOOKUP(
    A119,
    IMPORTRANGE(
      ""1SCYQd7_cobOYqT0r_F0IqD4tE4rYn5y8Eup4PJTH8es"",
      ""Snapshot!A:M""
    ),
    13,
    FALSE
  ),
  0
)
"),2.0)</f>
        <v>2</v>
      </c>
      <c r="AK119" s="49">
        <f t="shared" ref="AK119:AL119" si="590">LEN(C119)</f>
        <v>27</v>
      </c>
      <c r="AL119" s="49">
        <f t="shared" si="590"/>
        <v>54</v>
      </c>
    </row>
    <row r="120">
      <c r="A120" s="3" t="s">
        <v>341</v>
      </c>
      <c r="B120" s="1" t="str">
        <f>IFERROR(__xludf.DUMMYFUNCTION("IFERROR(
  VLOOKUP(
    A120,
    IMPORTRANGE(
      ""1ZygntHC1J6IxzKbTidmOyf5nUyW4GCLurHCjexrLm_o"",
      ""HTMLキャッシュ!A:F""
    ),
    2,
    FALSE
  ),
  0
)
"),"SP")</f>
        <v>SP</v>
      </c>
      <c r="C120" s="1" t="str">
        <f>IFERROR(__xludf.DUMMYFUNCTION("IFERROR(
  VLOOKUP(
    A120,
    IMPORTRANGE(
      ""1ZygntHC1J6IxzKbTidmOyf5nUyW4GCLurHCjexrLm_o"",
      ""HTMLキャッシュ!A:F""
    ),
    5,
    FALSE
  ),
  0
)
"),"国語受験対策の個別指導講座｜読解記述基礎徹底オンライン塾")</f>
        <v>国語受験対策の個別指導講座｜読解記述基礎徹底オンライン塾</v>
      </c>
      <c r="D120" s="1" t="str">
        <f>IFERROR(__xludf.DUMMYFUNCTION("IFERROR(
  VLOOKUP(
    A120,
    IMPORTRANGE(
      ""1ZygntHC1J6IxzKbTidmOyf5nUyW4GCLurHCjexrLm_o        "",
      ""HTMLキャッシュ!A:F""
    ),
    6,
    FALSE
  ),
  0
)
"),"記述が伸び悩む受験生へ。現代文・古典・小論文・文法を個別指導で基礎から得点力に結び付ける。オンライン体験受付中")</f>
        <v>記述が伸び悩む受験生へ。現代文・古典・小論文・文法を個別指導で基礎から得点力に結び付ける。オンライン体験受付中</v>
      </c>
      <c r="E120" s="32">
        <f>IFERROR(__xludf.DUMMYFUNCTION("IFERROR(
  VLOOKUP(
    A120,
    IMPORTRANGE(
      ""1ZygntHC1J6IxzKbTidmOyf5nUyW4GCLurHCjexrLm_o        "",
      ""HTMLキャッシュ!A:F""
    ),
    3,
    FALSE
  ),
  0
)
"),46076.865902777776)</f>
        <v>46076.8659</v>
      </c>
      <c r="F120" s="49">
        <f>IFERROR(__xludf.DUMMYFUNCTION("IFERROR(
  VLOOKUP(
    A120,
    IMPORTRANGE(
      ""1ZHMy3vVUd_0MrSduXTe1etBb1HNpAlGwQr006ljwMiM"",
      ""GSC最新!A:F""
    ),
    2,
    FALSE
  ),
  0
)
"),0.0)</f>
        <v>0</v>
      </c>
      <c r="G120" s="49">
        <f>IFERROR(__xludf.DUMMYFUNCTION("IFERROR(
  VLOOKUP(
    A120,
    IMPORTRANGE(
      ""1ZHMy3vVUd_0MrSduXTe1etBb1HNpAlGwQr006ljwMiM"",
      ""GSC最新!A:F""
    ),
    3,
    FALSE
  ),
  0
)
"),0.0)</f>
        <v>0</v>
      </c>
      <c r="H120" s="49">
        <f>IFERROR(__xludf.DUMMYFUNCTION("IFERROR(
  VLOOKUP(
    A120,
    IMPORTRANGE(
      ""1ZHMy3vVUd_0MrSduXTe1etBb1HNpAlGwQr006ljwMiM"",
      ""GSC最新!A:F""
    ),
    4,
    FALSE
  ),
  0
)
"),0.0)</f>
        <v>0</v>
      </c>
      <c r="I120" s="49">
        <f>IFERROR(__xludf.DUMMYFUNCTION("IFERROR(
  VLOOKUP(
    A120,
    IMPORTRANGE(
      ""1ZHMy3vVUd_0MrSduXTe1etBb1HNpAlGwQr006ljwMiM"",
      ""GSC最新!A:F""
    ),
    5,
    FALSE
  ),
  0
)
"),2.0)</f>
        <v>2</v>
      </c>
      <c r="J120" s="50" t="str">
        <f t="shared" ref="J120:K120" si="591">IFERROR(F120/H120,"-")</f>
        <v>-</v>
      </c>
      <c r="K120" s="50">
        <f t="shared" si="591"/>
        <v>0</v>
      </c>
      <c r="L120" s="6">
        <f>IFERROR(__xludf.DUMMYFUNCTION("IFERROR(
  VLOOKUP(
    A120,
    IMPORTRANGE(
      ""1ZHMy3vVUd_0MrSduXTe1etBb1HNpAlGwQr006ljwMiM"",
      ""GSC最新!A:R""
    ),
    7,
    FALSE
  ),
  0
)
"),0.0)</f>
        <v>0</v>
      </c>
      <c r="M120" s="6">
        <f>IFERROR(__xludf.DUMMYFUNCTION("IFERROR(
  VLOOKUP(
    A120,
    IMPORTRANGE(
      ""1ZHMy3vVUd_0MrSduXTe1etBb1HNpAlGwQr006ljwMiM"",
      ""GSC最新!A:R""
    ),
    10,
    FALSE
  ),
  0
)
"),0.0)</f>
        <v>0</v>
      </c>
      <c r="N120" s="6">
        <f>IFERROR(__xludf.DUMMYFUNCTION("IFERROR(
  VLOOKUP(
    A120,
    IMPORTRANGE(
      ""1ZHMy3vVUd_0MrSduXTe1etBb1HNpAlGwQr006ljwMiM"",
      ""GSC最新!A:R""
    ),
    13,
    FALSE
  ),
  0
)
"),2.0)</f>
        <v>2</v>
      </c>
      <c r="O120" s="6">
        <f>IFERROR(__xludf.DUMMYFUNCTION("IFERROR(
  VLOOKUP(
    A120,
    IMPORTRANGE(
      ""1ZHMy3vVUd_0MrSduXTe1etBb1HNpAlGwQr006ljwMiM"",
      ""GSC最新!A:R""
    ),
    16,
    FALSE
  ),
  0
)
"),8.0)</f>
        <v>8</v>
      </c>
      <c r="P120" s="51">
        <f t="shared" ref="P120:Q120" si="592">IFERROR(L120/N120,"-")</f>
        <v>0</v>
      </c>
      <c r="Q120" s="51">
        <f t="shared" si="592"/>
        <v>0</v>
      </c>
      <c r="R120" s="9">
        <f>IFERROR(__xludf.DUMMYFUNCTION("IFERROR(
  VLOOKUP(
    A120,
    IMPORTRANGE(
      ""1ZHMy3vVUd_0MrSduXTe1etBb1HNpAlGwQr006ljwMiM"",
      ""GSC最新!A:R""
    ),
    8,
    FALSE
  ),
  0
)
"),0.0)</f>
        <v>0</v>
      </c>
      <c r="S120" s="9">
        <f>IFERROR(__xludf.DUMMYFUNCTION("IFERROR(
  VLOOKUP(
    A120,
    IMPORTRANGE(
      ""1ZHMy3vVUd_0MrSduXTe1etBb1HNpAlGwQr006ljwMiM"",
      ""GSC最新!A:R""
    ),
    11,
    FALSE
  ),
  0
)
"),0.0)</f>
        <v>0</v>
      </c>
      <c r="T120" s="9">
        <f>IFERROR(__xludf.DUMMYFUNCTION("IFERROR(
  VLOOKUP(
    A120,
    IMPORTRANGE(
      ""1ZHMy3vVUd_0MrSduXTe1etBb1HNpAlGwQr006ljwMiM"",
      ""GSC最新!A:R""
    ),
    14,
    FALSE
  ),
  0
)
"),0.0)</f>
        <v>0</v>
      </c>
      <c r="U120" s="9">
        <f>IFERROR(__xludf.DUMMYFUNCTION("IFERROR(
  VLOOKUP(
    A120,
    IMPORTRANGE(
      ""1ZHMy3vVUd_0MrSduXTe1etBb1HNpAlGwQr006ljwMiM"",
      ""GSC最新!A:R""
    ),
    17,
    FALSE
  ),
  0
)
"),0.25)</f>
        <v>0.25</v>
      </c>
      <c r="V120" s="9">
        <f t="shared" ref="V120:W120" si="593">IFERROR(R120-T120,"-")</f>
        <v>0</v>
      </c>
      <c r="W120" s="9">
        <f t="shared" si="593"/>
        <v>-0.25</v>
      </c>
      <c r="X120" s="65" t="str">
        <f>IFERROR(__xludf.DUMMYFUNCTION("IFERROR(
  VLOOKUP(
    A120,
    IMPORTRANGE(
      ""1ZHMy3vVUd_0MrSduXTe1etBb1HNpAlGwQr006ljwMiM"",
      ""GSC最新!A:R""
    ),
    9,
    FALSE
  ),
  0
)
"),"")</f>
        <v/>
      </c>
      <c r="Y120" s="65" t="str">
        <f>IFERROR(__xludf.DUMMYFUNCTION("IFERROR(
  VLOOKUP(
    A120,
    IMPORTRANGE(
      ""1ZHMy3vVUd_0MrSduXTe1etBb1HNpAlGwQr006ljwMiM"",
      ""GSC最新!A:R""
    ),
    12,
    FALSE
  ),
  0
)
"),"")</f>
        <v/>
      </c>
      <c r="Z120" s="65">
        <f>IFERROR(__xludf.DUMMYFUNCTION("IFERROR(
  VLOOKUP(
    A120,
    IMPORTRANGE(
      ""1ZHMy3vVUd_0MrSduXTe1etBb1HNpAlGwQr006ljwMiM"",
      ""GSC最新!A:R""
    ),
    15,
    FALSE
  ),
  0
)
"),30.5)</f>
        <v>30.5</v>
      </c>
      <c r="AA120" s="65">
        <f>IFERROR(__xludf.DUMMYFUNCTION("IFERROR(
  VLOOKUP(
    A120,
    IMPORTRANGE(
      ""1ZHMy3vVUd_0MrSduXTe1etBb1HNpAlGwQr006ljwMiM"",
      ""GSC最新!A:R""
    ),
    18,
    FALSE
  ),
  0
)
"),19.625)</f>
        <v>19.625</v>
      </c>
      <c r="AB120" s="65">
        <f t="shared" ref="AB120:AC120" si="594">X120-Z120</f>
        <v>-30.5</v>
      </c>
      <c r="AC120" s="65">
        <f t="shared" si="594"/>
        <v>-19.625</v>
      </c>
      <c r="AD120" s="53">
        <f>IFERROR(__xludf.DUMMYFUNCTION("IFERROR(
  VLOOKUP(
    A120,
    IMPORTRANGE(
      ""1ZHMy3vVUd_0MrSduXTe1etBb1HNpAlGwQr006ljwMiM"",
      ""GSC最新!A:F""
    ),
    6,
    FALSE
  ),
  0
)
"),46081.0)</f>
        <v>46081</v>
      </c>
      <c r="AE120" s="54">
        <f>IFERROR(__xludf.DUMMYFUNCTION("IFERROR(
  VLOOKUP(
    A120,
    IMPORTRANGE(
      ""1SCYQd7_cobOYqT0r_F0IqD4tE4rYn5y8Eup4PJTH8es"",
      ""Snapshot!A:M""
    ),
    5,
    FALSE
  ),
  ""-""
)
"),16.0)</f>
        <v>16</v>
      </c>
      <c r="AF120" s="54">
        <f>IFERROR(__xludf.DUMMYFUNCTION("IFERROR(
  VLOOKUP(
    A120,
    IMPORTRANGE(
      ""1SCYQd7_cobOYqT0r_F0IqD4tE4rYn5y8Eup4PJTH8es"",
      ""Snapshot!A:M""
    ),
    6,
    FALSE
  ),
  0
)
"),6.0)</f>
        <v>6</v>
      </c>
      <c r="AG120" s="54">
        <f>IFERROR(__xludf.DUMMYFUNCTION("IFERROR(
  VLOOKUP(
    A120,
    IMPORTRANGE(
      ""1SCYQd7_cobOYqT0r_F0IqD4tE4rYn5y8Eup4PJTH8es"",
      ""Snapshot!A:M""
    ),
    7,
    FALSE
  ),
  0
)
"),4469.0)</f>
        <v>4469</v>
      </c>
      <c r="AH120" s="54">
        <f>IFERROR(__xludf.DUMMYFUNCTION("IFERROR(
  VLOOKUP(
    A120,
    IMPORTRANGE(
      ""1SCYQd7_cobOYqT0r_F0IqD4tE4rYn5y8Eup4PJTH8es"",
      ""Snapshot!A:M""
    ),
    8,
    FALSE
  ),
  0
)
"),0.0)</f>
        <v>0</v>
      </c>
      <c r="AI120" s="54">
        <f>IFERROR(__xludf.DUMMYFUNCTION("IFERROR(
  VLOOKUP(
    A120,
    IMPORTRANGE(
      ""1SCYQd7_cobOYqT0r_F0IqD4tE4rYn5y8Eup4PJTH8es"",
      ""Snapshot!A:M""
    ),
    9,
    FALSE
  ),
  0
)
"),0.0)</f>
        <v>0</v>
      </c>
      <c r="AJ120" s="54">
        <f>IFERROR(__xludf.DUMMYFUNCTION("IFERROR(
  VLOOKUP(
    A120,
    IMPORTRANGE(
      ""1SCYQd7_cobOYqT0r_F0IqD4tE4rYn5y8Eup4PJTH8es"",
      ""Snapshot!A:M""
    ),
    13,
    FALSE
  ),
  0
)
"),2.0)</f>
        <v>2</v>
      </c>
      <c r="AK120" s="49">
        <f t="shared" ref="AK120:AL120" si="595">LEN(C120)</f>
        <v>28</v>
      </c>
      <c r="AL120" s="49">
        <f t="shared" si="595"/>
        <v>55</v>
      </c>
    </row>
    <row r="121">
      <c r="A121" s="1" t="s">
        <v>201</v>
      </c>
      <c r="B121" s="1" t="str">
        <f>IFERROR(__xludf.DUMMYFUNCTION("IFERROR(
  VLOOKUP(
    A121,
    IMPORTRANGE(
      ""1ZygntHC1J6IxzKbTidmOyf5nUyW4GCLurHCjexrLm_o"",
      ""HTMLキャッシュ!A:F""
    ),
    2,
    FALSE
  ),
  0
)
"),"-")</f>
        <v>-</v>
      </c>
      <c r="C121" s="1" t="str">
        <f>IFERROR(__xludf.DUMMYFUNCTION("IFERROR(
  VLOOKUP(
    A121,
    IMPORTRANGE(
      ""1ZygntHC1J6IxzKbTidmOyf5nUyW4GCLurHCjexrLm_o"",
      ""HTMLキャッシュ!A:F""
    ),
    5,
    FALSE
  ),
  0
)
"),"コラム - 中高一貫校専門塾エスコット(Escot)～定期試験対策から大学受験指導まで～")</f>
        <v>コラム - 中高一貫校専門塾エスコット(Escot)～定期試験対策から大学受験指導まで～</v>
      </c>
      <c r="D121" s="1" t="str">
        <f>IFERROR(__xludf.DUMMYFUNCTION("IFERROR(
  VLOOKUP(
    A121,
    IMPORTRANGE(
      ""1ZygntHC1J6IxzKbTidmOyf5nUyW4GCLurHCjexrLm_o        "",
      ""HTMLキャッシュ!A:F""
    ),
    6,
    FALSE
  ),
  0
)
"),"[1ページ目] コラム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[1ページ目] コラム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121" s="32">
        <f>IFERROR(__xludf.DUMMYFUNCTION("IFERROR(
  VLOOKUP(
    A121,
    IMPORTRANGE(
      ""1ZygntHC1J6IxzKbTidmOyf5nUyW4GCLurHCjexrLm_o        "",
      ""HTMLキャッシュ!A:F""
    ),
    3,
    FALSE
  ),
  0
)
"),25569.375)</f>
        <v>25569.375</v>
      </c>
      <c r="F121" s="49">
        <f>IFERROR(__xludf.DUMMYFUNCTION("IFERROR(
  VLOOKUP(
    A121,
    IMPORTRANGE(
      ""1ZHMy3vVUd_0MrSduXTe1etBb1HNpAlGwQr006ljwMiM"",
      ""GSC最新!A:F""
    ),
    2,
    FALSE
  ),
  0
)
"),0.0)</f>
        <v>0</v>
      </c>
      <c r="G121" s="49">
        <f>IFERROR(__xludf.DUMMYFUNCTION("IFERROR(
  VLOOKUP(
    A121,
    IMPORTRANGE(
      ""1ZHMy3vVUd_0MrSduXTe1etBb1HNpAlGwQr006ljwMiM"",
      ""GSC最新!A:F""
    ),
    3,
    FALSE
  ),
  0
)
"),0.0)</f>
        <v>0</v>
      </c>
      <c r="H121" s="49">
        <f>IFERROR(__xludf.DUMMYFUNCTION("IFERROR(
  VLOOKUP(
    A121,
    IMPORTRANGE(
      ""1ZHMy3vVUd_0MrSduXTe1etBb1HNpAlGwQr006ljwMiM"",
      ""GSC最新!A:F""
    ),
    4,
    FALSE
  ),
  0
)
"),0.0)</f>
        <v>0</v>
      </c>
      <c r="I121" s="49">
        <f>IFERROR(__xludf.DUMMYFUNCTION("IFERROR(
  VLOOKUP(
    A121,
    IMPORTRANGE(
      ""1ZHMy3vVUd_0MrSduXTe1etBb1HNpAlGwQr006ljwMiM"",
      ""GSC最新!A:F""
    ),
    5,
    FALSE
  ),
  0
)
"),0.0)</f>
        <v>0</v>
      </c>
      <c r="J121" s="50" t="str">
        <f t="shared" ref="J121:K121" si="596">IFERROR(F121/H121,"-")</f>
        <v>-</v>
      </c>
      <c r="K121" s="50" t="str">
        <f t="shared" si="596"/>
        <v>-</v>
      </c>
      <c r="L121" s="6">
        <f>IFERROR(__xludf.DUMMYFUNCTION("IFERROR(
  VLOOKUP(
    A121,
    IMPORTRANGE(
      ""1ZHMy3vVUd_0MrSduXTe1etBb1HNpAlGwQr006ljwMiM"",
      ""GSC最新!A:R""
    ),
    7,
    FALSE
  ),
  0
)
"),0.0)</f>
        <v>0</v>
      </c>
      <c r="M121" s="6">
        <f>IFERROR(__xludf.DUMMYFUNCTION("IFERROR(
  VLOOKUP(
    A121,
    IMPORTRANGE(
      ""1ZHMy3vVUd_0MrSduXTe1etBb1HNpAlGwQr006ljwMiM"",
      ""GSC最新!A:R""
    ),
    10,
    FALSE
  ),
  0
)
"),0.0)</f>
        <v>0</v>
      </c>
      <c r="N121" s="6">
        <f>IFERROR(__xludf.DUMMYFUNCTION("IFERROR(
  VLOOKUP(
    A121,
    IMPORTRANGE(
      ""1ZHMy3vVUd_0MrSduXTe1etBb1HNpAlGwQr006ljwMiM"",
      ""GSC最新!A:R""
    ),
    13,
    FALSE
  ),
  0
)
"),0.0)</f>
        <v>0</v>
      </c>
      <c r="O121" s="6">
        <f>IFERROR(__xludf.DUMMYFUNCTION("IFERROR(
  VLOOKUP(
    A121,
    IMPORTRANGE(
      ""1ZHMy3vVUd_0MrSduXTe1etBb1HNpAlGwQr006ljwMiM"",
      ""GSC最新!A:R""
    ),
    16,
    FALSE
  ),
  0
)
"),0.0)</f>
        <v>0</v>
      </c>
      <c r="P121" s="51" t="str">
        <f t="shared" ref="P121:Q121" si="597">IFERROR(L121/N121,"-")</f>
        <v>-</v>
      </c>
      <c r="Q121" s="51" t="str">
        <f t="shared" si="597"/>
        <v>-</v>
      </c>
      <c r="R121" s="9">
        <f>IFERROR(__xludf.DUMMYFUNCTION("IFERROR(
  VLOOKUP(
    A121,
    IMPORTRANGE(
      ""1ZHMy3vVUd_0MrSduXTe1etBb1HNpAlGwQr006ljwMiM"",
      ""GSC最新!A:R""
    ),
    8,
    FALSE
  ),
  0
)
"),0.0)</f>
        <v>0</v>
      </c>
      <c r="S121" s="9">
        <f>IFERROR(__xludf.DUMMYFUNCTION("IFERROR(
  VLOOKUP(
    A121,
    IMPORTRANGE(
      ""1ZHMy3vVUd_0MrSduXTe1etBb1HNpAlGwQr006ljwMiM"",
      ""GSC最新!A:R""
    ),
    11,
    FALSE
  ),
  0
)
"),0.0)</f>
        <v>0</v>
      </c>
      <c r="T121" s="9">
        <f>IFERROR(__xludf.DUMMYFUNCTION("IFERROR(
  VLOOKUP(
    A121,
    IMPORTRANGE(
      ""1ZHMy3vVUd_0MrSduXTe1etBb1HNpAlGwQr006ljwMiM"",
      ""GSC最新!A:R""
    ),
    14,
    FALSE
  ),
  0
)
"),0.0)</f>
        <v>0</v>
      </c>
      <c r="U121" s="9">
        <f>IFERROR(__xludf.DUMMYFUNCTION("IFERROR(
  VLOOKUP(
    A121,
    IMPORTRANGE(
      ""1ZHMy3vVUd_0MrSduXTe1etBb1HNpAlGwQr006ljwMiM"",
      ""GSC最新!A:R""
    ),
    17,
    FALSE
  ),
  0
)
"),0.0)</f>
        <v>0</v>
      </c>
      <c r="V121" s="9">
        <f t="shared" ref="V121:W121" si="598">IFERROR(R121-T121,"-")</f>
        <v>0</v>
      </c>
      <c r="W121" s="9">
        <f t="shared" si="598"/>
        <v>0</v>
      </c>
      <c r="X121" s="65" t="str">
        <f>IFERROR(__xludf.DUMMYFUNCTION("IFERROR(
  VLOOKUP(
    A121,
    IMPORTRANGE(
      ""1ZHMy3vVUd_0MrSduXTe1etBb1HNpAlGwQr006ljwMiM"",
      ""GSC最新!A:R""
    ),
    9,
    FALSE
  ),
  0
)
"),"")</f>
        <v/>
      </c>
      <c r="Y121" s="65" t="str">
        <f>IFERROR(__xludf.DUMMYFUNCTION("IFERROR(
  VLOOKUP(
    A121,
    IMPORTRANGE(
      ""1ZHMy3vVUd_0MrSduXTe1etBb1HNpAlGwQr006ljwMiM"",
      ""GSC最新!A:R""
    ),
    12,
    FALSE
  ),
  0
)
"),"")</f>
        <v/>
      </c>
      <c r="Z121" s="65" t="str">
        <f>IFERROR(__xludf.DUMMYFUNCTION("IFERROR(
  VLOOKUP(
    A121,
    IMPORTRANGE(
      ""1ZHMy3vVUd_0MrSduXTe1etBb1HNpAlGwQr006ljwMiM"",
      ""GSC最新!A:R""
    ),
    15,
    FALSE
  ),
  0
)
"),"")</f>
        <v/>
      </c>
      <c r="AA121" s="65" t="str">
        <f>IFERROR(__xludf.DUMMYFUNCTION("IFERROR(
  VLOOKUP(
    A121,
    IMPORTRANGE(
      ""1ZHMy3vVUd_0MrSduXTe1etBb1HNpAlGwQr006ljwMiM"",
      ""GSC最新!A:R""
    ),
    18,
    FALSE
  ),
  0
)
"),"")</f>
        <v/>
      </c>
      <c r="AB121" s="65">
        <f t="shared" ref="AB121:AC121" si="599">X121-Z121</f>
        <v>0</v>
      </c>
      <c r="AC121" s="65">
        <f t="shared" si="599"/>
        <v>0</v>
      </c>
      <c r="AD121" s="53">
        <f>IFERROR(__xludf.DUMMYFUNCTION("IFERROR(
  VLOOKUP(
    A121,
    IMPORTRANGE(
      ""1ZHMy3vVUd_0MrSduXTe1etBb1HNpAlGwQr006ljwMiM"",
      ""GSC最新!A:F""
    ),
    6,
    FALSE
  ),
  0
)
"),46081.0)</f>
        <v>46081</v>
      </c>
      <c r="AE121" s="54">
        <f>IFERROR(__xludf.DUMMYFUNCTION("IFERROR(
  VLOOKUP(
    A121,
    IMPORTRANGE(
      ""1SCYQd7_cobOYqT0r_F0IqD4tE4rYn5y8Eup4PJTH8es"",
      ""Snapshot!A:M""
    ),
    5,
    FALSE
  ),
  ""-""
)
"),0.0)</f>
        <v>0</v>
      </c>
      <c r="AF121" s="54">
        <f>IFERROR(__xludf.DUMMYFUNCTION("IFERROR(
  VLOOKUP(
    A121,
    IMPORTRANGE(
      ""1SCYQd7_cobOYqT0r_F0IqD4tE4rYn5y8Eup4PJTH8es"",
      ""Snapshot!A:M""
    ),
    6,
    FALSE
  ),
  0
)
"),0.0)</f>
        <v>0</v>
      </c>
      <c r="AG121" s="54">
        <f>IFERROR(__xludf.DUMMYFUNCTION("IFERROR(
  VLOOKUP(
    A121,
    IMPORTRANGE(
      ""1SCYQd7_cobOYqT0r_F0IqD4tE4rYn5y8Eup4PJTH8es"",
      ""Snapshot!A:M""
    ),
    7,
    FALSE
  ),
  0
)
"),0.0)</f>
        <v>0</v>
      </c>
      <c r="AH121" s="54">
        <f>IFERROR(__xludf.DUMMYFUNCTION("IFERROR(
  VLOOKUP(
    A121,
    IMPORTRANGE(
      ""1SCYQd7_cobOYqT0r_F0IqD4tE4rYn5y8Eup4PJTH8es"",
      ""Snapshot!A:M""
    ),
    8,
    FALSE
  ),
  0
)
"),0.0)</f>
        <v>0</v>
      </c>
      <c r="AI121" s="54">
        <f>IFERROR(__xludf.DUMMYFUNCTION("IFERROR(
  VLOOKUP(
    A121,
    IMPORTRANGE(
      ""1SCYQd7_cobOYqT0r_F0IqD4tE4rYn5y8Eup4PJTH8es"",
      ""Snapshot!A:M""
    ),
    9,
    FALSE
  ),
  0
)
"),0.0)</f>
        <v>0</v>
      </c>
      <c r="AJ121" s="54">
        <f>IFERROR(__xludf.DUMMYFUNCTION("IFERROR(
  VLOOKUP(
    A121,
    IMPORTRANGE(
      ""1SCYQd7_cobOYqT0r_F0IqD4tE4rYn5y8Eup4PJTH8es"",
      ""Snapshot!A:M""
    ),
    13,
    FALSE
  ),
  0
)
"),1.0)</f>
        <v>1</v>
      </c>
      <c r="AK121" s="49">
        <f t="shared" ref="AK121:AL121" si="600">LEN(C121)</f>
        <v>44</v>
      </c>
      <c r="AL121" s="49">
        <f t="shared" si="600"/>
        <v>125</v>
      </c>
    </row>
    <row r="122">
      <c r="A122" s="3" t="s">
        <v>801</v>
      </c>
      <c r="B122" s="1" t="str">
        <f>IFERROR(__xludf.DUMMYFUNCTION("IFERROR(
  VLOOKUP(
    A122,
    IMPORTRANGE(
      ""1ZygntHC1J6IxzKbTidmOyf5nUyW4GCLurHCjexrLm_o"",
      ""HTMLキャッシュ!A:F""
    ),
    2,
    FALSE
  ),
  0
)
"),"NW")</f>
        <v>NW</v>
      </c>
      <c r="C122" s="1" t="str">
        <f>IFERROR(__xludf.DUMMYFUNCTION("IFERROR(
  VLOOKUP(
    A122,
    IMPORTRANGE(
      ""1ZygntHC1J6IxzKbTidmOyf5nUyW4GCLurHCjexrLm_o"",
      ""HTMLキャッシュ!A:F""
    ),
    5,
    FALSE
  ),
  0
)
"),"お知らせ - 中高一貫校専門塾エスコット(Escot)～定期試験対策から大学受験指導まで～")</f>
        <v>お知らせ - 中高一貫校専門塾エスコット(Escot)～定期試験対策から大学受験指導まで～</v>
      </c>
      <c r="D122" s="1" t="str">
        <f>IFERROR(__xludf.DUMMYFUNCTION("IFERROR(
  VLOOKUP(
    A122,
    IMPORTRANGE(
      ""1ZygntHC1J6IxzKbTidmOyf5nUyW4GCLurHCjexrLm_o        "",
      ""HTMLキャッシュ!A:F""
    ),
    6,
    FALSE
  ),
  0
)
"),"[1ページ目] お知らせ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[1ページ目] お知らせ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122" s="32">
        <f>IFERROR(__xludf.DUMMYFUNCTION("IFERROR(
  VLOOKUP(
    A122,
    IMPORTRANGE(
      ""1ZygntHC1J6IxzKbTidmOyf5nUyW4GCLurHCjexrLm_o        "",
      ""HTMLキャッシュ!A:F""
    ),
    3,
    FALSE
  ),
  0
)
"),46027.57104166667)</f>
        <v>46027.57104</v>
      </c>
      <c r="F122" s="49">
        <f>IFERROR(__xludf.DUMMYFUNCTION("IFERROR(
  VLOOKUP(
    A122,
    IMPORTRANGE(
      ""1ZHMy3vVUd_0MrSduXTe1etBb1HNpAlGwQr006ljwMiM"",
      ""GSC最新!A:F""
    ),
    2,
    FALSE
  ),
  0
)
"),0.0)</f>
        <v>0</v>
      </c>
      <c r="G122" s="49">
        <f>IFERROR(__xludf.DUMMYFUNCTION("IFERROR(
  VLOOKUP(
    A122,
    IMPORTRANGE(
      ""1ZHMy3vVUd_0MrSduXTe1etBb1HNpAlGwQr006ljwMiM"",
      ""GSC最新!A:F""
    ),
    3,
    FALSE
  ),
  0
)
"),0.0)</f>
        <v>0</v>
      </c>
      <c r="H122" s="49">
        <f>IFERROR(__xludf.DUMMYFUNCTION("IFERROR(
  VLOOKUP(
    A122,
    IMPORTRANGE(
      ""1ZHMy3vVUd_0MrSduXTe1etBb1HNpAlGwQr006ljwMiM"",
      ""GSC最新!A:F""
    ),
    4,
    FALSE
  ),
  0
)
"),0.0)</f>
        <v>0</v>
      </c>
      <c r="I122" s="49">
        <f>IFERROR(__xludf.DUMMYFUNCTION("IFERROR(
  VLOOKUP(
    A122,
    IMPORTRANGE(
      ""1ZHMy3vVUd_0MrSduXTe1etBb1HNpAlGwQr006ljwMiM"",
      ""GSC最新!A:F""
    ),
    5,
    FALSE
  ),
  0
)
"),0.0)</f>
        <v>0</v>
      </c>
      <c r="J122" s="50" t="str">
        <f t="shared" ref="J122:K122" si="601">IFERROR(F122/H122,"-")</f>
        <v>-</v>
      </c>
      <c r="K122" s="50" t="str">
        <f t="shared" si="601"/>
        <v>-</v>
      </c>
      <c r="L122" s="6">
        <f>IFERROR(__xludf.DUMMYFUNCTION("IFERROR(
  VLOOKUP(
    A122,
    IMPORTRANGE(
      ""1ZHMy3vVUd_0MrSduXTe1etBb1HNpAlGwQr006ljwMiM"",
      ""GSC最新!A:R""
    ),
    7,
    FALSE
  ),
  0
)
"),0.0)</f>
        <v>0</v>
      </c>
      <c r="M122" s="6">
        <f>IFERROR(__xludf.DUMMYFUNCTION("IFERROR(
  VLOOKUP(
    A122,
    IMPORTRANGE(
      ""1ZHMy3vVUd_0MrSduXTe1etBb1HNpAlGwQr006ljwMiM"",
      ""GSC最新!A:R""
    ),
    10,
    FALSE
  ),
  0
)
"),0.0)</f>
        <v>0</v>
      </c>
      <c r="N122" s="6">
        <f>IFERROR(__xludf.DUMMYFUNCTION("IFERROR(
  VLOOKUP(
    A122,
    IMPORTRANGE(
      ""1ZHMy3vVUd_0MrSduXTe1etBb1HNpAlGwQr006ljwMiM"",
      ""GSC最新!A:R""
    ),
    13,
    FALSE
  ),
  0
)
"),0.0)</f>
        <v>0</v>
      </c>
      <c r="O122" s="6">
        <f>IFERROR(__xludf.DUMMYFUNCTION("IFERROR(
  VLOOKUP(
    A122,
    IMPORTRANGE(
      ""1ZHMy3vVUd_0MrSduXTe1etBb1HNpAlGwQr006ljwMiM"",
      ""GSC最新!A:R""
    ),
    16,
    FALSE
  ),
  0
)
"),0.0)</f>
        <v>0</v>
      </c>
      <c r="P122" s="51" t="str">
        <f t="shared" ref="P122:Q122" si="602">IFERROR(L122/N122,"-")</f>
        <v>-</v>
      </c>
      <c r="Q122" s="51" t="str">
        <f t="shared" si="602"/>
        <v>-</v>
      </c>
      <c r="R122" s="9">
        <f>IFERROR(__xludf.DUMMYFUNCTION("IFERROR(
  VLOOKUP(
    A122,
    IMPORTRANGE(
      ""1ZHMy3vVUd_0MrSduXTe1etBb1HNpAlGwQr006ljwMiM"",
      ""GSC最新!A:R""
    ),
    8,
    FALSE
  ),
  0
)
"),0.0)</f>
        <v>0</v>
      </c>
      <c r="S122" s="9">
        <f>IFERROR(__xludf.DUMMYFUNCTION("IFERROR(
  VLOOKUP(
    A122,
    IMPORTRANGE(
      ""1ZHMy3vVUd_0MrSduXTe1etBb1HNpAlGwQr006ljwMiM"",
      ""GSC最新!A:R""
    ),
    11,
    FALSE
  ),
  0
)
"),0.0)</f>
        <v>0</v>
      </c>
      <c r="T122" s="9">
        <f>IFERROR(__xludf.DUMMYFUNCTION("IFERROR(
  VLOOKUP(
    A122,
    IMPORTRANGE(
      ""1ZHMy3vVUd_0MrSduXTe1etBb1HNpAlGwQr006ljwMiM"",
      ""GSC最新!A:R""
    ),
    14,
    FALSE
  ),
  0
)
"),0.0)</f>
        <v>0</v>
      </c>
      <c r="U122" s="9">
        <f>IFERROR(__xludf.DUMMYFUNCTION("IFERROR(
  VLOOKUP(
    A122,
    IMPORTRANGE(
      ""1ZHMy3vVUd_0MrSduXTe1etBb1HNpAlGwQr006ljwMiM"",
      ""GSC最新!A:R""
    ),
    17,
    FALSE
  ),
  0
)
"),0.0)</f>
        <v>0</v>
      </c>
      <c r="V122" s="9">
        <f t="shared" ref="V122:W122" si="603">IFERROR(R122-T122,"-")</f>
        <v>0</v>
      </c>
      <c r="W122" s="9">
        <f t="shared" si="603"/>
        <v>0</v>
      </c>
      <c r="X122" s="65" t="str">
        <f>IFERROR(__xludf.DUMMYFUNCTION("IFERROR(
  VLOOKUP(
    A122,
    IMPORTRANGE(
      ""1ZHMy3vVUd_0MrSduXTe1etBb1HNpAlGwQr006ljwMiM"",
      ""GSC最新!A:R""
    ),
    9,
    FALSE
  ),
  0
)
"),"")</f>
        <v/>
      </c>
      <c r="Y122" s="65" t="str">
        <f>IFERROR(__xludf.DUMMYFUNCTION("IFERROR(
  VLOOKUP(
    A122,
    IMPORTRANGE(
      ""1ZHMy3vVUd_0MrSduXTe1etBb1HNpAlGwQr006ljwMiM"",
      ""GSC最新!A:R""
    ),
    12,
    FALSE
  ),
  0
)
"),"")</f>
        <v/>
      </c>
      <c r="Z122" s="65" t="str">
        <f>IFERROR(__xludf.DUMMYFUNCTION("IFERROR(
  VLOOKUP(
    A122,
    IMPORTRANGE(
      ""1ZHMy3vVUd_0MrSduXTe1etBb1HNpAlGwQr006ljwMiM"",
      ""GSC最新!A:R""
    ),
    15,
    FALSE
  ),
  0
)
"),"")</f>
        <v/>
      </c>
      <c r="AA122" s="65" t="str">
        <f>IFERROR(__xludf.DUMMYFUNCTION("IFERROR(
  VLOOKUP(
    A122,
    IMPORTRANGE(
      ""1ZHMy3vVUd_0MrSduXTe1etBb1HNpAlGwQr006ljwMiM"",
      ""GSC最新!A:R""
    ),
    18,
    FALSE
  ),
  0
)
"),"")</f>
        <v/>
      </c>
      <c r="AB122" s="65">
        <f t="shared" ref="AB122:AC122" si="604">X122-Z122</f>
        <v>0</v>
      </c>
      <c r="AC122" s="65">
        <f t="shared" si="604"/>
        <v>0</v>
      </c>
      <c r="AD122" s="53">
        <f>IFERROR(__xludf.DUMMYFUNCTION("IFERROR(
  VLOOKUP(
    A122,
    IMPORTRANGE(
      ""1ZHMy3vVUd_0MrSduXTe1etBb1HNpAlGwQr006ljwMiM"",
      ""GSC最新!A:F""
    ),
    6,
    FALSE
  ),
  0
)
"),46081.0)</f>
        <v>46081</v>
      </c>
      <c r="AE122" s="54">
        <f>IFERROR(__xludf.DUMMYFUNCTION("IFERROR(
  VLOOKUP(
    A122,
    IMPORTRANGE(
      ""1SCYQd7_cobOYqT0r_F0IqD4tE4rYn5y8Eup4PJTH8es"",
      ""Snapshot!A:M""
    ),
    5,
    FALSE
  ),
  ""-""
)
"),0.0)</f>
        <v>0</v>
      </c>
      <c r="AF122" s="54">
        <f>IFERROR(__xludf.DUMMYFUNCTION("IFERROR(
  VLOOKUP(
    A122,
    IMPORTRANGE(
      ""1SCYQd7_cobOYqT0r_F0IqD4tE4rYn5y8Eup4PJTH8es"",
      ""Snapshot!A:M""
    ),
    6,
    FALSE
  ),
  0
)
"),0.0)</f>
        <v>0</v>
      </c>
      <c r="AG122" s="54">
        <f>IFERROR(__xludf.DUMMYFUNCTION("IFERROR(
  VLOOKUP(
    A122,
    IMPORTRANGE(
      ""1SCYQd7_cobOYqT0r_F0IqD4tE4rYn5y8Eup4PJTH8es"",
      ""Snapshot!A:M""
    ),
    7,
    FALSE
  ),
  0
)
"),0.0)</f>
        <v>0</v>
      </c>
      <c r="AH122" s="54">
        <f>IFERROR(__xludf.DUMMYFUNCTION("IFERROR(
  VLOOKUP(
    A122,
    IMPORTRANGE(
      ""1SCYQd7_cobOYqT0r_F0IqD4tE4rYn5y8Eup4PJTH8es"",
      ""Snapshot!A:M""
    ),
    8,
    FALSE
  ),
  0
)
"),0.0)</f>
        <v>0</v>
      </c>
      <c r="AI122" s="54">
        <f>IFERROR(__xludf.DUMMYFUNCTION("IFERROR(
  VLOOKUP(
    A122,
    IMPORTRANGE(
      ""1SCYQd7_cobOYqT0r_F0IqD4tE4rYn5y8Eup4PJTH8es"",
      ""Snapshot!A:M""
    ),
    9,
    FALSE
  ),
  0
)
"),0.0)</f>
        <v>0</v>
      </c>
      <c r="AJ122" s="54">
        <f>IFERROR(__xludf.DUMMYFUNCTION("IFERROR(
  VLOOKUP(
    A122,
    IMPORTRANGE(
      ""1SCYQd7_cobOYqT0r_F0IqD4tE4rYn5y8Eup4PJTH8es"",
      ""Snapshot!A:M""
    ),
    13,
    FALSE
  ),
  0
)
"),1.0)</f>
        <v>1</v>
      </c>
      <c r="AK122" s="49">
        <f t="shared" ref="AK122:AL122" si="605">LEN(C122)</f>
        <v>45</v>
      </c>
      <c r="AL122" s="49">
        <f t="shared" si="605"/>
        <v>125</v>
      </c>
    </row>
    <row r="123">
      <c r="A123" s="3" t="s">
        <v>802</v>
      </c>
      <c r="B123" s="1" t="str">
        <f>IFERROR(__xludf.DUMMYFUNCTION("IFERROR(
  VLOOKUP(
    A123,
    IMPORTRANGE(
      ""1ZygntHC1J6IxzKbTidmOyf5nUyW4GCLurHCjexrLm_o"",
      ""HTMLキャッシュ!A:F""
    ),
    2,
    FALSE
  ),
  0
)
"),"NW")</f>
        <v>NW</v>
      </c>
      <c r="C123" s="1" t="str">
        <f>IFERROR(__xludf.DUMMYFUNCTION("IFERROR(
  VLOOKUP(
    A123,
    IMPORTRANGE(
      ""1ZygntHC1J6IxzKbTidmOyf5nUyW4GCLurHCjexrLm_o"",
      ""HTMLキャッシュ!A:F""
    ),
    5,
    FALSE
  ),
  0
)
"),"「中高一貫校専門塾 エスコット」、本日開校いたします。 - 中高一貫校専門塾エスコット(Escot)～定期試験対策から大学受験指導まで～")</f>
        <v>「中高一貫校専門塾 エスコット」、本日開校いたします。 - 中高一貫校専門塾エスコット(Escot)～定期試験対策から大学受験指導まで～</v>
      </c>
      <c r="D123" s="1" t="str">
        <f>IFERROR(__xludf.DUMMYFUNCTION("IFERROR(
  VLOOKUP(
    A123,
    IMPORTRANGE(
      ""1ZygntHC1J6IxzKbTidmOyf5nUyW4GCLurHCjexrLm_o        "",
      ""HTMLキャッシュ!A:F""
    ),
    6,
    FALSE
  ),
  0
)
"),"「中高一貫校専門塾 エスコット」は本日開校いたします。 中学受験では、指導にあたる講師や保護者の皆様が彼らの「")</f>
        <v>「中高一貫校専門塾 エスコット」は本日開校いたします。 中学受験では、指導にあたる講師や保護者の皆様が彼らの「</v>
      </c>
      <c r="E123" s="32">
        <f>IFERROR(__xludf.DUMMYFUNCTION("IFERROR(
  VLOOKUP(
    A123,
    IMPORTRANGE(
      ""1ZygntHC1J6IxzKbTidmOyf5nUyW4GCLurHCjexrLm_o        "",
      ""HTMLキャッシュ!A:F""
    ),
    3,
    FALSE
  ),
  0
)
"),43592.66305555555)</f>
        <v>43592.66306</v>
      </c>
      <c r="F123" s="49">
        <f>IFERROR(__xludf.DUMMYFUNCTION("IFERROR(
  VLOOKUP(
    A123,
    IMPORTRANGE(
      ""1ZHMy3vVUd_0MrSduXTe1etBb1HNpAlGwQr006ljwMiM"",
      ""GSC最新!A:F""
    ),
    2,
    FALSE
  ),
  0
)
"),0.0)</f>
        <v>0</v>
      </c>
      <c r="G123" s="49">
        <f>IFERROR(__xludf.DUMMYFUNCTION("IFERROR(
  VLOOKUP(
    A123,
    IMPORTRANGE(
      ""1ZHMy3vVUd_0MrSduXTe1etBb1HNpAlGwQr006ljwMiM"",
      ""GSC最新!A:F""
    ),
    3,
    FALSE
  ),
  0
)
"),0.0)</f>
        <v>0</v>
      </c>
      <c r="H123" s="49">
        <f>IFERROR(__xludf.DUMMYFUNCTION("IFERROR(
  VLOOKUP(
    A123,
    IMPORTRANGE(
      ""1ZHMy3vVUd_0MrSduXTe1etBb1HNpAlGwQr006ljwMiM"",
      ""GSC最新!A:F""
    ),
    4,
    FALSE
  ),
  0
)
"),0.0)</f>
        <v>0</v>
      </c>
      <c r="I123" s="49">
        <f>IFERROR(__xludf.DUMMYFUNCTION("IFERROR(
  VLOOKUP(
    A123,
    IMPORTRANGE(
      ""1ZHMy3vVUd_0MrSduXTe1etBb1HNpAlGwQr006ljwMiM"",
      ""GSC最新!A:F""
    ),
    5,
    FALSE
  ),
  0
)
"),0.0)</f>
        <v>0</v>
      </c>
      <c r="J123" s="50" t="str">
        <f t="shared" ref="J123:K123" si="606">IFERROR(F123/H123,"-")</f>
        <v>-</v>
      </c>
      <c r="K123" s="50" t="str">
        <f t="shared" si="606"/>
        <v>-</v>
      </c>
      <c r="L123" s="6">
        <f>IFERROR(__xludf.DUMMYFUNCTION("IFERROR(
  VLOOKUP(
    A123,
    IMPORTRANGE(
      ""1ZHMy3vVUd_0MrSduXTe1etBb1HNpAlGwQr006ljwMiM"",
      ""GSC最新!A:R""
    ),
    7,
    FALSE
  ),
  0
)
"),0.0)</f>
        <v>0</v>
      </c>
      <c r="M123" s="6">
        <f>IFERROR(__xludf.DUMMYFUNCTION("IFERROR(
  VLOOKUP(
    A123,
    IMPORTRANGE(
      ""1ZHMy3vVUd_0MrSduXTe1etBb1HNpAlGwQr006ljwMiM"",
      ""GSC最新!A:R""
    ),
    10,
    FALSE
  ),
  0
)
"),0.0)</f>
        <v>0</v>
      </c>
      <c r="N123" s="6">
        <f>IFERROR(__xludf.DUMMYFUNCTION("IFERROR(
  VLOOKUP(
    A123,
    IMPORTRANGE(
      ""1ZHMy3vVUd_0MrSduXTe1etBb1HNpAlGwQr006ljwMiM"",
      ""GSC最新!A:R""
    ),
    13,
    FALSE
  ),
  0
)
"),0.0)</f>
        <v>0</v>
      </c>
      <c r="O123" s="6">
        <f>IFERROR(__xludf.DUMMYFUNCTION("IFERROR(
  VLOOKUP(
    A123,
    IMPORTRANGE(
      ""1ZHMy3vVUd_0MrSduXTe1etBb1HNpAlGwQr006ljwMiM"",
      ""GSC最新!A:R""
    ),
    16,
    FALSE
  ),
  0
)
"),0.0)</f>
        <v>0</v>
      </c>
      <c r="P123" s="51" t="str">
        <f t="shared" ref="P123:Q123" si="607">IFERROR(L123/N123,"-")</f>
        <v>-</v>
      </c>
      <c r="Q123" s="51" t="str">
        <f t="shared" si="607"/>
        <v>-</v>
      </c>
      <c r="R123" s="9">
        <f>IFERROR(__xludf.DUMMYFUNCTION("IFERROR(
  VLOOKUP(
    A123,
    IMPORTRANGE(
      ""1ZHMy3vVUd_0MrSduXTe1etBb1HNpAlGwQr006ljwMiM"",
      ""GSC最新!A:R""
    ),
    8,
    FALSE
  ),
  0
)
"),0.0)</f>
        <v>0</v>
      </c>
      <c r="S123" s="9">
        <f>IFERROR(__xludf.DUMMYFUNCTION("IFERROR(
  VLOOKUP(
    A123,
    IMPORTRANGE(
      ""1ZHMy3vVUd_0MrSduXTe1etBb1HNpAlGwQr006ljwMiM"",
      ""GSC最新!A:R""
    ),
    11,
    FALSE
  ),
  0
)
"),0.0)</f>
        <v>0</v>
      </c>
      <c r="T123" s="9">
        <f>IFERROR(__xludf.DUMMYFUNCTION("IFERROR(
  VLOOKUP(
    A123,
    IMPORTRANGE(
      ""1ZHMy3vVUd_0MrSduXTe1etBb1HNpAlGwQr006ljwMiM"",
      ""GSC最新!A:R""
    ),
    14,
    FALSE
  ),
  0
)
"),0.0)</f>
        <v>0</v>
      </c>
      <c r="U123" s="9">
        <f>IFERROR(__xludf.DUMMYFUNCTION("IFERROR(
  VLOOKUP(
    A123,
    IMPORTRANGE(
      ""1ZHMy3vVUd_0MrSduXTe1etBb1HNpAlGwQr006ljwMiM"",
      ""GSC最新!A:R""
    ),
    17,
    FALSE
  ),
  0
)
"),0.0)</f>
        <v>0</v>
      </c>
      <c r="V123" s="9">
        <f t="shared" ref="V123:W123" si="608">IFERROR(R123-T123,"-")</f>
        <v>0</v>
      </c>
      <c r="W123" s="9">
        <f t="shared" si="608"/>
        <v>0</v>
      </c>
      <c r="X123" s="65" t="str">
        <f>IFERROR(__xludf.DUMMYFUNCTION("IFERROR(
  VLOOKUP(
    A123,
    IMPORTRANGE(
      ""1ZHMy3vVUd_0MrSduXTe1etBb1HNpAlGwQr006ljwMiM"",
      ""GSC最新!A:R""
    ),
    9,
    FALSE
  ),
  0
)
"),"")</f>
        <v/>
      </c>
      <c r="Y123" s="65" t="str">
        <f>IFERROR(__xludf.DUMMYFUNCTION("IFERROR(
  VLOOKUP(
    A123,
    IMPORTRANGE(
      ""1ZHMy3vVUd_0MrSduXTe1etBb1HNpAlGwQr006ljwMiM"",
      ""GSC最新!A:R""
    ),
    12,
    FALSE
  ),
  0
)
"),"")</f>
        <v/>
      </c>
      <c r="Z123" s="65" t="str">
        <f>IFERROR(__xludf.DUMMYFUNCTION("IFERROR(
  VLOOKUP(
    A123,
    IMPORTRANGE(
      ""1ZHMy3vVUd_0MrSduXTe1etBb1HNpAlGwQr006ljwMiM"",
      ""GSC最新!A:R""
    ),
    15,
    FALSE
  ),
  0
)
"),"")</f>
        <v/>
      </c>
      <c r="AA123" s="65" t="str">
        <f>IFERROR(__xludf.DUMMYFUNCTION("IFERROR(
  VLOOKUP(
    A123,
    IMPORTRANGE(
      ""1ZHMy3vVUd_0MrSduXTe1etBb1HNpAlGwQr006ljwMiM"",
      ""GSC最新!A:R""
    ),
    18,
    FALSE
  ),
  0
)
"),"")</f>
        <v/>
      </c>
      <c r="AB123" s="65">
        <f t="shared" ref="AB123:AC123" si="609">X123-Z123</f>
        <v>0</v>
      </c>
      <c r="AC123" s="65">
        <f t="shared" si="609"/>
        <v>0</v>
      </c>
      <c r="AD123" s="53">
        <f>IFERROR(__xludf.DUMMYFUNCTION("IFERROR(
  VLOOKUP(
    A123,
    IMPORTRANGE(
      ""1ZHMy3vVUd_0MrSduXTe1etBb1HNpAlGwQr006ljwMiM"",
      ""GSC最新!A:F""
    ),
    6,
    FALSE
  ),
  0
)
"),46081.0)</f>
        <v>46081</v>
      </c>
      <c r="AE123" s="54">
        <f>IFERROR(__xludf.DUMMYFUNCTION("IFERROR(
  VLOOKUP(
    A123,
    IMPORTRANGE(
      ""1SCYQd7_cobOYqT0r_F0IqD4tE4rYn5y8Eup4PJTH8es"",
      ""Snapshot!A:M""
    ),
    5,
    FALSE
  ),
  ""-""
)
"),0.0)</f>
        <v>0</v>
      </c>
      <c r="AF123" s="54">
        <f>IFERROR(__xludf.DUMMYFUNCTION("IFERROR(
  VLOOKUP(
    A123,
    IMPORTRANGE(
      ""1SCYQd7_cobOYqT0r_F0IqD4tE4rYn5y8Eup4PJTH8es"",
      ""Snapshot!A:M""
    ),
    6,
    FALSE
  ),
  0
)
"),0.0)</f>
        <v>0</v>
      </c>
      <c r="AG123" s="54">
        <f>IFERROR(__xludf.DUMMYFUNCTION("IFERROR(
  VLOOKUP(
    A123,
    IMPORTRANGE(
      ""1SCYQd7_cobOYqT0r_F0IqD4tE4rYn5y8Eup4PJTH8es"",
      ""Snapshot!A:M""
    ),
    7,
    FALSE
  ),
  0
)
"),418.0)</f>
        <v>418</v>
      </c>
      <c r="AH123" s="54">
        <f>IFERROR(__xludf.DUMMYFUNCTION("IFERROR(
  VLOOKUP(
    A123,
    IMPORTRANGE(
      ""1SCYQd7_cobOYqT0r_F0IqD4tE4rYn5y8Eup4PJTH8es"",
      ""Snapshot!A:M""
    ),
    8,
    FALSE
  ),
  0
)
"),0.0)</f>
        <v>0</v>
      </c>
      <c r="AI123" s="54">
        <f>IFERROR(__xludf.DUMMYFUNCTION("IFERROR(
  VLOOKUP(
    A123,
    IMPORTRANGE(
      ""1SCYQd7_cobOYqT0r_F0IqD4tE4rYn5y8Eup4PJTH8es"",
      ""Snapshot!A:M""
    ),
    9,
    FALSE
  ),
  0
)
"),1.0)</f>
        <v>1</v>
      </c>
      <c r="AJ123" s="54">
        <f>IFERROR(__xludf.DUMMYFUNCTION("IFERROR(
  VLOOKUP(
    A123,
    IMPORTRANGE(
      ""1SCYQd7_cobOYqT0r_F0IqD4tE4rYn5y8Eup4PJTH8es"",
      ""Snapshot!A:M""
    ),
    13,
    FALSE
  ),
  0
)
"),2.0)</f>
        <v>2</v>
      </c>
      <c r="AK123" s="49">
        <f t="shared" ref="AK123:AL123" si="610">LEN(C123)</f>
        <v>68</v>
      </c>
      <c r="AL123" s="49">
        <f t="shared" si="610"/>
        <v>55</v>
      </c>
    </row>
    <row r="124">
      <c r="A124" s="3" t="s">
        <v>803</v>
      </c>
      <c r="B124" s="1" t="str">
        <f>IFERROR(__xludf.DUMMYFUNCTION("IFERROR(
  VLOOKUP(
    A124,
    IMPORTRANGE(
      ""1ZygntHC1J6IxzKbTidmOyf5nUyW4GCLurHCjexrLm_o"",
      ""HTMLキャッシュ!A:F""
    ),
    2,
    FALSE
  ),
  0
)
"),"NW")</f>
        <v>NW</v>
      </c>
      <c r="C124" s="1" t="str">
        <f>IFERROR(__xludf.DUMMYFUNCTION("IFERROR(
  VLOOKUP(
    A124,
    IMPORTRANGE(
      ""1ZygntHC1J6IxzKbTidmOyf5nUyW4GCLurHCjexrLm_o"",
      ""HTMLキャッシュ!A:F""
    ),
    5,
    FALSE
  ),
  0
)
"),"2019年度夏期講習開催のお知らせ - 中高一貫校専門塾エスコット(Escot)～定期試験対策から大学受験指導まで～")</f>
        <v>2019年度夏期講習開催のお知らせ - 中高一貫校専門塾エスコット(Escot)～定期試験対策から大学受験指導まで～</v>
      </c>
      <c r="D124" s="1" t="str">
        <f>IFERROR(__xludf.DUMMYFUNCTION("IFERROR(
  VLOOKUP(
    A124,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24" s="32">
        <f>IFERROR(__xludf.DUMMYFUNCTION("IFERROR(
  VLOOKUP(
    A124,
    IMPORTRANGE(
      ""1ZygntHC1J6IxzKbTidmOyf5nUyW4GCLurHCjexrLm_o        "",
      ""HTMLキャッシュ!A:F""
    ),
    3,
    FALSE
  ),
  0
)
"),43636.550775462965)</f>
        <v>43636.55078</v>
      </c>
      <c r="F124" s="49">
        <f>IFERROR(__xludf.DUMMYFUNCTION("IFERROR(
  VLOOKUP(
    A124,
    IMPORTRANGE(
      ""1ZHMy3vVUd_0MrSduXTe1etBb1HNpAlGwQr006ljwMiM"",
      ""GSC最新!A:F""
    ),
    2,
    FALSE
  ),
  0
)
"),0.0)</f>
        <v>0</v>
      </c>
      <c r="G124" s="49">
        <f>IFERROR(__xludf.DUMMYFUNCTION("IFERROR(
  VLOOKUP(
    A124,
    IMPORTRANGE(
      ""1ZHMy3vVUd_0MrSduXTe1etBb1HNpAlGwQr006ljwMiM"",
      ""GSC最新!A:F""
    ),
    3,
    FALSE
  ),
  0
)
"),0.0)</f>
        <v>0</v>
      </c>
      <c r="H124" s="49">
        <f>IFERROR(__xludf.DUMMYFUNCTION("IFERROR(
  VLOOKUP(
    A124,
    IMPORTRANGE(
      ""1ZHMy3vVUd_0MrSduXTe1etBb1HNpAlGwQr006ljwMiM"",
      ""GSC最新!A:F""
    ),
    4,
    FALSE
  ),
  0
)
"),0.0)</f>
        <v>0</v>
      </c>
      <c r="I124" s="49">
        <f>IFERROR(__xludf.DUMMYFUNCTION("IFERROR(
  VLOOKUP(
    A124,
    IMPORTRANGE(
      ""1ZHMy3vVUd_0MrSduXTe1etBb1HNpAlGwQr006ljwMiM"",
      ""GSC最新!A:F""
    ),
    5,
    FALSE
  ),
  0
)
"),0.0)</f>
        <v>0</v>
      </c>
      <c r="J124" s="50" t="str">
        <f t="shared" ref="J124:K124" si="611">IFERROR(F124/H124,"-")</f>
        <v>-</v>
      </c>
      <c r="K124" s="50" t="str">
        <f t="shared" si="611"/>
        <v>-</v>
      </c>
      <c r="L124" s="6">
        <f>IFERROR(__xludf.DUMMYFUNCTION("IFERROR(
  VLOOKUP(
    A124,
    IMPORTRANGE(
      ""1ZHMy3vVUd_0MrSduXTe1etBb1HNpAlGwQr006ljwMiM"",
      ""GSC最新!A:R""
    ),
    7,
    FALSE
  ),
  0
)
"),0.0)</f>
        <v>0</v>
      </c>
      <c r="M124" s="6">
        <f>IFERROR(__xludf.DUMMYFUNCTION("IFERROR(
  VLOOKUP(
    A124,
    IMPORTRANGE(
      ""1ZHMy3vVUd_0MrSduXTe1etBb1HNpAlGwQr006ljwMiM"",
      ""GSC最新!A:R""
    ),
    10,
    FALSE
  ),
  0
)
"),0.0)</f>
        <v>0</v>
      </c>
      <c r="N124" s="6">
        <f>IFERROR(__xludf.DUMMYFUNCTION("IFERROR(
  VLOOKUP(
    A124,
    IMPORTRANGE(
      ""1ZHMy3vVUd_0MrSduXTe1etBb1HNpAlGwQr006ljwMiM"",
      ""GSC最新!A:R""
    ),
    13,
    FALSE
  ),
  0
)
"),0.0)</f>
        <v>0</v>
      </c>
      <c r="O124" s="6">
        <f>IFERROR(__xludf.DUMMYFUNCTION("IFERROR(
  VLOOKUP(
    A124,
    IMPORTRANGE(
      ""1ZHMy3vVUd_0MrSduXTe1etBb1HNpAlGwQr006ljwMiM"",
      ""GSC最新!A:R""
    ),
    16,
    FALSE
  ),
  0
)
"),0.0)</f>
        <v>0</v>
      </c>
      <c r="P124" s="51" t="str">
        <f t="shared" ref="P124:Q124" si="612">IFERROR(L124/N124,"-")</f>
        <v>-</v>
      </c>
      <c r="Q124" s="51" t="str">
        <f t="shared" si="612"/>
        <v>-</v>
      </c>
      <c r="R124" s="9">
        <f>IFERROR(__xludf.DUMMYFUNCTION("IFERROR(
  VLOOKUP(
    A124,
    IMPORTRANGE(
      ""1ZHMy3vVUd_0MrSduXTe1etBb1HNpAlGwQr006ljwMiM"",
      ""GSC最新!A:R""
    ),
    8,
    FALSE
  ),
  0
)
"),0.0)</f>
        <v>0</v>
      </c>
      <c r="S124" s="9">
        <f>IFERROR(__xludf.DUMMYFUNCTION("IFERROR(
  VLOOKUP(
    A124,
    IMPORTRANGE(
      ""1ZHMy3vVUd_0MrSduXTe1etBb1HNpAlGwQr006ljwMiM"",
      ""GSC最新!A:R""
    ),
    11,
    FALSE
  ),
  0
)
"),0.0)</f>
        <v>0</v>
      </c>
      <c r="T124" s="9">
        <f>IFERROR(__xludf.DUMMYFUNCTION("IFERROR(
  VLOOKUP(
    A124,
    IMPORTRANGE(
      ""1ZHMy3vVUd_0MrSduXTe1etBb1HNpAlGwQr006ljwMiM"",
      ""GSC最新!A:R""
    ),
    14,
    FALSE
  ),
  0
)
"),0.0)</f>
        <v>0</v>
      </c>
      <c r="U124" s="9">
        <f>IFERROR(__xludf.DUMMYFUNCTION("IFERROR(
  VLOOKUP(
    A124,
    IMPORTRANGE(
      ""1ZHMy3vVUd_0MrSduXTe1etBb1HNpAlGwQr006ljwMiM"",
      ""GSC最新!A:R""
    ),
    17,
    FALSE
  ),
  0
)
"),0.0)</f>
        <v>0</v>
      </c>
      <c r="V124" s="9">
        <f t="shared" ref="V124:W124" si="613">IFERROR(R124-T124,"-")</f>
        <v>0</v>
      </c>
      <c r="W124" s="9">
        <f t="shared" si="613"/>
        <v>0</v>
      </c>
      <c r="X124" s="65" t="str">
        <f>IFERROR(__xludf.DUMMYFUNCTION("IFERROR(
  VLOOKUP(
    A124,
    IMPORTRANGE(
      ""1ZHMy3vVUd_0MrSduXTe1etBb1HNpAlGwQr006ljwMiM"",
      ""GSC最新!A:R""
    ),
    9,
    FALSE
  ),
  0
)
"),"")</f>
        <v/>
      </c>
      <c r="Y124" s="65" t="str">
        <f>IFERROR(__xludf.DUMMYFUNCTION("IFERROR(
  VLOOKUP(
    A124,
    IMPORTRANGE(
      ""1ZHMy3vVUd_0MrSduXTe1etBb1HNpAlGwQr006ljwMiM"",
      ""GSC最新!A:R""
    ),
    12,
    FALSE
  ),
  0
)
"),"")</f>
        <v/>
      </c>
      <c r="Z124" s="65" t="str">
        <f>IFERROR(__xludf.DUMMYFUNCTION("IFERROR(
  VLOOKUP(
    A124,
    IMPORTRANGE(
      ""1ZHMy3vVUd_0MrSduXTe1etBb1HNpAlGwQr006ljwMiM"",
      ""GSC最新!A:R""
    ),
    15,
    FALSE
  ),
  0
)
"),"")</f>
        <v/>
      </c>
      <c r="AA124" s="65" t="str">
        <f>IFERROR(__xludf.DUMMYFUNCTION("IFERROR(
  VLOOKUP(
    A124,
    IMPORTRANGE(
      ""1ZHMy3vVUd_0MrSduXTe1etBb1HNpAlGwQr006ljwMiM"",
      ""GSC最新!A:R""
    ),
    18,
    FALSE
  ),
  0
)
"),"")</f>
        <v/>
      </c>
      <c r="AB124" s="65">
        <f t="shared" ref="AB124:AC124" si="614">X124-Z124</f>
        <v>0</v>
      </c>
      <c r="AC124" s="65">
        <f t="shared" si="614"/>
        <v>0</v>
      </c>
      <c r="AD124" s="53">
        <f>IFERROR(__xludf.DUMMYFUNCTION("IFERROR(
  VLOOKUP(
    A124,
    IMPORTRANGE(
      ""1ZHMy3vVUd_0MrSduXTe1etBb1HNpAlGwQr006ljwMiM"",
      ""GSC最新!A:F""
    ),
    6,
    FALSE
  ),
  0
)
"),46081.0)</f>
        <v>46081</v>
      </c>
      <c r="AE124" s="54">
        <f>IFERROR(__xludf.DUMMYFUNCTION("IFERROR(
  VLOOKUP(
    A124,
    IMPORTRANGE(
      ""1SCYQd7_cobOYqT0r_F0IqD4tE4rYn5y8Eup4PJTH8es"",
      ""Snapshot!A:M""
    ),
    5,
    FALSE
  ),
  ""-""
)
"),0.0)</f>
        <v>0</v>
      </c>
      <c r="AF124" s="54">
        <f>IFERROR(__xludf.DUMMYFUNCTION("IFERROR(
  VLOOKUP(
    A124,
    IMPORTRANGE(
      ""1SCYQd7_cobOYqT0r_F0IqD4tE4rYn5y8Eup4PJTH8es"",
      ""Snapshot!A:M""
    ),
    6,
    FALSE
  ),
  0
)
"),0.0)</f>
        <v>0</v>
      </c>
      <c r="AG124" s="54">
        <f>IFERROR(__xludf.DUMMYFUNCTION("IFERROR(
  VLOOKUP(
    A124,
    IMPORTRANGE(
      ""1SCYQd7_cobOYqT0r_F0IqD4tE4rYn5y8Eup4PJTH8es"",
      ""Snapshot!A:M""
    ),
    7,
    FALSE
  ),
  0
)
"),833.0)</f>
        <v>833</v>
      </c>
      <c r="AH124" s="54">
        <f>IFERROR(__xludf.DUMMYFUNCTION("IFERROR(
  VLOOKUP(
    A124,
    IMPORTRANGE(
      ""1SCYQd7_cobOYqT0r_F0IqD4tE4rYn5y8Eup4PJTH8es"",
      ""Snapshot!A:M""
    ),
    8,
    FALSE
  ),
  0
)
"),1.0)</f>
        <v>1</v>
      </c>
      <c r="AI124" s="54">
        <f>IFERROR(__xludf.DUMMYFUNCTION("IFERROR(
  VLOOKUP(
    A124,
    IMPORTRANGE(
      ""1SCYQd7_cobOYqT0r_F0IqD4tE4rYn5y8Eup4PJTH8es"",
      ""Snapshot!A:M""
    ),
    9,
    FALSE
  ),
  0
)
"),1.0)</f>
        <v>1</v>
      </c>
      <c r="AJ124" s="54">
        <f>IFERROR(__xludf.DUMMYFUNCTION("IFERROR(
  VLOOKUP(
    A124,
    IMPORTRANGE(
      ""1SCYQd7_cobOYqT0r_F0IqD4tE4rYn5y8Eup4PJTH8es"",
      ""Snapshot!A:M""
    ),
    13,
    FALSE
  ),
  0
)
"),2.0)</f>
        <v>2</v>
      </c>
      <c r="AK124" s="49">
        <f t="shared" ref="AK124:AL124" si="615">LEN(C124)</f>
        <v>58</v>
      </c>
      <c r="AL124" s="49">
        <f t="shared" si="615"/>
        <v>55</v>
      </c>
    </row>
    <row r="125">
      <c r="A125" s="3" t="s">
        <v>804</v>
      </c>
      <c r="B125" s="1" t="str">
        <f>IFERROR(__xludf.DUMMYFUNCTION("IFERROR(
  VLOOKUP(
    A125,
    IMPORTRANGE(
      ""1ZygntHC1J6IxzKbTidmOyf5nUyW4GCLurHCjexrLm_o"",
      ""HTMLキャッシュ!A:F""
    ),
    2,
    FALSE
  ),
  0
)
"),"NW")</f>
        <v>NW</v>
      </c>
      <c r="C125" s="1" t="str">
        <f>IFERROR(__xludf.DUMMYFUNCTION("IFERROR(
  VLOOKUP(
    A125,
    IMPORTRANGE(
      ""1ZygntHC1J6IxzKbTidmOyf5nUyW4GCLurHCjexrLm_o"",
      ""HTMLキャッシュ!A:F""
    ),
    5,
    FALSE
  ),
  0
)
"),"2019年度冬期講習開講のお知らせ - 中高一貫校専門塾エスコット(Escot)～定期試験対策から大学受験指導まで～")</f>
        <v>2019年度冬期講習開講のお知らせ - 中高一貫校専門塾エスコット(Escot)～定期試験対策から大学受験指導まで～</v>
      </c>
      <c r="D125" s="1" t="str">
        <f>IFERROR(__xludf.DUMMYFUNCTION("IFERROR(
  VLOOKUP(
    A125,
    IMPORTRANGE(
      ""1ZygntHC1J6IxzKbTidmOyf5nUyW4GCLurHCjexrLm_o        "",
      ""HTMLキャッシュ!A:F""
    ),
    6,
    FALSE
  ),
  0
)
"),"当塾では冬期講習会を実施させて頂く運びとなりました。 現在当塾に通塾されている塾生の皆さんは勿論")</f>
        <v>当塾では冬期講習会を実施させて頂く運びとなりました。 現在当塾に通塾されている塾生の皆さんは勿論</v>
      </c>
      <c r="E125" s="32">
        <f>IFERROR(__xludf.DUMMYFUNCTION("IFERROR(
  VLOOKUP(
    A125,
    IMPORTRANGE(
      ""1ZygntHC1J6IxzKbTidmOyf5nUyW4GCLurHCjexrLm_o        "",
      ""HTMLキャッシュ!A:F""
    ),
    3,
    FALSE
  ),
  0
)
"),43791.5637037037)</f>
        <v>43791.5637</v>
      </c>
      <c r="F125" s="49">
        <f>IFERROR(__xludf.DUMMYFUNCTION("IFERROR(
  VLOOKUP(
    A125,
    IMPORTRANGE(
      ""1ZHMy3vVUd_0MrSduXTe1etBb1HNpAlGwQr006ljwMiM"",
      ""GSC最新!A:F""
    ),
    2,
    FALSE
  ),
  0
)
"),0.0)</f>
        <v>0</v>
      </c>
      <c r="G125" s="49">
        <f>IFERROR(__xludf.DUMMYFUNCTION("IFERROR(
  VLOOKUP(
    A125,
    IMPORTRANGE(
      ""1ZHMy3vVUd_0MrSduXTe1etBb1HNpAlGwQr006ljwMiM"",
      ""GSC最新!A:F""
    ),
    3,
    FALSE
  ),
  0
)
"),0.0)</f>
        <v>0</v>
      </c>
      <c r="H125" s="49">
        <f>IFERROR(__xludf.DUMMYFUNCTION("IFERROR(
  VLOOKUP(
    A125,
    IMPORTRANGE(
      ""1ZHMy3vVUd_0MrSduXTe1etBb1HNpAlGwQr006ljwMiM"",
      ""GSC最新!A:F""
    ),
    4,
    FALSE
  ),
  0
)
"),0.0)</f>
        <v>0</v>
      </c>
      <c r="I125" s="49">
        <f>IFERROR(__xludf.DUMMYFUNCTION("IFERROR(
  VLOOKUP(
    A125,
    IMPORTRANGE(
      ""1ZHMy3vVUd_0MrSduXTe1etBb1HNpAlGwQr006ljwMiM"",
      ""GSC最新!A:F""
    ),
    5,
    FALSE
  ),
  0
)
"),0.0)</f>
        <v>0</v>
      </c>
      <c r="J125" s="50" t="str">
        <f t="shared" ref="J125:K125" si="616">IFERROR(F125/H125,"-")</f>
        <v>-</v>
      </c>
      <c r="K125" s="50" t="str">
        <f t="shared" si="616"/>
        <v>-</v>
      </c>
      <c r="L125" s="6">
        <f>IFERROR(__xludf.DUMMYFUNCTION("IFERROR(
  VLOOKUP(
    A125,
    IMPORTRANGE(
      ""1ZHMy3vVUd_0MrSduXTe1etBb1HNpAlGwQr006ljwMiM"",
      ""GSC最新!A:R""
    ),
    7,
    FALSE
  ),
  0
)
"),0.0)</f>
        <v>0</v>
      </c>
      <c r="M125" s="6">
        <f>IFERROR(__xludf.DUMMYFUNCTION("IFERROR(
  VLOOKUP(
    A125,
    IMPORTRANGE(
      ""1ZHMy3vVUd_0MrSduXTe1etBb1HNpAlGwQr006ljwMiM"",
      ""GSC最新!A:R""
    ),
    10,
    FALSE
  ),
  0
)
"),0.0)</f>
        <v>0</v>
      </c>
      <c r="N125" s="6">
        <f>IFERROR(__xludf.DUMMYFUNCTION("IFERROR(
  VLOOKUP(
    A125,
    IMPORTRANGE(
      ""1ZHMy3vVUd_0MrSduXTe1etBb1HNpAlGwQr006ljwMiM"",
      ""GSC最新!A:R""
    ),
    13,
    FALSE
  ),
  0
)
"),0.0)</f>
        <v>0</v>
      </c>
      <c r="O125" s="6">
        <f>IFERROR(__xludf.DUMMYFUNCTION("IFERROR(
  VLOOKUP(
    A125,
    IMPORTRANGE(
      ""1ZHMy3vVUd_0MrSduXTe1etBb1HNpAlGwQr006ljwMiM"",
      ""GSC最新!A:R""
    ),
    16,
    FALSE
  ),
  0
)
"),0.0)</f>
        <v>0</v>
      </c>
      <c r="P125" s="51" t="str">
        <f t="shared" ref="P125:Q125" si="617">IFERROR(L125/N125,"-")</f>
        <v>-</v>
      </c>
      <c r="Q125" s="51" t="str">
        <f t="shared" si="617"/>
        <v>-</v>
      </c>
      <c r="R125" s="9">
        <f>IFERROR(__xludf.DUMMYFUNCTION("IFERROR(
  VLOOKUP(
    A125,
    IMPORTRANGE(
      ""1ZHMy3vVUd_0MrSduXTe1etBb1HNpAlGwQr006ljwMiM"",
      ""GSC最新!A:R""
    ),
    8,
    FALSE
  ),
  0
)
"),0.0)</f>
        <v>0</v>
      </c>
      <c r="S125" s="9">
        <f>IFERROR(__xludf.DUMMYFUNCTION("IFERROR(
  VLOOKUP(
    A125,
    IMPORTRANGE(
      ""1ZHMy3vVUd_0MrSduXTe1etBb1HNpAlGwQr006ljwMiM"",
      ""GSC最新!A:R""
    ),
    11,
    FALSE
  ),
  0
)
"),0.0)</f>
        <v>0</v>
      </c>
      <c r="T125" s="9">
        <f>IFERROR(__xludf.DUMMYFUNCTION("IFERROR(
  VLOOKUP(
    A125,
    IMPORTRANGE(
      ""1ZHMy3vVUd_0MrSduXTe1etBb1HNpAlGwQr006ljwMiM"",
      ""GSC最新!A:R""
    ),
    14,
    FALSE
  ),
  0
)
"),0.0)</f>
        <v>0</v>
      </c>
      <c r="U125" s="9">
        <f>IFERROR(__xludf.DUMMYFUNCTION("IFERROR(
  VLOOKUP(
    A125,
    IMPORTRANGE(
      ""1ZHMy3vVUd_0MrSduXTe1etBb1HNpAlGwQr006ljwMiM"",
      ""GSC最新!A:R""
    ),
    17,
    FALSE
  ),
  0
)
"),0.0)</f>
        <v>0</v>
      </c>
      <c r="V125" s="9">
        <f t="shared" ref="V125:W125" si="618">IFERROR(R125-T125,"-")</f>
        <v>0</v>
      </c>
      <c r="W125" s="9">
        <f t="shared" si="618"/>
        <v>0</v>
      </c>
      <c r="X125" s="65" t="str">
        <f>IFERROR(__xludf.DUMMYFUNCTION("IFERROR(
  VLOOKUP(
    A125,
    IMPORTRANGE(
      ""1ZHMy3vVUd_0MrSduXTe1etBb1HNpAlGwQr006ljwMiM"",
      ""GSC最新!A:R""
    ),
    9,
    FALSE
  ),
  0
)
"),"")</f>
        <v/>
      </c>
      <c r="Y125" s="65" t="str">
        <f>IFERROR(__xludf.DUMMYFUNCTION("IFERROR(
  VLOOKUP(
    A125,
    IMPORTRANGE(
      ""1ZHMy3vVUd_0MrSduXTe1etBb1HNpAlGwQr006ljwMiM"",
      ""GSC最新!A:R""
    ),
    12,
    FALSE
  ),
  0
)
"),"")</f>
        <v/>
      </c>
      <c r="Z125" s="65" t="str">
        <f>IFERROR(__xludf.DUMMYFUNCTION("IFERROR(
  VLOOKUP(
    A125,
    IMPORTRANGE(
      ""1ZHMy3vVUd_0MrSduXTe1etBb1HNpAlGwQr006ljwMiM"",
      ""GSC最新!A:R""
    ),
    15,
    FALSE
  ),
  0
)
"),"")</f>
        <v/>
      </c>
      <c r="AA125" s="65" t="str">
        <f>IFERROR(__xludf.DUMMYFUNCTION("IFERROR(
  VLOOKUP(
    A125,
    IMPORTRANGE(
      ""1ZHMy3vVUd_0MrSduXTe1etBb1HNpAlGwQr006ljwMiM"",
      ""GSC最新!A:R""
    ),
    18,
    FALSE
  ),
  0
)
"),"")</f>
        <v/>
      </c>
      <c r="AB125" s="65">
        <f t="shared" ref="AB125:AC125" si="619">X125-Z125</f>
        <v>0</v>
      </c>
      <c r="AC125" s="65">
        <f t="shared" si="619"/>
        <v>0</v>
      </c>
      <c r="AD125" s="53">
        <f>IFERROR(__xludf.DUMMYFUNCTION("IFERROR(
  VLOOKUP(
    A125,
    IMPORTRANGE(
      ""1ZHMy3vVUd_0MrSduXTe1etBb1HNpAlGwQr006ljwMiM"",
      ""GSC最新!A:F""
    ),
    6,
    FALSE
  ),
  0
)
"),46081.0)</f>
        <v>46081</v>
      </c>
      <c r="AE125" s="54">
        <f>IFERROR(__xludf.DUMMYFUNCTION("IFERROR(
  VLOOKUP(
    A125,
    IMPORTRANGE(
      ""1SCYQd7_cobOYqT0r_F0IqD4tE4rYn5y8Eup4PJTH8es"",
      ""Snapshot!A:M""
    ),
    5,
    FALSE
  ),
  ""-""
)
"),0.0)</f>
        <v>0</v>
      </c>
      <c r="AF125" s="54">
        <f>IFERROR(__xludf.DUMMYFUNCTION("IFERROR(
  VLOOKUP(
    A125,
    IMPORTRANGE(
      ""1SCYQd7_cobOYqT0r_F0IqD4tE4rYn5y8Eup4PJTH8es"",
      ""Snapshot!A:M""
    ),
    6,
    FALSE
  ),
  0
)
"),0.0)</f>
        <v>0</v>
      </c>
      <c r="AG125" s="54">
        <f>IFERROR(__xludf.DUMMYFUNCTION("IFERROR(
  VLOOKUP(
    A125,
    IMPORTRANGE(
      ""1SCYQd7_cobOYqT0r_F0IqD4tE4rYn5y8Eup4PJTH8es"",
      ""Snapshot!A:M""
    ),
    7,
    FALSE
  ),
  0
)
"),600.0)</f>
        <v>600</v>
      </c>
      <c r="AH125" s="54">
        <f>IFERROR(__xludf.DUMMYFUNCTION("IFERROR(
  VLOOKUP(
    A125,
    IMPORTRANGE(
      ""1SCYQd7_cobOYqT0r_F0IqD4tE4rYn5y8Eup4PJTH8es"",
      ""Snapshot!A:M""
    ),
    8,
    FALSE
  ),
  0
)
"),1.0)</f>
        <v>1</v>
      </c>
      <c r="AI125" s="54">
        <f>IFERROR(__xludf.DUMMYFUNCTION("IFERROR(
  VLOOKUP(
    A125,
    IMPORTRANGE(
      ""1SCYQd7_cobOYqT0r_F0IqD4tE4rYn5y8Eup4PJTH8es"",
      ""Snapshot!A:M""
    ),
    9,
    FALSE
  ),
  0
)
"),1.0)</f>
        <v>1</v>
      </c>
      <c r="AJ125" s="54">
        <f>IFERROR(__xludf.DUMMYFUNCTION("IFERROR(
  VLOOKUP(
    A125,
    IMPORTRANGE(
      ""1SCYQd7_cobOYqT0r_F0IqD4tE4rYn5y8Eup4PJTH8es"",
      ""Snapshot!A:M""
    ),
    13,
    FALSE
  ),
  0
)
"),2.0)</f>
        <v>2</v>
      </c>
      <c r="AK125" s="49">
        <f t="shared" ref="AK125:AL125" si="620">LEN(C125)</f>
        <v>58</v>
      </c>
      <c r="AL125" s="49">
        <f t="shared" si="620"/>
        <v>48</v>
      </c>
    </row>
    <row r="126">
      <c r="A126" s="3" t="s">
        <v>805</v>
      </c>
      <c r="B126" s="1" t="str">
        <f>IFERROR(__xludf.DUMMYFUNCTION("IFERROR(
  VLOOKUP(
    A126,
    IMPORTRANGE(
      ""1ZygntHC1J6IxzKbTidmOyf5nUyW4GCLurHCjexrLm_o"",
      ""HTMLキャッシュ!A:F""
    ),
    2,
    FALSE
  ),
  0
)
"),"NW")</f>
        <v>NW</v>
      </c>
      <c r="C126" s="1" t="str">
        <f>IFERROR(__xludf.DUMMYFUNCTION("IFERROR(
  VLOOKUP(
    A126,
    IMPORTRANGE(
      ""1ZygntHC1J6IxzKbTidmOyf5nUyW4GCLurHCjexrLm_o"",
      ""HTMLキャッシュ!A:F""
    ),
    5,
    FALSE
  ),
  0
)
"),"2020年度生徒募集のお知らせ - 中高一貫校専門塾エスコット(Escot)～定期試験対策から大学受験指導まで～")</f>
        <v>2020年度生徒募集のお知らせ - 中高一貫校専門塾エスコット(Escot)～定期試験対策から大学受験指導まで～</v>
      </c>
      <c r="D126" s="1" t="str">
        <f>IFERROR(__xludf.DUMMYFUNCTION("IFERROR(
  VLOOKUP(
    A126,
    IMPORTRANGE(
      ""1ZygntHC1J6IxzKbTidmOyf5nUyW4GCLurHCjexrLm_o        "",
      ""HTMLキャッシュ!A:F""
    ),
    6,
    FALSE
  ),
  0
)
"),"本日より、2020年度の生徒募集を開始致します。 ２月開講講座、個別指導の詳細については、下記をご覧下さいませ")</f>
        <v>本日より、2020年度の生徒募集を開始致します。 ２月開講講座、個別指導の詳細については、下記をご覧下さいませ</v>
      </c>
      <c r="E126" s="32">
        <f>IFERROR(__xludf.DUMMYFUNCTION("IFERROR(
  VLOOKUP(
    A126,
    IMPORTRANGE(
      ""1ZygntHC1J6IxzKbTidmOyf5nUyW4GCLurHCjexrLm_o        "",
      ""HTMLキャッシュ!A:F""
    ),
    3,
    FALSE
  ),
  0
)
"),43859.51230324074)</f>
        <v>43859.5123</v>
      </c>
      <c r="F126" s="49">
        <f>IFERROR(__xludf.DUMMYFUNCTION("IFERROR(
  VLOOKUP(
    A126,
    IMPORTRANGE(
      ""1ZHMy3vVUd_0MrSduXTe1etBb1HNpAlGwQr006ljwMiM"",
      ""GSC最新!A:F""
    ),
    2,
    FALSE
  ),
  0
)
"),0.0)</f>
        <v>0</v>
      </c>
      <c r="G126" s="49">
        <f>IFERROR(__xludf.DUMMYFUNCTION("IFERROR(
  VLOOKUP(
    A126,
    IMPORTRANGE(
      ""1ZHMy3vVUd_0MrSduXTe1etBb1HNpAlGwQr006ljwMiM"",
      ""GSC最新!A:F""
    ),
    3,
    FALSE
  ),
  0
)
"),0.0)</f>
        <v>0</v>
      </c>
      <c r="H126" s="49">
        <f>IFERROR(__xludf.DUMMYFUNCTION("IFERROR(
  VLOOKUP(
    A126,
    IMPORTRANGE(
      ""1ZHMy3vVUd_0MrSduXTe1etBb1HNpAlGwQr006ljwMiM"",
      ""GSC最新!A:F""
    ),
    4,
    FALSE
  ),
  0
)
"),0.0)</f>
        <v>0</v>
      </c>
      <c r="I126" s="49">
        <f>IFERROR(__xludf.DUMMYFUNCTION("IFERROR(
  VLOOKUP(
    A126,
    IMPORTRANGE(
      ""1ZHMy3vVUd_0MrSduXTe1etBb1HNpAlGwQr006ljwMiM"",
      ""GSC最新!A:F""
    ),
    5,
    FALSE
  ),
  0
)
"),0.0)</f>
        <v>0</v>
      </c>
      <c r="J126" s="50" t="str">
        <f t="shared" ref="J126:K126" si="621">IFERROR(F126/H126,"-")</f>
        <v>-</v>
      </c>
      <c r="K126" s="50" t="str">
        <f t="shared" si="621"/>
        <v>-</v>
      </c>
      <c r="L126" s="6">
        <f>IFERROR(__xludf.DUMMYFUNCTION("IFERROR(
  VLOOKUP(
    A126,
    IMPORTRANGE(
      ""1ZHMy3vVUd_0MrSduXTe1etBb1HNpAlGwQr006ljwMiM"",
      ""GSC最新!A:R""
    ),
    7,
    FALSE
  ),
  0
)
"),0.0)</f>
        <v>0</v>
      </c>
      <c r="M126" s="6">
        <f>IFERROR(__xludf.DUMMYFUNCTION("IFERROR(
  VLOOKUP(
    A126,
    IMPORTRANGE(
      ""1ZHMy3vVUd_0MrSduXTe1etBb1HNpAlGwQr006ljwMiM"",
      ""GSC最新!A:R""
    ),
    10,
    FALSE
  ),
  0
)
"),0.0)</f>
        <v>0</v>
      </c>
      <c r="N126" s="6">
        <f>IFERROR(__xludf.DUMMYFUNCTION("IFERROR(
  VLOOKUP(
    A126,
    IMPORTRANGE(
      ""1ZHMy3vVUd_0MrSduXTe1etBb1HNpAlGwQr006ljwMiM"",
      ""GSC最新!A:R""
    ),
    13,
    FALSE
  ),
  0
)
"),0.0)</f>
        <v>0</v>
      </c>
      <c r="O126" s="6">
        <f>IFERROR(__xludf.DUMMYFUNCTION("IFERROR(
  VLOOKUP(
    A126,
    IMPORTRANGE(
      ""1ZHMy3vVUd_0MrSduXTe1etBb1HNpAlGwQr006ljwMiM"",
      ""GSC最新!A:R""
    ),
    16,
    FALSE
  ),
  0
)
"),0.0)</f>
        <v>0</v>
      </c>
      <c r="P126" s="51" t="str">
        <f t="shared" ref="P126:Q126" si="622">IFERROR(L126/N126,"-")</f>
        <v>-</v>
      </c>
      <c r="Q126" s="51" t="str">
        <f t="shared" si="622"/>
        <v>-</v>
      </c>
      <c r="R126" s="9">
        <f>IFERROR(__xludf.DUMMYFUNCTION("IFERROR(
  VLOOKUP(
    A126,
    IMPORTRANGE(
      ""1ZHMy3vVUd_0MrSduXTe1etBb1HNpAlGwQr006ljwMiM"",
      ""GSC最新!A:R""
    ),
    8,
    FALSE
  ),
  0
)
"),0.0)</f>
        <v>0</v>
      </c>
      <c r="S126" s="9">
        <f>IFERROR(__xludf.DUMMYFUNCTION("IFERROR(
  VLOOKUP(
    A126,
    IMPORTRANGE(
      ""1ZHMy3vVUd_0MrSduXTe1etBb1HNpAlGwQr006ljwMiM"",
      ""GSC最新!A:R""
    ),
    11,
    FALSE
  ),
  0
)
"),0.0)</f>
        <v>0</v>
      </c>
      <c r="T126" s="9">
        <f>IFERROR(__xludf.DUMMYFUNCTION("IFERROR(
  VLOOKUP(
    A126,
    IMPORTRANGE(
      ""1ZHMy3vVUd_0MrSduXTe1etBb1HNpAlGwQr006ljwMiM"",
      ""GSC最新!A:R""
    ),
    14,
    FALSE
  ),
  0
)
"),0.0)</f>
        <v>0</v>
      </c>
      <c r="U126" s="9">
        <f>IFERROR(__xludf.DUMMYFUNCTION("IFERROR(
  VLOOKUP(
    A126,
    IMPORTRANGE(
      ""1ZHMy3vVUd_0MrSduXTe1etBb1HNpAlGwQr006ljwMiM"",
      ""GSC最新!A:R""
    ),
    17,
    FALSE
  ),
  0
)
"),0.0)</f>
        <v>0</v>
      </c>
      <c r="V126" s="9">
        <f t="shared" ref="V126:W126" si="623">IFERROR(R126-T126,"-")</f>
        <v>0</v>
      </c>
      <c r="W126" s="9">
        <f t="shared" si="623"/>
        <v>0</v>
      </c>
      <c r="X126" s="65" t="str">
        <f>IFERROR(__xludf.DUMMYFUNCTION("IFERROR(
  VLOOKUP(
    A126,
    IMPORTRANGE(
      ""1ZHMy3vVUd_0MrSduXTe1etBb1HNpAlGwQr006ljwMiM"",
      ""GSC最新!A:R""
    ),
    9,
    FALSE
  ),
  0
)
"),"")</f>
        <v/>
      </c>
      <c r="Y126" s="65" t="str">
        <f>IFERROR(__xludf.DUMMYFUNCTION("IFERROR(
  VLOOKUP(
    A126,
    IMPORTRANGE(
      ""1ZHMy3vVUd_0MrSduXTe1etBb1HNpAlGwQr006ljwMiM"",
      ""GSC最新!A:R""
    ),
    12,
    FALSE
  ),
  0
)
"),"")</f>
        <v/>
      </c>
      <c r="Z126" s="65" t="str">
        <f>IFERROR(__xludf.DUMMYFUNCTION("IFERROR(
  VLOOKUP(
    A126,
    IMPORTRANGE(
      ""1ZHMy3vVUd_0MrSduXTe1etBb1HNpAlGwQr006ljwMiM"",
      ""GSC最新!A:R""
    ),
    15,
    FALSE
  ),
  0
)
"),"")</f>
        <v/>
      </c>
      <c r="AA126" s="65" t="str">
        <f>IFERROR(__xludf.DUMMYFUNCTION("IFERROR(
  VLOOKUP(
    A126,
    IMPORTRANGE(
      ""1ZHMy3vVUd_0MrSduXTe1etBb1HNpAlGwQr006ljwMiM"",
      ""GSC最新!A:R""
    ),
    18,
    FALSE
  ),
  0
)
"),"")</f>
        <v/>
      </c>
      <c r="AB126" s="65">
        <f t="shared" ref="AB126:AC126" si="624">X126-Z126</f>
        <v>0</v>
      </c>
      <c r="AC126" s="65">
        <f t="shared" si="624"/>
        <v>0</v>
      </c>
      <c r="AD126" s="53">
        <f>IFERROR(__xludf.DUMMYFUNCTION("IFERROR(
  VLOOKUP(
    A126,
    IMPORTRANGE(
      ""1ZHMy3vVUd_0MrSduXTe1etBb1HNpAlGwQr006ljwMiM"",
      ""GSC最新!A:F""
    ),
    6,
    FALSE
  ),
  0
)
"),46081.0)</f>
        <v>46081</v>
      </c>
      <c r="AE126" s="54">
        <f>IFERROR(__xludf.DUMMYFUNCTION("IFERROR(
  VLOOKUP(
    A126,
    IMPORTRANGE(
      ""1SCYQd7_cobOYqT0r_F0IqD4tE4rYn5y8Eup4PJTH8es"",
      ""Snapshot!A:M""
    ),
    5,
    FALSE
  ),
  ""-""
)
"),0.0)</f>
        <v>0</v>
      </c>
      <c r="AF126" s="54">
        <f>IFERROR(__xludf.DUMMYFUNCTION("IFERROR(
  VLOOKUP(
    A126,
    IMPORTRANGE(
      ""1SCYQd7_cobOYqT0r_F0IqD4tE4rYn5y8Eup4PJTH8es"",
      ""Snapshot!A:M""
    ),
    6,
    FALSE
  ),
  0
)
"),0.0)</f>
        <v>0</v>
      </c>
      <c r="AG126" s="54">
        <f>IFERROR(__xludf.DUMMYFUNCTION("IFERROR(
  VLOOKUP(
    A126,
    IMPORTRANGE(
      ""1SCYQd7_cobOYqT0r_F0IqD4tE4rYn5y8Eup4PJTH8es"",
      ""Snapshot!A:M""
    ),
    7,
    FALSE
  ),
  0
)
"),333.0)</f>
        <v>333</v>
      </c>
      <c r="AH126" s="54">
        <f>IFERROR(__xludf.DUMMYFUNCTION("IFERROR(
  VLOOKUP(
    A126,
    IMPORTRANGE(
      ""1SCYQd7_cobOYqT0r_F0IqD4tE4rYn5y8Eup4PJTH8es"",
      ""Snapshot!A:M""
    ),
    8,
    FALSE
  ),
  0
)
"),3.0)</f>
        <v>3</v>
      </c>
      <c r="AI126" s="54">
        <f>IFERROR(__xludf.DUMMYFUNCTION("IFERROR(
  VLOOKUP(
    A126,
    IMPORTRANGE(
      ""1SCYQd7_cobOYqT0r_F0IqD4tE4rYn5y8Eup4PJTH8es"",
      ""Snapshot!A:M""
    ),
    9,
    FALSE
  ),
  0
)
"),1.0)</f>
        <v>1</v>
      </c>
      <c r="AJ126" s="54">
        <f>IFERROR(__xludf.DUMMYFUNCTION("IFERROR(
  VLOOKUP(
    A126,
    IMPORTRANGE(
      ""1SCYQd7_cobOYqT0r_F0IqD4tE4rYn5y8Eup4PJTH8es"",
      ""Snapshot!A:M""
    ),
    13,
    FALSE
  ),
  0
)
"),2.0)</f>
        <v>2</v>
      </c>
      <c r="AK126" s="49">
        <f t="shared" ref="AK126:AL126" si="625">LEN(C126)</f>
        <v>56</v>
      </c>
      <c r="AL126" s="49">
        <f t="shared" si="625"/>
        <v>55</v>
      </c>
    </row>
    <row r="127">
      <c r="A127" s="3" t="s">
        <v>806</v>
      </c>
      <c r="B127" s="1" t="str">
        <f>IFERROR(__xludf.DUMMYFUNCTION("IFERROR(
  VLOOKUP(
    A127,
    IMPORTRANGE(
      ""1ZygntHC1J6IxzKbTidmOyf5nUyW4GCLurHCjexrLm_o"",
      ""HTMLキャッシュ!A:F""
    ),
    2,
    FALSE
  ),
  0
)
"),"NW")</f>
        <v>NW</v>
      </c>
      <c r="C127" s="1" t="str">
        <f>IFERROR(__xludf.DUMMYFUNCTION("IFERROR(
  VLOOKUP(
    A127,
    IMPORTRANGE(
      ""1ZygntHC1J6IxzKbTidmOyf5nUyW4GCLurHCjexrLm_o"",
      ""HTMLキャッシュ!A:F""
    ),
    5,
    FALSE
  ),
  0
)
"),"2020年度夏期講習会開催のお知らせ - 中高一貫校専門塾エスコット(Escot)～定期試験対策から大学受験指導まで～")</f>
        <v>2020年度夏期講習会開催のお知らせ - 中高一貫校専門塾エスコット(Escot)～定期試験対策から大学受験指導まで～</v>
      </c>
      <c r="D127" s="1" t="str">
        <f>IFERROR(__xludf.DUMMYFUNCTION("IFERROR(
  VLOOKUP(
    A127,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27" s="32">
        <f>IFERROR(__xludf.DUMMYFUNCTION("IFERROR(
  VLOOKUP(
    A127,
    IMPORTRANGE(
      ""1ZygntHC1J6IxzKbTidmOyf5nUyW4GCLurHCjexrLm_o        "",
      ""HTMLキャッシュ!A:F""
    ),
    3,
    FALSE
  ),
  0
)
"),46069.83829861111)</f>
        <v>46069.8383</v>
      </c>
      <c r="F127" s="49">
        <f>IFERROR(__xludf.DUMMYFUNCTION("IFERROR(
  VLOOKUP(
    A127,
    IMPORTRANGE(
      ""1ZHMy3vVUd_0MrSduXTe1etBb1HNpAlGwQr006ljwMiM"",
      ""GSC最新!A:F""
    ),
    2,
    FALSE
  ),
  0
)
"),0.0)</f>
        <v>0</v>
      </c>
      <c r="G127" s="49">
        <f>IFERROR(__xludf.DUMMYFUNCTION("IFERROR(
  VLOOKUP(
    A127,
    IMPORTRANGE(
      ""1ZHMy3vVUd_0MrSduXTe1etBb1HNpAlGwQr006ljwMiM"",
      ""GSC最新!A:F""
    ),
    3,
    FALSE
  ),
  0
)
"),0.0)</f>
        <v>0</v>
      </c>
      <c r="H127" s="49">
        <f>IFERROR(__xludf.DUMMYFUNCTION("IFERROR(
  VLOOKUP(
    A127,
    IMPORTRANGE(
      ""1ZHMy3vVUd_0MrSduXTe1etBb1HNpAlGwQr006ljwMiM"",
      ""GSC最新!A:F""
    ),
    4,
    FALSE
  ),
  0
)
"),0.0)</f>
        <v>0</v>
      </c>
      <c r="I127" s="49">
        <f>IFERROR(__xludf.DUMMYFUNCTION("IFERROR(
  VLOOKUP(
    A127,
    IMPORTRANGE(
      ""1ZHMy3vVUd_0MrSduXTe1etBb1HNpAlGwQr006ljwMiM"",
      ""GSC最新!A:F""
    ),
    5,
    FALSE
  ),
  0
)
"),0.0)</f>
        <v>0</v>
      </c>
      <c r="J127" s="50" t="str">
        <f t="shared" ref="J127:K127" si="626">IFERROR(F127/H127,"-")</f>
        <v>-</v>
      </c>
      <c r="K127" s="50" t="str">
        <f t="shared" si="626"/>
        <v>-</v>
      </c>
      <c r="L127" s="6">
        <f>IFERROR(__xludf.DUMMYFUNCTION("IFERROR(
  VLOOKUP(
    A127,
    IMPORTRANGE(
      ""1ZHMy3vVUd_0MrSduXTe1etBb1HNpAlGwQr006ljwMiM"",
      ""GSC最新!A:R""
    ),
    7,
    FALSE
  ),
  0
)
"),0.0)</f>
        <v>0</v>
      </c>
      <c r="M127" s="6">
        <f>IFERROR(__xludf.DUMMYFUNCTION("IFERROR(
  VLOOKUP(
    A127,
    IMPORTRANGE(
      ""1ZHMy3vVUd_0MrSduXTe1etBb1HNpAlGwQr006ljwMiM"",
      ""GSC最新!A:R""
    ),
    10,
    FALSE
  ),
  0
)
"),0.0)</f>
        <v>0</v>
      </c>
      <c r="N127" s="6">
        <f>IFERROR(__xludf.DUMMYFUNCTION("IFERROR(
  VLOOKUP(
    A127,
    IMPORTRANGE(
      ""1ZHMy3vVUd_0MrSduXTe1etBb1HNpAlGwQr006ljwMiM"",
      ""GSC最新!A:R""
    ),
    13,
    FALSE
  ),
  0
)
"),0.0)</f>
        <v>0</v>
      </c>
      <c r="O127" s="6">
        <f>IFERROR(__xludf.DUMMYFUNCTION("IFERROR(
  VLOOKUP(
    A127,
    IMPORTRANGE(
      ""1ZHMy3vVUd_0MrSduXTe1etBb1HNpAlGwQr006ljwMiM"",
      ""GSC最新!A:R""
    ),
    16,
    FALSE
  ),
  0
)
"),0.0)</f>
        <v>0</v>
      </c>
      <c r="P127" s="51" t="str">
        <f t="shared" ref="P127:Q127" si="627">IFERROR(L127/N127,"-")</f>
        <v>-</v>
      </c>
      <c r="Q127" s="51" t="str">
        <f t="shared" si="627"/>
        <v>-</v>
      </c>
      <c r="R127" s="9">
        <f>IFERROR(__xludf.DUMMYFUNCTION("IFERROR(
  VLOOKUP(
    A127,
    IMPORTRANGE(
      ""1ZHMy3vVUd_0MrSduXTe1etBb1HNpAlGwQr006ljwMiM"",
      ""GSC最新!A:R""
    ),
    8,
    FALSE
  ),
  0
)
"),0.0)</f>
        <v>0</v>
      </c>
      <c r="S127" s="9">
        <f>IFERROR(__xludf.DUMMYFUNCTION("IFERROR(
  VLOOKUP(
    A127,
    IMPORTRANGE(
      ""1ZHMy3vVUd_0MrSduXTe1etBb1HNpAlGwQr006ljwMiM"",
      ""GSC最新!A:R""
    ),
    11,
    FALSE
  ),
  0
)
"),0.0)</f>
        <v>0</v>
      </c>
      <c r="T127" s="9">
        <f>IFERROR(__xludf.DUMMYFUNCTION("IFERROR(
  VLOOKUP(
    A127,
    IMPORTRANGE(
      ""1ZHMy3vVUd_0MrSduXTe1etBb1HNpAlGwQr006ljwMiM"",
      ""GSC最新!A:R""
    ),
    14,
    FALSE
  ),
  0
)
"),0.0)</f>
        <v>0</v>
      </c>
      <c r="U127" s="9">
        <f>IFERROR(__xludf.DUMMYFUNCTION("IFERROR(
  VLOOKUP(
    A127,
    IMPORTRANGE(
      ""1ZHMy3vVUd_0MrSduXTe1etBb1HNpAlGwQr006ljwMiM"",
      ""GSC最新!A:R""
    ),
    17,
    FALSE
  ),
  0
)
"),0.0)</f>
        <v>0</v>
      </c>
      <c r="V127" s="9">
        <f t="shared" ref="V127:W127" si="628">IFERROR(R127-T127,"-")</f>
        <v>0</v>
      </c>
      <c r="W127" s="9">
        <f t="shared" si="628"/>
        <v>0</v>
      </c>
      <c r="X127" s="65" t="str">
        <f>IFERROR(__xludf.DUMMYFUNCTION("IFERROR(
  VLOOKUP(
    A127,
    IMPORTRANGE(
      ""1ZHMy3vVUd_0MrSduXTe1etBb1HNpAlGwQr006ljwMiM"",
      ""GSC最新!A:R""
    ),
    9,
    FALSE
  ),
  0
)
"),"")</f>
        <v/>
      </c>
      <c r="Y127" s="65" t="str">
        <f>IFERROR(__xludf.DUMMYFUNCTION("IFERROR(
  VLOOKUP(
    A127,
    IMPORTRANGE(
      ""1ZHMy3vVUd_0MrSduXTe1etBb1HNpAlGwQr006ljwMiM"",
      ""GSC最新!A:R""
    ),
    12,
    FALSE
  ),
  0
)
"),"")</f>
        <v/>
      </c>
      <c r="Z127" s="65" t="str">
        <f>IFERROR(__xludf.DUMMYFUNCTION("IFERROR(
  VLOOKUP(
    A127,
    IMPORTRANGE(
      ""1ZHMy3vVUd_0MrSduXTe1etBb1HNpAlGwQr006ljwMiM"",
      ""GSC最新!A:R""
    ),
    15,
    FALSE
  ),
  0
)
"),"")</f>
        <v/>
      </c>
      <c r="AA127" s="65" t="str">
        <f>IFERROR(__xludf.DUMMYFUNCTION("IFERROR(
  VLOOKUP(
    A127,
    IMPORTRANGE(
      ""1ZHMy3vVUd_0MrSduXTe1etBb1HNpAlGwQr006ljwMiM"",
      ""GSC最新!A:R""
    ),
    18,
    FALSE
  ),
  0
)
"),"")</f>
        <v/>
      </c>
      <c r="AB127" s="65">
        <f t="shared" ref="AB127:AC127" si="629">X127-Z127</f>
        <v>0</v>
      </c>
      <c r="AC127" s="65">
        <f t="shared" si="629"/>
        <v>0</v>
      </c>
      <c r="AD127" s="53">
        <f>IFERROR(__xludf.DUMMYFUNCTION("IFERROR(
  VLOOKUP(
    A127,
    IMPORTRANGE(
      ""1ZHMy3vVUd_0MrSduXTe1etBb1HNpAlGwQr006ljwMiM"",
      ""GSC最新!A:F""
    ),
    6,
    FALSE
  ),
  0
)
"),46081.0)</f>
        <v>46081</v>
      </c>
      <c r="AE127" s="54">
        <f>IFERROR(__xludf.DUMMYFUNCTION("IFERROR(
  VLOOKUP(
    A127,
    IMPORTRANGE(
      ""1SCYQd7_cobOYqT0r_F0IqD4tE4rYn5y8Eup4PJTH8es"",
      ""Snapshot!A:M""
    ),
    5,
    FALSE
  ),
  ""-""
)
"),0.0)</f>
        <v>0</v>
      </c>
      <c r="AF127" s="54">
        <f>IFERROR(__xludf.DUMMYFUNCTION("IFERROR(
  VLOOKUP(
    A127,
    IMPORTRANGE(
      ""1SCYQd7_cobOYqT0r_F0IqD4tE4rYn5y8Eup4PJTH8es"",
      ""Snapshot!A:M""
    ),
    6,
    FALSE
  ),
  0
)
"),0.0)</f>
        <v>0</v>
      </c>
      <c r="AG127" s="54">
        <f>IFERROR(__xludf.DUMMYFUNCTION("IFERROR(
  VLOOKUP(
    A127,
    IMPORTRANGE(
      ""1SCYQd7_cobOYqT0r_F0IqD4tE4rYn5y8Eup4PJTH8es"",
      ""Snapshot!A:M""
    ),
    7,
    FALSE
  ),
  0
)
"),828.0)</f>
        <v>828</v>
      </c>
      <c r="AH127" s="54">
        <f>IFERROR(__xludf.DUMMYFUNCTION("IFERROR(
  VLOOKUP(
    A127,
    IMPORTRANGE(
      ""1SCYQd7_cobOYqT0r_F0IqD4tE4rYn5y8Eup4PJTH8es"",
      ""Snapshot!A:M""
    ),
    8,
    FALSE
  ),
  0
)
"),1.0)</f>
        <v>1</v>
      </c>
      <c r="AI127" s="54">
        <f>IFERROR(__xludf.DUMMYFUNCTION("IFERROR(
  VLOOKUP(
    A127,
    IMPORTRANGE(
      ""1SCYQd7_cobOYqT0r_F0IqD4tE4rYn5y8Eup4PJTH8es"",
      ""Snapshot!A:M""
    ),
    9,
    FALSE
  ),
  0
)
"),2.0)</f>
        <v>2</v>
      </c>
      <c r="AJ127" s="54">
        <f>IFERROR(__xludf.DUMMYFUNCTION("IFERROR(
  VLOOKUP(
    A127,
    IMPORTRANGE(
      ""1SCYQd7_cobOYqT0r_F0IqD4tE4rYn5y8Eup4PJTH8es"",
      ""Snapshot!A:M""
    ),
    13,
    FALSE
  ),
  0
)
"),2.0)</f>
        <v>2</v>
      </c>
      <c r="AK127" s="49">
        <f t="shared" ref="AK127:AL127" si="630">LEN(C127)</f>
        <v>59</v>
      </c>
      <c r="AL127" s="49">
        <f t="shared" si="630"/>
        <v>55</v>
      </c>
    </row>
    <row r="128">
      <c r="A128" s="3" t="s">
        <v>807</v>
      </c>
      <c r="B128" s="1" t="str">
        <f>IFERROR(__xludf.DUMMYFUNCTION("IFERROR(
  VLOOKUP(
    A128,
    IMPORTRANGE(
      ""1ZygntHC1J6IxzKbTidmOyf5nUyW4GCLurHCjexrLm_o"",
      ""HTMLキャッシュ!A:F""
    ),
    2,
    FALSE
  ),
  0
)
"),"NW")</f>
        <v>NW</v>
      </c>
      <c r="C128" s="1" t="str">
        <f>IFERROR(__xludf.DUMMYFUNCTION("IFERROR(
  VLOOKUP(
    A128,
    IMPORTRANGE(
      ""1ZygntHC1J6IxzKbTidmOyf5nUyW4GCLurHCjexrLm_o"",
      ""HTMLキャッシュ!A:F""
    ),
    5,
    FALSE
  ),
  0
)
"),"2020年度冬期講習開講のお知らせ - 中高一貫校専門塾エスコット(Escot)～定期試験対策から大学受験指導まで～")</f>
        <v>2020年度冬期講習開講のお知らせ - 中高一貫校専門塾エスコット(Escot)～定期試験対策から大学受験指導まで～</v>
      </c>
      <c r="D128" s="1" t="str">
        <f>IFERROR(__xludf.DUMMYFUNCTION("IFERROR(
  VLOOKUP(
    A128,
    IMPORTRANGE(
      ""1ZygntHC1J6IxzKbTidmOyf5nUyW4GCLurHCjexrLm_o        "",
      ""HTMLキャッシュ!A:F""
    ),
    6,
    FALSE
  ),
  0
)
"),"当塾では冬期講習会を実施させて頂く運びとなりました。 現在当塾に通塾されている塾生の皆さんは勿論のこと、 普段")</f>
        <v>当塾では冬期講習会を実施させて頂く運びとなりました。 現在当塾に通塾されている塾生の皆さんは勿論のこと、 普段</v>
      </c>
      <c r="E128" s="32">
        <f>IFERROR(__xludf.DUMMYFUNCTION("IFERROR(
  VLOOKUP(
    A128,
    IMPORTRANGE(
      ""1ZygntHC1J6IxzKbTidmOyf5nUyW4GCLurHCjexrLm_o        "",
      ""HTMLキャッシュ!A:F""
    ),
    3,
    FALSE
  ),
  0
)
"),46069.84008101852)</f>
        <v>46069.84008</v>
      </c>
      <c r="F128" s="49">
        <f>IFERROR(__xludf.DUMMYFUNCTION("IFERROR(
  VLOOKUP(
    A128,
    IMPORTRANGE(
      ""1ZHMy3vVUd_0MrSduXTe1etBb1HNpAlGwQr006ljwMiM"",
      ""GSC最新!A:F""
    ),
    2,
    FALSE
  ),
  0
)
"),0.0)</f>
        <v>0</v>
      </c>
      <c r="G128" s="49">
        <f>IFERROR(__xludf.DUMMYFUNCTION("IFERROR(
  VLOOKUP(
    A128,
    IMPORTRANGE(
      ""1ZHMy3vVUd_0MrSduXTe1etBb1HNpAlGwQr006ljwMiM"",
      ""GSC最新!A:F""
    ),
    3,
    FALSE
  ),
  0
)
"),0.0)</f>
        <v>0</v>
      </c>
      <c r="H128" s="49">
        <f>IFERROR(__xludf.DUMMYFUNCTION("IFERROR(
  VLOOKUP(
    A128,
    IMPORTRANGE(
      ""1ZHMy3vVUd_0MrSduXTe1etBb1HNpAlGwQr006ljwMiM"",
      ""GSC最新!A:F""
    ),
    4,
    FALSE
  ),
  0
)
"),0.0)</f>
        <v>0</v>
      </c>
      <c r="I128" s="49">
        <f>IFERROR(__xludf.DUMMYFUNCTION("IFERROR(
  VLOOKUP(
    A128,
    IMPORTRANGE(
      ""1ZHMy3vVUd_0MrSduXTe1etBb1HNpAlGwQr006ljwMiM"",
      ""GSC最新!A:F""
    ),
    5,
    FALSE
  ),
  0
)
"),0.0)</f>
        <v>0</v>
      </c>
      <c r="J128" s="50" t="str">
        <f t="shared" ref="J128:K128" si="631">IFERROR(F128/H128,"-")</f>
        <v>-</v>
      </c>
      <c r="K128" s="50" t="str">
        <f t="shared" si="631"/>
        <v>-</v>
      </c>
      <c r="L128" s="6">
        <f>IFERROR(__xludf.DUMMYFUNCTION("IFERROR(
  VLOOKUP(
    A128,
    IMPORTRANGE(
      ""1ZHMy3vVUd_0MrSduXTe1etBb1HNpAlGwQr006ljwMiM"",
      ""GSC最新!A:R""
    ),
    7,
    FALSE
  ),
  0
)
"),0.0)</f>
        <v>0</v>
      </c>
      <c r="M128" s="6">
        <f>IFERROR(__xludf.DUMMYFUNCTION("IFERROR(
  VLOOKUP(
    A128,
    IMPORTRANGE(
      ""1ZHMy3vVUd_0MrSduXTe1etBb1HNpAlGwQr006ljwMiM"",
      ""GSC最新!A:R""
    ),
    10,
    FALSE
  ),
  0
)
"),0.0)</f>
        <v>0</v>
      </c>
      <c r="N128" s="6">
        <f>IFERROR(__xludf.DUMMYFUNCTION("IFERROR(
  VLOOKUP(
    A128,
    IMPORTRANGE(
      ""1ZHMy3vVUd_0MrSduXTe1etBb1HNpAlGwQr006ljwMiM"",
      ""GSC最新!A:R""
    ),
    13,
    FALSE
  ),
  0
)
"),0.0)</f>
        <v>0</v>
      </c>
      <c r="O128" s="6">
        <f>IFERROR(__xludf.DUMMYFUNCTION("IFERROR(
  VLOOKUP(
    A128,
    IMPORTRANGE(
      ""1ZHMy3vVUd_0MrSduXTe1etBb1HNpAlGwQr006ljwMiM"",
      ""GSC最新!A:R""
    ),
    16,
    FALSE
  ),
  0
)
"),0.0)</f>
        <v>0</v>
      </c>
      <c r="P128" s="51" t="str">
        <f t="shared" ref="P128:Q128" si="632">IFERROR(L128/N128,"-")</f>
        <v>-</v>
      </c>
      <c r="Q128" s="51" t="str">
        <f t="shared" si="632"/>
        <v>-</v>
      </c>
      <c r="R128" s="9">
        <f>IFERROR(__xludf.DUMMYFUNCTION("IFERROR(
  VLOOKUP(
    A128,
    IMPORTRANGE(
      ""1ZHMy3vVUd_0MrSduXTe1etBb1HNpAlGwQr006ljwMiM"",
      ""GSC最新!A:R""
    ),
    8,
    FALSE
  ),
  0
)
"),0.0)</f>
        <v>0</v>
      </c>
      <c r="S128" s="9">
        <f>IFERROR(__xludf.DUMMYFUNCTION("IFERROR(
  VLOOKUP(
    A128,
    IMPORTRANGE(
      ""1ZHMy3vVUd_0MrSduXTe1etBb1HNpAlGwQr006ljwMiM"",
      ""GSC最新!A:R""
    ),
    11,
    FALSE
  ),
  0
)
"),0.0)</f>
        <v>0</v>
      </c>
      <c r="T128" s="9">
        <f>IFERROR(__xludf.DUMMYFUNCTION("IFERROR(
  VLOOKUP(
    A128,
    IMPORTRANGE(
      ""1ZHMy3vVUd_0MrSduXTe1etBb1HNpAlGwQr006ljwMiM"",
      ""GSC最新!A:R""
    ),
    14,
    FALSE
  ),
  0
)
"),0.0)</f>
        <v>0</v>
      </c>
      <c r="U128" s="9">
        <f>IFERROR(__xludf.DUMMYFUNCTION("IFERROR(
  VLOOKUP(
    A128,
    IMPORTRANGE(
      ""1ZHMy3vVUd_0MrSduXTe1etBb1HNpAlGwQr006ljwMiM"",
      ""GSC最新!A:R""
    ),
    17,
    FALSE
  ),
  0
)
"),0.0)</f>
        <v>0</v>
      </c>
      <c r="V128" s="9">
        <f t="shared" ref="V128:W128" si="633">IFERROR(R128-T128,"-")</f>
        <v>0</v>
      </c>
      <c r="W128" s="9">
        <f t="shared" si="633"/>
        <v>0</v>
      </c>
      <c r="X128" s="65" t="str">
        <f>IFERROR(__xludf.DUMMYFUNCTION("IFERROR(
  VLOOKUP(
    A128,
    IMPORTRANGE(
      ""1ZHMy3vVUd_0MrSduXTe1etBb1HNpAlGwQr006ljwMiM"",
      ""GSC最新!A:R""
    ),
    9,
    FALSE
  ),
  0
)
"),"")</f>
        <v/>
      </c>
      <c r="Y128" s="65" t="str">
        <f>IFERROR(__xludf.DUMMYFUNCTION("IFERROR(
  VLOOKUP(
    A128,
    IMPORTRANGE(
      ""1ZHMy3vVUd_0MrSduXTe1etBb1HNpAlGwQr006ljwMiM"",
      ""GSC最新!A:R""
    ),
    12,
    FALSE
  ),
  0
)
"),"")</f>
        <v/>
      </c>
      <c r="Z128" s="65" t="str">
        <f>IFERROR(__xludf.DUMMYFUNCTION("IFERROR(
  VLOOKUP(
    A128,
    IMPORTRANGE(
      ""1ZHMy3vVUd_0MrSduXTe1etBb1HNpAlGwQr006ljwMiM"",
      ""GSC最新!A:R""
    ),
    15,
    FALSE
  ),
  0
)
"),"")</f>
        <v/>
      </c>
      <c r="AA128" s="65" t="str">
        <f>IFERROR(__xludf.DUMMYFUNCTION("IFERROR(
  VLOOKUP(
    A128,
    IMPORTRANGE(
      ""1ZHMy3vVUd_0MrSduXTe1etBb1HNpAlGwQr006ljwMiM"",
      ""GSC最新!A:R""
    ),
    18,
    FALSE
  ),
  0
)
"),"")</f>
        <v/>
      </c>
      <c r="AB128" s="65">
        <f t="shared" ref="AB128:AC128" si="634">X128-Z128</f>
        <v>0</v>
      </c>
      <c r="AC128" s="65">
        <f t="shared" si="634"/>
        <v>0</v>
      </c>
      <c r="AD128" s="53">
        <f>IFERROR(__xludf.DUMMYFUNCTION("IFERROR(
  VLOOKUP(
    A128,
    IMPORTRANGE(
      ""1ZHMy3vVUd_0MrSduXTe1etBb1HNpAlGwQr006ljwMiM"",
      ""GSC最新!A:F""
    ),
    6,
    FALSE
  ),
  0
)
"),46081.0)</f>
        <v>46081</v>
      </c>
      <c r="AE128" s="54">
        <f>IFERROR(__xludf.DUMMYFUNCTION("IFERROR(
  VLOOKUP(
    A128,
    IMPORTRANGE(
      ""1SCYQd7_cobOYqT0r_F0IqD4tE4rYn5y8Eup4PJTH8es"",
      ""Snapshot!A:M""
    ),
    5,
    FALSE
  ),
  ""-""
)
"),0.0)</f>
        <v>0</v>
      </c>
      <c r="AF128" s="54">
        <f>IFERROR(__xludf.DUMMYFUNCTION("IFERROR(
  VLOOKUP(
    A128,
    IMPORTRANGE(
      ""1SCYQd7_cobOYqT0r_F0IqD4tE4rYn5y8Eup4PJTH8es"",
      ""Snapshot!A:M""
    ),
    6,
    FALSE
  ),
  0
)
"),0.0)</f>
        <v>0</v>
      </c>
      <c r="AG128" s="54">
        <f>IFERROR(__xludf.DUMMYFUNCTION("IFERROR(
  VLOOKUP(
    A128,
    IMPORTRANGE(
      ""1SCYQd7_cobOYqT0r_F0IqD4tE4rYn5y8Eup4PJTH8es"",
      ""Snapshot!A:M""
    ),
    7,
    FALSE
  ),
  0
)
"),687.0)</f>
        <v>687</v>
      </c>
      <c r="AH128" s="54">
        <f>IFERROR(__xludf.DUMMYFUNCTION("IFERROR(
  VLOOKUP(
    A128,
    IMPORTRANGE(
      ""1SCYQd7_cobOYqT0r_F0IqD4tE4rYn5y8Eup4PJTH8es"",
      ""Snapshot!A:M""
    ),
    8,
    FALSE
  ),
  0
)
"),2.0)</f>
        <v>2</v>
      </c>
      <c r="AI128" s="54">
        <f>IFERROR(__xludf.DUMMYFUNCTION("IFERROR(
  VLOOKUP(
    A128,
    IMPORTRANGE(
      ""1SCYQd7_cobOYqT0r_F0IqD4tE4rYn5y8Eup4PJTH8es"",
      ""Snapshot!A:M""
    ),
    9,
    FALSE
  ),
  0
)
"),2.0)</f>
        <v>2</v>
      </c>
      <c r="AJ128" s="54">
        <f>IFERROR(__xludf.DUMMYFUNCTION("IFERROR(
  VLOOKUP(
    A128,
    IMPORTRANGE(
      ""1SCYQd7_cobOYqT0r_F0IqD4tE4rYn5y8Eup4PJTH8es"",
      ""Snapshot!A:M""
    ),
    13,
    FALSE
  ),
  0
)
"),2.0)</f>
        <v>2</v>
      </c>
      <c r="AK128" s="49">
        <f t="shared" ref="AK128:AL128" si="635">LEN(C128)</f>
        <v>58</v>
      </c>
      <c r="AL128" s="49">
        <f t="shared" si="635"/>
        <v>55</v>
      </c>
    </row>
    <row r="129">
      <c r="A129" s="3" t="s">
        <v>808</v>
      </c>
      <c r="B129" s="1" t="str">
        <f>IFERROR(__xludf.DUMMYFUNCTION("IFERROR(
  VLOOKUP(
    A129,
    IMPORTRANGE(
      ""1ZygntHC1J6IxzKbTidmOyf5nUyW4GCLurHCjexrLm_o"",
      ""HTMLキャッシュ!A:F""
    ),
    2,
    FALSE
  ),
  0
)
"),"NW")</f>
        <v>NW</v>
      </c>
      <c r="C129" s="1" t="str">
        <f>IFERROR(__xludf.DUMMYFUNCTION("IFERROR(
  VLOOKUP(
    A129,
    IMPORTRANGE(
      ""1ZygntHC1J6IxzKbTidmOyf5nUyW4GCLurHCjexrLm_o"",
      ""HTMLキャッシュ!A:F""
    ),
    5,
    FALSE
  ),
  0
)
"),"2021年度春期講習のお知らせ - 中高一貫校専門塾エスコット(Escot)～定期試験対策から大学受験指導まで～")</f>
        <v>2021年度春期講習のお知らせ - 中高一貫校専門塾エスコット(Escot)～定期試験対策から大学受験指導まで～</v>
      </c>
      <c r="D129" s="1" t="str">
        <f>IFERROR(__xludf.DUMMYFUNCTION("IFERROR(
  VLOOKUP(
    A129,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29" s="32">
        <f>IFERROR(__xludf.DUMMYFUNCTION("IFERROR(
  VLOOKUP(
    A129,
    IMPORTRANGE(
      ""1ZygntHC1J6IxzKbTidmOyf5nUyW4GCLurHCjexrLm_o        "",
      ""HTMLキャッシュ!A:F""
    ),
    3,
    FALSE
  ),
  0
)
"),44263.67149305555)</f>
        <v>44263.67149</v>
      </c>
      <c r="F129" s="49">
        <f>IFERROR(__xludf.DUMMYFUNCTION("IFERROR(
  VLOOKUP(
    A129,
    IMPORTRANGE(
      ""1ZHMy3vVUd_0MrSduXTe1etBb1HNpAlGwQr006ljwMiM"",
      ""GSC最新!A:F""
    ),
    2,
    FALSE
  ),
  0
)
"),0.0)</f>
        <v>0</v>
      </c>
      <c r="G129" s="49">
        <f>IFERROR(__xludf.DUMMYFUNCTION("IFERROR(
  VLOOKUP(
    A129,
    IMPORTRANGE(
      ""1ZHMy3vVUd_0MrSduXTe1etBb1HNpAlGwQr006ljwMiM"",
      ""GSC最新!A:F""
    ),
    3,
    FALSE
  ),
  0
)
"),0.0)</f>
        <v>0</v>
      </c>
      <c r="H129" s="49">
        <f>IFERROR(__xludf.DUMMYFUNCTION("IFERROR(
  VLOOKUP(
    A129,
    IMPORTRANGE(
      ""1ZHMy3vVUd_0MrSduXTe1etBb1HNpAlGwQr006ljwMiM"",
      ""GSC最新!A:F""
    ),
    4,
    FALSE
  ),
  0
)
"),0.0)</f>
        <v>0</v>
      </c>
      <c r="I129" s="49">
        <f>IFERROR(__xludf.DUMMYFUNCTION("IFERROR(
  VLOOKUP(
    A129,
    IMPORTRANGE(
      ""1ZHMy3vVUd_0MrSduXTe1etBb1HNpAlGwQr006ljwMiM"",
      ""GSC最新!A:F""
    ),
    5,
    FALSE
  ),
  0
)
"),0.0)</f>
        <v>0</v>
      </c>
      <c r="J129" s="50" t="str">
        <f t="shared" ref="J129:K129" si="636">IFERROR(F129/H129,"-")</f>
        <v>-</v>
      </c>
      <c r="K129" s="50" t="str">
        <f t="shared" si="636"/>
        <v>-</v>
      </c>
      <c r="L129" s="6">
        <f>IFERROR(__xludf.DUMMYFUNCTION("IFERROR(
  VLOOKUP(
    A129,
    IMPORTRANGE(
      ""1ZHMy3vVUd_0MrSduXTe1etBb1HNpAlGwQr006ljwMiM"",
      ""GSC最新!A:R""
    ),
    7,
    FALSE
  ),
  0
)
"),0.0)</f>
        <v>0</v>
      </c>
      <c r="M129" s="6">
        <f>IFERROR(__xludf.DUMMYFUNCTION("IFERROR(
  VLOOKUP(
    A129,
    IMPORTRANGE(
      ""1ZHMy3vVUd_0MrSduXTe1etBb1HNpAlGwQr006ljwMiM"",
      ""GSC最新!A:R""
    ),
    10,
    FALSE
  ),
  0
)
"),0.0)</f>
        <v>0</v>
      </c>
      <c r="N129" s="6">
        <f>IFERROR(__xludf.DUMMYFUNCTION("IFERROR(
  VLOOKUP(
    A129,
    IMPORTRANGE(
      ""1ZHMy3vVUd_0MrSduXTe1etBb1HNpAlGwQr006ljwMiM"",
      ""GSC最新!A:R""
    ),
    13,
    FALSE
  ),
  0
)
"),0.0)</f>
        <v>0</v>
      </c>
      <c r="O129" s="6">
        <f>IFERROR(__xludf.DUMMYFUNCTION("IFERROR(
  VLOOKUP(
    A129,
    IMPORTRANGE(
      ""1ZHMy3vVUd_0MrSduXTe1etBb1HNpAlGwQr006ljwMiM"",
      ""GSC最新!A:R""
    ),
    16,
    FALSE
  ),
  0
)
"),0.0)</f>
        <v>0</v>
      </c>
      <c r="P129" s="51" t="str">
        <f t="shared" ref="P129:Q129" si="637">IFERROR(L129/N129,"-")</f>
        <v>-</v>
      </c>
      <c r="Q129" s="51" t="str">
        <f t="shared" si="637"/>
        <v>-</v>
      </c>
      <c r="R129" s="9">
        <f>IFERROR(__xludf.DUMMYFUNCTION("IFERROR(
  VLOOKUP(
    A129,
    IMPORTRANGE(
      ""1ZHMy3vVUd_0MrSduXTe1etBb1HNpAlGwQr006ljwMiM"",
      ""GSC最新!A:R""
    ),
    8,
    FALSE
  ),
  0
)
"),0.0)</f>
        <v>0</v>
      </c>
      <c r="S129" s="9">
        <f>IFERROR(__xludf.DUMMYFUNCTION("IFERROR(
  VLOOKUP(
    A129,
    IMPORTRANGE(
      ""1ZHMy3vVUd_0MrSduXTe1etBb1HNpAlGwQr006ljwMiM"",
      ""GSC最新!A:R""
    ),
    11,
    FALSE
  ),
  0
)
"),0.0)</f>
        <v>0</v>
      </c>
      <c r="T129" s="9">
        <f>IFERROR(__xludf.DUMMYFUNCTION("IFERROR(
  VLOOKUP(
    A129,
    IMPORTRANGE(
      ""1ZHMy3vVUd_0MrSduXTe1etBb1HNpAlGwQr006ljwMiM"",
      ""GSC最新!A:R""
    ),
    14,
    FALSE
  ),
  0
)
"),0.0)</f>
        <v>0</v>
      </c>
      <c r="U129" s="9">
        <f>IFERROR(__xludf.DUMMYFUNCTION("IFERROR(
  VLOOKUP(
    A129,
    IMPORTRANGE(
      ""1ZHMy3vVUd_0MrSduXTe1etBb1HNpAlGwQr006ljwMiM"",
      ""GSC最新!A:R""
    ),
    17,
    FALSE
  ),
  0
)
"),0.0)</f>
        <v>0</v>
      </c>
      <c r="V129" s="9">
        <f t="shared" ref="V129:W129" si="638">IFERROR(R129-T129,"-")</f>
        <v>0</v>
      </c>
      <c r="W129" s="9">
        <f t="shared" si="638"/>
        <v>0</v>
      </c>
      <c r="X129" s="65" t="str">
        <f>IFERROR(__xludf.DUMMYFUNCTION("IFERROR(
  VLOOKUP(
    A129,
    IMPORTRANGE(
      ""1ZHMy3vVUd_0MrSduXTe1etBb1HNpAlGwQr006ljwMiM"",
      ""GSC最新!A:R""
    ),
    9,
    FALSE
  ),
  0
)
"),"")</f>
        <v/>
      </c>
      <c r="Y129" s="65" t="str">
        <f>IFERROR(__xludf.DUMMYFUNCTION("IFERROR(
  VLOOKUP(
    A129,
    IMPORTRANGE(
      ""1ZHMy3vVUd_0MrSduXTe1etBb1HNpAlGwQr006ljwMiM"",
      ""GSC最新!A:R""
    ),
    12,
    FALSE
  ),
  0
)
"),"")</f>
        <v/>
      </c>
      <c r="Z129" s="65" t="str">
        <f>IFERROR(__xludf.DUMMYFUNCTION("IFERROR(
  VLOOKUP(
    A129,
    IMPORTRANGE(
      ""1ZHMy3vVUd_0MrSduXTe1etBb1HNpAlGwQr006ljwMiM"",
      ""GSC最新!A:R""
    ),
    15,
    FALSE
  ),
  0
)
"),"")</f>
        <v/>
      </c>
      <c r="AA129" s="65" t="str">
        <f>IFERROR(__xludf.DUMMYFUNCTION("IFERROR(
  VLOOKUP(
    A129,
    IMPORTRANGE(
      ""1ZHMy3vVUd_0MrSduXTe1etBb1HNpAlGwQr006ljwMiM"",
      ""GSC最新!A:R""
    ),
    18,
    FALSE
  ),
  0
)
"),"")</f>
        <v/>
      </c>
      <c r="AB129" s="65">
        <f t="shared" ref="AB129:AC129" si="639">X129-Z129</f>
        <v>0</v>
      </c>
      <c r="AC129" s="65">
        <f t="shared" si="639"/>
        <v>0</v>
      </c>
      <c r="AD129" s="53">
        <f>IFERROR(__xludf.DUMMYFUNCTION("IFERROR(
  VLOOKUP(
    A129,
    IMPORTRANGE(
      ""1ZHMy3vVUd_0MrSduXTe1etBb1HNpAlGwQr006ljwMiM"",
      ""GSC最新!A:F""
    ),
    6,
    FALSE
  ),
  0
)
"),46081.0)</f>
        <v>46081</v>
      </c>
      <c r="AE129" s="54">
        <f>IFERROR(__xludf.DUMMYFUNCTION("IFERROR(
  VLOOKUP(
    A129,
    IMPORTRANGE(
      ""1SCYQd7_cobOYqT0r_F0IqD4tE4rYn5y8Eup4PJTH8es"",
      ""Snapshot!A:M""
    ),
    5,
    FALSE
  ),
  ""-""
)
"),0.0)</f>
        <v>0</v>
      </c>
      <c r="AF129" s="54">
        <f>IFERROR(__xludf.DUMMYFUNCTION("IFERROR(
  VLOOKUP(
    A129,
    IMPORTRANGE(
      ""1SCYQd7_cobOYqT0r_F0IqD4tE4rYn5y8Eup4PJTH8es"",
      ""Snapshot!A:M""
    ),
    6,
    FALSE
  ),
  0
)
"),0.0)</f>
        <v>0</v>
      </c>
      <c r="AG129" s="54">
        <f>IFERROR(__xludf.DUMMYFUNCTION("IFERROR(
  VLOOKUP(
    A129,
    IMPORTRANGE(
      ""1SCYQd7_cobOYqT0r_F0IqD4tE4rYn5y8Eup4PJTH8es"",
      ""Snapshot!A:M""
    ),
    7,
    FALSE
  ),
  0
)
"),750.0)</f>
        <v>750</v>
      </c>
      <c r="AH129" s="54">
        <f>IFERROR(__xludf.DUMMYFUNCTION("IFERROR(
  VLOOKUP(
    A129,
    IMPORTRANGE(
      ""1SCYQd7_cobOYqT0r_F0IqD4tE4rYn5y8Eup4PJTH8es"",
      ""Snapshot!A:M""
    ),
    8,
    FALSE
  ),
  0
)
"),1.0)</f>
        <v>1</v>
      </c>
      <c r="AI129" s="54">
        <f>IFERROR(__xludf.DUMMYFUNCTION("IFERROR(
  VLOOKUP(
    A129,
    IMPORTRANGE(
      ""1SCYQd7_cobOYqT0r_F0IqD4tE4rYn5y8Eup4PJTH8es"",
      ""Snapshot!A:M""
    ),
    9,
    FALSE
  ),
  0
)
"),1.0)</f>
        <v>1</v>
      </c>
      <c r="AJ129" s="54">
        <f>IFERROR(__xludf.DUMMYFUNCTION("IFERROR(
  VLOOKUP(
    A129,
    IMPORTRANGE(
      ""1SCYQd7_cobOYqT0r_F0IqD4tE4rYn5y8Eup4PJTH8es"",
      ""Snapshot!A:M""
    ),
    13,
    FALSE
  ),
  0
)
"),2.0)</f>
        <v>2</v>
      </c>
      <c r="AK129" s="49">
        <f t="shared" ref="AK129:AL129" si="640">LEN(C129)</f>
        <v>56</v>
      </c>
      <c r="AL129" s="49">
        <f t="shared" si="640"/>
        <v>55</v>
      </c>
    </row>
    <row r="130">
      <c r="A130" s="3" t="s">
        <v>809</v>
      </c>
      <c r="B130" s="1" t="str">
        <f>IFERROR(__xludf.DUMMYFUNCTION("IFERROR(
  VLOOKUP(
    A130,
    IMPORTRANGE(
      ""1ZygntHC1J6IxzKbTidmOyf5nUyW4GCLurHCjexrLm_o"",
      ""HTMLキャッシュ!A:F""
    ),
    2,
    FALSE
  ),
  0
)
"),"NW")</f>
        <v>NW</v>
      </c>
      <c r="C130" s="1" t="str">
        <f>IFERROR(__xludf.DUMMYFUNCTION("IFERROR(
  VLOOKUP(
    A130,
    IMPORTRANGE(
      ""1ZygntHC1J6IxzKbTidmOyf5nUyW4GCLurHCjexrLm_o"",
      ""HTMLキャッシュ!A:F""
    ),
    5,
    FALSE
  ),
  0
)
"),"「基礎力Stadium 国語のトリガー」開校のお知らせ - 中高一貫校専門塾エスコット(Escot)～定期試験対策から大学受験指導まで～")</f>
        <v>「基礎力Stadium 国語のトリガー」開校のお知らせ - 中高一貫校専門塾エスコット(Escot)～定期試験対策から大学受験指導まで～</v>
      </c>
      <c r="D130" s="1" t="str">
        <f>IFERROR(__xludf.DUMMYFUNCTION("IFERROR(
  VLOOKUP(
    A130,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130" s="32">
        <f>IFERROR(__xludf.DUMMYFUNCTION("IFERROR(
  VLOOKUP(
    A130,
    IMPORTRANGE(
      ""1ZygntHC1J6IxzKbTidmOyf5nUyW4GCLurHCjexrLm_o        "",
      ""HTMLキャッシュ!A:F""
    ),
    3,
    FALSE
  ),
  0
)
"),44292.46545138889)</f>
        <v>44292.46545</v>
      </c>
      <c r="F130" s="49">
        <f>IFERROR(__xludf.DUMMYFUNCTION("IFERROR(
  VLOOKUP(
    A130,
    IMPORTRANGE(
      ""1ZHMy3vVUd_0MrSduXTe1etBb1HNpAlGwQr006ljwMiM"",
      ""GSC最新!A:F""
    ),
    2,
    FALSE
  ),
  0
)
"),0.0)</f>
        <v>0</v>
      </c>
      <c r="G130" s="49">
        <f>IFERROR(__xludf.DUMMYFUNCTION("IFERROR(
  VLOOKUP(
    A130,
    IMPORTRANGE(
      ""1ZHMy3vVUd_0MrSduXTe1etBb1HNpAlGwQr006ljwMiM"",
      ""GSC最新!A:F""
    ),
    3,
    FALSE
  ),
  0
)
"),0.0)</f>
        <v>0</v>
      </c>
      <c r="H130" s="49">
        <f>IFERROR(__xludf.DUMMYFUNCTION("IFERROR(
  VLOOKUP(
    A130,
    IMPORTRANGE(
      ""1ZHMy3vVUd_0MrSduXTe1etBb1HNpAlGwQr006ljwMiM"",
      ""GSC最新!A:F""
    ),
    4,
    FALSE
  ),
  0
)
"),0.0)</f>
        <v>0</v>
      </c>
      <c r="I130" s="49">
        <f>IFERROR(__xludf.DUMMYFUNCTION("IFERROR(
  VLOOKUP(
    A130,
    IMPORTRANGE(
      ""1ZHMy3vVUd_0MrSduXTe1etBb1HNpAlGwQr006ljwMiM"",
      ""GSC最新!A:F""
    ),
    5,
    FALSE
  ),
  0
)
"),0.0)</f>
        <v>0</v>
      </c>
      <c r="J130" s="50" t="str">
        <f t="shared" ref="J130:K130" si="641">IFERROR(F130/H130,"-")</f>
        <v>-</v>
      </c>
      <c r="K130" s="50" t="str">
        <f t="shared" si="641"/>
        <v>-</v>
      </c>
      <c r="L130" s="6">
        <f>IFERROR(__xludf.DUMMYFUNCTION("IFERROR(
  VLOOKUP(
    A130,
    IMPORTRANGE(
      ""1ZHMy3vVUd_0MrSduXTe1etBb1HNpAlGwQr006ljwMiM"",
      ""GSC最新!A:R""
    ),
    7,
    FALSE
  ),
  0
)
"),0.0)</f>
        <v>0</v>
      </c>
      <c r="M130" s="6">
        <f>IFERROR(__xludf.DUMMYFUNCTION("IFERROR(
  VLOOKUP(
    A130,
    IMPORTRANGE(
      ""1ZHMy3vVUd_0MrSduXTe1etBb1HNpAlGwQr006ljwMiM"",
      ""GSC最新!A:R""
    ),
    10,
    FALSE
  ),
  0
)
"),0.0)</f>
        <v>0</v>
      </c>
      <c r="N130" s="6">
        <f>IFERROR(__xludf.DUMMYFUNCTION("IFERROR(
  VLOOKUP(
    A130,
    IMPORTRANGE(
      ""1ZHMy3vVUd_0MrSduXTe1etBb1HNpAlGwQr006ljwMiM"",
      ""GSC最新!A:R""
    ),
    13,
    FALSE
  ),
  0
)
"),0.0)</f>
        <v>0</v>
      </c>
      <c r="O130" s="6">
        <f>IFERROR(__xludf.DUMMYFUNCTION("IFERROR(
  VLOOKUP(
    A130,
    IMPORTRANGE(
      ""1ZHMy3vVUd_0MrSduXTe1etBb1HNpAlGwQr006ljwMiM"",
      ""GSC最新!A:R""
    ),
    16,
    FALSE
  ),
  0
)
"),0.0)</f>
        <v>0</v>
      </c>
      <c r="P130" s="51" t="str">
        <f t="shared" ref="P130:Q130" si="642">IFERROR(L130/N130,"-")</f>
        <v>-</v>
      </c>
      <c r="Q130" s="51" t="str">
        <f t="shared" si="642"/>
        <v>-</v>
      </c>
      <c r="R130" s="9">
        <f>IFERROR(__xludf.DUMMYFUNCTION("IFERROR(
  VLOOKUP(
    A130,
    IMPORTRANGE(
      ""1ZHMy3vVUd_0MrSduXTe1etBb1HNpAlGwQr006ljwMiM"",
      ""GSC最新!A:R""
    ),
    8,
    FALSE
  ),
  0
)
"),0.0)</f>
        <v>0</v>
      </c>
      <c r="S130" s="9">
        <f>IFERROR(__xludf.DUMMYFUNCTION("IFERROR(
  VLOOKUP(
    A130,
    IMPORTRANGE(
      ""1ZHMy3vVUd_0MrSduXTe1etBb1HNpAlGwQr006ljwMiM"",
      ""GSC最新!A:R""
    ),
    11,
    FALSE
  ),
  0
)
"),0.0)</f>
        <v>0</v>
      </c>
      <c r="T130" s="9">
        <f>IFERROR(__xludf.DUMMYFUNCTION("IFERROR(
  VLOOKUP(
    A130,
    IMPORTRANGE(
      ""1ZHMy3vVUd_0MrSduXTe1etBb1HNpAlGwQr006ljwMiM"",
      ""GSC最新!A:R""
    ),
    14,
    FALSE
  ),
  0
)
"),0.0)</f>
        <v>0</v>
      </c>
      <c r="U130" s="9">
        <f>IFERROR(__xludf.DUMMYFUNCTION("IFERROR(
  VLOOKUP(
    A130,
    IMPORTRANGE(
      ""1ZHMy3vVUd_0MrSduXTe1etBb1HNpAlGwQr006ljwMiM"",
      ""GSC最新!A:R""
    ),
    17,
    FALSE
  ),
  0
)
"),0.0)</f>
        <v>0</v>
      </c>
      <c r="V130" s="9">
        <f t="shared" ref="V130:W130" si="643">IFERROR(R130-T130,"-")</f>
        <v>0</v>
      </c>
      <c r="W130" s="9">
        <f t="shared" si="643"/>
        <v>0</v>
      </c>
      <c r="X130" s="65" t="str">
        <f>IFERROR(__xludf.DUMMYFUNCTION("IFERROR(
  VLOOKUP(
    A130,
    IMPORTRANGE(
      ""1ZHMy3vVUd_0MrSduXTe1etBb1HNpAlGwQr006ljwMiM"",
      ""GSC最新!A:R""
    ),
    9,
    FALSE
  ),
  0
)
"),"")</f>
        <v/>
      </c>
      <c r="Y130" s="65" t="str">
        <f>IFERROR(__xludf.DUMMYFUNCTION("IFERROR(
  VLOOKUP(
    A130,
    IMPORTRANGE(
      ""1ZHMy3vVUd_0MrSduXTe1etBb1HNpAlGwQr006ljwMiM"",
      ""GSC最新!A:R""
    ),
    12,
    FALSE
  ),
  0
)
"),"")</f>
        <v/>
      </c>
      <c r="Z130" s="65" t="str">
        <f>IFERROR(__xludf.DUMMYFUNCTION("IFERROR(
  VLOOKUP(
    A130,
    IMPORTRANGE(
      ""1ZHMy3vVUd_0MrSduXTe1etBb1HNpAlGwQr006ljwMiM"",
      ""GSC最新!A:R""
    ),
    15,
    FALSE
  ),
  0
)
"),"")</f>
        <v/>
      </c>
      <c r="AA130" s="65" t="str">
        <f>IFERROR(__xludf.DUMMYFUNCTION("IFERROR(
  VLOOKUP(
    A130,
    IMPORTRANGE(
      ""1ZHMy3vVUd_0MrSduXTe1etBb1HNpAlGwQr006ljwMiM"",
      ""GSC最新!A:R""
    ),
    18,
    FALSE
  ),
  0
)
"),"")</f>
        <v/>
      </c>
      <c r="AB130" s="65">
        <f t="shared" ref="AB130:AC130" si="644">X130-Z130</f>
        <v>0</v>
      </c>
      <c r="AC130" s="65">
        <f t="shared" si="644"/>
        <v>0</v>
      </c>
      <c r="AD130" s="53">
        <f>IFERROR(__xludf.DUMMYFUNCTION("IFERROR(
  VLOOKUP(
    A130,
    IMPORTRANGE(
      ""1ZHMy3vVUd_0MrSduXTe1etBb1HNpAlGwQr006ljwMiM"",
      ""GSC最新!A:F""
    ),
    6,
    FALSE
  ),
  0
)
"),46081.0)</f>
        <v>46081</v>
      </c>
      <c r="AE130" s="54">
        <f>IFERROR(__xludf.DUMMYFUNCTION("IFERROR(
  VLOOKUP(
    A130,
    IMPORTRANGE(
      ""1SCYQd7_cobOYqT0r_F0IqD4tE4rYn5y8Eup4PJTH8es"",
      ""Snapshot!A:M""
    ),
    5,
    FALSE
  ),
  ""-""
)
"),0.0)</f>
        <v>0</v>
      </c>
      <c r="AF130" s="54">
        <f>IFERROR(__xludf.DUMMYFUNCTION("IFERROR(
  VLOOKUP(
    A130,
    IMPORTRANGE(
      ""1SCYQd7_cobOYqT0r_F0IqD4tE4rYn5y8Eup4PJTH8es"",
      ""Snapshot!A:M""
    ),
    6,
    FALSE
  ),
  0
)
"),0.0)</f>
        <v>0</v>
      </c>
      <c r="AG130" s="54">
        <f>IFERROR(__xludf.DUMMYFUNCTION("IFERROR(
  VLOOKUP(
    A130,
    IMPORTRANGE(
      ""1SCYQd7_cobOYqT0r_F0IqD4tE4rYn5y8Eup4PJTH8es"",
      ""Snapshot!A:M""
    ),
    7,
    FALSE
  ),
  0
)
"),139.0)</f>
        <v>139</v>
      </c>
      <c r="AH130" s="54">
        <f>IFERROR(__xludf.DUMMYFUNCTION("IFERROR(
  VLOOKUP(
    A130,
    IMPORTRANGE(
      ""1SCYQd7_cobOYqT0r_F0IqD4tE4rYn5y8Eup4PJTH8es"",
      ""Snapshot!A:M""
    ),
    8,
    FALSE
  ),
  0
)
"),0.0)</f>
        <v>0</v>
      </c>
      <c r="AI130" s="54">
        <f>IFERROR(__xludf.DUMMYFUNCTION("IFERROR(
  VLOOKUP(
    A130,
    IMPORTRANGE(
      ""1SCYQd7_cobOYqT0r_F0IqD4tE4rYn5y8Eup4PJTH8es"",
      ""Snapshot!A:M""
    ),
    9,
    FALSE
  ),
  0
)
"),1.0)</f>
        <v>1</v>
      </c>
      <c r="AJ130" s="54">
        <f>IFERROR(__xludf.DUMMYFUNCTION("IFERROR(
  VLOOKUP(
    A130,
    IMPORTRANGE(
      ""1SCYQd7_cobOYqT0r_F0IqD4tE4rYn5y8Eup4PJTH8es"",
      ""Snapshot!A:M""
    ),
    13,
    FALSE
  ),
  0
)
"),2.0)</f>
        <v>2</v>
      </c>
      <c r="AK130" s="49">
        <f t="shared" ref="AK130:AL130" si="645">LEN(C130)</f>
        <v>68</v>
      </c>
      <c r="AL130" s="49">
        <f t="shared" si="645"/>
        <v>55</v>
      </c>
    </row>
    <row r="131">
      <c r="A131" s="3" t="s">
        <v>810</v>
      </c>
      <c r="B131" s="1" t="str">
        <f>IFERROR(__xludf.DUMMYFUNCTION("IFERROR(
  VLOOKUP(
    A131,
    IMPORTRANGE(
      ""1ZygntHC1J6IxzKbTidmOyf5nUyW4GCLurHCjexrLm_o"",
      ""HTMLキャッシュ!A:F""
    ),
    2,
    FALSE
  ),
  0
)
"),"NW")</f>
        <v>NW</v>
      </c>
      <c r="C131" s="1" t="str">
        <f>IFERROR(__xludf.DUMMYFUNCTION("IFERROR(
  VLOOKUP(
    A131,
    IMPORTRANGE(
      ""1ZygntHC1J6IxzKbTidmOyf5nUyW4GCLurHCjexrLm_o"",
      ""HTMLキャッシュ!A:F""
    ),
    5,
    FALSE
  ),
  0
)
"),"「英語教室サポート」開校のお知らせ - 中高一貫校専門塾エスコット(Escot)～定期試験対策から大学受験指導まで～")</f>
        <v>「英語教室サポート」開校のお知らせ - 中高一貫校専門塾エスコット(Escot)～定期試験対策から大学受験指導まで～</v>
      </c>
      <c r="D131" s="1" t="str">
        <f>IFERROR(__xludf.DUMMYFUNCTION("IFERROR(
  VLOOKUP(
    A131,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131" s="32">
        <f>IFERROR(__xludf.DUMMYFUNCTION("IFERROR(
  VLOOKUP(
    A131,
    IMPORTRANGE(
      ""1ZygntHC1J6IxzKbTidmOyf5nUyW4GCLurHCjexrLm_o        "",
      ""HTMLキャッシュ!A:F""
    ),
    3,
    FALSE
  ),
  0
)
"),44292.46045138889)</f>
        <v>44292.46045</v>
      </c>
      <c r="F131" s="49">
        <f>IFERROR(__xludf.DUMMYFUNCTION("IFERROR(
  VLOOKUP(
    A131,
    IMPORTRANGE(
      ""1ZHMy3vVUd_0MrSduXTe1etBb1HNpAlGwQr006ljwMiM"",
      ""GSC最新!A:F""
    ),
    2,
    FALSE
  ),
  0
)
"),0.0)</f>
        <v>0</v>
      </c>
      <c r="G131" s="49">
        <f>IFERROR(__xludf.DUMMYFUNCTION("IFERROR(
  VLOOKUP(
    A131,
    IMPORTRANGE(
      ""1ZHMy3vVUd_0MrSduXTe1etBb1HNpAlGwQr006ljwMiM"",
      ""GSC最新!A:F""
    ),
    3,
    FALSE
  ),
  0
)
"),0.0)</f>
        <v>0</v>
      </c>
      <c r="H131" s="49">
        <f>IFERROR(__xludf.DUMMYFUNCTION("IFERROR(
  VLOOKUP(
    A131,
    IMPORTRANGE(
      ""1ZHMy3vVUd_0MrSduXTe1etBb1HNpAlGwQr006ljwMiM"",
      ""GSC最新!A:F""
    ),
    4,
    FALSE
  ),
  0
)
"),0.0)</f>
        <v>0</v>
      </c>
      <c r="I131" s="49">
        <f>IFERROR(__xludf.DUMMYFUNCTION("IFERROR(
  VLOOKUP(
    A131,
    IMPORTRANGE(
      ""1ZHMy3vVUd_0MrSduXTe1etBb1HNpAlGwQr006ljwMiM"",
      ""GSC最新!A:F""
    ),
    5,
    FALSE
  ),
  0
)
"),0.0)</f>
        <v>0</v>
      </c>
      <c r="J131" s="50" t="str">
        <f t="shared" ref="J131:K131" si="646">IFERROR(F131/H131,"-")</f>
        <v>-</v>
      </c>
      <c r="K131" s="50" t="str">
        <f t="shared" si="646"/>
        <v>-</v>
      </c>
      <c r="L131" s="6">
        <f>IFERROR(__xludf.DUMMYFUNCTION("IFERROR(
  VLOOKUP(
    A131,
    IMPORTRANGE(
      ""1ZHMy3vVUd_0MrSduXTe1etBb1HNpAlGwQr006ljwMiM"",
      ""GSC最新!A:R""
    ),
    7,
    FALSE
  ),
  0
)
"),0.0)</f>
        <v>0</v>
      </c>
      <c r="M131" s="6">
        <f>IFERROR(__xludf.DUMMYFUNCTION("IFERROR(
  VLOOKUP(
    A131,
    IMPORTRANGE(
      ""1ZHMy3vVUd_0MrSduXTe1etBb1HNpAlGwQr006ljwMiM"",
      ""GSC最新!A:R""
    ),
    10,
    FALSE
  ),
  0
)
"),0.0)</f>
        <v>0</v>
      </c>
      <c r="N131" s="6">
        <f>IFERROR(__xludf.DUMMYFUNCTION("IFERROR(
  VLOOKUP(
    A131,
    IMPORTRANGE(
      ""1ZHMy3vVUd_0MrSduXTe1etBb1HNpAlGwQr006ljwMiM"",
      ""GSC最新!A:R""
    ),
    13,
    FALSE
  ),
  0
)
"),0.0)</f>
        <v>0</v>
      </c>
      <c r="O131" s="6">
        <f>IFERROR(__xludf.DUMMYFUNCTION("IFERROR(
  VLOOKUP(
    A131,
    IMPORTRANGE(
      ""1ZHMy3vVUd_0MrSduXTe1etBb1HNpAlGwQr006ljwMiM"",
      ""GSC最新!A:R""
    ),
    16,
    FALSE
  ),
  0
)
"),0.0)</f>
        <v>0</v>
      </c>
      <c r="P131" s="51" t="str">
        <f t="shared" ref="P131:Q131" si="647">IFERROR(L131/N131,"-")</f>
        <v>-</v>
      </c>
      <c r="Q131" s="51" t="str">
        <f t="shared" si="647"/>
        <v>-</v>
      </c>
      <c r="R131" s="9">
        <f>IFERROR(__xludf.DUMMYFUNCTION("IFERROR(
  VLOOKUP(
    A131,
    IMPORTRANGE(
      ""1ZHMy3vVUd_0MrSduXTe1etBb1HNpAlGwQr006ljwMiM"",
      ""GSC最新!A:R""
    ),
    8,
    FALSE
  ),
  0
)
"),0.0)</f>
        <v>0</v>
      </c>
      <c r="S131" s="9">
        <f>IFERROR(__xludf.DUMMYFUNCTION("IFERROR(
  VLOOKUP(
    A131,
    IMPORTRANGE(
      ""1ZHMy3vVUd_0MrSduXTe1etBb1HNpAlGwQr006ljwMiM"",
      ""GSC最新!A:R""
    ),
    11,
    FALSE
  ),
  0
)
"),0.0)</f>
        <v>0</v>
      </c>
      <c r="T131" s="9">
        <f>IFERROR(__xludf.DUMMYFUNCTION("IFERROR(
  VLOOKUP(
    A131,
    IMPORTRANGE(
      ""1ZHMy3vVUd_0MrSduXTe1etBb1HNpAlGwQr006ljwMiM"",
      ""GSC最新!A:R""
    ),
    14,
    FALSE
  ),
  0
)
"),0.0)</f>
        <v>0</v>
      </c>
      <c r="U131" s="9">
        <f>IFERROR(__xludf.DUMMYFUNCTION("IFERROR(
  VLOOKUP(
    A131,
    IMPORTRANGE(
      ""1ZHMy3vVUd_0MrSduXTe1etBb1HNpAlGwQr006ljwMiM"",
      ""GSC最新!A:R""
    ),
    17,
    FALSE
  ),
  0
)
"),0.0)</f>
        <v>0</v>
      </c>
      <c r="V131" s="9">
        <f t="shared" ref="V131:W131" si="648">IFERROR(R131-T131,"-")</f>
        <v>0</v>
      </c>
      <c r="W131" s="9">
        <f t="shared" si="648"/>
        <v>0</v>
      </c>
      <c r="X131" s="65" t="str">
        <f>IFERROR(__xludf.DUMMYFUNCTION("IFERROR(
  VLOOKUP(
    A131,
    IMPORTRANGE(
      ""1ZHMy3vVUd_0MrSduXTe1etBb1HNpAlGwQr006ljwMiM"",
      ""GSC最新!A:R""
    ),
    9,
    FALSE
  ),
  0
)
"),"")</f>
        <v/>
      </c>
      <c r="Y131" s="65" t="str">
        <f>IFERROR(__xludf.DUMMYFUNCTION("IFERROR(
  VLOOKUP(
    A131,
    IMPORTRANGE(
      ""1ZHMy3vVUd_0MrSduXTe1etBb1HNpAlGwQr006ljwMiM"",
      ""GSC最新!A:R""
    ),
    12,
    FALSE
  ),
  0
)
"),"")</f>
        <v/>
      </c>
      <c r="Z131" s="65" t="str">
        <f>IFERROR(__xludf.DUMMYFUNCTION("IFERROR(
  VLOOKUP(
    A131,
    IMPORTRANGE(
      ""1ZHMy3vVUd_0MrSduXTe1etBb1HNpAlGwQr006ljwMiM"",
      ""GSC最新!A:R""
    ),
    15,
    FALSE
  ),
  0
)
"),"")</f>
        <v/>
      </c>
      <c r="AA131" s="65" t="str">
        <f>IFERROR(__xludf.DUMMYFUNCTION("IFERROR(
  VLOOKUP(
    A131,
    IMPORTRANGE(
      ""1ZHMy3vVUd_0MrSduXTe1etBb1HNpAlGwQr006ljwMiM"",
      ""GSC最新!A:R""
    ),
    18,
    FALSE
  ),
  0
)
"),"")</f>
        <v/>
      </c>
      <c r="AB131" s="65">
        <f t="shared" ref="AB131:AC131" si="649">X131-Z131</f>
        <v>0</v>
      </c>
      <c r="AC131" s="65">
        <f t="shared" si="649"/>
        <v>0</v>
      </c>
      <c r="AD131" s="53">
        <f>IFERROR(__xludf.DUMMYFUNCTION("IFERROR(
  VLOOKUP(
    A131,
    IMPORTRANGE(
      ""1ZHMy3vVUd_0MrSduXTe1etBb1HNpAlGwQr006ljwMiM"",
      ""GSC最新!A:F""
    ),
    6,
    FALSE
  ),
  0
)
"),46081.0)</f>
        <v>46081</v>
      </c>
      <c r="AE131" s="54">
        <f>IFERROR(__xludf.DUMMYFUNCTION("IFERROR(
  VLOOKUP(
    A131,
    IMPORTRANGE(
      ""1SCYQd7_cobOYqT0r_F0IqD4tE4rYn5y8Eup4PJTH8es"",
      ""Snapshot!A:M""
    ),
    5,
    FALSE
  ),
  ""-""
)
"),0.0)</f>
        <v>0</v>
      </c>
      <c r="AF131" s="54">
        <f>IFERROR(__xludf.DUMMYFUNCTION("IFERROR(
  VLOOKUP(
    A131,
    IMPORTRANGE(
      ""1SCYQd7_cobOYqT0r_F0IqD4tE4rYn5y8Eup4PJTH8es"",
      ""Snapshot!A:M""
    ),
    6,
    FALSE
  ),
  0
)
"),0.0)</f>
        <v>0</v>
      </c>
      <c r="AG131" s="54">
        <f>IFERROR(__xludf.DUMMYFUNCTION("IFERROR(
  VLOOKUP(
    A131,
    IMPORTRANGE(
      ""1SCYQd7_cobOYqT0r_F0IqD4tE4rYn5y8Eup4PJTH8es"",
      ""Snapshot!A:M""
    ),
    7,
    FALSE
  ),
  0
)
"),120.0)</f>
        <v>120</v>
      </c>
      <c r="AH131" s="54">
        <f>IFERROR(__xludf.DUMMYFUNCTION("IFERROR(
  VLOOKUP(
    A131,
    IMPORTRANGE(
      ""1SCYQd7_cobOYqT0r_F0IqD4tE4rYn5y8Eup4PJTH8es"",
      ""Snapshot!A:M""
    ),
    8,
    FALSE
  ),
  0
)
"),0.0)</f>
        <v>0</v>
      </c>
      <c r="AI131" s="54">
        <f>IFERROR(__xludf.DUMMYFUNCTION("IFERROR(
  VLOOKUP(
    A131,
    IMPORTRANGE(
      ""1SCYQd7_cobOYqT0r_F0IqD4tE4rYn5y8Eup4PJTH8es"",
      ""Snapshot!A:M""
    ),
    9,
    FALSE
  ),
  0
)
"),1.0)</f>
        <v>1</v>
      </c>
      <c r="AJ131" s="54">
        <f>IFERROR(__xludf.DUMMYFUNCTION("IFERROR(
  VLOOKUP(
    A131,
    IMPORTRANGE(
      ""1SCYQd7_cobOYqT0r_F0IqD4tE4rYn5y8Eup4PJTH8es"",
      ""Snapshot!A:M""
    ),
    13,
    FALSE
  ),
  0
)
"),2.0)</f>
        <v>2</v>
      </c>
      <c r="AK131" s="49">
        <f t="shared" ref="AK131:AL131" si="650">LEN(C131)</f>
        <v>58</v>
      </c>
      <c r="AL131" s="49">
        <f t="shared" si="650"/>
        <v>55</v>
      </c>
    </row>
    <row r="132">
      <c r="A132" s="3" t="s">
        <v>811</v>
      </c>
      <c r="B132" s="1" t="str">
        <f>IFERROR(__xludf.DUMMYFUNCTION("IFERROR(
  VLOOKUP(
    A132,
    IMPORTRANGE(
      ""1ZygntHC1J6IxzKbTidmOyf5nUyW4GCLurHCjexrLm_o"",
      ""HTMLキャッシュ!A:F""
    ),
    2,
    FALSE
  ),
  0
)
"),"NW")</f>
        <v>NW</v>
      </c>
      <c r="C132" s="1" t="str">
        <f>IFERROR(__xludf.DUMMYFUNCTION("IFERROR(
  VLOOKUP(
    A132,
    IMPORTRANGE(
      ""1ZygntHC1J6IxzKbTidmOyf5nUyW4GCLurHCjexrLm_o"",
      ""HTMLキャッシュ!A:F""
    ),
    5,
    FALSE
  ),
  0
)
"),"受験理科専門塾「しゅん吉クエスト」開校のお知らせ - 中高一貫校専門塾エスコット(Escot)～定期試験対策から大学受験指導まで～")</f>
        <v>受験理科専門塾「しゅん吉クエスト」開校のお知らせ - 中高一貫校専門塾エスコット(Escot)～定期試験対策から大学受験指導まで～</v>
      </c>
      <c r="D132" s="1" t="str">
        <f>IFERROR(__xludf.DUMMYFUNCTION("IFERROR(
  VLOOKUP(
    A132,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132" s="32">
        <f>IFERROR(__xludf.DUMMYFUNCTION("IFERROR(
  VLOOKUP(
    A132,
    IMPORTRANGE(
      ""1ZygntHC1J6IxzKbTidmOyf5nUyW4GCLurHCjexrLm_o        "",
      ""HTMLキャッシュ!A:F""
    ),
    3,
    FALSE
  ),
  0
)
"),44400.67938657408)</f>
        <v>44400.67939</v>
      </c>
      <c r="F132" s="49">
        <f>IFERROR(__xludf.DUMMYFUNCTION("IFERROR(
  VLOOKUP(
    A132,
    IMPORTRANGE(
      ""1ZHMy3vVUd_0MrSduXTe1etBb1HNpAlGwQr006ljwMiM"",
      ""GSC最新!A:F""
    ),
    2,
    FALSE
  ),
  0
)
"),0.0)</f>
        <v>0</v>
      </c>
      <c r="G132" s="49">
        <f>IFERROR(__xludf.DUMMYFUNCTION("IFERROR(
  VLOOKUP(
    A132,
    IMPORTRANGE(
      ""1ZHMy3vVUd_0MrSduXTe1etBb1HNpAlGwQr006ljwMiM"",
      ""GSC最新!A:F""
    ),
    3,
    FALSE
  ),
  0
)
"),0.0)</f>
        <v>0</v>
      </c>
      <c r="H132" s="49">
        <f>IFERROR(__xludf.DUMMYFUNCTION("IFERROR(
  VLOOKUP(
    A132,
    IMPORTRANGE(
      ""1ZHMy3vVUd_0MrSduXTe1etBb1HNpAlGwQr006ljwMiM"",
      ""GSC最新!A:F""
    ),
    4,
    FALSE
  ),
  0
)
"),0.0)</f>
        <v>0</v>
      </c>
      <c r="I132" s="49">
        <f>IFERROR(__xludf.DUMMYFUNCTION("IFERROR(
  VLOOKUP(
    A132,
    IMPORTRANGE(
      ""1ZHMy3vVUd_0MrSduXTe1etBb1HNpAlGwQr006ljwMiM"",
      ""GSC最新!A:F""
    ),
    5,
    FALSE
  ),
  0
)
"),0.0)</f>
        <v>0</v>
      </c>
      <c r="J132" s="50" t="str">
        <f t="shared" ref="J132:K132" si="651">IFERROR(F132/H132,"-")</f>
        <v>-</v>
      </c>
      <c r="K132" s="50" t="str">
        <f t="shared" si="651"/>
        <v>-</v>
      </c>
      <c r="L132" s="6">
        <f>IFERROR(__xludf.DUMMYFUNCTION("IFERROR(
  VLOOKUP(
    A132,
    IMPORTRANGE(
      ""1ZHMy3vVUd_0MrSduXTe1etBb1HNpAlGwQr006ljwMiM"",
      ""GSC最新!A:R""
    ),
    7,
    FALSE
  ),
  0
)
"),0.0)</f>
        <v>0</v>
      </c>
      <c r="M132" s="6">
        <f>IFERROR(__xludf.DUMMYFUNCTION("IFERROR(
  VLOOKUP(
    A132,
    IMPORTRANGE(
      ""1ZHMy3vVUd_0MrSduXTe1etBb1HNpAlGwQr006ljwMiM"",
      ""GSC最新!A:R""
    ),
    10,
    FALSE
  ),
  0
)
"),0.0)</f>
        <v>0</v>
      </c>
      <c r="N132" s="6">
        <f>IFERROR(__xludf.DUMMYFUNCTION("IFERROR(
  VLOOKUP(
    A132,
    IMPORTRANGE(
      ""1ZHMy3vVUd_0MrSduXTe1etBb1HNpAlGwQr006ljwMiM"",
      ""GSC最新!A:R""
    ),
    13,
    FALSE
  ),
  0
)
"),1.0)</f>
        <v>1</v>
      </c>
      <c r="O132" s="6">
        <f>IFERROR(__xludf.DUMMYFUNCTION("IFERROR(
  VLOOKUP(
    A132,
    IMPORTRANGE(
      ""1ZHMy3vVUd_0MrSduXTe1etBb1HNpAlGwQr006ljwMiM"",
      ""GSC最新!A:R""
    ),
    16,
    FALSE
  ),
  0
)
"),4.0)</f>
        <v>4</v>
      </c>
      <c r="P132" s="51">
        <f t="shared" ref="P132:Q132" si="652">IFERROR(L132/N132,"-")</f>
        <v>0</v>
      </c>
      <c r="Q132" s="51">
        <f t="shared" si="652"/>
        <v>0</v>
      </c>
      <c r="R132" s="9">
        <f>IFERROR(__xludf.DUMMYFUNCTION("IFERROR(
  VLOOKUP(
    A132,
    IMPORTRANGE(
      ""1ZHMy3vVUd_0MrSduXTe1etBb1HNpAlGwQr006ljwMiM"",
      ""GSC最新!A:R""
    ),
    8,
    FALSE
  ),
  0
)
"),0.0)</f>
        <v>0</v>
      </c>
      <c r="S132" s="9">
        <f>IFERROR(__xludf.DUMMYFUNCTION("IFERROR(
  VLOOKUP(
    A132,
    IMPORTRANGE(
      ""1ZHMy3vVUd_0MrSduXTe1etBb1HNpAlGwQr006ljwMiM"",
      ""GSC最新!A:R""
    ),
    11,
    FALSE
  ),
  0
)
"),0.0)</f>
        <v>0</v>
      </c>
      <c r="T132" s="9">
        <f>IFERROR(__xludf.DUMMYFUNCTION("IFERROR(
  VLOOKUP(
    A132,
    IMPORTRANGE(
      ""1ZHMy3vVUd_0MrSduXTe1etBb1HNpAlGwQr006ljwMiM"",
      ""GSC最新!A:R""
    ),
    14,
    FALSE
  ),
  0
)
"),0.0)</f>
        <v>0</v>
      </c>
      <c r="U132" s="9">
        <f>IFERROR(__xludf.DUMMYFUNCTION("IFERROR(
  VLOOKUP(
    A132,
    IMPORTRANGE(
      ""1ZHMy3vVUd_0MrSduXTe1etBb1HNpAlGwQr006ljwMiM"",
      ""GSC最新!A:R""
    ),
    17,
    FALSE
  ),
  0
)
"),0.0)</f>
        <v>0</v>
      </c>
      <c r="V132" s="9">
        <f t="shared" ref="V132:W132" si="653">IFERROR(R132-T132,"-")</f>
        <v>0</v>
      </c>
      <c r="W132" s="9">
        <f t="shared" si="653"/>
        <v>0</v>
      </c>
      <c r="X132" s="65" t="str">
        <f>IFERROR(__xludf.DUMMYFUNCTION("IFERROR(
  VLOOKUP(
    A132,
    IMPORTRANGE(
      ""1ZHMy3vVUd_0MrSduXTe1etBb1HNpAlGwQr006ljwMiM"",
      ""GSC最新!A:R""
    ),
    9,
    FALSE
  ),
  0
)
"),"")</f>
        <v/>
      </c>
      <c r="Y132" s="65" t="str">
        <f>IFERROR(__xludf.DUMMYFUNCTION("IFERROR(
  VLOOKUP(
    A132,
    IMPORTRANGE(
      ""1ZHMy3vVUd_0MrSduXTe1etBb1HNpAlGwQr006ljwMiM"",
      ""GSC最新!A:R""
    ),
    12,
    FALSE
  ),
  0
)
"),"")</f>
        <v/>
      </c>
      <c r="Z132" s="65">
        <f>IFERROR(__xludf.DUMMYFUNCTION("IFERROR(
  VLOOKUP(
    A132,
    IMPORTRANGE(
      ""1ZHMy3vVUd_0MrSduXTe1etBb1HNpAlGwQr006ljwMiM"",
      ""GSC最新!A:R""
    ),
    15,
    FALSE
  ),
  0
)
"),9.0)</f>
        <v>9</v>
      </c>
      <c r="AA132" s="65">
        <f>IFERROR(__xludf.DUMMYFUNCTION("IFERROR(
  VLOOKUP(
    A132,
    IMPORTRANGE(
      ""1ZHMy3vVUd_0MrSduXTe1etBb1HNpAlGwQr006ljwMiM"",
      ""GSC最新!A:R""
    ),
    18,
    FALSE
  ),
  0
)
"),65.5)</f>
        <v>65.5</v>
      </c>
      <c r="AB132" s="65">
        <f t="shared" ref="AB132:AC132" si="654">X132-Z132</f>
        <v>-9</v>
      </c>
      <c r="AC132" s="65">
        <f t="shared" si="654"/>
        <v>-65.5</v>
      </c>
      <c r="AD132" s="53">
        <f>IFERROR(__xludf.DUMMYFUNCTION("IFERROR(
  VLOOKUP(
    A132,
    IMPORTRANGE(
      ""1ZHMy3vVUd_0MrSduXTe1etBb1HNpAlGwQr006ljwMiM"",
      ""GSC最新!A:F""
    ),
    6,
    FALSE
  ),
  0
)
"),46081.0)</f>
        <v>46081</v>
      </c>
      <c r="AE132" s="54">
        <f>IFERROR(__xludf.DUMMYFUNCTION("IFERROR(
  VLOOKUP(
    A132,
    IMPORTRANGE(
      ""1SCYQd7_cobOYqT0r_F0IqD4tE4rYn5y8Eup4PJTH8es"",
      ""Snapshot!A:M""
    ),
    5,
    FALSE
  ),
  ""-""
)
"),0.0)</f>
        <v>0</v>
      </c>
      <c r="AF132" s="54">
        <f>IFERROR(__xludf.DUMMYFUNCTION("IFERROR(
  VLOOKUP(
    A132,
    IMPORTRANGE(
      ""1SCYQd7_cobOYqT0r_F0IqD4tE4rYn5y8Eup4PJTH8es"",
      ""Snapshot!A:M""
    ),
    6,
    FALSE
  ),
  0
)
"),0.0)</f>
        <v>0</v>
      </c>
      <c r="AG132" s="54">
        <f>IFERROR(__xludf.DUMMYFUNCTION("IFERROR(
  VLOOKUP(
    A132,
    IMPORTRANGE(
      ""1SCYQd7_cobOYqT0r_F0IqD4tE4rYn5y8Eup4PJTH8es"",
      ""Snapshot!A:M""
    ),
    7,
    FALSE
  ),
  0
)
"),127.0)</f>
        <v>127</v>
      </c>
      <c r="AH132" s="54">
        <f>IFERROR(__xludf.DUMMYFUNCTION("IFERROR(
  VLOOKUP(
    A132,
    IMPORTRANGE(
      ""1SCYQd7_cobOYqT0r_F0IqD4tE4rYn5y8Eup4PJTH8es"",
      ""Snapshot!A:M""
    ),
    8,
    FALSE
  ),
  0
)
"),0.0)</f>
        <v>0</v>
      </c>
      <c r="AI132" s="54">
        <f>IFERROR(__xludf.DUMMYFUNCTION("IFERROR(
  VLOOKUP(
    A132,
    IMPORTRANGE(
      ""1SCYQd7_cobOYqT0r_F0IqD4tE4rYn5y8Eup4PJTH8es"",
      ""Snapshot!A:M""
    ),
    9,
    FALSE
  ),
  0
)
"),1.0)</f>
        <v>1</v>
      </c>
      <c r="AJ132" s="54">
        <f>IFERROR(__xludf.DUMMYFUNCTION("IFERROR(
  VLOOKUP(
    A132,
    IMPORTRANGE(
      ""1SCYQd7_cobOYqT0r_F0IqD4tE4rYn5y8Eup4PJTH8es"",
      ""Snapshot!A:M""
    ),
    13,
    FALSE
  ),
  0
)
"),2.0)</f>
        <v>2</v>
      </c>
      <c r="AK132" s="49">
        <f t="shared" ref="AK132:AL132" si="655">LEN(C132)</f>
        <v>65</v>
      </c>
      <c r="AL132" s="49">
        <f t="shared" si="655"/>
        <v>55</v>
      </c>
    </row>
    <row r="133">
      <c r="A133" s="1" t="s">
        <v>812</v>
      </c>
      <c r="B133" s="1" t="str">
        <f>IFERROR(__xludf.DUMMYFUNCTION("IFERROR(
  VLOOKUP(
    A133,
    IMPORTRANGE(
      ""1ZygntHC1J6IxzKbTidmOyf5nUyW4GCLurHCjexrLm_o"",
      ""HTMLキャッシュ!A:F""
    ),
    2,
    FALSE
  ),
  0
)
"),"NW")</f>
        <v>NW</v>
      </c>
      <c r="C133" s="1" t="str">
        <f>IFERROR(__xludf.DUMMYFUNCTION("IFERROR(
  VLOOKUP(
    A133,
    IMPORTRANGE(
      ""1ZygntHC1J6IxzKbTidmOyf5nUyW4GCLurHCjexrLm_o"",
      ""HTMLキャッシュ!A:F""
    ),
    5,
    FALSE
  ),
  0
)
"),"2021年度生徒募集のお知らせ - 中高一貫校専門塾エスコット(Escot)～定期試験対策から大学受験指導まで～")</f>
        <v>2021年度生徒募集のお知らせ - 中高一貫校専門塾エスコット(Escot)～定期試験対策から大学受験指導まで～</v>
      </c>
      <c r="D133" s="1" t="str">
        <f>IFERROR(__xludf.DUMMYFUNCTION("IFERROR(
  VLOOKUP(
    A133,
    IMPORTRANGE(
      ""1ZygntHC1J6IxzKbTidmOyf5nUyW4GCLurHCjexrLm_o        "",
      ""HTMLキャッシュ!A:F""
    ),
    6,
    FALSE
  ),
  0
)
"),"本日より、2021年度の生徒募集を開始致します。 2月開講講座、個別指導の詳細については、下記をご覧下さいませ")</f>
        <v>本日より、2021年度の生徒募集を開始致します。 2月開講講座、個別指導の詳細については、下記をご覧下さいませ</v>
      </c>
      <c r="E133" s="32">
        <f>IFERROR(__xludf.DUMMYFUNCTION("IFERROR(
  VLOOKUP(
    A133,
    IMPORTRANGE(
      ""1ZygntHC1J6IxzKbTidmOyf5nUyW4GCLurHCjexrLm_o        "",
      ""HTMLキャッシュ!A:F""
    ),
    3,
    FALSE
  ),
  0
)
"),45590.78939814815)</f>
        <v>45590.7894</v>
      </c>
      <c r="F133" s="49">
        <f>IFERROR(__xludf.DUMMYFUNCTION("IFERROR(
  VLOOKUP(
    A133,
    IMPORTRANGE(
      ""1ZHMy3vVUd_0MrSduXTe1etBb1HNpAlGwQr006ljwMiM"",
      ""GSC最新!A:F""
    ),
    2,
    FALSE
  ),
  0
)
"),0.0)</f>
        <v>0</v>
      </c>
      <c r="G133" s="49">
        <f>IFERROR(__xludf.DUMMYFUNCTION("IFERROR(
  VLOOKUP(
    A133,
    IMPORTRANGE(
      ""1ZHMy3vVUd_0MrSduXTe1etBb1HNpAlGwQr006ljwMiM"",
      ""GSC最新!A:F""
    ),
    3,
    FALSE
  ),
  0
)
"),0.0)</f>
        <v>0</v>
      </c>
      <c r="H133" s="49">
        <f>IFERROR(__xludf.DUMMYFUNCTION("IFERROR(
  VLOOKUP(
    A133,
    IMPORTRANGE(
      ""1ZHMy3vVUd_0MrSduXTe1etBb1HNpAlGwQr006ljwMiM"",
      ""GSC最新!A:F""
    ),
    4,
    FALSE
  ),
  0
)
"),0.0)</f>
        <v>0</v>
      </c>
      <c r="I133" s="49">
        <f>IFERROR(__xludf.DUMMYFUNCTION("IFERROR(
  VLOOKUP(
    A133,
    IMPORTRANGE(
      ""1ZHMy3vVUd_0MrSduXTe1etBb1HNpAlGwQr006ljwMiM"",
      ""GSC最新!A:F""
    ),
    5,
    FALSE
  ),
  0
)
"),0.0)</f>
        <v>0</v>
      </c>
      <c r="J133" s="50" t="str">
        <f t="shared" ref="J133:K133" si="656">IFERROR(F133/H133,"-")</f>
        <v>-</v>
      </c>
      <c r="K133" s="50" t="str">
        <f t="shared" si="656"/>
        <v>-</v>
      </c>
      <c r="L133" s="6">
        <f>IFERROR(__xludf.DUMMYFUNCTION("IFERROR(
  VLOOKUP(
    A133,
    IMPORTRANGE(
      ""1ZHMy3vVUd_0MrSduXTe1etBb1HNpAlGwQr006ljwMiM"",
      ""GSC最新!A:R""
    ),
    7,
    FALSE
  ),
  0
)
"),0.0)</f>
        <v>0</v>
      </c>
      <c r="M133" s="6">
        <f>IFERROR(__xludf.DUMMYFUNCTION("IFERROR(
  VLOOKUP(
    A133,
    IMPORTRANGE(
      ""1ZHMy3vVUd_0MrSduXTe1etBb1HNpAlGwQr006ljwMiM"",
      ""GSC最新!A:R""
    ),
    10,
    FALSE
  ),
  0
)
"),0.0)</f>
        <v>0</v>
      </c>
      <c r="N133" s="6">
        <f>IFERROR(__xludf.DUMMYFUNCTION("IFERROR(
  VLOOKUP(
    A133,
    IMPORTRANGE(
      ""1ZHMy3vVUd_0MrSduXTe1etBb1HNpAlGwQr006ljwMiM"",
      ""GSC最新!A:R""
    ),
    13,
    FALSE
  ),
  0
)
"),0.0)</f>
        <v>0</v>
      </c>
      <c r="O133" s="6">
        <f>IFERROR(__xludf.DUMMYFUNCTION("IFERROR(
  VLOOKUP(
    A133,
    IMPORTRANGE(
      ""1ZHMy3vVUd_0MrSduXTe1etBb1HNpAlGwQr006ljwMiM"",
      ""GSC最新!A:R""
    ),
    16,
    FALSE
  ),
  0
)
"),0.0)</f>
        <v>0</v>
      </c>
      <c r="P133" s="51" t="str">
        <f t="shared" ref="P133:Q133" si="657">IFERROR(L133/N133,"-")</f>
        <v>-</v>
      </c>
      <c r="Q133" s="51" t="str">
        <f t="shared" si="657"/>
        <v>-</v>
      </c>
      <c r="R133" s="9">
        <f>IFERROR(__xludf.DUMMYFUNCTION("IFERROR(
  VLOOKUP(
    A133,
    IMPORTRANGE(
      ""1ZHMy3vVUd_0MrSduXTe1etBb1HNpAlGwQr006ljwMiM"",
      ""GSC最新!A:R""
    ),
    8,
    FALSE
  ),
  0
)
"),0.0)</f>
        <v>0</v>
      </c>
      <c r="S133" s="9">
        <f>IFERROR(__xludf.DUMMYFUNCTION("IFERROR(
  VLOOKUP(
    A133,
    IMPORTRANGE(
      ""1ZHMy3vVUd_0MrSduXTe1etBb1HNpAlGwQr006ljwMiM"",
      ""GSC最新!A:R""
    ),
    11,
    FALSE
  ),
  0
)
"),0.0)</f>
        <v>0</v>
      </c>
      <c r="T133" s="9">
        <f>IFERROR(__xludf.DUMMYFUNCTION("IFERROR(
  VLOOKUP(
    A133,
    IMPORTRANGE(
      ""1ZHMy3vVUd_0MrSduXTe1etBb1HNpAlGwQr006ljwMiM"",
      ""GSC最新!A:R""
    ),
    14,
    FALSE
  ),
  0
)
"),0.0)</f>
        <v>0</v>
      </c>
      <c r="U133" s="9">
        <f>IFERROR(__xludf.DUMMYFUNCTION("IFERROR(
  VLOOKUP(
    A133,
    IMPORTRANGE(
      ""1ZHMy3vVUd_0MrSduXTe1etBb1HNpAlGwQr006ljwMiM"",
      ""GSC最新!A:R""
    ),
    17,
    FALSE
  ),
  0
)
"),0.0)</f>
        <v>0</v>
      </c>
      <c r="V133" s="9">
        <f t="shared" ref="V133:W133" si="658">IFERROR(R133-T133,"-")</f>
        <v>0</v>
      </c>
      <c r="W133" s="9">
        <f t="shared" si="658"/>
        <v>0</v>
      </c>
      <c r="X133" s="65" t="str">
        <f>IFERROR(__xludf.DUMMYFUNCTION("IFERROR(
  VLOOKUP(
    A133,
    IMPORTRANGE(
      ""1ZHMy3vVUd_0MrSduXTe1etBb1HNpAlGwQr006ljwMiM"",
      ""GSC最新!A:R""
    ),
    9,
    FALSE
  ),
  0
)
"),"")</f>
        <v/>
      </c>
      <c r="Y133" s="65" t="str">
        <f>IFERROR(__xludf.DUMMYFUNCTION("IFERROR(
  VLOOKUP(
    A133,
    IMPORTRANGE(
      ""1ZHMy3vVUd_0MrSduXTe1etBb1HNpAlGwQr006ljwMiM"",
      ""GSC最新!A:R""
    ),
    12,
    FALSE
  ),
  0
)
"),"")</f>
        <v/>
      </c>
      <c r="Z133" s="65" t="str">
        <f>IFERROR(__xludf.DUMMYFUNCTION("IFERROR(
  VLOOKUP(
    A133,
    IMPORTRANGE(
      ""1ZHMy3vVUd_0MrSduXTe1etBb1HNpAlGwQr006ljwMiM"",
      ""GSC最新!A:R""
    ),
    15,
    FALSE
  ),
  0
)
"),"")</f>
        <v/>
      </c>
      <c r="AA133" s="65" t="str">
        <f>IFERROR(__xludf.DUMMYFUNCTION("IFERROR(
  VLOOKUP(
    A133,
    IMPORTRANGE(
      ""1ZHMy3vVUd_0MrSduXTe1etBb1HNpAlGwQr006ljwMiM"",
      ""GSC最新!A:R""
    ),
    18,
    FALSE
  ),
  0
)
"),"")</f>
        <v/>
      </c>
      <c r="AB133" s="65">
        <f t="shared" ref="AB133:AC133" si="659">X133-Z133</f>
        <v>0</v>
      </c>
      <c r="AC133" s="65">
        <f t="shared" si="659"/>
        <v>0</v>
      </c>
      <c r="AD133" s="53">
        <f>IFERROR(__xludf.DUMMYFUNCTION("IFERROR(
  VLOOKUP(
    A133,
    IMPORTRANGE(
      ""1ZHMy3vVUd_0MrSduXTe1etBb1HNpAlGwQr006ljwMiM"",
      ""GSC最新!A:F""
    ),
    6,
    FALSE
  ),
  0
)
"),46081.0)</f>
        <v>46081</v>
      </c>
      <c r="AE133" s="54">
        <f>IFERROR(__xludf.DUMMYFUNCTION("IFERROR(
  VLOOKUP(
    A133,
    IMPORTRANGE(
      ""1SCYQd7_cobOYqT0r_F0IqD4tE4rYn5y8Eup4PJTH8es"",
      ""Snapshot!A:M""
    ),
    5,
    FALSE
  ),
  ""-""
)
"),0.0)</f>
        <v>0</v>
      </c>
      <c r="AF133" s="54">
        <f>IFERROR(__xludf.DUMMYFUNCTION("IFERROR(
  VLOOKUP(
    A133,
    IMPORTRANGE(
      ""1SCYQd7_cobOYqT0r_F0IqD4tE4rYn5y8Eup4PJTH8es"",
      ""Snapshot!A:M""
    ),
    6,
    FALSE
  ),
  0
)
"),0.0)</f>
        <v>0</v>
      </c>
      <c r="AG133" s="54">
        <f>IFERROR(__xludf.DUMMYFUNCTION("IFERROR(
  VLOOKUP(
    A133,
    IMPORTRANGE(
      ""1SCYQd7_cobOYqT0r_F0IqD4tE4rYn5y8Eup4PJTH8es"",
      ""Snapshot!A:M""
    ),
    7,
    FALSE
  ),
  0
)
"),336.0)</f>
        <v>336</v>
      </c>
      <c r="AH133" s="54">
        <f>IFERROR(__xludf.DUMMYFUNCTION("IFERROR(
  VLOOKUP(
    A133,
    IMPORTRANGE(
      ""1SCYQd7_cobOYqT0r_F0IqD4tE4rYn5y8Eup4PJTH8es"",
      ""Snapshot!A:M""
    ),
    8,
    FALSE
  ),
  0
)
"),3.0)</f>
        <v>3</v>
      </c>
      <c r="AI133" s="54">
        <f>IFERROR(__xludf.DUMMYFUNCTION("IFERROR(
  VLOOKUP(
    A133,
    IMPORTRANGE(
      ""1SCYQd7_cobOYqT0r_F0IqD4tE4rYn5y8Eup4PJTH8es"",
      ""Snapshot!A:M""
    ),
    9,
    FALSE
  ),
  0
)
"),1.0)</f>
        <v>1</v>
      </c>
      <c r="AJ133" s="54">
        <f>IFERROR(__xludf.DUMMYFUNCTION("IFERROR(
  VLOOKUP(
    A133,
    IMPORTRANGE(
      ""1SCYQd7_cobOYqT0r_F0IqD4tE4rYn5y8Eup4PJTH8es"",
      ""Snapshot!A:M""
    ),
    13,
    FALSE
  ),
  0
)
"),2.0)</f>
        <v>2</v>
      </c>
      <c r="AK133" s="49">
        <f t="shared" ref="AK133:AL133" si="660">LEN(C133)</f>
        <v>56</v>
      </c>
      <c r="AL133" s="49">
        <f t="shared" si="660"/>
        <v>55</v>
      </c>
    </row>
    <row r="134">
      <c r="A134" s="1" t="s">
        <v>813</v>
      </c>
      <c r="B134" s="1" t="str">
        <f>IFERROR(__xludf.DUMMYFUNCTION("IFERROR(
  VLOOKUP(
    A134,
    IMPORTRANGE(
      ""1ZygntHC1J6IxzKbTidmOyf5nUyW4GCLurHCjexrLm_o"",
      ""HTMLキャッシュ!A:F""
    ),
    2,
    FALSE
  ),
  0
)
"),"NW")</f>
        <v>NW</v>
      </c>
      <c r="C134" s="1" t="str">
        <f>IFERROR(__xludf.DUMMYFUNCTION("IFERROR(
  VLOOKUP(
    A134,
    IMPORTRANGE(
      ""1ZygntHC1J6IxzKbTidmOyf5nUyW4GCLurHCjexrLm_o"",
      ""HTMLキャッシュ!A:F""
    ),
    5,
    FALSE
  ),
  0
)
"),"2021年度冬期講習開講のお知らせ - 中高一貫校専門塾エスコット(Escot)～定期試験対策から大学受験指導まで～")</f>
        <v>2021年度冬期講習開講のお知らせ - 中高一貫校専門塾エスコット(Escot)～定期試験対策から大学受験指導まで～</v>
      </c>
      <c r="D134" s="1" t="str">
        <f>IFERROR(__xludf.DUMMYFUNCTION("IFERROR(
  VLOOKUP(
    A134,
    IMPORTRANGE(
      ""1ZygntHC1J6IxzKbTidmOyf5nUyW4GCLurHCjexrLm_o        "",
      ""HTMLキャッシュ!A:F""
    ),
    6,
    FALSE
  ),
  0
)
"),"当塾では冬期講習会を実施させて頂く運びとなりました。現在当塾に通塾されている塾生の皆さんはもちろんのこと、普段")</f>
        <v>当塾では冬期講習会を実施させて頂く運びとなりました。現在当塾に通塾されている塾生の皆さんはもちろんのこと、普段</v>
      </c>
      <c r="E134" s="32">
        <f>IFERROR(__xludf.DUMMYFUNCTION("IFERROR(
  VLOOKUP(
    A134,
    IMPORTRANGE(
      ""1ZygntHC1J6IxzKbTidmOyf5nUyW4GCLurHCjexrLm_o        "",
      ""HTMLキャッシュ!A:F""
    ),
    3,
    FALSE
  ),
  0
)
"),45591.77164351852)</f>
        <v>45591.77164</v>
      </c>
      <c r="F134" s="49">
        <f>IFERROR(__xludf.DUMMYFUNCTION("IFERROR(
  VLOOKUP(
    A134,
    IMPORTRANGE(
      ""1ZHMy3vVUd_0MrSduXTe1etBb1HNpAlGwQr006ljwMiM"",
      ""GSC最新!A:F""
    ),
    2,
    FALSE
  ),
  0
)
"),0.0)</f>
        <v>0</v>
      </c>
      <c r="G134" s="49">
        <f>IFERROR(__xludf.DUMMYFUNCTION("IFERROR(
  VLOOKUP(
    A134,
    IMPORTRANGE(
      ""1ZHMy3vVUd_0MrSduXTe1etBb1HNpAlGwQr006ljwMiM"",
      ""GSC最新!A:F""
    ),
    3,
    FALSE
  ),
  0
)
"),0.0)</f>
        <v>0</v>
      </c>
      <c r="H134" s="49">
        <f>IFERROR(__xludf.DUMMYFUNCTION("IFERROR(
  VLOOKUP(
    A134,
    IMPORTRANGE(
      ""1ZHMy3vVUd_0MrSduXTe1etBb1HNpAlGwQr006ljwMiM"",
      ""GSC最新!A:F""
    ),
    4,
    FALSE
  ),
  0
)
"),0.0)</f>
        <v>0</v>
      </c>
      <c r="I134" s="49">
        <f>IFERROR(__xludf.DUMMYFUNCTION("IFERROR(
  VLOOKUP(
    A134,
    IMPORTRANGE(
      ""1ZHMy3vVUd_0MrSduXTe1etBb1HNpAlGwQr006ljwMiM"",
      ""GSC最新!A:F""
    ),
    5,
    FALSE
  ),
  0
)
"),0.0)</f>
        <v>0</v>
      </c>
      <c r="J134" s="50" t="str">
        <f t="shared" ref="J134:K134" si="661">IFERROR(F134/H134,"-")</f>
        <v>-</v>
      </c>
      <c r="K134" s="50" t="str">
        <f t="shared" si="661"/>
        <v>-</v>
      </c>
      <c r="L134" s="6">
        <f>IFERROR(__xludf.DUMMYFUNCTION("IFERROR(
  VLOOKUP(
    A134,
    IMPORTRANGE(
      ""1ZHMy3vVUd_0MrSduXTe1etBb1HNpAlGwQr006ljwMiM"",
      ""GSC最新!A:R""
    ),
    7,
    FALSE
  ),
  0
)
"),0.0)</f>
        <v>0</v>
      </c>
      <c r="M134" s="6">
        <f>IFERROR(__xludf.DUMMYFUNCTION("IFERROR(
  VLOOKUP(
    A134,
    IMPORTRANGE(
      ""1ZHMy3vVUd_0MrSduXTe1etBb1HNpAlGwQr006ljwMiM"",
      ""GSC最新!A:R""
    ),
    10,
    FALSE
  ),
  0
)
"),0.0)</f>
        <v>0</v>
      </c>
      <c r="N134" s="6">
        <f>IFERROR(__xludf.DUMMYFUNCTION("IFERROR(
  VLOOKUP(
    A134,
    IMPORTRANGE(
      ""1ZHMy3vVUd_0MrSduXTe1etBb1HNpAlGwQr006ljwMiM"",
      ""GSC最新!A:R""
    ),
    13,
    FALSE
  ),
  0
)
"),0.0)</f>
        <v>0</v>
      </c>
      <c r="O134" s="6">
        <f>IFERROR(__xludf.DUMMYFUNCTION("IFERROR(
  VLOOKUP(
    A134,
    IMPORTRANGE(
      ""1ZHMy3vVUd_0MrSduXTe1etBb1HNpAlGwQr006ljwMiM"",
      ""GSC最新!A:R""
    ),
    16,
    FALSE
  ),
  0
)
"),0.0)</f>
        <v>0</v>
      </c>
      <c r="P134" s="51" t="str">
        <f t="shared" ref="P134:Q134" si="662">IFERROR(L134/N134,"-")</f>
        <v>-</v>
      </c>
      <c r="Q134" s="51" t="str">
        <f t="shared" si="662"/>
        <v>-</v>
      </c>
      <c r="R134" s="9">
        <f>IFERROR(__xludf.DUMMYFUNCTION("IFERROR(
  VLOOKUP(
    A134,
    IMPORTRANGE(
      ""1ZHMy3vVUd_0MrSduXTe1etBb1HNpAlGwQr006ljwMiM"",
      ""GSC最新!A:R""
    ),
    8,
    FALSE
  ),
  0
)
"),0.0)</f>
        <v>0</v>
      </c>
      <c r="S134" s="9">
        <f>IFERROR(__xludf.DUMMYFUNCTION("IFERROR(
  VLOOKUP(
    A134,
    IMPORTRANGE(
      ""1ZHMy3vVUd_0MrSduXTe1etBb1HNpAlGwQr006ljwMiM"",
      ""GSC最新!A:R""
    ),
    11,
    FALSE
  ),
  0
)
"),0.0)</f>
        <v>0</v>
      </c>
      <c r="T134" s="9">
        <f>IFERROR(__xludf.DUMMYFUNCTION("IFERROR(
  VLOOKUP(
    A134,
    IMPORTRANGE(
      ""1ZHMy3vVUd_0MrSduXTe1etBb1HNpAlGwQr006ljwMiM"",
      ""GSC最新!A:R""
    ),
    14,
    FALSE
  ),
  0
)
"),0.0)</f>
        <v>0</v>
      </c>
      <c r="U134" s="9">
        <f>IFERROR(__xludf.DUMMYFUNCTION("IFERROR(
  VLOOKUP(
    A134,
    IMPORTRANGE(
      ""1ZHMy3vVUd_0MrSduXTe1etBb1HNpAlGwQr006ljwMiM"",
      ""GSC最新!A:R""
    ),
    17,
    FALSE
  ),
  0
)
"),0.0)</f>
        <v>0</v>
      </c>
      <c r="V134" s="9">
        <f t="shared" ref="V134:W134" si="663">IFERROR(R134-T134,"-")</f>
        <v>0</v>
      </c>
      <c r="W134" s="9">
        <f t="shared" si="663"/>
        <v>0</v>
      </c>
      <c r="X134" s="65" t="str">
        <f>IFERROR(__xludf.DUMMYFUNCTION("IFERROR(
  VLOOKUP(
    A134,
    IMPORTRANGE(
      ""1ZHMy3vVUd_0MrSduXTe1etBb1HNpAlGwQr006ljwMiM"",
      ""GSC最新!A:R""
    ),
    9,
    FALSE
  ),
  0
)
"),"")</f>
        <v/>
      </c>
      <c r="Y134" s="65" t="str">
        <f>IFERROR(__xludf.DUMMYFUNCTION("IFERROR(
  VLOOKUP(
    A134,
    IMPORTRANGE(
      ""1ZHMy3vVUd_0MrSduXTe1etBb1HNpAlGwQr006ljwMiM"",
      ""GSC最新!A:R""
    ),
    12,
    FALSE
  ),
  0
)
"),"")</f>
        <v/>
      </c>
      <c r="Z134" s="65" t="str">
        <f>IFERROR(__xludf.DUMMYFUNCTION("IFERROR(
  VLOOKUP(
    A134,
    IMPORTRANGE(
      ""1ZHMy3vVUd_0MrSduXTe1etBb1HNpAlGwQr006ljwMiM"",
      ""GSC最新!A:R""
    ),
    15,
    FALSE
  ),
  0
)
"),"")</f>
        <v/>
      </c>
      <c r="AA134" s="65" t="str">
        <f>IFERROR(__xludf.DUMMYFUNCTION("IFERROR(
  VLOOKUP(
    A134,
    IMPORTRANGE(
      ""1ZHMy3vVUd_0MrSduXTe1etBb1HNpAlGwQr006ljwMiM"",
      ""GSC最新!A:R""
    ),
    18,
    FALSE
  ),
  0
)
"),"")</f>
        <v/>
      </c>
      <c r="AB134" s="65">
        <f t="shared" ref="AB134:AC134" si="664">X134-Z134</f>
        <v>0</v>
      </c>
      <c r="AC134" s="65">
        <f t="shared" si="664"/>
        <v>0</v>
      </c>
      <c r="AD134" s="53">
        <f>IFERROR(__xludf.DUMMYFUNCTION("IFERROR(
  VLOOKUP(
    A134,
    IMPORTRANGE(
      ""1ZHMy3vVUd_0MrSduXTe1etBb1HNpAlGwQr006ljwMiM"",
      ""GSC最新!A:F""
    ),
    6,
    FALSE
  ),
  0
)
"),46081.0)</f>
        <v>46081</v>
      </c>
      <c r="AE134" s="54">
        <f>IFERROR(__xludf.DUMMYFUNCTION("IFERROR(
  VLOOKUP(
    A134,
    IMPORTRANGE(
      ""1SCYQd7_cobOYqT0r_F0IqD4tE4rYn5y8Eup4PJTH8es"",
      ""Snapshot!A:M""
    ),
    5,
    FALSE
  ),
  ""-""
)
"),0.0)</f>
        <v>0</v>
      </c>
      <c r="AF134" s="54">
        <f>IFERROR(__xludf.DUMMYFUNCTION("IFERROR(
  VLOOKUP(
    A134,
    IMPORTRANGE(
      ""1SCYQd7_cobOYqT0r_F0IqD4tE4rYn5y8Eup4PJTH8es"",
      ""Snapshot!A:M""
    ),
    6,
    FALSE
  ),
  0
)
"),0.0)</f>
        <v>0</v>
      </c>
      <c r="AG134" s="54">
        <f>IFERROR(__xludf.DUMMYFUNCTION("IFERROR(
  VLOOKUP(
    A134,
    IMPORTRANGE(
      ""1SCYQd7_cobOYqT0r_F0IqD4tE4rYn5y8Eup4PJTH8es"",
      ""Snapshot!A:M""
    ),
    7,
    FALSE
  ),
  0
)
"),527.0)</f>
        <v>527</v>
      </c>
      <c r="AH134" s="54">
        <f>IFERROR(__xludf.DUMMYFUNCTION("IFERROR(
  VLOOKUP(
    A134,
    IMPORTRANGE(
      ""1SCYQd7_cobOYqT0r_F0IqD4tE4rYn5y8Eup4PJTH8es"",
      ""Snapshot!A:M""
    ),
    8,
    FALSE
  ),
  0
)
"),2.0)</f>
        <v>2</v>
      </c>
      <c r="AI134" s="54">
        <f>IFERROR(__xludf.DUMMYFUNCTION("IFERROR(
  VLOOKUP(
    A134,
    IMPORTRANGE(
      ""1SCYQd7_cobOYqT0r_F0IqD4tE4rYn5y8Eup4PJTH8es"",
      ""Snapshot!A:M""
    ),
    9,
    FALSE
  ),
  0
)
"),1.0)</f>
        <v>1</v>
      </c>
      <c r="AJ134" s="54">
        <f>IFERROR(__xludf.DUMMYFUNCTION("IFERROR(
  VLOOKUP(
    A134,
    IMPORTRANGE(
      ""1SCYQd7_cobOYqT0r_F0IqD4tE4rYn5y8Eup4PJTH8es"",
      ""Snapshot!A:M""
    ),
    13,
    FALSE
  ),
  0
)
"),2.0)</f>
        <v>2</v>
      </c>
      <c r="AK134" s="49">
        <f t="shared" ref="AK134:AL134" si="665">LEN(C134)</f>
        <v>58</v>
      </c>
      <c r="AL134" s="49">
        <f t="shared" si="665"/>
        <v>55</v>
      </c>
    </row>
    <row r="135">
      <c r="A135" s="1" t="s">
        <v>814</v>
      </c>
      <c r="B135" s="1" t="str">
        <f>IFERROR(__xludf.DUMMYFUNCTION("IFERROR(
  VLOOKUP(
    A135,
    IMPORTRANGE(
      ""1ZygntHC1J6IxzKbTidmOyf5nUyW4GCLurHCjexrLm_o"",
      ""HTMLキャッシュ!A:F""
    ),
    2,
    FALSE
  ),
  0
)
"),"NW")</f>
        <v>NW</v>
      </c>
      <c r="C135" s="1" t="str">
        <f>IFERROR(__xludf.DUMMYFUNCTION("IFERROR(
  VLOOKUP(
    A135,
    IMPORTRANGE(
      ""1ZygntHC1J6IxzKbTidmOyf5nUyW4GCLurHCjexrLm_o"",
      ""HTMLキャッシュ!A:F""
    ),
    5,
    FALSE
  ),
  0
)
"),"2022年度夏期講習開催のお知らせ - 中高一貫校専門塾エスコット(Escot)～定期試験対策から大学受験指導まで～")</f>
        <v>2022年度夏期講習開催のお知らせ - 中高一貫校専門塾エスコット(Escot)～定期試験対策から大学受験指導まで～</v>
      </c>
      <c r="D135" s="1" t="str">
        <f>IFERROR(__xludf.DUMMYFUNCTION("IFERROR(
  VLOOKUP(
    A135,
    IMPORTRANGE(
      ""1ZygntHC1J6IxzKbTidmOyf5nUyW4GCLurHCjexrLm_o        "",
      ""HTMLキャッシュ!A:F""
    ),
    6,
    FALSE
  ),
  0
)
"),"夏休みは、受験生にとってはまさに天王山、受験を1年以上先に控えているお子様にとっては、日頃忙しくて取り組むこと")</f>
        <v>夏休みは、受験生にとってはまさに天王山、受験を1年以上先に控えているお子様にとっては、日頃忙しくて取り組むこと</v>
      </c>
      <c r="E135" s="32">
        <f>IFERROR(__xludf.DUMMYFUNCTION("IFERROR(
  VLOOKUP(
    A135,
    IMPORTRANGE(
      ""1ZygntHC1J6IxzKbTidmOyf5nUyW4GCLurHCjexrLm_o        "",
      ""HTMLキャッシュ!A:F""
    ),
    3,
    FALSE
  ),
  0
)
"),45590.80773148148)</f>
        <v>45590.80773</v>
      </c>
      <c r="F135" s="49">
        <f>IFERROR(__xludf.DUMMYFUNCTION("IFERROR(
  VLOOKUP(
    A135,
    IMPORTRANGE(
      ""1ZHMy3vVUd_0MrSduXTe1etBb1HNpAlGwQr006ljwMiM"",
      ""GSC最新!A:F""
    ),
    2,
    FALSE
  ),
  0
)
"),0.0)</f>
        <v>0</v>
      </c>
      <c r="G135" s="49">
        <f>IFERROR(__xludf.DUMMYFUNCTION("IFERROR(
  VLOOKUP(
    A135,
    IMPORTRANGE(
      ""1ZHMy3vVUd_0MrSduXTe1etBb1HNpAlGwQr006ljwMiM"",
      ""GSC最新!A:F""
    ),
    3,
    FALSE
  ),
  0
)
"),0.0)</f>
        <v>0</v>
      </c>
      <c r="H135" s="49">
        <f>IFERROR(__xludf.DUMMYFUNCTION("IFERROR(
  VLOOKUP(
    A135,
    IMPORTRANGE(
      ""1ZHMy3vVUd_0MrSduXTe1etBb1HNpAlGwQr006ljwMiM"",
      ""GSC最新!A:F""
    ),
    4,
    FALSE
  ),
  0
)
"),0.0)</f>
        <v>0</v>
      </c>
      <c r="I135" s="49">
        <f>IFERROR(__xludf.DUMMYFUNCTION("IFERROR(
  VLOOKUP(
    A135,
    IMPORTRANGE(
      ""1ZHMy3vVUd_0MrSduXTe1etBb1HNpAlGwQr006ljwMiM"",
      ""GSC最新!A:F""
    ),
    5,
    FALSE
  ),
  0
)
"),0.0)</f>
        <v>0</v>
      </c>
      <c r="J135" s="50" t="str">
        <f t="shared" ref="J135:K135" si="666">IFERROR(F135/H135,"-")</f>
        <v>-</v>
      </c>
      <c r="K135" s="50" t="str">
        <f t="shared" si="666"/>
        <v>-</v>
      </c>
      <c r="L135" s="6">
        <f>IFERROR(__xludf.DUMMYFUNCTION("IFERROR(
  VLOOKUP(
    A135,
    IMPORTRANGE(
      ""1ZHMy3vVUd_0MrSduXTe1etBb1HNpAlGwQr006ljwMiM"",
      ""GSC最新!A:R""
    ),
    7,
    FALSE
  ),
  0
)
"),0.0)</f>
        <v>0</v>
      </c>
      <c r="M135" s="6">
        <f>IFERROR(__xludf.DUMMYFUNCTION("IFERROR(
  VLOOKUP(
    A135,
    IMPORTRANGE(
      ""1ZHMy3vVUd_0MrSduXTe1etBb1HNpAlGwQr006ljwMiM"",
      ""GSC最新!A:R""
    ),
    10,
    FALSE
  ),
  0
)
"),0.0)</f>
        <v>0</v>
      </c>
      <c r="N135" s="6">
        <f>IFERROR(__xludf.DUMMYFUNCTION("IFERROR(
  VLOOKUP(
    A135,
    IMPORTRANGE(
      ""1ZHMy3vVUd_0MrSduXTe1etBb1HNpAlGwQr006ljwMiM"",
      ""GSC最新!A:R""
    ),
    13,
    FALSE
  ),
  0
)
"),0.0)</f>
        <v>0</v>
      </c>
      <c r="O135" s="6">
        <f>IFERROR(__xludf.DUMMYFUNCTION("IFERROR(
  VLOOKUP(
    A135,
    IMPORTRANGE(
      ""1ZHMy3vVUd_0MrSduXTe1etBb1HNpAlGwQr006ljwMiM"",
      ""GSC最新!A:R""
    ),
    16,
    FALSE
  ),
  0
)
"),0.0)</f>
        <v>0</v>
      </c>
      <c r="P135" s="51" t="str">
        <f t="shared" ref="P135:Q135" si="667">IFERROR(L135/N135,"-")</f>
        <v>-</v>
      </c>
      <c r="Q135" s="51" t="str">
        <f t="shared" si="667"/>
        <v>-</v>
      </c>
      <c r="R135" s="9">
        <f>IFERROR(__xludf.DUMMYFUNCTION("IFERROR(
  VLOOKUP(
    A135,
    IMPORTRANGE(
      ""1ZHMy3vVUd_0MrSduXTe1etBb1HNpAlGwQr006ljwMiM"",
      ""GSC最新!A:R""
    ),
    8,
    FALSE
  ),
  0
)
"),0.0)</f>
        <v>0</v>
      </c>
      <c r="S135" s="9">
        <f>IFERROR(__xludf.DUMMYFUNCTION("IFERROR(
  VLOOKUP(
    A135,
    IMPORTRANGE(
      ""1ZHMy3vVUd_0MrSduXTe1etBb1HNpAlGwQr006ljwMiM"",
      ""GSC最新!A:R""
    ),
    11,
    FALSE
  ),
  0
)
"),0.0)</f>
        <v>0</v>
      </c>
      <c r="T135" s="9">
        <f>IFERROR(__xludf.DUMMYFUNCTION("IFERROR(
  VLOOKUP(
    A135,
    IMPORTRANGE(
      ""1ZHMy3vVUd_0MrSduXTe1etBb1HNpAlGwQr006ljwMiM"",
      ""GSC最新!A:R""
    ),
    14,
    FALSE
  ),
  0
)
"),0.0)</f>
        <v>0</v>
      </c>
      <c r="U135" s="9">
        <f>IFERROR(__xludf.DUMMYFUNCTION("IFERROR(
  VLOOKUP(
    A135,
    IMPORTRANGE(
      ""1ZHMy3vVUd_0MrSduXTe1etBb1HNpAlGwQr006ljwMiM"",
      ""GSC最新!A:R""
    ),
    17,
    FALSE
  ),
  0
)
"),0.0)</f>
        <v>0</v>
      </c>
      <c r="V135" s="9">
        <f t="shared" ref="V135:W135" si="668">IFERROR(R135-T135,"-")</f>
        <v>0</v>
      </c>
      <c r="W135" s="9">
        <f t="shared" si="668"/>
        <v>0</v>
      </c>
      <c r="X135" s="65" t="str">
        <f>IFERROR(__xludf.DUMMYFUNCTION("IFERROR(
  VLOOKUP(
    A135,
    IMPORTRANGE(
      ""1ZHMy3vVUd_0MrSduXTe1etBb1HNpAlGwQr006ljwMiM"",
      ""GSC最新!A:R""
    ),
    9,
    FALSE
  ),
  0
)
"),"")</f>
        <v/>
      </c>
      <c r="Y135" s="65" t="str">
        <f>IFERROR(__xludf.DUMMYFUNCTION("IFERROR(
  VLOOKUP(
    A135,
    IMPORTRANGE(
      ""1ZHMy3vVUd_0MrSduXTe1etBb1HNpAlGwQr006ljwMiM"",
      ""GSC最新!A:R""
    ),
    12,
    FALSE
  ),
  0
)
"),"")</f>
        <v/>
      </c>
      <c r="Z135" s="65" t="str">
        <f>IFERROR(__xludf.DUMMYFUNCTION("IFERROR(
  VLOOKUP(
    A135,
    IMPORTRANGE(
      ""1ZHMy3vVUd_0MrSduXTe1etBb1HNpAlGwQr006ljwMiM"",
      ""GSC最新!A:R""
    ),
    15,
    FALSE
  ),
  0
)
"),"")</f>
        <v/>
      </c>
      <c r="AA135" s="65" t="str">
        <f>IFERROR(__xludf.DUMMYFUNCTION("IFERROR(
  VLOOKUP(
    A135,
    IMPORTRANGE(
      ""1ZHMy3vVUd_0MrSduXTe1etBb1HNpAlGwQr006ljwMiM"",
      ""GSC最新!A:R""
    ),
    18,
    FALSE
  ),
  0
)
"),"")</f>
        <v/>
      </c>
      <c r="AB135" s="65">
        <f t="shared" ref="AB135:AC135" si="669">X135-Z135</f>
        <v>0</v>
      </c>
      <c r="AC135" s="65">
        <f t="shared" si="669"/>
        <v>0</v>
      </c>
      <c r="AD135" s="53">
        <f>IFERROR(__xludf.DUMMYFUNCTION("IFERROR(
  VLOOKUP(
    A135,
    IMPORTRANGE(
      ""1ZHMy3vVUd_0MrSduXTe1etBb1HNpAlGwQr006ljwMiM"",
      ""GSC最新!A:F""
    ),
    6,
    FALSE
  ),
  0
)
"),46081.0)</f>
        <v>46081</v>
      </c>
      <c r="AE135" s="54">
        <f>IFERROR(__xludf.DUMMYFUNCTION("IFERROR(
  VLOOKUP(
    A135,
    IMPORTRANGE(
      ""1SCYQd7_cobOYqT0r_F0IqD4tE4rYn5y8Eup4PJTH8es"",
      ""Snapshot!A:M""
    ),
    5,
    FALSE
  ),
  ""-""
)
"),0.0)</f>
        <v>0</v>
      </c>
      <c r="AF135" s="54">
        <f>IFERROR(__xludf.DUMMYFUNCTION("IFERROR(
  VLOOKUP(
    A135,
    IMPORTRANGE(
      ""1SCYQd7_cobOYqT0r_F0IqD4tE4rYn5y8Eup4PJTH8es"",
      ""Snapshot!A:M""
    ),
    6,
    FALSE
  ),
  0
)
"),0.0)</f>
        <v>0</v>
      </c>
      <c r="AG135" s="54">
        <f>IFERROR(__xludf.DUMMYFUNCTION("IFERROR(
  VLOOKUP(
    A135,
    IMPORTRANGE(
      ""1SCYQd7_cobOYqT0r_F0IqD4tE4rYn5y8Eup4PJTH8es"",
      ""Snapshot!A:M""
    ),
    7,
    FALSE
  ),
  0
)
"),660.0)</f>
        <v>660</v>
      </c>
      <c r="AH135" s="54">
        <f>IFERROR(__xludf.DUMMYFUNCTION("IFERROR(
  VLOOKUP(
    A135,
    IMPORTRANGE(
      ""1SCYQd7_cobOYqT0r_F0IqD4tE4rYn5y8Eup4PJTH8es"",
      ""Snapshot!A:M""
    ),
    8,
    FALSE
  ),
  0
)
"),0.0)</f>
        <v>0</v>
      </c>
      <c r="AI135" s="54">
        <f>IFERROR(__xludf.DUMMYFUNCTION("IFERROR(
  VLOOKUP(
    A135,
    IMPORTRANGE(
      ""1SCYQd7_cobOYqT0r_F0IqD4tE4rYn5y8Eup4PJTH8es"",
      ""Snapshot!A:M""
    ),
    9,
    FALSE
  ),
  0
)
"),1.0)</f>
        <v>1</v>
      </c>
      <c r="AJ135" s="54">
        <f>IFERROR(__xludf.DUMMYFUNCTION("IFERROR(
  VLOOKUP(
    A135,
    IMPORTRANGE(
      ""1SCYQd7_cobOYqT0r_F0IqD4tE4rYn5y8Eup4PJTH8es"",
      ""Snapshot!A:M""
    ),
    13,
    FALSE
  ),
  0
)
"),2.0)</f>
        <v>2</v>
      </c>
      <c r="AK135" s="49">
        <f t="shared" ref="AK135:AL135" si="670">LEN(C135)</f>
        <v>58</v>
      </c>
      <c r="AL135" s="49">
        <f t="shared" si="670"/>
        <v>55</v>
      </c>
    </row>
    <row r="136">
      <c r="A136" s="1" t="s">
        <v>815</v>
      </c>
      <c r="B136" s="1" t="str">
        <f>IFERROR(__xludf.DUMMYFUNCTION("IFERROR(
  VLOOKUP(
    A136,
    IMPORTRANGE(
      ""1ZygntHC1J6IxzKbTidmOyf5nUyW4GCLurHCjexrLm_o"",
      ""HTMLキャッシュ!A:F""
    ),
    2,
    FALSE
  ),
  0
)
"),"NW")</f>
        <v>NW</v>
      </c>
      <c r="C136" s="1" t="str">
        <f>IFERROR(__xludf.DUMMYFUNCTION("IFERROR(
  VLOOKUP(
    A136,
    IMPORTRANGE(
      ""1ZygntHC1J6IxzKbTidmOyf5nUyW4GCLurHCjexrLm_o"",
      ""HTMLキャッシュ!A:F""
    ),
    5,
    FALSE
  ),
  0
)
"),"2022年度春期講習のお知らせ - 中高一貫校専門塾エスコット(Escot)～定期試験対策から大学受験指導まで～")</f>
        <v>2022年度春期講習のお知らせ - 中高一貫校専門塾エスコット(Escot)～定期試験対策から大学受験指導まで～</v>
      </c>
      <c r="D136" s="1" t="str">
        <f>IFERROR(__xludf.DUMMYFUNCTION("IFERROR(
  VLOOKUP(
    A136,
    IMPORTRANGE(
      ""1ZygntHC1J6IxzKbTidmOyf5nUyW4GCLurHCjexrLm_o        "",
      ""HTMLキャッシュ!A:F""
    ),
    6,
    FALSE
  ),
  0
)
"),"春休みは、短いながらも日頃の積み残しを消化するには最適のタイミングです。 当塾では、この春休みを有意義に過ごし")</f>
        <v>春休みは、短いながらも日頃の積み残しを消化するには最適のタイミングです。 当塾では、この春休みを有意義に過ごし</v>
      </c>
      <c r="E136" s="32">
        <f>IFERROR(__xludf.DUMMYFUNCTION("IFERROR(
  VLOOKUP(
    A136,
    IMPORTRANGE(
      ""1ZygntHC1J6IxzKbTidmOyf5nUyW4GCLurHCjexrLm_o        "",
      ""HTMLキャッシュ!A:F""
    ),
    3,
    FALSE
  ),
  0
)
"),45590.816145833334)</f>
        <v>45590.81615</v>
      </c>
      <c r="F136" s="49">
        <f>IFERROR(__xludf.DUMMYFUNCTION("IFERROR(
  VLOOKUP(
    A136,
    IMPORTRANGE(
      ""1ZHMy3vVUd_0MrSduXTe1etBb1HNpAlGwQr006ljwMiM"",
      ""GSC最新!A:F""
    ),
    2,
    FALSE
  ),
  0
)
"),0.0)</f>
        <v>0</v>
      </c>
      <c r="G136" s="49">
        <f>IFERROR(__xludf.DUMMYFUNCTION("IFERROR(
  VLOOKUP(
    A136,
    IMPORTRANGE(
      ""1ZHMy3vVUd_0MrSduXTe1etBb1HNpAlGwQr006ljwMiM"",
      ""GSC最新!A:F""
    ),
    3,
    FALSE
  ),
  0
)
"),0.0)</f>
        <v>0</v>
      </c>
      <c r="H136" s="49">
        <f>IFERROR(__xludf.DUMMYFUNCTION("IFERROR(
  VLOOKUP(
    A136,
    IMPORTRANGE(
      ""1ZHMy3vVUd_0MrSduXTe1etBb1HNpAlGwQr006ljwMiM"",
      ""GSC最新!A:F""
    ),
    4,
    FALSE
  ),
  0
)
"),0.0)</f>
        <v>0</v>
      </c>
      <c r="I136" s="49">
        <f>IFERROR(__xludf.DUMMYFUNCTION("IFERROR(
  VLOOKUP(
    A136,
    IMPORTRANGE(
      ""1ZHMy3vVUd_0MrSduXTe1etBb1HNpAlGwQr006ljwMiM"",
      ""GSC最新!A:F""
    ),
    5,
    FALSE
  ),
  0
)
"),0.0)</f>
        <v>0</v>
      </c>
      <c r="J136" s="50" t="str">
        <f t="shared" ref="J136:K136" si="671">IFERROR(F136/H136,"-")</f>
        <v>-</v>
      </c>
      <c r="K136" s="50" t="str">
        <f t="shared" si="671"/>
        <v>-</v>
      </c>
      <c r="L136" s="6">
        <f>IFERROR(__xludf.DUMMYFUNCTION("IFERROR(
  VLOOKUP(
    A136,
    IMPORTRANGE(
      ""1ZHMy3vVUd_0MrSduXTe1etBb1HNpAlGwQr006ljwMiM"",
      ""GSC最新!A:R""
    ),
    7,
    FALSE
  ),
  0
)
"),0.0)</f>
        <v>0</v>
      </c>
      <c r="M136" s="6">
        <f>IFERROR(__xludf.DUMMYFUNCTION("IFERROR(
  VLOOKUP(
    A136,
    IMPORTRANGE(
      ""1ZHMy3vVUd_0MrSduXTe1etBb1HNpAlGwQr006ljwMiM"",
      ""GSC最新!A:R""
    ),
    10,
    FALSE
  ),
  0
)
"),0.0)</f>
        <v>0</v>
      </c>
      <c r="N136" s="6">
        <f>IFERROR(__xludf.DUMMYFUNCTION("IFERROR(
  VLOOKUP(
    A136,
    IMPORTRANGE(
      ""1ZHMy3vVUd_0MrSduXTe1etBb1HNpAlGwQr006ljwMiM"",
      ""GSC最新!A:R""
    ),
    13,
    FALSE
  ),
  0
)
"),0.0)</f>
        <v>0</v>
      </c>
      <c r="O136" s="6">
        <f>IFERROR(__xludf.DUMMYFUNCTION("IFERROR(
  VLOOKUP(
    A136,
    IMPORTRANGE(
      ""1ZHMy3vVUd_0MrSduXTe1etBb1HNpAlGwQr006ljwMiM"",
      ""GSC最新!A:R""
    ),
    16,
    FALSE
  ),
  0
)
"),0.0)</f>
        <v>0</v>
      </c>
      <c r="P136" s="51" t="str">
        <f t="shared" ref="P136:Q136" si="672">IFERROR(L136/N136,"-")</f>
        <v>-</v>
      </c>
      <c r="Q136" s="51" t="str">
        <f t="shared" si="672"/>
        <v>-</v>
      </c>
      <c r="R136" s="9">
        <f>IFERROR(__xludf.DUMMYFUNCTION("IFERROR(
  VLOOKUP(
    A136,
    IMPORTRANGE(
      ""1ZHMy3vVUd_0MrSduXTe1etBb1HNpAlGwQr006ljwMiM"",
      ""GSC最新!A:R""
    ),
    8,
    FALSE
  ),
  0
)
"),0.0)</f>
        <v>0</v>
      </c>
      <c r="S136" s="9">
        <f>IFERROR(__xludf.DUMMYFUNCTION("IFERROR(
  VLOOKUP(
    A136,
    IMPORTRANGE(
      ""1ZHMy3vVUd_0MrSduXTe1etBb1HNpAlGwQr006ljwMiM"",
      ""GSC最新!A:R""
    ),
    11,
    FALSE
  ),
  0
)
"),0.0)</f>
        <v>0</v>
      </c>
      <c r="T136" s="9">
        <f>IFERROR(__xludf.DUMMYFUNCTION("IFERROR(
  VLOOKUP(
    A136,
    IMPORTRANGE(
      ""1ZHMy3vVUd_0MrSduXTe1etBb1HNpAlGwQr006ljwMiM"",
      ""GSC最新!A:R""
    ),
    14,
    FALSE
  ),
  0
)
"),0.0)</f>
        <v>0</v>
      </c>
      <c r="U136" s="9">
        <f>IFERROR(__xludf.DUMMYFUNCTION("IFERROR(
  VLOOKUP(
    A136,
    IMPORTRANGE(
      ""1ZHMy3vVUd_0MrSduXTe1etBb1HNpAlGwQr006ljwMiM"",
      ""GSC最新!A:R""
    ),
    17,
    FALSE
  ),
  0
)
"),0.0)</f>
        <v>0</v>
      </c>
      <c r="V136" s="9">
        <f t="shared" ref="V136:W136" si="673">IFERROR(R136-T136,"-")</f>
        <v>0</v>
      </c>
      <c r="W136" s="9">
        <f t="shared" si="673"/>
        <v>0</v>
      </c>
      <c r="X136" s="65" t="str">
        <f>IFERROR(__xludf.DUMMYFUNCTION("IFERROR(
  VLOOKUP(
    A136,
    IMPORTRANGE(
      ""1ZHMy3vVUd_0MrSduXTe1etBb1HNpAlGwQr006ljwMiM"",
      ""GSC最新!A:R""
    ),
    9,
    FALSE
  ),
  0
)
"),"")</f>
        <v/>
      </c>
      <c r="Y136" s="65" t="str">
        <f>IFERROR(__xludf.DUMMYFUNCTION("IFERROR(
  VLOOKUP(
    A136,
    IMPORTRANGE(
      ""1ZHMy3vVUd_0MrSduXTe1etBb1HNpAlGwQr006ljwMiM"",
      ""GSC最新!A:R""
    ),
    12,
    FALSE
  ),
  0
)
"),"")</f>
        <v/>
      </c>
      <c r="Z136" s="65" t="str">
        <f>IFERROR(__xludf.DUMMYFUNCTION("IFERROR(
  VLOOKUP(
    A136,
    IMPORTRANGE(
      ""1ZHMy3vVUd_0MrSduXTe1etBb1HNpAlGwQr006ljwMiM"",
      ""GSC最新!A:R""
    ),
    15,
    FALSE
  ),
  0
)
"),"")</f>
        <v/>
      </c>
      <c r="AA136" s="65" t="str">
        <f>IFERROR(__xludf.DUMMYFUNCTION("IFERROR(
  VLOOKUP(
    A136,
    IMPORTRANGE(
      ""1ZHMy3vVUd_0MrSduXTe1etBb1HNpAlGwQr006ljwMiM"",
      ""GSC最新!A:R""
    ),
    18,
    FALSE
  ),
  0
)
"),"")</f>
        <v/>
      </c>
      <c r="AB136" s="65">
        <f t="shared" ref="AB136:AC136" si="674">X136-Z136</f>
        <v>0</v>
      </c>
      <c r="AC136" s="65">
        <f t="shared" si="674"/>
        <v>0</v>
      </c>
      <c r="AD136" s="53">
        <f>IFERROR(__xludf.DUMMYFUNCTION("IFERROR(
  VLOOKUP(
    A136,
    IMPORTRANGE(
      ""1ZHMy3vVUd_0MrSduXTe1etBb1HNpAlGwQr006ljwMiM"",
      ""GSC最新!A:F""
    ),
    6,
    FALSE
  ),
  0
)
"),46081.0)</f>
        <v>46081</v>
      </c>
      <c r="AE136" s="54">
        <f>IFERROR(__xludf.DUMMYFUNCTION("IFERROR(
  VLOOKUP(
    A136,
    IMPORTRANGE(
      ""1SCYQd7_cobOYqT0r_F0IqD4tE4rYn5y8Eup4PJTH8es"",
      ""Snapshot!A:M""
    ),
    5,
    FALSE
  ),
  ""-""
)
"),0.0)</f>
        <v>0</v>
      </c>
      <c r="AF136" s="54">
        <f>IFERROR(__xludf.DUMMYFUNCTION("IFERROR(
  VLOOKUP(
    A136,
    IMPORTRANGE(
      ""1SCYQd7_cobOYqT0r_F0IqD4tE4rYn5y8Eup4PJTH8es"",
      ""Snapshot!A:M""
    ),
    6,
    FALSE
  ),
  0
)
"),0.0)</f>
        <v>0</v>
      </c>
      <c r="AG136" s="54">
        <f>IFERROR(__xludf.DUMMYFUNCTION("IFERROR(
  VLOOKUP(
    A136,
    IMPORTRANGE(
      ""1SCYQd7_cobOYqT0r_F0IqD4tE4rYn5y8Eup4PJTH8es"",
      ""Snapshot!A:M""
    ),
    7,
    FALSE
  ),
  0
)
"),588.0)</f>
        <v>588</v>
      </c>
      <c r="AH136" s="54">
        <f>IFERROR(__xludf.DUMMYFUNCTION("IFERROR(
  VLOOKUP(
    A136,
    IMPORTRANGE(
      ""1SCYQd7_cobOYqT0r_F0IqD4tE4rYn5y8Eup4PJTH8es"",
      ""Snapshot!A:M""
    ),
    8,
    FALSE
  ),
  0
)
"),2.0)</f>
        <v>2</v>
      </c>
      <c r="AI136" s="54">
        <f>IFERROR(__xludf.DUMMYFUNCTION("IFERROR(
  VLOOKUP(
    A136,
    IMPORTRANGE(
      ""1SCYQd7_cobOYqT0r_F0IqD4tE4rYn5y8Eup4PJTH8es"",
      ""Snapshot!A:M""
    ),
    9,
    FALSE
  ),
  0
)
"),1.0)</f>
        <v>1</v>
      </c>
      <c r="AJ136" s="54">
        <f>IFERROR(__xludf.DUMMYFUNCTION("IFERROR(
  VLOOKUP(
    A136,
    IMPORTRANGE(
      ""1SCYQd7_cobOYqT0r_F0IqD4tE4rYn5y8Eup4PJTH8es"",
      ""Snapshot!A:M""
    ),
    13,
    FALSE
  ),
  0
)
"),2.0)</f>
        <v>2</v>
      </c>
      <c r="AK136" s="49">
        <f t="shared" ref="AK136:AL136" si="675">LEN(C136)</f>
        <v>56</v>
      </c>
      <c r="AL136" s="49">
        <f t="shared" si="675"/>
        <v>55</v>
      </c>
    </row>
    <row r="137">
      <c r="A137" s="1" t="s">
        <v>816</v>
      </c>
      <c r="B137" s="1" t="str">
        <f>IFERROR(__xludf.DUMMYFUNCTION("IFERROR(
  VLOOKUP(
    A137,
    IMPORTRANGE(
      ""1ZygntHC1J6IxzKbTidmOyf5nUyW4GCLurHCjexrLm_o"",
      ""HTMLキャッシュ!A:F""
    ),
    2,
    FALSE
  ),
  0
)
"),"NW")</f>
        <v>NW</v>
      </c>
      <c r="C137" s="1" t="str">
        <f>IFERROR(__xludf.DUMMYFUNCTION("IFERROR(
  VLOOKUP(
    A137,
    IMPORTRANGE(
      ""1ZygntHC1J6IxzKbTidmOyf5nUyW4GCLurHCjexrLm_o"",
      ""HTMLキャッシュ!A:F""
    ),
    5,
    FALSE
  ),
  0
)
"),"2022年度生徒募集のお知らせ - 中高一貫校専門塾エスコット(Escot)～定期試験対策から大学受験指導まで～")</f>
        <v>2022年度生徒募集のお知らせ - 中高一貫校専門塾エスコット(Escot)～定期試験対策から大学受験指導まで～</v>
      </c>
      <c r="D137" s="1" t="str">
        <f>IFERROR(__xludf.DUMMYFUNCTION("IFERROR(
  VLOOKUP(
    A137,
    IMPORTRANGE(
      ""1ZygntHC1J6IxzKbTidmOyf5nUyW4GCLurHCjexrLm_o        "",
      ""HTMLキャッシュ!A:F""
    ),
    6,
    FALSE
  ),
  0
)
"),"本日より、2022年度の生徒募集を開始致します。 2月開講講座、個別指導の詳細については、下記をご覧下さいませ")</f>
        <v>本日より、2022年度の生徒募集を開始致します。 2月開講講座、個別指導の詳細については、下記をご覧下さいませ</v>
      </c>
      <c r="E137" s="32">
        <f>IFERROR(__xludf.DUMMYFUNCTION("IFERROR(
  VLOOKUP(
    A137,
    IMPORTRANGE(
      ""1ZygntHC1J6IxzKbTidmOyf5nUyW4GCLurHCjexrLm_o        "",
      ""HTMLキャッシュ!A:F""
    ),
    3,
    FALSE
  ),
  0
)
"),45590.79756944445)</f>
        <v>45590.79757</v>
      </c>
      <c r="F137" s="49">
        <f>IFERROR(__xludf.DUMMYFUNCTION("IFERROR(
  VLOOKUP(
    A137,
    IMPORTRANGE(
      ""1ZHMy3vVUd_0MrSduXTe1etBb1HNpAlGwQr006ljwMiM"",
      ""GSC最新!A:F""
    ),
    2,
    FALSE
  ),
  0
)
"),0.0)</f>
        <v>0</v>
      </c>
      <c r="G137" s="49">
        <f>IFERROR(__xludf.DUMMYFUNCTION("IFERROR(
  VLOOKUP(
    A137,
    IMPORTRANGE(
      ""1ZHMy3vVUd_0MrSduXTe1etBb1HNpAlGwQr006ljwMiM"",
      ""GSC最新!A:F""
    ),
    3,
    FALSE
  ),
  0
)
"),0.0)</f>
        <v>0</v>
      </c>
      <c r="H137" s="49">
        <f>IFERROR(__xludf.DUMMYFUNCTION("IFERROR(
  VLOOKUP(
    A137,
    IMPORTRANGE(
      ""1ZHMy3vVUd_0MrSduXTe1etBb1HNpAlGwQr006ljwMiM"",
      ""GSC最新!A:F""
    ),
    4,
    FALSE
  ),
  0
)
"),0.0)</f>
        <v>0</v>
      </c>
      <c r="I137" s="49">
        <f>IFERROR(__xludf.DUMMYFUNCTION("IFERROR(
  VLOOKUP(
    A137,
    IMPORTRANGE(
      ""1ZHMy3vVUd_0MrSduXTe1etBb1HNpAlGwQr006ljwMiM"",
      ""GSC最新!A:F""
    ),
    5,
    FALSE
  ),
  0
)
"),0.0)</f>
        <v>0</v>
      </c>
      <c r="J137" s="50" t="str">
        <f t="shared" ref="J137:K137" si="676">IFERROR(F137/H137,"-")</f>
        <v>-</v>
      </c>
      <c r="K137" s="50" t="str">
        <f t="shared" si="676"/>
        <v>-</v>
      </c>
      <c r="L137" s="6">
        <f>IFERROR(__xludf.DUMMYFUNCTION("IFERROR(
  VLOOKUP(
    A137,
    IMPORTRANGE(
      ""1ZHMy3vVUd_0MrSduXTe1etBb1HNpAlGwQr006ljwMiM"",
      ""GSC最新!A:R""
    ),
    7,
    FALSE
  ),
  0
)
"),0.0)</f>
        <v>0</v>
      </c>
      <c r="M137" s="6">
        <f>IFERROR(__xludf.DUMMYFUNCTION("IFERROR(
  VLOOKUP(
    A137,
    IMPORTRANGE(
      ""1ZHMy3vVUd_0MrSduXTe1etBb1HNpAlGwQr006ljwMiM"",
      ""GSC最新!A:R""
    ),
    10,
    FALSE
  ),
  0
)
"),0.0)</f>
        <v>0</v>
      </c>
      <c r="N137" s="6">
        <f>IFERROR(__xludf.DUMMYFUNCTION("IFERROR(
  VLOOKUP(
    A137,
    IMPORTRANGE(
      ""1ZHMy3vVUd_0MrSduXTe1etBb1HNpAlGwQr006ljwMiM"",
      ""GSC最新!A:R""
    ),
    13,
    FALSE
  ),
  0
)
"),0.0)</f>
        <v>0</v>
      </c>
      <c r="O137" s="6">
        <f>IFERROR(__xludf.DUMMYFUNCTION("IFERROR(
  VLOOKUP(
    A137,
    IMPORTRANGE(
      ""1ZHMy3vVUd_0MrSduXTe1etBb1HNpAlGwQr006ljwMiM"",
      ""GSC最新!A:R""
    ),
    16,
    FALSE
  ),
  0
)
"),0.0)</f>
        <v>0</v>
      </c>
      <c r="P137" s="51" t="str">
        <f t="shared" ref="P137:Q137" si="677">IFERROR(L137/N137,"-")</f>
        <v>-</v>
      </c>
      <c r="Q137" s="51" t="str">
        <f t="shared" si="677"/>
        <v>-</v>
      </c>
      <c r="R137" s="9">
        <f>IFERROR(__xludf.DUMMYFUNCTION("IFERROR(
  VLOOKUP(
    A137,
    IMPORTRANGE(
      ""1ZHMy3vVUd_0MrSduXTe1etBb1HNpAlGwQr006ljwMiM"",
      ""GSC最新!A:R""
    ),
    8,
    FALSE
  ),
  0
)
"),0.0)</f>
        <v>0</v>
      </c>
      <c r="S137" s="9">
        <f>IFERROR(__xludf.DUMMYFUNCTION("IFERROR(
  VLOOKUP(
    A137,
    IMPORTRANGE(
      ""1ZHMy3vVUd_0MrSduXTe1etBb1HNpAlGwQr006ljwMiM"",
      ""GSC最新!A:R""
    ),
    11,
    FALSE
  ),
  0
)
"),0.0)</f>
        <v>0</v>
      </c>
      <c r="T137" s="9">
        <f>IFERROR(__xludf.DUMMYFUNCTION("IFERROR(
  VLOOKUP(
    A137,
    IMPORTRANGE(
      ""1ZHMy3vVUd_0MrSduXTe1etBb1HNpAlGwQr006ljwMiM"",
      ""GSC最新!A:R""
    ),
    14,
    FALSE
  ),
  0
)
"),0.0)</f>
        <v>0</v>
      </c>
      <c r="U137" s="9">
        <f>IFERROR(__xludf.DUMMYFUNCTION("IFERROR(
  VLOOKUP(
    A137,
    IMPORTRANGE(
      ""1ZHMy3vVUd_0MrSduXTe1etBb1HNpAlGwQr006ljwMiM"",
      ""GSC最新!A:R""
    ),
    17,
    FALSE
  ),
  0
)
"),0.0)</f>
        <v>0</v>
      </c>
      <c r="V137" s="9">
        <f t="shared" ref="V137:W137" si="678">IFERROR(R137-T137,"-")</f>
        <v>0</v>
      </c>
      <c r="W137" s="9">
        <f t="shared" si="678"/>
        <v>0</v>
      </c>
      <c r="X137" s="65" t="str">
        <f>IFERROR(__xludf.DUMMYFUNCTION("IFERROR(
  VLOOKUP(
    A137,
    IMPORTRANGE(
      ""1ZHMy3vVUd_0MrSduXTe1etBb1HNpAlGwQr006ljwMiM"",
      ""GSC最新!A:R""
    ),
    9,
    FALSE
  ),
  0
)
"),"")</f>
        <v/>
      </c>
      <c r="Y137" s="65" t="str">
        <f>IFERROR(__xludf.DUMMYFUNCTION("IFERROR(
  VLOOKUP(
    A137,
    IMPORTRANGE(
      ""1ZHMy3vVUd_0MrSduXTe1etBb1HNpAlGwQr006ljwMiM"",
      ""GSC最新!A:R""
    ),
    12,
    FALSE
  ),
  0
)
"),"")</f>
        <v/>
      </c>
      <c r="Z137" s="65" t="str">
        <f>IFERROR(__xludf.DUMMYFUNCTION("IFERROR(
  VLOOKUP(
    A137,
    IMPORTRANGE(
      ""1ZHMy3vVUd_0MrSduXTe1etBb1HNpAlGwQr006ljwMiM"",
      ""GSC最新!A:R""
    ),
    15,
    FALSE
  ),
  0
)
"),"")</f>
        <v/>
      </c>
      <c r="AA137" s="65" t="str">
        <f>IFERROR(__xludf.DUMMYFUNCTION("IFERROR(
  VLOOKUP(
    A137,
    IMPORTRANGE(
      ""1ZHMy3vVUd_0MrSduXTe1etBb1HNpAlGwQr006ljwMiM"",
      ""GSC最新!A:R""
    ),
    18,
    FALSE
  ),
  0
)
"),"")</f>
        <v/>
      </c>
      <c r="AB137" s="65">
        <f t="shared" ref="AB137:AC137" si="679">X137-Z137</f>
        <v>0</v>
      </c>
      <c r="AC137" s="65">
        <f t="shared" si="679"/>
        <v>0</v>
      </c>
      <c r="AD137" s="53">
        <f>IFERROR(__xludf.DUMMYFUNCTION("IFERROR(
  VLOOKUP(
    A137,
    IMPORTRANGE(
      ""1ZHMy3vVUd_0MrSduXTe1etBb1HNpAlGwQr006ljwMiM"",
      ""GSC最新!A:F""
    ),
    6,
    FALSE
  ),
  0
)
"),46081.0)</f>
        <v>46081</v>
      </c>
      <c r="AE137" s="54">
        <f>IFERROR(__xludf.DUMMYFUNCTION("IFERROR(
  VLOOKUP(
    A137,
    IMPORTRANGE(
      ""1SCYQd7_cobOYqT0r_F0IqD4tE4rYn5y8Eup4PJTH8es"",
      ""Snapshot!A:M""
    ),
    5,
    FALSE
  ),
  ""-""
)
"),0.0)</f>
        <v>0</v>
      </c>
      <c r="AF137" s="54">
        <f>IFERROR(__xludf.DUMMYFUNCTION("IFERROR(
  VLOOKUP(
    A137,
    IMPORTRANGE(
      ""1SCYQd7_cobOYqT0r_F0IqD4tE4rYn5y8Eup4PJTH8es"",
      ""Snapshot!A:M""
    ),
    6,
    FALSE
  ),
  0
)
"),0.0)</f>
        <v>0</v>
      </c>
      <c r="AG137" s="54">
        <f>IFERROR(__xludf.DUMMYFUNCTION("IFERROR(
  VLOOKUP(
    A137,
    IMPORTRANGE(
      ""1SCYQd7_cobOYqT0r_F0IqD4tE4rYn5y8Eup4PJTH8es"",
      ""Snapshot!A:M""
    ),
    7,
    FALSE
  ),
  0
)
"),336.0)</f>
        <v>336</v>
      </c>
      <c r="AH137" s="54">
        <f>IFERROR(__xludf.DUMMYFUNCTION("IFERROR(
  VLOOKUP(
    A137,
    IMPORTRANGE(
      ""1SCYQd7_cobOYqT0r_F0IqD4tE4rYn5y8Eup4PJTH8es"",
      ""Snapshot!A:M""
    ),
    8,
    FALSE
  ),
  0
)
"),3.0)</f>
        <v>3</v>
      </c>
      <c r="AI137" s="54">
        <f>IFERROR(__xludf.DUMMYFUNCTION("IFERROR(
  VLOOKUP(
    A137,
    IMPORTRANGE(
      ""1SCYQd7_cobOYqT0r_F0IqD4tE4rYn5y8Eup4PJTH8es"",
      ""Snapshot!A:M""
    ),
    9,
    FALSE
  ),
  0
)
"),1.0)</f>
        <v>1</v>
      </c>
      <c r="AJ137" s="54">
        <f>IFERROR(__xludf.DUMMYFUNCTION("IFERROR(
  VLOOKUP(
    A137,
    IMPORTRANGE(
      ""1SCYQd7_cobOYqT0r_F0IqD4tE4rYn5y8Eup4PJTH8es"",
      ""Snapshot!A:M""
    ),
    13,
    FALSE
  ),
  0
)
"),2.0)</f>
        <v>2</v>
      </c>
      <c r="AK137" s="49">
        <f t="shared" ref="AK137:AL137" si="680">LEN(C137)</f>
        <v>56</v>
      </c>
      <c r="AL137" s="49">
        <f t="shared" si="680"/>
        <v>55</v>
      </c>
    </row>
    <row r="138">
      <c r="A138" s="1" t="s">
        <v>817</v>
      </c>
      <c r="B138" s="1" t="str">
        <f>IFERROR(__xludf.DUMMYFUNCTION("IFERROR(
  VLOOKUP(
    A138,
    IMPORTRANGE(
      ""1ZygntHC1J6IxzKbTidmOyf5nUyW4GCLurHCjexrLm_o"",
      ""HTMLキャッシュ!A:F""
    ),
    2,
    FALSE
  ),
  0
)
"),"NW")</f>
        <v>NW</v>
      </c>
      <c r="C138" s="1" t="str">
        <f>IFERROR(__xludf.DUMMYFUNCTION("IFERROR(
  VLOOKUP(
    A138,
    IMPORTRANGE(
      ""1ZygntHC1J6IxzKbTidmOyf5nUyW4GCLurHCjexrLm_o"",
      ""HTMLキャッシュ!A:F""
    ),
    5,
    FALSE
  ),
  0
)
"),"2022年度冬期講習開講のお知らせ - 中高一貫校専門塾エスコット(Escot)～定期試験対策から大学受験指導まで～")</f>
        <v>2022年度冬期講習開講のお知らせ - 中高一貫校専門塾エスコット(Escot)～定期試験対策から大学受験指導まで～</v>
      </c>
      <c r="D138" s="1" t="str">
        <f>IFERROR(__xludf.DUMMYFUNCTION("IFERROR(
  VLOOKUP(
    A138,
    IMPORTRANGE(
      ""1ZygntHC1J6IxzKbTidmOyf5nUyW4GCLurHCjexrLm_o        "",
      ""HTMLキャッシュ!A:F""
    ),
    6,
    FALSE
  ),
  0
)
"),"当塾では冬期講習会を実施させて頂く運びとなりました。現在当塾に通塾されている塾生の皆さんはもちろんのこと、普段")</f>
        <v>当塾では冬期講習会を実施させて頂く運びとなりました。現在当塾に通塾されている塾生の皆さんはもちろんのこと、普段</v>
      </c>
      <c r="E138" s="32">
        <f>IFERROR(__xludf.DUMMYFUNCTION("IFERROR(
  VLOOKUP(
    A138,
    IMPORTRANGE(
      ""1ZygntHC1J6IxzKbTidmOyf5nUyW4GCLurHCjexrLm_o        "",
      ""HTMLキャッシュ!A:F""
    ),
    3,
    FALSE
  ),
  0
)
"),45591.76834490741)</f>
        <v>45591.76834</v>
      </c>
      <c r="F138" s="49">
        <f>IFERROR(__xludf.DUMMYFUNCTION("IFERROR(
  VLOOKUP(
    A138,
    IMPORTRANGE(
      ""1ZHMy3vVUd_0MrSduXTe1etBb1HNpAlGwQr006ljwMiM"",
      ""GSC最新!A:F""
    ),
    2,
    FALSE
  ),
  0
)
"),0.0)</f>
        <v>0</v>
      </c>
      <c r="G138" s="49">
        <f>IFERROR(__xludf.DUMMYFUNCTION("IFERROR(
  VLOOKUP(
    A138,
    IMPORTRANGE(
      ""1ZHMy3vVUd_0MrSduXTe1etBb1HNpAlGwQr006ljwMiM"",
      ""GSC最新!A:F""
    ),
    3,
    FALSE
  ),
  0
)
"),0.0)</f>
        <v>0</v>
      </c>
      <c r="H138" s="49">
        <f>IFERROR(__xludf.DUMMYFUNCTION("IFERROR(
  VLOOKUP(
    A138,
    IMPORTRANGE(
      ""1ZHMy3vVUd_0MrSduXTe1etBb1HNpAlGwQr006ljwMiM"",
      ""GSC最新!A:F""
    ),
    4,
    FALSE
  ),
  0
)
"),0.0)</f>
        <v>0</v>
      </c>
      <c r="I138" s="49">
        <f>IFERROR(__xludf.DUMMYFUNCTION("IFERROR(
  VLOOKUP(
    A138,
    IMPORTRANGE(
      ""1ZHMy3vVUd_0MrSduXTe1etBb1HNpAlGwQr006ljwMiM"",
      ""GSC最新!A:F""
    ),
    5,
    FALSE
  ),
  0
)
"),0.0)</f>
        <v>0</v>
      </c>
      <c r="J138" s="50" t="str">
        <f t="shared" ref="J138:K138" si="681">IFERROR(F138/H138,"-")</f>
        <v>-</v>
      </c>
      <c r="K138" s="50" t="str">
        <f t="shared" si="681"/>
        <v>-</v>
      </c>
      <c r="L138" s="6">
        <f>IFERROR(__xludf.DUMMYFUNCTION("IFERROR(
  VLOOKUP(
    A138,
    IMPORTRANGE(
      ""1ZHMy3vVUd_0MrSduXTe1etBb1HNpAlGwQr006ljwMiM"",
      ""GSC最新!A:R""
    ),
    7,
    FALSE
  ),
  0
)
"),0.0)</f>
        <v>0</v>
      </c>
      <c r="M138" s="6">
        <f>IFERROR(__xludf.DUMMYFUNCTION("IFERROR(
  VLOOKUP(
    A138,
    IMPORTRANGE(
      ""1ZHMy3vVUd_0MrSduXTe1etBb1HNpAlGwQr006ljwMiM"",
      ""GSC最新!A:R""
    ),
    10,
    FALSE
  ),
  0
)
"),0.0)</f>
        <v>0</v>
      </c>
      <c r="N138" s="6">
        <f>IFERROR(__xludf.DUMMYFUNCTION("IFERROR(
  VLOOKUP(
    A138,
    IMPORTRANGE(
      ""1ZHMy3vVUd_0MrSduXTe1etBb1HNpAlGwQr006ljwMiM"",
      ""GSC最新!A:R""
    ),
    13,
    FALSE
  ),
  0
)
"),0.0)</f>
        <v>0</v>
      </c>
      <c r="O138" s="6">
        <f>IFERROR(__xludf.DUMMYFUNCTION("IFERROR(
  VLOOKUP(
    A138,
    IMPORTRANGE(
      ""1ZHMy3vVUd_0MrSduXTe1etBb1HNpAlGwQr006ljwMiM"",
      ""GSC最新!A:R""
    ),
    16,
    FALSE
  ),
  0
)
"),0.0)</f>
        <v>0</v>
      </c>
      <c r="P138" s="51" t="str">
        <f t="shared" ref="P138:Q138" si="682">IFERROR(L138/N138,"-")</f>
        <v>-</v>
      </c>
      <c r="Q138" s="51" t="str">
        <f t="shared" si="682"/>
        <v>-</v>
      </c>
      <c r="R138" s="9">
        <f>IFERROR(__xludf.DUMMYFUNCTION("IFERROR(
  VLOOKUP(
    A138,
    IMPORTRANGE(
      ""1ZHMy3vVUd_0MrSduXTe1etBb1HNpAlGwQr006ljwMiM"",
      ""GSC最新!A:R""
    ),
    8,
    FALSE
  ),
  0
)
"),0.0)</f>
        <v>0</v>
      </c>
      <c r="S138" s="9">
        <f>IFERROR(__xludf.DUMMYFUNCTION("IFERROR(
  VLOOKUP(
    A138,
    IMPORTRANGE(
      ""1ZHMy3vVUd_0MrSduXTe1etBb1HNpAlGwQr006ljwMiM"",
      ""GSC最新!A:R""
    ),
    11,
    FALSE
  ),
  0
)
"),0.0)</f>
        <v>0</v>
      </c>
      <c r="T138" s="9">
        <f>IFERROR(__xludf.DUMMYFUNCTION("IFERROR(
  VLOOKUP(
    A138,
    IMPORTRANGE(
      ""1ZHMy3vVUd_0MrSduXTe1etBb1HNpAlGwQr006ljwMiM"",
      ""GSC最新!A:R""
    ),
    14,
    FALSE
  ),
  0
)
"),0.0)</f>
        <v>0</v>
      </c>
      <c r="U138" s="9">
        <f>IFERROR(__xludf.DUMMYFUNCTION("IFERROR(
  VLOOKUP(
    A138,
    IMPORTRANGE(
      ""1ZHMy3vVUd_0MrSduXTe1etBb1HNpAlGwQr006ljwMiM"",
      ""GSC最新!A:R""
    ),
    17,
    FALSE
  ),
  0
)
"),0.0)</f>
        <v>0</v>
      </c>
      <c r="V138" s="9">
        <f t="shared" ref="V138:W138" si="683">IFERROR(R138-T138,"-")</f>
        <v>0</v>
      </c>
      <c r="W138" s="9">
        <f t="shared" si="683"/>
        <v>0</v>
      </c>
      <c r="X138" s="65" t="str">
        <f>IFERROR(__xludf.DUMMYFUNCTION("IFERROR(
  VLOOKUP(
    A138,
    IMPORTRANGE(
      ""1ZHMy3vVUd_0MrSduXTe1etBb1HNpAlGwQr006ljwMiM"",
      ""GSC最新!A:R""
    ),
    9,
    FALSE
  ),
  0
)
"),"")</f>
        <v/>
      </c>
      <c r="Y138" s="65" t="str">
        <f>IFERROR(__xludf.DUMMYFUNCTION("IFERROR(
  VLOOKUP(
    A138,
    IMPORTRANGE(
      ""1ZHMy3vVUd_0MrSduXTe1etBb1HNpAlGwQr006ljwMiM"",
      ""GSC最新!A:R""
    ),
    12,
    FALSE
  ),
  0
)
"),"")</f>
        <v/>
      </c>
      <c r="Z138" s="65" t="str">
        <f>IFERROR(__xludf.DUMMYFUNCTION("IFERROR(
  VLOOKUP(
    A138,
    IMPORTRANGE(
      ""1ZHMy3vVUd_0MrSduXTe1etBb1HNpAlGwQr006ljwMiM"",
      ""GSC最新!A:R""
    ),
    15,
    FALSE
  ),
  0
)
"),"")</f>
        <v/>
      </c>
      <c r="AA138" s="65" t="str">
        <f>IFERROR(__xludf.DUMMYFUNCTION("IFERROR(
  VLOOKUP(
    A138,
    IMPORTRANGE(
      ""1ZHMy3vVUd_0MrSduXTe1etBb1HNpAlGwQr006ljwMiM"",
      ""GSC最新!A:R""
    ),
    18,
    FALSE
  ),
  0
)
"),"")</f>
        <v/>
      </c>
      <c r="AB138" s="65">
        <f t="shared" ref="AB138:AC138" si="684">X138-Z138</f>
        <v>0</v>
      </c>
      <c r="AC138" s="65">
        <f t="shared" si="684"/>
        <v>0</v>
      </c>
      <c r="AD138" s="53">
        <f>IFERROR(__xludf.DUMMYFUNCTION("IFERROR(
  VLOOKUP(
    A138,
    IMPORTRANGE(
      ""1ZHMy3vVUd_0MrSduXTe1etBb1HNpAlGwQr006ljwMiM"",
      ""GSC最新!A:F""
    ),
    6,
    FALSE
  ),
  0
)
"),46081.0)</f>
        <v>46081</v>
      </c>
      <c r="AE138" s="54">
        <f>IFERROR(__xludf.DUMMYFUNCTION("IFERROR(
  VLOOKUP(
    A138,
    IMPORTRANGE(
      ""1SCYQd7_cobOYqT0r_F0IqD4tE4rYn5y8Eup4PJTH8es"",
      ""Snapshot!A:M""
    ),
    5,
    FALSE
  ),
  ""-""
)
"),0.0)</f>
        <v>0</v>
      </c>
      <c r="AF138" s="54">
        <f>IFERROR(__xludf.DUMMYFUNCTION("IFERROR(
  VLOOKUP(
    A138,
    IMPORTRANGE(
      ""1SCYQd7_cobOYqT0r_F0IqD4tE4rYn5y8Eup4PJTH8es"",
      ""Snapshot!A:M""
    ),
    6,
    FALSE
  ),
  0
)
"),0.0)</f>
        <v>0</v>
      </c>
      <c r="AG138" s="54">
        <f>IFERROR(__xludf.DUMMYFUNCTION("IFERROR(
  VLOOKUP(
    A138,
    IMPORTRANGE(
      ""1SCYQd7_cobOYqT0r_F0IqD4tE4rYn5y8Eup4PJTH8es"",
      ""Snapshot!A:M""
    ),
    7,
    FALSE
  ),
  0
)
"),529.0)</f>
        <v>529</v>
      </c>
      <c r="AH138" s="54">
        <f>IFERROR(__xludf.DUMMYFUNCTION("IFERROR(
  VLOOKUP(
    A138,
    IMPORTRANGE(
      ""1SCYQd7_cobOYqT0r_F0IqD4tE4rYn5y8Eup4PJTH8es"",
      ""Snapshot!A:M""
    ),
    8,
    FALSE
  ),
  0
)
"),2.0)</f>
        <v>2</v>
      </c>
      <c r="AI138" s="54">
        <f>IFERROR(__xludf.DUMMYFUNCTION("IFERROR(
  VLOOKUP(
    A138,
    IMPORTRANGE(
      ""1SCYQd7_cobOYqT0r_F0IqD4tE4rYn5y8Eup4PJTH8es"",
      ""Snapshot!A:M""
    ),
    9,
    FALSE
  ),
  0
)
"),1.0)</f>
        <v>1</v>
      </c>
      <c r="AJ138" s="54">
        <f>IFERROR(__xludf.DUMMYFUNCTION("IFERROR(
  VLOOKUP(
    A138,
    IMPORTRANGE(
      ""1SCYQd7_cobOYqT0r_F0IqD4tE4rYn5y8Eup4PJTH8es"",
      ""Snapshot!A:M""
    ),
    13,
    FALSE
  ),
  0
)
"),2.0)</f>
        <v>2</v>
      </c>
      <c r="AK138" s="49">
        <f t="shared" ref="AK138:AL138" si="685">LEN(C138)</f>
        <v>58</v>
      </c>
      <c r="AL138" s="49">
        <f t="shared" si="685"/>
        <v>55</v>
      </c>
    </row>
    <row r="139">
      <c r="A139" s="1" t="s">
        <v>818</v>
      </c>
      <c r="B139" s="1" t="str">
        <f>IFERROR(__xludf.DUMMYFUNCTION("IFERROR(
  VLOOKUP(
    A139,
    IMPORTRANGE(
      ""1ZygntHC1J6IxzKbTidmOyf5nUyW4GCLurHCjexrLm_o"",
      ""HTMLキャッシュ!A:F""
    ),
    2,
    FALSE
  ),
  0
)
"),"NW")</f>
        <v>NW</v>
      </c>
      <c r="C139" s="1" t="str">
        <f>IFERROR(__xludf.DUMMYFUNCTION("IFERROR(
  VLOOKUP(
    A139,
    IMPORTRANGE(
      ""1ZygntHC1J6IxzKbTidmOyf5nUyW4GCLurHCjexrLm_o"",
      ""HTMLキャッシュ!A:F""
    ),
    5,
    FALSE
  ),
  0
)
"),"2023年度夏期講習開催のお知らせ - 中高一貫校専門塾エスコット(Escot)～定期試験対策から大学受験指導まで～")</f>
        <v>2023年度夏期講習開催のお知らせ - 中高一貫校専門塾エスコット(Escot)～定期試験対策から大学受験指導まで～</v>
      </c>
      <c r="D139" s="1" t="str">
        <f>IFERROR(__xludf.DUMMYFUNCTION("IFERROR(
  VLOOKUP(
    A139,
    IMPORTRANGE(
      ""1ZygntHC1J6IxzKbTidmOyf5nUyW4GCLurHCjexrLm_o        "",
      ""HTMLキャッシュ!A:F""
    ),
    6,
    FALSE
  ),
  0
)
"),"さて、夏休みを目前に控え、弊塾では今年も夏期講習会を実施致します。現在通塾されている塾生の皆さんは勿論、普段は")</f>
        <v>さて、夏休みを目前に控え、弊塾では今年も夏期講習会を実施致します。現在通塾されている塾生の皆さんは勿論、普段は</v>
      </c>
      <c r="E139" s="32">
        <f>IFERROR(__xludf.DUMMYFUNCTION("IFERROR(
  VLOOKUP(
    A139,
    IMPORTRANGE(
      ""1ZygntHC1J6IxzKbTidmOyf5nUyW4GCLurHCjexrLm_o        "",
      ""HTMLキャッシュ!A:F""
    ),
    3,
    FALSE
  ),
  0
)
"),45591.76667824074)</f>
        <v>45591.76668</v>
      </c>
      <c r="F139" s="49">
        <f>IFERROR(__xludf.DUMMYFUNCTION("IFERROR(
  VLOOKUP(
    A139,
    IMPORTRANGE(
      ""1ZHMy3vVUd_0MrSduXTe1etBb1HNpAlGwQr006ljwMiM"",
      ""GSC最新!A:F""
    ),
    2,
    FALSE
  ),
  0
)
"),0.0)</f>
        <v>0</v>
      </c>
      <c r="G139" s="49">
        <f>IFERROR(__xludf.DUMMYFUNCTION("IFERROR(
  VLOOKUP(
    A139,
    IMPORTRANGE(
      ""1ZHMy3vVUd_0MrSduXTe1etBb1HNpAlGwQr006ljwMiM"",
      ""GSC最新!A:F""
    ),
    3,
    FALSE
  ),
  0
)
"),0.0)</f>
        <v>0</v>
      </c>
      <c r="H139" s="49">
        <f>IFERROR(__xludf.DUMMYFUNCTION("IFERROR(
  VLOOKUP(
    A139,
    IMPORTRANGE(
      ""1ZHMy3vVUd_0MrSduXTe1etBb1HNpAlGwQr006ljwMiM"",
      ""GSC最新!A:F""
    ),
    4,
    FALSE
  ),
  0
)
"),0.0)</f>
        <v>0</v>
      </c>
      <c r="I139" s="49">
        <f>IFERROR(__xludf.DUMMYFUNCTION("IFERROR(
  VLOOKUP(
    A139,
    IMPORTRANGE(
      ""1ZHMy3vVUd_0MrSduXTe1etBb1HNpAlGwQr006ljwMiM"",
      ""GSC最新!A:F""
    ),
    5,
    FALSE
  ),
  0
)
"),0.0)</f>
        <v>0</v>
      </c>
      <c r="J139" s="50" t="str">
        <f t="shared" ref="J139:K139" si="686">IFERROR(F139/H139,"-")</f>
        <v>-</v>
      </c>
      <c r="K139" s="50" t="str">
        <f t="shared" si="686"/>
        <v>-</v>
      </c>
      <c r="L139" s="6">
        <f>IFERROR(__xludf.DUMMYFUNCTION("IFERROR(
  VLOOKUP(
    A139,
    IMPORTRANGE(
      ""1ZHMy3vVUd_0MrSduXTe1etBb1HNpAlGwQr006ljwMiM"",
      ""GSC最新!A:R""
    ),
    7,
    FALSE
  ),
  0
)
"),0.0)</f>
        <v>0</v>
      </c>
      <c r="M139" s="6">
        <f>IFERROR(__xludf.DUMMYFUNCTION("IFERROR(
  VLOOKUP(
    A139,
    IMPORTRANGE(
      ""1ZHMy3vVUd_0MrSduXTe1etBb1HNpAlGwQr006ljwMiM"",
      ""GSC最新!A:R""
    ),
    10,
    FALSE
  ),
  0
)
"),0.0)</f>
        <v>0</v>
      </c>
      <c r="N139" s="6">
        <f>IFERROR(__xludf.DUMMYFUNCTION("IFERROR(
  VLOOKUP(
    A139,
    IMPORTRANGE(
      ""1ZHMy3vVUd_0MrSduXTe1etBb1HNpAlGwQr006ljwMiM"",
      ""GSC最新!A:R""
    ),
    13,
    FALSE
  ),
  0
)
"),0.0)</f>
        <v>0</v>
      </c>
      <c r="O139" s="6">
        <f>IFERROR(__xludf.DUMMYFUNCTION("IFERROR(
  VLOOKUP(
    A139,
    IMPORTRANGE(
      ""1ZHMy3vVUd_0MrSduXTe1etBb1HNpAlGwQr006ljwMiM"",
      ""GSC最新!A:R""
    ),
    16,
    FALSE
  ),
  0
)
"),0.0)</f>
        <v>0</v>
      </c>
      <c r="P139" s="51" t="str">
        <f t="shared" ref="P139:Q139" si="687">IFERROR(L139/N139,"-")</f>
        <v>-</v>
      </c>
      <c r="Q139" s="51" t="str">
        <f t="shared" si="687"/>
        <v>-</v>
      </c>
      <c r="R139" s="9">
        <f>IFERROR(__xludf.DUMMYFUNCTION("IFERROR(
  VLOOKUP(
    A139,
    IMPORTRANGE(
      ""1ZHMy3vVUd_0MrSduXTe1etBb1HNpAlGwQr006ljwMiM"",
      ""GSC最新!A:R""
    ),
    8,
    FALSE
  ),
  0
)
"),0.0)</f>
        <v>0</v>
      </c>
      <c r="S139" s="9">
        <f>IFERROR(__xludf.DUMMYFUNCTION("IFERROR(
  VLOOKUP(
    A139,
    IMPORTRANGE(
      ""1ZHMy3vVUd_0MrSduXTe1etBb1HNpAlGwQr006ljwMiM"",
      ""GSC最新!A:R""
    ),
    11,
    FALSE
  ),
  0
)
"),0.0)</f>
        <v>0</v>
      </c>
      <c r="T139" s="9">
        <f>IFERROR(__xludf.DUMMYFUNCTION("IFERROR(
  VLOOKUP(
    A139,
    IMPORTRANGE(
      ""1ZHMy3vVUd_0MrSduXTe1etBb1HNpAlGwQr006ljwMiM"",
      ""GSC最新!A:R""
    ),
    14,
    FALSE
  ),
  0
)
"),0.0)</f>
        <v>0</v>
      </c>
      <c r="U139" s="9">
        <f>IFERROR(__xludf.DUMMYFUNCTION("IFERROR(
  VLOOKUP(
    A139,
    IMPORTRANGE(
      ""1ZHMy3vVUd_0MrSduXTe1etBb1HNpAlGwQr006ljwMiM"",
      ""GSC最新!A:R""
    ),
    17,
    FALSE
  ),
  0
)
"),0.0)</f>
        <v>0</v>
      </c>
      <c r="V139" s="9">
        <f t="shared" ref="V139:W139" si="688">IFERROR(R139-T139,"-")</f>
        <v>0</v>
      </c>
      <c r="W139" s="9">
        <f t="shared" si="688"/>
        <v>0</v>
      </c>
      <c r="X139" s="65" t="str">
        <f>IFERROR(__xludf.DUMMYFUNCTION("IFERROR(
  VLOOKUP(
    A139,
    IMPORTRANGE(
      ""1ZHMy3vVUd_0MrSduXTe1etBb1HNpAlGwQr006ljwMiM"",
      ""GSC最新!A:R""
    ),
    9,
    FALSE
  ),
  0
)
"),"")</f>
        <v/>
      </c>
      <c r="Y139" s="65" t="str">
        <f>IFERROR(__xludf.DUMMYFUNCTION("IFERROR(
  VLOOKUP(
    A139,
    IMPORTRANGE(
      ""1ZHMy3vVUd_0MrSduXTe1etBb1HNpAlGwQr006ljwMiM"",
      ""GSC最新!A:R""
    ),
    12,
    FALSE
  ),
  0
)
"),"")</f>
        <v/>
      </c>
      <c r="Z139" s="65" t="str">
        <f>IFERROR(__xludf.DUMMYFUNCTION("IFERROR(
  VLOOKUP(
    A139,
    IMPORTRANGE(
      ""1ZHMy3vVUd_0MrSduXTe1etBb1HNpAlGwQr006ljwMiM"",
      ""GSC最新!A:R""
    ),
    15,
    FALSE
  ),
  0
)
"),"")</f>
        <v/>
      </c>
      <c r="AA139" s="65" t="str">
        <f>IFERROR(__xludf.DUMMYFUNCTION("IFERROR(
  VLOOKUP(
    A139,
    IMPORTRANGE(
      ""1ZHMy3vVUd_0MrSduXTe1etBb1HNpAlGwQr006ljwMiM"",
      ""GSC最新!A:R""
    ),
    18,
    FALSE
  ),
  0
)
"),"")</f>
        <v/>
      </c>
      <c r="AB139" s="65">
        <f t="shared" ref="AB139:AC139" si="689">X139-Z139</f>
        <v>0</v>
      </c>
      <c r="AC139" s="65">
        <f t="shared" si="689"/>
        <v>0</v>
      </c>
      <c r="AD139" s="53">
        <f>IFERROR(__xludf.DUMMYFUNCTION("IFERROR(
  VLOOKUP(
    A139,
    IMPORTRANGE(
      ""1ZHMy3vVUd_0MrSduXTe1etBb1HNpAlGwQr006ljwMiM"",
      ""GSC最新!A:F""
    ),
    6,
    FALSE
  ),
  0
)
"),46081.0)</f>
        <v>46081</v>
      </c>
      <c r="AE139" s="54">
        <f>IFERROR(__xludf.DUMMYFUNCTION("IFERROR(
  VLOOKUP(
    A139,
    IMPORTRANGE(
      ""1SCYQd7_cobOYqT0r_F0IqD4tE4rYn5y8Eup4PJTH8es"",
      ""Snapshot!A:M""
    ),
    5,
    FALSE
  ),
  ""-""
)
"),0.0)</f>
        <v>0</v>
      </c>
      <c r="AF139" s="54">
        <f>IFERROR(__xludf.DUMMYFUNCTION("IFERROR(
  VLOOKUP(
    A139,
    IMPORTRANGE(
      ""1SCYQd7_cobOYqT0r_F0IqD4tE4rYn5y8Eup4PJTH8es"",
      ""Snapshot!A:M""
    ),
    6,
    FALSE
  ),
  0
)
"),0.0)</f>
        <v>0</v>
      </c>
      <c r="AG139" s="54">
        <f>IFERROR(__xludf.DUMMYFUNCTION("IFERROR(
  VLOOKUP(
    A139,
    IMPORTRANGE(
      ""1SCYQd7_cobOYqT0r_F0IqD4tE4rYn5y8Eup4PJTH8es"",
      ""Snapshot!A:M""
    ),
    7,
    FALSE
  ),
  0
)
"),564.0)</f>
        <v>564</v>
      </c>
      <c r="AH139" s="54">
        <f>IFERROR(__xludf.DUMMYFUNCTION("IFERROR(
  VLOOKUP(
    A139,
    IMPORTRANGE(
      ""1SCYQd7_cobOYqT0r_F0IqD4tE4rYn5y8Eup4PJTH8es"",
      ""Snapshot!A:M""
    ),
    8,
    FALSE
  ),
  0
)
"),1.0)</f>
        <v>1</v>
      </c>
      <c r="AI139" s="54">
        <f>IFERROR(__xludf.DUMMYFUNCTION("IFERROR(
  VLOOKUP(
    A139,
    IMPORTRANGE(
      ""1SCYQd7_cobOYqT0r_F0IqD4tE4rYn5y8Eup4PJTH8es"",
      ""Snapshot!A:M""
    ),
    9,
    FALSE
  ),
  0
)
"),1.0)</f>
        <v>1</v>
      </c>
      <c r="AJ139" s="54">
        <f>IFERROR(__xludf.DUMMYFUNCTION("IFERROR(
  VLOOKUP(
    A139,
    IMPORTRANGE(
      ""1SCYQd7_cobOYqT0r_F0IqD4tE4rYn5y8Eup4PJTH8es"",
      ""Snapshot!A:M""
    ),
    13,
    FALSE
  ),
  0
)
"),2.0)</f>
        <v>2</v>
      </c>
      <c r="AK139" s="49">
        <f t="shared" ref="AK139:AL139" si="690">LEN(C139)</f>
        <v>58</v>
      </c>
      <c r="AL139" s="49">
        <f t="shared" si="690"/>
        <v>55</v>
      </c>
    </row>
    <row r="140">
      <c r="A140" s="1" t="s">
        <v>819</v>
      </c>
      <c r="B140" s="1" t="str">
        <f>IFERROR(__xludf.DUMMYFUNCTION("IFERROR(
  VLOOKUP(
    A140,
    IMPORTRANGE(
      ""1ZygntHC1J6IxzKbTidmOyf5nUyW4GCLurHCjexrLm_o"",
      ""HTMLキャッシュ!A:F""
    ),
    2,
    FALSE
  ),
  0
)
"),"NW")</f>
        <v>NW</v>
      </c>
      <c r="C140" s="1" t="str">
        <f>IFERROR(__xludf.DUMMYFUNCTION("IFERROR(
  VLOOKUP(
    A140,
    IMPORTRANGE(
      ""1ZygntHC1J6IxzKbTidmOyf5nUyW4GCLurHCjexrLm_o"",
      ""HTMLキャッシュ!A:F""
    ),
    5,
    FALSE
  ),
  0
)
"),"2023年度春期講習のお知らせ - 中高一貫校専門塾エスコット(Escot)～定期試験対策から大学受験指導まで～")</f>
        <v>2023年度春期講習のお知らせ - 中高一貫校専門塾エスコット(Escot)～定期試験対策から大学受験指導まで～</v>
      </c>
      <c r="D140" s="1" t="str">
        <f>IFERROR(__xludf.DUMMYFUNCTION("IFERROR(
  VLOOKUP(
    A140,
    IMPORTRANGE(
      ""1ZygntHC1J6IxzKbTidmOyf5nUyW4GCLurHCjexrLm_o        "",
      ""HTMLキャッシュ!A:F""
    ),
    6,
    FALSE
  ),
  0
)
"),"春休みは、短いながらも日頃の積み残しを消化するには最適のタイミングです。 当塾では、この春休みを有意義に過ごし")</f>
        <v>春休みは、短いながらも日頃の積み残しを消化するには最適のタイミングです。 当塾では、この春休みを有意義に過ごし</v>
      </c>
      <c r="E140" s="32">
        <f>IFERROR(__xludf.DUMMYFUNCTION("IFERROR(
  VLOOKUP(
    A140,
    IMPORTRANGE(
      ""1ZygntHC1J6IxzKbTidmOyf5nUyW4GCLurHCjexrLm_o        "",
      ""HTMLキャッシュ!A:F""
    ),
    3,
    FALSE
  ),
  0
)
"),45590.81710648148)</f>
        <v>45590.81711</v>
      </c>
      <c r="F140" s="49">
        <f>IFERROR(__xludf.DUMMYFUNCTION("IFERROR(
  VLOOKUP(
    A140,
    IMPORTRANGE(
      ""1ZHMy3vVUd_0MrSduXTe1etBb1HNpAlGwQr006ljwMiM"",
      ""GSC最新!A:F""
    ),
    2,
    FALSE
  ),
  0
)
"),0.0)</f>
        <v>0</v>
      </c>
      <c r="G140" s="49">
        <f>IFERROR(__xludf.DUMMYFUNCTION("IFERROR(
  VLOOKUP(
    A140,
    IMPORTRANGE(
      ""1ZHMy3vVUd_0MrSduXTe1etBb1HNpAlGwQr006ljwMiM"",
      ""GSC最新!A:F""
    ),
    3,
    FALSE
  ),
  0
)
"),0.0)</f>
        <v>0</v>
      </c>
      <c r="H140" s="49">
        <f>IFERROR(__xludf.DUMMYFUNCTION("IFERROR(
  VLOOKUP(
    A140,
    IMPORTRANGE(
      ""1ZHMy3vVUd_0MrSduXTe1etBb1HNpAlGwQr006ljwMiM"",
      ""GSC最新!A:F""
    ),
    4,
    FALSE
  ),
  0
)
"),0.0)</f>
        <v>0</v>
      </c>
      <c r="I140" s="49">
        <f>IFERROR(__xludf.DUMMYFUNCTION("IFERROR(
  VLOOKUP(
    A140,
    IMPORTRANGE(
      ""1ZHMy3vVUd_0MrSduXTe1etBb1HNpAlGwQr006ljwMiM"",
      ""GSC最新!A:F""
    ),
    5,
    FALSE
  ),
  0
)
"),0.0)</f>
        <v>0</v>
      </c>
      <c r="J140" s="50" t="str">
        <f t="shared" ref="J140:K140" si="691">IFERROR(F140/H140,"-")</f>
        <v>-</v>
      </c>
      <c r="K140" s="50" t="str">
        <f t="shared" si="691"/>
        <v>-</v>
      </c>
      <c r="L140" s="6">
        <f>IFERROR(__xludf.DUMMYFUNCTION("IFERROR(
  VLOOKUP(
    A140,
    IMPORTRANGE(
      ""1ZHMy3vVUd_0MrSduXTe1etBb1HNpAlGwQr006ljwMiM"",
      ""GSC最新!A:R""
    ),
    7,
    FALSE
  ),
  0
)
"),0.0)</f>
        <v>0</v>
      </c>
      <c r="M140" s="6">
        <f>IFERROR(__xludf.DUMMYFUNCTION("IFERROR(
  VLOOKUP(
    A140,
    IMPORTRANGE(
      ""1ZHMy3vVUd_0MrSduXTe1etBb1HNpAlGwQr006ljwMiM"",
      ""GSC最新!A:R""
    ),
    10,
    FALSE
  ),
  0
)
"),0.0)</f>
        <v>0</v>
      </c>
      <c r="N140" s="6">
        <f>IFERROR(__xludf.DUMMYFUNCTION("IFERROR(
  VLOOKUP(
    A140,
    IMPORTRANGE(
      ""1ZHMy3vVUd_0MrSduXTe1etBb1HNpAlGwQr006ljwMiM"",
      ""GSC最新!A:R""
    ),
    13,
    FALSE
  ),
  0
)
"),1.0)</f>
        <v>1</v>
      </c>
      <c r="O140" s="6">
        <f>IFERROR(__xludf.DUMMYFUNCTION("IFERROR(
  VLOOKUP(
    A140,
    IMPORTRANGE(
      ""1ZHMy3vVUd_0MrSduXTe1etBb1HNpAlGwQr006ljwMiM"",
      ""GSC最新!A:R""
    ),
    16,
    FALSE
  ),
  0
)
"),1.0)</f>
        <v>1</v>
      </c>
      <c r="P140" s="51">
        <f t="shared" ref="P140:Q140" si="692">IFERROR(L140/N140,"-")</f>
        <v>0</v>
      </c>
      <c r="Q140" s="51">
        <f t="shared" si="692"/>
        <v>0</v>
      </c>
      <c r="R140" s="9">
        <f>IFERROR(__xludf.DUMMYFUNCTION("IFERROR(
  VLOOKUP(
    A140,
    IMPORTRANGE(
      ""1ZHMy3vVUd_0MrSduXTe1etBb1HNpAlGwQr006ljwMiM"",
      ""GSC最新!A:R""
    ),
    8,
    FALSE
  ),
  0
)
"),0.0)</f>
        <v>0</v>
      </c>
      <c r="S140" s="9">
        <f>IFERROR(__xludf.DUMMYFUNCTION("IFERROR(
  VLOOKUP(
    A140,
    IMPORTRANGE(
      ""1ZHMy3vVUd_0MrSduXTe1etBb1HNpAlGwQr006ljwMiM"",
      ""GSC最新!A:R""
    ),
    11,
    FALSE
  ),
  0
)
"),0.0)</f>
        <v>0</v>
      </c>
      <c r="T140" s="9">
        <f>IFERROR(__xludf.DUMMYFUNCTION("IFERROR(
  VLOOKUP(
    A140,
    IMPORTRANGE(
      ""1ZHMy3vVUd_0MrSduXTe1etBb1HNpAlGwQr006ljwMiM"",
      ""GSC最新!A:R""
    ),
    14,
    FALSE
  ),
  0
)
"),0.0)</f>
        <v>0</v>
      </c>
      <c r="U140" s="9">
        <f>IFERROR(__xludf.DUMMYFUNCTION("IFERROR(
  VLOOKUP(
    A140,
    IMPORTRANGE(
      ""1ZHMy3vVUd_0MrSduXTe1etBb1HNpAlGwQr006ljwMiM"",
      ""GSC最新!A:R""
    ),
    17,
    FALSE
  ),
  0
)
"),0.0)</f>
        <v>0</v>
      </c>
      <c r="V140" s="9">
        <f t="shared" ref="V140:W140" si="693">IFERROR(R140-T140,"-")</f>
        <v>0</v>
      </c>
      <c r="W140" s="9">
        <f t="shared" si="693"/>
        <v>0</v>
      </c>
      <c r="X140" s="65" t="str">
        <f>IFERROR(__xludf.DUMMYFUNCTION("IFERROR(
  VLOOKUP(
    A140,
    IMPORTRANGE(
      ""1ZHMy3vVUd_0MrSduXTe1etBb1HNpAlGwQr006ljwMiM"",
      ""GSC最新!A:R""
    ),
    9,
    FALSE
  ),
  0
)
"),"")</f>
        <v/>
      </c>
      <c r="Y140" s="65" t="str">
        <f>IFERROR(__xludf.DUMMYFUNCTION("IFERROR(
  VLOOKUP(
    A140,
    IMPORTRANGE(
      ""1ZHMy3vVUd_0MrSduXTe1etBb1HNpAlGwQr006ljwMiM"",
      ""GSC最新!A:R""
    ),
    12,
    FALSE
  ),
  0
)
"),"")</f>
        <v/>
      </c>
      <c r="Z140" s="65">
        <f>IFERROR(__xludf.DUMMYFUNCTION("IFERROR(
  VLOOKUP(
    A140,
    IMPORTRANGE(
      ""1ZHMy3vVUd_0MrSduXTe1etBb1HNpAlGwQr006ljwMiM"",
      ""GSC最新!A:R""
    ),
    15,
    FALSE
  ),
  0
)
"),6.0)</f>
        <v>6</v>
      </c>
      <c r="AA140" s="65">
        <f>IFERROR(__xludf.DUMMYFUNCTION("IFERROR(
  VLOOKUP(
    A140,
    IMPORTRANGE(
      ""1ZHMy3vVUd_0MrSduXTe1etBb1HNpAlGwQr006ljwMiM"",
      ""GSC最新!A:R""
    ),
    18,
    FALSE
  ),
  0
)
"),6.0)</f>
        <v>6</v>
      </c>
      <c r="AB140" s="65">
        <f t="shared" ref="AB140:AC140" si="694">X140-Z140</f>
        <v>-6</v>
      </c>
      <c r="AC140" s="65">
        <f t="shared" si="694"/>
        <v>-6</v>
      </c>
      <c r="AD140" s="53">
        <f>IFERROR(__xludf.DUMMYFUNCTION("IFERROR(
  VLOOKUP(
    A140,
    IMPORTRANGE(
      ""1ZHMy3vVUd_0MrSduXTe1etBb1HNpAlGwQr006ljwMiM"",
      ""GSC最新!A:F""
    ),
    6,
    FALSE
  ),
  0
)
"),46081.0)</f>
        <v>46081</v>
      </c>
      <c r="AE140" s="54">
        <f>IFERROR(__xludf.DUMMYFUNCTION("IFERROR(
  VLOOKUP(
    A140,
    IMPORTRANGE(
      ""1SCYQd7_cobOYqT0r_F0IqD4tE4rYn5y8Eup4PJTH8es"",
      ""Snapshot!A:M""
    ),
    5,
    FALSE
  ),
  ""-""
)
"),0.0)</f>
        <v>0</v>
      </c>
      <c r="AF140" s="54">
        <f>IFERROR(__xludf.DUMMYFUNCTION("IFERROR(
  VLOOKUP(
    A140,
    IMPORTRANGE(
      ""1SCYQd7_cobOYqT0r_F0IqD4tE4rYn5y8Eup4PJTH8es"",
      ""Snapshot!A:M""
    ),
    6,
    FALSE
  ),
  0
)
"),0.0)</f>
        <v>0</v>
      </c>
      <c r="AG140" s="54">
        <f>IFERROR(__xludf.DUMMYFUNCTION("IFERROR(
  VLOOKUP(
    A140,
    IMPORTRANGE(
      ""1SCYQd7_cobOYqT0r_F0IqD4tE4rYn5y8Eup4PJTH8es"",
      ""Snapshot!A:M""
    ),
    7,
    FALSE
  ),
  0
)
"),588.0)</f>
        <v>588</v>
      </c>
      <c r="AH140" s="54">
        <f>IFERROR(__xludf.DUMMYFUNCTION("IFERROR(
  VLOOKUP(
    A140,
    IMPORTRANGE(
      ""1SCYQd7_cobOYqT0r_F0IqD4tE4rYn5y8Eup4PJTH8es"",
      ""Snapshot!A:M""
    ),
    8,
    FALSE
  ),
  0
)
"),2.0)</f>
        <v>2</v>
      </c>
      <c r="AI140" s="54">
        <f>IFERROR(__xludf.DUMMYFUNCTION("IFERROR(
  VLOOKUP(
    A140,
    IMPORTRANGE(
      ""1SCYQd7_cobOYqT0r_F0IqD4tE4rYn5y8Eup4PJTH8es"",
      ""Snapshot!A:M""
    ),
    9,
    FALSE
  ),
  0
)
"),1.0)</f>
        <v>1</v>
      </c>
      <c r="AJ140" s="54">
        <f>IFERROR(__xludf.DUMMYFUNCTION("IFERROR(
  VLOOKUP(
    A140,
    IMPORTRANGE(
      ""1SCYQd7_cobOYqT0r_F0IqD4tE4rYn5y8Eup4PJTH8es"",
      ""Snapshot!A:M""
    ),
    13,
    FALSE
  ),
  0
)
"),2.0)</f>
        <v>2</v>
      </c>
      <c r="AK140" s="49">
        <f t="shared" ref="AK140:AL140" si="695">LEN(C140)</f>
        <v>56</v>
      </c>
      <c r="AL140" s="49">
        <f t="shared" si="695"/>
        <v>55</v>
      </c>
    </row>
    <row r="141">
      <c r="A141" s="1" t="s">
        <v>820</v>
      </c>
      <c r="B141" s="1" t="str">
        <f>IFERROR(__xludf.DUMMYFUNCTION("IFERROR(
  VLOOKUP(
    A141,
    IMPORTRANGE(
      ""1ZygntHC1J6IxzKbTidmOyf5nUyW4GCLurHCjexrLm_o"",
      ""HTMLキャッシュ!A:F""
    ),
    2,
    FALSE
  ),
  0
)
"),"NW")</f>
        <v>NW</v>
      </c>
      <c r="C141" s="1" t="str">
        <f>IFERROR(__xludf.DUMMYFUNCTION("IFERROR(
  VLOOKUP(
    A141,
    IMPORTRANGE(
      ""1ZygntHC1J6IxzKbTidmOyf5nUyW4GCLurHCjexrLm_o"",
      ""HTMLキャッシュ!A:F""
    ),
    5,
    FALSE
  ),
  0
)
"),"2023年度生徒募集のお知らせ - 中高一貫校専門塾エスコット(Escot)～定期試験対策から大学受験指導まで～")</f>
        <v>2023年度生徒募集のお知らせ - 中高一貫校専門塾エスコット(Escot)～定期試験対策から大学受験指導まで～</v>
      </c>
      <c r="D141" s="1" t="str">
        <f>IFERROR(__xludf.DUMMYFUNCTION("IFERROR(
  VLOOKUP(
    A141,
    IMPORTRANGE(
      ""1ZygntHC1J6IxzKbTidmOyf5nUyW4GCLurHCjexrLm_o        "",
      ""HTMLキャッシュ!A:F""
    ),
    6,
    FALSE
  ),
  0
)
"),"本日より、2023年度の生徒募集を開始致します。 2月開講講座、個別指導の詳細については、下記をご覧下さいませ")</f>
        <v>本日より、2023年度の生徒募集を開始致します。 2月開講講座、個別指導の詳細については、下記をご覧下さいませ</v>
      </c>
      <c r="E141" s="32">
        <f>IFERROR(__xludf.DUMMYFUNCTION("IFERROR(
  VLOOKUP(
    A141,
    IMPORTRANGE(
      ""1ZygntHC1J6IxzKbTidmOyf5nUyW4GCLurHCjexrLm_o        "",
      ""HTMLキャッシュ!A:F""
    ),
    3,
    FALSE
  ),
  0
)
"),45590.81328703704)</f>
        <v>45590.81329</v>
      </c>
      <c r="F141" s="49">
        <f>IFERROR(__xludf.DUMMYFUNCTION("IFERROR(
  VLOOKUP(
    A141,
    IMPORTRANGE(
      ""1ZHMy3vVUd_0MrSduXTe1etBb1HNpAlGwQr006ljwMiM"",
      ""GSC最新!A:F""
    ),
    2,
    FALSE
  ),
  0
)
"),0.0)</f>
        <v>0</v>
      </c>
      <c r="G141" s="49">
        <f>IFERROR(__xludf.DUMMYFUNCTION("IFERROR(
  VLOOKUP(
    A141,
    IMPORTRANGE(
      ""1ZHMy3vVUd_0MrSduXTe1etBb1HNpAlGwQr006ljwMiM"",
      ""GSC最新!A:F""
    ),
    3,
    FALSE
  ),
  0
)
"),0.0)</f>
        <v>0</v>
      </c>
      <c r="H141" s="49">
        <f>IFERROR(__xludf.DUMMYFUNCTION("IFERROR(
  VLOOKUP(
    A141,
    IMPORTRANGE(
      ""1ZHMy3vVUd_0MrSduXTe1etBb1HNpAlGwQr006ljwMiM"",
      ""GSC最新!A:F""
    ),
    4,
    FALSE
  ),
  0
)
"),0.0)</f>
        <v>0</v>
      </c>
      <c r="I141" s="49">
        <f>IFERROR(__xludf.DUMMYFUNCTION("IFERROR(
  VLOOKUP(
    A141,
    IMPORTRANGE(
      ""1ZHMy3vVUd_0MrSduXTe1etBb1HNpAlGwQr006ljwMiM"",
      ""GSC最新!A:F""
    ),
    5,
    FALSE
  ),
  0
)
"),0.0)</f>
        <v>0</v>
      </c>
      <c r="J141" s="50" t="str">
        <f t="shared" ref="J141:K141" si="696">IFERROR(F141/H141,"-")</f>
        <v>-</v>
      </c>
      <c r="K141" s="50" t="str">
        <f t="shared" si="696"/>
        <v>-</v>
      </c>
      <c r="L141" s="6">
        <f>IFERROR(__xludf.DUMMYFUNCTION("IFERROR(
  VLOOKUP(
    A141,
    IMPORTRANGE(
      ""1ZHMy3vVUd_0MrSduXTe1etBb1HNpAlGwQr006ljwMiM"",
      ""GSC最新!A:R""
    ),
    7,
    FALSE
  ),
  0
)
"),0.0)</f>
        <v>0</v>
      </c>
      <c r="M141" s="6">
        <f>IFERROR(__xludf.DUMMYFUNCTION("IFERROR(
  VLOOKUP(
    A141,
    IMPORTRANGE(
      ""1ZHMy3vVUd_0MrSduXTe1etBb1HNpAlGwQr006ljwMiM"",
      ""GSC最新!A:R""
    ),
    10,
    FALSE
  ),
  0
)
"),0.0)</f>
        <v>0</v>
      </c>
      <c r="N141" s="6">
        <f>IFERROR(__xludf.DUMMYFUNCTION("IFERROR(
  VLOOKUP(
    A141,
    IMPORTRANGE(
      ""1ZHMy3vVUd_0MrSduXTe1etBb1HNpAlGwQr006ljwMiM"",
      ""GSC最新!A:R""
    ),
    13,
    FALSE
  ),
  0
)
"),0.0)</f>
        <v>0</v>
      </c>
      <c r="O141" s="6">
        <f>IFERROR(__xludf.DUMMYFUNCTION("IFERROR(
  VLOOKUP(
    A141,
    IMPORTRANGE(
      ""1ZHMy3vVUd_0MrSduXTe1etBb1HNpAlGwQr006ljwMiM"",
      ""GSC最新!A:R""
    ),
    16,
    FALSE
  ),
  0
)
"),0.0)</f>
        <v>0</v>
      </c>
      <c r="P141" s="51" t="str">
        <f t="shared" ref="P141:Q141" si="697">IFERROR(L141/N141,"-")</f>
        <v>-</v>
      </c>
      <c r="Q141" s="51" t="str">
        <f t="shared" si="697"/>
        <v>-</v>
      </c>
      <c r="R141" s="9">
        <f>IFERROR(__xludf.DUMMYFUNCTION("IFERROR(
  VLOOKUP(
    A141,
    IMPORTRANGE(
      ""1ZHMy3vVUd_0MrSduXTe1etBb1HNpAlGwQr006ljwMiM"",
      ""GSC最新!A:R""
    ),
    8,
    FALSE
  ),
  0
)
"),0.0)</f>
        <v>0</v>
      </c>
      <c r="S141" s="9">
        <f>IFERROR(__xludf.DUMMYFUNCTION("IFERROR(
  VLOOKUP(
    A141,
    IMPORTRANGE(
      ""1ZHMy3vVUd_0MrSduXTe1etBb1HNpAlGwQr006ljwMiM"",
      ""GSC最新!A:R""
    ),
    11,
    FALSE
  ),
  0
)
"),0.0)</f>
        <v>0</v>
      </c>
      <c r="T141" s="9">
        <f>IFERROR(__xludf.DUMMYFUNCTION("IFERROR(
  VLOOKUP(
    A141,
    IMPORTRANGE(
      ""1ZHMy3vVUd_0MrSduXTe1etBb1HNpAlGwQr006ljwMiM"",
      ""GSC最新!A:R""
    ),
    14,
    FALSE
  ),
  0
)
"),0.0)</f>
        <v>0</v>
      </c>
      <c r="U141" s="9">
        <f>IFERROR(__xludf.DUMMYFUNCTION("IFERROR(
  VLOOKUP(
    A141,
    IMPORTRANGE(
      ""1ZHMy3vVUd_0MrSduXTe1etBb1HNpAlGwQr006ljwMiM"",
      ""GSC最新!A:R""
    ),
    17,
    FALSE
  ),
  0
)
"),0.0)</f>
        <v>0</v>
      </c>
      <c r="V141" s="9">
        <f t="shared" ref="V141:W141" si="698">IFERROR(R141-T141,"-")</f>
        <v>0</v>
      </c>
      <c r="W141" s="9">
        <f t="shared" si="698"/>
        <v>0</v>
      </c>
      <c r="X141" s="65" t="str">
        <f>IFERROR(__xludf.DUMMYFUNCTION("IFERROR(
  VLOOKUP(
    A141,
    IMPORTRANGE(
      ""1ZHMy3vVUd_0MrSduXTe1etBb1HNpAlGwQr006ljwMiM"",
      ""GSC最新!A:R""
    ),
    9,
    FALSE
  ),
  0
)
"),"")</f>
        <v/>
      </c>
      <c r="Y141" s="65" t="str">
        <f>IFERROR(__xludf.DUMMYFUNCTION("IFERROR(
  VLOOKUP(
    A141,
    IMPORTRANGE(
      ""1ZHMy3vVUd_0MrSduXTe1etBb1HNpAlGwQr006ljwMiM"",
      ""GSC最新!A:R""
    ),
    12,
    FALSE
  ),
  0
)
"),"")</f>
        <v/>
      </c>
      <c r="Z141" s="65" t="str">
        <f>IFERROR(__xludf.DUMMYFUNCTION("IFERROR(
  VLOOKUP(
    A141,
    IMPORTRANGE(
      ""1ZHMy3vVUd_0MrSduXTe1etBb1HNpAlGwQr006ljwMiM"",
      ""GSC最新!A:R""
    ),
    15,
    FALSE
  ),
  0
)
"),"")</f>
        <v/>
      </c>
      <c r="AA141" s="65" t="str">
        <f>IFERROR(__xludf.DUMMYFUNCTION("IFERROR(
  VLOOKUP(
    A141,
    IMPORTRANGE(
      ""1ZHMy3vVUd_0MrSduXTe1etBb1HNpAlGwQr006ljwMiM"",
      ""GSC最新!A:R""
    ),
    18,
    FALSE
  ),
  0
)
"),"")</f>
        <v/>
      </c>
      <c r="AB141" s="65">
        <f t="shared" ref="AB141:AC141" si="699">X141-Z141</f>
        <v>0</v>
      </c>
      <c r="AC141" s="65">
        <f t="shared" si="699"/>
        <v>0</v>
      </c>
      <c r="AD141" s="53">
        <f>IFERROR(__xludf.DUMMYFUNCTION("IFERROR(
  VLOOKUP(
    A141,
    IMPORTRANGE(
      ""1ZHMy3vVUd_0MrSduXTe1etBb1HNpAlGwQr006ljwMiM"",
      ""GSC最新!A:F""
    ),
    6,
    FALSE
  ),
  0
)
"),46081.0)</f>
        <v>46081</v>
      </c>
      <c r="AE141" s="54">
        <f>IFERROR(__xludf.DUMMYFUNCTION("IFERROR(
  VLOOKUP(
    A141,
    IMPORTRANGE(
      ""1SCYQd7_cobOYqT0r_F0IqD4tE4rYn5y8Eup4PJTH8es"",
      ""Snapshot!A:M""
    ),
    5,
    FALSE
  ),
  ""-""
)
"),0.0)</f>
        <v>0</v>
      </c>
      <c r="AF141" s="54">
        <f>IFERROR(__xludf.DUMMYFUNCTION("IFERROR(
  VLOOKUP(
    A141,
    IMPORTRANGE(
      ""1SCYQd7_cobOYqT0r_F0IqD4tE4rYn5y8Eup4PJTH8es"",
      ""Snapshot!A:M""
    ),
    6,
    FALSE
  ),
  0
)
"),0.0)</f>
        <v>0</v>
      </c>
      <c r="AG141" s="54">
        <f>IFERROR(__xludf.DUMMYFUNCTION("IFERROR(
  VLOOKUP(
    A141,
    IMPORTRANGE(
      ""1SCYQd7_cobOYqT0r_F0IqD4tE4rYn5y8Eup4PJTH8es"",
      ""Snapshot!A:M""
    ),
    7,
    FALSE
  ),
  0
)
"),335.0)</f>
        <v>335</v>
      </c>
      <c r="AH141" s="54">
        <f>IFERROR(__xludf.DUMMYFUNCTION("IFERROR(
  VLOOKUP(
    A141,
    IMPORTRANGE(
      ""1SCYQd7_cobOYqT0r_F0IqD4tE4rYn5y8Eup4PJTH8es"",
      ""Snapshot!A:M""
    ),
    8,
    FALSE
  ),
  0
)
"),3.0)</f>
        <v>3</v>
      </c>
      <c r="AI141" s="54">
        <f>IFERROR(__xludf.DUMMYFUNCTION("IFERROR(
  VLOOKUP(
    A141,
    IMPORTRANGE(
      ""1SCYQd7_cobOYqT0r_F0IqD4tE4rYn5y8Eup4PJTH8es"",
      ""Snapshot!A:M""
    ),
    9,
    FALSE
  ),
  0
)
"),1.0)</f>
        <v>1</v>
      </c>
      <c r="AJ141" s="54">
        <f>IFERROR(__xludf.DUMMYFUNCTION("IFERROR(
  VLOOKUP(
    A141,
    IMPORTRANGE(
      ""1SCYQd7_cobOYqT0r_F0IqD4tE4rYn5y8Eup4PJTH8es"",
      ""Snapshot!A:M""
    ),
    13,
    FALSE
  ),
  0
)
"),2.0)</f>
        <v>2</v>
      </c>
      <c r="AK141" s="49">
        <f t="shared" ref="AK141:AL141" si="700">LEN(C141)</f>
        <v>56</v>
      </c>
      <c r="AL141" s="49">
        <f t="shared" si="700"/>
        <v>55</v>
      </c>
    </row>
    <row r="142">
      <c r="A142" s="1" t="s">
        <v>821</v>
      </c>
      <c r="B142" s="1" t="str">
        <f>IFERROR(__xludf.DUMMYFUNCTION("IFERROR(
  VLOOKUP(
    A142,
    IMPORTRANGE(
      ""1ZygntHC1J6IxzKbTidmOyf5nUyW4GCLurHCjexrLm_o"",
      ""HTMLキャッシュ!A:F""
    ),
    2,
    FALSE
  ),
  0
)
"),"NW")</f>
        <v>NW</v>
      </c>
      <c r="C142" s="1" t="str">
        <f>IFERROR(__xludf.DUMMYFUNCTION("IFERROR(
  VLOOKUP(
    A142,
    IMPORTRANGE(
      ""1ZygntHC1J6IxzKbTidmOyf5nUyW4GCLurHCjexrLm_o"",
      ""HTMLキャッシュ!A:F""
    ),
    5,
    FALSE
  ),
  0
)
"),"2023年度冬期講習開講のお知らせ - 中高一貫校専門塾エスコット(Escot)～定期試験対策から大学受験指導まで～")</f>
        <v>2023年度冬期講習開講のお知らせ - 中高一貫校専門塾エスコット(Escot)～定期試験対策から大学受験指導まで～</v>
      </c>
      <c r="D142" s="1" t="str">
        <f>IFERROR(__xludf.DUMMYFUNCTION("IFERROR(
  VLOOKUP(
    A142,
    IMPORTRANGE(
      ""1ZygntHC1J6IxzKbTidmOyf5nUyW4GCLurHCjexrLm_o        "",
      ""HTMLキャッシュ!A:F""
    ),
    6,
    FALSE
  ),
  0
)
"),"当塾では、今年も冬期講習会を実施いたします。現在通塾されている塾生の皆さんはもちろん、普段は他塾に通われている")</f>
        <v>当塾では、今年も冬期講習会を実施いたします。現在通塾されている塾生の皆さんはもちろん、普段は他塾に通われている</v>
      </c>
      <c r="E142" s="32">
        <f>IFERROR(__xludf.DUMMYFUNCTION("IFERROR(
  VLOOKUP(
    A142,
    IMPORTRANGE(
      ""1ZygntHC1J6IxzKbTidmOyf5nUyW4GCLurHCjexrLm_o        "",
      ""HTMLキャッシュ!A:F""
    ),
    3,
    FALSE
  ),
  0
)
"),45638.84369212963)</f>
        <v>45638.84369</v>
      </c>
      <c r="F142" s="49">
        <f>IFERROR(__xludf.DUMMYFUNCTION("IFERROR(
  VLOOKUP(
    A142,
    IMPORTRANGE(
      ""1ZHMy3vVUd_0MrSduXTe1etBb1HNpAlGwQr006ljwMiM"",
      ""GSC最新!A:F""
    ),
    2,
    FALSE
  ),
  0
)
"),0.0)</f>
        <v>0</v>
      </c>
      <c r="G142" s="49">
        <f>IFERROR(__xludf.DUMMYFUNCTION("IFERROR(
  VLOOKUP(
    A142,
    IMPORTRANGE(
      ""1ZHMy3vVUd_0MrSduXTe1etBb1HNpAlGwQr006ljwMiM"",
      ""GSC最新!A:F""
    ),
    3,
    FALSE
  ),
  0
)
"),0.0)</f>
        <v>0</v>
      </c>
      <c r="H142" s="49">
        <f>IFERROR(__xludf.DUMMYFUNCTION("IFERROR(
  VLOOKUP(
    A142,
    IMPORTRANGE(
      ""1ZHMy3vVUd_0MrSduXTe1etBb1HNpAlGwQr006ljwMiM"",
      ""GSC最新!A:F""
    ),
    4,
    FALSE
  ),
  0
)
"),0.0)</f>
        <v>0</v>
      </c>
      <c r="I142" s="49">
        <f>IFERROR(__xludf.DUMMYFUNCTION("IFERROR(
  VLOOKUP(
    A142,
    IMPORTRANGE(
      ""1ZHMy3vVUd_0MrSduXTe1etBb1HNpAlGwQr006ljwMiM"",
      ""GSC最新!A:F""
    ),
    5,
    FALSE
  ),
  0
)
"),0.0)</f>
        <v>0</v>
      </c>
      <c r="J142" s="50" t="str">
        <f t="shared" ref="J142:K142" si="701">IFERROR(F142/H142,"-")</f>
        <v>-</v>
      </c>
      <c r="K142" s="50" t="str">
        <f t="shared" si="701"/>
        <v>-</v>
      </c>
      <c r="L142" s="6">
        <f>IFERROR(__xludf.DUMMYFUNCTION("IFERROR(
  VLOOKUP(
    A142,
    IMPORTRANGE(
      ""1ZHMy3vVUd_0MrSduXTe1etBb1HNpAlGwQr006ljwMiM"",
      ""GSC最新!A:R""
    ),
    7,
    FALSE
  ),
  0
)
"),0.0)</f>
        <v>0</v>
      </c>
      <c r="M142" s="6">
        <f>IFERROR(__xludf.DUMMYFUNCTION("IFERROR(
  VLOOKUP(
    A142,
    IMPORTRANGE(
      ""1ZHMy3vVUd_0MrSduXTe1etBb1HNpAlGwQr006ljwMiM"",
      ""GSC最新!A:R""
    ),
    10,
    FALSE
  ),
  0
)
"),0.0)</f>
        <v>0</v>
      </c>
      <c r="N142" s="6">
        <f>IFERROR(__xludf.DUMMYFUNCTION("IFERROR(
  VLOOKUP(
    A142,
    IMPORTRANGE(
      ""1ZHMy3vVUd_0MrSduXTe1etBb1HNpAlGwQr006ljwMiM"",
      ""GSC最新!A:R""
    ),
    13,
    FALSE
  ),
  0
)
"),0.0)</f>
        <v>0</v>
      </c>
      <c r="O142" s="6">
        <f>IFERROR(__xludf.DUMMYFUNCTION("IFERROR(
  VLOOKUP(
    A142,
    IMPORTRANGE(
      ""1ZHMy3vVUd_0MrSduXTe1etBb1HNpAlGwQr006ljwMiM"",
      ""GSC最新!A:R""
    ),
    16,
    FALSE
  ),
  0
)
"),0.0)</f>
        <v>0</v>
      </c>
      <c r="P142" s="51" t="str">
        <f t="shared" ref="P142:Q142" si="702">IFERROR(L142/N142,"-")</f>
        <v>-</v>
      </c>
      <c r="Q142" s="51" t="str">
        <f t="shared" si="702"/>
        <v>-</v>
      </c>
      <c r="R142" s="9">
        <f>IFERROR(__xludf.DUMMYFUNCTION("IFERROR(
  VLOOKUP(
    A142,
    IMPORTRANGE(
      ""1ZHMy3vVUd_0MrSduXTe1etBb1HNpAlGwQr006ljwMiM"",
      ""GSC最新!A:R""
    ),
    8,
    FALSE
  ),
  0
)
"),0.0)</f>
        <v>0</v>
      </c>
      <c r="S142" s="9">
        <f>IFERROR(__xludf.DUMMYFUNCTION("IFERROR(
  VLOOKUP(
    A142,
    IMPORTRANGE(
      ""1ZHMy3vVUd_0MrSduXTe1etBb1HNpAlGwQr006ljwMiM"",
      ""GSC最新!A:R""
    ),
    11,
    FALSE
  ),
  0
)
"),0.0)</f>
        <v>0</v>
      </c>
      <c r="T142" s="9">
        <f>IFERROR(__xludf.DUMMYFUNCTION("IFERROR(
  VLOOKUP(
    A142,
    IMPORTRANGE(
      ""1ZHMy3vVUd_0MrSduXTe1etBb1HNpAlGwQr006ljwMiM"",
      ""GSC最新!A:R""
    ),
    14,
    FALSE
  ),
  0
)
"),0.0)</f>
        <v>0</v>
      </c>
      <c r="U142" s="9">
        <f>IFERROR(__xludf.DUMMYFUNCTION("IFERROR(
  VLOOKUP(
    A142,
    IMPORTRANGE(
      ""1ZHMy3vVUd_0MrSduXTe1etBb1HNpAlGwQr006ljwMiM"",
      ""GSC最新!A:R""
    ),
    17,
    FALSE
  ),
  0
)
"),0.0)</f>
        <v>0</v>
      </c>
      <c r="V142" s="9">
        <f t="shared" ref="V142:W142" si="703">IFERROR(R142-T142,"-")</f>
        <v>0</v>
      </c>
      <c r="W142" s="9">
        <f t="shared" si="703"/>
        <v>0</v>
      </c>
      <c r="X142" s="65" t="str">
        <f>IFERROR(__xludf.DUMMYFUNCTION("IFERROR(
  VLOOKUP(
    A142,
    IMPORTRANGE(
      ""1ZHMy3vVUd_0MrSduXTe1etBb1HNpAlGwQr006ljwMiM"",
      ""GSC最新!A:R""
    ),
    9,
    FALSE
  ),
  0
)
"),"")</f>
        <v/>
      </c>
      <c r="Y142" s="65" t="str">
        <f>IFERROR(__xludf.DUMMYFUNCTION("IFERROR(
  VLOOKUP(
    A142,
    IMPORTRANGE(
      ""1ZHMy3vVUd_0MrSduXTe1etBb1HNpAlGwQr006ljwMiM"",
      ""GSC最新!A:R""
    ),
    12,
    FALSE
  ),
  0
)
"),"")</f>
        <v/>
      </c>
      <c r="Z142" s="65" t="str">
        <f>IFERROR(__xludf.DUMMYFUNCTION("IFERROR(
  VLOOKUP(
    A142,
    IMPORTRANGE(
      ""1ZHMy3vVUd_0MrSduXTe1etBb1HNpAlGwQr006ljwMiM"",
      ""GSC最新!A:R""
    ),
    15,
    FALSE
  ),
  0
)
"),"")</f>
        <v/>
      </c>
      <c r="AA142" s="65" t="str">
        <f>IFERROR(__xludf.DUMMYFUNCTION("IFERROR(
  VLOOKUP(
    A142,
    IMPORTRANGE(
      ""1ZHMy3vVUd_0MrSduXTe1etBb1HNpAlGwQr006ljwMiM"",
      ""GSC最新!A:R""
    ),
    18,
    FALSE
  ),
  0
)
"),"")</f>
        <v/>
      </c>
      <c r="AB142" s="65">
        <f t="shared" ref="AB142:AC142" si="704">X142-Z142</f>
        <v>0</v>
      </c>
      <c r="AC142" s="65">
        <f t="shared" si="704"/>
        <v>0</v>
      </c>
      <c r="AD142" s="53">
        <f>IFERROR(__xludf.DUMMYFUNCTION("IFERROR(
  VLOOKUP(
    A142,
    IMPORTRANGE(
      ""1ZHMy3vVUd_0MrSduXTe1etBb1HNpAlGwQr006ljwMiM"",
      ""GSC最新!A:F""
    ),
    6,
    FALSE
  ),
  0
)
"),46081.0)</f>
        <v>46081</v>
      </c>
      <c r="AE142" s="54">
        <f>IFERROR(__xludf.DUMMYFUNCTION("IFERROR(
  VLOOKUP(
    A142,
    IMPORTRANGE(
      ""1SCYQd7_cobOYqT0r_F0IqD4tE4rYn5y8Eup4PJTH8es"",
      ""Snapshot!A:M""
    ),
    5,
    FALSE
  ),
  ""-""
)
"),0.0)</f>
        <v>0</v>
      </c>
      <c r="AF142" s="54">
        <f>IFERROR(__xludf.DUMMYFUNCTION("IFERROR(
  VLOOKUP(
    A142,
    IMPORTRANGE(
      ""1SCYQd7_cobOYqT0r_F0IqD4tE4rYn5y8Eup4PJTH8es"",
      ""Snapshot!A:M""
    ),
    6,
    FALSE
  ),
  0
)
"),0.0)</f>
        <v>0</v>
      </c>
      <c r="AG142" s="54">
        <f>IFERROR(__xludf.DUMMYFUNCTION("IFERROR(
  VLOOKUP(
    A142,
    IMPORTRANGE(
      ""1SCYQd7_cobOYqT0r_F0IqD4tE4rYn5y8Eup4PJTH8es"",
      ""Snapshot!A:M""
    ),
    7,
    FALSE
  ),
  0
)
"),505.0)</f>
        <v>505</v>
      </c>
      <c r="AH142" s="54">
        <f>IFERROR(__xludf.DUMMYFUNCTION("IFERROR(
  VLOOKUP(
    A142,
    IMPORTRANGE(
      ""1SCYQd7_cobOYqT0r_F0IqD4tE4rYn5y8Eup4PJTH8es"",
      ""Snapshot!A:M""
    ),
    8,
    FALSE
  ),
  0
)
"),2.0)</f>
        <v>2</v>
      </c>
      <c r="AI142" s="54">
        <f>IFERROR(__xludf.DUMMYFUNCTION("IFERROR(
  VLOOKUP(
    A142,
    IMPORTRANGE(
      ""1SCYQd7_cobOYqT0r_F0IqD4tE4rYn5y8Eup4PJTH8es"",
      ""Snapshot!A:M""
    ),
    9,
    FALSE
  ),
  0
)
"),1.0)</f>
        <v>1</v>
      </c>
      <c r="AJ142" s="54">
        <f>IFERROR(__xludf.DUMMYFUNCTION("IFERROR(
  VLOOKUP(
    A142,
    IMPORTRANGE(
      ""1SCYQd7_cobOYqT0r_F0IqD4tE4rYn5y8Eup4PJTH8es"",
      ""Snapshot!A:M""
    ),
    13,
    FALSE
  ),
  0
)
"),2.0)</f>
        <v>2</v>
      </c>
      <c r="AK142" s="49">
        <f t="shared" ref="AK142:AL142" si="705">LEN(C142)</f>
        <v>58</v>
      </c>
      <c r="AL142" s="49">
        <f t="shared" si="705"/>
        <v>55</v>
      </c>
    </row>
    <row r="143">
      <c r="A143" s="1" t="s">
        <v>822</v>
      </c>
      <c r="B143" s="1" t="str">
        <f>IFERROR(__xludf.DUMMYFUNCTION("IFERROR(
  VLOOKUP(
    A143,
    IMPORTRANGE(
      ""1ZygntHC1J6IxzKbTidmOyf5nUyW4GCLurHCjexrLm_o"",
      ""HTMLキャッシュ!A:F""
    ),
    2,
    FALSE
  ),
  0
)
"),"NW")</f>
        <v>NW</v>
      </c>
      <c r="C143" s="1" t="str">
        <f>IFERROR(__xludf.DUMMYFUNCTION("IFERROR(
  VLOOKUP(
    A143,
    IMPORTRANGE(
      ""1ZygntHC1J6IxzKbTidmOyf5nUyW4GCLurHCjexrLm_o"",
      ""HTMLキャッシュ!A:F""
    ),
    5,
    FALSE
  ),
  0
)
"),"2024年度夏期講習開催のお知らせ - 中高一貫校専門塾エスコット(Escot)～定期試験対策から大学受験指導まで～")</f>
        <v>2024年度夏期講習開催のお知らせ - 中高一貫校専門塾エスコット(Escot)～定期試験対策から大学受験指導まで～</v>
      </c>
      <c r="D143" s="1" t="str">
        <f>IFERROR(__xludf.DUMMYFUNCTION("IFERROR(
  VLOOKUP(
    A143,
    IMPORTRANGE(
      ""1ZygntHC1J6IxzKbTidmOyf5nUyW4GCLurHCjexrLm_o        "",
      ""HTMLキャッシュ!A:F""
    ),
    6,
    FALSE
  ),
  0
)
"),"夏休みを目前に控え、今年も弊塾では夏期講習会を実施いたします。現在通塾されている塾生の皆さんはもちろん、普段は")</f>
        <v>夏休みを目前に控え、今年も弊塾では夏期講習会を実施いたします。現在通塾されている塾生の皆さんはもちろん、普段は</v>
      </c>
      <c r="E143" s="32">
        <f>IFERROR(__xludf.DUMMYFUNCTION("IFERROR(
  VLOOKUP(
    A143,
    IMPORTRANGE(
      ""1ZygntHC1J6IxzKbTidmOyf5nUyW4GCLurHCjexrLm_o        "",
      ""HTMLキャッシュ!A:F""
    ),
    3,
    FALSE
  ),
  0
)
"),45591.7768287037)</f>
        <v>45591.77683</v>
      </c>
      <c r="F143" s="49">
        <f>IFERROR(__xludf.DUMMYFUNCTION("IFERROR(
  VLOOKUP(
    A143,
    IMPORTRANGE(
      ""1ZHMy3vVUd_0MrSduXTe1etBb1HNpAlGwQr006ljwMiM"",
      ""GSC最新!A:F""
    ),
    2,
    FALSE
  ),
  0
)
"),0.0)</f>
        <v>0</v>
      </c>
      <c r="G143" s="49">
        <f>IFERROR(__xludf.DUMMYFUNCTION("IFERROR(
  VLOOKUP(
    A143,
    IMPORTRANGE(
      ""1ZHMy3vVUd_0MrSduXTe1etBb1HNpAlGwQr006ljwMiM"",
      ""GSC最新!A:F""
    ),
    3,
    FALSE
  ),
  0
)
"),0.0)</f>
        <v>0</v>
      </c>
      <c r="H143" s="49">
        <f>IFERROR(__xludf.DUMMYFUNCTION("IFERROR(
  VLOOKUP(
    A143,
    IMPORTRANGE(
      ""1ZHMy3vVUd_0MrSduXTe1etBb1HNpAlGwQr006ljwMiM"",
      ""GSC最新!A:F""
    ),
    4,
    FALSE
  ),
  0
)
"),0.0)</f>
        <v>0</v>
      </c>
      <c r="I143" s="49">
        <f>IFERROR(__xludf.DUMMYFUNCTION("IFERROR(
  VLOOKUP(
    A143,
    IMPORTRANGE(
      ""1ZHMy3vVUd_0MrSduXTe1etBb1HNpAlGwQr006ljwMiM"",
      ""GSC最新!A:F""
    ),
    5,
    FALSE
  ),
  0
)
"),0.0)</f>
        <v>0</v>
      </c>
      <c r="J143" s="50" t="str">
        <f t="shared" ref="J143:K143" si="706">IFERROR(F143/H143,"-")</f>
        <v>-</v>
      </c>
      <c r="K143" s="50" t="str">
        <f t="shared" si="706"/>
        <v>-</v>
      </c>
      <c r="L143" s="6">
        <f>IFERROR(__xludf.DUMMYFUNCTION("IFERROR(
  VLOOKUP(
    A143,
    IMPORTRANGE(
      ""1ZHMy3vVUd_0MrSduXTe1etBb1HNpAlGwQr006ljwMiM"",
      ""GSC最新!A:R""
    ),
    7,
    FALSE
  ),
  0
)
"),0.0)</f>
        <v>0</v>
      </c>
      <c r="M143" s="6">
        <f>IFERROR(__xludf.DUMMYFUNCTION("IFERROR(
  VLOOKUP(
    A143,
    IMPORTRANGE(
      ""1ZHMy3vVUd_0MrSduXTe1etBb1HNpAlGwQr006ljwMiM"",
      ""GSC最新!A:R""
    ),
    10,
    FALSE
  ),
  0
)
"),0.0)</f>
        <v>0</v>
      </c>
      <c r="N143" s="6">
        <f>IFERROR(__xludf.DUMMYFUNCTION("IFERROR(
  VLOOKUP(
    A143,
    IMPORTRANGE(
      ""1ZHMy3vVUd_0MrSduXTe1etBb1HNpAlGwQr006ljwMiM"",
      ""GSC最新!A:R""
    ),
    13,
    FALSE
  ),
  0
)
"),0.0)</f>
        <v>0</v>
      </c>
      <c r="O143" s="6">
        <f>IFERROR(__xludf.DUMMYFUNCTION("IFERROR(
  VLOOKUP(
    A143,
    IMPORTRANGE(
      ""1ZHMy3vVUd_0MrSduXTe1etBb1HNpAlGwQr006ljwMiM"",
      ""GSC最新!A:R""
    ),
    16,
    FALSE
  ),
  0
)
"),0.0)</f>
        <v>0</v>
      </c>
      <c r="P143" s="51" t="str">
        <f t="shared" ref="P143:Q143" si="707">IFERROR(L143/N143,"-")</f>
        <v>-</v>
      </c>
      <c r="Q143" s="51" t="str">
        <f t="shared" si="707"/>
        <v>-</v>
      </c>
      <c r="R143" s="9">
        <f>IFERROR(__xludf.DUMMYFUNCTION("IFERROR(
  VLOOKUP(
    A143,
    IMPORTRANGE(
      ""1ZHMy3vVUd_0MrSduXTe1etBb1HNpAlGwQr006ljwMiM"",
      ""GSC最新!A:R""
    ),
    8,
    FALSE
  ),
  0
)
"),0.0)</f>
        <v>0</v>
      </c>
      <c r="S143" s="9">
        <f>IFERROR(__xludf.DUMMYFUNCTION("IFERROR(
  VLOOKUP(
    A143,
    IMPORTRANGE(
      ""1ZHMy3vVUd_0MrSduXTe1etBb1HNpAlGwQr006ljwMiM"",
      ""GSC最新!A:R""
    ),
    11,
    FALSE
  ),
  0
)
"),0.0)</f>
        <v>0</v>
      </c>
      <c r="T143" s="9">
        <f>IFERROR(__xludf.DUMMYFUNCTION("IFERROR(
  VLOOKUP(
    A143,
    IMPORTRANGE(
      ""1ZHMy3vVUd_0MrSduXTe1etBb1HNpAlGwQr006ljwMiM"",
      ""GSC最新!A:R""
    ),
    14,
    FALSE
  ),
  0
)
"),0.0)</f>
        <v>0</v>
      </c>
      <c r="U143" s="9">
        <f>IFERROR(__xludf.DUMMYFUNCTION("IFERROR(
  VLOOKUP(
    A143,
    IMPORTRANGE(
      ""1ZHMy3vVUd_0MrSduXTe1etBb1HNpAlGwQr006ljwMiM"",
      ""GSC最新!A:R""
    ),
    17,
    FALSE
  ),
  0
)
"),0.0)</f>
        <v>0</v>
      </c>
      <c r="V143" s="9">
        <f t="shared" ref="V143:W143" si="708">IFERROR(R143-T143,"-")</f>
        <v>0</v>
      </c>
      <c r="W143" s="9">
        <f t="shared" si="708"/>
        <v>0</v>
      </c>
      <c r="X143" s="65" t="str">
        <f>IFERROR(__xludf.DUMMYFUNCTION("IFERROR(
  VLOOKUP(
    A143,
    IMPORTRANGE(
      ""1ZHMy3vVUd_0MrSduXTe1etBb1HNpAlGwQr006ljwMiM"",
      ""GSC最新!A:R""
    ),
    9,
    FALSE
  ),
  0
)
"),"")</f>
        <v/>
      </c>
      <c r="Y143" s="65" t="str">
        <f>IFERROR(__xludf.DUMMYFUNCTION("IFERROR(
  VLOOKUP(
    A143,
    IMPORTRANGE(
      ""1ZHMy3vVUd_0MrSduXTe1etBb1HNpAlGwQr006ljwMiM"",
      ""GSC最新!A:R""
    ),
    12,
    FALSE
  ),
  0
)
"),"")</f>
        <v/>
      </c>
      <c r="Z143" s="65" t="str">
        <f>IFERROR(__xludf.DUMMYFUNCTION("IFERROR(
  VLOOKUP(
    A143,
    IMPORTRANGE(
      ""1ZHMy3vVUd_0MrSduXTe1etBb1HNpAlGwQr006ljwMiM"",
      ""GSC最新!A:R""
    ),
    15,
    FALSE
  ),
  0
)
"),"")</f>
        <v/>
      </c>
      <c r="AA143" s="65" t="str">
        <f>IFERROR(__xludf.DUMMYFUNCTION("IFERROR(
  VLOOKUP(
    A143,
    IMPORTRANGE(
      ""1ZHMy3vVUd_0MrSduXTe1etBb1HNpAlGwQr006ljwMiM"",
      ""GSC最新!A:R""
    ),
    18,
    FALSE
  ),
  0
)
"),"")</f>
        <v/>
      </c>
      <c r="AB143" s="65">
        <f t="shared" ref="AB143:AC143" si="709">X143-Z143</f>
        <v>0</v>
      </c>
      <c r="AC143" s="65">
        <f t="shared" si="709"/>
        <v>0</v>
      </c>
      <c r="AD143" s="53">
        <f>IFERROR(__xludf.DUMMYFUNCTION("IFERROR(
  VLOOKUP(
    A143,
    IMPORTRANGE(
      ""1ZHMy3vVUd_0MrSduXTe1etBb1HNpAlGwQr006ljwMiM"",
      ""GSC最新!A:F""
    ),
    6,
    FALSE
  ),
  0
)
"),46081.0)</f>
        <v>46081</v>
      </c>
      <c r="AE143" s="54">
        <f>IFERROR(__xludf.DUMMYFUNCTION("IFERROR(
  VLOOKUP(
    A143,
    IMPORTRANGE(
      ""1SCYQd7_cobOYqT0r_F0IqD4tE4rYn5y8Eup4PJTH8es"",
      ""Snapshot!A:M""
    ),
    5,
    FALSE
  ),
  ""-""
)
"),0.0)</f>
        <v>0</v>
      </c>
      <c r="AF143" s="54">
        <f>IFERROR(__xludf.DUMMYFUNCTION("IFERROR(
  VLOOKUP(
    A143,
    IMPORTRANGE(
      ""1SCYQd7_cobOYqT0r_F0IqD4tE4rYn5y8Eup4PJTH8es"",
      ""Snapshot!A:M""
    ),
    6,
    FALSE
  ),
  0
)
"),0.0)</f>
        <v>0</v>
      </c>
      <c r="AG143" s="54">
        <f>IFERROR(__xludf.DUMMYFUNCTION("IFERROR(
  VLOOKUP(
    A143,
    IMPORTRANGE(
      ""1SCYQd7_cobOYqT0r_F0IqD4tE4rYn5y8Eup4PJTH8es"",
      ""Snapshot!A:M""
    ),
    7,
    FALSE
  ),
  0
)
"),564.0)</f>
        <v>564</v>
      </c>
      <c r="AH143" s="54">
        <f>IFERROR(__xludf.DUMMYFUNCTION("IFERROR(
  VLOOKUP(
    A143,
    IMPORTRANGE(
      ""1SCYQd7_cobOYqT0r_F0IqD4tE4rYn5y8Eup4PJTH8es"",
      ""Snapshot!A:M""
    ),
    8,
    FALSE
  ),
  0
)
"),1.0)</f>
        <v>1</v>
      </c>
      <c r="AI143" s="54">
        <f>IFERROR(__xludf.DUMMYFUNCTION("IFERROR(
  VLOOKUP(
    A143,
    IMPORTRANGE(
      ""1SCYQd7_cobOYqT0r_F0IqD4tE4rYn5y8Eup4PJTH8es"",
      ""Snapshot!A:M""
    ),
    9,
    FALSE
  ),
  0
)
"),1.0)</f>
        <v>1</v>
      </c>
      <c r="AJ143" s="54">
        <f>IFERROR(__xludf.DUMMYFUNCTION("IFERROR(
  VLOOKUP(
    A143,
    IMPORTRANGE(
      ""1SCYQd7_cobOYqT0r_F0IqD4tE4rYn5y8Eup4PJTH8es"",
      ""Snapshot!A:M""
    ),
    13,
    FALSE
  ),
  0
)
"),2.0)</f>
        <v>2</v>
      </c>
      <c r="AK143" s="49">
        <f t="shared" ref="AK143:AL143" si="710">LEN(C143)</f>
        <v>58</v>
      </c>
      <c r="AL143" s="49">
        <f t="shared" si="710"/>
        <v>55</v>
      </c>
    </row>
    <row r="144">
      <c r="A144" s="1" t="s">
        <v>823</v>
      </c>
      <c r="B144" s="1" t="str">
        <f>IFERROR(__xludf.DUMMYFUNCTION("IFERROR(
  VLOOKUP(
    A144,
    IMPORTRANGE(
      ""1ZygntHC1J6IxzKbTidmOyf5nUyW4GCLurHCjexrLm_o"",
      ""HTMLキャッシュ!A:F""
    ),
    2,
    FALSE
  ),
  0
)
"),"NW")</f>
        <v>NW</v>
      </c>
      <c r="C144" s="1" t="str">
        <f>IFERROR(__xludf.DUMMYFUNCTION("IFERROR(
  VLOOKUP(
    A144,
    IMPORTRANGE(
      ""1ZygntHC1J6IxzKbTidmOyf5nUyW4GCLurHCjexrLm_o"",
      ""HTMLキャッシュ!A:F""
    ),
    5,
    FALSE
  ),
  0
)
"),"2024年度冬期講習開催のお知らせ - 中高一貫校専門塾エスコット(Escot)～定期試験対策から大学受験指導まで～")</f>
        <v>2024年度冬期講習開催のお知らせ - 中高一貫校専門塾エスコット(Escot)～定期試験対策から大学受験指導まで～</v>
      </c>
      <c r="D144" s="1" t="str">
        <f>IFERROR(__xludf.DUMMYFUNCTION("IFERROR(
  VLOOKUP(
    A144,
    IMPORTRANGE(
      ""1ZygntHC1J6IxzKbTidmOyf5nUyW4GCLurHCjexrLm_o        "",
      ""HTMLキャッシュ!A:F""
    ),
    6,
    FALSE
  ),
  0
)
"),"当塾では、今年も冬期講習会を実施いたします。現在通塾されている塾生の皆さんはもちろん、普段は他塾に通われている")</f>
        <v>当塾では、今年も冬期講習会を実施いたします。現在通塾されている塾生の皆さんはもちろん、普段は他塾に通われている</v>
      </c>
      <c r="E144" s="32">
        <f>IFERROR(__xludf.DUMMYFUNCTION("IFERROR(
  VLOOKUP(
    A144,
    IMPORTRANGE(
      ""1ZygntHC1J6IxzKbTidmOyf5nUyW4GCLurHCjexrLm_o        "",
      ""HTMLキャッシュ!A:F""
    ),
    3,
    FALSE
  ),
  0
)
"),45638.849803240744)</f>
        <v>45638.8498</v>
      </c>
      <c r="F144" s="49">
        <f>IFERROR(__xludf.DUMMYFUNCTION("IFERROR(
  VLOOKUP(
    A144,
    IMPORTRANGE(
      ""1ZHMy3vVUd_0MrSduXTe1etBb1HNpAlGwQr006ljwMiM"",
      ""GSC最新!A:F""
    ),
    2,
    FALSE
  ),
  0
)
"),0.0)</f>
        <v>0</v>
      </c>
      <c r="G144" s="49">
        <f>IFERROR(__xludf.DUMMYFUNCTION("IFERROR(
  VLOOKUP(
    A144,
    IMPORTRANGE(
      ""1ZHMy3vVUd_0MrSduXTe1etBb1HNpAlGwQr006ljwMiM"",
      ""GSC最新!A:F""
    ),
    3,
    FALSE
  ),
  0
)
"),0.0)</f>
        <v>0</v>
      </c>
      <c r="H144" s="49">
        <f>IFERROR(__xludf.DUMMYFUNCTION("IFERROR(
  VLOOKUP(
    A144,
    IMPORTRANGE(
      ""1ZHMy3vVUd_0MrSduXTe1etBb1HNpAlGwQr006ljwMiM"",
      ""GSC最新!A:F""
    ),
    4,
    FALSE
  ),
  0
)
"),0.0)</f>
        <v>0</v>
      </c>
      <c r="I144" s="49">
        <f>IFERROR(__xludf.DUMMYFUNCTION("IFERROR(
  VLOOKUP(
    A144,
    IMPORTRANGE(
      ""1ZHMy3vVUd_0MrSduXTe1etBb1HNpAlGwQr006ljwMiM"",
      ""GSC最新!A:F""
    ),
    5,
    FALSE
  ),
  0
)
"),0.0)</f>
        <v>0</v>
      </c>
      <c r="J144" s="50" t="str">
        <f t="shared" ref="J144:K144" si="711">IFERROR(F144/H144,"-")</f>
        <v>-</v>
      </c>
      <c r="K144" s="50" t="str">
        <f t="shared" si="711"/>
        <v>-</v>
      </c>
      <c r="L144" s="6">
        <f>IFERROR(__xludf.DUMMYFUNCTION("IFERROR(
  VLOOKUP(
    A144,
    IMPORTRANGE(
      ""1ZHMy3vVUd_0MrSduXTe1etBb1HNpAlGwQr006ljwMiM"",
      ""GSC最新!A:R""
    ),
    7,
    FALSE
  ),
  0
)
"),0.0)</f>
        <v>0</v>
      </c>
      <c r="M144" s="6">
        <f>IFERROR(__xludf.DUMMYFUNCTION("IFERROR(
  VLOOKUP(
    A144,
    IMPORTRANGE(
      ""1ZHMy3vVUd_0MrSduXTe1etBb1HNpAlGwQr006ljwMiM"",
      ""GSC最新!A:R""
    ),
    10,
    FALSE
  ),
  0
)
"),0.0)</f>
        <v>0</v>
      </c>
      <c r="N144" s="6">
        <f>IFERROR(__xludf.DUMMYFUNCTION("IFERROR(
  VLOOKUP(
    A144,
    IMPORTRANGE(
      ""1ZHMy3vVUd_0MrSduXTe1etBb1HNpAlGwQr006ljwMiM"",
      ""GSC最新!A:R""
    ),
    13,
    FALSE
  ),
  0
)
"),0.0)</f>
        <v>0</v>
      </c>
      <c r="O144" s="6">
        <f>IFERROR(__xludf.DUMMYFUNCTION("IFERROR(
  VLOOKUP(
    A144,
    IMPORTRANGE(
      ""1ZHMy3vVUd_0MrSduXTe1etBb1HNpAlGwQr006ljwMiM"",
      ""GSC最新!A:R""
    ),
    16,
    FALSE
  ),
  0
)
"),0.0)</f>
        <v>0</v>
      </c>
      <c r="P144" s="51" t="str">
        <f t="shared" ref="P144:Q144" si="712">IFERROR(L144/N144,"-")</f>
        <v>-</v>
      </c>
      <c r="Q144" s="51" t="str">
        <f t="shared" si="712"/>
        <v>-</v>
      </c>
      <c r="R144" s="9">
        <f>IFERROR(__xludf.DUMMYFUNCTION("IFERROR(
  VLOOKUP(
    A144,
    IMPORTRANGE(
      ""1ZHMy3vVUd_0MrSduXTe1etBb1HNpAlGwQr006ljwMiM"",
      ""GSC最新!A:R""
    ),
    8,
    FALSE
  ),
  0
)
"),0.0)</f>
        <v>0</v>
      </c>
      <c r="S144" s="9">
        <f>IFERROR(__xludf.DUMMYFUNCTION("IFERROR(
  VLOOKUP(
    A144,
    IMPORTRANGE(
      ""1ZHMy3vVUd_0MrSduXTe1etBb1HNpAlGwQr006ljwMiM"",
      ""GSC最新!A:R""
    ),
    11,
    FALSE
  ),
  0
)
"),0.0)</f>
        <v>0</v>
      </c>
      <c r="T144" s="9">
        <f>IFERROR(__xludf.DUMMYFUNCTION("IFERROR(
  VLOOKUP(
    A144,
    IMPORTRANGE(
      ""1ZHMy3vVUd_0MrSduXTe1etBb1HNpAlGwQr006ljwMiM"",
      ""GSC最新!A:R""
    ),
    14,
    FALSE
  ),
  0
)
"),0.0)</f>
        <v>0</v>
      </c>
      <c r="U144" s="9">
        <f>IFERROR(__xludf.DUMMYFUNCTION("IFERROR(
  VLOOKUP(
    A144,
    IMPORTRANGE(
      ""1ZHMy3vVUd_0MrSduXTe1etBb1HNpAlGwQr006ljwMiM"",
      ""GSC最新!A:R""
    ),
    17,
    FALSE
  ),
  0
)
"),0.0)</f>
        <v>0</v>
      </c>
      <c r="V144" s="9">
        <f t="shared" ref="V144:W144" si="713">IFERROR(R144-T144,"-")</f>
        <v>0</v>
      </c>
      <c r="W144" s="9">
        <f t="shared" si="713"/>
        <v>0</v>
      </c>
      <c r="X144" s="65" t="str">
        <f>IFERROR(__xludf.DUMMYFUNCTION("IFERROR(
  VLOOKUP(
    A144,
    IMPORTRANGE(
      ""1ZHMy3vVUd_0MrSduXTe1etBb1HNpAlGwQr006ljwMiM"",
      ""GSC最新!A:R""
    ),
    9,
    FALSE
  ),
  0
)
"),"")</f>
        <v/>
      </c>
      <c r="Y144" s="65" t="str">
        <f>IFERROR(__xludf.DUMMYFUNCTION("IFERROR(
  VLOOKUP(
    A144,
    IMPORTRANGE(
      ""1ZHMy3vVUd_0MrSduXTe1etBb1HNpAlGwQr006ljwMiM"",
      ""GSC最新!A:R""
    ),
    12,
    FALSE
  ),
  0
)
"),"")</f>
        <v/>
      </c>
      <c r="Z144" s="65" t="str">
        <f>IFERROR(__xludf.DUMMYFUNCTION("IFERROR(
  VLOOKUP(
    A144,
    IMPORTRANGE(
      ""1ZHMy3vVUd_0MrSduXTe1etBb1HNpAlGwQr006ljwMiM"",
      ""GSC最新!A:R""
    ),
    15,
    FALSE
  ),
  0
)
"),"")</f>
        <v/>
      </c>
      <c r="AA144" s="65" t="str">
        <f>IFERROR(__xludf.DUMMYFUNCTION("IFERROR(
  VLOOKUP(
    A144,
    IMPORTRANGE(
      ""1ZHMy3vVUd_0MrSduXTe1etBb1HNpAlGwQr006ljwMiM"",
      ""GSC最新!A:R""
    ),
    18,
    FALSE
  ),
  0
)
"),"")</f>
        <v/>
      </c>
      <c r="AB144" s="65">
        <f t="shared" ref="AB144:AC144" si="714">X144-Z144</f>
        <v>0</v>
      </c>
      <c r="AC144" s="65">
        <f t="shared" si="714"/>
        <v>0</v>
      </c>
      <c r="AD144" s="53">
        <f>IFERROR(__xludf.DUMMYFUNCTION("IFERROR(
  VLOOKUP(
    A144,
    IMPORTRANGE(
      ""1ZHMy3vVUd_0MrSduXTe1etBb1HNpAlGwQr006ljwMiM"",
      ""GSC最新!A:F""
    ),
    6,
    FALSE
  ),
  0
)
"),46081.0)</f>
        <v>46081</v>
      </c>
      <c r="AE144" s="54">
        <f>IFERROR(__xludf.DUMMYFUNCTION("IFERROR(
  VLOOKUP(
    A144,
    IMPORTRANGE(
      ""1SCYQd7_cobOYqT0r_F0IqD4tE4rYn5y8Eup4PJTH8es"",
      ""Snapshot!A:M""
    ),
    5,
    FALSE
  ),
  ""-""
)
"),0.0)</f>
        <v>0</v>
      </c>
      <c r="AF144" s="54">
        <f>IFERROR(__xludf.DUMMYFUNCTION("IFERROR(
  VLOOKUP(
    A144,
    IMPORTRANGE(
      ""1SCYQd7_cobOYqT0r_F0IqD4tE4rYn5y8Eup4PJTH8es"",
      ""Snapshot!A:M""
    ),
    6,
    FALSE
  ),
  0
)
"),0.0)</f>
        <v>0</v>
      </c>
      <c r="AG144" s="54">
        <f>IFERROR(__xludf.DUMMYFUNCTION("IFERROR(
  VLOOKUP(
    A144,
    IMPORTRANGE(
      ""1SCYQd7_cobOYqT0r_F0IqD4tE4rYn5y8Eup4PJTH8es"",
      ""Snapshot!A:M""
    ),
    7,
    FALSE
  ),
  0
)
"),499.0)</f>
        <v>499</v>
      </c>
      <c r="AH144" s="54">
        <f>IFERROR(__xludf.DUMMYFUNCTION("IFERROR(
  VLOOKUP(
    A144,
    IMPORTRANGE(
      ""1SCYQd7_cobOYqT0r_F0IqD4tE4rYn5y8Eup4PJTH8es"",
      ""Snapshot!A:M""
    ),
    8,
    FALSE
  ),
  0
)
"),1.0)</f>
        <v>1</v>
      </c>
      <c r="AI144" s="54">
        <f>IFERROR(__xludf.DUMMYFUNCTION("IFERROR(
  VLOOKUP(
    A144,
    IMPORTRANGE(
      ""1SCYQd7_cobOYqT0r_F0IqD4tE4rYn5y8Eup4PJTH8es"",
      ""Snapshot!A:M""
    ),
    9,
    FALSE
  ),
  0
)
"),1.0)</f>
        <v>1</v>
      </c>
      <c r="AJ144" s="54">
        <f>IFERROR(__xludf.DUMMYFUNCTION("IFERROR(
  VLOOKUP(
    A144,
    IMPORTRANGE(
      ""1SCYQd7_cobOYqT0r_F0IqD4tE4rYn5y8Eup4PJTH8es"",
      ""Snapshot!A:M""
    ),
    13,
    FALSE
  ),
  0
)
"),2.0)</f>
        <v>2</v>
      </c>
      <c r="AK144" s="49">
        <f t="shared" ref="AK144:AL144" si="715">LEN(C144)</f>
        <v>58</v>
      </c>
      <c r="AL144" s="49">
        <f t="shared" si="715"/>
        <v>55</v>
      </c>
    </row>
    <row r="145">
      <c r="A145" s="3" t="s">
        <v>202</v>
      </c>
      <c r="B145" s="1" t="str">
        <f>IFERROR(__xludf.DUMMYFUNCTION("IFERROR(
  VLOOKUP(
    A145,
    IMPORTRANGE(
      ""1ZygntHC1J6IxzKbTidmOyf5nUyW4GCLurHCjexrLm_o"",
      ""HTMLキャッシュ!A:F""
    ),
    2,
    FALSE
  ),
  0
)
"),"-")</f>
        <v>-</v>
      </c>
      <c r="C145" s="1" t="str">
        <f>IFERROR(__xludf.DUMMYFUNCTION("IFERROR(
  VLOOKUP(
    A145,
    IMPORTRANGE(
      ""1ZygntHC1J6IxzKbTidmOyf5nUyW4GCLurHCjexrLm_o"",
      ""HTMLキャッシュ!A:F""
    ),
    5,
    FALSE
  ),
  0
)
"),"サンプルページ - 中高一貫校専門塾エスコット(Escot)～定期試験対策から大学受験指導まで～")</f>
        <v>サンプルページ - 中高一貫校専門塾エスコット(Escot)～定期試験対策から大学受験指導まで～</v>
      </c>
      <c r="D145" s="1" t="str">
        <f>IFERROR(__xludf.DUMMYFUNCTION("IFERROR(
  VLOOKUP(
    A145,
    IMPORTRANGE(
      ""1ZygntHC1J6IxzKbTidmOyf5nUyW4GCLurHCjexrLm_o        "",
      ""HTMLキャッシュ!A:F""
    ),
    6,
    FALSE
  ),
  0
)
"),"これはサンプルページです。同じ位置に固定され、(多くのテーマでは) サイトナビゲーションメニューに含まれる点が")</f>
        <v>これはサンプルページです。同じ位置に固定され、(多くのテーマでは) サイトナビゲーションメニューに含まれる点が</v>
      </c>
      <c r="E145" s="32">
        <f>IFERROR(__xludf.DUMMYFUNCTION("IFERROR(
  VLOOKUP(
    A145,
    IMPORTRANGE(
      ""1ZygntHC1J6IxzKbTidmOyf5nUyW4GCLurHCjexrLm_o        "",
      ""HTMLキャッシュ!A:F""
    ),
    3,
    FALSE
  ),
  0
)
"),46015.615324074075)</f>
        <v>46015.61532</v>
      </c>
      <c r="F145" s="49">
        <f>IFERROR(__xludf.DUMMYFUNCTION("IFERROR(
  VLOOKUP(
    A145,
    IMPORTRANGE(
      ""1ZHMy3vVUd_0MrSduXTe1etBb1HNpAlGwQr006ljwMiM"",
      ""GSC最新!A:F""
    ),
    2,
    FALSE
  ),
  0
)
"),0.0)</f>
        <v>0</v>
      </c>
      <c r="G145" s="49">
        <f>IFERROR(__xludf.DUMMYFUNCTION("IFERROR(
  VLOOKUP(
    A145,
    IMPORTRANGE(
      ""1ZHMy3vVUd_0MrSduXTe1etBb1HNpAlGwQr006ljwMiM"",
      ""GSC最新!A:F""
    ),
    3,
    FALSE
  ),
  0
)
"),0.0)</f>
        <v>0</v>
      </c>
      <c r="H145" s="49">
        <f>IFERROR(__xludf.DUMMYFUNCTION("IFERROR(
  VLOOKUP(
    A145,
    IMPORTRANGE(
      ""1ZHMy3vVUd_0MrSduXTe1etBb1HNpAlGwQr006ljwMiM"",
      ""GSC最新!A:F""
    ),
    4,
    FALSE
  ),
  0
)
"),0.0)</f>
        <v>0</v>
      </c>
      <c r="I145" s="49">
        <f>IFERROR(__xludf.DUMMYFUNCTION("IFERROR(
  VLOOKUP(
    A145,
    IMPORTRANGE(
      ""1ZHMy3vVUd_0MrSduXTe1etBb1HNpAlGwQr006ljwMiM"",
      ""GSC最新!A:F""
    ),
    5,
    FALSE
  ),
  0
)
"),0.0)</f>
        <v>0</v>
      </c>
      <c r="J145" s="50" t="str">
        <f t="shared" ref="J145:K145" si="716">IFERROR(F145/H145,"-")</f>
        <v>-</v>
      </c>
      <c r="K145" s="50" t="str">
        <f t="shared" si="716"/>
        <v>-</v>
      </c>
      <c r="L145" s="6">
        <f>IFERROR(__xludf.DUMMYFUNCTION("IFERROR(
  VLOOKUP(
    A145,
    IMPORTRANGE(
      ""1ZHMy3vVUd_0MrSduXTe1etBb1HNpAlGwQr006ljwMiM"",
      ""GSC最新!A:R""
    ),
    7,
    FALSE
  ),
  0
)
"),0.0)</f>
        <v>0</v>
      </c>
      <c r="M145" s="6">
        <f>IFERROR(__xludf.DUMMYFUNCTION("IFERROR(
  VLOOKUP(
    A145,
    IMPORTRANGE(
      ""1ZHMy3vVUd_0MrSduXTe1etBb1HNpAlGwQr006ljwMiM"",
      ""GSC最新!A:R""
    ),
    10,
    FALSE
  ),
  0
)
"),0.0)</f>
        <v>0</v>
      </c>
      <c r="N145" s="6">
        <f>IFERROR(__xludf.DUMMYFUNCTION("IFERROR(
  VLOOKUP(
    A145,
    IMPORTRANGE(
      ""1ZHMy3vVUd_0MrSduXTe1etBb1HNpAlGwQr006ljwMiM"",
      ""GSC最新!A:R""
    ),
    13,
    FALSE
  ),
  0
)
"),0.0)</f>
        <v>0</v>
      </c>
      <c r="O145" s="6">
        <f>IFERROR(__xludf.DUMMYFUNCTION("IFERROR(
  VLOOKUP(
    A145,
    IMPORTRANGE(
      ""1ZHMy3vVUd_0MrSduXTe1etBb1HNpAlGwQr006ljwMiM"",
      ""GSC最新!A:R""
    ),
    16,
    FALSE
  ),
  0
)
"),0.0)</f>
        <v>0</v>
      </c>
      <c r="P145" s="51" t="str">
        <f t="shared" ref="P145:Q145" si="717">IFERROR(L145/N145,"-")</f>
        <v>-</v>
      </c>
      <c r="Q145" s="51" t="str">
        <f t="shared" si="717"/>
        <v>-</v>
      </c>
      <c r="R145" s="9">
        <f>IFERROR(__xludf.DUMMYFUNCTION("IFERROR(
  VLOOKUP(
    A145,
    IMPORTRANGE(
      ""1ZHMy3vVUd_0MrSduXTe1etBb1HNpAlGwQr006ljwMiM"",
      ""GSC最新!A:R""
    ),
    8,
    FALSE
  ),
  0
)
"),0.0)</f>
        <v>0</v>
      </c>
      <c r="S145" s="9">
        <f>IFERROR(__xludf.DUMMYFUNCTION("IFERROR(
  VLOOKUP(
    A145,
    IMPORTRANGE(
      ""1ZHMy3vVUd_0MrSduXTe1etBb1HNpAlGwQr006ljwMiM"",
      ""GSC最新!A:R""
    ),
    11,
    FALSE
  ),
  0
)
"),0.0)</f>
        <v>0</v>
      </c>
      <c r="T145" s="9">
        <f>IFERROR(__xludf.DUMMYFUNCTION("IFERROR(
  VLOOKUP(
    A145,
    IMPORTRANGE(
      ""1ZHMy3vVUd_0MrSduXTe1etBb1HNpAlGwQr006ljwMiM"",
      ""GSC最新!A:R""
    ),
    14,
    FALSE
  ),
  0
)
"),0.0)</f>
        <v>0</v>
      </c>
      <c r="U145" s="9">
        <f>IFERROR(__xludf.DUMMYFUNCTION("IFERROR(
  VLOOKUP(
    A145,
    IMPORTRANGE(
      ""1ZHMy3vVUd_0MrSduXTe1etBb1HNpAlGwQr006ljwMiM"",
      ""GSC最新!A:R""
    ),
    17,
    FALSE
  ),
  0
)
"),0.0)</f>
        <v>0</v>
      </c>
      <c r="V145" s="9">
        <f t="shared" ref="V145:W145" si="718">IFERROR(R145-T145,"-")</f>
        <v>0</v>
      </c>
      <c r="W145" s="9">
        <f t="shared" si="718"/>
        <v>0</v>
      </c>
      <c r="X145" s="65" t="str">
        <f>IFERROR(__xludf.DUMMYFUNCTION("IFERROR(
  VLOOKUP(
    A145,
    IMPORTRANGE(
      ""1ZHMy3vVUd_0MrSduXTe1etBb1HNpAlGwQr006ljwMiM"",
      ""GSC最新!A:R""
    ),
    9,
    FALSE
  ),
  0
)
"),"")</f>
        <v/>
      </c>
      <c r="Y145" s="65" t="str">
        <f>IFERROR(__xludf.DUMMYFUNCTION("IFERROR(
  VLOOKUP(
    A145,
    IMPORTRANGE(
      ""1ZHMy3vVUd_0MrSduXTe1etBb1HNpAlGwQr006ljwMiM"",
      ""GSC最新!A:R""
    ),
    12,
    FALSE
  ),
  0
)
"),"")</f>
        <v/>
      </c>
      <c r="Z145" s="65" t="str">
        <f>IFERROR(__xludf.DUMMYFUNCTION("IFERROR(
  VLOOKUP(
    A145,
    IMPORTRANGE(
      ""1ZHMy3vVUd_0MrSduXTe1etBb1HNpAlGwQr006ljwMiM"",
      ""GSC最新!A:R""
    ),
    15,
    FALSE
  ),
  0
)
"),"")</f>
        <v/>
      </c>
      <c r="AA145" s="65" t="str">
        <f>IFERROR(__xludf.DUMMYFUNCTION("IFERROR(
  VLOOKUP(
    A145,
    IMPORTRANGE(
      ""1ZHMy3vVUd_0MrSduXTe1etBb1HNpAlGwQr006ljwMiM"",
      ""GSC最新!A:R""
    ),
    18,
    FALSE
  ),
  0
)
"),"")</f>
        <v/>
      </c>
      <c r="AB145" s="65">
        <f t="shared" ref="AB145:AC145" si="719">X145-Z145</f>
        <v>0</v>
      </c>
      <c r="AC145" s="65">
        <f t="shared" si="719"/>
        <v>0</v>
      </c>
      <c r="AD145" s="53">
        <f>IFERROR(__xludf.DUMMYFUNCTION("IFERROR(
  VLOOKUP(
    A145,
    IMPORTRANGE(
      ""1ZHMy3vVUd_0MrSduXTe1etBb1HNpAlGwQr006ljwMiM"",
      ""GSC最新!A:F""
    ),
    6,
    FALSE
  ),
  0
)
"),46081.0)</f>
        <v>46081</v>
      </c>
      <c r="AE145" s="54">
        <f>IFERROR(__xludf.DUMMYFUNCTION("IFERROR(
  VLOOKUP(
    A145,
    IMPORTRANGE(
      ""1SCYQd7_cobOYqT0r_F0IqD4tE4rYn5y8Eup4PJTH8es"",
      ""Snapshot!A:M""
    ),
    5,
    FALSE
  ),
  ""-""
)
"),0.0)</f>
        <v>0</v>
      </c>
      <c r="AF145" s="54">
        <f>IFERROR(__xludf.DUMMYFUNCTION("IFERROR(
  VLOOKUP(
    A145,
    IMPORTRANGE(
      ""1SCYQd7_cobOYqT0r_F0IqD4tE4rYn5y8Eup4PJTH8es"",
      ""Snapshot!A:M""
    ),
    6,
    FALSE
  ),
  0
)
"),0.0)</f>
        <v>0</v>
      </c>
      <c r="AG145" s="54">
        <f>IFERROR(__xludf.DUMMYFUNCTION("IFERROR(
  VLOOKUP(
    A145,
    IMPORTRANGE(
      ""1SCYQd7_cobOYqT0r_F0IqD4tE4rYn5y8Eup4PJTH8es"",
      ""Snapshot!A:M""
    ),
    7,
    FALSE
  ),
  0
)
"),455.0)</f>
        <v>455</v>
      </c>
      <c r="AH145" s="54">
        <f>IFERROR(__xludf.DUMMYFUNCTION("IFERROR(
  VLOOKUP(
    A145,
    IMPORTRANGE(
      ""1SCYQd7_cobOYqT0r_F0IqD4tE4rYn5y8Eup4PJTH8es"",
      ""Snapshot!A:M""
    ),
    8,
    FALSE
  ),
  0
)
"),1.0)</f>
        <v>1</v>
      </c>
      <c r="AI145" s="54">
        <f>IFERROR(__xludf.DUMMYFUNCTION("IFERROR(
  VLOOKUP(
    A145,
    IMPORTRANGE(
      ""1SCYQd7_cobOYqT0r_F0IqD4tE4rYn5y8Eup4PJTH8es"",
      ""Snapshot!A:M""
    ),
    9,
    FALSE
  ),
  0
)
"),1.0)</f>
        <v>1</v>
      </c>
      <c r="AJ145" s="54">
        <f>IFERROR(__xludf.DUMMYFUNCTION("IFERROR(
  VLOOKUP(
    A145,
    IMPORTRANGE(
      ""1SCYQd7_cobOYqT0r_F0IqD4tE4rYn5y8Eup4PJTH8es"",
      ""Snapshot!A:M""
    ),
    13,
    FALSE
  ),
  0
)
"),1.0)</f>
        <v>1</v>
      </c>
      <c r="AK145" s="49">
        <f t="shared" ref="AK145:AL145" si="720">LEN(C145)</f>
        <v>48</v>
      </c>
      <c r="AL145" s="49">
        <f t="shared" si="720"/>
        <v>55</v>
      </c>
    </row>
    <row r="146">
      <c r="A146" s="3" t="s">
        <v>204</v>
      </c>
      <c r="B146" s="1" t="str">
        <f>IFERROR(__xludf.DUMMYFUNCTION("IFERROR(
  VLOOKUP(
    A146,
    IMPORTRANGE(
      ""1ZygntHC1J6IxzKbTidmOyf5nUyW4GCLurHCjexrLm_o"",
      ""HTMLキャッシュ!A:F""
    ),
    2,
    FALSE
  ),
  0
)
"),"-")</f>
        <v>-</v>
      </c>
      <c r="C146" s="1" t="str">
        <f>IFERROR(__xludf.DUMMYFUNCTION("IFERROR(
  VLOOKUP(
    A146,
    IMPORTRANGE(
      ""1ZygntHC1J6IxzKbTidmOyf5nUyW4GCLurHCjexrLm_o"",
      ""HTMLキャッシュ!A:F""
    ),
    5,
    FALSE
  ),
  0
)
"),"top - 中高一貫校専門塾エスコット(Escot)～定期試験対策から大学受験指導まで～")</f>
        <v>top - 中高一貫校専門塾エスコット(Escot)～定期試験対策から大学受験指導まで～</v>
      </c>
      <c r="D146" s="1" t="str">
        <f>IFERROR(__xludf.DUMMYFUNCTION("IFERROR(
  VLOOKUP(
    A146,
    IMPORTRANGE(
      ""1ZygntHC1J6IxzKbTidmOyf5nUyW4GCLurHCjexrLm_o        "",
      ""HTMLキャッシュ!A:F""
    ),
    6,
    FALSE
  ),
  0
)
"),"")</f>
        <v/>
      </c>
      <c r="E146" s="32">
        <f>IFERROR(__xludf.DUMMYFUNCTION("IFERROR(
  VLOOKUP(
    A146,
    IMPORTRANGE(
      ""1ZygntHC1J6IxzKbTidmOyf5nUyW4GCLurHCjexrLm_o        "",
      ""HTMLキャッシュ!A:F""
    ),
    3,
    FALSE
  ),
  0
)
"),45996.0144212963)</f>
        <v>45996.01442</v>
      </c>
      <c r="F146" s="49">
        <f>IFERROR(__xludf.DUMMYFUNCTION("IFERROR(
  VLOOKUP(
    A146,
    IMPORTRANGE(
      ""1ZHMy3vVUd_0MrSduXTe1etBb1HNpAlGwQr006ljwMiM"",
      ""GSC最新!A:F""
    ),
    2,
    FALSE
  ),
  0
)
"),0.0)</f>
        <v>0</v>
      </c>
      <c r="G146" s="49">
        <f>IFERROR(__xludf.DUMMYFUNCTION("IFERROR(
  VLOOKUP(
    A146,
    IMPORTRANGE(
      ""1ZHMy3vVUd_0MrSduXTe1etBb1HNpAlGwQr006ljwMiM"",
      ""GSC最新!A:F""
    ),
    3,
    FALSE
  ),
  0
)
"),0.0)</f>
        <v>0</v>
      </c>
      <c r="H146" s="49">
        <f>IFERROR(__xludf.DUMMYFUNCTION("IFERROR(
  VLOOKUP(
    A146,
    IMPORTRANGE(
      ""1ZHMy3vVUd_0MrSduXTe1etBb1HNpAlGwQr006ljwMiM"",
      ""GSC最新!A:F""
    ),
    4,
    FALSE
  ),
  0
)
"),0.0)</f>
        <v>0</v>
      </c>
      <c r="I146" s="49">
        <f>IFERROR(__xludf.DUMMYFUNCTION("IFERROR(
  VLOOKUP(
    A146,
    IMPORTRANGE(
      ""1ZHMy3vVUd_0MrSduXTe1etBb1HNpAlGwQr006ljwMiM"",
      ""GSC最新!A:F""
    ),
    5,
    FALSE
  ),
  0
)
"),0.0)</f>
        <v>0</v>
      </c>
      <c r="J146" s="50" t="str">
        <f t="shared" ref="J146:K146" si="721">IFERROR(F146/H146,"-")</f>
        <v>-</v>
      </c>
      <c r="K146" s="50" t="str">
        <f t="shared" si="721"/>
        <v>-</v>
      </c>
      <c r="L146" s="6">
        <f>IFERROR(__xludf.DUMMYFUNCTION("IFERROR(
  VLOOKUP(
    A146,
    IMPORTRANGE(
      ""1ZHMy3vVUd_0MrSduXTe1etBb1HNpAlGwQr006ljwMiM"",
      ""GSC最新!A:R""
    ),
    7,
    FALSE
  ),
  0
)
"),0.0)</f>
        <v>0</v>
      </c>
      <c r="M146" s="6">
        <f>IFERROR(__xludf.DUMMYFUNCTION("IFERROR(
  VLOOKUP(
    A146,
    IMPORTRANGE(
      ""1ZHMy3vVUd_0MrSduXTe1etBb1HNpAlGwQr006ljwMiM"",
      ""GSC最新!A:R""
    ),
    10,
    FALSE
  ),
  0
)
"),0.0)</f>
        <v>0</v>
      </c>
      <c r="N146" s="6">
        <f>IFERROR(__xludf.DUMMYFUNCTION("IFERROR(
  VLOOKUP(
    A146,
    IMPORTRANGE(
      ""1ZHMy3vVUd_0MrSduXTe1etBb1HNpAlGwQr006ljwMiM"",
      ""GSC最新!A:R""
    ),
    13,
    FALSE
  ),
  0
)
"),0.0)</f>
        <v>0</v>
      </c>
      <c r="O146" s="6">
        <f>IFERROR(__xludf.DUMMYFUNCTION("IFERROR(
  VLOOKUP(
    A146,
    IMPORTRANGE(
      ""1ZHMy3vVUd_0MrSduXTe1etBb1HNpAlGwQr006ljwMiM"",
      ""GSC最新!A:R""
    ),
    16,
    FALSE
  ),
  0
)
"),0.0)</f>
        <v>0</v>
      </c>
      <c r="P146" s="51" t="str">
        <f t="shared" ref="P146:Q146" si="722">IFERROR(L146/N146,"-")</f>
        <v>-</v>
      </c>
      <c r="Q146" s="51" t="str">
        <f t="shared" si="722"/>
        <v>-</v>
      </c>
      <c r="R146" s="9">
        <f>IFERROR(__xludf.DUMMYFUNCTION("IFERROR(
  VLOOKUP(
    A146,
    IMPORTRANGE(
      ""1ZHMy3vVUd_0MrSduXTe1etBb1HNpAlGwQr006ljwMiM"",
      ""GSC最新!A:R""
    ),
    8,
    FALSE
  ),
  0
)
"),0.0)</f>
        <v>0</v>
      </c>
      <c r="S146" s="9">
        <f>IFERROR(__xludf.DUMMYFUNCTION("IFERROR(
  VLOOKUP(
    A146,
    IMPORTRANGE(
      ""1ZHMy3vVUd_0MrSduXTe1etBb1HNpAlGwQr006ljwMiM"",
      ""GSC最新!A:R""
    ),
    11,
    FALSE
  ),
  0
)
"),0.0)</f>
        <v>0</v>
      </c>
      <c r="T146" s="9">
        <f>IFERROR(__xludf.DUMMYFUNCTION("IFERROR(
  VLOOKUP(
    A146,
    IMPORTRANGE(
      ""1ZHMy3vVUd_0MrSduXTe1etBb1HNpAlGwQr006ljwMiM"",
      ""GSC最新!A:R""
    ),
    14,
    FALSE
  ),
  0
)
"),0.0)</f>
        <v>0</v>
      </c>
      <c r="U146" s="9">
        <f>IFERROR(__xludf.DUMMYFUNCTION("IFERROR(
  VLOOKUP(
    A146,
    IMPORTRANGE(
      ""1ZHMy3vVUd_0MrSduXTe1etBb1HNpAlGwQr006ljwMiM"",
      ""GSC最新!A:R""
    ),
    17,
    FALSE
  ),
  0
)
"),0.0)</f>
        <v>0</v>
      </c>
      <c r="V146" s="9">
        <f t="shared" ref="V146:W146" si="723">IFERROR(R146-T146,"-")</f>
        <v>0</v>
      </c>
      <c r="W146" s="9">
        <f t="shared" si="723"/>
        <v>0</v>
      </c>
      <c r="X146" s="65" t="str">
        <f>IFERROR(__xludf.DUMMYFUNCTION("IFERROR(
  VLOOKUP(
    A146,
    IMPORTRANGE(
      ""1ZHMy3vVUd_0MrSduXTe1etBb1HNpAlGwQr006ljwMiM"",
      ""GSC最新!A:R""
    ),
    9,
    FALSE
  ),
  0
)
"),"")</f>
        <v/>
      </c>
      <c r="Y146" s="65" t="str">
        <f>IFERROR(__xludf.DUMMYFUNCTION("IFERROR(
  VLOOKUP(
    A146,
    IMPORTRANGE(
      ""1ZHMy3vVUd_0MrSduXTe1etBb1HNpAlGwQr006ljwMiM"",
      ""GSC最新!A:R""
    ),
    12,
    FALSE
  ),
  0
)
"),"")</f>
        <v/>
      </c>
      <c r="Z146" s="65" t="str">
        <f>IFERROR(__xludf.DUMMYFUNCTION("IFERROR(
  VLOOKUP(
    A146,
    IMPORTRANGE(
      ""1ZHMy3vVUd_0MrSduXTe1etBb1HNpAlGwQr006ljwMiM"",
      ""GSC最新!A:R""
    ),
    15,
    FALSE
  ),
  0
)
"),"")</f>
        <v/>
      </c>
      <c r="AA146" s="65" t="str">
        <f>IFERROR(__xludf.DUMMYFUNCTION("IFERROR(
  VLOOKUP(
    A146,
    IMPORTRANGE(
      ""1ZHMy3vVUd_0MrSduXTe1etBb1HNpAlGwQr006ljwMiM"",
      ""GSC最新!A:R""
    ),
    18,
    FALSE
  ),
  0
)
"),"")</f>
        <v/>
      </c>
      <c r="AB146" s="65">
        <f t="shared" ref="AB146:AC146" si="724">X146-Z146</f>
        <v>0</v>
      </c>
      <c r="AC146" s="65">
        <f t="shared" si="724"/>
        <v>0</v>
      </c>
      <c r="AD146" s="53">
        <f>IFERROR(__xludf.DUMMYFUNCTION("IFERROR(
  VLOOKUP(
    A146,
    IMPORTRANGE(
      ""1ZHMy3vVUd_0MrSduXTe1etBb1HNpAlGwQr006ljwMiM"",
      ""GSC最新!A:F""
    ),
    6,
    FALSE
  ),
  0
)
"),46081.0)</f>
        <v>46081</v>
      </c>
      <c r="AE146" s="54">
        <f>IFERROR(__xludf.DUMMYFUNCTION("IFERROR(
  VLOOKUP(
    A146,
    IMPORTRANGE(
      ""1SCYQd7_cobOYqT0r_F0IqD4tE4rYn5y8Eup4PJTH8es"",
      ""Snapshot!A:M""
    ),
    5,
    FALSE
  ),
  ""-""
)
"),0.0)</f>
        <v>0</v>
      </c>
      <c r="AF146" s="54">
        <f>IFERROR(__xludf.DUMMYFUNCTION("IFERROR(
  VLOOKUP(
    A146,
    IMPORTRANGE(
      ""1SCYQd7_cobOYqT0r_F0IqD4tE4rYn5y8Eup4PJTH8es"",
      ""Snapshot!A:M""
    ),
    6,
    FALSE
  ),
  0
)
"),0.0)</f>
        <v>0</v>
      </c>
      <c r="AG146" s="54">
        <f>IFERROR(__xludf.DUMMYFUNCTION("IFERROR(
  VLOOKUP(
    A146,
    IMPORTRANGE(
      ""1SCYQd7_cobOYqT0r_F0IqD4tE4rYn5y8Eup4PJTH8es"",
      ""Snapshot!A:M""
    ),
    7,
    FALSE
  ),
  0
)
"),0.0)</f>
        <v>0</v>
      </c>
      <c r="AH146" s="54">
        <f>IFERROR(__xludf.DUMMYFUNCTION("IFERROR(
  VLOOKUP(
    A146,
    IMPORTRANGE(
      ""1SCYQd7_cobOYqT0r_F0IqD4tE4rYn5y8Eup4PJTH8es"",
      ""Snapshot!A:M""
    ),
    8,
    FALSE
  ),
  0
)
"),0.0)</f>
        <v>0</v>
      </c>
      <c r="AI146" s="54">
        <f>IFERROR(__xludf.DUMMYFUNCTION("IFERROR(
  VLOOKUP(
    A146,
    IMPORTRANGE(
      ""1SCYQd7_cobOYqT0r_F0IqD4tE4rYn5y8Eup4PJTH8es"",
      ""Snapshot!A:M""
    ),
    9,
    FALSE
  ),
  0
)
"),1.0)</f>
        <v>1</v>
      </c>
      <c r="AJ146" s="54">
        <f>IFERROR(__xludf.DUMMYFUNCTION("IFERROR(
  VLOOKUP(
    A146,
    IMPORTRANGE(
      ""1SCYQd7_cobOYqT0r_F0IqD4tE4rYn5y8Eup4PJTH8es"",
      ""Snapshot!A:M""
    ),
    13,
    FALSE
  ),
  0
)
"),1.0)</f>
        <v>1</v>
      </c>
      <c r="AK146" s="49">
        <f t="shared" ref="AK146:AL146" si="725">LEN(C146)</f>
        <v>44</v>
      </c>
      <c r="AL146" s="49">
        <f t="shared" si="725"/>
        <v>0</v>
      </c>
    </row>
    <row r="147">
      <c r="D147" s="55"/>
      <c r="J147" s="51"/>
      <c r="K147" s="51"/>
    </row>
    <row r="148">
      <c r="D148" s="55"/>
      <c r="J148" s="51"/>
      <c r="K148" s="51"/>
    </row>
    <row r="149">
      <c r="D149" s="55"/>
      <c r="J149" s="51"/>
      <c r="K149" s="51"/>
    </row>
    <row r="150">
      <c r="D150" s="55"/>
      <c r="J150" s="51"/>
      <c r="K150" s="51"/>
    </row>
    <row r="151">
      <c r="D151" s="55"/>
      <c r="J151" s="51"/>
      <c r="K151" s="51"/>
    </row>
    <row r="152">
      <c r="D152" s="55"/>
      <c r="J152" s="51"/>
      <c r="K152" s="51"/>
    </row>
    <row r="153">
      <c r="D153" s="55"/>
      <c r="J153" s="51"/>
      <c r="K153" s="51"/>
    </row>
    <row r="154">
      <c r="D154" s="55"/>
      <c r="J154" s="51"/>
      <c r="K154" s="51"/>
    </row>
    <row r="155">
      <c r="D155" s="55"/>
      <c r="J155" s="51"/>
      <c r="K155" s="51"/>
    </row>
    <row r="156">
      <c r="D156" s="55"/>
      <c r="J156" s="51"/>
      <c r="K156" s="51"/>
    </row>
    <row r="157">
      <c r="D157" s="55"/>
      <c r="J157" s="51"/>
      <c r="K157" s="51"/>
    </row>
    <row r="158">
      <c r="D158" s="55"/>
      <c r="J158" s="51"/>
      <c r="K158" s="51"/>
    </row>
    <row r="159">
      <c r="D159" s="55"/>
      <c r="J159" s="51"/>
      <c r="K159" s="51"/>
    </row>
    <row r="160">
      <c r="D160" s="55"/>
      <c r="J160" s="51"/>
      <c r="K160" s="51"/>
    </row>
    <row r="161">
      <c r="D161" s="55"/>
      <c r="J161" s="51"/>
      <c r="K161" s="51"/>
    </row>
    <row r="162">
      <c r="D162" s="55"/>
      <c r="J162" s="51"/>
      <c r="K162" s="51"/>
    </row>
    <row r="163">
      <c r="D163" s="55"/>
      <c r="J163" s="51"/>
      <c r="K163" s="51"/>
    </row>
    <row r="164">
      <c r="D164" s="55"/>
      <c r="J164" s="51"/>
      <c r="K164" s="51"/>
    </row>
    <row r="165">
      <c r="D165" s="55"/>
      <c r="J165" s="51"/>
      <c r="K165" s="51"/>
    </row>
    <row r="166">
      <c r="D166" s="55"/>
      <c r="J166" s="51"/>
      <c r="K166" s="51"/>
    </row>
    <row r="167">
      <c r="D167" s="55"/>
      <c r="J167" s="51"/>
      <c r="K167" s="51"/>
    </row>
    <row r="168">
      <c r="D168" s="55"/>
      <c r="J168" s="51"/>
      <c r="K168" s="51"/>
    </row>
    <row r="169">
      <c r="D169" s="55"/>
      <c r="J169" s="51"/>
      <c r="K169" s="51"/>
    </row>
    <row r="170">
      <c r="D170" s="55"/>
      <c r="J170" s="51"/>
      <c r="K170" s="51"/>
    </row>
    <row r="171">
      <c r="D171" s="55"/>
      <c r="J171" s="51"/>
      <c r="K171" s="51"/>
    </row>
    <row r="172">
      <c r="D172" s="55"/>
      <c r="J172" s="51"/>
      <c r="K172" s="51"/>
    </row>
    <row r="173">
      <c r="D173" s="55"/>
      <c r="J173" s="51"/>
      <c r="K173" s="51"/>
    </row>
    <row r="174">
      <c r="D174" s="55"/>
      <c r="J174" s="51"/>
      <c r="K174" s="51"/>
    </row>
    <row r="175">
      <c r="D175" s="55"/>
      <c r="J175" s="51"/>
      <c r="K175" s="51"/>
    </row>
    <row r="176">
      <c r="D176" s="55"/>
      <c r="J176" s="51"/>
      <c r="K176" s="51"/>
    </row>
    <row r="177">
      <c r="D177" s="55"/>
      <c r="J177" s="51"/>
      <c r="K177" s="51"/>
    </row>
    <row r="178">
      <c r="D178" s="55"/>
      <c r="J178" s="51"/>
      <c r="K178" s="51"/>
    </row>
    <row r="179">
      <c r="D179" s="55"/>
      <c r="J179" s="51"/>
      <c r="K179" s="51"/>
    </row>
    <row r="180">
      <c r="D180" s="55"/>
      <c r="J180" s="51"/>
      <c r="K180" s="51"/>
    </row>
    <row r="181">
      <c r="D181" s="55"/>
      <c r="J181" s="51"/>
      <c r="K181" s="51"/>
    </row>
    <row r="182">
      <c r="D182" s="55"/>
      <c r="J182" s="51"/>
      <c r="K182" s="51"/>
    </row>
    <row r="183">
      <c r="D183" s="55"/>
      <c r="J183" s="51"/>
      <c r="K183" s="51"/>
    </row>
    <row r="184">
      <c r="D184" s="55"/>
      <c r="J184" s="51"/>
      <c r="K184" s="51"/>
    </row>
    <row r="185">
      <c r="D185" s="55"/>
      <c r="J185" s="51"/>
      <c r="K185" s="51"/>
    </row>
    <row r="186">
      <c r="D186" s="55"/>
      <c r="J186" s="51"/>
      <c r="K186" s="51"/>
    </row>
    <row r="187">
      <c r="D187" s="55"/>
      <c r="J187" s="51"/>
      <c r="K187" s="51"/>
    </row>
    <row r="188">
      <c r="D188" s="55"/>
      <c r="J188" s="51"/>
      <c r="K188" s="51"/>
    </row>
    <row r="189">
      <c r="D189" s="55"/>
      <c r="J189" s="51"/>
      <c r="K189" s="51"/>
    </row>
    <row r="190">
      <c r="D190" s="55"/>
      <c r="J190" s="51"/>
      <c r="K190" s="51"/>
    </row>
    <row r="191">
      <c r="D191" s="55"/>
      <c r="J191" s="51"/>
      <c r="K191" s="51"/>
    </row>
    <row r="192">
      <c r="D192" s="55"/>
      <c r="J192" s="51"/>
      <c r="K192" s="51"/>
    </row>
    <row r="193">
      <c r="D193" s="55"/>
      <c r="J193" s="51"/>
      <c r="K193" s="51"/>
    </row>
    <row r="194">
      <c r="D194" s="55"/>
      <c r="J194" s="51"/>
      <c r="K194" s="51"/>
    </row>
    <row r="195">
      <c r="D195" s="55"/>
      <c r="J195" s="51"/>
      <c r="K195" s="51"/>
    </row>
    <row r="196">
      <c r="D196" s="55"/>
      <c r="J196" s="51"/>
      <c r="K196" s="51"/>
    </row>
    <row r="197">
      <c r="D197" s="55"/>
      <c r="J197" s="51"/>
      <c r="K197" s="51"/>
    </row>
    <row r="198">
      <c r="D198" s="55"/>
      <c r="J198" s="51"/>
      <c r="K198" s="51"/>
    </row>
    <row r="199">
      <c r="D199" s="55"/>
      <c r="J199" s="51"/>
      <c r="K199" s="51"/>
    </row>
    <row r="200">
      <c r="D200" s="55"/>
      <c r="J200" s="51"/>
      <c r="K200" s="51"/>
    </row>
    <row r="201">
      <c r="D201" s="55"/>
      <c r="J201" s="51"/>
      <c r="K201" s="51"/>
    </row>
    <row r="202">
      <c r="D202" s="55"/>
      <c r="J202" s="51"/>
      <c r="K202" s="51"/>
    </row>
    <row r="203">
      <c r="D203" s="55"/>
      <c r="J203" s="51"/>
      <c r="K203" s="51"/>
    </row>
    <row r="204">
      <c r="D204" s="55"/>
      <c r="J204" s="51"/>
      <c r="K204" s="51"/>
    </row>
    <row r="205">
      <c r="D205" s="55"/>
      <c r="J205" s="51"/>
      <c r="K205" s="51"/>
    </row>
    <row r="206">
      <c r="D206" s="55"/>
      <c r="J206" s="51"/>
      <c r="K206" s="51"/>
    </row>
    <row r="207">
      <c r="D207" s="55"/>
      <c r="J207" s="51"/>
      <c r="K207" s="51"/>
    </row>
    <row r="208">
      <c r="D208" s="55"/>
      <c r="J208" s="51"/>
      <c r="K208" s="51"/>
    </row>
    <row r="209">
      <c r="D209" s="55"/>
      <c r="J209" s="51"/>
      <c r="K209" s="51"/>
    </row>
    <row r="210">
      <c r="D210" s="55"/>
      <c r="J210" s="51"/>
      <c r="K210" s="51"/>
    </row>
    <row r="211">
      <c r="D211" s="55"/>
      <c r="J211" s="51"/>
      <c r="K211" s="51"/>
    </row>
    <row r="212">
      <c r="D212" s="55"/>
      <c r="J212" s="51"/>
      <c r="K212" s="51"/>
    </row>
    <row r="213">
      <c r="D213" s="55"/>
      <c r="J213" s="51"/>
      <c r="K213" s="51"/>
    </row>
    <row r="214">
      <c r="D214" s="55"/>
      <c r="J214" s="51"/>
      <c r="K214" s="51"/>
    </row>
    <row r="215">
      <c r="D215" s="55"/>
      <c r="J215" s="51"/>
      <c r="K215" s="51"/>
    </row>
    <row r="216">
      <c r="D216" s="55"/>
      <c r="J216" s="51"/>
      <c r="K216" s="51"/>
    </row>
    <row r="217">
      <c r="D217" s="55"/>
      <c r="J217" s="51"/>
      <c r="K217" s="51"/>
    </row>
    <row r="218">
      <c r="D218" s="55"/>
      <c r="J218" s="51"/>
      <c r="K218" s="51"/>
    </row>
    <row r="219">
      <c r="D219" s="55"/>
      <c r="J219" s="51"/>
      <c r="K219" s="51"/>
    </row>
    <row r="220">
      <c r="D220" s="55"/>
      <c r="J220" s="51"/>
      <c r="K220" s="51"/>
    </row>
    <row r="221">
      <c r="D221" s="55"/>
      <c r="J221" s="51"/>
      <c r="K221" s="51"/>
    </row>
    <row r="222">
      <c r="D222" s="55"/>
      <c r="J222" s="51"/>
      <c r="K222" s="51"/>
    </row>
    <row r="223">
      <c r="D223" s="55"/>
      <c r="J223" s="51"/>
      <c r="K223" s="51"/>
    </row>
    <row r="224">
      <c r="D224" s="55"/>
      <c r="J224" s="51"/>
      <c r="K224" s="51"/>
    </row>
    <row r="225">
      <c r="D225" s="55"/>
      <c r="J225" s="51"/>
      <c r="K225" s="51"/>
    </row>
    <row r="226">
      <c r="D226" s="55"/>
      <c r="J226" s="51"/>
      <c r="K226" s="51"/>
    </row>
    <row r="227">
      <c r="D227" s="55"/>
      <c r="J227" s="51"/>
      <c r="K227" s="51"/>
    </row>
    <row r="228">
      <c r="D228" s="55"/>
      <c r="J228" s="51"/>
      <c r="K228" s="51"/>
    </row>
    <row r="229">
      <c r="D229" s="55"/>
      <c r="J229" s="51"/>
      <c r="K229" s="51"/>
    </row>
    <row r="230">
      <c r="D230" s="55"/>
      <c r="J230" s="51"/>
      <c r="K230" s="51"/>
    </row>
    <row r="231">
      <c r="D231" s="55"/>
      <c r="J231" s="51"/>
      <c r="K231" s="51"/>
    </row>
    <row r="232">
      <c r="D232" s="55"/>
      <c r="J232" s="51"/>
      <c r="K232" s="51"/>
    </row>
    <row r="233">
      <c r="D233" s="55"/>
      <c r="J233" s="51"/>
      <c r="K233" s="51"/>
    </row>
    <row r="234">
      <c r="D234" s="55"/>
      <c r="J234" s="51"/>
      <c r="K234" s="51"/>
    </row>
    <row r="235">
      <c r="D235" s="55"/>
      <c r="J235" s="51"/>
      <c r="K235" s="51"/>
    </row>
    <row r="236">
      <c r="D236" s="55"/>
      <c r="J236" s="51"/>
      <c r="K236" s="51"/>
    </row>
    <row r="237">
      <c r="D237" s="55"/>
      <c r="J237" s="51"/>
      <c r="K237" s="51"/>
    </row>
    <row r="238">
      <c r="D238" s="55"/>
      <c r="J238" s="51"/>
      <c r="K238" s="51"/>
    </row>
    <row r="239">
      <c r="D239" s="55"/>
      <c r="J239" s="51"/>
      <c r="K239" s="51"/>
    </row>
    <row r="240">
      <c r="D240" s="55"/>
      <c r="J240" s="51"/>
      <c r="K240" s="51"/>
    </row>
    <row r="241">
      <c r="D241" s="55"/>
      <c r="J241" s="51"/>
      <c r="K241" s="51"/>
    </row>
    <row r="242">
      <c r="D242" s="55"/>
      <c r="J242" s="51"/>
      <c r="K242" s="51"/>
    </row>
    <row r="243">
      <c r="D243" s="55"/>
      <c r="J243" s="51"/>
      <c r="K243" s="51"/>
    </row>
    <row r="244">
      <c r="D244" s="55"/>
      <c r="J244" s="51"/>
      <c r="K244" s="51"/>
    </row>
    <row r="245">
      <c r="D245" s="55"/>
      <c r="J245" s="51"/>
      <c r="K245" s="51"/>
    </row>
    <row r="246">
      <c r="D246" s="55"/>
      <c r="J246" s="51"/>
      <c r="K246" s="51"/>
    </row>
    <row r="247">
      <c r="D247" s="55"/>
      <c r="J247" s="51"/>
      <c r="K247" s="51"/>
    </row>
    <row r="248">
      <c r="D248" s="55"/>
      <c r="J248" s="51"/>
      <c r="K248" s="51"/>
    </row>
    <row r="249">
      <c r="D249" s="55"/>
      <c r="J249" s="51"/>
      <c r="K249" s="51"/>
    </row>
    <row r="250">
      <c r="D250" s="55"/>
      <c r="J250" s="51"/>
      <c r="K250" s="51"/>
    </row>
    <row r="251">
      <c r="D251" s="55"/>
      <c r="J251" s="51"/>
      <c r="K251" s="51"/>
    </row>
    <row r="252">
      <c r="D252" s="55"/>
      <c r="J252" s="51"/>
      <c r="K252" s="51"/>
    </row>
    <row r="253">
      <c r="D253" s="55"/>
      <c r="J253" s="51"/>
      <c r="K253" s="51"/>
    </row>
    <row r="254">
      <c r="D254" s="55"/>
      <c r="J254" s="51"/>
      <c r="K254" s="51"/>
    </row>
    <row r="255">
      <c r="D255" s="55"/>
      <c r="J255" s="51"/>
      <c r="K255" s="51"/>
    </row>
    <row r="256">
      <c r="D256" s="55"/>
      <c r="J256" s="51"/>
      <c r="K256" s="51"/>
    </row>
    <row r="257">
      <c r="D257" s="55"/>
      <c r="J257" s="51"/>
      <c r="K257" s="51"/>
    </row>
    <row r="258">
      <c r="D258" s="55"/>
      <c r="J258" s="51"/>
      <c r="K258" s="51"/>
    </row>
    <row r="259">
      <c r="D259" s="55"/>
      <c r="J259" s="51"/>
      <c r="K259" s="51"/>
    </row>
    <row r="260">
      <c r="D260" s="55"/>
      <c r="J260" s="51"/>
      <c r="K260" s="51"/>
    </row>
    <row r="261">
      <c r="D261" s="55"/>
      <c r="J261" s="51"/>
      <c r="K261" s="51"/>
    </row>
    <row r="262">
      <c r="D262" s="55"/>
      <c r="J262" s="51"/>
      <c r="K262" s="51"/>
    </row>
    <row r="263">
      <c r="D263" s="55"/>
      <c r="J263" s="51"/>
      <c r="K263" s="51"/>
    </row>
    <row r="264">
      <c r="D264" s="55"/>
      <c r="J264" s="51"/>
      <c r="K264" s="51"/>
    </row>
    <row r="265">
      <c r="D265" s="55"/>
      <c r="J265" s="51"/>
      <c r="K265" s="51"/>
    </row>
    <row r="266">
      <c r="D266" s="55"/>
      <c r="J266" s="51"/>
      <c r="K266" s="51"/>
    </row>
    <row r="267">
      <c r="D267" s="55"/>
      <c r="J267" s="51"/>
      <c r="K267" s="51"/>
    </row>
    <row r="268">
      <c r="D268" s="55"/>
      <c r="J268" s="51"/>
      <c r="K268" s="51"/>
    </row>
    <row r="269">
      <c r="D269" s="55"/>
      <c r="J269" s="51"/>
      <c r="K269" s="51"/>
    </row>
    <row r="270">
      <c r="D270" s="55"/>
      <c r="J270" s="51"/>
      <c r="K270" s="51"/>
    </row>
    <row r="271">
      <c r="D271" s="55"/>
      <c r="J271" s="51"/>
      <c r="K271" s="51"/>
    </row>
    <row r="272">
      <c r="D272" s="55"/>
      <c r="J272" s="51"/>
      <c r="K272" s="51"/>
    </row>
    <row r="273">
      <c r="D273" s="55"/>
      <c r="J273" s="51"/>
      <c r="K273" s="51"/>
    </row>
    <row r="274">
      <c r="D274" s="55"/>
      <c r="J274" s="51"/>
      <c r="K274" s="51"/>
    </row>
    <row r="275">
      <c r="D275" s="55"/>
      <c r="J275" s="51"/>
      <c r="K275" s="51"/>
    </row>
    <row r="276">
      <c r="D276" s="55"/>
      <c r="J276" s="51"/>
      <c r="K276" s="51"/>
    </row>
    <row r="277">
      <c r="D277" s="55"/>
      <c r="J277" s="51"/>
      <c r="K277" s="51"/>
    </row>
    <row r="278">
      <c r="D278" s="55"/>
      <c r="J278" s="51"/>
      <c r="K278" s="51"/>
    </row>
    <row r="279">
      <c r="D279" s="55"/>
      <c r="J279" s="51"/>
      <c r="K279" s="51"/>
    </row>
    <row r="280">
      <c r="D280" s="55"/>
      <c r="J280" s="51"/>
      <c r="K280" s="51"/>
    </row>
    <row r="281">
      <c r="D281" s="55"/>
      <c r="J281" s="51"/>
      <c r="K281" s="51"/>
    </row>
    <row r="282">
      <c r="D282" s="55"/>
      <c r="J282" s="51"/>
      <c r="K282" s="51"/>
    </row>
    <row r="283">
      <c r="D283" s="55"/>
      <c r="J283" s="51"/>
      <c r="K283" s="51"/>
    </row>
    <row r="284">
      <c r="D284" s="55"/>
      <c r="J284" s="51"/>
      <c r="K284" s="51"/>
    </row>
    <row r="285">
      <c r="D285" s="55"/>
      <c r="J285" s="51"/>
      <c r="K285" s="51"/>
    </row>
    <row r="286">
      <c r="D286" s="55"/>
      <c r="J286" s="51"/>
      <c r="K286" s="51"/>
    </row>
    <row r="287">
      <c r="D287" s="55"/>
      <c r="J287" s="51"/>
      <c r="K287" s="51"/>
    </row>
    <row r="288">
      <c r="D288" s="55"/>
      <c r="J288" s="51"/>
      <c r="K288" s="51"/>
    </row>
    <row r="289">
      <c r="D289" s="55"/>
      <c r="J289" s="51"/>
      <c r="K289" s="51"/>
    </row>
    <row r="290">
      <c r="D290" s="55"/>
      <c r="J290" s="51"/>
      <c r="K290" s="51"/>
    </row>
    <row r="291">
      <c r="D291" s="55"/>
      <c r="J291" s="51"/>
      <c r="K291" s="51"/>
    </row>
    <row r="292">
      <c r="D292" s="55"/>
      <c r="J292" s="51"/>
      <c r="K292" s="51"/>
    </row>
    <row r="293">
      <c r="D293" s="55"/>
      <c r="J293" s="51"/>
      <c r="K293" s="51"/>
    </row>
    <row r="294">
      <c r="D294" s="55"/>
      <c r="J294" s="51"/>
      <c r="K294" s="51"/>
    </row>
    <row r="295">
      <c r="D295" s="55"/>
      <c r="J295" s="51"/>
      <c r="K295" s="51"/>
    </row>
    <row r="296">
      <c r="D296" s="55"/>
      <c r="J296" s="51"/>
      <c r="K296" s="51"/>
    </row>
    <row r="297">
      <c r="D297" s="55"/>
      <c r="J297" s="51"/>
      <c r="K297" s="51"/>
    </row>
    <row r="298">
      <c r="D298" s="55"/>
      <c r="J298" s="51"/>
      <c r="K298" s="51"/>
    </row>
    <row r="299">
      <c r="D299" s="55"/>
      <c r="J299" s="51"/>
      <c r="K299" s="51"/>
    </row>
    <row r="300">
      <c r="D300" s="55"/>
      <c r="J300" s="51"/>
      <c r="K300" s="51"/>
    </row>
    <row r="301">
      <c r="D301" s="55"/>
      <c r="J301" s="51"/>
      <c r="K301" s="51"/>
    </row>
    <row r="302">
      <c r="D302" s="55"/>
      <c r="J302" s="51"/>
      <c r="K302" s="51"/>
    </row>
    <row r="303">
      <c r="D303" s="55"/>
      <c r="J303" s="51"/>
      <c r="K303" s="51"/>
    </row>
    <row r="304">
      <c r="D304" s="55"/>
      <c r="J304" s="51"/>
      <c r="K304" s="51"/>
    </row>
    <row r="305">
      <c r="D305" s="55"/>
      <c r="J305" s="51"/>
      <c r="K305" s="51"/>
    </row>
    <row r="306">
      <c r="D306" s="55"/>
      <c r="J306" s="51"/>
      <c r="K306" s="51"/>
    </row>
    <row r="307">
      <c r="D307" s="55"/>
      <c r="J307" s="51"/>
      <c r="K307" s="51"/>
    </row>
    <row r="308">
      <c r="D308" s="55"/>
      <c r="J308" s="51"/>
      <c r="K308" s="51"/>
    </row>
    <row r="309">
      <c r="D309" s="55"/>
      <c r="J309" s="51"/>
      <c r="K309" s="51"/>
    </row>
    <row r="310">
      <c r="D310" s="55"/>
      <c r="J310" s="51"/>
      <c r="K310" s="51"/>
    </row>
    <row r="311">
      <c r="D311" s="55"/>
      <c r="J311" s="51"/>
      <c r="K311" s="51"/>
    </row>
    <row r="312">
      <c r="D312" s="55"/>
      <c r="J312" s="51"/>
      <c r="K312" s="51"/>
    </row>
    <row r="313">
      <c r="D313" s="55"/>
      <c r="J313" s="51"/>
      <c r="K313" s="51"/>
    </row>
    <row r="314">
      <c r="D314" s="55"/>
      <c r="J314" s="51"/>
      <c r="K314" s="51"/>
    </row>
    <row r="315">
      <c r="D315" s="55"/>
      <c r="J315" s="51"/>
      <c r="K315" s="51"/>
    </row>
    <row r="316">
      <c r="D316" s="55"/>
      <c r="J316" s="51"/>
      <c r="K316" s="51"/>
    </row>
    <row r="317">
      <c r="D317" s="55"/>
      <c r="J317" s="51"/>
      <c r="K317" s="51"/>
    </row>
    <row r="318">
      <c r="D318" s="55"/>
      <c r="J318" s="51"/>
      <c r="K318" s="51"/>
    </row>
    <row r="319">
      <c r="D319" s="55"/>
      <c r="J319" s="51"/>
      <c r="K319" s="51"/>
    </row>
    <row r="320">
      <c r="D320" s="55"/>
      <c r="J320" s="51"/>
      <c r="K320" s="51"/>
    </row>
    <row r="321">
      <c r="D321" s="55"/>
      <c r="J321" s="51"/>
      <c r="K321" s="51"/>
    </row>
    <row r="322">
      <c r="D322" s="55"/>
      <c r="J322" s="51"/>
      <c r="K322" s="51"/>
    </row>
    <row r="323">
      <c r="D323" s="55"/>
      <c r="J323" s="51"/>
      <c r="K323" s="51"/>
    </row>
    <row r="324">
      <c r="D324" s="55"/>
      <c r="J324" s="51"/>
      <c r="K324" s="51"/>
    </row>
    <row r="325">
      <c r="D325" s="55"/>
      <c r="J325" s="51"/>
      <c r="K325" s="51"/>
    </row>
    <row r="326">
      <c r="D326" s="55"/>
      <c r="J326" s="51"/>
      <c r="K326" s="51"/>
    </row>
    <row r="327">
      <c r="D327" s="55"/>
      <c r="J327" s="51"/>
      <c r="K327" s="51"/>
    </row>
    <row r="328">
      <c r="D328" s="55"/>
      <c r="J328" s="51"/>
      <c r="K328" s="51"/>
    </row>
    <row r="329">
      <c r="D329" s="55"/>
      <c r="J329" s="51"/>
      <c r="K329" s="51"/>
    </row>
    <row r="330">
      <c r="D330" s="55"/>
      <c r="J330" s="51"/>
      <c r="K330" s="51"/>
    </row>
    <row r="331">
      <c r="D331" s="55"/>
      <c r="J331" s="51"/>
      <c r="K331" s="51"/>
    </row>
    <row r="332">
      <c r="D332" s="55"/>
      <c r="J332" s="51"/>
      <c r="K332" s="51"/>
    </row>
    <row r="333">
      <c r="D333" s="55"/>
      <c r="J333" s="51"/>
      <c r="K333" s="51"/>
    </row>
    <row r="334">
      <c r="D334" s="55"/>
      <c r="J334" s="51"/>
      <c r="K334" s="51"/>
    </row>
    <row r="335">
      <c r="D335" s="55"/>
      <c r="J335" s="51"/>
      <c r="K335" s="51"/>
    </row>
    <row r="336">
      <c r="D336" s="55"/>
      <c r="J336" s="51"/>
      <c r="K336" s="51"/>
    </row>
    <row r="337">
      <c r="D337" s="55"/>
      <c r="J337" s="51"/>
      <c r="K337" s="51"/>
    </row>
    <row r="338">
      <c r="D338" s="55"/>
      <c r="J338" s="51"/>
      <c r="K338" s="51"/>
    </row>
    <row r="339">
      <c r="D339" s="55"/>
      <c r="J339" s="51"/>
      <c r="K339" s="51"/>
    </row>
    <row r="340">
      <c r="D340" s="55"/>
      <c r="J340" s="51"/>
      <c r="K340" s="51"/>
    </row>
    <row r="341">
      <c r="D341" s="55"/>
      <c r="J341" s="51"/>
      <c r="K341" s="51"/>
    </row>
    <row r="342">
      <c r="D342" s="55"/>
      <c r="J342" s="51"/>
      <c r="K342" s="51"/>
    </row>
    <row r="343">
      <c r="D343" s="55"/>
      <c r="J343" s="51"/>
      <c r="K343" s="51"/>
    </row>
    <row r="344">
      <c r="D344" s="55"/>
      <c r="J344" s="51"/>
      <c r="K344" s="51"/>
    </row>
    <row r="345">
      <c r="D345" s="55"/>
      <c r="J345" s="51"/>
      <c r="K345" s="51"/>
    </row>
    <row r="346">
      <c r="D346" s="55"/>
      <c r="J346" s="51"/>
      <c r="K346" s="51"/>
    </row>
    <row r="347">
      <c r="D347" s="55"/>
      <c r="J347" s="51"/>
      <c r="K347" s="51"/>
    </row>
    <row r="348">
      <c r="D348" s="55"/>
      <c r="J348" s="51"/>
      <c r="K348" s="51"/>
    </row>
    <row r="349">
      <c r="D349" s="55"/>
      <c r="J349" s="51"/>
      <c r="K349" s="51"/>
    </row>
    <row r="350">
      <c r="D350" s="55"/>
      <c r="J350" s="51"/>
      <c r="K350" s="51"/>
    </row>
    <row r="351">
      <c r="D351" s="55"/>
      <c r="J351" s="51"/>
      <c r="K351" s="51"/>
    </row>
    <row r="352">
      <c r="D352" s="55"/>
      <c r="J352" s="51"/>
      <c r="K352" s="51"/>
    </row>
    <row r="353">
      <c r="D353" s="55"/>
      <c r="J353" s="51"/>
      <c r="K353" s="51"/>
    </row>
    <row r="354">
      <c r="D354" s="55"/>
      <c r="J354" s="51"/>
      <c r="K354" s="51"/>
    </row>
    <row r="355">
      <c r="D355" s="55"/>
      <c r="J355" s="51"/>
      <c r="K355" s="51"/>
    </row>
    <row r="356">
      <c r="D356" s="55"/>
      <c r="J356" s="51"/>
      <c r="K356" s="51"/>
    </row>
    <row r="357">
      <c r="D357" s="55"/>
      <c r="J357" s="51"/>
      <c r="K357" s="51"/>
    </row>
    <row r="358">
      <c r="D358" s="55"/>
      <c r="J358" s="51"/>
      <c r="K358" s="51"/>
    </row>
    <row r="359">
      <c r="D359" s="55"/>
      <c r="J359" s="51"/>
      <c r="K359" s="51"/>
    </row>
    <row r="360">
      <c r="D360" s="55"/>
      <c r="J360" s="51"/>
      <c r="K360" s="51"/>
    </row>
    <row r="361">
      <c r="D361" s="55"/>
      <c r="J361" s="51"/>
      <c r="K361" s="51"/>
    </row>
    <row r="362">
      <c r="D362" s="55"/>
      <c r="J362" s="51"/>
      <c r="K362" s="51"/>
    </row>
    <row r="363">
      <c r="D363" s="55"/>
      <c r="J363" s="51"/>
      <c r="K363" s="51"/>
    </row>
    <row r="364">
      <c r="D364" s="55"/>
      <c r="J364" s="51"/>
      <c r="K364" s="51"/>
    </row>
    <row r="365">
      <c r="D365" s="55"/>
      <c r="J365" s="51"/>
      <c r="K365" s="51"/>
    </row>
    <row r="366">
      <c r="D366" s="55"/>
      <c r="J366" s="51"/>
      <c r="K366" s="51"/>
    </row>
    <row r="367">
      <c r="D367" s="55"/>
      <c r="J367" s="51"/>
      <c r="K367" s="51"/>
    </row>
    <row r="368">
      <c r="D368" s="55"/>
      <c r="J368" s="51"/>
      <c r="K368" s="51"/>
    </row>
    <row r="369">
      <c r="D369" s="55"/>
      <c r="J369" s="51"/>
      <c r="K369" s="51"/>
    </row>
    <row r="370">
      <c r="D370" s="55"/>
      <c r="J370" s="51"/>
      <c r="K370" s="51"/>
    </row>
    <row r="371">
      <c r="D371" s="55"/>
      <c r="J371" s="51"/>
      <c r="K371" s="51"/>
    </row>
    <row r="372">
      <c r="D372" s="55"/>
      <c r="J372" s="51"/>
      <c r="K372" s="51"/>
    </row>
    <row r="373">
      <c r="D373" s="55"/>
      <c r="J373" s="51"/>
      <c r="K373" s="51"/>
    </row>
    <row r="374">
      <c r="D374" s="55"/>
      <c r="J374" s="51"/>
      <c r="K374" s="51"/>
    </row>
    <row r="375">
      <c r="D375" s="55"/>
      <c r="J375" s="51"/>
      <c r="K375" s="51"/>
    </row>
    <row r="376">
      <c r="D376" s="55"/>
      <c r="J376" s="51"/>
      <c r="K376" s="51"/>
    </row>
    <row r="377">
      <c r="D377" s="55"/>
      <c r="J377" s="51"/>
      <c r="K377" s="51"/>
    </row>
    <row r="378">
      <c r="D378" s="55"/>
      <c r="J378" s="51"/>
      <c r="K378" s="51"/>
    </row>
    <row r="379">
      <c r="D379" s="55"/>
      <c r="J379" s="51"/>
      <c r="K379" s="51"/>
    </row>
    <row r="380">
      <c r="D380" s="55"/>
      <c r="J380" s="51"/>
      <c r="K380" s="51"/>
    </row>
    <row r="381">
      <c r="D381" s="55"/>
      <c r="J381" s="51"/>
      <c r="K381" s="51"/>
    </row>
    <row r="382">
      <c r="D382" s="55"/>
      <c r="J382" s="51"/>
      <c r="K382" s="51"/>
    </row>
    <row r="383">
      <c r="D383" s="55"/>
      <c r="J383" s="51"/>
      <c r="K383" s="51"/>
    </row>
    <row r="384">
      <c r="D384" s="55"/>
      <c r="J384" s="51"/>
      <c r="K384" s="51"/>
    </row>
    <row r="385">
      <c r="D385" s="55"/>
      <c r="J385" s="51"/>
      <c r="K385" s="51"/>
    </row>
    <row r="386">
      <c r="D386" s="55"/>
      <c r="J386" s="51"/>
      <c r="K386" s="51"/>
    </row>
    <row r="387">
      <c r="D387" s="55"/>
      <c r="J387" s="51"/>
      <c r="K387" s="51"/>
    </row>
    <row r="388">
      <c r="D388" s="55"/>
      <c r="J388" s="51"/>
      <c r="K388" s="51"/>
    </row>
    <row r="389">
      <c r="D389" s="55"/>
      <c r="J389" s="51"/>
      <c r="K389" s="51"/>
    </row>
    <row r="390">
      <c r="D390" s="55"/>
      <c r="J390" s="51"/>
      <c r="K390" s="51"/>
    </row>
    <row r="391">
      <c r="D391" s="55"/>
      <c r="J391" s="51"/>
      <c r="K391" s="51"/>
    </row>
    <row r="392">
      <c r="D392" s="55"/>
      <c r="J392" s="51"/>
      <c r="K392" s="51"/>
    </row>
    <row r="393">
      <c r="D393" s="55"/>
      <c r="J393" s="51"/>
      <c r="K393" s="51"/>
    </row>
    <row r="394">
      <c r="D394" s="55"/>
      <c r="J394" s="51"/>
      <c r="K394" s="51"/>
    </row>
    <row r="395">
      <c r="D395" s="55"/>
      <c r="J395" s="51"/>
      <c r="K395" s="51"/>
    </row>
    <row r="396">
      <c r="D396" s="55"/>
      <c r="J396" s="51"/>
      <c r="K396" s="51"/>
    </row>
    <row r="397">
      <c r="D397" s="55"/>
      <c r="J397" s="51"/>
      <c r="K397" s="51"/>
    </row>
    <row r="398">
      <c r="D398" s="55"/>
      <c r="J398" s="51"/>
      <c r="K398" s="51"/>
    </row>
    <row r="399">
      <c r="D399" s="55"/>
      <c r="J399" s="51"/>
      <c r="K399" s="51"/>
    </row>
    <row r="400">
      <c r="D400" s="55"/>
      <c r="J400" s="51"/>
      <c r="K400" s="51"/>
    </row>
    <row r="401">
      <c r="D401" s="55"/>
      <c r="J401" s="51"/>
      <c r="K401" s="51"/>
    </row>
    <row r="402">
      <c r="D402" s="55"/>
      <c r="J402" s="51"/>
      <c r="K402" s="51"/>
    </row>
    <row r="403">
      <c r="D403" s="55"/>
      <c r="J403" s="51"/>
      <c r="K403" s="51"/>
    </row>
    <row r="404">
      <c r="D404" s="55"/>
      <c r="J404" s="51"/>
      <c r="K404" s="51"/>
    </row>
    <row r="405">
      <c r="D405" s="55"/>
      <c r="J405" s="51"/>
      <c r="K405" s="51"/>
    </row>
    <row r="406">
      <c r="D406" s="55"/>
      <c r="J406" s="51"/>
      <c r="K406" s="51"/>
    </row>
    <row r="407">
      <c r="D407" s="55"/>
      <c r="J407" s="51"/>
      <c r="K407" s="51"/>
    </row>
    <row r="408">
      <c r="D408" s="55"/>
      <c r="J408" s="51"/>
      <c r="K408" s="51"/>
    </row>
    <row r="409">
      <c r="D409" s="55"/>
      <c r="J409" s="51"/>
      <c r="K409" s="51"/>
    </row>
    <row r="410">
      <c r="D410" s="55"/>
      <c r="J410" s="51"/>
      <c r="K410" s="51"/>
    </row>
    <row r="411">
      <c r="D411" s="55"/>
      <c r="J411" s="51"/>
      <c r="K411" s="51"/>
    </row>
    <row r="412">
      <c r="D412" s="55"/>
      <c r="J412" s="51"/>
      <c r="K412" s="51"/>
    </row>
    <row r="413">
      <c r="D413" s="55"/>
      <c r="J413" s="51"/>
      <c r="K413" s="51"/>
    </row>
    <row r="414">
      <c r="D414" s="55"/>
      <c r="J414" s="51"/>
      <c r="K414" s="51"/>
    </row>
    <row r="415">
      <c r="D415" s="55"/>
      <c r="J415" s="51"/>
      <c r="K415" s="51"/>
    </row>
    <row r="416">
      <c r="D416" s="55"/>
      <c r="J416" s="51"/>
      <c r="K416" s="51"/>
    </row>
    <row r="417">
      <c r="D417" s="55"/>
      <c r="J417" s="51"/>
      <c r="K417" s="51"/>
    </row>
    <row r="418">
      <c r="D418" s="55"/>
      <c r="J418" s="51"/>
      <c r="K418" s="51"/>
    </row>
    <row r="419">
      <c r="D419" s="55"/>
      <c r="J419" s="51"/>
      <c r="K419" s="51"/>
    </row>
    <row r="420">
      <c r="D420" s="55"/>
      <c r="J420" s="51"/>
      <c r="K420" s="51"/>
    </row>
    <row r="421">
      <c r="D421" s="55"/>
      <c r="J421" s="51"/>
      <c r="K421" s="51"/>
    </row>
    <row r="422">
      <c r="D422" s="55"/>
      <c r="J422" s="51"/>
      <c r="K422" s="51"/>
    </row>
    <row r="423">
      <c r="D423" s="55"/>
      <c r="J423" s="51"/>
      <c r="K423" s="51"/>
    </row>
    <row r="424">
      <c r="D424" s="55"/>
      <c r="J424" s="51"/>
      <c r="K424" s="51"/>
    </row>
    <row r="425">
      <c r="D425" s="55"/>
      <c r="J425" s="51"/>
      <c r="K425" s="51"/>
    </row>
    <row r="426">
      <c r="D426" s="55"/>
      <c r="J426" s="51"/>
      <c r="K426" s="51"/>
    </row>
    <row r="427">
      <c r="D427" s="55"/>
      <c r="J427" s="51"/>
      <c r="K427" s="51"/>
    </row>
    <row r="428">
      <c r="D428" s="55"/>
      <c r="J428" s="51"/>
      <c r="K428" s="51"/>
    </row>
    <row r="429">
      <c r="D429" s="55"/>
      <c r="J429" s="51"/>
      <c r="K429" s="51"/>
    </row>
    <row r="430">
      <c r="D430" s="55"/>
      <c r="J430" s="51"/>
      <c r="K430" s="51"/>
    </row>
    <row r="431">
      <c r="D431" s="55"/>
      <c r="J431" s="51"/>
      <c r="K431" s="51"/>
    </row>
    <row r="432">
      <c r="D432" s="55"/>
      <c r="J432" s="51"/>
      <c r="K432" s="51"/>
    </row>
    <row r="433">
      <c r="D433" s="55"/>
      <c r="J433" s="51"/>
      <c r="K433" s="51"/>
    </row>
    <row r="434">
      <c r="D434" s="55"/>
      <c r="J434" s="51"/>
      <c r="K434" s="51"/>
    </row>
    <row r="435">
      <c r="D435" s="55"/>
      <c r="J435" s="51"/>
      <c r="K435" s="51"/>
    </row>
    <row r="436">
      <c r="D436" s="55"/>
      <c r="J436" s="51"/>
      <c r="K436" s="51"/>
    </row>
    <row r="437">
      <c r="D437" s="55"/>
      <c r="J437" s="51"/>
      <c r="K437" s="51"/>
    </row>
    <row r="438">
      <c r="D438" s="55"/>
      <c r="J438" s="51"/>
      <c r="K438" s="51"/>
    </row>
    <row r="439">
      <c r="D439" s="55"/>
      <c r="J439" s="51"/>
      <c r="K439" s="51"/>
    </row>
    <row r="440">
      <c r="D440" s="55"/>
      <c r="J440" s="51"/>
      <c r="K440" s="51"/>
    </row>
    <row r="441">
      <c r="D441" s="55"/>
      <c r="J441" s="51"/>
      <c r="K441" s="51"/>
    </row>
    <row r="442">
      <c r="D442" s="55"/>
      <c r="J442" s="51"/>
      <c r="K442" s="51"/>
    </row>
    <row r="443">
      <c r="D443" s="55"/>
      <c r="J443" s="51"/>
      <c r="K443" s="51"/>
    </row>
    <row r="444">
      <c r="D444" s="55"/>
      <c r="J444" s="51"/>
      <c r="K444" s="51"/>
    </row>
    <row r="445">
      <c r="D445" s="55"/>
      <c r="J445" s="51"/>
      <c r="K445" s="51"/>
    </row>
    <row r="446">
      <c r="D446" s="55"/>
      <c r="J446" s="51"/>
      <c r="K446" s="51"/>
    </row>
    <row r="447">
      <c r="D447" s="55"/>
      <c r="J447" s="51"/>
      <c r="K447" s="51"/>
    </row>
    <row r="448">
      <c r="D448" s="55"/>
      <c r="J448" s="51"/>
      <c r="K448" s="51"/>
    </row>
    <row r="449">
      <c r="D449" s="55"/>
      <c r="J449" s="51"/>
      <c r="K449" s="51"/>
    </row>
    <row r="450">
      <c r="D450" s="55"/>
      <c r="J450" s="51"/>
      <c r="K450" s="51"/>
    </row>
    <row r="451">
      <c r="D451" s="55"/>
      <c r="J451" s="51"/>
      <c r="K451" s="51"/>
    </row>
    <row r="452">
      <c r="D452" s="55"/>
      <c r="J452" s="51"/>
      <c r="K452" s="51"/>
    </row>
    <row r="453">
      <c r="D453" s="55"/>
      <c r="J453" s="51"/>
      <c r="K453" s="51"/>
    </row>
    <row r="454">
      <c r="D454" s="55"/>
      <c r="J454" s="51"/>
      <c r="K454" s="51"/>
    </row>
    <row r="455">
      <c r="D455" s="55"/>
      <c r="J455" s="51"/>
      <c r="K455" s="51"/>
    </row>
    <row r="456">
      <c r="D456" s="55"/>
      <c r="J456" s="51"/>
      <c r="K456" s="51"/>
    </row>
    <row r="457">
      <c r="D457" s="55"/>
      <c r="J457" s="51"/>
      <c r="K457" s="51"/>
    </row>
    <row r="458">
      <c r="D458" s="55"/>
      <c r="J458" s="51"/>
      <c r="K458" s="51"/>
    </row>
    <row r="459">
      <c r="D459" s="55"/>
      <c r="J459" s="51"/>
      <c r="K459" s="51"/>
    </row>
    <row r="460">
      <c r="D460" s="55"/>
      <c r="J460" s="51"/>
      <c r="K460" s="51"/>
    </row>
    <row r="461">
      <c r="D461" s="55"/>
      <c r="J461" s="51"/>
      <c r="K461" s="51"/>
    </row>
    <row r="462">
      <c r="D462" s="55"/>
      <c r="J462" s="51"/>
      <c r="K462" s="51"/>
    </row>
    <row r="463">
      <c r="D463" s="55"/>
      <c r="J463" s="51"/>
      <c r="K463" s="51"/>
    </row>
    <row r="464">
      <c r="D464" s="55"/>
      <c r="J464" s="51"/>
      <c r="K464" s="51"/>
    </row>
    <row r="465">
      <c r="D465" s="55"/>
      <c r="J465" s="51"/>
      <c r="K465" s="51"/>
    </row>
    <row r="466">
      <c r="D466" s="55"/>
      <c r="J466" s="51"/>
      <c r="K466" s="51"/>
    </row>
    <row r="467">
      <c r="D467" s="55"/>
      <c r="J467" s="51"/>
      <c r="K467" s="51"/>
    </row>
    <row r="468">
      <c r="D468" s="55"/>
      <c r="J468" s="51"/>
      <c r="K468" s="51"/>
    </row>
    <row r="469">
      <c r="D469" s="55"/>
      <c r="J469" s="51"/>
      <c r="K469" s="51"/>
    </row>
    <row r="470">
      <c r="D470" s="55"/>
      <c r="J470" s="51"/>
      <c r="K470" s="51"/>
    </row>
    <row r="471">
      <c r="D471" s="55"/>
      <c r="J471" s="51"/>
      <c r="K471" s="51"/>
    </row>
    <row r="472">
      <c r="D472" s="55"/>
      <c r="J472" s="51"/>
      <c r="K472" s="51"/>
    </row>
    <row r="473">
      <c r="D473" s="55"/>
      <c r="J473" s="51"/>
      <c r="K473" s="51"/>
    </row>
    <row r="474">
      <c r="D474" s="55"/>
      <c r="J474" s="51"/>
      <c r="K474" s="51"/>
    </row>
    <row r="475">
      <c r="D475" s="55"/>
      <c r="J475" s="51"/>
      <c r="K475" s="51"/>
    </row>
    <row r="476">
      <c r="D476" s="55"/>
      <c r="J476" s="51"/>
      <c r="K476" s="51"/>
    </row>
    <row r="477">
      <c r="D477" s="55"/>
      <c r="J477" s="51"/>
      <c r="K477" s="51"/>
    </row>
    <row r="478">
      <c r="D478" s="55"/>
      <c r="J478" s="51"/>
      <c r="K478" s="51"/>
    </row>
    <row r="479">
      <c r="D479" s="55"/>
      <c r="J479" s="51"/>
      <c r="K479" s="51"/>
    </row>
    <row r="480">
      <c r="D480" s="55"/>
      <c r="J480" s="51"/>
      <c r="K480" s="51"/>
    </row>
    <row r="481">
      <c r="D481" s="55"/>
      <c r="J481" s="51"/>
      <c r="K481" s="51"/>
    </row>
    <row r="482">
      <c r="D482" s="55"/>
      <c r="J482" s="51"/>
      <c r="K482" s="51"/>
    </row>
    <row r="483">
      <c r="D483" s="55"/>
      <c r="J483" s="51"/>
      <c r="K483" s="51"/>
    </row>
    <row r="484">
      <c r="D484" s="55"/>
      <c r="J484" s="51"/>
      <c r="K484" s="51"/>
    </row>
    <row r="485">
      <c r="D485" s="55"/>
      <c r="J485" s="51"/>
      <c r="K485" s="51"/>
    </row>
    <row r="486">
      <c r="D486" s="55"/>
      <c r="J486" s="51"/>
      <c r="K486" s="51"/>
    </row>
    <row r="487">
      <c r="D487" s="55"/>
      <c r="J487" s="51"/>
      <c r="K487" s="51"/>
    </row>
    <row r="488">
      <c r="D488" s="55"/>
      <c r="J488" s="51"/>
      <c r="K488" s="51"/>
    </row>
    <row r="489">
      <c r="D489" s="55"/>
      <c r="J489" s="51"/>
      <c r="K489" s="51"/>
    </row>
    <row r="490">
      <c r="D490" s="55"/>
      <c r="J490" s="51"/>
      <c r="K490" s="51"/>
    </row>
    <row r="491">
      <c r="D491" s="55"/>
      <c r="J491" s="51"/>
      <c r="K491" s="51"/>
    </row>
    <row r="492">
      <c r="D492" s="55"/>
      <c r="J492" s="51"/>
      <c r="K492" s="51"/>
    </row>
    <row r="493">
      <c r="D493" s="55"/>
      <c r="J493" s="51"/>
      <c r="K493" s="51"/>
    </row>
    <row r="494">
      <c r="D494" s="55"/>
      <c r="J494" s="51"/>
      <c r="K494" s="51"/>
    </row>
    <row r="495">
      <c r="D495" s="55"/>
      <c r="J495" s="51"/>
      <c r="K495" s="51"/>
    </row>
    <row r="496">
      <c r="D496" s="55"/>
      <c r="J496" s="51"/>
      <c r="K496" s="51"/>
    </row>
    <row r="497">
      <c r="D497" s="55"/>
      <c r="J497" s="51"/>
      <c r="K497" s="51"/>
    </row>
    <row r="498">
      <c r="D498" s="55"/>
      <c r="J498" s="51"/>
      <c r="K498" s="51"/>
    </row>
    <row r="499">
      <c r="D499" s="55"/>
      <c r="J499" s="51"/>
      <c r="K499" s="51"/>
    </row>
    <row r="500">
      <c r="D500" s="55"/>
      <c r="J500" s="51"/>
      <c r="K500" s="51"/>
    </row>
    <row r="501">
      <c r="D501" s="55"/>
      <c r="J501" s="51"/>
      <c r="K501" s="51"/>
    </row>
    <row r="502">
      <c r="D502" s="55"/>
      <c r="J502" s="51"/>
      <c r="K502" s="51"/>
    </row>
    <row r="503">
      <c r="D503" s="55"/>
      <c r="J503" s="51"/>
      <c r="K503" s="51"/>
    </row>
    <row r="504">
      <c r="D504" s="55"/>
      <c r="J504" s="51"/>
      <c r="K504" s="51"/>
    </row>
    <row r="505">
      <c r="D505" s="55"/>
      <c r="J505" s="51"/>
      <c r="K505" s="51"/>
    </row>
    <row r="506">
      <c r="D506" s="55"/>
      <c r="J506" s="51"/>
      <c r="K506" s="51"/>
    </row>
    <row r="507">
      <c r="D507" s="55"/>
      <c r="J507" s="51"/>
      <c r="K507" s="51"/>
    </row>
    <row r="508">
      <c r="D508" s="55"/>
      <c r="J508" s="51"/>
      <c r="K508" s="51"/>
    </row>
    <row r="509">
      <c r="D509" s="55"/>
      <c r="J509" s="51"/>
      <c r="K509" s="51"/>
    </row>
    <row r="510">
      <c r="D510" s="55"/>
      <c r="J510" s="51"/>
      <c r="K510" s="51"/>
    </row>
    <row r="511">
      <c r="D511" s="55"/>
      <c r="J511" s="51"/>
      <c r="K511" s="51"/>
    </row>
    <row r="512">
      <c r="D512" s="55"/>
      <c r="J512" s="51"/>
      <c r="K512" s="51"/>
    </row>
    <row r="513">
      <c r="D513" s="55"/>
      <c r="J513" s="51"/>
      <c r="K513" s="51"/>
    </row>
    <row r="514">
      <c r="D514" s="55"/>
      <c r="J514" s="51"/>
      <c r="K514" s="51"/>
    </row>
    <row r="515">
      <c r="D515" s="55"/>
      <c r="J515" s="51"/>
      <c r="K515" s="51"/>
    </row>
    <row r="516">
      <c r="D516" s="55"/>
      <c r="J516" s="51"/>
      <c r="K516" s="51"/>
    </row>
    <row r="517">
      <c r="D517" s="55"/>
      <c r="J517" s="51"/>
      <c r="K517" s="51"/>
    </row>
    <row r="518">
      <c r="D518" s="55"/>
      <c r="J518" s="51"/>
      <c r="K518" s="51"/>
    </row>
    <row r="519">
      <c r="D519" s="55"/>
      <c r="J519" s="51"/>
      <c r="K519" s="51"/>
    </row>
    <row r="520">
      <c r="D520" s="55"/>
      <c r="J520" s="51"/>
      <c r="K520" s="51"/>
    </row>
    <row r="521">
      <c r="D521" s="55"/>
      <c r="J521" s="51"/>
      <c r="K521" s="51"/>
    </row>
    <row r="522">
      <c r="D522" s="55"/>
      <c r="J522" s="51"/>
      <c r="K522" s="51"/>
    </row>
    <row r="523">
      <c r="D523" s="55"/>
      <c r="J523" s="51"/>
      <c r="K523" s="51"/>
    </row>
    <row r="524">
      <c r="D524" s="55"/>
      <c r="J524" s="51"/>
      <c r="K524" s="51"/>
    </row>
    <row r="525">
      <c r="D525" s="55"/>
      <c r="J525" s="51"/>
      <c r="K525" s="51"/>
    </row>
    <row r="526">
      <c r="D526" s="55"/>
      <c r="J526" s="51"/>
      <c r="K526" s="51"/>
    </row>
    <row r="527">
      <c r="D527" s="55"/>
      <c r="J527" s="51"/>
      <c r="K527" s="51"/>
    </row>
    <row r="528">
      <c r="D528" s="55"/>
      <c r="J528" s="51"/>
      <c r="K528" s="51"/>
    </row>
    <row r="529">
      <c r="D529" s="55"/>
      <c r="J529" s="51"/>
      <c r="K529" s="51"/>
    </row>
    <row r="530">
      <c r="D530" s="55"/>
      <c r="J530" s="51"/>
      <c r="K530" s="51"/>
    </row>
    <row r="531">
      <c r="D531" s="55"/>
      <c r="J531" s="51"/>
      <c r="K531" s="51"/>
    </row>
    <row r="532">
      <c r="D532" s="55"/>
      <c r="J532" s="51"/>
      <c r="K532" s="51"/>
    </row>
    <row r="533">
      <c r="D533" s="55"/>
      <c r="J533" s="51"/>
      <c r="K533" s="51"/>
    </row>
    <row r="534">
      <c r="D534" s="55"/>
      <c r="J534" s="51"/>
      <c r="K534" s="51"/>
    </row>
    <row r="535">
      <c r="D535" s="55"/>
      <c r="J535" s="51"/>
      <c r="K535" s="51"/>
    </row>
    <row r="536">
      <c r="D536" s="55"/>
      <c r="J536" s="51"/>
      <c r="K536" s="51"/>
    </row>
    <row r="537">
      <c r="D537" s="55"/>
      <c r="J537" s="51"/>
      <c r="K537" s="51"/>
    </row>
    <row r="538">
      <c r="D538" s="55"/>
      <c r="J538" s="51"/>
      <c r="K538" s="51"/>
    </row>
    <row r="539">
      <c r="D539" s="55"/>
      <c r="J539" s="51"/>
      <c r="K539" s="51"/>
    </row>
    <row r="540">
      <c r="D540" s="55"/>
      <c r="J540" s="51"/>
      <c r="K540" s="51"/>
    </row>
    <row r="541">
      <c r="D541" s="55"/>
      <c r="J541" s="51"/>
      <c r="K541" s="51"/>
    </row>
    <row r="542">
      <c r="D542" s="55"/>
      <c r="J542" s="51"/>
      <c r="K542" s="51"/>
    </row>
    <row r="543">
      <c r="D543" s="55"/>
      <c r="J543" s="51"/>
      <c r="K543" s="51"/>
    </row>
    <row r="544">
      <c r="D544" s="55"/>
      <c r="J544" s="51"/>
      <c r="K544" s="51"/>
    </row>
    <row r="545">
      <c r="D545" s="55"/>
      <c r="J545" s="51"/>
      <c r="K545" s="51"/>
    </row>
    <row r="546">
      <c r="D546" s="55"/>
      <c r="J546" s="51"/>
      <c r="K546" s="51"/>
    </row>
    <row r="547">
      <c r="D547" s="55"/>
      <c r="J547" s="51"/>
      <c r="K547" s="51"/>
    </row>
    <row r="548">
      <c r="D548" s="55"/>
      <c r="J548" s="51"/>
      <c r="K548" s="51"/>
    </row>
    <row r="549">
      <c r="D549" s="55"/>
      <c r="J549" s="51"/>
      <c r="K549" s="51"/>
    </row>
    <row r="550">
      <c r="D550" s="55"/>
      <c r="J550" s="51"/>
      <c r="K550" s="51"/>
    </row>
    <row r="551">
      <c r="D551" s="55"/>
      <c r="J551" s="51"/>
      <c r="K551" s="51"/>
    </row>
    <row r="552">
      <c r="D552" s="55"/>
      <c r="J552" s="51"/>
      <c r="K552" s="51"/>
    </row>
    <row r="553">
      <c r="D553" s="55"/>
      <c r="J553" s="51"/>
      <c r="K553" s="51"/>
    </row>
    <row r="554">
      <c r="D554" s="55"/>
      <c r="J554" s="51"/>
      <c r="K554" s="51"/>
    </row>
    <row r="555">
      <c r="D555" s="55"/>
      <c r="J555" s="51"/>
      <c r="K555" s="51"/>
    </row>
    <row r="556">
      <c r="D556" s="55"/>
      <c r="J556" s="51"/>
      <c r="K556" s="51"/>
    </row>
    <row r="557">
      <c r="D557" s="55"/>
      <c r="J557" s="51"/>
      <c r="K557" s="51"/>
    </row>
    <row r="558">
      <c r="D558" s="55"/>
      <c r="J558" s="51"/>
      <c r="K558" s="51"/>
    </row>
    <row r="559">
      <c r="D559" s="55"/>
      <c r="J559" s="51"/>
      <c r="K559" s="51"/>
    </row>
    <row r="560">
      <c r="D560" s="55"/>
      <c r="J560" s="51"/>
      <c r="K560" s="51"/>
    </row>
    <row r="561">
      <c r="D561" s="55"/>
      <c r="J561" s="51"/>
      <c r="K561" s="51"/>
    </row>
    <row r="562">
      <c r="D562" s="55"/>
      <c r="J562" s="51"/>
      <c r="K562" s="51"/>
    </row>
    <row r="563">
      <c r="D563" s="55"/>
      <c r="J563" s="51"/>
      <c r="K563" s="51"/>
    </row>
    <row r="564">
      <c r="D564" s="55"/>
      <c r="J564" s="51"/>
      <c r="K564" s="51"/>
    </row>
    <row r="565">
      <c r="D565" s="55"/>
      <c r="J565" s="51"/>
      <c r="K565" s="51"/>
    </row>
    <row r="566">
      <c r="D566" s="55"/>
      <c r="J566" s="51"/>
      <c r="K566" s="51"/>
    </row>
    <row r="567">
      <c r="D567" s="55"/>
      <c r="J567" s="51"/>
      <c r="K567" s="51"/>
    </row>
    <row r="568">
      <c r="D568" s="55"/>
      <c r="J568" s="51"/>
      <c r="K568" s="51"/>
    </row>
    <row r="569">
      <c r="D569" s="55"/>
      <c r="J569" s="51"/>
      <c r="K569" s="51"/>
    </row>
    <row r="570">
      <c r="D570" s="55"/>
      <c r="J570" s="51"/>
      <c r="K570" s="51"/>
    </row>
    <row r="571">
      <c r="D571" s="55"/>
      <c r="J571" s="51"/>
      <c r="K571" s="51"/>
    </row>
    <row r="572">
      <c r="D572" s="55"/>
      <c r="J572" s="51"/>
      <c r="K572" s="51"/>
    </row>
    <row r="573">
      <c r="D573" s="55"/>
      <c r="J573" s="51"/>
      <c r="K573" s="51"/>
    </row>
    <row r="574">
      <c r="D574" s="55"/>
      <c r="J574" s="51"/>
      <c r="K574" s="51"/>
    </row>
    <row r="575">
      <c r="D575" s="55"/>
      <c r="J575" s="51"/>
      <c r="K575" s="51"/>
    </row>
    <row r="576">
      <c r="D576" s="55"/>
      <c r="J576" s="51"/>
      <c r="K576" s="51"/>
    </row>
    <row r="577">
      <c r="D577" s="55"/>
      <c r="J577" s="51"/>
      <c r="K577" s="51"/>
    </row>
    <row r="578">
      <c r="D578" s="55"/>
      <c r="J578" s="51"/>
      <c r="K578" s="51"/>
    </row>
    <row r="579">
      <c r="D579" s="55"/>
      <c r="J579" s="51"/>
      <c r="K579" s="51"/>
    </row>
    <row r="580">
      <c r="D580" s="55"/>
      <c r="J580" s="51"/>
      <c r="K580" s="51"/>
    </row>
    <row r="581">
      <c r="D581" s="55"/>
      <c r="J581" s="51"/>
      <c r="K581" s="51"/>
    </row>
    <row r="582">
      <c r="D582" s="55"/>
      <c r="J582" s="51"/>
      <c r="K582" s="51"/>
    </row>
    <row r="583">
      <c r="D583" s="55"/>
      <c r="J583" s="51"/>
      <c r="K583" s="51"/>
    </row>
    <row r="584">
      <c r="D584" s="55"/>
      <c r="J584" s="51"/>
      <c r="K584" s="51"/>
    </row>
    <row r="585">
      <c r="D585" s="55"/>
      <c r="J585" s="51"/>
      <c r="K585" s="51"/>
    </row>
    <row r="586">
      <c r="D586" s="55"/>
      <c r="J586" s="51"/>
      <c r="K586" s="51"/>
    </row>
    <row r="587">
      <c r="D587" s="55"/>
      <c r="J587" s="51"/>
      <c r="K587" s="51"/>
    </row>
    <row r="588">
      <c r="D588" s="55"/>
      <c r="J588" s="51"/>
      <c r="K588" s="51"/>
    </row>
    <row r="589">
      <c r="D589" s="55"/>
      <c r="J589" s="51"/>
      <c r="K589" s="51"/>
    </row>
    <row r="590">
      <c r="D590" s="55"/>
      <c r="J590" s="51"/>
      <c r="K590" s="51"/>
    </row>
    <row r="591">
      <c r="D591" s="55"/>
      <c r="J591" s="51"/>
      <c r="K591" s="51"/>
    </row>
    <row r="592">
      <c r="D592" s="55"/>
      <c r="J592" s="51"/>
      <c r="K592" s="51"/>
    </row>
    <row r="593">
      <c r="D593" s="55"/>
      <c r="J593" s="51"/>
      <c r="K593" s="51"/>
    </row>
    <row r="594">
      <c r="D594" s="55"/>
      <c r="J594" s="51"/>
      <c r="K594" s="51"/>
    </row>
    <row r="595">
      <c r="D595" s="55"/>
      <c r="J595" s="51"/>
      <c r="K595" s="51"/>
    </row>
    <row r="596">
      <c r="D596" s="55"/>
      <c r="J596" s="51"/>
      <c r="K596" s="51"/>
    </row>
    <row r="597">
      <c r="D597" s="55"/>
      <c r="J597" s="51"/>
      <c r="K597" s="51"/>
    </row>
    <row r="598">
      <c r="D598" s="55"/>
      <c r="J598" s="51"/>
      <c r="K598" s="51"/>
    </row>
    <row r="599">
      <c r="D599" s="55"/>
      <c r="J599" s="51"/>
      <c r="K599" s="51"/>
    </row>
    <row r="600">
      <c r="D600" s="55"/>
      <c r="J600" s="51"/>
      <c r="K600" s="51"/>
    </row>
    <row r="601">
      <c r="D601" s="55"/>
      <c r="J601" s="51"/>
      <c r="K601" s="51"/>
    </row>
    <row r="602">
      <c r="D602" s="55"/>
      <c r="J602" s="51"/>
      <c r="K602" s="51"/>
    </row>
    <row r="603">
      <c r="D603" s="55"/>
      <c r="J603" s="51"/>
      <c r="K603" s="51"/>
    </row>
    <row r="604">
      <c r="D604" s="55"/>
      <c r="J604" s="51"/>
      <c r="K604" s="51"/>
    </row>
    <row r="605">
      <c r="D605" s="55"/>
      <c r="J605" s="51"/>
      <c r="K605" s="51"/>
    </row>
    <row r="606">
      <c r="D606" s="55"/>
      <c r="J606" s="51"/>
      <c r="K606" s="51"/>
    </row>
    <row r="607">
      <c r="D607" s="55"/>
      <c r="J607" s="51"/>
      <c r="K607" s="51"/>
    </row>
    <row r="608">
      <c r="D608" s="55"/>
      <c r="J608" s="51"/>
      <c r="K608" s="51"/>
    </row>
    <row r="609">
      <c r="D609" s="55"/>
      <c r="J609" s="51"/>
      <c r="K609" s="51"/>
    </row>
    <row r="610">
      <c r="D610" s="55"/>
      <c r="J610" s="51"/>
      <c r="K610" s="51"/>
    </row>
    <row r="611">
      <c r="D611" s="55"/>
      <c r="J611" s="51"/>
      <c r="K611" s="51"/>
    </row>
    <row r="612">
      <c r="D612" s="55"/>
      <c r="J612" s="51"/>
      <c r="K612" s="51"/>
    </row>
    <row r="613">
      <c r="D613" s="55"/>
      <c r="J613" s="51"/>
      <c r="K613" s="51"/>
    </row>
    <row r="614">
      <c r="D614" s="55"/>
      <c r="J614" s="51"/>
      <c r="K614" s="51"/>
    </row>
    <row r="615">
      <c r="D615" s="55"/>
      <c r="J615" s="51"/>
      <c r="K615" s="51"/>
    </row>
    <row r="616">
      <c r="D616" s="55"/>
      <c r="J616" s="51"/>
      <c r="K616" s="51"/>
    </row>
    <row r="617">
      <c r="D617" s="55"/>
      <c r="J617" s="51"/>
      <c r="K617" s="51"/>
    </row>
    <row r="618">
      <c r="D618" s="55"/>
      <c r="J618" s="51"/>
      <c r="K618" s="51"/>
    </row>
    <row r="619">
      <c r="D619" s="55"/>
      <c r="J619" s="51"/>
      <c r="K619" s="51"/>
    </row>
    <row r="620">
      <c r="D620" s="55"/>
      <c r="J620" s="51"/>
      <c r="K620" s="51"/>
    </row>
    <row r="621">
      <c r="D621" s="55"/>
      <c r="J621" s="51"/>
      <c r="K621" s="51"/>
    </row>
    <row r="622">
      <c r="D622" s="55"/>
      <c r="J622" s="51"/>
      <c r="K622" s="51"/>
    </row>
    <row r="623">
      <c r="D623" s="55"/>
      <c r="J623" s="51"/>
      <c r="K623" s="51"/>
    </row>
    <row r="624">
      <c r="D624" s="55"/>
      <c r="J624" s="51"/>
      <c r="K624" s="51"/>
    </row>
    <row r="625">
      <c r="D625" s="55"/>
      <c r="J625" s="51"/>
      <c r="K625" s="51"/>
    </row>
    <row r="626">
      <c r="D626" s="55"/>
      <c r="J626" s="51"/>
      <c r="K626" s="51"/>
    </row>
    <row r="627">
      <c r="D627" s="55"/>
      <c r="J627" s="51"/>
      <c r="K627" s="51"/>
    </row>
    <row r="628">
      <c r="D628" s="55"/>
      <c r="J628" s="51"/>
      <c r="K628" s="51"/>
    </row>
    <row r="629">
      <c r="D629" s="55"/>
      <c r="J629" s="51"/>
      <c r="K629" s="51"/>
    </row>
    <row r="630">
      <c r="D630" s="55"/>
      <c r="J630" s="51"/>
      <c r="K630" s="51"/>
    </row>
    <row r="631">
      <c r="D631" s="55"/>
      <c r="J631" s="51"/>
      <c r="K631" s="51"/>
    </row>
    <row r="632">
      <c r="D632" s="55"/>
      <c r="J632" s="51"/>
      <c r="K632" s="51"/>
    </row>
    <row r="633">
      <c r="D633" s="55"/>
      <c r="J633" s="51"/>
      <c r="K633" s="51"/>
    </row>
    <row r="634">
      <c r="D634" s="55"/>
      <c r="J634" s="51"/>
      <c r="K634" s="51"/>
    </row>
    <row r="635">
      <c r="D635" s="55"/>
      <c r="J635" s="51"/>
      <c r="K635" s="51"/>
    </row>
    <row r="636">
      <c r="D636" s="55"/>
      <c r="J636" s="51"/>
      <c r="K636" s="51"/>
    </row>
    <row r="637">
      <c r="D637" s="55"/>
      <c r="J637" s="51"/>
      <c r="K637" s="51"/>
    </row>
    <row r="638">
      <c r="D638" s="55"/>
      <c r="J638" s="51"/>
      <c r="K638" s="51"/>
    </row>
    <row r="639">
      <c r="D639" s="55"/>
      <c r="J639" s="51"/>
      <c r="K639" s="51"/>
    </row>
    <row r="640">
      <c r="D640" s="55"/>
      <c r="J640" s="51"/>
      <c r="K640" s="51"/>
    </row>
    <row r="641">
      <c r="D641" s="55"/>
      <c r="J641" s="51"/>
      <c r="K641" s="51"/>
    </row>
    <row r="642">
      <c r="D642" s="55"/>
      <c r="J642" s="51"/>
      <c r="K642" s="51"/>
    </row>
    <row r="643">
      <c r="D643" s="55"/>
      <c r="J643" s="51"/>
      <c r="K643" s="51"/>
    </row>
    <row r="644">
      <c r="D644" s="55"/>
      <c r="J644" s="51"/>
      <c r="K644" s="51"/>
    </row>
    <row r="645">
      <c r="D645" s="55"/>
      <c r="J645" s="51"/>
      <c r="K645" s="51"/>
    </row>
    <row r="646">
      <c r="D646" s="55"/>
      <c r="J646" s="51"/>
      <c r="K646" s="51"/>
    </row>
    <row r="647">
      <c r="D647" s="55"/>
      <c r="J647" s="51"/>
      <c r="K647" s="51"/>
    </row>
    <row r="648">
      <c r="D648" s="55"/>
      <c r="J648" s="51"/>
      <c r="K648" s="51"/>
    </row>
    <row r="649">
      <c r="D649" s="55"/>
      <c r="J649" s="51"/>
      <c r="K649" s="51"/>
    </row>
    <row r="650">
      <c r="D650" s="55"/>
      <c r="J650" s="51"/>
      <c r="K650" s="51"/>
    </row>
    <row r="651">
      <c r="D651" s="55"/>
      <c r="J651" s="51"/>
      <c r="K651" s="51"/>
    </row>
    <row r="652">
      <c r="D652" s="55"/>
      <c r="J652" s="51"/>
      <c r="K652" s="51"/>
    </row>
    <row r="653">
      <c r="D653" s="55"/>
      <c r="J653" s="51"/>
      <c r="K653" s="51"/>
    </row>
    <row r="654">
      <c r="D654" s="55"/>
      <c r="J654" s="51"/>
      <c r="K654" s="51"/>
    </row>
    <row r="655">
      <c r="D655" s="55"/>
      <c r="J655" s="51"/>
      <c r="K655" s="51"/>
    </row>
    <row r="656">
      <c r="D656" s="55"/>
      <c r="J656" s="51"/>
      <c r="K656" s="51"/>
    </row>
    <row r="657">
      <c r="D657" s="55"/>
      <c r="J657" s="51"/>
      <c r="K657" s="51"/>
    </row>
    <row r="658">
      <c r="D658" s="55"/>
      <c r="J658" s="51"/>
      <c r="K658" s="51"/>
    </row>
    <row r="659">
      <c r="D659" s="55"/>
      <c r="J659" s="51"/>
      <c r="K659" s="51"/>
    </row>
    <row r="660">
      <c r="D660" s="55"/>
      <c r="J660" s="51"/>
      <c r="K660" s="51"/>
    </row>
    <row r="661">
      <c r="D661" s="55"/>
      <c r="J661" s="51"/>
      <c r="K661" s="51"/>
    </row>
    <row r="662">
      <c r="D662" s="55"/>
      <c r="J662" s="51"/>
      <c r="K662" s="51"/>
    </row>
    <row r="663">
      <c r="D663" s="55"/>
      <c r="J663" s="51"/>
      <c r="K663" s="51"/>
    </row>
    <row r="664">
      <c r="D664" s="55"/>
      <c r="J664" s="51"/>
      <c r="K664" s="51"/>
    </row>
    <row r="665">
      <c r="D665" s="55"/>
      <c r="J665" s="51"/>
      <c r="K665" s="51"/>
    </row>
    <row r="666">
      <c r="D666" s="55"/>
      <c r="J666" s="51"/>
      <c r="K666" s="51"/>
    </row>
    <row r="667">
      <c r="D667" s="55"/>
      <c r="J667" s="51"/>
      <c r="K667" s="51"/>
    </row>
    <row r="668">
      <c r="D668" s="55"/>
      <c r="J668" s="51"/>
      <c r="K668" s="51"/>
    </row>
    <row r="669">
      <c r="D669" s="55"/>
      <c r="J669" s="51"/>
      <c r="K669" s="51"/>
    </row>
    <row r="670">
      <c r="D670" s="55"/>
      <c r="J670" s="51"/>
      <c r="K670" s="51"/>
    </row>
    <row r="671">
      <c r="D671" s="55"/>
      <c r="J671" s="51"/>
      <c r="K671" s="51"/>
    </row>
    <row r="672">
      <c r="D672" s="55"/>
      <c r="J672" s="51"/>
      <c r="K672" s="51"/>
    </row>
    <row r="673">
      <c r="D673" s="55"/>
      <c r="J673" s="51"/>
      <c r="K673" s="51"/>
    </row>
    <row r="674">
      <c r="D674" s="55"/>
      <c r="J674" s="51"/>
      <c r="K674" s="51"/>
    </row>
    <row r="675">
      <c r="D675" s="55"/>
      <c r="J675" s="51"/>
      <c r="K675" s="51"/>
    </row>
    <row r="676">
      <c r="D676" s="55"/>
      <c r="J676" s="51"/>
      <c r="K676" s="51"/>
    </row>
    <row r="677">
      <c r="D677" s="55"/>
      <c r="J677" s="51"/>
      <c r="K677" s="51"/>
    </row>
    <row r="678">
      <c r="D678" s="55"/>
      <c r="J678" s="51"/>
      <c r="K678" s="51"/>
    </row>
    <row r="679">
      <c r="D679" s="55"/>
      <c r="J679" s="51"/>
      <c r="K679" s="51"/>
    </row>
    <row r="680">
      <c r="D680" s="55"/>
      <c r="J680" s="51"/>
      <c r="K680" s="51"/>
    </row>
    <row r="681">
      <c r="D681" s="55"/>
      <c r="J681" s="51"/>
      <c r="K681" s="51"/>
    </row>
    <row r="682">
      <c r="D682" s="55"/>
      <c r="J682" s="51"/>
      <c r="K682" s="51"/>
    </row>
    <row r="683">
      <c r="D683" s="55"/>
      <c r="J683" s="51"/>
      <c r="K683" s="51"/>
    </row>
    <row r="684">
      <c r="D684" s="55"/>
      <c r="J684" s="51"/>
      <c r="K684" s="51"/>
    </row>
    <row r="685">
      <c r="D685" s="55"/>
      <c r="J685" s="51"/>
      <c r="K685" s="51"/>
    </row>
    <row r="686">
      <c r="D686" s="55"/>
      <c r="J686" s="51"/>
      <c r="K686" s="51"/>
    </row>
    <row r="687">
      <c r="D687" s="55"/>
      <c r="J687" s="51"/>
      <c r="K687" s="51"/>
    </row>
    <row r="688">
      <c r="D688" s="55"/>
      <c r="J688" s="51"/>
      <c r="K688" s="51"/>
    </row>
    <row r="689">
      <c r="D689" s="55"/>
      <c r="J689" s="51"/>
      <c r="K689" s="51"/>
    </row>
    <row r="690">
      <c r="D690" s="55"/>
      <c r="J690" s="51"/>
      <c r="K690" s="51"/>
    </row>
    <row r="691">
      <c r="D691" s="55"/>
      <c r="J691" s="51"/>
      <c r="K691" s="51"/>
    </row>
    <row r="692">
      <c r="D692" s="55"/>
      <c r="J692" s="51"/>
      <c r="K692" s="51"/>
    </row>
    <row r="693">
      <c r="D693" s="55"/>
      <c r="J693" s="51"/>
      <c r="K693" s="51"/>
    </row>
    <row r="694">
      <c r="D694" s="55"/>
      <c r="J694" s="51"/>
      <c r="K694" s="51"/>
    </row>
    <row r="695">
      <c r="D695" s="55"/>
      <c r="J695" s="51"/>
      <c r="K695" s="51"/>
    </row>
    <row r="696">
      <c r="D696" s="55"/>
      <c r="J696" s="51"/>
      <c r="K696" s="51"/>
    </row>
    <row r="697">
      <c r="D697" s="55"/>
      <c r="J697" s="51"/>
      <c r="K697" s="51"/>
    </row>
    <row r="698">
      <c r="D698" s="55"/>
      <c r="J698" s="51"/>
      <c r="K698" s="51"/>
    </row>
    <row r="699">
      <c r="D699" s="55"/>
      <c r="J699" s="51"/>
      <c r="K699" s="51"/>
    </row>
    <row r="700">
      <c r="D700" s="55"/>
      <c r="J700" s="51"/>
      <c r="K700" s="51"/>
    </row>
    <row r="701">
      <c r="D701" s="55"/>
      <c r="J701" s="51"/>
      <c r="K701" s="51"/>
    </row>
    <row r="702">
      <c r="D702" s="55"/>
      <c r="J702" s="51"/>
      <c r="K702" s="51"/>
    </row>
    <row r="703">
      <c r="D703" s="55"/>
      <c r="J703" s="51"/>
      <c r="K703" s="51"/>
    </row>
    <row r="704">
      <c r="D704" s="55"/>
      <c r="J704" s="51"/>
      <c r="K704" s="51"/>
    </row>
    <row r="705">
      <c r="D705" s="55"/>
      <c r="J705" s="51"/>
      <c r="K705" s="51"/>
    </row>
    <row r="706">
      <c r="D706" s="55"/>
      <c r="J706" s="51"/>
      <c r="K706" s="51"/>
    </row>
    <row r="707">
      <c r="D707" s="55"/>
      <c r="J707" s="51"/>
      <c r="K707" s="51"/>
    </row>
    <row r="708">
      <c r="D708" s="55"/>
      <c r="J708" s="51"/>
      <c r="K708" s="51"/>
    </row>
    <row r="709">
      <c r="D709" s="55"/>
      <c r="J709" s="51"/>
      <c r="K709" s="51"/>
    </row>
    <row r="710">
      <c r="D710" s="55"/>
      <c r="J710" s="51"/>
      <c r="K710" s="51"/>
    </row>
    <row r="711">
      <c r="D711" s="55"/>
      <c r="J711" s="51"/>
      <c r="K711" s="51"/>
    </row>
    <row r="712">
      <c r="D712" s="55"/>
      <c r="J712" s="51"/>
      <c r="K712" s="51"/>
    </row>
    <row r="713">
      <c r="D713" s="55"/>
      <c r="J713" s="51"/>
      <c r="K713" s="51"/>
    </row>
    <row r="714">
      <c r="D714" s="55"/>
      <c r="J714" s="51"/>
      <c r="K714" s="51"/>
    </row>
    <row r="715">
      <c r="D715" s="55"/>
      <c r="J715" s="51"/>
      <c r="K715" s="51"/>
    </row>
    <row r="716">
      <c r="D716" s="55"/>
      <c r="J716" s="51"/>
      <c r="K716" s="51"/>
    </row>
    <row r="717">
      <c r="D717" s="55"/>
      <c r="J717" s="51"/>
      <c r="K717" s="51"/>
    </row>
    <row r="718">
      <c r="D718" s="55"/>
      <c r="J718" s="51"/>
      <c r="K718" s="51"/>
    </row>
    <row r="719">
      <c r="D719" s="55"/>
      <c r="J719" s="51"/>
      <c r="K719" s="51"/>
    </row>
    <row r="720">
      <c r="D720" s="55"/>
      <c r="J720" s="51"/>
      <c r="K720" s="51"/>
    </row>
    <row r="721">
      <c r="D721" s="55"/>
      <c r="J721" s="51"/>
      <c r="K721" s="51"/>
    </row>
    <row r="722">
      <c r="D722" s="55"/>
      <c r="J722" s="51"/>
      <c r="K722" s="51"/>
    </row>
    <row r="723">
      <c r="D723" s="55"/>
      <c r="J723" s="51"/>
      <c r="K723" s="51"/>
    </row>
    <row r="724">
      <c r="D724" s="55"/>
      <c r="J724" s="51"/>
      <c r="K724" s="51"/>
    </row>
    <row r="725">
      <c r="D725" s="55"/>
      <c r="J725" s="51"/>
      <c r="K725" s="51"/>
    </row>
    <row r="726">
      <c r="D726" s="55"/>
      <c r="J726" s="51"/>
      <c r="K726" s="51"/>
    </row>
    <row r="727">
      <c r="D727" s="55"/>
      <c r="J727" s="51"/>
      <c r="K727" s="51"/>
    </row>
    <row r="728">
      <c r="D728" s="55"/>
      <c r="J728" s="51"/>
      <c r="K728" s="51"/>
    </row>
    <row r="729">
      <c r="D729" s="55"/>
      <c r="J729" s="51"/>
      <c r="K729" s="51"/>
    </row>
    <row r="730">
      <c r="D730" s="55"/>
      <c r="J730" s="51"/>
      <c r="K730" s="51"/>
    </row>
    <row r="731">
      <c r="D731" s="55"/>
      <c r="J731" s="51"/>
      <c r="K731" s="51"/>
    </row>
    <row r="732">
      <c r="D732" s="55"/>
      <c r="J732" s="51"/>
      <c r="K732" s="51"/>
    </row>
    <row r="733">
      <c r="D733" s="55"/>
      <c r="J733" s="51"/>
      <c r="K733" s="51"/>
    </row>
    <row r="734">
      <c r="D734" s="55"/>
      <c r="J734" s="51"/>
      <c r="K734" s="51"/>
    </row>
    <row r="735">
      <c r="D735" s="55"/>
      <c r="J735" s="51"/>
      <c r="K735" s="51"/>
    </row>
    <row r="736">
      <c r="D736" s="55"/>
      <c r="J736" s="51"/>
      <c r="K736" s="51"/>
    </row>
    <row r="737">
      <c r="D737" s="55"/>
      <c r="J737" s="51"/>
      <c r="K737" s="51"/>
    </row>
    <row r="738">
      <c r="D738" s="55"/>
      <c r="J738" s="51"/>
      <c r="K738" s="51"/>
    </row>
    <row r="739">
      <c r="D739" s="55"/>
      <c r="J739" s="51"/>
      <c r="K739" s="51"/>
    </row>
    <row r="740">
      <c r="D740" s="55"/>
      <c r="J740" s="51"/>
      <c r="K740" s="51"/>
    </row>
    <row r="741">
      <c r="D741" s="55"/>
      <c r="J741" s="51"/>
      <c r="K741" s="51"/>
    </row>
    <row r="742">
      <c r="D742" s="55"/>
      <c r="J742" s="51"/>
      <c r="K742" s="51"/>
    </row>
    <row r="743">
      <c r="D743" s="55"/>
      <c r="J743" s="51"/>
      <c r="K743" s="51"/>
    </row>
    <row r="744">
      <c r="D744" s="55"/>
      <c r="J744" s="51"/>
      <c r="K744" s="51"/>
    </row>
    <row r="745">
      <c r="D745" s="55"/>
      <c r="J745" s="51"/>
      <c r="K745" s="51"/>
    </row>
    <row r="746">
      <c r="D746" s="55"/>
      <c r="J746" s="51"/>
      <c r="K746" s="51"/>
    </row>
    <row r="747">
      <c r="D747" s="55"/>
      <c r="J747" s="51"/>
      <c r="K747" s="51"/>
    </row>
    <row r="748">
      <c r="D748" s="55"/>
      <c r="J748" s="51"/>
      <c r="K748" s="51"/>
    </row>
    <row r="749">
      <c r="D749" s="55"/>
      <c r="J749" s="51"/>
      <c r="K749" s="51"/>
    </row>
    <row r="750">
      <c r="D750" s="55"/>
      <c r="J750" s="51"/>
      <c r="K750" s="51"/>
    </row>
    <row r="751">
      <c r="D751" s="55"/>
      <c r="J751" s="51"/>
      <c r="K751" s="51"/>
    </row>
    <row r="752">
      <c r="D752" s="55"/>
      <c r="J752" s="51"/>
      <c r="K752" s="51"/>
    </row>
    <row r="753">
      <c r="D753" s="55"/>
      <c r="J753" s="51"/>
      <c r="K753" s="51"/>
    </row>
    <row r="754">
      <c r="D754" s="55"/>
      <c r="J754" s="51"/>
      <c r="K754" s="51"/>
    </row>
    <row r="755">
      <c r="D755" s="55"/>
      <c r="J755" s="51"/>
      <c r="K755" s="51"/>
    </row>
    <row r="756">
      <c r="D756" s="55"/>
      <c r="J756" s="51"/>
      <c r="K756" s="51"/>
    </row>
    <row r="757">
      <c r="D757" s="55"/>
      <c r="J757" s="51"/>
      <c r="K757" s="51"/>
    </row>
    <row r="758">
      <c r="D758" s="55"/>
      <c r="J758" s="51"/>
      <c r="K758" s="51"/>
    </row>
    <row r="759">
      <c r="D759" s="55"/>
      <c r="J759" s="51"/>
      <c r="K759" s="51"/>
    </row>
    <row r="760">
      <c r="D760" s="55"/>
      <c r="J760" s="51"/>
      <c r="K760" s="51"/>
    </row>
    <row r="761">
      <c r="D761" s="55"/>
      <c r="J761" s="51"/>
      <c r="K761" s="51"/>
    </row>
    <row r="762">
      <c r="D762" s="55"/>
      <c r="J762" s="51"/>
      <c r="K762" s="51"/>
    </row>
    <row r="763">
      <c r="D763" s="55"/>
      <c r="J763" s="51"/>
      <c r="K763" s="51"/>
    </row>
    <row r="764">
      <c r="D764" s="55"/>
      <c r="J764" s="51"/>
      <c r="K764" s="51"/>
    </row>
    <row r="765">
      <c r="D765" s="55"/>
      <c r="J765" s="51"/>
      <c r="K765" s="51"/>
    </row>
    <row r="766">
      <c r="D766" s="55"/>
      <c r="J766" s="51"/>
      <c r="K766" s="51"/>
    </row>
    <row r="767">
      <c r="D767" s="55"/>
      <c r="J767" s="51"/>
      <c r="K767" s="51"/>
    </row>
    <row r="768">
      <c r="D768" s="55"/>
      <c r="J768" s="51"/>
      <c r="K768" s="51"/>
    </row>
    <row r="769">
      <c r="D769" s="55"/>
      <c r="J769" s="51"/>
      <c r="K769" s="51"/>
    </row>
    <row r="770">
      <c r="D770" s="55"/>
      <c r="J770" s="51"/>
      <c r="K770" s="51"/>
    </row>
    <row r="771">
      <c r="D771" s="55"/>
      <c r="J771" s="51"/>
      <c r="K771" s="51"/>
    </row>
    <row r="772">
      <c r="D772" s="55"/>
      <c r="J772" s="51"/>
      <c r="K772" s="51"/>
    </row>
    <row r="773">
      <c r="D773" s="55"/>
      <c r="J773" s="51"/>
      <c r="K773" s="51"/>
    </row>
    <row r="774">
      <c r="D774" s="55"/>
      <c r="J774" s="51"/>
      <c r="K774" s="51"/>
    </row>
    <row r="775">
      <c r="D775" s="55"/>
      <c r="J775" s="51"/>
      <c r="K775" s="51"/>
    </row>
    <row r="776">
      <c r="D776" s="55"/>
      <c r="J776" s="51"/>
      <c r="K776" s="51"/>
    </row>
    <row r="777">
      <c r="D777" s="55"/>
      <c r="J777" s="51"/>
      <c r="K777" s="51"/>
    </row>
    <row r="778">
      <c r="D778" s="55"/>
      <c r="J778" s="51"/>
      <c r="K778" s="51"/>
    </row>
    <row r="779">
      <c r="D779" s="55"/>
      <c r="J779" s="51"/>
      <c r="K779" s="51"/>
    </row>
    <row r="780">
      <c r="D780" s="55"/>
      <c r="J780" s="51"/>
      <c r="K780" s="51"/>
    </row>
    <row r="781">
      <c r="D781" s="55"/>
      <c r="J781" s="51"/>
      <c r="K781" s="51"/>
    </row>
    <row r="782">
      <c r="D782" s="55"/>
      <c r="J782" s="51"/>
      <c r="K782" s="51"/>
    </row>
    <row r="783">
      <c r="D783" s="55"/>
      <c r="J783" s="51"/>
      <c r="K783" s="51"/>
    </row>
    <row r="784">
      <c r="D784" s="55"/>
      <c r="J784" s="51"/>
      <c r="K784" s="51"/>
    </row>
    <row r="785">
      <c r="D785" s="55"/>
      <c r="J785" s="51"/>
      <c r="K785" s="51"/>
    </row>
    <row r="786">
      <c r="D786" s="55"/>
      <c r="J786" s="51"/>
      <c r="K786" s="51"/>
    </row>
    <row r="787">
      <c r="D787" s="55"/>
      <c r="J787" s="51"/>
      <c r="K787" s="51"/>
    </row>
    <row r="788">
      <c r="D788" s="55"/>
      <c r="J788" s="51"/>
      <c r="K788" s="51"/>
    </row>
    <row r="789">
      <c r="D789" s="55"/>
      <c r="J789" s="51"/>
      <c r="K789" s="51"/>
    </row>
    <row r="790">
      <c r="D790" s="55"/>
      <c r="J790" s="51"/>
      <c r="K790" s="51"/>
    </row>
    <row r="791">
      <c r="D791" s="55"/>
      <c r="J791" s="51"/>
      <c r="K791" s="51"/>
    </row>
    <row r="792">
      <c r="D792" s="55"/>
      <c r="J792" s="51"/>
      <c r="K792" s="51"/>
    </row>
    <row r="793">
      <c r="D793" s="55"/>
      <c r="J793" s="51"/>
      <c r="K793" s="51"/>
    </row>
    <row r="794">
      <c r="D794" s="55"/>
      <c r="J794" s="51"/>
      <c r="K794" s="51"/>
    </row>
    <row r="795">
      <c r="D795" s="55"/>
      <c r="J795" s="51"/>
      <c r="K795" s="51"/>
    </row>
    <row r="796">
      <c r="D796" s="55"/>
      <c r="J796" s="51"/>
      <c r="K796" s="51"/>
    </row>
    <row r="797">
      <c r="D797" s="55"/>
      <c r="J797" s="51"/>
      <c r="K797" s="51"/>
    </row>
    <row r="798">
      <c r="D798" s="55"/>
      <c r="J798" s="51"/>
      <c r="K798" s="51"/>
    </row>
    <row r="799">
      <c r="D799" s="55"/>
      <c r="J799" s="51"/>
      <c r="K799" s="51"/>
    </row>
    <row r="800">
      <c r="D800" s="55"/>
      <c r="J800" s="51"/>
      <c r="K800" s="51"/>
    </row>
    <row r="801">
      <c r="D801" s="55"/>
      <c r="J801" s="51"/>
      <c r="K801" s="51"/>
    </row>
    <row r="802">
      <c r="D802" s="55"/>
      <c r="J802" s="51"/>
      <c r="K802" s="51"/>
    </row>
    <row r="803">
      <c r="D803" s="55"/>
      <c r="J803" s="51"/>
      <c r="K803" s="51"/>
    </row>
    <row r="804">
      <c r="D804" s="55"/>
      <c r="J804" s="51"/>
      <c r="K804" s="51"/>
    </row>
    <row r="805">
      <c r="D805" s="55"/>
      <c r="J805" s="51"/>
      <c r="K805" s="51"/>
    </row>
    <row r="806">
      <c r="D806" s="55"/>
      <c r="J806" s="51"/>
      <c r="K806" s="51"/>
    </row>
    <row r="807">
      <c r="D807" s="55"/>
      <c r="J807" s="51"/>
      <c r="K807" s="51"/>
    </row>
    <row r="808">
      <c r="D808" s="55"/>
      <c r="J808" s="51"/>
      <c r="K808" s="51"/>
    </row>
    <row r="809">
      <c r="D809" s="55"/>
      <c r="J809" s="51"/>
      <c r="K809" s="51"/>
    </row>
    <row r="810">
      <c r="D810" s="55"/>
      <c r="J810" s="51"/>
      <c r="K810" s="51"/>
    </row>
    <row r="811">
      <c r="D811" s="55"/>
      <c r="J811" s="51"/>
      <c r="K811" s="51"/>
    </row>
    <row r="812">
      <c r="D812" s="55"/>
      <c r="J812" s="51"/>
      <c r="K812" s="51"/>
    </row>
    <row r="813">
      <c r="D813" s="55"/>
      <c r="J813" s="51"/>
      <c r="K813" s="51"/>
    </row>
    <row r="814">
      <c r="D814" s="55"/>
      <c r="J814" s="51"/>
      <c r="K814" s="51"/>
    </row>
    <row r="815">
      <c r="D815" s="55"/>
      <c r="J815" s="51"/>
      <c r="K815" s="51"/>
    </row>
    <row r="816">
      <c r="D816" s="55"/>
      <c r="J816" s="51"/>
      <c r="K816" s="51"/>
    </row>
    <row r="817">
      <c r="D817" s="55"/>
      <c r="J817" s="51"/>
      <c r="K817" s="51"/>
    </row>
    <row r="818">
      <c r="D818" s="55"/>
      <c r="J818" s="51"/>
      <c r="K818" s="51"/>
    </row>
    <row r="819">
      <c r="D819" s="55"/>
      <c r="J819" s="51"/>
      <c r="K819" s="51"/>
    </row>
    <row r="820">
      <c r="D820" s="55"/>
      <c r="J820" s="51"/>
      <c r="K820" s="51"/>
    </row>
    <row r="821">
      <c r="D821" s="55"/>
      <c r="J821" s="51"/>
      <c r="K821" s="51"/>
    </row>
    <row r="822">
      <c r="D822" s="55"/>
      <c r="J822" s="51"/>
      <c r="K822" s="51"/>
    </row>
    <row r="823">
      <c r="D823" s="55"/>
      <c r="J823" s="51"/>
      <c r="K823" s="51"/>
    </row>
    <row r="824">
      <c r="D824" s="55"/>
      <c r="J824" s="51"/>
      <c r="K824" s="51"/>
    </row>
    <row r="825">
      <c r="D825" s="55"/>
      <c r="J825" s="51"/>
      <c r="K825" s="51"/>
    </row>
    <row r="826">
      <c r="D826" s="55"/>
      <c r="J826" s="51"/>
      <c r="K826" s="51"/>
    </row>
    <row r="827">
      <c r="D827" s="55"/>
      <c r="J827" s="51"/>
      <c r="K827" s="51"/>
    </row>
    <row r="828">
      <c r="D828" s="55"/>
      <c r="J828" s="51"/>
      <c r="K828" s="51"/>
    </row>
    <row r="829">
      <c r="D829" s="55"/>
      <c r="J829" s="51"/>
      <c r="K829" s="51"/>
    </row>
    <row r="830">
      <c r="D830" s="55"/>
      <c r="J830" s="51"/>
      <c r="K830" s="51"/>
    </row>
    <row r="831">
      <c r="D831" s="55"/>
      <c r="J831" s="51"/>
      <c r="K831" s="51"/>
    </row>
    <row r="832">
      <c r="D832" s="55"/>
      <c r="J832" s="51"/>
      <c r="K832" s="51"/>
    </row>
    <row r="833">
      <c r="D833" s="55"/>
      <c r="J833" s="51"/>
      <c r="K833" s="51"/>
    </row>
    <row r="834">
      <c r="D834" s="55"/>
      <c r="J834" s="51"/>
      <c r="K834" s="51"/>
    </row>
    <row r="835">
      <c r="D835" s="55"/>
      <c r="J835" s="51"/>
      <c r="K835" s="51"/>
    </row>
    <row r="836">
      <c r="D836" s="55"/>
      <c r="J836" s="51"/>
      <c r="K836" s="51"/>
    </row>
    <row r="837">
      <c r="D837" s="55"/>
      <c r="J837" s="51"/>
      <c r="K837" s="51"/>
    </row>
    <row r="838">
      <c r="D838" s="55"/>
      <c r="J838" s="51"/>
      <c r="K838" s="51"/>
    </row>
    <row r="839">
      <c r="D839" s="55"/>
      <c r="J839" s="51"/>
      <c r="K839" s="51"/>
    </row>
    <row r="840">
      <c r="D840" s="55"/>
      <c r="J840" s="51"/>
      <c r="K840" s="51"/>
    </row>
    <row r="841">
      <c r="D841" s="55"/>
      <c r="J841" s="51"/>
      <c r="K841" s="51"/>
    </row>
    <row r="842">
      <c r="D842" s="55"/>
      <c r="J842" s="51"/>
      <c r="K842" s="51"/>
    </row>
    <row r="843">
      <c r="D843" s="55"/>
      <c r="J843" s="51"/>
      <c r="K843" s="51"/>
    </row>
    <row r="844">
      <c r="D844" s="55"/>
      <c r="J844" s="51"/>
      <c r="K844" s="51"/>
    </row>
    <row r="845">
      <c r="D845" s="55"/>
      <c r="J845" s="51"/>
      <c r="K845" s="51"/>
    </row>
    <row r="846">
      <c r="D846" s="55"/>
      <c r="J846" s="51"/>
      <c r="K846" s="51"/>
    </row>
    <row r="847">
      <c r="D847" s="55"/>
      <c r="J847" s="51"/>
      <c r="K847" s="51"/>
    </row>
    <row r="848">
      <c r="D848" s="55"/>
      <c r="J848" s="51"/>
      <c r="K848" s="51"/>
    </row>
    <row r="849">
      <c r="D849" s="55"/>
      <c r="J849" s="51"/>
      <c r="K849" s="51"/>
    </row>
    <row r="850">
      <c r="D850" s="55"/>
      <c r="J850" s="51"/>
      <c r="K850" s="51"/>
    </row>
    <row r="851">
      <c r="D851" s="55"/>
      <c r="J851" s="51"/>
      <c r="K851" s="51"/>
    </row>
    <row r="852">
      <c r="D852" s="55"/>
      <c r="J852" s="51"/>
      <c r="K852" s="51"/>
    </row>
    <row r="853">
      <c r="D853" s="55"/>
      <c r="J853" s="51"/>
      <c r="K853" s="51"/>
    </row>
    <row r="854">
      <c r="D854" s="55"/>
      <c r="J854" s="51"/>
      <c r="K854" s="51"/>
    </row>
    <row r="855">
      <c r="D855" s="55"/>
      <c r="J855" s="51"/>
      <c r="K855" s="51"/>
    </row>
    <row r="856">
      <c r="D856" s="55"/>
      <c r="J856" s="51"/>
      <c r="K856" s="51"/>
    </row>
    <row r="857">
      <c r="D857" s="55"/>
      <c r="J857" s="51"/>
      <c r="K857" s="51"/>
    </row>
    <row r="858">
      <c r="D858" s="55"/>
      <c r="J858" s="51"/>
      <c r="K858" s="51"/>
    </row>
    <row r="859">
      <c r="D859" s="55"/>
      <c r="J859" s="51"/>
      <c r="K859" s="51"/>
    </row>
    <row r="860">
      <c r="D860" s="55"/>
      <c r="J860" s="51"/>
      <c r="K860" s="51"/>
    </row>
    <row r="861">
      <c r="D861" s="55"/>
      <c r="J861" s="51"/>
      <c r="K861" s="51"/>
    </row>
    <row r="862">
      <c r="D862" s="55"/>
      <c r="J862" s="51"/>
      <c r="K862" s="51"/>
    </row>
    <row r="863">
      <c r="D863" s="55"/>
      <c r="J863" s="51"/>
      <c r="K863" s="51"/>
    </row>
    <row r="864">
      <c r="D864" s="55"/>
      <c r="J864" s="51"/>
      <c r="K864" s="51"/>
    </row>
    <row r="865">
      <c r="D865" s="55"/>
      <c r="J865" s="51"/>
      <c r="K865" s="51"/>
    </row>
    <row r="866">
      <c r="D866" s="55"/>
      <c r="J866" s="51"/>
      <c r="K866" s="51"/>
    </row>
    <row r="867">
      <c r="D867" s="55"/>
      <c r="J867" s="51"/>
      <c r="K867" s="51"/>
    </row>
    <row r="868">
      <c r="D868" s="55"/>
      <c r="J868" s="51"/>
      <c r="K868" s="51"/>
    </row>
    <row r="869">
      <c r="D869" s="55"/>
      <c r="J869" s="51"/>
      <c r="K869" s="51"/>
    </row>
    <row r="870">
      <c r="D870" s="55"/>
      <c r="J870" s="51"/>
      <c r="K870" s="51"/>
    </row>
    <row r="871">
      <c r="D871" s="55"/>
      <c r="J871" s="51"/>
      <c r="K871" s="51"/>
    </row>
    <row r="872">
      <c r="D872" s="55"/>
      <c r="J872" s="51"/>
      <c r="K872" s="51"/>
    </row>
    <row r="873">
      <c r="D873" s="55"/>
      <c r="J873" s="51"/>
      <c r="K873" s="51"/>
    </row>
    <row r="874">
      <c r="D874" s="55"/>
      <c r="J874" s="51"/>
      <c r="K874" s="51"/>
    </row>
    <row r="875">
      <c r="D875" s="55"/>
      <c r="J875" s="51"/>
      <c r="K875" s="51"/>
    </row>
    <row r="876">
      <c r="D876" s="55"/>
      <c r="J876" s="51"/>
      <c r="K876" s="51"/>
    </row>
    <row r="877">
      <c r="D877" s="55"/>
      <c r="J877" s="51"/>
      <c r="K877" s="51"/>
    </row>
    <row r="878">
      <c r="D878" s="55"/>
      <c r="J878" s="51"/>
      <c r="K878" s="51"/>
    </row>
    <row r="879">
      <c r="D879" s="55"/>
      <c r="J879" s="51"/>
      <c r="K879" s="51"/>
    </row>
    <row r="880">
      <c r="D880" s="55"/>
      <c r="J880" s="51"/>
      <c r="K880" s="51"/>
    </row>
    <row r="881">
      <c r="D881" s="55"/>
      <c r="J881" s="51"/>
      <c r="K881" s="51"/>
    </row>
    <row r="882">
      <c r="D882" s="55"/>
      <c r="J882" s="51"/>
      <c r="K882" s="51"/>
    </row>
    <row r="883">
      <c r="D883" s="55"/>
      <c r="J883" s="51"/>
      <c r="K883" s="51"/>
    </row>
    <row r="884">
      <c r="D884" s="55"/>
      <c r="J884" s="51"/>
      <c r="K884" s="51"/>
    </row>
    <row r="885">
      <c r="D885" s="55"/>
      <c r="J885" s="51"/>
      <c r="K885" s="51"/>
    </row>
    <row r="886">
      <c r="D886" s="55"/>
      <c r="J886" s="51"/>
      <c r="K886" s="51"/>
    </row>
    <row r="887">
      <c r="D887" s="55"/>
      <c r="J887" s="51"/>
      <c r="K887" s="51"/>
    </row>
    <row r="888">
      <c r="D888" s="55"/>
      <c r="J888" s="51"/>
      <c r="K888" s="51"/>
    </row>
    <row r="889">
      <c r="D889" s="55"/>
      <c r="J889" s="51"/>
      <c r="K889" s="51"/>
    </row>
    <row r="890">
      <c r="D890" s="55"/>
      <c r="J890" s="51"/>
      <c r="K890" s="51"/>
    </row>
    <row r="891">
      <c r="D891" s="55"/>
      <c r="J891" s="51"/>
      <c r="K891" s="51"/>
    </row>
    <row r="892">
      <c r="D892" s="55"/>
      <c r="J892" s="51"/>
      <c r="K892" s="51"/>
    </row>
    <row r="893">
      <c r="D893" s="55"/>
      <c r="J893" s="51"/>
      <c r="K893" s="51"/>
    </row>
    <row r="894">
      <c r="D894" s="55"/>
      <c r="J894" s="51"/>
      <c r="K894" s="51"/>
    </row>
    <row r="895">
      <c r="D895" s="55"/>
      <c r="J895" s="51"/>
      <c r="K895" s="51"/>
    </row>
    <row r="896">
      <c r="D896" s="55"/>
      <c r="J896" s="51"/>
      <c r="K896" s="51"/>
    </row>
    <row r="897">
      <c r="D897" s="55"/>
      <c r="J897" s="51"/>
      <c r="K897" s="51"/>
    </row>
    <row r="898">
      <c r="D898" s="55"/>
      <c r="J898" s="51"/>
      <c r="K898" s="51"/>
    </row>
    <row r="899">
      <c r="D899" s="55"/>
      <c r="J899" s="51"/>
      <c r="K899" s="51"/>
    </row>
    <row r="900">
      <c r="D900" s="55"/>
      <c r="J900" s="51"/>
      <c r="K900" s="51"/>
    </row>
    <row r="901">
      <c r="D901" s="55"/>
      <c r="J901" s="51"/>
      <c r="K901" s="51"/>
    </row>
    <row r="902">
      <c r="D902" s="55"/>
      <c r="J902" s="51"/>
      <c r="K902" s="51"/>
    </row>
    <row r="903">
      <c r="D903" s="55"/>
      <c r="J903" s="51"/>
      <c r="K903" s="51"/>
    </row>
    <row r="904">
      <c r="D904" s="55"/>
      <c r="J904" s="51"/>
      <c r="K904" s="51"/>
    </row>
    <row r="905">
      <c r="D905" s="55"/>
      <c r="J905" s="51"/>
      <c r="K905" s="51"/>
    </row>
    <row r="906">
      <c r="D906" s="55"/>
      <c r="J906" s="51"/>
      <c r="K906" s="51"/>
    </row>
    <row r="907">
      <c r="D907" s="55"/>
      <c r="J907" s="51"/>
      <c r="K907" s="51"/>
    </row>
    <row r="908">
      <c r="D908" s="55"/>
      <c r="J908" s="51"/>
      <c r="K908" s="51"/>
    </row>
    <row r="909">
      <c r="D909" s="55"/>
      <c r="J909" s="51"/>
      <c r="K909" s="51"/>
    </row>
    <row r="910">
      <c r="D910" s="55"/>
      <c r="J910" s="51"/>
      <c r="K910" s="51"/>
    </row>
    <row r="911">
      <c r="D911" s="55"/>
      <c r="J911" s="51"/>
      <c r="K911" s="51"/>
    </row>
    <row r="912">
      <c r="D912" s="55"/>
      <c r="J912" s="51"/>
      <c r="K912" s="51"/>
    </row>
    <row r="913">
      <c r="D913" s="55"/>
      <c r="J913" s="51"/>
      <c r="K913" s="51"/>
    </row>
    <row r="914">
      <c r="D914" s="55"/>
      <c r="J914" s="51"/>
      <c r="K914" s="51"/>
    </row>
    <row r="915">
      <c r="D915" s="55"/>
      <c r="J915" s="51"/>
      <c r="K915" s="51"/>
    </row>
    <row r="916">
      <c r="D916" s="55"/>
      <c r="J916" s="51"/>
      <c r="K916" s="51"/>
    </row>
    <row r="917">
      <c r="D917" s="55"/>
      <c r="J917" s="51"/>
      <c r="K917" s="51"/>
    </row>
    <row r="918">
      <c r="D918" s="55"/>
      <c r="J918" s="51"/>
      <c r="K918" s="51"/>
    </row>
    <row r="919">
      <c r="D919" s="55"/>
      <c r="J919" s="51"/>
      <c r="K919" s="51"/>
    </row>
    <row r="920">
      <c r="D920" s="55"/>
      <c r="J920" s="51"/>
      <c r="K920" s="51"/>
    </row>
    <row r="921">
      <c r="D921" s="55"/>
      <c r="J921" s="51"/>
      <c r="K921" s="51"/>
    </row>
    <row r="922">
      <c r="D922" s="55"/>
      <c r="J922" s="51"/>
      <c r="K922" s="51"/>
    </row>
    <row r="923">
      <c r="D923" s="55"/>
      <c r="J923" s="51"/>
      <c r="K923" s="51"/>
    </row>
    <row r="924">
      <c r="D924" s="55"/>
      <c r="J924" s="51"/>
      <c r="K924" s="51"/>
    </row>
    <row r="925">
      <c r="D925" s="55"/>
      <c r="J925" s="51"/>
      <c r="K925" s="51"/>
    </row>
    <row r="926">
      <c r="D926" s="55"/>
      <c r="J926" s="51"/>
      <c r="K926" s="51"/>
    </row>
    <row r="927">
      <c r="D927" s="55"/>
      <c r="J927" s="51"/>
      <c r="K927" s="51"/>
    </row>
    <row r="928">
      <c r="D928" s="55"/>
      <c r="J928" s="51"/>
      <c r="K928" s="51"/>
    </row>
    <row r="929">
      <c r="D929" s="55"/>
      <c r="J929" s="51"/>
      <c r="K929" s="51"/>
    </row>
    <row r="930">
      <c r="D930" s="55"/>
      <c r="J930" s="51"/>
      <c r="K930" s="51"/>
    </row>
    <row r="931">
      <c r="D931" s="55"/>
      <c r="J931" s="51"/>
      <c r="K931" s="51"/>
    </row>
    <row r="932">
      <c r="D932" s="55"/>
      <c r="J932" s="51"/>
      <c r="K932" s="51"/>
    </row>
    <row r="933">
      <c r="D933" s="55"/>
      <c r="J933" s="51"/>
      <c r="K933" s="51"/>
    </row>
    <row r="934">
      <c r="D934" s="55"/>
      <c r="J934" s="51"/>
      <c r="K934" s="51"/>
    </row>
    <row r="935">
      <c r="D935" s="55"/>
      <c r="J935" s="51"/>
      <c r="K935" s="51"/>
    </row>
    <row r="936">
      <c r="D936" s="55"/>
      <c r="J936" s="51"/>
      <c r="K936" s="51"/>
    </row>
    <row r="937">
      <c r="D937" s="55"/>
      <c r="J937" s="51"/>
      <c r="K937" s="51"/>
    </row>
    <row r="938">
      <c r="D938" s="55"/>
      <c r="J938" s="51"/>
      <c r="K938" s="51"/>
    </row>
    <row r="939">
      <c r="D939" s="55"/>
      <c r="J939" s="51"/>
      <c r="K939" s="51"/>
    </row>
    <row r="940">
      <c r="D940" s="55"/>
      <c r="J940" s="51"/>
      <c r="K940" s="51"/>
    </row>
    <row r="941">
      <c r="D941" s="55"/>
      <c r="J941" s="51"/>
      <c r="K941" s="51"/>
    </row>
    <row r="942">
      <c r="D942" s="55"/>
      <c r="J942" s="51"/>
      <c r="K942" s="51"/>
    </row>
    <row r="943">
      <c r="D943" s="55"/>
      <c r="J943" s="51"/>
      <c r="K943" s="51"/>
    </row>
    <row r="944">
      <c r="D944" s="55"/>
      <c r="J944" s="51"/>
      <c r="K944" s="51"/>
    </row>
    <row r="945">
      <c r="D945" s="55"/>
      <c r="J945" s="51"/>
      <c r="K945" s="51"/>
    </row>
    <row r="946">
      <c r="D946" s="55"/>
      <c r="J946" s="51"/>
      <c r="K946" s="51"/>
    </row>
    <row r="947">
      <c r="D947" s="55"/>
      <c r="J947" s="51"/>
      <c r="K947" s="51"/>
    </row>
    <row r="948">
      <c r="D948" s="55"/>
      <c r="J948" s="51"/>
      <c r="K948" s="51"/>
    </row>
    <row r="949">
      <c r="D949" s="55"/>
      <c r="J949" s="51"/>
      <c r="K949" s="51"/>
    </row>
    <row r="950">
      <c r="D950" s="55"/>
      <c r="J950" s="51"/>
      <c r="K950" s="51"/>
    </row>
    <row r="951">
      <c r="D951" s="55"/>
      <c r="J951" s="51"/>
      <c r="K951" s="51"/>
    </row>
    <row r="952">
      <c r="D952" s="55"/>
      <c r="J952" s="51"/>
      <c r="K952" s="51"/>
    </row>
    <row r="953">
      <c r="D953" s="55"/>
      <c r="J953" s="51"/>
      <c r="K953" s="51"/>
    </row>
    <row r="954">
      <c r="D954" s="55"/>
      <c r="J954" s="51"/>
      <c r="K954" s="51"/>
    </row>
    <row r="955">
      <c r="D955" s="55"/>
      <c r="J955" s="51"/>
      <c r="K955" s="51"/>
    </row>
    <row r="956">
      <c r="D956" s="55"/>
      <c r="J956" s="51"/>
      <c r="K956" s="51"/>
    </row>
    <row r="957">
      <c r="D957" s="55"/>
      <c r="J957" s="51"/>
      <c r="K957" s="51"/>
    </row>
    <row r="958">
      <c r="D958" s="55"/>
      <c r="J958" s="51"/>
      <c r="K958" s="51"/>
    </row>
    <row r="959">
      <c r="D959" s="55"/>
      <c r="J959" s="51"/>
      <c r="K959" s="51"/>
    </row>
    <row r="960">
      <c r="D960" s="55"/>
      <c r="J960" s="51"/>
      <c r="K960" s="51"/>
    </row>
    <row r="961">
      <c r="D961" s="55"/>
      <c r="J961" s="51"/>
      <c r="K961" s="51"/>
    </row>
    <row r="962">
      <c r="D962" s="55"/>
      <c r="J962" s="51"/>
      <c r="K962" s="51"/>
    </row>
    <row r="963">
      <c r="D963" s="55"/>
      <c r="J963" s="51"/>
      <c r="K963" s="51"/>
    </row>
    <row r="964">
      <c r="D964" s="55"/>
      <c r="J964" s="51"/>
      <c r="K964" s="51"/>
    </row>
    <row r="965">
      <c r="D965" s="55"/>
      <c r="J965" s="51"/>
      <c r="K965" s="51"/>
    </row>
    <row r="966">
      <c r="D966" s="55"/>
      <c r="J966" s="51"/>
      <c r="K966" s="51"/>
    </row>
    <row r="967">
      <c r="D967" s="55"/>
      <c r="J967" s="51"/>
      <c r="K967" s="51"/>
    </row>
    <row r="968">
      <c r="D968" s="55"/>
      <c r="J968" s="51"/>
      <c r="K968" s="51"/>
    </row>
    <row r="969">
      <c r="D969" s="55"/>
      <c r="J969" s="51"/>
      <c r="K969" s="51"/>
    </row>
    <row r="970">
      <c r="D970" s="55"/>
      <c r="J970" s="51"/>
      <c r="K970" s="51"/>
    </row>
    <row r="971">
      <c r="D971" s="55"/>
      <c r="J971" s="51"/>
      <c r="K971" s="51"/>
    </row>
    <row r="972">
      <c r="D972" s="55"/>
      <c r="J972" s="51"/>
      <c r="K972" s="51"/>
    </row>
    <row r="973">
      <c r="D973" s="55"/>
      <c r="J973" s="51"/>
      <c r="K973" s="51"/>
    </row>
    <row r="974">
      <c r="D974" s="55"/>
      <c r="J974" s="51"/>
      <c r="K974" s="51"/>
    </row>
    <row r="975">
      <c r="D975" s="55"/>
      <c r="J975" s="51"/>
      <c r="K975" s="51"/>
    </row>
    <row r="976">
      <c r="D976" s="55"/>
      <c r="J976" s="51"/>
      <c r="K976" s="51"/>
    </row>
    <row r="977">
      <c r="D977" s="55"/>
      <c r="J977" s="51"/>
      <c r="K977" s="51"/>
    </row>
    <row r="978">
      <c r="D978" s="55"/>
      <c r="J978" s="51"/>
      <c r="K978" s="51"/>
    </row>
    <row r="979">
      <c r="D979" s="55"/>
      <c r="J979" s="51"/>
      <c r="K979" s="51"/>
    </row>
    <row r="980">
      <c r="D980" s="55"/>
      <c r="J980" s="51"/>
      <c r="K980" s="51"/>
    </row>
    <row r="981">
      <c r="D981" s="55"/>
      <c r="J981" s="51"/>
      <c r="K981" s="51"/>
    </row>
    <row r="982">
      <c r="D982" s="55"/>
      <c r="J982" s="51"/>
      <c r="K982" s="51"/>
    </row>
    <row r="983">
      <c r="D983" s="55"/>
      <c r="J983" s="51"/>
      <c r="K983" s="51"/>
    </row>
    <row r="984">
      <c r="D984" s="55"/>
      <c r="J984" s="51"/>
      <c r="K984" s="51"/>
    </row>
    <row r="985">
      <c r="D985" s="55"/>
      <c r="J985" s="51"/>
      <c r="K985" s="51"/>
    </row>
    <row r="986">
      <c r="D986" s="55"/>
      <c r="J986" s="51"/>
      <c r="K986" s="51"/>
    </row>
    <row r="987">
      <c r="D987" s="55"/>
      <c r="J987" s="51"/>
      <c r="K987" s="51"/>
    </row>
    <row r="988">
      <c r="D988" s="55"/>
      <c r="J988" s="51"/>
      <c r="K988" s="51"/>
    </row>
    <row r="989">
      <c r="D989" s="55"/>
      <c r="J989" s="51"/>
      <c r="K989" s="51"/>
    </row>
    <row r="990">
      <c r="D990" s="55"/>
      <c r="J990" s="51"/>
      <c r="K990" s="51"/>
    </row>
    <row r="991">
      <c r="D991" s="55"/>
      <c r="J991" s="51"/>
      <c r="K991" s="51"/>
    </row>
    <row r="992">
      <c r="D992" s="55"/>
      <c r="J992" s="51"/>
      <c r="K992" s="51"/>
    </row>
    <row r="993">
      <c r="D993" s="55"/>
      <c r="J993" s="51"/>
      <c r="K993" s="51"/>
    </row>
    <row r="994">
      <c r="D994" s="55"/>
      <c r="J994" s="51"/>
      <c r="K994" s="51"/>
    </row>
    <row r="995">
      <c r="D995" s="55"/>
      <c r="J995" s="51"/>
      <c r="K995" s="51"/>
    </row>
    <row r="996">
      <c r="D996" s="55"/>
      <c r="J996" s="51"/>
      <c r="K996" s="51"/>
    </row>
    <row r="997">
      <c r="D997" s="55"/>
      <c r="J997" s="51"/>
      <c r="K997" s="51"/>
    </row>
    <row r="998">
      <c r="D998" s="55"/>
      <c r="J998" s="51"/>
      <c r="K998" s="51"/>
    </row>
    <row r="999">
      <c r="D999" s="55"/>
      <c r="J999" s="51"/>
      <c r="K999" s="51"/>
    </row>
    <row r="1000">
      <c r="D1000" s="55"/>
      <c r="J1000" s="51"/>
      <c r="K1000" s="51"/>
    </row>
  </sheetData>
  <autoFilter ref="$A$1:$AL$146">
    <sortState ref="A1:AL146">
      <sortCondition descending="1" ref="G1:G146"/>
      <sortCondition descending="1" ref="M1:M146"/>
      <sortCondition ref="AG1:AG146"/>
      <sortCondition descending="1" ref="I1:I146"/>
    </sortState>
  </autoFilter>
  <conditionalFormatting sqref="J1:K146 P1:Q146">
    <cfRule type="colorScale" priority="1">
      <colorScale>
        <cfvo type="formula" val="0"/>
        <cfvo type="formula" val="1"/>
        <cfvo type="formula" val="2"/>
        <color rgb="FFE67C73"/>
        <color rgb="FFFFFFFF"/>
        <color rgb="FF57BB8A"/>
      </colorScale>
    </cfRule>
  </conditionalFormatting>
  <conditionalFormatting sqref="AG1:AG146">
    <cfRule type="colorScale" priority="2">
      <colorScale>
        <cfvo type="min"/>
        <cfvo type="formula" val="3000"/>
        <cfvo type="formula" val="6000"/>
        <color rgb="FFE67C73"/>
        <color rgb="FFFFFFFF"/>
        <color rgb="FF57BB8A"/>
      </colorScale>
    </cfRule>
  </conditionalFormatting>
  <conditionalFormatting sqref="G1:G146 I1:I146">
    <cfRule type="colorScale" priority="3">
      <colorScale>
        <cfvo type="min"/>
        <cfvo type="formula" val="10"/>
        <cfvo type="max"/>
        <color rgb="FFE67C73"/>
        <color rgb="FFFFFFFF"/>
        <color rgb="FF57BB8A"/>
      </colorScale>
    </cfRule>
  </conditionalFormatting>
  <conditionalFormatting sqref="AK1:AK146 AL1">
    <cfRule type="colorScale" priority="4">
      <colorScale>
        <cfvo type="min"/>
        <cfvo type="percentile" val="50"/>
        <cfvo type="max"/>
        <color rgb="FFE67C73"/>
        <color rgb="FFFFFFFF"/>
        <color rgb="FF57BB8A"/>
      </colorScale>
    </cfRule>
  </conditionalFormatting>
  <conditionalFormatting sqref="AL1:AL146">
    <cfRule type="colorScale" priority="5">
      <colorScale>
        <cfvo type="min"/>
        <cfvo type="percentile" val="50"/>
        <cfvo type="max"/>
        <color rgb="FFE67C73"/>
        <color rgb="FFFFFFFF"/>
        <color rgb="FF57BB8A"/>
      </colorScale>
    </cfRule>
  </conditionalFormatting>
  <conditionalFormatting sqref="E1:E146">
    <cfRule type="colorScale" priority="6">
      <colorScale>
        <cfvo type="formula" val="45500"/>
        <cfvo type="percentile" val="50"/>
        <cfvo type="max"/>
        <color rgb="FFE67C73"/>
        <color rgb="FFFFFFFF"/>
        <color rgb="FF57BB8A"/>
      </colorScale>
    </cfRule>
  </conditionalFormatting>
  <conditionalFormatting sqref="V1:W146 AB1:AC1">
    <cfRule type="colorScale" priority="7">
      <colorScale>
        <cfvo type="formula" val="-0.1"/>
        <cfvo type="formula" val="0"/>
        <cfvo type="formula" val="0.1"/>
        <color rgb="FFE67C73"/>
        <color rgb="FFFFFFFF"/>
        <color rgb="FF57BB8A"/>
      </colorScale>
    </cfRule>
  </conditionalFormatting>
  <conditionalFormatting sqref="M1:M146 O1:O146">
    <cfRule type="colorScale" priority="8">
      <colorScale>
        <cfvo type="min"/>
        <cfvo type="percentile" val="80"/>
        <cfvo type="max"/>
        <color rgb="FFE67C73"/>
        <color rgb="FFFFFFFF"/>
        <color rgb="FF57BB8A"/>
      </colorScale>
    </cfRule>
  </conditionalFormatting>
  <conditionalFormatting sqref="AB1:AC146">
    <cfRule type="colorScale" priority="9">
      <colorScale>
        <cfvo type="min"/>
        <cfvo type="percentile" val="50"/>
        <cfvo type="max"/>
        <color rgb="FF57BB8A"/>
        <color rgb="FFFFFFFF"/>
        <color rgb="FFE67C73"/>
      </colorScale>
    </cfRule>
  </conditionalFormatting>
  <conditionalFormatting sqref="A2:A400">
    <cfRule type="expression" dxfId="0" priority="10">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7"/>
    <hyperlink r:id="rId83" ref="A88"/>
    <hyperlink r:id="rId84" ref="A89"/>
    <hyperlink r:id="rId85" ref="A90"/>
    <hyperlink r:id="rId86" ref="A91"/>
    <hyperlink r:id="rId87" ref="A92"/>
    <hyperlink r:id="rId88" ref="A93"/>
    <hyperlink r:id="rId89" ref="A94"/>
    <hyperlink r:id="rId90" ref="A95"/>
    <hyperlink r:id="rId91" ref="A96"/>
    <hyperlink r:id="rId92" ref="A97"/>
    <hyperlink r:id="rId93" ref="A98"/>
    <hyperlink r:id="rId94" ref="A99"/>
    <hyperlink r:id="rId95" ref="A100"/>
    <hyperlink r:id="rId96" ref="A101"/>
    <hyperlink r:id="rId97" ref="A102"/>
    <hyperlink r:id="rId98" ref="A103"/>
    <hyperlink r:id="rId99" ref="A104"/>
    <hyperlink r:id="rId100" ref="A105"/>
    <hyperlink r:id="rId101" ref="A106"/>
    <hyperlink r:id="rId102" ref="A107"/>
    <hyperlink r:id="rId103" ref="A108"/>
    <hyperlink r:id="rId104" ref="A109"/>
    <hyperlink r:id="rId105" ref="A110"/>
    <hyperlink r:id="rId106" ref="A111"/>
    <hyperlink r:id="rId107" ref="A112"/>
    <hyperlink r:id="rId108" ref="A113"/>
    <hyperlink r:id="rId109" ref="A114"/>
    <hyperlink r:id="rId110" ref="A115"/>
    <hyperlink r:id="rId111" ref="A116"/>
    <hyperlink r:id="rId112" ref="A117"/>
    <hyperlink r:id="rId113" ref="A118"/>
    <hyperlink r:id="rId114" ref="A119"/>
    <hyperlink r:id="rId115" ref="A120"/>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45"/>
    <hyperlink r:id="rId128" ref="A146"/>
  </hyperlinks>
  <drawing r:id="rId1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0"/>
    <col customWidth="1" min="2" max="2" width="5.63"/>
    <col customWidth="1" min="3" max="3" width="14.25"/>
    <col customWidth="1" min="4" max="4" width="10.88"/>
    <col customWidth="1" min="5" max="5" width="14.38"/>
    <col customWidth="1" min="6" max="6" width="4.75"/>
    <col customWidth="1" min="7" max="7" width="6.38"/>
    <col customWidth="1" min="8" max="8" width="4.75"/>
    <col customWidth="1" min="9" max="9" width="7.13"/>
    <col customWidth="1" min="10" max="10" width="8.0"/>
    <col customWidth="1" min="11" max="11" width="5.25"/>
    <col customWidth="1" min="12" max="12" width="5.88"/>
    <col customWidth="1" min="13" max="13" width="6.25"/>
    <col customWidth="1" min="14" max="14" width="5.88"/>
    <col customWidth="1" min="15" max="15" width="7.25"/>
    <col customWidth="1" min="16" max="20" width="3.88"/>
    <col customWidth="1" min="21" max="21" width="4.25"/>
    <col customWidth="1" min="22" max="23" width="5.13"/>
    <col customWidth="1" min="24" max="29" width="5.0"/>
    <col customWidth="1" min="30" max="38" width="4.25"/>
  </cols>
  <sheetData>
    <row r="1">
      <c r="A1" s="1" t="s">
        <v>61</v>
      </c>
      <c r="B1" s="1" t="s">
        <v>29</v>
      </c>
      <c r="C1" s="1" t="s">
        <v>63</v>
      </c>
      <c r="D1" s="1" t="s">
        <v>243</v>
      </c>
      <c r="E1" s="32" t="s">
        <v>246</v>
      </c>
      <c r="F1" s="62" t="s">
        <v>65</v>
      </c>
      <c r="G1" s="62" t="s">
        <v>247</v>
      </c>
      <c r="H1" s="62" t="s">
        <v>248</v>
      </c>
      <c r="I1" s="62" t="s">
        <v>249</v>
      </c>
      <c r="J1" s="63" t="s">
        <v>250</v>
      </c>
      <c r="K1" s="63" t="s">
        <v>251</v>
      </c>
      <c r="L1" s="64" t="s">
        <v>64</v>
      </c>
      <c r="M1" s="62" t="s">
        <v>252</v>
      </c>
      <c r="N1" s="62" t="s">
        <v>253</v>
      </c>
      <c r="O1" s="62" t="s">
        <v>254</v>
      </c>
      <c r="P1" s="63" t="s">
        <v>255</v>
      </c>
      <c r="Q1" s="63" t="s">
        <v>256</v>
      </c>
      <c r="R1" s="64" t="s">
        <v>257</v>
      </c>
      <c r="S1" s="62" t="s">
        <v>258</v>
      </c>
      <c r="T1" s="62" t="s">
        <v>259</v>
      </c>
      <c r="U1" s="62" t="s">
        <v>260</v>
      </c>
      <c r="V1" s="63" t="s">
        <v>261</v>
      </c>
      <c r="W1" s="63" t="s">
        <v>262</v>
      </c>
      <c r="X1" s="64" t="s">
        <v>263</v>
      </c>
      <c r="Y1" s="62" t="s">
        <v>264</v>
      </c>
      <c r="Z1" s="62" t="s">
        <v>265</v>
      </c>
      <c r="AA1" s="62" t="s">
        <v>266</v>
      </c>
      <c r="AB1" s="63" t="s">
        <v>267</v>
      </c>
      <c r="AC1" s="63" t="s">
        <v>268</v>
      </c>
      <c r="AD1" s="46" t="s">
        <v>269</v>
      </c>
      <c r="AE1" s="47" t="s">
        <v>270</v>
      </c>
      <c r="AF1" s="47" t="s">
        <v>271</v>
      </c>
      <c r="AG1" s="47" t="s">
        <v>272</v>
      </c>
      <c r="AH1" s="47" t="s">
        <v>273</v>
      </c>
      <c r="AI1" s="47" t="s">
        <v>274</v>
      </c>
      <c r="AJ1" s="1" t="s">
        <v>275</v>
      </c>
      <c r="AK1" s="1" t="s">
        <v>244</v>
      </c>
      <c r="AL1" s="1" t="s">
        <v>245</v>
      </c>
    </row>
    <row r="2">
      <c r="A2" s="3" t="s">
        <v>824</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"),"社会アルファベット略称一覧｜国連UN・NGO｜中受〜高入")</f>
        <v>社会アルファベット略称一覧｜国連UN・NGO｜中受〜高入</v>
      </c>
      <c r="D2" s="1" t="str">
        <f>IFERROR(__xludf.DUMMYFUNCTION("IFERROR(
  VLOOKUP(
    A2,
    IMPORTRANGE(
      ""1ZygntHC1J6IxzKbTidmOyf5nUyW4GCLurHCjexrLm_o        "",
      ""HTMLキャッシュ!A:F""
    ),
    6,
    FALSE
  ),
  0
)
"),"社会のアルファベット略称一覧。NGO・UN・ODA・GDP、UNICEF/UNHCR、APECとOPECの違い、NGOとNPOの違いを中学受験〜高入向けに整理。")</f>
        <v>社会のアルファベット略称一覧。NGO・UN・ODA・GDP、UNICEF/UNHCR、APECとOPECの違い、NGOとNPOの違いを中学受験〜高入向けに整理。</v>
      </c>
      <c r="E2" s="32">
        <f>IFERROR(__xludf.DUMMYFUNCTION("IFERROR(
  VLOOKUP(
    A2,
    IMPORTRANGE(
      ""1ZygntHC1J6IxzKbTidmOyf5nUyW4GCLurHCjexrLm_o        "",
      ""HTMLキャッシュ!A:F""
    ),
    3,
    FALSE
  ),
  0
)
"),46078.6583912037)</f>
        <v>46078.65839</v>
      </c>
      <c r="F2" s="49">
        <f>IFERROR(__xludf.DUMMYFUNCTION("IFERROR(
  VLOOKUP(
    A2,
    IMPORTRANGE(
      ""1ZHMy3vVUd_0MrSduXTe1etBb1HNpAlGwQr006ljwMiM"",
      ""GSC最新!A:F""
    ),
    2,
    FALSE
  ),
  0
)
"),4242.0)</f>
        <v>4242</v>
      </c>
      <c r="G2" s="49">
        <f>IFERROR(__xludf.DUMMYFUNCTION("IFERROR(
  VLOOKUP(
    A2,
    IMPORTRANGE(
      ""1ZHMy3vVUd_0MrSduXTe1etBb1HNpAlGwQr006ljwMiM"",
      ""GSC最新!A:F""
    ),
    3,
    FALSE
  ),
  0
)
"),10308.0)</f>
        <v>10308</v>
      </c>
      <c r="H2" s="49">
        <f>IFERROR(__xludf.DUMMYFUNCTION("IFERROR(
  VLOOKUP(
    A2,
    IMPORTRANGE(
      ""1ZHMy3vVUd_0MrSduXTe1etBb1HNpAlGwQr006ljwMiM"",
      ""GSC最新!A:F""
    ),
    4,
    FALSE
  ),
  0
)
"),5507.0)</f>
        <v>5507</v>
      </c>
      <c r="I2" s="49">
        <f>IFERROR(__xludf.DUMMYFUNCTION("IFERROR(
  VLOOKUP(
    A2,
    IMPORTRANGE(
      ""1ZHMy3vVUd_0MrSduXTe1etBb1HNpAlGwQr006ljwMiM"",
      ""GSC最新!A:F""
    ),
    5,
    FALSE
  ),
  0
)
"),11933.0)</f>
        <v>11933</v>
      </c>
      <c r="J2" s="50">
        <f t="shared" ref="J2:K2" si="1">IFERROR(F2/H2,"-")</f>
        <v>0.7702923552</v>
      </c>
      <c r="K2" s="50">
        <f t="shared" si="1"/>
        <v>0.8638230118</v>
      </c>
      <c r="L2" s="6">
        <f>IFERROR(__xludf.DUMMYFUNCTION("IFERROR(
  VLOOKUP(
    A2,
    IMPORTRANGE(
      ""1ZHMy3vVUd_0MrSduXTe1etBb1HNpAlGwQr006ljwMiM"",
      ""GSC最新!A:R""
    ),
    7,
    FALSE
  ),
  0
)
"),41964.0)</f>
        <v>41964</v>
      </c>
      <c r="M2" s="6">
        <f>IFERROR(__xludf.DUMMYFUNCTION("IFERROR(
  VLOOKUP(
    A2,
    IMPORTRANGE(
      ""1ZHMy3vVUd_0MrSduXTe1etBb1HNpAlGwQr006ljwMiM"",
      ""GSC最新!A:R""
    ),
    10,
    FALSE
  ),
  0
)
"),116023.0)</f>
        <v>116023</v>
      </c>
      <c r="N2" s="6">
        <f>IFERROR(__xludf.DUMMYFUNCTION("IFERROR(
  VLOOKUP(
    A2,
    IMPORTRANGE(
      ""1ZHMy3vVUd_0MrSduXTe1etBb1HNpAlGwQr006ljwMiM"",
      ""GSC最新!A:R""
    ),
    13,
    FALSE
  ),
  0
)
"),35373.0)</f>
        <v>35373</v>
      </c>
      <c r="O2" s="6">
        <f>IFERROR(__xludf.DUMMYFUNCTION("IFERROR(
  VLOOKUP(
    A2,
    IMPORTRANGE(
      ""1ZHMy3vVUd_0MrSduXTe1etBb1HNpAlGwQr006ljwMiM"",
      ""GSC最新!A:R""
    ),
    16,
    FALSE
  ),
  0
)
"),81667.0)</f>
        <v>81667</v>
      </c>
      <c r="P2" s="51">
        <f t="shared" ref="P2:Q2" si="2">IFERROR(L2/N2,"-")</f>
        <v>1.186328556</v>
      </c>
      <c r="Q2" s="51">
        <f t="shared" si="2"/>
        <v>1.420683997</v>
      </c>
      <c r="R2" s="9">
        <f>IFERROR(__xludf.DUMMYFUNCTION("IFERROR(
  VLOOKUP(
    A2,
    IMPORTRANGE(
      ""1ZHMy3vVUd_0MrSduXTe1etBb1HNpAlGwQr006ljwMiM"",
      ""GSC最新!A:R""
    ),
    8,
    FALSE
  ),
  0
)
"),0.10108664569631112)</f>
        <v>0.1010866457</v>
      </c>
      <c r="S2" s="9">
        <f>IFERROR(__xludf.DUMMYFUNCTION("IFERROR(
  VLOOKUP(
    A2,
    IMPORTRANGE(
      ""1ZHMy3vVUd_0MrSduXTe1etBb1HNpAlGwQr006ljwMiM"",
      ""GSC最新!A:R""
    ),
    11,
    FALSE
  ),
  0
)
"),0.08884445325495807)</f>
        <v>0.08884445325</v>
      </c>
      <c r="T2" s="9">
        <f>IFERROR(__xludf.DUMMYFUNCTION("IFERROR(
  VLOOKUP(
    A2,
    IMPORTRANGE(
      ""1ZHMy3vVUd_0MrSduXTe1etBb1HNpAlGwQr006ljwMiM"",
      ""GSC最新!A:R""
    ),
    14,
    FALSE
  ),
  0
)
"),0.15568371356684477)</f>
        <v>0.1556837136</v>
      </c>
      <c r="U2" s="9">
        <f>IFERROR(__xludf.DUMMYFUNCTION("IFERROR(
  VLOOKUP(
    A2,
    IMPORTRANGE(
      ""1ZHMy3vVUd_0MrSduXTe1etBb1HNpAlGwQr006ljwMiM"",
      ""GSC最新!A:R""
    ),
    17,
    FALSE
  ),
  0
)
"),0.14611777094787368)</f>
        <v>0.1461177709</v>
      </c>
      <c r="V2" s="9">
        <f t="shared" ref="V2:W2" si="3">IFERROR(R2-T2,"-")</f>
        <v>-0.05459706787</v>
      </c>
      <c r="W2" s="9">
        <f t="shared" si="3"/>
        <v>-0.05727331769</v>
      </c>
      <c r="X2" s="65">
        <f>IFERROR(__xludf.DUMMYFUNCTION("IFERROR(
  VLOOKUP(
    A2,
    IMPORTRANGE(
      ""1ZHMy3vVUd_0MrSduXTe1etBb1HNpAlGwQr006ljwMiM"",
      ""GSC最新!A:R""
    ),
    9,
    FALSE
  ),
  0
)
"),4.900557620817844)</f>
        <v>4.900557621</v>
      </c>
      <c r="Y2" s="65">
        <f>IFERROR(__xludf.DUMMYFUNCTION("IFERROR(
  VLOOKUP(
    A2,
    IMPORTRANGE(
      ""1ZHMy3vVUd_0MrSduXTe1etBb1HNpAlGwQr006ljwMiM"",
      ""GSC最新!A:R""
    ),
    12,
    FALSE
  ),
  0
)
"),5.420692448910992)</f>
        <v>5.420692449</v>
      </c>
      <c r="Z2" s="65">
        <f>IFERROR(__xludf.DUMMYFUNCTION("IFERROR(
  VLOOKUP(
    A2,
    IMPORTRANGE(
      ""1ZHMy3vVUd_0MrSduXTe1etBb1HNpAlGwQr006ljwMiM"",
      ""GSC最新!A:R""
    ),
    15,
    FALSE
  ),
  0
)
"),5.970853475814887)</f>
        <v>5.970853476</v>
      </c>
      <c r="AA2" s="65">
        <f>IFERROR(__xludf.DUMMYFUNCTION("IFERROR(
  VLOOKUP(
    A2,
    IMPORTRANGE(
      ""1ZHMy3vVUd_0MrSduXTe1etBb1HNpAlGwQr006ljwMiM"",
      ""GSC最新!A:R""
    ),
    18,
    FALSE
  ),
  0
)
"),6.542520234611287)</f>
        <v>6.542520235</v>
      </c>
      <c r="AB2" s="65">
        <f t="shared" ref="AB2:AC2" si="4">X2-Z2</f>
        <v>-1.070295855</v>
      </c>
      <c r="AC2" s="65">
        <f t="shared" si="4"/>
        <v>-1.121827786</v>
      </c>
      <c r="AD2" s="53">
        <f>IFERROR(__xludf.DUMMYFUNCTION("IFERROR(
  VLOOKUP(
    A2,
    IMPORTRANGE(
      ""1ZHMy3vVUd_0MrSduXTe1etBb1HNpAlGwQr006ljwMiM"",
      ""GSC最新!A:F""
    ),
    6,
    FALSE
  ),
  0
)
"),46081.0)</f>
        <v>46081</v>
      </c>
      <c r="AE2" s="54">
        <f>IFERROR(__xludf.DUMMYFUNCTION("IFERROR(
  VLOOKUP(
    A2,
    IMPORTRANGE(
      ""1SCYQd7_cobOYqT0r_F0IqD4tE4rYn5y8Eup4PJTH8es"",
      ""Snapshot!A:M""
    ),
    5,
    FALSE
  ),
  ""-""
)
"),5.0)</f>
        <v>5</v>
      </c>
      <c r="AF2" s="54">
        <f>IFERROR(__xludf.DUMMYFUNCTION("IFERROR(
  VLOOKUP(
    A2,
    IMPORTRANGE(
      ""1SCYQd7_cobOYqT0r_F0IqD4tE4rYn5y8Eup4PJTH8es"",
      ""Snapshot!A:M""
    ),
    6,
    FALSE
  ),
  0
)
"),9.0)</f>
        <v>9</v>
      </c>
      <c r="AG2" s="54">
        <f>IFERROR(__xludf.DUMMYFUNCTION("IFERROR(
  VLOOKUP(
    A2,
    IMPORTRANGE(
      ""1SCYQd7_cobOYqT0r_F0IqD4tE4rYn5y8Eup4PJTH8es"",
      ""Snapshot!A:M""
    ),
    7,
    FALSE
  ),
  0
)
"),4411.0)</f>
        <v>4411</v>
      </c>
      <c r="AH2" s="54">
        <f>IFERROR(__xludf.DUMMYFUNCTION("IFERROR(
  VLOOKUP(
    A2,
    IMPORTRANGE(
      ""1SCYQd7_cobOYqT0r_F0IqD4tE4rYn5y8Eup4PJTH8es"",
      ""Snapshot!A:M""
    ),
    8,
    FALSE
  ),
  0
)
"),5.0)</f>
        <v>5</v>
      </c>
      <c r="AI2" s="54">
        <f>IFERROR(__xludf.DUMMYFUNCTION("IFERROR(
  VLOOKUP(
    A2,
    IMPORTRANGE(
      ""1SCYQd7_cobOYqT0r_F0IqD4tE4rYn5y8Eup4PJTH8es"",
      ""Snapshot!A:M""
    ),
    9,
    FALSE
  ),
  0
)
"),3.0)</f>
        <v>3</v>
      </c>
      <c r="AJ2" s="54">
        <f>IFERROR(__xludf.DUMMYFUNCTION("IFERROR(
  VLOOKUP(
    A2,
    IMPORTRANGE(
      ""1SCYQd7_cobOYqT0r_F0IqD4tE4rYn5y8Eup4PJTH8es"",
      ""Snapshot!A:M""
    ),
    13,
    FALSE
  ),
  0
)
"),2.0)</f>
        <v>2</v>
      </c>
      <c r="AK2" s="49">
        <f t="shared" ref="AK2:AL2" si="5">LEN(C2)</f>
        <v>28</v>
      </c>
      <c r="AL2" s="49">
        <f t="shared" si="5"/>
        <v>80</v>
      </c>
    </row>
    <row r="3">
      <c r="A3" s="3" t="s">
        <v>825</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"),"中学受験社会の間違えやすい漢字｜地理・歴史・公民一覧")</f>
        <v>中学受験社会の間違えやすい漢字｜地理・歴史・公民一覧</v>
      </c>
      <c r="D3" s="1" t="str">
        <f>IFERROR(__xludf.DUMMYFUNCTION("IFERROR(
  VLOOKUP(
    A3,
    IMPORTRANGE(
      ""1ZygntHC1J6IxzKbTidmOyf5nUyW4GCLurHCjexrLm_o        "",
      ""HTMLキャッシュ!A:F""
    ),
    6,
    FALSE
  ),
  0
)
"),"中学受験社会の間違えやすい漢字を地理・歴史・公民で一覧化。飛驒山脈、新潟の潟、墾田永年私財法などを誤字例つきで確認でき、テスト前の見直しに使えます。")</f>
        <v>中学受験社会の間違えやすい漢字を地理・歴史・公民で一覧化。飛驒山脈、新潟の潟、墾田永年私財法などを誤字例つきで確認でき、テスト前の見直しに使えます。</v>
      </c>
      <c r="E3" s="32">
        <f>IFERROR(__xludf.DUMMYFUNCTION("IFERROR(
  VLOOKUP(
    A3,
    IMPORTRANGE(
      ""1ZygntHC1J6IxzKbTidmOyf5nUyW4GCLurHCjexrLm_o        "",
      ""HTMLキャッシュ!A:F""
    ),
    3,
    FALSE
  ),
  0
)
"),46078.65925925926)</f>
        <v>46078.65926</v>
      </c>
      <c r="F3" s="49">
        <f>IFERROR(__xludf.DUMMYFUNCTION("IFERROR(
  VLOOKUP(
    A3,
    IMPORTRANGE(
      ""1ZHMy3vVUd_0MrSduXTe1etBb1HNpAlGwQr006ljwMiM"",
      ""GSC最新!A:F""
    ),
    2,
    FALSE
  ),
  0
)
"),462.0)</f>
        <v>462</v>
      </c>
      <c r="G3" s="49">
        <f>IFERROR(__xludf.DUMMYFUNCTION("IFERROR(
  VLOOKUP(
    A3,
    IMPORTRANGE(
      ""1ZHMy3vVUd_0MrSduXTe1etBb1HNpAlGwQr006ljwMiM"",
      ""GSC最新!A:F""
    ),
    3,
    FALSE
  ),
  0
)
"),1973.0)</f>
        <v>1973</v>
      </c>
      <c r="H3" s="49">
        <f>IFERROR(__xludf.DUMMYFUNCTION("IFERROR(
  VLOOKUP(
    A3,
    IMPORTRANGE(
      ""1ZHMy3vVUd_0MrSduXTe1etBb1HNpAlGwQr006ljwMiM"",
      ""GSC最新!A:F""
    ),
    4,
    FALSE
  ),
  0
)
"),566.0)</f>
        <v>566</v>
      </c>
      <c r="I3" s="49">
        <f>IFERROR(__xludf.DUMMYFUNCTION("IFERROR(
  VLOOKUP(
    A3,
    IMPORTRANGE(
      ""1ZHMy3vVUd_0MrSduXTe1etBb1HNpAlGwQr006ljwMiM"",
      ""GSC最新!A:F""
    ),
    5,
    FALSE
  ),
  0
)
"),1865.0)</f>
        <v>1865</v>
      </c>
      <c r="J3" s="50">
        <f t="shared" ref="J3:K3" si="6">IFERROR(F3/H3,"-")</f>
        <v>0.816254417</v>
      </c>
      <c r="K3" s="50">
        <f t="shared" si="6"/>
        <v>1.057908847</v>
      </c>
      <c r="L3" s="6">
        <f>IFERROR(__xludf.DUMMYFUNCTION("IFERROR(
  VLOOKUP(
    A3,
    IMPORTRANGE(
      ""1ZHMy3vVUd_0MrSduXTe1etBb1HNpAlGwQr006ljwMiM"",
      ""GSC最新!A:R""
    ),
    7,
    FALSE
  ),
  0
)
"),17129.0)</f>
        <v>17129</v>
      </c>
      <c r="M3" s="6">
        <f>IFERROR(__xludf.DUMMYFUNCTION("IFERROR(
  VLOOKUP(
    A3,
    IMPORTRANGE(
      ""1ZHMy3vVUd_0MrSduXTe1etBb1HNpAlGwQr006ljwMiM"",
      ""GSC最新!A:R""
    ),
    10,
    FALSE
  ),
  0
)
"),48574.0)</f>
        <v>48574</v>
      </c>
      <c r="N3" s="6">
        <f>IFERROR(__xludf.DUMMYFUNCTION("IFERROR(
  VLOOKUP(
    A3,
    IMPORTRANGE(
      ""1ZHMy3vVUd_0MrSduXTe1etBb1HNpAlGwQr006ljwMiM"",
      ""GSC最新!A:R""
    ),
    13,
    FALSE
  ),
  0
)
"),4647.0)</f>
        <v>4647</v>
      </c>
      <c r="O3" s="6">
        <f>IFERROR(__xludf.DUMMYFUNCTION("IFERROR(
  VLOOKUP(
    A3,
    IMPORTRANGE(
      ""1ZHMy3vVUd_0MrSduXTe1etBb1HNpAlGwQr006ljwMiM"",
      ""GSC最新!A:R""
    ),
    16,
    FALSE
  ),
  0
)
"),13930.0)</f>
        <v>13930</v>
      </c>
      <c r="P3" s="51">
        <f t="shared" ref="P3:Q3" si="7">IFERROR(L3/N3,"-")</f>
        <v>3.686034</v>
      </c>
      <c r="Q3" s="51">
        <f t="shared" si="7"/>
        <v>3.487006461</v>
      </c>
      <c r="R3" s="9">
        <f>IFERROR(__xludf.DUMMYFUNCTION("IFERROR(
  VLOOKUP(
    A3,
    IMPORTRANGE(
      ""1ZHMy3vVUd_0MrSduXTe1etBb1HNpAlGwQr006ljwMiM"",
      ""GSC最新!A:R""
    ),
    8,
    FALSE
  ),
  0
)
"),0.026971802206783815)</f>
        <v>0.02697180221</v>
      </c>
      <c r="S3" s="9">
        <f>IFERROR(__xludf.DUMMYFUNCTION("IFERROR(
  VLOOKUP(
    A3,
    IMPORTRANGE(
      ""1ZHMy3vVUd_0MrSduXTe1etBb1HNpAlGwQr006ljwMiM"",
      ""GSC最新!A:R""
    ),
    11,
    FALSE
  ),
  0
)
"),0.04061843784740808)</f>
        <v>0.04061843785</v>
      </c>
      <c r="T3" s="9">
        <f>IFERROR(__xludf.DUMMYFUNCTION("IFERROR(
  VLOOKUP(
    A3,
    IMPORTRANGE(
      ""1ZHMy3vVUd_0MrSduXTe1etBb1HNpAlGwQr006ljwMiM"",
      ""GSC最新!A:R""
    ),
    14,
    FALSE
  ),
  0
)
"),0.12179901011405207)</f>
        <v>0.1217990101</v>
      </c>
      <c r="U3" s="9">
        <f>IFERROR(__xludf.DUMMYFUNCTION("IFERROR(
  VLOOKUP(
    A3,
    IMPORTRANGE(
      ""1ZHMy3vVUd_0MrSduXTe1etBb1HNpAlGwQr006ljwMiM"",
      ""GSC最新!A:R""
    ),
    17,
    FALSE
  ),
  0
)
"),0.13388370423546303)</f>
        <v>0.1338837042</v>
      </c>
      <c r="V3" s="9">
        <f t="shared" ref="V3:W3" si="8">IFERROR(R3-T3,"-")</f>
        <v>-0.09482720791</v>
      </c>
      <c r="W3" s="9">
        <f t="shared" si="8"/>
        <v>-0.09326526639</v>
      </c>
      <c r="X3" s="65">
        <f>IFERROR(__xludf.DUMMYFUNCTION("IFERROR(
  VLOOKUP(
    A3,
    IMPORTRANGE(
      ""1ZHMy3vVUd_0MrSduXTe1etBb1HNpAlGwQr006ljwMiM"",
      ""GSC最新!A:R""
    ),
    9,
    FALSE
  ),
  0
)
"),4.905190028606457)</f>
        <v>4.905190029</v>
      </c>
      <c r="Y3" s="65">
        <f>IFERROR(__xludf.DUMMYFUNCTION("IFERROR(
  VLOOKUP(
    A3,
    IMPORTRANGE(
      ""1ZHMy3vVUd_0MrSduXTe1etBb1HNpAlGwQr006ljwMiM"",
      ""GSC最新!A:R""
    ),
    12,
    FALSE
  ),
  0
)
"),5.491332811792317)</f>
        <v>5.491332812</v>
      </c>
      <c r="Z3" s="65">
        <f>IFERROR(__xludf.DUMMYFUNCTION("IFERROR(
  VLOOKUP(
    A3,
    IMPORTRANGE(
      ""1ZHMy3vVUd_0MrSduXTe1etBb1HNpAlGwQr006ljwMiM"",
      ""GSC最新!A:R""
    ),
    15,
    FALSE
  ),
  0
)
"),7.9847213255864)</f>
        <v>7.984721326</v>
      </c>
      <c r="AA3" s="65">
        <f>IFERROR(__xludf.DUMMYFUNCTION("IFERROR(
  VLOOKUP(
    A3,
    IMPORTRANGE(
      ""1ZHMy3vVUd_0MrSduXTe1etBb1HNpAlGwQr006ljwMiM"",
      ""GSC最新!A:R""
    ),
    18,
    FALSE
  ),
  0
)
"),8.34070351758794)</f>
        <v>8.340703518</v>
      </c>
      <c r="AB3" s="65">
        <f t="shared" ref="AB3:AC3" si="9">X3-Z3</f>
        <v>-3.079531297</v>
      </c>
      <c r="AC3" s="65">
        <f t="shared" si="9"/>
        <v>-2.849370706</v>
      </c>
      <c r="AD3" s="53">
        <f>IFERROR(__xludf.DUMMYFUNCTION("IFERROR(
  VLOOKUP(
    A3,
    IMPORTRANGE(
      ""1ZHMy3vVUd_0MrSduXTe1etBb1HNpAlGwQr006ljwMiM"",
      ""GSC最新!A:F""
    ),
    6,
    FALSE
  ),
  0
)
"),46081.0)</f>
        <v>46081</v>
      </c>
      <c r="AE3" s="54">
        <f>IFERROR(__xludf.DUMMYFUNCTION("IFERROR(
  VLOOKUP(
    A3,
    IMPORTRANGE(
      ""1SCYQd7_cobOYqT0r_F0IqD4tE4rYn5y8Eup4PJTH8es"",
      ""Snapshot!A:M""
    ),
    5,
    FALSE
  ),
  ""-""
)
"),6.0)</f>
        <v>6</v>
      </c>
      <c r="AF3" s="54">
        <f>IFERROR(__xludf.DUMMYFUNCTION("IFERROR(
  VLOOKUP(
    A3,
    IMPORTRANGE(
      ""1SCYQd7_cobOYqT0r_F0IqD4tE4rYn5y8Eup4PJTH8es"",
      ""Snapshot!A:M""
    ),
    6,
    FALSE
  ),
  0
)
"),3.0)</f>
        <v>3</v>
      </c>
      <c r="AG3" s="54">
        <f>IFERROR(__xludf.DUMMYFUNCTION("IFERROR(
  VLOOKUP(
    A3,
    IMPORTRANGE(
      ""1SCYQd7_cobOYqT0r_F0IqD4tE4rYn5y8Eup4PJTH8es"",
      ""Snapshot!A:M""
    ),
    7,
    FALSE
  ),
  0
)
"),4499.0)</f>
        <v>4499</v>
      </c>
      <c r="AH3" s="54">
        <f>IFERROR(__xludf.DUMMYFUNCTION("IFERROR(
  VLOOKUP(
    A3,
    IMPORTRANGE(
      ""1SCYQd7_cobOYqT0r_F0IqD4tE4rYn5y8Eup4PJTH8es"",
      ""Snapshot!A:M""
    ),
    8,
    FALSE
  ),
  0
)
"),5.0)</f>
        <v>5</v>
      </c>
      <c r="AI3" s="54">
        <f>IFERROR(__xludf.DUMMYFUNCTION("IFERROR(
  VLOOKUP(
    A3,
    IMPORTRANGE(
      ""1SCYQd7_cobOYqT0r_F0IqD4tE4rYn5y8Eup4PJTH8es"",
      ""Snapshot!A:M""
    ),
    9,
    FALSE
  ),
  0
)
"),8.0)</f>
        <v>8</v>
      </c>
      <c r="AJ3" s="54">
        <f>IFERROR(__xludf.DUMMYFUNCTION("IFERROR(
  VLOOKUP(
    A3,
    IMPORTRANGE(
      ""1SCYQd7_cobOYqT0r_F0IqD4tE4rYn5y8Eup4PJTH8es"",
      ""Snapshot!A:M""
    ),
    13,
    FALSE
  ),
  0
)
"),2.0)</f>
        <v>2</v>
      </c>
      <c r="AK3" s="49">
        <f t="shared" ref="AK3:AL3" si="10">LEN(C3)</f>
        <v>26</v>
      </c>
      <c r="AL3" s="49">
        <f t="shared" si="10"/>
        <v>74</v>
      </c>
    </row>
    <row r="4">
      <c r="A4" s="3" t="s">
        <v>826</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"),"中学受験社会のカタカナ用語｜意味つき一覧で政治・地理・公民・時事をまとめて確認")</f>
        <v>中学受験社会のカタカナ用語｜意味つき一覧で政治・地理・公民・時事をまとめて確認</v>
      </c>
      <c r="D4" s="1" t="str">
        <f>IFERROR(__xludf.DUMMYFUNCTION("IFERROR(
  VLOOKUP(
    A4,
    IMPORTRANGE(
      ""1ZygntHC1J6IxzKbTidmOyf5nUyW4GCLurHCjexrLm_o        "",
      ""HTMLキャッシュ!A:F""
    ),
    6,
    FALSE
  ),
  0
)
"),"中学受験社会で頻出のカタカナ語を「用語＋意味」で分野別に整理（政治・地理・公民・時事・環境・生活/情報）。")</f>
        <v>中学受験社会で頻出のカタカナ語を「用語＋意味」で分野別に整理（政治・地理・公民・時事・環境・生活/情報）。</v>
      </c>
      <c r="E4" s="32">
        <f>IFERROR(__xludf.DUMMYFUNCTION("IFERROR(
  VLOOKUP(
    A4,
    IMPORTRANGE(
      ""1ZygntHC1J6IxzKbTidmOyf5nUyW4GCLurHCjexrLm_o        "",
      ""HTMLキャッシュ!A:F""
    ),
    3,
    FALSE
  ),
  0
)
"),46076.626851851855)</f>
        <v>46076.62685</v>
      </c>
      <c r="F4" s="49">
        <f>IFERROR(__xludf.DUMMYFUNCTION("IFERROR(
  VLOOKUP(
    A4,
    IMPORTRANGE(
      ""1ZHMy3vVUd_0MrSduXTe1etBb1HNpAlGwQr006ljwMiM"",
      ""GSC最新!A:F""
    ),
    2,
    FALSE
  ),
  0
)
"),354.0)</f>
        <v>354</v>
      </c>
      <c r="G4" s="49">
        <f>IFERROR(__xludf.DUMMYFUNCTION("IFERROR(
  VLOOKUP(
    A4,
    IMPORTRANGE(
      ""1ZHMy3vVUd_0MrSduXTe1etBb1HNpAlGwQr006ljwMiM"",
      ""GSC最新!A:F""
    ),
    3,
    FALSE
  ),
  0
)
"),1132.0)</f>
        <v>1132</v>
      </c>
      <c r="H4" s="49">
        <f>IFERROR(__xludf.DUMMYFUNCTION("IFERROR(
  VLOOKUP(
    A4,
    IMPORTRANGE(
      ""1ZHMy3vVUd_0MrSduXTe1etBb1HNpAlGwQr006ljwMiM"",
      ""GSC最新!A:F""
    ),
    4,
    FALSE
  ),
  0
)
"),193.0)</f>
        <v>193</v>
      </c>
      <c r="I4" s="49">
        <f>IFERROR(__xludf.DUMMYFUNCTION("IFERROR(
  VLOOKUP(
    A4,
    IMPORTRANGE(
      ""1ZHMy3vVUd_0MrSduXTe1etBb1HNpAlGwQr006ljwMiM"",
      ""GSC最新!A:F""
    ),
    5,
    FALSE
  ),
  0
)
"),779.0)</f>
        <v>779</v>
      </c>
      <c r="J4" s="50">
        <f t="shared" ref="J4:K4" si="11">IFERROR(F4/H4,"-")</f>
        <v>1.834196891</v>
      </c>
      <c r="K4" s="50">
        <f t="shared" si="11"/>
        <v>1.453145058</v>
      </c>
      <c r="L4" s="6">
        <f>IFERROR(__xludf.DUMMYFUNCTION("IFERROR(
  VLOOKUP(
    A4,
    IMPORTRANGE(
      ""1ZHMy3vVUd_0MrSduXTe1etBb1HNpAlGwQr006ljwMiM"",
      ""GSC最新!A:R""
    ),
    7,
    FALSE
  ),
  0
)
"),4952.0)</f>
        <v>4952</v>
      </c>
      <c r="M4" s="6">
        <f>IFERROR(__xludf.DUMMYFUNCTION("IFERROR(
  VLOOKUP(
    A4,
    IMPORTRANGE(
      ""1ZHMy3vVUd_0MrSduXTe1etBb1HNpAlGwQr006ljwMiM"",
      ""GSC最新!A:R""
    ),
    10,
    FALSE
  ),
  0
)
"),14542.0)</f>
        <v>14542</v>
      </c>
      <c r="N4" s="6">
        <f>IFERROR(__xludf.DUMMYFUNCTION("IFERROR(
  VLOOKUP(
    A4,
    IMPORTRANGE(
      ""1ZHMy3vVUd_0MrSduXTe1etBb1HNpAlGwQr006ljwMiM"",
      ""GSC最新!A:R""
    ),
    13,
    FALSE
  ),
  0
)
"),2008.0)</f>
        <v>2008</v>
      </c>
      <c r="O4" s="6">
        <f>IFERROR(__xludf.DUMMYFUNCTION("IFERROR(
  VLOOKUP(
    A4,
    IMPORTRANGE(
      ""1ZHMy3vVUd_0MrSduXTe1etBb1HNpAlGwQr006ljwMiM"",
      ""GSC最新!A:R""
    ),
    16,
    FALSE
  ),
  0
)
"),5883.0)</f>
        <v>5883</v>
      </c>
      <c r="P4" s="51">
        <f t="shared" ref="P4:Q4" si="12">IFERROR(L4/N4,"-")</f>
        <v>2.466135458</v>
      </c>
      <c r="Q4" s="51">
        <f t="shared" si="12"/>
        <v>2.471868095</v>
      </c>
      <c r="R4" s="9">
        <f>IFERROR(__xludf.DUMMYFUNCTION("IFERROR(
  VLOOKUP(
    A4,
    IMPORTRANGE(
      ""1ZHMy3vVUd_0MrSduXTe1etBb1HNpAlGwQr006ljwMiM"",
      ""GSC最新!A:R""
    ),
    8,
    FALSE
  ),
  0
)
"),0.07148626817447495)</f>
        <v>0.07148626817</v>
      </c>
      <c r="S4" s="9">
        <f>IFERROR(__xludf.DUMMYFUNCTION("IFERROR(
  VLOOKUP(
    A4,
    IMPORTRANGE(
      ""1ZHMy3vVUd_0MrSduXTe1etBb1HNpAlGwQr006ljwMiM"",
      ""GSC最新!A:R""
    ),
    11,
    FALSE
  ),
  0
)
"),0.07784348782835923)</f>
        <v>0.07784348783</v>
      </c>
      <c r="T4" s="9">
        <f>IFERROR(__xludf.DUMMYFUNCTION("IFERROR(
  VLOOKUP(
    A4,
    IMPORTRANGE(
      ""1ZHMy3vVUd_0MrSduXTe1etBb1HNpAlGwQr006ljwMiM"",
      ""GSC最新!A:R""
    ),
    14,
    FALSE
  ),
  0
)
"),0.09611553784860558)</f>
        <v>0.09611553785</v>
      </c>
      <c r="U4" s="9">
        <f>IFERROR(__xludf.DUMMYFUNCTION("IFERROR(
  VLOOKUP(
    A4,
    IMPORTRANGE(
      ""1ZHMy3vVUd_0MrSduXTe1etBb1HNpAlGwQr006ljwMiM"",
      ""GSC最新!A:R""
    ),
    17,
    FALSE
  ),
  0
)
"),0.13241543430222674)</f>
        <v>0.1324154343</v>
      </c>
      <c r="V4" s="9">
        <f t="shared" ref="V4:W4" si="13">IFERROR(R4-T4,"-")</f>
        <v>-0.02462926967</v>
      </c>
      <c r="W4" s="9">
        <f t="shared" si="13"/>
        <v>-0.05457194647</v>
      </c>
      <c r="X4" s="65">
        <f>IFERROR(__xludf.DUMMYFUNCTION("IFERROR(
  VLOOKUP(
    A4,
    IMPORTRANGE(
      ""1ZHMy3vVUd_0MrSduXTe1etBb1HNpAlGwQr006ljwMiM"",
      ""GSC最新!A:R""
    ),
    9,
    FALSE
  ),
  0
)
"),5.069063004846527)</f>
        <v>5.069063005</v>
      </c>
      <c r="Y4" s="65">
        <f>IFERROR(__xludf.DUMMYFUNCTION("IFERROR(
  VLOOKUP(
    A4,
    IMPORTRANGE(
      ""1ZHMy3vVUd_0MrSduXTe1etBb1HNpAlGwQr006ljwMiM"",
      ""GSC最新!A:R""
    ),
    12,
    FALSE
  ),
  0
)
"),5.486040434603218)</f>
        <v>5.486040435</v>
      </c>
      <c r="Z4" s="65">
        <f>IFERROR(__xludf.DUMMYFUNCTION("IFERROR(
  VLOOKUP(
    A4,
    IMPORTRANGE(
      ""1ZHMy3vVUd_0MrSduXTe1etBb1HNpAlGwQr006ljwMiM"",
      ""GSC最新!A:R""
    ),
    15,
    FALSE
  ),
  0
)
"),6.64691235059761)</f>
        <v>6.646912351</v>
      </c>
      <c r="AA4" s="65">
        <f>IFERROR(__xludf.DUMMYFUNCTION("IFERROR(
  VLOOKUP(
    A4,
    IMPORTRANGE(
      ""1ZHMy3vVUd_0MrSduXTe1etBb1HNpAlGwQr006ljwMiM"",
      ""GSC最新!A:R""
    ),
    18,
    FALSE
  ),
  0
)
"),6.535781064082951)</f>
        <v>6.535781064</v>
      </c>
      <c r="AB4" s="65">
        <f t="shared" ref="AB4:AC4" si="14">X4-Z4</f>
        <v>-1.577849346</v>
      </c>
      <c r="AC4" s="65">
        <f t="shared" si="14"/>
        <v>-1.049740629</v>
      </c>
      <c r="AD4" s="53">
        <f>IFERROR(__xludf.DUMMYFUNCTION("IFERROR(
  VLOOKUP(
    A4,
    IMPORTRANGE(
      ""1ZHMy3vVUd_0MrSduXTe1etBb1HNpAlGwQr006ljwMiM"",
      ""GSC最新!A:F""
    ),
    6,
    FALSE
  ),
  0
)
"),46081.0)</f>
        <v>46081</v>
      </c>
      <c r="AE4" s="54">
        <f>IFERROR(__xludf.DUMMYFUNCTION("IFERROR(
  VLOOKUP(
    A4,
    IMPORTRANGE(
      ""1SCYQd7_cobOYqT0r_F0IqD4tE4rYn5y8Eup4PJTH8es"",
      ""Snapshot!A:M""
    ),
    5,
    FALSE
  ),
  ""-""
)
"),6.0)</f>
        <v>6</v>
      </c>
      <c r="AF4" s="54">
        <f>IFERROR(__xludf.DUMMYFUNCTION("IFERROR(
  VLOOKUP(
    A4,
    IMPORTRANGE(
      ""1SCYQd7_cobOYqT0r_F0IqD4tE4rYn5y8Eup4PJTH8es"",
      ""Snapshot!A:M""
    ),
    6,
    FALSE
  ),
  0
)
"),8.0)</f>
        <v>8</v>
      </c>
      <c r="AG4" s="54">
        <f>IFERROR(__xludf.DUMMYFUNCTION("IFERROR(
  VLOOKUP(
    A4,
    IMPORTRANGE(
      ""1SCYQd7_cobOYqT0r_F0IqD4tE4rYn5y8Eup4PJTH8es"",
      ""Snapshot!A:M""
    ),
    7,
    FALSE
  ),
  0
)
"),5298.0)</f>
        <v>5298</v>
      </c>
      <c r="AH4" s="54">
        <f>IFERROR(__xludf.DUMMYFUNCTION("IFERROR(
  VLOOKUP(
    A4,
    IMPORTRANGE(
      ""1SCYQd7_cobOYqT0r_F0IqD4tE4rYn5y8Eup4PJTH8es"",
      ""Snapshot!A:M""
    ),
    8,
    FALSE
  ),
  0
)
"),5.0)</f>
        <v>5</v>
      </c>
      <c r="AI4" s="54">
        <f>IFERROR(__xludf.DUMMYFUNCTION("IFERROR(
  VLOOKUP(
    A4,
    IMPORTRANGE(
      ""1SCYQd7_cobOYqT0r_F0IqD4tE4rYn5y8Eup4PJTH8es"",
      ""Snapshot!A:M""
    ),
    9,
    FALSE
  ),
  0
)
"),8.0)</f>
        <v>8</v>
      </c>
      <c r="AJ4" s="54">
        <f>IFERROR(__xludf.DUMMYFUNCTION("IFERROR(
  VLOOKUP(
    A4,
    IMPORTRANGE(
      ""1SCYQd7_cobOYqT0r_F0IqD4tE4rYn5y8Eup4PJTH8es"",
      ""Snapshot!A:M""
    ),
    13,
    FALSE
  ),
  0
)
"),2.0)</f>
        <v>2</v>
      </c>
      <c r="AK4" s="49">
        <f t="shared" ref="AK4:AL4" si="15">LEN(C4)</f>
        <v>39</v>
      </c>
      <c r="AL4" s="49">
        <f t="shared" si="15"/>
        <v>53</v>
      </c>
    </row>
    <row r="5">
      <c r="A5" s="3" t="s">
        <v>279</v>
      </c>
      <c r="B5" s="1" t="str">
        <f>IFERROR(__xludf.DUMMYFUNCTION("IFERROR(
  VLOOKUP(
    A5,
    IMPORTRANGE(
      ""1ZygntHC1J6IxzKbTidmOyf5nUyW4GCLurHCjexrLm_o"",
      ""HTMLキャッシュ!A:F""
    ),
    2,
    FALSE
  ),
  0
)
"),"TP")</f>
        <v>TP</v>
      </c>
      <c r="C5" s="1" t="str">
        <f>IFERROR(__xludf.DUMMYFUNCTION("IFERROR(
  VLOOKUP(
    A5,
    IMPORTRANGE(
      ""1ZygntHC1J6IxzKbTidmOyf5nUyW4GCLurHCjexrLm_o"",
      ""HTMLキャッシュ!A:F""
    ),
    5,
    FALSE
  ),
  0
)
"),"中学受験 社会専門塾｜暗記が苦手でも得点源に変える個別指導｜地理・歴史・公民")</f>
        <v>中学受験 社会専門塾｜暗記が苦手でも得点源に変える個別指導｜地理・歴史・公民</v>
      </c>
      <c r="D5" s="1" t="str">
        <f>IFERROR(__xludf.DUMMYFUNCTION("IFERROR(
  VLOOKUP(
    A5,
    IMPORTRANGE(
      ""1ZygntHC1J6IxzKbTidmOyf5nUyW4GCLurHCjexrLm_o        "",
      ""HTMLキャッシュ!A:F""
    ),
    6,
    FALSE
  ),
  0
)
"),"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f>
        <v>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v>
      </c>
      <c r="E5" s="32">
        <f>IFERROR(__xludf.DUMMYFUNCTION("IFERROR(
  VLOOKUP(
    A5,
    IMPORTRANGE(
      ""1ZygntHC1J6IxzKbTidmOyf5nUyW4GCLurHCjexrLm_o        "",
      ""HTMLキャッシュ!A:F""
    ),
    3,
    FALSE
  ),
  0
)
"),46067.7527662037)</f>
        <v>46067.75277</v>
      </c>
      <c r="F5" s="49">
        <f>IFERROR(__xludf.DUMMYFUNCTION("IFERROR(
  VLOOKUP(
    A5,
    IMPORTRANGE(
      ""1ZHMy3vVUd_0MrSduXTe1etBb1HNpAlGwQr006ljwMiM"",
      ""GSC最新!A:F""
    ),
    2,
    FALSE
  ),
  0
)
"),54.0)</f>
        <v>54</v>
      </c>
      <c r="G5" s="49">
        <f>IFERROR(__xludf.DUMMYFUNCTION("IFERROR(
  VLOOKUP(
    A5,
    IMPORTRANGE(
      ""1ZHMy3vVUd_0MrSduXTe1etBb1HNpAlGwQr006ljwMiM"",
      ""GSC最新!A:F""
    ),
    3,
    FALSE
  ),
  0
)
"),114.0)</f>
        <v>114</v>
      </c>
      <c r="H5" s="49">
        <f>IFERROR(__xludf.DUMMYFUNCTION("IFERROR(
  VLOOKUP(
    A5,
    IMPORTRANGE(
      ""1ZHMy3vVUd_0MrSduXTe1etBb1HNpAlGwQr006ljwMiM"",
      ""GSC最新!A:F""
    ),
    4,
    FALSE
  ),
  0
)
"),20.0)</f>
        <v>20</v>
      </c>
      <c r="I5" s="49">
        <f>IFERROR(__xludf.DUMMYFUNCTION("IFERROR(
  VLOOKUP(
    A5,
    IMPORTRANGE(
      ""1ZHMy3vVUd_0MrSduXTe1etBb1HNpAlGwQr006ljwMiM"",
      ""GSC最新!A:F""
    ),
    5,
    FALSE
  ),
  0
)
"),48.0)</f>
        <v>48</v>
      </c>
      <c r="J5" s="50">
        <f t="shared" ref="J5:K5" si="16">IFERROR(F5/H5,"-")</f>
        <v>2.7</v>
      </c>
      <c r="K5" s="50">
        <f t="shared" si="16"/>
        <v>2.375</v>
      </c>
      <c r="L5" s="6">
        <f>IFERROR(__xludf.DUMMYFUNCTION("IFERROR(
  VLOOKUP(
    A5,
    IMPORTRANGE(
      ""1ZHMy3vVUd_0MrSduXTe1etBb1HNpAlGwQr006ljwMiM"",
      ""GSC最新!A:R""
    ),
    7,
    FALSE
  ),
  0
)
"),1591.0)</f>
        <v>1591</v>
      </c>
      <c r="M5" s="6">
        <f>IFERROR(__xludf.DUMMYFUNCTION("IFERROR(
  VLOOKUP(
    A5,
    IMPORTRANGE(
      ""1ZHMy3vVUd_0MrSduXTe1etBb1HNpAlGwQr006ljwMiM"",
      ""GSC最新!A:R""
    ),
    10,
    FALSE
  ),
  0
)
"),3589.0)</f>
        <v>3589</v>
      </c>
      <c r="N5" s="6">
        <f>IFERROR(__xludf.DUMMYFUNCTION("IFERROR(
  VLOOKUP(
    A5,
    IMPORTRANGE(
      ""1ZHMy3vVUd_0MrSduXTe1etBb1HNpAlGwQr006ljwMiM"",
      ""GSC最新!A:R""
    ),
    13,
    FALSE
  ),
  0
)
"),452.0)</f>
        <v>452</v>
      </c>
      <c r="O5" s="6">
        <f>IFERROR(__xludf.DUMMYFUNCTION("IFERROR(
  VLOOKUP(
    A5,
    IMPORTRANGE(
      ""1ZHMy3vVUd_0MrSduXTe1etBb1HNpAlGwQr006ljwMiM"",
      ""GSC最新!A:R""
    ),
    16,
    FALSE
  ),
  0
)
"),1447.0)</f>
        <v>1447</v>
      </c>
      <c r="P5" s="51">
        <f t="shared" ref="P5:Q5" si="17">IFERROR(L5/N5,"-")</f>
        <v>3.519911504</v>
      </c>
      <c r="Q5" s="51">
        <f t="shared" si="17"/>
        <v>2.480304077</v>
      </c>
      <c r="R5" s="9">
        <f>IFERROR(__xludf.DUMMYFUNCTION("IFERROR(
  VLOOKUP(
    A5,
    IMPORTRANGE(
      ""1ZHMy3vVUd_0MrSduXTe1etBb1HNpAlGwQr006ljwMiM"",
      ""GSC最新!A:R""
    ),
    8,
    FALSE
  ),
  0
)
"),0.0339409176618479)</f>
        <v>0.03394091766</v>
      </c>
      <c r="S5" s="9">
        <f>IFERROR(__xludf.DUMMYFUNCTION("IFERROR(
  VLOOKUP(
    A5,
    IMPORTRANGE(
      ""1ZHMy3vVUd_0MrSduXTe1etBb1HNpAlGwQr006ljwMiM"",
      ""GSC最新!A:R""
    ),
    11,
    FALSE
  ),
  0
)
"),0.03176372248537197)</f>
        <v>0.03176372249</v>
      </c>
      <c r="T5" s="9">
        <f>IFERROR(__xludf.DUMMYFUNCTION("IFERROR(
  VLOOKUP(
    A5,
    IMPORTRANGE(
      ""1ZHMy3vVUd_0MrSduXTe1etBb1HNpAlGwQr006ljwMiM"",
      ""GSC最新!A:R""
    ),
    14,
    FALSE
  ),
  0
)
"),0.04424778761061947)</f>
        <v>0.04424778761</v>
      </c>
      <c r="U5" s="9">
        <f>IFERROR(__xludf.DUMMYFUNCTION("IFERROR(
  VLOOKUP(
    A5,
    IMPORTRANGE(
      ""1ZHMy3vVUd_0MrSduXTe1etBb1HNpAlGwQr006ljwMiM"",
      ""GSC最新!A:R""
    ),
    17,
    FALSE
  ),
  0
)
"),0.0331720801658604)</f>
        <v>0.03317208017</v>
      </c>
      <c r="V5" s="9">
        <f t="shared" ref="V5:W5" si="18">IFERROR(R5-T5,"-")</f>
        <v>-0.01030686995</v>
      </c>
      <c r="W5" s="9">
        <f t="shared" si="18"/>
        <v>-0.00140835768</v>
      </c>
      <c r="X5" s="65">
        <f>IFERROR(__xludf.DUMMYFUNCTION("IFERROR(
  VLOOKUP(
    A5,
    IMPORTRANGE(
      ""1ZHMy3vVUd_0MrSduXTe1etBb1HNpAlGwQr006ljwMiM"",
      ""GSC最新!A:R""
    ),
    9,
    FALSE
  ),
  0
)
"),9.739157762413576)</f>
        <v>9.739157762</v>
      </c>
      <c r="Y5" s="65">
        <f>IFERROR(__xludf.DUMMYFUNCTION("IFERROR(
  VLOOKUP(
    A5,
    IMPORTRANGE(
      ""1ZHMy3vVUd_0MrSduXTe1etBb1HNpAlGwQr006ljwMiM"",
      ""GSC最新!A:R""
    ),
    12,
    FALSE
  ),
  0
)
"),9.838395096127055)</f>
        <v>9.838395096</v>
      </c>
      <c r="Z5" s="65">
        <f>IFERROR(__xludf.DUMMYFUNCTION("IFERROR(
  VLOOKUP(
    A5,
    IMPORTRANGE(
      ""1ZHMy3vVUd_0MrSduXTe1etBb1HNpAlGwQr006ljwMiM"",
      ""GSC最新!A:R""
    ),
    15,
    FALSE
  ),
  0
)
"),11.95796460176991)</f>
        <v>11.9579646</v>
      </c>
      <c r="AA5" s="65">
        <f>IFERROR(__xludf.DUMMYFUNCTION("IFERROR(
  VLOOKUP(
    A5,
    IMPORTRANGE(
      ""1ZHMy3vVUd_0MrSduXTe1etBb1HNpAlGwQr006ljwMiM"",
      ""GSC最新!A:R""
    ),
    18,
    FALSE
  ),
  0
)
"),13.031789910158949)</f>
        <v>13.03178991</v>
      </c>
      <c r="AB5" s="65">
        <f t="shared" ref="AB5:AC5" si="19">X5-Z5</f>
        <v>-2.218806839</v>
      </c>
      <c r="AC5" s="65">
        <f t="shared" si="19"/>
        <v>-3.193394814</v>
      </c>
      <c r="AD5" s="53">
        <f>IFERROR(__xludf.DUMMYFUNCTION("IFERROR(
  VLOOKUP(
    A5,
    IMPORTRANGE(
      ""1ZHMy3vVUd_0MrSduXTe1etBb1HNpAlGwQr006ljwMiM"",
      ""GSC最新!A:F""
    ),
    6,
    FALSE
  ),
  0
)
"),46081.0)</f>
        <v>46081</v>
      </c>
      <c r="AE5" s="54">
        <f>IFERROR(__xludf.DUMMYFUNCTION("IFERROR(
  VLOOKUP(
    A5,
    IMPORTRANGE(
      ""1SCYQd7_cobOYqT0r_F0IqD4tE4rYn5y8Eup4PJTH8es"",
      ""Snapshot!A:M""
    ),
    5,
    FALSE
  ),
  ""-""
)
"),6.0)</f>
        <v>6</v>
      </c>
      <c r="AF5" s="54">
        <f>IFERROR(__xludf.DUMMYFUNCTION("IFERROR(
  VLOOKUP(
    A5,
    IMPORTRANGE(
      ""1SCYQd7_cobOYqT0r_F0IqD4tE4rYn5y8Eup4PJTH8es"",
      ""Snapshot!A:M""
    ),
    6,
    FALSE
  ),
  0
)
"),9.0)</f>
        <v>9</v>
      </c>
      <c r="AG5" s="54">
        <f>IFERROR(__xludf.DUMMYFUNCTION("IFERROR(
  VLOOKUP(
    A5,
    IMPORTRANGE(
      ""1SCYQd7_cobOYqT0r_F0IqD4tE4rYn5y8Eup4PJTH8es"",
      ""Snapshot!A:M""
    ),
    7,
    FALSE
  ),
  0
)
"),1812.0)</f>
        <v>1812</v>
      </c>
      <c r="AH5" s="54">
        <f>IFERROR(__xludf.DUMMYFUNCTION("IFERROR(
  VLOOKUP(
    A5,
    IMPORTRANGE(
      ""1SCYQd7_cobOYqT0r_F0IqD4tE4rYn5y8Eup4PJTH8es"",
      ""Snapshot!A:M""
    ),
    8,
    FALSE
  ),
  0
)
"),36.0)</f>
        <v>36</v>
      </c>
      <c r="AI5" s="54">
        <f>IFERROR(__xludf.DUMMYFUNCTION("IFERROR(
  VLOOKUP(
    A5,
    IMPORTRANGE(
      ""1SCYQd7_cobOYqT0r_F0IqD4tE4rYn5y8Eup4PJTH8es"",
      ""Snapshot!A:M""
    ),
    9,
    FALSE
  ),
  0
)
"),1.0)</f>
        <v>1</v>
      </c>
      <c r="AJ5" s="54">
        <f>IFERROR(__xludf.DUMMYFUNCTION("IFERROR(
  VLOOKUP(
    A5,
    IMPORTRANGE(
      ""1SCYQd7_cobOYqT0r_F0IqD4tE4rYn5y8Eup4PJTH8es"",
      ""Snapshot!A:M""
    ),
    13,
    FALSE
  ),
  0
)
"),2.0)</f>
        <v>2</v>
      </c>
      <c r="AK5" s="49">
        <f t="shared" ref="AK5:AL5" si="20">LEN(C5)</f>
        <v>38</v>
      </c>
      <c r="AL5" s="49">
        <f t="shared" si="20"/>
        <v>127</v>
      </c>
    </row>
    <row r="6">
      <c r="A6" s="56" t="s">
        <v>827</v>
      </c>
      <c r="B6" s="1" t="s">
        <v>32</v>
      </c>
      <c r="C6" s="1" t="str">
        <f>IFERROR(__xludf.DUMMYFUNCTION("IFERROR(
  VLOOKUP(
    A6,
    IMPORTRANGE(
      ""1ZygntHC1J6IxzKbTidmOyf5nUyW4GCLurHCjexrLm_o"",
      ""HTMLキャッシュ!A:F""
    ),
    5,
    FALSE
  ),
  0
)
"),"社会のテスト直しはここだけやる｜失点タイプ別の最短復習 - 受験社会専門塾「令和」")</f>
        <v>社会のテスト直しはここだけやる｜失点タイプ別の最短復習 - 受験社会専門塾「令和」</v>
      </c>
      <c r="D6" s="1" t="str">
        <f>IFERROR(__xludf.DUMMYFUNCTION("IFERROR(
  VLOOKUP(
    A6,
    IMPORTRANGE(
      ""1ZygntHC1J6IxzKbTidmOyf5nUyW4GCLurHCjexrLm_o        "",
      ""HTMLキャッシュ!A:F""
    ),
    6,
    FALSE
  ),
  0
)
"),"社会の悩み一覧（ハブ）へ 返却されたテストの解答欄を見て、「次は頑張ろう」とだけ声をかけていませんか？ 社会の")</f>
        <v>社会の悩み一覧（ハブ）へ 返却されたテストの解答欄を見て、「次は頑張ろう」とだけ声をかけていませんか？ 社会の</v>
      </c>
      <c r="E6" s="32">
        <f>IFERROR(__xludf.DUMMYFUNCTION("IFERROR(
  VLOOKUP(
    A6,
    IMPORTRANGE(
      ""1ZygntHC1J6IxzKbTidmOyf5nUyW4GCLurHCjexrLm_o        "",
      ""HTMLキャッシュ!A:F""
    ),
    3,
    FALSE
  ),
  0
)
"),46083.702060185184)</f>
        <v>46083.70206</v>
      </c>
      <c r="F6" s="49">
        <f>IFERROR(__xludf.DUMMYFUNCTION("IFERROR(
  VLOOKUP(
    A6,
    IMPORTRANGE(
      ""1ZHMy3vVUd_0MrSduXTe1etBb1HNpAlGwQr006ljwMiM"",
      ""GSC最新!A:F""
    ),
    2,
    FALSE
  ),
  0
)
"),22.0)</f>
        <v>22</v>
      </c>
      <c r="G6" s="49">
        <f>IFERROR(__xludf.DUMMYFUNCTION("IFERROR(
  VLOOKUP(
    A6,
    IMPORTRANGE(
      ""1ZHMy3vVUd_0MrSduXTe1etBb1HNpAlGwQr006ljwMiM"",
      ""GSC最新!A:F""
    ),
    3,
    FALSE
  ),
  0
)
"),25.0)</f>
        <v>25</v>
      </c>
      <c r="H6" s="49">
        <f>IFERROR(__xludf.DUMMYFUNCTION("IFERROR(
  VLOOKUP(
    A6,
    IMPORTRANGE(
      ""1ZHMy3vVUd_0MrSduXTe1etBb1HNpAlGwQr006ljwMiM"",
      ""GSC最新!A:F""
    ),
    4,
    FALSE
  ),
  0
)
"),0.0)</f>
        <v>0</v>
      </c>
      <c r="I6" s="49">
        <f>IFERROR(__xludf.DUMMYFUNCTION("IFERROR(
  VLOOKUP(
    A6,
    IMPORTRANGE(
      ""1ZHMy3vVUd_0MrSduXTe1etBb1HNpAlGwQr006ljwMiM"",
      ""GSC最新!A:F""
    ),
    5,
    FALSE
  ),
  0
)
"),0.0)</f>
        <v>0</v>
      </c>
      <c r="J6" s="50" t="str">
        <f t="shared" ref="J6:K6" si="21">IFERROR(F6/H6,"-")</f>
        <v>-</v>
      </c>
      <c r="K6" s="50" t="str">
        <f t="shared" si="21"/>
        <v>-</v>
      </c>
      <c r="L6" s="6">
        <f>IFERROR(__xludf.DUMMYFUNCTION("IFERROR(
  VLOOKUP(
    A6,
    IMPORTRANGE(
      ""1ZHMy3vVUd_0MrSduXTe1etBb1HNpAlGwQr006ljwMiM"",
      ""GSC最新!A:R""
    ),
    7,
    FALSE
  ),
  0
)
"),478.0)</f>
        <v>478</v>
      </c>
      <c r="M6" s="6">
        <f>IFERROR(__xludf.DUMMYFUNCTION("IFERROR(
  VLOOKUP(
    A6,
    IMPORTRANGE(
      ""1ZHMy3vVUd_0MrSduXTe1etBb1HNpAlGwQr006ljwMiM"",
      ""GSC最新!A:R""
    ),
    10,
    FALSE
  ),
  0
)
"),514.0)</f>
        <v>514</v>
      </c>
      <c r="N6" s="6">
        <f>IFERROR(__xludf.DUMMYFUNCTION("IFERROR(
  VLOOKUP(
    A6,
    IMPORTRANGE(
      ""1ZHMy3vVUd_0MrSduXTe1etBb1HNpAlGwQr006ljwMiM"",
      ""GSC最新!A:R""
    ),
    13,
    FALSE
  ),
  0
)
"),0.0)</f>
        <v>0</v>
      </c>
      <c r="O6" s="6">
        <f>IFERROR(__xludf.DUMMYFUNCTION("IFERROR(
  VLOOKUP(
    A6,
    IMPORTRANGE(
      ""1ZHMy3vVUd_0MrSduXTe1etBb1HNpAlGwQr006ljwMiM"",
      ""GSC最新!A:R""
    ),
    16,
    FALSE
  ),
  0
)
"),0.0)</f>
        <v>0</v>
      </c>
      <c r="P6" s="51" t="str">
        <f t="shared" ref="P6:Q6" si="22">IFERROR(L6/N6,"-")</f>
        <v>-</v>
      </c>
      <c r="Q6" s="51" t="str">
        <f t="shared" si="22"/>
        <v>-</v>
      </c>
      <c r="R6" s="9">
        <f>IFERROR(__xludf.DUMMYFUNCTION("IFERROR(
  VLOOKUP(
    A6,
    IMPORTRANGE(
      ""1ZHMy3vVUd_0MrSduXTe1etBb1HNpAlGwQr006ljwMiM"",
      ""GSC最新!A:R""
    ),
    8,
    FALSE
  ),
  0
)
"),0.04602510460251046)</f>
        <v>0.0460251046</v>
      </c>
      <c r="S6" s="9">
        <f>IFERROR(__xludf.DUMMYFUNCTION("IFERROR(
  VLOOKUP(
    A6,
    IMPORTRANGE(
      ""1ZHMy3vVUd_0MrSduXTe1etBb1HNpAlGwQr006ljwMiM"",
      ""GSC最新!A:R""
    ),
    11,
    FALSE
  ),
  0
)
"),0.048638132295719845)</f>
        <v>0.0486381323</v>
      </c>
      <c r="T6" s="9">
        <f>IFERROR(__xludf.DUMMYFUNCTION("IFERROR(
  VLOOKUP(
    A6,
    IMPORTRANGE(
      ""1ZHMy3vVUd_0MrSduXTe1etBb1HNpAlGwQr006ljwMiM"",
      ""GSC最新!A:R""
    ),
    14,
    FALSE
  ),
  0
)
"),0.0)</f>
        <v>0</v>
      </c>
      <c r="U6" s="9">
        <f>IFERROR(__xludf.DUMMYFUNCTION("IFERROR(
  VLOOKUP(
    A6,
    IMPORTRANGE(
      ""1ZHMy3vVUd_0MrSduXTe1etBb1HNpAlGwQr006ljwMiM"",
      ""GSC最新!A:R""
    ),
    17,
    FALSE
  ),
  0
)
"),0.0)</f>
        <v>0</v>
      </c>
      <c r="V6" s="9">
        <f t="shared" ref="V6:W6" si="23">IFERROR(R6-T6,"-")</f>
        <v>0.0460251046</v>
      </c>
      <c r="W6" s="9">
        <f t="shared" si="23"/>
        <v>0.0486381323</v>
      </c>
      <c r="X6" s="65">
        <f>IFERROR(__xludf.DUMMYFUNCTION("IFERROR(
  VLOOKUP(
    A6,
    IMPORTRANGE(
      ""1ZHMy3vVUd_0MrSduXTe1etBb1HNpAlGwQr006ljwMiM"",
      ""GSC最新!A:R""
    ),
    9,
    FALSE
  ),
  0
)
"),3.707112970711297)</f>
        <v>3.707112971</v>
      </c>
      <c r="Y6" s="65">
        <f>IFERROR(__xludf.DUMMYFUNCTION("IFERROR(
  VLOOKUP(
    A6,
    IMPORTRANGE(
      ""1ZHMy3vVUd_0MrSduXTe1etBb1HNpAlGwQr006ljwMiM"",
      ""GSC最新!A:R""
    ),
    12,
    FALSE
  ),
  0
)
"),3.7976653696498053)</f>
        <v>3.79766537</v>
      </c>
      <c r="Z6" s="65" t="str">
        <f>IFERROR(__xludf.DUMMYFUNCTION("IFERROR(
  VLOOKUP(
    A6,
    IMPORTRANGE(
      ""1ZHMy3vVUd_0MrSduXTe1etBb1HNpAlGwQr006ljwMiM"",
      ""GSC最新!A:R""
    ),
    15,
    FALSE
  ),
  0
)
"),"")</f>
        <v/>
      </c>
      <c r="AA6" s="65" t="str">
        <f>IFERROR(__xludf.DUMMYFUNCTION("IFERROR(
  VLOOKUP(
    A6,
    IMPORTRANGE(
      ""1ZHMy3vVUd_0MrSduXTe1etBb1HNpAlGwQr006ljwMiM"",
      ""GSC最新!A:R""
    ),
    18,
    FALSE
  ),
  0
)
"),"")</f>
        <v/>
      </c>
      <c r="AB6" s="65">
        <f t="shared" ref="AB6:AC6" si="24">X6-Z6</f>
        <v>3.707112971</v>
      </c>
      <c r="AC6" s="65">
        <f t="shared" si="24"/>
        <v>3.79766537</v>
      </c>
      <c r="AD6" s="53">
        <f>IFERROR(__xludf.DUMMYFUNCTION("IFERROR(
  VLOOKUP(
    A6,
    IMPORTRANGE(
      ""1ZHMy3vVUd_0MrSduXTe1etBb1HNpAlGwQr006ljwMiM"",
      ""GSC最新!A:F""
    ),
    6,
    FALSE
  ),
  0
)
"),46081.0)</f>
        <v>46081</v>
      </c>
      <c r="AE6" s="54">
        <f>IFERROR(__xludf.DUMMYFUNCTION("IFERROR(
  VLOOKUP(
    A6,
    IMPORTRANGE(
      ""1SCYQd7_cobOYqT0r_F0IqD4tE4rYn5y8Eup4PJTH8es"",
      ""Snapshot!A:M""
    ),
    5,
    FALSE
  ),
  ""-""
)
"),7.0)</f>
        <v>7</v>
      </c>
      <c r="AF6" s="54">
        <f>IFERROR(__xludf.DUMMYFUNCTION("IFERROR(
  VLOOKUP(
    A6,
    IMPORTRANGE(
      ""1SCYQd7_cobOYqT0r_F0IqD4tE4rYn5y8Eup4PJTH8es"",
      ""Snapshot!A:M""
    ),
    6,
    FALSE
  ),
  0
)
"),12.0)</f>
        <v>12</v>
      </c>
      <c r="AG6" s="54">
        <f>IFERROR(__xludf.DUMMYFUNCTION("IFERROR(
  VLOOKUP(
    A6,
    IMPORTRANGE(
      ""1SCYQd7_cobOYqT0r_F0IqD4tE4rYn5y8Eup4PJTH8es"",
      ""Snapshot!A:M""
    ),
    7,
    FALSE
  ),
  0
)
"),2715.0)</f>
        <v>2715</v>
      </c>
      <c r="AH6" s="54">
        <f>IFERROR(__xludf.DUMMYFUNCTION("IFERROR(
  VLOOKUP(
    A6,
    IMPORTRANGE(
      ""1SCYQd7_cobOYqT0r_F0IqD4tE4rYn5y8Eup4PJTH8es"",
      ""Snapshot!A:M""
    ),
    8,
    FALSE
  ),
  0
)
"),3.0)</f>
        <v>3</v>
      </c>
      <c r="AI6" s="54">
        <f>IFERROR(__xludf.DUMMYFUNCTION("IFERROR(
  VLOOKUP(
    A6,
    IMPORTRANGE(
      ""1SCYQd7_cobOYqT0r_F0IqD4tE4rYn5y8Eup4PJTH8es"",
      ""Snapshot!A:M""
    ),
    9,
    FALSE
  ),
  0
)
"),3.0)</f>
        <v>3</v>
      </c>
      <c r="AJ6" s="54">
        <f>IFERROR(__xludf.DUMMYFUNCTION("IFERROR(
  VLOOKUP(
    A6,
    IMPORTRANGE(
      ""1SCYQd7_cobOYqT0r_F0IqD4tE4rYn5y8Eup4PJTH8es"",
      ""Snapshot!A:M""
    ),
    13,
    FALSE
  ),
  0
)
"),2.0)</f>
        <v>2</v>
      </c>
      <c r="AK6" s="49">
        <f t="shared" ref="AK6:AL6" si="25">LEN(C6)</f>
        <v>41</v>
      </c>
      <c r="AL6" s="49">
        <f t="shared" si="25"/>
        <v>55</v>
      </c>
    </row>
    <row r="7">
      <c r="A7" s="56" t="s">
        <v>828</v>
      </c>
      <c r="B7" s="1" t="s">
        <v>32</v>
      </c>
      <c r="C7" s="1" t="str">
        <f>IFERROR(__xludf.DUMMYFUNCTION("IFERROR(
  VLOOKUP(
    A7,
    IMPORTRANGE(
      ""1ZygntHC1J6IxzKbTidmOyf5nUyW4GCLurHCjexrLm_o"",
      ""HTMLキャッシュ!A:F""
    ),
    5,
    FALSE
  ),
  0
)
"),"雨温図の読み方｜季節風・梅雨・台風まで一気に分かる - 受験社会専門塾「令和」")</f>
        <v>雨温図の読み方｜季節風・梅雨・台風まで一気に分かる - 受験社会専門塾「令和」</v>
      </c>
      <c r="D7" s="1" t="str">
        <f>IFERROR(__xludf.DUMMYFUNCTION("IFERROR(
  VLOOKUP(
    A7,
    IMPORTRANGE(
      ""1ZygntHC1J6IxzKbTidmOyf5nUyW4GCLurHCjexrLm_o        "",
      ""HTMLキャッシュ!A:F""
    ),
    6,
    FALSE
  ),
  0
)
"),"地理 資料問題 雨温図 雨温図の読み方｜季節風・梅雨・台風まで一気に分かる 気温と降水量は読めるのに、設問で「")</f>
        <v>地理 資料問題 雨温図 雨温図の読み方｜季節風・梅雨・台風まで一気に分かる 気温と降水量は読めるのに、設問で「</v>
      </c>
      <c r="E7" s="32">
        <f>IFERROR(__xludf.DUMMYFUNCTION("IFERROR(
  VLOOKUP(
    A7,
    IMPORTRANGE(
      ""1ZygntHC1J6IxzKbTidmOyf5nUyW4GCLurHCjexrLm_o        "",
      ""HTMLキャッシュ!A:F""
    ),
    3,
    FALSE
  ),
  0
)
"),46083.71094907408)</f>
        <v>46083.71095</v>
      </c>
      <c r="F7" s="49">
        <f>IFERROR(__xludf.DUMMYFUNCTION("IFERROR(
  VLOOKUP(
    A7,
    IMPORTRANGE(
      ""1ZHMy3vVUd_0MrSduXTe1etBb1HNpAlGwQr006ljwMiM"",
      ""GSC最新!A:F""
    ),
    2,
    FALSE
  ),
  0
)
"),21.0)</f>
        <v>21</v>
      </c>
      <c r="G7" s="49">
        <f>IFERROR(__xludf.DUMMYFUNCTION("IFERROR(
  VLOOKUP(
    A7,
    IMPORTRANGE(
      ""1ZHMy3vVUd_0MrSduXTe1etBb1HNpAlGwQr006ljwMiM"",
      ""GSC最新!A:F""
    ),
    3,
    FALSE
  ),
  0
)
"),21.0)</f>
        <v>21</v>
      </c>
      <c r="H7" s="49">
        <f>IFERROR(__xludf.DUMMYFUNCTION("IFERROR(
  VLOOKUP(
    A7,
    IMPORTRANGE(
      ""1ZHMy3vVUd_0MrSduXTe1etBb1HNpAlGwQr006ljwMiM"",
      ""GSC最新!A:F""
    ),
    4,
    FALSE
  ),
  0
)
"),0.0)</f>
        <v>0</v>
      </c>
      <c r="I7" s="49">
        <f>IFERROR(__xludf.DUMMYFUNCTION("IFERROR(
  VLOOKUP(
    A7,
    IMPORTRANGE(
      ""1ZHMy3vVUd_0MrSduXTe1etBb1HNpAlGwQr006ljwMiM"",
      ""GSC最新!A:F""
    ),
    5,
    FALSE
  ),
  0
)
"),0.0)</f>
        <v>0</v>
      </c>
      <c r="J7" s="50" t="str">
        <f t="shared" ref="J7:K7" si="26">IFERROR(F7/H7,"-")</f>
        <v>-</v>
      </c>
      <c r="K7" s="50" t="str">
        <f t="shared" si="26"/>
        <v>-</v>
      </c>
      <c r="L7" s="6">
        <f>IFERROR(__xludf.DUMMYFUNCTION("IFERROR(
  VLOOKUP(
    A7,
    IMPORTRANGE(
      ""1ZHMy3vVUd_0MrSduXTe1etBb1HNpAlGwQr006ljwMiM"",
      ""GSC最新!A:R""
    ),
    7,
    FALSE
  ),
  0
)
"),4142.0)</f>
        <v>4142</v>
      </c>
      <c r="M7" s="6">
        <f>IFERROR(__xludf.DUMMYFUNCTION("IFERROR(
  VLOOKUP(
    A7,
    IMPORTRANGE(
      ""1ZHMy3vVUd_0MrSduXTe1etBb1HNpAlGwQr006ljwMiM"",
      ""GSC最新!A:R""
    ),
    10,
    FALSE
  ),
  0
)
"),4142.0)</f>
        <v>4142</v>
      </c>
      <c r="N7" s="6">
        <f>IFERROR(__xludf.DUMMYFUNCTION("IFERROR(
  VLOOKUP(
    A7,
    IMPORTRANGE(
      ""1ZHMy3vVUd_0MrSduXTe1etBb1HNpAlGwQr006ljwMiM"",
      ""GSC最新!A:R""
    ),
    13,
    FALSE
  ),
  0
)
"),0.0)</f>
        <v>0</v>
      </c>
      <c r="O7" s="6">
        <f>IFERROR(__xludf.DUMMYFUNCTION("IFERROR(
  VLOOKUP(
    A7,
    IMPORTRANGE(
      ""1ZHMy3vVUd_0MrSduXTe1etBb1HNpAlGwQr006ljwMiM"",
      ""GSC最新!A:R""
    ),
    16,
    FALSE
  ),
  0
)
"),0.0)</f>
        <v>0</v>
      </c>
      <c r="P7" s="51" t="str">
        <f t="shared" ref="P7:Q7" si="27">IFERROR(L7/N7,"-")</f>
        <v>-</v>
      </c>
      <c r="Q7" s="51" t="str">
        <f t="shared" si="27"/>
        <v>-</v>
      </c>
      <c r="R7" s="9">
        <f>IFERROR(__xludf.DUMMYFUNCTION("IFERROR(
  VLOOKUP(
    A7,
    IMPORTRANGE(
      ""1ZHMy3vVUd_0MrSduXTe1etBb1HNpAlGwQr006ljwMiM"",
      ""GSC最新!A:R""
    ),
    8,
    FALSE
  ),
  0
)
"),0.005070014485755674)</f>
        <v>0.005070014486</v>
      </c>
      <c r="S7" s="9">
        <f>IFERROR(__xludf.DUMMYFUNCTION("IFERROR(
  VLOOKUP(
    A7,
    IMPORTRANGE(
      ""1ZHMy3vVUd_0MrSduXTe1etBb1HNpAlGwQr006ljwMiM"",
      ""GSC最新!A:R""
    ),
    11,
    FALSE
  ),
  0
)
"),0.005070014485755674)</f>
        <v>0.005070014486</v>
      </c>
      <c r="T7" s="9">
        <f>IFERROR(__xludf.DUMMYFUNCTION("IFERROR(
  VLOOKUP(
    A7,
    IMPORTRANGE(
      ""1ZHMy3vVUd_0MrSduXTe1etBb1HNpAlGwQr006ljwMiM"",
      ""GSC最新!A:R""
    ),
    14,
    FALSE
  ),
  0
)
"),0.0)</f>
        <v>0</v>
      </c>
      <c r="U7" s="9">
        <f>IFERROR(__xludf.DUMMYFUNCTION("IFERROR(
  VLOOKUP(
    A7,
    IMPORTRANGE(
      ""1ZHMy3vVUd_0MrSduXTe1etBb1HNpAlGwQr006ljwMiM"",
      ""GSC最新!A:R""
    ),
    17,
    FALSE
  ),
  0
)
"),0.0)</f>
        <v>0</v>
      </c>
      <c r="V7" s="9">
        <f t="shared" ref="V7:W7" si="28">IFERROR(R7-T7,"-")</f>
        <v>0.005070014486</v>
      </c>
      <c r="W7" s="9">
        <f t="shared" si="28"/>
        <v>0.005070014486</v>
      </c>
      <c r="X7" s="65">
        <f>IFERROR(__xludf.DUMMYFUNCTION("IFERROR(
  VLOOKUP(
    A7,
    IMPORTRANGE(
      ""1ZHMy3vVUd_0MrSduXTe1etBb1HNpAlGwQr006ljwMiM"",
      ""GSC最新!A:R""
    ),
    9,
    FALSE
  ),
  0
)
"),6.4519555770159345)</f>
        <v>6.451955577</v>
      </c>
      <c r="Y7" s="65">
        <f>IFERROR(__xludf.DUMMYFUNCTION("IFERROR(
  VLOOKUP(
    A7,
    IMPORTRANGE(
      ""1ZHMy3vVUd_0MrSduXTe1etBb1HNpAlGwQr006ljwMiM"",
      ""GSC最新!A:R""
    ),
    12,
    FALSE
  ),
  0
)
"),6.4519555770159345)</f>
        <v>6.451955577</v>
      </c>
      <c r="Z7" s="65" t="str">
        <f>IFERROR(__xludf.DUMMYFUNCTION("IFERROR(
  VLOOKUP(
    A7,
    IMPORTRANGE(
      ""1ZHMy3vVUd_0MrSduXTe1etBb1HNpAlGwQr006ljwMiM"",
      ""GSC最新!A:R""
    ),
    15,
    FALSE
  ),
  0
)
"),"")</f>
        <v/>
      </c>
      <c r="AA7" s="65" t="str">
        <f>IFERROR(__xludf.DUMMYFUNCTION("IFERROR(
  VLOOKUP(
    A7,
    IMPORTRANGE(
      ""1ZHMy3vVUd_0MrSduXTe1etBb1HNpAlGwQr006ljwMiM"",
      ""GSC最新!A:R""
    ),
    18,
    FALSE
  ),
  0
)
"),"")</f>
        <v/>
      </c>
      <c r="AB7" s="65">
        <f t="shared" ref="AB7:AC7" si="29">X7-Z7</f>
        <v>6.451955577</v>
      </c>
      <c r="AC7" s="65">
        <f t="shared" si="29"/>
        <v>6.451955577</v>
      </c>
      <c r="AD7" s="53">
        <f>IFERROR(__xludf.DUMMYFUNCTION("IFERROR(
  VLOOKUP(
    A7,
    IMPORTRANGE(
      ""1ZHMy3vVUd_0MrSduXTe1etBb1HNpAlGwQr006ljwMiM"",
      ""GSC最新!A:F""
    ),
    6,
    FALSE
  ),
  0
)
"),46081.0)</f>
        <v>46081</v>
      </c>
      <c r="AE7" s="54">
        <f>IFERROR(__xludf.DUMMYFUNCTION("IFERROR(
  VLOOKUP(
    A7,
    IMPORTRANGE(
      ""1SCYQd7_cobOYqT0r_F0IqD4tE4rYn5y8Eup4PJTH8es"",
      ""Snapshot!A:M""
    ),
    5,
    FALSE
  ),
  ""-""
)
"),10.0)</f>
        <v>10</v>
      </c>
      <c r="AF7" s="54">
        <f>IFERROR(__xludf.DUMMYFUNCTION("IFERROR(
  VLOOKUP(
    A7,
    IMPORTRANGE(
      ""1SCYQd7_cobOYqT0r_F0IqD4tE4rYn5y8Eup4PJTH8es"",
      ""Snapshot!A:M""
    ),
    6,
    FALSE
  ),
  0
)
"),13.0)</f>
        <v>13</v>
      </c>
      <c r="AG7" s="54">
        <f>IFERROR(__xludf.DUMMYFUNCTION("IFERROR(
  VLOOKUP(
    A7,
    IMPORTRANGE(
      ""1SCYQd7_cobOYqT0r_F0IqD4tE4rYn5y8Eup4PJTH8es"",
      ""Snapshot!A:M""
    ),
    7,
    FALSE
  ),
  0
)
"),2320.0)</f>
        <v>2320</v>
      </c>
      <c r="AH7" s="54">
        <f>IFERROR(__xludf.DUMMYFUNCTION("IFERROR(
  VLOOKUP(
    A7,
    IMPORTRANGE(
      ""1SCYQd7_cobOYqT0r_F0IqD4tE4rYn5y8Eup4PJTH8es"",
      ""Snapshot!A:M""
    ),
    8,
    FALSE
  ),
  0
)
"),5.0)</f>
        <v>5</v>
      </c>
      <c r="AI7" s="54">
        <f>IFERROR(__xludf.DUMMYFUNCTION("IFERROR(
  VLOOKUP(
    A7,
    IMPORTRANGE(
      ""1SCYQd7_cobOYqT0r_F0IqD4tE4rYn5y8Eup4PJTH8es"",
      ""Snapshot!A:M""
    ),
    9,
    FALSE
  ),
  0
)
"),7.0)</f>
        <v>7</v>
      </c>
      <c r="AJ7" s="54">
        <f>IFERROR(__xludf.DUMMYFUNCTION("IFERROR(
  VLOOKUP(
    A7,
    IMPORTRANGE(
      ""1SCYQd7_cobOYqT0r_F0IqD4tE4rYn5y8Eup4PJTH8es"",
      ""Snapshot!A:M""
    ),
    13,
    FALSE
  ),
  0
)
"),2.0)</f>
        <v>2</v>
      </c>
      <c r="AK7" s="49">
        <f t="shared" ref="AK7:AL7" si="30">LEN(C7)</f>
        <v>39</v>
      </c>
      <c r="AL7" s="49">
        <f t="shared" si="30"/>
        <v>55</v>
      </c>
    </row>
    <row r="8">
      <c r="A8" s="3" t="s">
        <v>829</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"),"中学受験社会の覚え方・暗記方法 - 受験社会専門塾「令和」")</f>
        <v>中学受験社会の覚え方・暗記方法 - 受験社会専門塾「令和」</v>
      </c>
      <c r="D8" s="1" t="str">
        <f>IFERROR(__xludf.DUMMYFUNCTION("IFERROR(
  VLOOKUP(
    A8,
    IMPORTRANGE(
      ""1ZygntHC1J6IxzKbTidmOyf5nUyW4GCLurHCjexrLm_o        "",
      ""HTMLキャッシュ!A:F""
    ),
    6,
    FALSE
  ),
  0
)
"),"中学受験社会の効率的な暗記法を解説。流れで理解し、五感を活用、ワークで反復学習することで記憶定着を強化。効率的に社会の暗記力を高めましょう！")</f>
        <v>中学受験社会の効率的な暗記法を解説。流れで理解し、五感を活用、ワークで反復学習することで記憶定着を強化。効率的に社会の暗記力を高めましょう！</v>
      </c>
      <c r="E8" s="32">
        <f>IFERROR(__xludf.DUMMYFUNCTION("IFERROR(
  VLOOKUP(
    A8,
    IMPORTRANGE(
      ""1ZygntHC1J6IxzKbTidmOyf5nUyW4GCLurHCjexrLm_o        "",
      ""HTMLキャッシュ!A:F""
    ),
    3,
    FALSE
  ),
  0
)
"),46055.694027777776)</f>
        <v>46055.69403</v>
      </c>
      <c r="F8" s="49">
        <f>IFERROR(__xludf.DUMMYFUNCTION("IFERROR(
  VLOOKUP(
    A8,
    IMPORTRANGE(
      ""1ZHMy3vVUd_0MrSduXTe1etBb1HNpAlGwQr006ljwMiM"",
      ""GSC最新!A:F""
    ),
    2,
    FALSE
  ),
  0
)
"),12.0)</f>
        <v>12</v>
      </c>
      <c r="G8" s="49">
        <f>IFERROR(__xludf.DUMMYFUNCTION("IFERROR(
  VLOOKUP(
    A8,
    IMPORTRANGE(
      ""1ZHMy3vVUd_0MrSduXTe1etBb1HNpAlGwQr006ljwMiM"",
      ""GSC最新!A:F""
    ),
    3,
    FALSE
  ),
  0
)
"),16.0)</f>
        <v>16</v>
      </c>
      <c r="H8" s="49">
        <f>IFERROR(__xludf.DUMMYFUNCTION("IFERROR(
  VLOOKUP(
    A8,
    IMPORTRANGE(
      ""1ZHMy3vVUd_0MrSduXTe1etBb1HNpAlGwQr006ljwMiM"",
      ""GSC最新!A:F""
    ),
    4,
    FALSE
  ),
  0
)
"),0.0)</f>
        <v>0</v>
      </c>
      <c r="I8" s="49">
        <f>IFERROR(__xludf.DUMMYFUNCTION("IFERROR(
  VLOOKUP(
    A8,
    IMPORTRANGE(
      ""1ZHMy3vVUd_0MrSduXTe1etBb1HNpAlGwQr006ljwMiM"",
      ""GSC最新!A:F""
    ),
    5,
    FALSE
  ),
  0
)
"),1.0)</f>
        <v>1</v>
      </c>
      <c r="J8" s="50" t="str">
        <f t="shared" ref="J8:K8" si="31">IFERROR(F8/H8,"-")</f>
        <v>-</v>
      </c>
      <c r="K8" s="50">
        <f t="shared" si="31"/>
        <v>16</v>
      </c>
      <c r="L8" s="6">
        <f>IFERROR(__xludf.DUMMYFUNCTION("IFERROR(
  VLOOKUP(
    A8,
    IMPORTRANGE(
      ""1ZHMy3vVUd_0MrSduXTe1etBb1HNpAlGwQr006ljwMiM"",
      ""GSC最新!A:R""
    ),
    7,
    FALSE
  ),
  0
)
"),1356.0)</f>
        <v>1356</v>
      </c>
      <c r="M8" s="6">
        <f>IFERROR(__xludf.DUMMYFUNCTION("IFERROR(
  VLOOKUP(
    A8,
    IMPORTRANGE(
      ""1ZHMy3vVUd_0MrSduXTe1etBb1HNpAlGwQr006ljwMiM"",
      ""GSC最新!A:R""
    ),
    10,
    FALSE
  ),
  0
)
"),1763.0)</f>
        <v>1763</v>
      </c>
      <c r="N8" s="6">
        <f>IFERROR(__xludf.DUMMYFUNCTION("IFERROR(
  VLOOKUP(
    A8,
    IMPORTRANGE(
      ""1ZHMy3vVUd_0MrSduXTe1etBb1HNpAlGwQr006ljwMiM"",
      ""GSC最新!A:R""
    ),
    13,
    FALSE
  ),
  0
)
"),233.0)</f>
        <v>233</v>
      </c>
      <c r="O8" s="6">
        <f>IFERROR(__xludf.DUMMYFUNCTION("IFERROR(
  VLOOKUP(
    A8,
    IMPORTRANGE(
      ""1ZHMy3vVUd_0MrSduXTe1etBb1HNpAlGwQr006ljwMiM"",
      ""GSC最新!A:R""
    ),
    16,
    FALSE
  ),
  0
)
"),592.0)</f>
        <v>592</v>
      </c>
      <c r="P8" s="51">
        <f t="shared" ref="P8:Q8" si="32">IFERROR(L8/N8,"-")</f>
        <v>5.819742489</v>
      </c>
      <c r="Q8" s="51">
        <f t="shared" si="32"/>
        <v>2.978040541</v>
      </c>
      <c r="R8" s="9">
        <f>IFERROR(__xludf.DUMMYFUNCTION("IFERROR(
  VLOOKUP(
    A8,
    IMPORTRANGE(
      ""1ZHMy3vVUd_0MrSduXTe1etBb1HNpAlGwQr006ljwMiM"",
      ""GSC最新!A:R""
    ),
    8,
    FALSE
  ),
  0
)
"),0.008849557522123894)</f>
        <v>0.008849557522</v>
      </c>
      <c r="S8" s="9">
        <f>IFERROR(__xludf.DUMMYFUNCTION("IFERROR(
  VLOOKUP(
    A8,
    IMPORTRANGE(
      ""1ZHMy3vVUd_0MrSduXTe1etBb1HNpAlGwQr006ljwMiM"",
      ""GSC最新!A:R""
    ),
    11,
    FALSE
  ),
  0
)
"),0.009075439591605219)</f>
        <v>0.009075439592</v>
      </c>
      <c r="T8" s="9">
        <f>IFERROR(__xludf.DUMMYFUNCTION("IFERROR(
  VLOOKUP(
    A8,
    IMPORTRANGE(
      ""1ZHMy3vVUd_0MrSduXTe1etBb1HNpAlGwQr006ljwMiM"",
      ""GSC最新!A:R""
    ),
    14,
    FALSE
  ),
  0
)
"),0.0)</f>
        <v>0</v>
      </c>
      <c r="U8" s="9">
        <f>IFERROR(__xludf.DUMMYFUNCTION("IFERROR(
  VLOOKUP(
    A8,
    IMPORTRANGE(
      ""1ZHMy3vVUd_0MrSduXTe1etBb1HNpAlGwQr006ljwMiM"",
      ""GSC最新!A:R""
    ),
    17,
    FALSE
  ),
  0
)
"),0.0016891891891891893)</f>
        <v>0.001689189189</v>
      </c>
      <c r="V8" s="9">
        <f t="shared" ref="V8:W8" si="33">IFERROR(R8-T8,"-")</f>
        <v>0.008849557522</v>
      </c>
      <c r="W8" s="9">
        <f t="shared" si="33"/>
        <v>0.007386250402</v>
      </c>
      <c r="X8" s="65">
        <f>IFERROR(__xludf.DUMMYFUNCTION("IFERROR(
  VLOOKUP(
    A8,
    IMPORTRANGE(
      ""1ZHMy3vVUd_0MrSduXTe1etBb1HNpAlGwQr006ljwMiM"",
      ""GSC最新!A:R""
    ),
    9,
    FALSE
  ),
  0
)
"),6.760324483775811)</f>
        <v>6.760324484</v>
      </c>
      <c r="Y8" s="65">
        <f>IFERROR(__xludf.DUMMYFUNCTION("IFERROR(
  VLOOKUP(
    A8,
    IMPORTRANGE(
      ""1ZHMy3vVUd_0MrSduXTe1etBb1HNpAlGwQr006ljwMiM"",
      ""GSC最新!A:R""
    ),
    12,
    FALSE
  ),
  0
)
"),7.1026659103800345)</f>
        <v>7.10266591</v>
      </c>
      <c r="Z8" s="65">
        <f>IFERROR(__xludf.DUMMYFUNCTION("IFERROR(
  VLOOKUP(
    A8,
    IMPORTRANGE(
      ""1ZHMy3vVUd_0MrSduXTe1etBb1HNpAlGwQr006ljwMiM"",
      ""GSC最新!A:R""
    ),
    15,
    FALSE
  ),
  0
)
"),57.63090128755365)</f>
        <v>57.63090129</v>
      </c>
      <c r="AA8" s="65">
        <f>IFERROR(__xludf.DUMMYFUNCTION("IFERROR(
  VLOOKUP(
    A8,
    IMPORTRANGE(
      ""1ZHMy3vVUd_0MrSduXTe1etBb1HNpAlGwQr006ljwMiM"",
      ""GSC最新!A:R""
    ),
    18,
    FALSE
  ),
  0
)
"),64.04391891891892)</f>
        <v>64.04391892</v>
      </c>
      <c r="AB8" s="65">
        <f t="shared" ref="AB8:AC8" si="34">X8-Z8</f>
        <v>-50.8705768</v>
      </c>
      <c r="AC8" s="65">
        <f t="shared" si="34"/>
        <v>-56.94125301</v>
      </c>
      <c r="AD8" s="53">
        <f>IFERROR(__xludf.DUMMYFUNCTION("IFERROR(
  VLOOKUP(
    A8,
    IMPORTRANGE(
      ""1ZHMy3vVUd_0MrSduXTe1etBb1HNpAlGwQr006ljwMiM"",
      ""GSC最新!A:F""
    ),
    6,
    FALSE
  ),
  0
)
"),46081.0)</f>
        <v>46081</v>
      </c>
      <c r="AE8" s="54">
        <f>IFERROR(__xludf.DUMMYFUNCTION("IFERROR(
  VLOOKUP(
    A8,
    IMPORTRANGE(
      ""1SCYQd7_cobOYqT0r_F0IqD4tE4rYn5y8Eup4PJTH8es"",
      ""Snapshot!A:M""
    ),
    5,
    FALSE
  ),
  ""-""
)
"),2.0)</f>
        <v>2</v>
      </c>
      <c r="AF8" s="54">
        <f>IFERROR(__xludf.DUMMYFUNCTION("IFERROR(
  VLOOKUP(
    A8,
    IMPORTRANGE(
      ""1SCYQd7_cobOYqT0r_F0IqD4tE4rYn5y8Eup4PJTH8es"",
      ""Snapshot!A:M""
    ),
    6,
    FALSE
  ),
  0
)
"),0.0)</f>
        <v>0</v>
      </c>
      <c r="AG8" s="54">
        <f>IFERROR(__xludf.DUMMYFUNCTION("IFERROR(
  VLOOKUP(
    A8,
    IMPORTRANGE(
      ""1SCYQd7_cobOYqT0r_F0IqD4tE4rYn5y8Eup4PJTH8es"",
      ""Snapshot!A:M""
    ),
    7,
    FALSE
  ),
  0
)
"),1337.0)</f>
        <v>1337</v>
      </c>
      <c r="AH8" s="54">
        <f>IFERROR(__xludf.DUMMYFUNCTION("IFERROR(
  VLOOKUP(
    A8,
    IMPORTRANGE(
      ""1SCYQd7_cobOYqT0r_F0IqD4tE4rYn5y8Eup4PJTH8es"",
      ""Snapshot!A:M""
    ),
    8,
    FALSE
  ),
  0
)
"),0.0)</f>
        <v>0</v>
      </c>
      <c r="AI8" s="54">
        <f>IFERROR(__xludf.DUMMYFUNCTION("IFERROR(
  VLOOKUP(
    A8,
    IMPORTRANGE(
      ""1SCYQd7_cobOYqT0r_F0IqD4tE4rYn5y8Eup4PJTH8es"",
      ""Snapshot!A:M""
    ),
    9,
    FALSE
  ),
  0
)
"),1.0)</f>
        <v>1</v>
      </c>
      <c r="AJ8" s="54">
        <f>IFERROR(__xludf.DUMMYFUNCTION("IFERROR(
  VLOOKUP(
    A8,
    IMPORTRANGE(
      ""1SCYQd7_cobOYqT0r_F0IqD4tE4rYn5y8Eup4PJTH8es"",
      ""Snapshot!A:M""
    ),
    13,
    FALSE
  ),
  0
)
"),2.0)</f>
        <v>2</v>
      </c>
      <c r="AK8" s="49">
        <f t="shared" ref="AK8:AL8" si="35">LEN(C8)</f>
        <v>29</v>
      </c>
      <c r="AL8" s="49">
        <f t="shared" si="35"/>
        <v>70</v>
      </c>
    </row>
    <row r="9">
      <c r="A9" s="3" t="s">
        <v>830</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"),"中学受験 社会 勉強法｜中学生になる前の小6対策")</f>
        <v>中学受験 社会 勉強法｜中学生になる前の小6対策</v>
      </c>
      <c r="D9" s="1" t="str">
        <f>IFERROR(__xludf.DUMMYFUNCTION("IFERROR(
  VLOOKUP(
    A9,
    IMPORTRANGE(
      ""1ZygntHC1J6IxzKbTidmOyf5nUyW4GCLurHCjexrLm_o        "",
      ""HTMLキャッシュ!A:F""
    ),
    6,
    FALSE
  ),
  0
)
"),"中学受験の社会は夏休みからのゼロ開始が重い。中学生になる前の小6は、1学期で暗記と基礎演習、夏は演習で弱点、通年で時事を積む配分が効く。")</f>
        <v>中学受験の社会は夏休みからのゼロ開始が重い。中学生になる前の小6は、1学期で暗記と基礎演習、夏は演習で弱点、通年で時事を積む配分が効く。</v>
      </c>
      <c r="E9" s="32">
        <f>IFERROR(__xludf.DUMMYFUNCTION("IFERROR(
  VLOOKUP(
    A9,
    IMPORTRANGE(
      ""1ZygntHC1J6IxzKbTidmOyf5nUyW4GCLurHCjexrLm_o        "",
      ""HTMLキャッシュ!A:F""
    ),
    3,
    FALSE
  ),
  0
)
"),46078.61603009259)</f>
        <v>46078.61603</v>
      </c>
      <c r="F9" s="49">
        <f>IFERROR(__xludf.DUMMYFUNCTION("IFERROR(
  VLOOKUP(
    A9,
    IMPORTRANGE(
      ""1ZHMy3vVUd_0MrSduXTe1etBb1HNpAlGwQr006ljwMiM"",
      ""GSC最新!A:F""
    ),
    2,
    FALSE
  ),
  0
)
"),6.0)</f>
        <v>6</v>
      </c>
      <c r="G9" s="49">
        <f>IFERROR(__xludf.DUMMYFUNCTION("IFERROR(
  VLOOKUP(
    A9,
    IMPORTRANGE(
      ""1ZHMy3vVUd_0MrSduXTe1etBb1HNpAlGwQr006ljwMiM"",
      ""GSC最新!A:F""
    ),
    3,
    FALSE
  ),
  0
)
"),12.0)</f>
        <v>12</v>
      </c>
      <c r="H9" s="49">
        <f>IFERROR(__xludf.DUMMYFUNCTION("IFERROR(
  VLOOKUP(
    A9,
    IMPORTRANGE(
      ""1ZHMy3vVUd_0MrSduXTe1etBb1HNpAlGwQr006ljwMiM"",
      ""GSC最新!A:F""
    ),
    4,
    FALSE
  ),
  0
)
"),0.0)</f>
        <v>0</v>
      </c>
      <c r="I9" s="49">
        <f>IFERROR(__xludf.DUMMYFUNCTION("IFERROR(
  VLOOKUP(
    A9,
    IMPORTRANGE(
      ""1ZHMy3vVUd_0MrSduXTe1etBb1HNpAlGwQr006ljwMiM"",
      ""GSC最新!A:F""
    ),
    5,
    FALSE
  ),
  0
)
"),1.0)</f>
        <v>1</v>
      </c>
      <c r="J9" s="50" t="str">
        <f t="shared" ref="J9:K9" si="36">IFERROR(F9/H9,"-")</f>
        <v>-</v>
      </c>
      <c r="K9" s="50">
        <f t="shared" si="36"/>
        <v>12</v>
      </c>
      <c r="L9" s="6">
        <f>IFERROR(__xludf.DUMMYFUNCTION("IFERROR(
  VLOOKUP(
    A9,
    IMPORTRANGE(
      ""1ZHMy3vVUd_0MrSduXTe1etBb1HNpAlGwQr006ljwMiM"",
      ""GSC最新!A:R""
    ),
    7,
    FALSE
  ),
  0
)
"),650.0)</f>
        <v>650</v>
      </c>
      <c r="M9" s="6">
        <f>IFERROR(__xludf.DUMMYFUNCTION("IFERROR(
  VLOOKUP(
    A9,
    IMPORTRANGE(
      ""1ZHMy3vVUd_0MrSduXTe1etBb1HNpAlGwQr006ljwMiM"",
      ""GSC最新!A:R""
    ),
    10,
    FALSE
  ),
  0
)
"),1850.0)</f>
        <v>1850</v>
      </c>
      <c r="N9" s="6">
        <f>IFERROR(__xludf.DUMMYFUNCTION("IFERROR(
  VLOOKUP(
    A9,
    IMPORTRANGE(
      ""1ZHMy3vVUd_0MrSduXTe1etBb1HNpAlGwQr006ljwMiM"",
      ""GSC最新!A:R""
    ),
    13,
    FALSE
  ),
  0
)
"),61.0)</f>
        <v>61</v>
      </c>
      <c r="O9" s="6">
        <f>IFERROR(__xludf.DUMMYFUNCTION("IFERROR(
  VLOOKUP(
    A9,
    IMPORTRANGE(
      ""1ZHMy3vVUd_0MrSduXTe1etBb1HNpAlGwQr006ljwMiM"",
      ""GSC最新!A:R""
    ),
    16,
    FALSE
  ),
  0
)
"),207.0)</f>
        <v>207</v>
      </c>
      <c r="P9" s="51">
        <f t="shared" ref="P9:Q9" si="37">IFERROR(L9/N9,"-")</f>
        <v>10.6557377</v>
      </c>
      <c r="Q9" s="51">
        <f t="shared" si="37"/>
        <v>8.937198068</v>
      </c>
      <c r="R9" s="9">
        <f>IFERROR(__xludf.DUMMYFUNCTION("IFERROR(
  VLOOKUP(
    A9,
    IMPORTRANGE(
      ""1ZHMy3vVUd_0MrSduXTe1etBb1HNpAlGwQr006ljwMiM"",
      ""GSC最新!A:R""
    ),
    8,
    FALSE
  ),
  0
)
"),0.009230769230769232)</f>
        <v>0.009230769231</v>
      </c>
      <c r="S9" s="9">
        <f>IFERROR(__xludf.DUMMYFUNCTION("IFERROR(
  VLOOKUP(
    A9,
    IMPORTRANGE(
      ""1ZHMy3vVUd_0MrSduXTe1etBb1HNpAlGwQr006ljwMiM"",
      ""GSC最新!A:R""
    ),
    11,
    FALSE
  ),
  0
)
"),0.006486486486486486)</f>
        <v>0.006486486486</v>
      </c>
      <c r="T9" s="9">
        <f>IFERROR(__xludf.DUMMYFUNCTION("IFERROR(
  VLOOKUP(
    A9,
    IMPORTRANGE(
      ""1ZHMy3vVUd_0MrSduXTe1etBb1HNpAlGwQr006ljwMiM"",
      ""GSC最新!A:R""
    ),
    14,
    FALSE
  ),
  0
)
"),0.0)</f>
        <v>0</v>
      </c>
      <c r="U9" s="9">
        <f>IFERROR(__xludf.DUMMYFUNCTION("IFERROR(
  VLOOKUP(
    A9,
    IMPORTRANGE(
      ""1ZHMy3vVUd_0MrSduXTe1etBb1HNpAlGwQr006ljwMiM"",
      ""GSC最新!A:R""
    ),
    17,
    FALSE
  ),
  0
)
"),0.004830917874396135)</f>
        <v>0.004830917874</v>
      </c>
      <c r="V9" s="9">
        <f t="shared" ref="V9:W9" si="38">IFERROR(R9-T9,"-")</f>
        <v>0.009230769231</v>
      </c>
      <c r="W9" s="9">
        <f t="shared" si="38"/>
        <v>0.001655568612</v>
      </c>
      <c r="X9" s="65">
        <f>IFERROR(__xludf.DUMMYFUNCTION("IFERROR(
  VLOOKUP(
    A9,
    IMPORTRANGE(
      ""1ZHMy3vVUd_0MrSduXTe1etBb1HNpAlGwQr006ljwMiM"",
      ""GSC最新!A:R""
    ),
    9,
    FALSE
  ),
  0
)
"),6.507692307692308)</f>
        <v>6.507692308</v>
      </c>
      <c r="Y9" s="65">
        <f>IFERROR(__xludf.DUMMYFUNCTION("IFERROR(
  VLOOKUP(
    A9,
    IMPORTRANGE(
      ""1ZHMy3vVUd_0MrSduXTe1etBb1HNpAlGwQr006ljwMiM"",
      ""GSC最新!A:R""
    ),
    12,
    FALSE
  ),
  0
)
"),5.46)</f>
        <v>5.46</v>
      </c>
      <c r="Z9" s="65">
        <f>IFERROR(__xludf.DUMMYFUNCTION("IFERROR(
  VLOOKUP(
    A9,
    IMPORTRANGE(
      ""1ZHMy3vVUd_0MrSduXTe1etBb1HNpAlGwQr006ljwMiM"",
      ""GSC最新!A:R""
    ),
    15,
    FALSE
  ),
  0
)
"),52.721311475409834)</f>
        <v>52.72131148</v>
      </c>
      <c r="AA9" s="65">
        <f>IFERROR(__xludf.DUMMYFUNCTION("IFERROR(
  VLOOKUP(
    A9,
    IMPORTRANGE(
      ""1ZHMy3vVUd_0MrSduXTe1etBb1HNpAlGwQr006ljwMiM"",
      ""GSC最新!A:R""
    ),
    18,
    FALSE
  ),
  0
)
"),79.61835748792271)</f>
        <v>79.61835749</v>
      </c>
      <c r="AB9" s="65">
        <f t="shared" ref="AB9:AC9" si="39">X9-Z9</f>
        <v>-46.21361917</v>
      </c>
      <c r="AC9" s="65">
        <f t="shared" si="39"/>
        <v>-74.15835749</v>
      </c>
      <c r="AD9" s="53">
        <f>IFERROR(__xludf.DUMMYFUNCTION("IFERROR(
  VLOOKUP(
    A9,
    IMPORTRANGE(
      ""1ZHMy3vVUd_0MrSduXTe1etBb1HNpAlGwQr006ljwMiM"",
      ""GSC最新!A:F""
    ),
    6,
    FALSE
  ),
  0
)
"),46081.0)</f>
        <v>46081</v>
      </c>
      <c r="AE9" s="54">
        <f>IFERROR(__xludf.DUMMYFUNCTION("IFERROR(
  VLOOKUP(
    A9,
    IMPORTRANGE(
      ""1SCYQd7_cobOYqT0r_F0IqD4tE4rYn5y8Eup4PJTH8es"",
      ""Snapshot!A:M""
    ),
    5,
    FALSE
  ),
  ""-""
)
"),5.0)</f>
        <v>5</v>
      </c>
      <c r="AF9" s="54">
        <f>IFERROR(__xludf.DUMMYFUNCTION("IFERROR(
  VLOOKUP(
    A9,
    IMPORTRANGE(
      ""1SCYQd7_cobOYqT0r_F0IqD4tE4rYn5y8Eup4PJTH8es"",
      ""Snapshot!A:M""
    ),
    6,
    FALSE
  ),
  0
)
"),5.0)</f>
        <v>5</v>
      </c>
      <c r="AG9" s="54">
        <f>IFERROR(__xludf.DUMMYFUNCTION("IFERROR(
  VLOOKUP(
    A9,
    IMPORTRANGE(
      ""1SCYQd7_cobOYqT0r_F0IqD4tE4rYn5y8Eup4PJTH8es"",
      ""Snapshot!A:M""
    ),
    7,
    FALSE
  ),
  0
)
"),2200.0)</f>
        <v>2200</v>
      </c>
      <c r="AH9" s="54">
        <f>IFERROR(__xludf.DUMMYFUNCTION("IFERROR(
  VLOOKUP(
    A9,
    IMPORTRANGE(
      ""1SCYQd7_cobOYqT0r_F0IqD4tE4rYn5y8Eup4PJTH8es"",
      ""Snapshot!A:M""
    ),
    8,
    FALSE
  ),
  0
)
"),0.0)</f>
        <v>0</v>
      </c>
      <c r="AI9" s="54">
        <f>IFERROR(__xludf.DUMMYFUNCTION("IFERROR(
  VLOOKUP(
    A9,
    IMPORTRANGE(
      ""1SCYQd7_cobOYqT0r_F0IqD4tE4rYn5y8Eup4PJTH8es"",
      ""Snapshot!A:M""
    ),
    9,
    FALSE
  ),
  0
)
"),1.0)</f>
        <v>1</v>
      </c>
      <c r="AJ9" s="54">
        <f>IFERROR(__xludf.DUMMYFUNCTION("IFERROR(
  VLOOKUP(
    A9,
    IMPORTRANGE(
      ""1SCYQd7_cobOYqT0r_F0IqD4tE4rYn5y8Eup4PJTH8es"",
      ""Snapshot!A:M""
    ),
    13,
    FALSE
  ),
  0
)
"),2.0)</f>
        <v>2</v>
      </c>
      <c r="AK9" s="49">
        <f t="shared" ref="AK9:AL9" si="40">LEN(C9)</f>
        <v>24</v>
      </c>
      <c r="AL9" s="49">
        <f t="shared" si="40"/>
        <v>68</v>
      </c>
    </row>
    <row r="10">
      <c r="A10" s="3" t="s">
        <v>831</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"),"中学受験社会の受験勉強が間に合わない時の緊急対処法 - 受験社会専門塾「令和」")</f>
        <v>中学受験社会の受験勉強が間に合わない時の緊急対処法 - 受験社会専門塾「令和」</v>
      </c>
      <c r="D10" s="1" t="str">
        <f>IFERROR(__xludf.DUMMYFUNCTION("IFERROR(
  VLOOKUP(
    A10,
    IMPORTRANGE(
      ""1ZygntHC1J6IxzKbTidmOyf5nUyW4GCLurHCjexrLm_o        "",
      ""HTMLキャッシュ!A:F""
    ),
    6,
    FALSE
  ),
  0
)
"),"中学受験社会の勉強が間に合わないときは志望校の傾向を分析し、頻出単元に集中。確実に解ける問題を増やし、時事問題の背景理解も忘れず対応しましょう！")</f>
        <v>中学受験社会の勉強が間に合わないときは志望校の傾向を分析し、頻出単元に集中。確実に解ける問題を増やし、時事問題の背景理解も忘れず対応しましょう！</v>
      </c>
      <c r="E10" s="32">
        <f>IFERROR(__xludf.DUMMYFUNCTION("IFERROR(
  VLOOKUP(
    A10,
    IMPORTRANGE(
      ""1ZygntHC1J6IxzKbTidmOyf5nUyW4GCLurHCjexrLm_o        "",
      ""HTMLキャッシュ!A:F""
    ),
    3,
    FALSE
  ),
  0
)
"),46071.70804398148)</f>
        <v>46071.70804</v>
      </c>
      <c r="F10" s="49">
        <f>IFERROR(__xludf.DUMMYFUNCTION("IFERROR(
  VLOOKUP(
    A10,
    IMPORTRANGE(
      ""1ZHMy3vVUd_0MrSduXTe1etBb1HNpAlGwQr006ljwMiM"",
      ""GSC最新!A:F""
    ),
    2,
    FALSE
  ),
  0
)
"),2.0)</f>
        <v>2</v>
      </c>
      <c r="G10" s="49">
        <f>IFERROR(__xludf.DUMMYFUNCTION("IFERROR(
  VLOOKUP(
    A10,
    IMPORTRANGE(
      ""1ZHMy3vVUd_0MrSduXTe1etBb1HNpAlGwQr006ljwMiM"",
      ""GSC最新!A:F""
    ),
    3,
    FALSE
  ),
  0
)
"),12.0)</f>
        <v>12</v>
      </c>
      <c r="H10" s="49">
        <f>IFERROR(__xludf.DUMMYFUNCTION("IFERROR(
  VLOOKUP(
    A10,
    IMPORTRANGE(
      ""1ZHMy3vVUd_0MrSduXTe1etBb1HNpAlGwQr006ljwMiM"",
      ""GSC最新!A:F""
    ),
    4,
    FALSE
  ),
  0
)
"),1.0)</f>
        <v>1</v>
      </c>
      <c r="I10" s="49">
        <f>IFERROR(__xludf.DUMMYFUNCTION("IFERROR(
  VLOOKUP(
    A10,
    IMPORTRANGE(
      ""1ZHMy3vVUd_0MrSduXTe1etBb1HNpAlGwQr006ljwMiM"",
      ""GSC最新!A:F""
    ),
    5,
    FALSE
  ),
  0
)
"),6.0)</f>
        <v>6</v>
      </c>
      <c r="J10" s="50">
        <f t="shared" ref="J10:K10" si="41">IFERROR(F10/H10,"-")</f>
        <v>2</v>
      </c>
      <c r="K10" s="50">
        <f t="shared" si="41"/>
        <v>2</v>
      </c>
      <c r="L10" s="6">
        <f>IFERROR(__xludf.DUMMYFUNCTION("IFERROR(
  VLOOKUP(
    A10,
    IMPORTRANGE(
      ""1ZHMy3vVUd_0MrSduXTe1etBb1HNpAlGwQr006ljwMiM"",
      ""GSC最新!A:R""
    ),
    7,
    FALSE
  ),
  0
)
"),208.0)</f>
        <v>208</v>
      </c>
      <c r="M10" s="6">
        <f>IFERROR(__xludf.DUMMYFUNCTION("IFERROR(
  VLOOKUP(
    A10,
    IMPORTRANGE(
      ""1ZHMy3vVUd_0MrSduXTe1etBb1HNpAlGwQr006ljwMiM"",
      ""GSC最新!A:R""
    ),
    10,
    FALSE
  ),
  0
)
"),830.0)</f>
        <v>830</v>
      </c>
      <c r="N10" s="6">
        <f>IFERROR(__xludf.DUMMYFUNCTION("IFERROR(
  VLOOKUP(
    A10,
    IMPORTRANGE(
      ""1ZHMy3vVUd_0MrSduXTe1etBb1HNpAlGwQr006ljwMiM"",
      ""GSC最新!A:R""
    ),
    13,
    FALSE
  ),
  0
)
"),165.0)</f>
        <v>165</v>
      </c>
      <c r="O10" s="6">
        <f>IFERROR(__xludf.DUMMYFUNCTION("IFERROR(
  VLOOKUP(
    A10,
    IMPORTRANGE(
      ""1ZHMy3vVUd_0MrSduXTe1etBb1HNpAlGwQr006ljwMiM"",
      ""GSC最新!A:R""
    ),
    16,
    FALSE
  ),
  0
)
"),453.0)</f>
        <v>453</v>
      </c>
      <c r="P10" s="51">
        <f t="shared" ref="P10:Q10" si="42">IFERROR(L10/N10,"-")</f>
        <v>1.260606061</v>
      </c>
      <c r="Q10" s="51">
        <f t="shared" si="42"/>
        <v>1.832229581</v>
      </c>
      <c r="R10" s="9">
        <f>IFERROR(__xludf.DUMMYFUNCTION("IFERROR(
  VLOOKUP(
    A10,
    IMPORTRANGE(
      ""1ZHMy3vVUd_0MrSduXTe1etBb1HNpAlGwQr006ljwMiM"",
      ""GSC最新!A:R""
    ),
    8,
    FALSE
  ),
  0
)
"),0.009615384615384616)</f>
        <v>0.009615384615</v>
      </c>
      <c r="S10" s="9">
        <f>IFERROR(__xludf.DUMMYFUNCTION("IFERROR(
  VLOOKUP(
    A10,
    IMPORTRANGE(
      ""1ZHMy3vVUd_0MrSduXTe1etBb1HNpAlGwQr006ljwMiM"",
      ""GSC最新!A:R""
    ),
    11,
    FALSE
  ),
  0
)
"),0.014457831325301205)</f>
        <v>0.01445783133</v>
      </c>
      <c r="T10" s="9">
        <f>IFERROR(__xludf.DUMMYFUNCTION("IFERROR(
  VLOOKUP(
    A10,
    IMPORTRANGE(
      ""1ZHMy3vVUd_0MrSduXTe1etBb1HNpAlGwQr006ljwMiM"",
      ""GSC最新!A:R""
    ),
    14,
    FALSE
  ),
  0
)
"),0.006060606060606061)</f>
        <v>0.006060606061</v>
      </c>
      <c r="U10" s="9">
        <f>IFERROR(__xludf.DUMMYFUNCTION("IFERROR(
  VLOOKUP(
    A10,
    IMPORTRANGE(
      ""1ZHMy3vVUd_0MrSduXTe1etBb1HNpAlGwQr006ljwMiM"",
      ""GSC最新!A:R""
    ),
    17,
    FALSE
  ),
  0
)
"),0.013245033112582781)</f>
        <v>0.01324503311</v>
      </c>
      <c r="V10" s="9">
        <f t="shared" ref="V10:W10" si="43">IFERROR(R10-T10,"-")</f>
        <v>0.003554778555</v>
      </c>
      <c r="W10" s="9">
        <f t="shared" si="43"/>
        <v>0.001212798213</v>
      </c>
      <c r="X10" s="65">
        <f>IFERROR(__xludf.DUMMYFUNCTION("IFERROR(
  VLOOKUP(
    A10,
    IMPORTRANGE(
      ""1ZHMy3vVUd_0MrSduXTe1etBb1HNpAlGwQr006ljwMiM"",
      ""GSC最新!A:R""
    ),
    9,
    FALSE
  ),
  0
)
"),5.735576923076923)</f>
        <v>5.735576923</v>
      </c>
      <c r="Y10" s="65">
        <f>IFERROR(__xludf.DUMMYFUNCTION("IFERROR(
  VLOOKUP(
    A10,
    IMPORTRANGE(
      ""1ZHMy3vVUd_0MrSduXTe1etBb1HNpAlGwQr006ljwMiM"",
      ""GSC最新!A:R""
    ),
    12,
    FALSE
  ),
  0
)
"),5.390361445783133)</f>
        <v>5.390361446</v>
      </c>
      <c r="Z10" s="65">
        <f>IFERROR(__xludf.DUMMYFUNCTION("IFERROR(
  VLOOKUP(
    A10,
    IMPORTRANGE(
      ""1ZHMy3vVUd_0MrSduXTe1etBb1HNpAlGwQr006ljwMiM"",
      ""GSC最新!A:R""
    ),
    15,
    FALSE
  ),
  0
)
"),14.012121212121212)</f>
        <v>14.01212121</v>
      </c>
      <c r="AA10" s="65">
        <f>IFERROR(__xludf.DUMMYFUNCTION("IFERROR(
  VLOOKUP(
    A10,
    IMPORTRANGE(
      ""1ZHMy3vVUd_0MrSduXTe1etBb1HNpAlGwQr006ljwMiM"",
      ""GSC最新!A:R""
    ),
    18,
    FALSE
  ),
  0
)
"),21.207505518763796)</f>
        <v>21.20750552</v>
      </c>
      <c r="AB10" s="65">
        <f t="shared" ref="AB10:AC10" si="44">X10-Z10</f>
        <v>-8.276544289</v>
      </c>
      <c r="AC10" s="65">
        <f t="shared" si="44"/>
        <v>-15.81714407</v>
      </c>
      <c r="AD10" s="53">
        <f>IFERROR(__xludf.DUMMYFUNCTION("IFERROR(
  VLOOKUP(
    A10,
    IMPORTRANGE(
      ""1ZHMy3vVUd_0MrSduXTe1etBb1HNpAlGwQr006ljwMiM"",
      ""GSC最新!A:F""
    ),
    6,
    FALSE
  ),
  0
)
"),46081.0)</f>
        <v>46081</v>
      </c>
      <c r="AE10" s="54">
        <f>IFERROR(__xludf.DUMMYFUNCTION("IFERROR(
  VLOOKUP(
    A10,
    IMPORTRANGE(
      ""1SCYQd7_cobOYqT0r_F0IqD4tE4rYn5y8Eup4PJTH8es"",
      ""Snapshot!A:M""
    ),
    5,
    FALSE
  ),
  ""-""
)
"),1.0)</f>
        <v>1</v>
      </c>
      <c r="AF10" s="54">
        <f>IFERROR(__xludf.DUMMYFUNCTION("IFERROR(
  VLOOKUP(
    A10,
    IMPORTRANGE(
      ""1SCYQd7_cobOYqT0r_F0IqD4tE4rYn5y8Eup4PJTH8es"",
      ""Snapshot!A:M""
    ),
    6,
    FALSE
  ),
  0
)
"),3.0)</f>
        <v>3</v>
      </c>
      <c r="AG10" s="54">
        <f>IFERROR(__xludf.DUMMYFUNCTION("IFERROR(
  VLOOKUP(
    A10,
    IMPORTRANGE(
      ""1SCYQd7_cobOYqT0r_F0IqD4tE4rYn5y8Eup4PJTH8es"",
      ""Snapshot!A:M""
    ),
    7,
    FALSE
  ),
  0
)
"),1094.0)</f>
        <v>1094</v>
      </c>
      <c r="AH10" s="54">
        <f>IFERROR(__xludf.DUMMYFUNCTION("IFERROR(
  VLOOKUP(
    A10,
    IMPORTRANGE(
      ""1SCYQd7_cobOYqT0r_F0IqD4tE4rYn5y8Eup4PJTH8es"",
      ""Snapshot!A:M""
    ),
    8,
    FALSE
  ),
  0
)
"),0.0)</f>
        <v>0</v>
      </c>
      <c r="AI10" s="54">
        <f>IFERROR(__xludf.DUMMYFUNCTION("IFERROR(
  VLOOKUP(
    A10,
    IMPORTRANGE(
      ""1SCYQd7_cobOYqT0r_F0IqD4tE4rYn5y8Eup4PJTH8es"",
      ""Snapshot!A:M""
    ),
    9,
    FALSE
  ),
  0
)
"),1.0)</f>
        <v>1</v>
      </c>
      <c r="AJ10" s="54">
        <f>IFERROR(__xludf.DUMMYFUNCTION("IFERROR(
  VLOOKUP(
    A10,
    IMPORTRANGE(
      ""1SCYQd7_cobOYqT0r_F0IqD4tE4rYn5y8Eup4PJTH8es"",
      ""Snapshot!A:M""
    ),
    13,
    FALSE
  ),
  0
)
"),2.0)</f>
        <v>2</v>
      </c>
      <c r="AK10" s="49">
        <f t="shared" ref="AK10:AL10" si="45">LEN(C10)</f>
        <v>39</v>
      </c>
      <c r="AL10" s="49">
        <f t="shared" si="45"/>
        <v>72</v>
      </c>
    </row>
    <row r="11">
      <c r="A11" s="3" t="s">
        <v>292</v>
      </c>
      <c r="B11" s="1" t="str">
        <f>IFERROR(__xludf.DUMMYFUNCTION("IFERROR(
  VLOOKUP(
    A11,
    IMPORTRANGE(
      ""1ZygntHC1J6IxzKbTidmOyf5nUyW4GCLurHCjexrLm_o"",
      ""HTMLキャッシュ!A:F""
    ),
    2,
    FALSE
  ),
  0
)
"),"SP")</f>
        <v>SP</v>
      </c>
      <c r="C11" s="1" t="str">
        <f>IFERROR(__xludf.DUMMYFUNCTION("IFERROR(
  VLOOKUP(
    A11,
    IMPORTRANGE(
      ""1ZygntHC1J6IxzKbTidmOyf5nUyW4GCLurHCjexrLm_o"",
      ""HTMLキャッシュ!A:F""
    ),
    5,
    FALSE
  ),
  0
)
"),"中学受験社会単発個別指導講座｜記述地形図対策オンライン塾")</f>
        <v>中学受験社会単発個別指導講座｜記述地形図対策オンライン塾</v>
      </c>
      <c r="D11" s="1" t="str">
        <f>IFERROR(__xludf.DUMMYFUNCTION("IFERROR(
  VLOOKUP(
    A11,
    IMPORTRANGE(
      ""1ZygntHC1J6IxzKbTidmOyf5nUyW4GCLurHCjexrLm_o        "",
      ""HTMLキャッシュ!A:F""
    ),
    6,
    FALSE
  ),
  0
)
"),"選択は取れるのに記述で失点する子へ。志望校別の単発個別指導で因果説明と資料読解を強化。オンライン対応、答案添削相談可")</f>
        <v>選択は取れるのに記述で失点する子へ。志望校別の単発個別指導で因果説明と資料読解を強化。オンライン対応、答案添削相談可</v>
      </c>
      <c r="E11" s="32">
        <f>IFERROR(__xludf.DUMMYFUNCTION("IFERROR(
  VLOOKUP(
    A11,
    IMPORTRANGE(
      ""1ZygntHC1J6IxzKbTidmOyf5nUyW4GCLurHCjexrLm_o        "",
      ""HTMLキャッシュ!A:F""
    ),
    3,
    FALSE
  ),
  0
)
"),46080.83326388889)</f>
        <v>46080.83326</v>
      </c>
      <c r="F11" s="49">
        <f>IFERROR(__xludf.DUMMYFUNCTION("IFERROR(
  VLOOKUP(
    A11,
    IMPORTRANGE(
      ""1ZHMy3vVUd_0MrSduXTe1etBb1HNpAlGwQr006ljwMiM"",
      ""GSC最新!A:F""
    ),
    2,
    FALSE
  ),
  0
)
"),5.0)</f>
        <v>5</v>
      </c>
      <c r="G11" s="49">
        <f>IFERROR(__xludf.DUMMYFUNCTION("IFERROR(
  VLOOKUP(
    A11,
    IMPORTRANGE(
      ""1ZHMy3vVUd_0MrSduXTe1etBb1HNpAlGwQr006ljwMiM"",
      ""GSC最新!A:F""
    ),
    3,
    FALSE
  ),
  0
)
"),6.0)</f>
        <v>6</v>
      </c>
      <c r="H11" s="49">
        <f>IFERROR(__xludf.DUMMYFUNCTION("IFERROR(
  VLOOKUP(
    A11,
    IMPORTRANGE(
      ""1ZHMy3vVUd_0MrSduXTe1etBb1HNpAlGwQr006ljwMiM"",
      ""GSC最新!A:F""
    ),
    4,
    FALSE
  ),
  0
)
"),0.0)</f>
        <v>0</v>
      </c>
      <c r="I11" s="49">
        <f>IFERROR(__xludf.DUMMYFUNCTION("IFERROR(
  VLOOKUP(
    A11,
    IMPORTRANGE(
      ""1ZHMy3vVUd_0MrSduXTe1etBb1HNpAlGwQr006ljwMiM"",
      ""GSC最新!A:F""
    ),
    5,
    FALSE
  ),
  0
)
"),0.0)</f>
        <v>0</v>
      </c>
      <c r="J11" s="50" t="str">
        <f t="shared" ref="J11:K11" si="46">IFERROR(F11/H11,"-")</f>
        <v>-</v>
      </c>
      <c r="K11" s="50" t="str">
        <f t="shared" si="46"/>
        <v>-</v>
      </c>
      <c r="L11" s="6">
        <f>IFERROR(__xludf.DUMMYFUNCTION("IFERROR(
  VLOOKUP(
    A11,
    IMPORTRANGE(
      ""1ZHMy3vVUd_0MrSduXTe1etBb1HNpAlGwQr006ljwMiM"",
      ""GSC最新!A:R""
    ),
    7,
    FALSE
  ),
  0
)
"),256.0)</f>
        <v>256</v>
      </c>
      <c r="M11" s="6">
        <f>IFERROR(__xludf.DUMMYFUNCTION("IFERROR(
  VLOOKUP(
    A11,
    IMPORTRANGE(
      ""1ZHMy3vVUd_0MrSduXTe1etBb1HNpAlGwQr006ljwMiM"",
      ""GSC最新!A:R""
    ),
    10,
    FALSE
  ),
  0
)
"),388.0)</f>
        <v>388</v>
      </c>
      <c r="N11" s="6">
        <f>IFERROR(__xludf.DUMMYFUNCTION("IFERROR(
  VLOOKUP(
    A11,
    IMPORTRANGE(
      ""1ZHMy3vVUd_0MrSduXTe1etBb1HNpAlGwQr006ljwMiM"",
      ""GSC最新!A:R""
    ),
    13,
    FALSE
  ),
  0
)
"),16.0)</f>
        <v>16</v>
      </c>
      <c r="O11" s="6">
        <f>IFERROR(__xludf.DUMMYFUNCTION("IFERROR(
  VLOOKUP(
    A11,
    IMPORTRANGE(
      ""1ZHMy3vVUd_0MrSduXTe1etBb1HNpAlGwQr006ljwMiM"",
      ""GSC最新!A:R""
    ),
    16,
    FALSE
  ),
  0
)
"),47.0)</f>
        <v>47</v>
      </c>
      <c r="P11" s="51">
        <f t="shared" ref="P11:Q11" si="47">IFERROR(L11/N11,"-")</f>
        <v>16</v>
      </c>
      <c r="Q11" s="51">
        <f t="shared" si="47"/>
        <v>8.255319149</v>
      </c>
      <c r="R11" s="9">
        <f>IFERROR(__xludf.DUMMYFUNCTION("IFERROR(
  VLOOKUP(
    A11,
    IMPORTRANGE(
      ""1ZHMy3vVUd_0MrSduXTe1etBb1HNpAlGwQr006ljwMiM"",
      ""GSC最新!A:R""
    ),
    8,
    FALSE
  ),
  0
)
"),0.01953125)</f>
        <v>0.01953125</v>
      </c>
      <c r="S11" s="9">
        <f>IFERROR(__xludf.DUMMYFUNCTION("IFERROR(
  VLOOKUP(
    A11,
    IMPORTRANGE(
      ""1ZHMy3vVUd_0MrSduXTe1etBb1HNpAlGwQr006ljwMiM"",
      ""GSC最新!A:R""
    ),
    11,
    FALSE
  ),
  0
)
"),0.015463917525773196)</f>
        <v>0.01546391753</v>
      </c>
      <c r="T11" s="9">
        <f>IFERROR(__xludf.DUMMYFUNCTION("IFERROR(
  VLOOKUP(
    A11,
    IMPORTRANGE(
      ""1ZHMy3vVUd_0MrSduXTe1etBb1HNpAlGwQr006ljwMiM"",
      ""GSC最新!A:R""
    ),
    14,
    FALSE
  ),
  0
)
"),0.0)</f>
        <v>0</v>
      </c>
      <c r="U11" s="9">
        <f>IFERROR(__xludf.DUMMYFUNCTION("IFERROR(
  VLOOKUP(
    A11,
    IMPORTRANGE(
      ""1ZHMy3vVUd_0MrSduXTe1etBb1HNpAlGwQr006ljwMiM"",
      ""GSC最新!A:R""
    ),
    17,
    FALSE
  ),
  0
)
"),0.0)</f>
        <v>0</v>
      </c>
      <c r="V11" s="9">
        <f t="shared" ref="V11:W11" si="48">IFERROR(R11-T11,"-")</f>
        <v>0.01953125</v>
      </c>
      <c r="W11" s="9">
        <f t="shared" si="48"/>
        <v>0.01546391753</v>
      </c>
      <c r="X11" s="65">
        <f>IFERROR(__xludf.DUMMYFUNCTION("IFERROR(
  VLOOKUP(
    A11,
    IMPORTRANGE(
      ""1ZHMy3vVUd_0MrSduXTe1etBb1HNpAlGwQr006ljwMiM"",
      ""GSC最新!A:R""
    ),
    9,
    FALSE
  ),
  0
)
"),7.97265625)</f>
        <v>7.97265625</v>
      </c>
      <c r="Y11" s="65">
        <f>IFERROR(__xludf.DUMMYFUNCTION("IFERROR(
  VLOOKUP(
    A11,
    IMPORTRANGE(
      ""1ZHMy3vVUd_0MrSduXTe1etBb1HNpAlGwQr006ljwMiM"",
      ""GSC最新!A:R""
    ),
    12,
    FALSE
  ),
  0
)
"),7.61340206185567)</f>
        <v>7.613402062</v>
      </c>
      <c r="Z11" s="65">
        <f>IFERROR(__xludf.DUMMYFUNCTION("IFERROR(
  VLOOKUP(
    A11,
    IMPORTRANGE(
      ""1ZHMy3vVUd_0MrSduXTe1etBb1HNpAlGwQr006ljwMiM"",
      ""GSC最新!A:R""
    ),
    15,
    FALSE
  ),
  0
)
"),6.25)</f>
        <v>6.25</v>
      </c>
      <c r="AA11" s="65">
        <f>IFERROR(__xludf.DUMMYFUNCTION("IFERROR(
  VLOOKUP(
    A11,
    IMPORTRANGE(
      ""1ZHMy3vVUd_0MrSduXTe1etBb1HNpAlGwQr006ljwMiM"",
      ""GSC最新!A:R""
    ),
    18,
    FALSE
  ),
  0
)
"),9.829787234042554)</f>
        <v>9.829787234</v>
      </c>
      <c r="AB11" s="65">
        <f t="shared" ref="AB11:AC11" si="49">X11-Z11</f>
        <v>1.72265625</v>
      </c>
      <c r="AC11" s="65">
        <f t="shared" si="49"/>
        <v>-2.216385172</v>
      </c>
      <c r="AD11" s="53">
        <f>IFERROR(__xludf.DUMMYFUNCTION("IFERROR(
  VLOOKUP(
    A11,
    IMPORTRANGE(
      ""1ZHMy3vVUd_0MrSduXTe1etBb1HNpAlGwQr006ljwMiM"",
      ""GSC最新!A:F""
    ),
    6,
    FALSE
  ),
  0
)
"),46081.0)</f>
        <v>46081</v>
      </c>
      <c r="AE11" s="54">
        <f>IFERROR(__xludf.DUMMYFUNCTION("IFERROR(
  VLOOKUP(
    A11,
    IMPORTRANGE(
      ""1SCYQd7_cobOYqT0r_F0IqD4tE4rYn5y8Eup4PJTH8es"",
      ""Snapshot!A:M""
    ),
    5,
    FALSE
  ),
  ""-""
)
"),7.0)</f>
        <v>7</v>
      </c>
      <c r="AF11" s="54">
        <f>IFERROR(__xludf.DUMMYFUNCTION("IFERROR(
  VLOOKUP(
    A11,
    IMPORTRANGE(
      ""1SCYQd7_cobOYqT0r_F0IqD4tE4rYn5y8Eup4PJTH8es"",
      ""Snapshot!A:M""
    ),
    6,
    FALSE
  ),
  0
)
"),7.0)</f>
        <v>7</v>
      </c>
      <c r="AG11" s="54">
        <f>IFERROR(__xludf.DUMMYFUNCTION("IFERROR(
  VLOOKUP(
    A11,
    IMPORTRANGE(
      ""1SCYQd7_cobOYqT0r_F0IqD4tE4rYn5y8Eup4PJTH8es"",
      ""Snapshot!A:M""
    ),
    7,
    FALSE
  ),
  0
)
"),5289.0)</f>
        <v>5289</v>
      </c>
      <c r="AH11" s="54">
        <f>IFERROR(__xludf.DUMMYFUNCTION("IFERROR(
  VLOOKUP(
    A11,
    IMPORTRANGE(
      ""1SCYQd7_cobOYqT0r_F0IqD4tE4rYn5y8Eup4PJTH8es"",
      ""Snapshot!A:M""
    ),
    8,
    FALSE
  ),
  0
)
"),1.0)</f>
        <v>1</v>
      </c>
      <c r="AI11" s="54">
        <f>IFERROR(__xludf.DUMMYFUNCTION("IFERROR(
  VLOOKUP(
    A11,
    IMPORTRANGE(
      ""1SCYQd7_cobOYqT0r_F0IqD4tE4rYn5y8Eup4PJTH8es"",
      ""Snapshot!A:M""
    ),
    9,
    FALSE
  ),
  0
)
"),9.0)</f>
        <v>9</v>
      </c>
      <c r="AJ11" s="54">
        <f>IFERROR(__xludf.DUMMYFUNCTION("IFERROR(
  VLOOKUP(
    A11,
    IMPORTRANGE(
      ""1SCYQd7_cobOYqT0r_F0IqD4tE4rYn5y8Eup4PJTH8es"",
      ""Snapshot!A:M""
    ),
    13,
    FALSE
  ),
  0
)
"),1.0)</f>
        <v>1</v>
      </c>
      <c r="AK11" s="49">
        <f t="shared" ref="AK11:AL11" si="50">LEN(C11)</f>
        <v>28</v>
      </c>
      <c r="AL11" s="49">
        <f t="shared" si="50"/>
        <v>58</v>
      </c>
    </row>
    <row r="12">
      <c r="A12" s="3" t="s">
        <v>293</v>
      </c>
      <c r="B12" s="1" t="str">
        <f>IFERROR(__xludf.DUMMYFUNCTION("IFERROR(
  VLOOKUP(
    A12,
    IMPORTRANGE(
      ""1ZygntHC1J6IxzKbTidmOyf5nUyW4GCLurHCjexrLm_o"",
      ""HTMLキャッシュ!A:F""
    ),
    2,
    FALSE
  ),
  0
)
"),"SP")</f>
        <v>SP</v>
      </c>
      <c r="C12" s="1" t="str">
        <f>IFERROR(__xludf.DUMMYFUNCTION("IFERROR(
  VLOOKUP(
    A12,
    IMPORTRANGE(
      ""1ZygntHC1J6IxzKbTidmOyf5nUyW4GCLurHCjexrLm_o"",
      ""HTMLキャッシュ!A:F""
    ),
    5,
    FALSE
  ),
  0
)
"),"中学受験社会の地理塾｜個別指導で地図・資料の読み取りまで強化")</f>
        <v>中学受験社会の地理塾｜個別指導で地図・資料の読み取りまで強化</v>
      </c>
      <c r="D12" s="1" t="str">
        <f>IFERROR(__xludf.DUMMYFUNCTION("IFERROR(
  VLOOKUP(
    A12,
    IMPORTRANGE(
      ""1ZygntHC1J6IxzKbTidmOyf5nUyW4GCLurHCjexrLm_o        "",
      ""HTMLキャッシュ!A:F""
    ),
    6,
    FALSE
  ),
  0
)
"),"地理が覚えても問題で出ない小4〜小6向け。地図と資料の読み取りから練習し、8回で要点を整理。教室/オンライン対応。相談受付中")</f>
        <v>地理が覚えても問題で出ない小4〜小6向け。地図と資料の読み取りから練習し、8回で要点を整理。教室/オンライン対応。相談受付中</v>
      </c>
      <c r="E12" s="32">
        <f>IFERROR(__xludf.DUMMYFUNCTION("IFERROR(
  VLOOKUP(
    A12,
    IMPORTRANGE(
      ""1ZygntHC1J6IxzKbTidmOyf5nUyW4GCLurHCjexrLm_o        "",
      ""HTMLキャッシュ!A:F""
    ),
    3,
    FALSE
  ),
  0
)
"),46081.74900462963)</f>
        <v>46081.749</v>
      </c>
      <c r="F12" s="49">
        <f>IFERROR(__xludf.DUMMYFUNCTION("IFERROR(
  VLOOKUP(
    A12,
    IMPORTRANGE(
      ""1ZHMy3vVUd_0MrSduXTe1etBb1HNpAlGwQr006ljwMiM"",
      ""GSC最新!A:F""
    ),
    2,
    FALSE
  ),
  0
)
"),2.0)</f>
        <v>2</v>
      </c>
      <c r="G12" s="49">
        <f>IFERROR(__xludf.DUMMYFUNCTION("IFERROR(
  VLOOKUP(
    A12,
    IMPORTRANGE(
      ""1ZHMy3vVUd_0MrSduXTe1etBb1HNpAlGwQr006ljwMiM"",
      ""GSC最新!A:F""
    ),
    3,
    FALSE
  ),
  0
)
"),4.0)</f>
        <v>4</v>
      </c>
      <c r="H12" s="49">
        <f>IFERROR(__xludf.DUMMYFUNCTION("IFERROR(
  VLOOKUP(
    A12,
    IMPORTRANGE(
      ""1ZHMy3vVUd_0MrSduXTe1etBb1HNpAlGwQr006ljwMiM"",
      ""GSC最新!A:F""
    ),
    4,
    FALSE
  ),
  0
)
"),4.0)</f>
        <v>4</v>
      </c>
      <c r="I12" s="49">
        <f>IFERROR(__xludf.DUMMYFUNCTION("IFERROR(
  VLOOKUP(
    A12,
    IMPORTRANGE(
      ""1ZHMy3vVUd_0MrSduXTe1etBb1HNpAlGwQr006ljwMiM"",
      ""GSC最新!A:F""
    ),
    5,
    FALSE
  ),
  0
)
"),12.0)</f>
        <v>12</v>
      </c>
      <c r="J12" s="50">
        <f t="shared" ref="J12:K12" si="51">IFERROR(F12/H12,"-")</f>
        <v>0.5</v>
      </c>
      <c r="K12" s="50">
        <f t="shared" si="51"/>
        <v>0.3333333333</v>
      </c>
      <c r="L12" s="6">
        <f>IFERROR(__xludf.DUMMYFUNCTION("IFERROR(
  VLOOKUP(
    A12,
    IMPORTRANGE(
      ""1ZHMy3vVUd_0MrSduXTe1etBb1HNpAlGwQr006ljwMiM"",
      ""GSC最新!A:R""
    ),
    7,
    FALSE
  ),
  0
)
"),124.0)</f>
        <v>124</v>
      </c>
      <c r="M12" s="6">
        <f>IFERROR(__xludf.DUMMYFUNCTION("IFERROR(
  VLOOKUP(
    A12,
    IMPORTRANGE(
      ""1ZHMy3vVUd_0MrSduXTe1etBb1HNpAlGwQr006ljwMiM"",
      ""GSC最新!A:R""
    ),
    10,
    FALSE
  ),
  0
)
"),367.0)</f>
        <v>367</v>
      </c>
      <c r="N12" s="6">
        <f>IFERROR(__xludf.DUMMYFUNCTION("IFERROR(
  VLOOKUP(
    A12,
    IMPORTRANGE(
      ""1ZHMy3vVUd_0MrSduXTe1etBb1HNpAlGwQr006ljwMiM"",
      ""GSC最新!A:R""
    ),
    13,
    FALSE
  ),
  0
)
"),106.0)</f>
        <v>106</v>
      </c>
      <c r="O12" s="6">
        <f>IFERROR(__xludf.DUMMYFUNCTION("IFERROR(
  VLOOKUP(
    A12,
    IMPORTRANGE(
      ""1ZHMy3vVUd_0MrSduXTe1etBb1HNpAlGwQr006ljwMiM"",
      ""GSC最新!A:R""
    ),
    16,
    FALSE
  ),
  0
)
"),293.0)</f>
        <v>293</v>
      </c>
      <c r="P12" s="51">
        <f t="shared" ref="P12:Q12" si="52">IFERROR(L12/N12,"-")</f>
        <v>1.169811321</v>
      </c>
      <c r="Q12" s="51">
        <f t="shared" si="52"/>
        <v>1.252559727</v>
      </c>
      <c r="R12" s="9">
        <f>IFERROR(__xludf.DUMMYFUNCTION("IFERROR(
  VLOOKUP(
    A12,
    IMPORTRANGE(
      ""1ZHMy3vVUd_0MrSduXTe1etBb1HNpAlGwQr006ljwMiM"",
      ""GSC最新!A:R""
    ),
    8,
    FALSE
  ),
  0
)
"),0.016129032258064516)</f>
        <v>0.01612903226</v>
      </c>
      <c r="S12" s="9">
        <f>IFERROR(__xludf.DUMMYFUNCTION("IFERROR(
  VLOOKUP(
    A12,
    IMPORTRANGE(
      ""1ZHMy3vVUd_0MrSduXTe1etBb1HNpAlGwQr006ljwMiM"",
      ""GSC最新!A:R""
    ),
    11,
    FALSE
  ),
  0
)
"),0.010899182561307902)</f>
        <v>0.01089918256</v>
      </c>
      <c r="T12" s="9">
        <f>IFERROR(__xludf.DUMMYFUNCTION("IFERROR(
  VLOOKUP(
    A12,
    IMPORTRANGE(
      ""1ZHMy3vVUd_0MrSduXTe1etBb1HNpAlGwQr006ljwMiM"",
      ""GSC最新!A:R""
    ),
    14,
    FALSE
  ),
  0
)
"),0.03773584905660377)</f>
        <v>0.03773584906</v>
      </c>
      <c r="U12" s="9">
        <f>IFERROR(__xludf.DUMMYFUNCTION("IFERROR(
  VLOOKUP(
    A12,
    IMPORTRANGE(
      ""1ZHMy3vVUd_0MrSduXTe1etBb1HNpAlGwQr006ljwMiM"",
      ""GSC最新!A:R""
    ),
    17,
    FALSE
  ),
  0
)
"),0.040955631399317405)</f>
        <v>0.0409556314</v>
      </c>
      <c r="V12" s="9">
        <f t="shared" ref="V12:W12" si="53">IFERROR(R12-T12,"-")</f>
        <v>-0.0216068168</v>
      </c>
      <c r="W12" s="9">
        <f t="shared" si="53"/>
        <v>-0.03005644884</v>
      </c>
      <c r="X12" s="65">
        <f>IFERROR(__xludf.DUMMYFUNCTION("IFERROR(
  VLOOKUP(
    A12,
    IMPORTRANGE(
      ""1ZHMy3vVUd_0MrSduXTe1etBb1HNpAlGwQr006ljwMiM"",
      ""GSC最新!A:R""
    ),
    9,
    FALSE
  ),
  0
)
"),14.64516129032258)</f>
        <v>14.64516129</v>
      </c>
      <c r="Y12" s="65">
        <f>IFERROR(__xludf.DUMMYFUNCTION("IFERROR(
  VLOOKUP(
    A12,
    IMPORTRANGE(
      ""1ZHMy3vVUd_0MrSduXTe1etBb1HNpAlGwQr006ljwMiM"",
      ""GSC最新!A:R""
    ),
    12,
    FALSE
  ),
  0
)
"),16.869209809264305)</f>
        <v>16.86920981</v>
      </c>
      <c r="Z12" s="65">
        <f>IFERROR(__xludf.DUMMYFUNCTION("IFERROR(
  VLOOKUP(
    A12,
    IMPORTRANGE(
      ""1ZHMy3vVUd_0MrSduXTe1etBb1HNpAlGwQr006ljwMiM"",
      ""GSC最新!A:R""
    ),
    15,
    FALSE
  ),
  0
)
"),31.971698113207548)</f>
        <v>31.97169811</v>
      </c>
      <c r="AA12" s="65">
        <f>IFERROR(__xludf.DUMMYFUNCTION("IFERROR(
  VLOOKUP(
    A12,
    IMPORTRANGE(
      ""1ZHMy3vVUd_0MrSduXTe1etBb1HNpAlGwQr006ljwMiM"",
      ""GSC最新!A:R""
    ),
    18,
    FALSE
  ),
  0
)
"),32.33447098976109)</f>
        <v>32.33447099</v>
      </c>
      <c r="AB12" s="65">
        <f t="shared" ref="AB12:AC12" si="54">X12-Z12</f>
        <v>-17.32653682</v>
      </c>
      <c r="AC12" s="65">
        <f t="shared" si="54"/>
        <v>-15.46526118</v>
      </c>
      <c r="AD12" s="53">
        <f>IFERROR(__xludf.DUMMYFUNCTION("IFERROR(
  VLOOKUP(
    A12,
    IMPORTRANGE(
      ""1ZHMy3vVUd_0MrSduXTe1etBb1HNpAlGwQr006ljwMiM"",
      ""GSC最新!A:F""
    ),
    6,
    FALSE
  ),
  0
)
"),46081.0)</f>
        <v>46081</v>
      </c>
      <c r="AE12" s="54">
        <f>IFERROR(__xludf.DUMMYFUNCTION("IFERROR(
  VLOOKUP(
    A12,
    IMPORTRANGE(
      ""1SCYQd7_cobOYqT0r_F0IqD4tE4rYn5y8Eup4PJTH8es"",
      ""Snapshot!A:M""
    ),
    5,
    FALSE
  ),
  ""-""
)
"),5.0)</f>
        <v>5</v>
      </c>
      <c r="AF12" s="54">
        <f>IFERROR(__xludf.DUMMYFUNCTION("IFERROR(
  VLOOKUP(
    A12,
    IMPORTRANGE(
      ""1SCYQd7_cobOYqT0r_F0IqD4tE4rYn5y8Eup4PJTH8es"",
      ""Snapshot!A:M""
    ),
    6,
    FALSE
  ),
  0
)
"),12.0)</f>
        <v>12</v>
      </c>
      <c r="AG12" s="54">
        <f>IFERROR(__xludf.DUMMYFUNCTION("IFERROR(
  VLOOKUP(
    A12,
    IMPORTRANGE(
      ""1SCYQd7_cobOYqT0r_F0IqD4tE4rYn5y8Eup4PJTH8es"",
      ""Snapshot!A:M""
    ),
    7,
    FALSE
  ),
  0
)
"),3659.0)</f>
        <v>3659</v>
      </c>
      <c r="AH12" s="54">
        <f>IFERROR(__xludf.DUMMYFUNCTION("IFERROR(
  VLOOKUP(
    A12,
    IMPORTRANGE(
      ""1SCYQd7_cobOYqT0r_F0IqD4tE4rYn5y8Eup4PJTH8es"",
      ""Snapshot!A:M""
    ),
    8,
    FALSE
  ),
  0
)
"),5.0)</f>
        <v>5</v>
      </c>
      <c r="AI12" s="54">
        <f>IFERROR(__xludf.DUMMYFUNCTION("IFERROR(
  VLOOKUP(
    A12,
    IMPORTRANGE(
      ""1SCYQd7_cobOYqT0r_F0IqD4tE4rYn5y8Eup4PJTH8es"",
      ""Snapshot!A:M""
    ),
    9,
    FALSE
  ),
  0
)
"),7.0)</f>
        <v>7</v>
      </c>
      <c r="AJ12" s="54">
        <f>IFERROR(__xludf.DUMMYFUNCTION("IFERROR(
  VLOOKUP(
    A12,
    IMPORTRANGE(
      ""1SCYQd7_cobOYqT0r_F0IqD4tE4rYn5y8Eup4PJTH8es"",
      ""Snapshot!A:M""
    ),
    13,
    FALSE
  ),
  0
)
"),1.0)</f>
        <v>1</v>
      </c>
      <c r="AK12" s="49">
        <f t="shared" ref="AK12:AL12" si="55">LEN(C12)</f>
        <v>30</v>
      </c>
      <c r="AL12" s="49">
        <f t="shared" si="55"/>
        <v>62</v>
      </c>
    </row>
    <row r="13">
      <c r="A13" s="3" t="s">
        <v>300</v>
      </c>
      <c r="B13" s="1" t="str">
        <f>IFERROR(__xludf.DUMMYFUNCTION("IFERROR(
  VLOOKUP(
    A13,
    IMPORTRANGE(
      ""1ZygntHC1J6IxzKbTidmOyf5nUyW4GCLurHCjexrLm_o"",
      ""HTMLキャッシュ!A:F""
    ),
    2,
    FALSE
  ),
  0
)
"),"SP")</f>
        <v>SP</v>
      </c>
      <c r="C13" s="1" t="str">
        <f>IFERROR(__xludf.DUMMYFUNCTION("IFERROR(
  VLOOKUP(
    A13,
    IMPORTRANGE(
      ""1ZygntHC1J6IxzKbTidmOyf5nUyW4GCLurHCjexrLm_o"",
      ""HTMLキャッシュ!A:F""
    ),
    5,
    FALSE
  ),
  0
)
"),"中学受験社会の個別指導講座一覧｜本科＋単発で得点力強化塾")</f>
        <v>中学受験社会の個別指導講座一覧｜本科＋単発で得点力強化塾</v>
      </c>
      <c r="D13" s="1" t="str">
        <f>IFERROR(__xludf.DUMMYFUNCTION("IFERROR(
  VLOOKUP(
    A13,
    IMPORTRANGE(
      ""1ZygntHC1J6IxzKbTidmOyf5nUyW4GCLurHCjexrLm_o        "",
      ""HTMLキャッシュ!A:F""
    ),
    6,
    FALSE
  ),
  0
)
"),"地理歴史公民を完全1対1で対策。記述や資料読解まで弱点別に補強できる本科＋単発講座。オンライン相談受付中・今すぐ申込可・体験対応")</f>
        <v>地理歴史公民を完全1対1で対策。記述や資料読解まで弱点別に補強できる本科＋単発講座。オンライン相談受付中・今すぐ申込可・体験対応</v>
      </c>
      <c r="E13" s="32">
        <f>IFERROR(__xludf.DUMMYFUNCTION("IFERROR(
  VLOOKUP(
    A13,
    IMPORTRANGE(
      ""1ZygntHC1J6IxzKbTidmOyf5nUyW4GCLurHCjexrLm_o        "",
      ""HTMLキャッシュ!A:F""
    ),
    3,
    FALSE
  ),
  0
)
"),46083.698067129626)</f>
        <v>46083.69807</v>
      </c>
      <c r="F13" s="49">
        <f>IFERROR(__xludf.DUMMYFUNCTION("IFERROR(
  VLOOKUP(
    A13,
    IMPORTRANGE(
      ""1ZHMy3vVUd_0MrSduXTe1etBb1HNpAlGwQr006ljwMiM"",
      ""GSC最新!A:F""
    ),
    2,
    FALSE
  ),
  0
)
"),2.0)</f>
        <v>2</v>
      </c>
      <c r="G13" s="49">
        <f>IFERROR(__xludf.DUMMYFUNCTION("IFERROR(
  VLOOKUP(
    A13,
    IMPORTRANGE(
      ""1ZHMy3vVUd_0MrSduXTe1etBb1HNpAlGwQr006ljwMiM"",
      ""GSC最新!A:F""
    ),
    3,
    FALSE
  ),
  0
)
"),3.0)</f>
        <v>3</v>
      </c>
      <c r="H13" s="49">
        <f>IFERROR(__xludf.DUMMYFUNCTION("IFERROR(
  VLOOKUP(
    A13,
    IMPORTRANGE(
      ""1ZHMy3vVUd_0MrSduXTe1etBb1HNpAlGwQr006ljwMiM"",
      ""GSC最新!A:F""
    ),
    4,
    FALSE
  ),
  0
)
"),0.0)</f>
        <v>0</v>
      </c>
      <c r="I13" s="49">
        <f>IFERROR(__xludf.DUMMYFUNCTION("IFERROR(
  VLOOKUP(
    A13,
    IMPORTRANGE(
      ""1ZHMy3vVUd_0MrSduXTe1etBb1HNpAlGwQr006ljwMiM"",
      ""GSC最新!A:F""
    ),
    5,
    FALSE
  ),
  0
)
"),0.0)</f>
        <v>0</v>
      </c>
      <c r="J13" s="50" t="str">
        <f t="shared" ref="J13:K13" si="56">IFERROR(F13/H13,"-")</f>
        <v>-</v>
      </c>
      <c r="K13" s="50" t="str">
        <f t="shared" si="56"/>
        <v>-</v>
      </c>
      <c r="L13" s="6">
        <f>IFERROR(__xludf.DUMMYFUNCTION("IFERROR(
  VLOOKUP(
    A13,
    IMPORTRANGE(
      ""1ZHMy3vVUd_0MrSduXTe1etBb1HNpAlGwQr006ljwMiM"",
      ""GSC最新!A:R""
    ),
    7,
    FALSE
  ),
  0
)
"),123.0)</f>
        <v>123</v>
      </c>
      <c r="M13" s="6">
        <f>IFERROR(__xludf.DUMMYFUNCTION("IFERROR(
  VLOOKUP(
    A13,
    IMPORTRANGE(
      ""1ZHMy3vVUd_0MrSduXTe1etBb1HNpAlGwQr006ljwMiM"",
      ""GSC最新!A:R""
    ),
    10,
    FALSE
  ),
  0
)
"),239.0)</f>
        <v>239</v>
      </c>
      <c r="N13" s="6">
        <f>IFERROR(__xludf.DUMMYFUNCTION("IFERROR(
  VLOOKUP(
    A13,
    IMPORTRANGE(
      ""1ZHMy3vVUd_0MrSduXTe1etBb1HNpAlGwQr006ljwMiM"",
      ""GSC最新!A:R""
    ),
    13,
    FALSE
  ),
  0
)
"),7.0)</f>
        <v>7</v>
      </c>
      <c r="O13" s="6">
        <f>IFERROR(__xludf.DUMMYFUNCTION("IFERROR(
  VLOOKUP(
    A13,
    IMPORTRANGE(
      ""1ZHMy3vVUd_0MrSduXTe1etBb1HNpAlGwQr006ljwMiM"",
      ""GSC最新!A:R""
    ),
    16,
    FALSE
  ),
  0
)
"),10.0)</f>
        <v>10</v>
      </c>
      <c r="P13" s="51">
        <f t="shared" ref="P13:Q13" si="57">IFERROR(L13/N13,"-")</f>
        <v>17.57142857</v>
      </c>
      <c r="Q13" s="51">
        <f t="shared" si="57"/>
        <v>23.9</v>
      </c>
      <c r="R13" s="9">
        <f>IFERROR(__xludf.DUMMYFUNCTION("IFERROR(
  VLOOKUP(
    A13,
    IMPORTRANGE(
      ""1ZHMy3vVUd_0MrSduXTe1etBb1HNpAlGwQr006ljwMiM"",
      ""GSC最新!A:R""
    ),
    8,
    FALSE
  ),
  0
)
"),0.016260162601626018)</f>
        <v>0.0162601626</v>
      </c>
      <c r="S13" s="9">
        <f>IFERROR(__xludf.DUMMYFUNCTION("IFERROR(
  VLOOKUP(
    A13,
    IMPORTRANGE(
      ""1ZHMy3vVUd_0MrSduXTe1etBb1HNpAlGwQr006ljwMiM"",
      ""GSC最新!A:R""
    ),
    11,
    FALSE
  ),
  0
)
"),0.012552301255230125)</f>
        <v>0.01255230126</v>
      </c>
      <c r="T13" s="9">
        <f>IFERROR(__xludf.DUMMYFUNCTION("IFERROR(
  VLOOKUP(
    A13,
    IMPORTRANGE(
      ""1ZHMy3vVUd_0MrSduXTe1etBb1HNpAlGwQr006ljwMiM"",
      ""GSC最新!A:R""
    ),
    14,
    FALSE
  ),
  0
)
"),0.0)</f>
        <v>0</v>
      </c>
      <c r="U13" s="9">
        <f>IFERROR(__xludf.DUMMYFUNCTION("IFERROR(
  VLOOKUP(
    A13,
    IMPORTRANGE(
      ""1ZHMy3vVUd_0MrSduXTe1etBb1HNpAlGwQr006ljwMiM"",
      ""GSC最新!A:R""
    ),
    17,
    FALSE
  ),
  0
)
"),0.0)</f>
        <v>0</v>
      </c>
      <c r="V13" s="9">
        <f t="shared" ref="V13:W13" si="58">IFERROR(R13-T13,"-")</f>
        <v>0.0162601626</v>
      </c>
      <c r="W13" s="9">
        <f t="shared" si="58"/>
        <v>0.01255230126</v>
      </c>
      <c r="X13" s="65">
        <f>IFERROR(__xludf.DUMMYFUNCTION("IFERROR(
  VLOOKUP(
    A13,
    IMPORTRANGE(
      ""1ZHMy3vVUd_0MrSduXTe1etBb1HNpAlGwQr006ljwMiM"",
      ""GSC最新!A:R""
    ),
    9,
    FALSE
  ),
  0
)
"),14.34959349593496)</f>
        <v>14.3495935</v>
      </c>
      <c r="Y13" s="65">
        <f>IFERROR(__xludf.DUMMYFUNCTION("IFERROR(
  VLOOKUP(
    A13,
    IMPORTRANGE(
      ""1ZHMy3vVUd_0MrSduXTe1etBb1HNpAlGwQr006ljwMiM"",
      ""GSC最新!A:R""
    ),
    12,
    FALSE
  ),
  0
)
"),16.351464435146443)</f>
        <v>16.35146444</v>
      </c>
      <c r="Z13" s="65">
        <f>IFERROR(__xludf.DUMMYFUNCTION("IFERROR(
  VLOOKUP(
    A13,
    IMPORTRANGE(
      ""1ZHMy3vVUd_0MrSduXTe1etBb1HNpAlGwQr006ljwMiM"",
      ""GSC最新!A:R""
    ),
    15,
    FALSE
  ),
  0
)
"),3.0)</f>
        <v>3</v>
      </c>
      <c r="AA13" s="65">
        <f>IFERROR(__xludf.DUMMYFUNCTION("IFERROR(
  VLOOKUP(
    A13,
    IMPORTRANGE(
      ""1ZHMy3vVUd_0MrSduXTe1etBb1HNpAlGwQr006ljwMiM"",
      ""GSC最新!A:R""
    ),
    18,
    FALSE
  ),
  0
)
"),2.6)</f>
        <v>2.6</v>
      </c>
      <c r="AB13" s="65">
        <f t="shared" ref="AB13:AC13" si="59">X13-Z13</f>
        <v>11.3495935</v>
      </c>
      <c r="AC13" s="65">
        <f t="shared" si="59"/>
        <v>13.75146444</v>
      </c>
      <c r="AD13" s="53">
        <f>IFERROR(__xludf.DUMMYFUNCTION("IFERROR(
  VLOOKUP(
    A13,
    IMPORTRANGE(
      ""1ZHMy3vVUd_0MrSduXTe1etBb1HNpAlGwQr006ljwMiM"",
      ""GSC最新!A:F""
    ),
    6,
    FALSE
  ),
  0
)
"),46081.0)</f>
        <v>46081</v>
      </c>
      <c r="AE13" s="54">
        <f>IFERROR(__xludf.DUMMYFUNCTION("IFERROR(
  VLOOKUP(
    A13,
    IMPORTRANGE(
      ""1SCYQd7_cobOYqT0r_F0IqD4tE4rYn5y8Eup4PJTH8es"",
      ""Snapshot!A:M""
    ),
    5,
    FALSE
  ),
  ""-""
)
"),6.0)</f>
        <v>6</v>
      </c>
      <c r="AF13" s="54">
        <f>IFERROR(__xludf.DUMMYFUNCTION("IFERROR(
  VLOOKUP(
    A13,
    IMPORTRANGE(
      ""1SCYQd7_cobOYqT0r_F0IqD4tE4rYn5y8Eup4PJTH8es"",
      ""Snapshot!A:M""
    ),
    6,
    FALSE
  ),
  0
)
"),5.0)</f>
        <v>5</v>
      </c>
      <c r="AG13" s="54">
        <f>IFERROR(__xludf.DUMMYFUNCTION("IFERROR(
  VLOOKUP(
    A13,
    IMPORTRANGE(
      ""1SCYQd7_cobOYqT0r_F0IqD4tE4rYn5y8Eup4PJTH8es"",
      ""Snapshot!A:M""
    ),
    7,
    FALSE
  ),
  0
)
"),2134.0)</f>
        <v>2134</v>
      </c>
      <c r="AH13" s="54">
        <f>IFERROR(__xludf.DUMMYFUNCTION("IFERROR(
  VLOOKUP(
    A13,
    IMPORTRANGE(
      ""1SCYQd7_cobOYqT0r_F0IqD4tE4rYn5y8Eup4PJTH8es"",
      ""Snapshot!A:M""
    ),
    8,
    FALSE
  ),
  0
)
"),4.0)</f>
        <v>4</v>
      </c>
      <c r="AI13" s="54">
        <f>IFERROR(__xludf.DUMMYFUNCTION("IFERROR(
  VLOOKUP(
    A13,
    IMPORTRANGE(
      ""1SCYQd7_cobOYqT0r_F0IqD4tE4rYn5y8Eup4PJTH8es"",
      ""Snapshot!A:M""
    ),
    9,
    FALSE
  ),
  0
)
"),1.0)</f>
        <v>1</v>
      </c>
      <c r="AJ13" s="54">
        <f>IFERROR(__xludf.DUMMYFUNCTION("IFERROR(
  VLOOKUP(
    A13,
    IMPORTRANGE(
      ""1SCYQd7_cobOYqT0r_F0IqD4tE4rYn5y8Eup4PJTH8es"",
      ""Snapshot!A:M""
    ),
    13,
    FALSE
  ),
  0
)
"),1.0)</f>
        <v>1</v>
      </c>
      <c r="AK13" s="49">
        <f t="shared" ref="AK13:AL13" si="60">LEN(C13)</f>
        <v>28</v>
      </c>
      <c r="AL13" s="49">
        <f t="shared" si="60"/>
        <v>64</v>
      </c>
    </row>
    <row r="14">
      <c r="A14" s="3" t="s">
        <v>832</v>
      </c>
      <c r="B14" s="1" t="str">
        <f>IFERROR(__xludf.DUMMYFUNCTION("IFERROR(
  VLOOKUP(
    A14,
    IMPORTRANGE(
      ""1ZygntHC1J6IxzKbTidmOyf5nUyW4GCLurHCjexrLm_o"",
      ""HTMLキャッシュ!A:F""
    ),
    2,
    FALSE
  ),
  0
)
"),"ST")</f>
        <v>ST</v>
      </c>
      <c r="C14" s="1" t="str">
        <f>IFERROR(__xludf.DUMMYFUNCTION("IFERROR(
  VLOOKUP(
    A14,
    IMPORTRANGE(
      ""1ZygntHC1J6IxzKbTidmOyf5nUyW4GCLurHCjexrLm_o"",
      ""HTMLキャッシュ!A:F""
    ),
    5,
    FALSE
  ),
  0
)
"),"会社概要 - 受験社会専門塾「令和」")</f>
        <v>会社概要 - 受験社会専門塾「令和」</v>
      </c>
      <c r="D14" s="1" t="str">
        <f>IFERROR(__xludf.DUMMYFUNCTION("IFERROR(
  VLOOKUP(
    A14,
    IMPORTRANGE(
      ""1ZygntHC1J6IxzKbTidmOyf5nUyW4GCLurHCjexrLm_o        "",
      ""HTMLキャッシュ!A:F""
    ),
    6,
    FALSE
  ),
  0
)
"),"「社会専門塾 令和」は株式会社アリスメティカジャパンにより運営されております。 会社概要 社名 株式会社アリス")</f>
        <v>「社会専門塾 令和」は株式会社アリスメティカジャパンにより運営されております。 会社概要 社名 株式会社アリス</v>
      </c>
      <c r="E14" s="32">
        <f>IFERROR(__xludf.DUMMYFUNCTION("IFERROR(
  VLOOKUP(
    A14,
    IMPORTRANGE(
      ""1ZygntHC1J6IxzKbTidmOyf5nUyW4GCLurHCjexrLm_o        "",
      ""HTMLキャッシュ!A:F""
    ),
    3,
    FALSE
  ),
  0
)
"),46015.73761574074)</f>
        <v>46015.73762</v>
      </c>
      <c r="F14" s="49">
        <f>IFERROR(__xludf.DUMMYFUNCTION("IFERROR(
  VLOOKUP(
    A14,
    IMPORTRANGE(
      ""1ZHMy3vVUd_0MrSduXTe1etBb1HNpAlGwQr006ljwMiM"",
      ""GSC最新!A:F""
    ),
    2,
    FALSE
  ),
  0
)
"),0.0)</f>
        <v>0</v>
      </c>
      <c r="G14" s="49">
        <f>IFERROR(__xludf.DUMMYFUNCTION("IFERROR(
  VLOOKUP(
    A14,
    IMPORTRANGE(
      ""1ZHMy3vVUd_0MrSduXTe1etBb1HNpAlGwQr006ljwMiM"",
      ""GSC最新!A:F""
    ),
    3,
    FALSE
  ),
  0
)
"),3.0)</f>
        <v>3</v>
      </c>
      <c r="H14" s="49">
        <f>IFERROR(__xludf.DUMMYFUNCTION("IFERROR(
  VLOOKUP(
    A14,
    IMPORTRANGE(
      ""1ZHMy3vVUd_0MrSduXTe1etBb1HNpAlGwQr006ljwMiM"",
      ""GSC最新!A:F""
    ),
    4,
    FALSE
  ),
  0
)
"),3.0)</f>
        <v>3</v>
      </c>
      <c r="I14" s="49">
        <f>IFERROR(__xludf.DUMMYFUNCTION("IFERROR(
  VLOOKUP(
    A14,
    IMPORTRANGE(
      ""1ZHMy3vVUd_0MrSduXTe1etBb1HNpAlGwQr006ljwMiM"",
      ""GSC最新!A:F""
    ),
    5,
    FALSE
  ),
  0
)
"),8.0)</f>
        <v>8</v>
      </c>
      <c r="J14" s="50">
        <f t="shared" ref="J14:K14" si="61">IFERROR(F14/H14,"-")</f>
        <v>0</v>
      </c>
      <c r="K14" s="50">
        <f t="shared" si="61"/>
        <v>0.375</v>
      </c>
      <c r="L14" s="6">
        <f>IFERROR(__xludf.DUMMYFUNCTION("IFERROR(
  VLOOKUP(
    A14,
    IMPORTRANGE(
      ""1ZHMy3vVUd_0MrSduXTe1etBb1HNpAlGwQr006ljwMiM"",
      ""GSC最新!A:R""
    ),
    7,
    FALSE
  ),
  0
)
"),53.0)</f>
        <v>53</v>
      </c>
      <c r="M14" s="6">
        <f>IFERROR(__xludf.DUMMYFUNCTION("IFERROR(
  VLOOKUP(
    A14,
    IMPORTRANGE(
      ""1ZHMy3vVUd_0MrSduXTe1etBb1HNpAlGwQr006ljwMiM"",
      ""GSC最新!A:R""
    ),
    10,
    FALSE
  ),
  0
)
"),144.0)</f>
        <v>144</v>
      </c>
      <c r="N14" s="6">
        <f>IFERROR(__xludf.DUMMYFUNCTION("IFERROR(
  VLOOKUP(
    A14,
    IMPORTRANGE(
      ""1ZHMy3vVUd_0MrSduXTe1etBb1HNpAlGwQr006ljwMiM"",
      ""GSC最新!A:R""
    ),
    13,
    FALSE
  ),
  0
)
"),103.0)</f>
        <v>103</v>
      </c>
      <c r="O14" s="6">
        <f>IFERROR(__xludf.DUMMYFUNCTION("IFERROR(
  VLOOKUP(
    A14,
    IMPORTRANGE(
      ""1ZHMy3vVUd_0MrSduXTe1etBb1HNpAlGwQr006ljwMiM"",
      ""GSC最新!A:R""
    ),
    16,
    FALSE
  ),
  0
)
"),315.0)</f>
        <v>315</v>
      </c>
      <c r="P14" s="51">
        <f t="shared" ref="P14:Q14" si="62">IFERROR(L14/N14,"-")</f>
        <v>0.5145631068</v>
      </c>
      <c r="Q14" s="51">
        <f t="shared" si="62"/>
        <v>0.4571428571</v>
      </c>
      <c r="R14" s="9">
        <f>IFERROR(__xludf.DUMMYFUNCTION("IFERROR(
  VLOOKUP(
    A14,
    IMPORTRANGE(
      ""1ZHMy3vVUd_0MrSduXTe1etBb1HNpAlGwQr006ljwMiM"",
      ""GSC最新!A:R""
    ),
    8,
    FALSE
  ),
  0
)
"),0.0)</f>
        <v>0</v>
      </c>
      <c r="S14" s="9">
        <f>IFERROR(__xludf.DUMMYFUNCTION("IFERROR(
  VLOOKUP(
    A14,
    IMPORTRANGE(
      ""1ZHMy3vVUd_0MrSduXTe1etBb1HNpAlGwQr006ljwMiM"",
      ""GSC最新!A:R""
    ),
    11,
    FALSE
  ),
  0
)
"),0.020833333333333332)</f>
        <v>0.02083333333</v>
      </c>
      <c r="T14" s="9">
        <f>IFERROR(__xludf.DUMMYFUNCTION("IFERROR(
  VLOOKUP(
    A14,
    IMPORTRANGE(
      ""1ZHMy3vVUd_0MrSduXTe1etBb1HNpAlGwQr006ljwMiM"",
      ""GSC最新!A:R""
    ),
    14,
    FALSE
  ),
  0
)
"),0.02912621359223301)</f>
        <v>0.02912621359</v>
      </c>
      <c r="U14" s="9">
        <f>IFERROR(__xludf.DUMMYFUNCTION("IFERROR(
  VLOOKUP(
    A14,
    IMPORTRANGE(
      ""1ZHMy3vVUd_0MrSduXTe1etBb1HNpAlGwQr006ljwMiM"",
      ""GSC最新!A:R""
    ),
    17,
    FALSE
  ),
  0
)
"),0.025396825396825397)</f>
        <v>0.0253968254</v>
      </c>
      <c r="V14" s="9">
        <f t="shared" ref="V14:W14" si="63">IFERROR(R14-T14,"-")</f>
        <v>-0.02912621359</v>
      </c>
      <c r="W14" s="9">
        <f t="shared" si="63"/>
        <v>-0.004563492063</v>
      </c>
      <c r="X14" s="65">
        <f>IFERROR(__xludf.DUMMYFUNCTION("IFERROR(
  VLOOKUP(
    A14,
    IMPORTRANGE(
      ""1ZHMy3vVUd_0MrSduXTe1etBb1HNpAlGwQr006ljwMiM"",
      ""GSC最新!A:R""
    ),
    9,
    FALSE
  ),
  0
)
"),14.943396226415095)</f>
        <v>14.94339623</v>
      </c>
      <c r="Y14" s="65">
        <f>IFERROR(__xludf.DUMMYFUNCTION("IFERROR(
  VLOOKUP(
    A14,
    IMPORTRANGE(
      ""1ZHMy3vVUd_0MrSduXTe1etBb1HNpAlGwQr006ljwMiM"",
      ""GSC最新!A:R""
    ),
    12,
    FALSE
  ),
  0
)
"),16.84027777777778)</f>
        <v>16.84027778</v>
      </c>
      <c r="Z14" s="65">
        <f>IFERROR(__xludf.DUMMYFUNCTION("IFERROR(
  VLOOKUP(
    A14,
    IMPORTRANGE(
      ""1ZHMy3vVUd_0MrSduXTe1etBb1HNpAlGwQr006ljwMiM"",
      ""GSC最新!A:R""
    ),
    15,
    FALSE
  ),
  0
)
"),22.009708737864077)</f>
        <v>22.00970874</v>
      </c>
      <c r="AA14" s="65">
        <f>IFERROR(__xludf.DUMMYFUNCTION("IFERROR(
  VLOOKUP(
    A14,
    IMPORTRANGE(
      ""1ZHMy3vVUd_0MrSduXTe1etBb1HNpAlGwQr006ljwMiM"",
      ""GSC最新!A:R""
    ),
    18,
    FALSE
  ),
  0
)
"),25.593650793650795)</f>
        <v>25.59365079</v>
      </c>
      <c r="AB14" s="65">
        <f t="shared" ref="AB14:AC14" si="64">X14-Z14</f>
        <v>-7.066312511</v>
      </c>
      <c r="AC14" s="65">
        <f t="shared" si="64"/>
        <v>-8.753373016</v>
      </c>
      <c r="AD14" s="53">
        <f>IFERROR(__xludf.DUMMYFUNCTION("IFERROR(
  VLOOKUP(
    A14,
    IMPORTRANGE(
      ""1ZHMy3vVUd_0MrSduXTe1etBb1HNpAlGwQr006ljwMiM"",
      ""GSC最新!A:F""
    ),
    6,
    FALSE
  ),
  0
)
"),46081.0)</f>
        <v>46081</v>
      </c>
      <c r="AE14" s="54">
        <f>IFERROR(__xludf.DUMMYFUNCTION("IFERROR(
  VLOOKUP(
    A14,
    IMPORTRANGE(
      ""1SCYQd7_cobOYqT0r_F0IqD4tE4rYn5y8Eup4PJTH8es"",
      ""Snapshot!A:M""
    ),
    5,
    FALSE
  ),
  ""-""
)
"),1.0)</f>
        <v>1</v>
      </c>
      <c r="AF14" s="54">
        <f>IFERROR(__xludf.DUMMYFUNCTION("IFERROR(
  VLOOKUP(
    A14,
    IMPORTRANGE(
      ""1SCYQd7_cobOYqT0r_F0IqD4tE4rYn5y8Eup4PJTH8es"",
      ""Snapshot!A:M""
    ),
    6,
    FALSE
  ),
  0
)
"),6.0)</f>
        <v>6</v>
      </c>
      <c r="AG14" s="54">
        <f>IFERROR(__xludf.DUMMYFUNCTION("IFERROR(
  VLOOKUP(
    A14,
    IMPORTRANGE(
      ""1SCYQd7_cobOYqT0r_F0IqD4tE4rYn5y8Eup4PJTH8es"",
      ""Snapshot!A:M""
    ),
    7,
    FALSE
  ),
  0
)
"),653.0)</f>
        <v>653</v>
      </c>
      <c r="AH14" s="54">
        <f>IFERROR(__xludf.DUMMYFUNCTION("IFERROR(
  VLOOKUP(
    A14,
    IMPORTRANGE(
      ""1SCYQd7_cobOYqT0r_F0IqD4tE4rYn5y8Eup4PJTH8es"",
      ""Snapshot!A:M""
    ),
    8,
    FALSE
  ),
  0
)
"),1.0)</f>
        <v>1</v>
      </c>
      <c r="AI14" s="54">
        <f>IFERROR(__xludf.DUMMYFUNCTION("IFERROR(
  VLOOKUP(
    A14,
    IMPORTRANGE(
      ""1SCYQd7_cobOYqT0r_F0IqD4tE4rYn5y8Eup4PJTH8es"",
      ""Snapshot!A:M""
    ),
    9,
    FALSE
  ),
  0
)
"),1.0)</f>
        <v>1</v>
      </c>
      <c r="AJ14" s="54">
        <f>IFERROR(__xludf.DUMMYFUNCTION("IFERROR(
  VLOOKUP(
    A14,
    IMPORTRANGE(
      ""1SCYQd7_cobOYqT0r_F0IqD4tE4rYn5y8Eup4PJTH8es"",
      ""Snapshot!A:M""
    ),
    13,
    FALSE
  ),
  0
)
"),1.0)</f>
        <v>1</v>
      </c>
      <c r="AK14" s="49">
        <f t="shared" ref="AK14:AL14" si="65">LEN(C14)</f>
        <v>18</v>
      </c>
      <c r="AL14" s="49">
        <f t="shared" si="65"/>
        <v>55</v>
      </c>
    </row>
    <row r="15">
      <c r="A15" s="3" t="s">
        <v>206</v>
      </c>
      <c r="B15" s="1" t="str">
        <f>IFERROR(__xludf.DUMMYFUNCTION("IFERROR(
  VLOOKUP(
    A15,
    IMPORTRANGE(
      ""1ZygntHC1J6IxzKbTidmOyf5nUyW4GCLurHCjexrLm_o"",
      ""HTMLキャッシュ!A:F""
    ),
    2,
    FALSE
  ),
  0
)
"),"-")</f>
        <v>-</v>
      </c>
      <c r="C15" s="1" t="str">
        <f>IFERROR(__xludf.DUMMYFUNCTION("IFERROR(
  VLOOKUP(
    A15,
    IMPORTRANGE(
      ""1ZygntHC1J6IxzKbTidmOyf5nUyW4GCLurHCjexrLm_o"",
      ""HTMLキャッシュ!A:F""
    ),
    5,
    FALSE
  ),
  0
)
"),"コラム - 受験社会専門塾「令和」")</f>
        <v>コラム - 受験社会専門塾「令和」</v>
      </c>
      <c r="D15" s="1" t="str">
        <f>IFERROR(__xludf.DUMMYFUNCTION("IFERROR(
  VLOOKUP(
    A15,
    IMPORTRANGE(
      ""1ZygntHC1J6IxzKbTidmOyf5nUyW4GCLurHCjexrLm_o        "",
      ""HTMLキャッシュ!A:F""
    ),
    6,
    FALSE
  ),
  0
)
"),"コラム の記事 受験社会専門塾「令和」 「完全１対１の社会個別指導」を中心に行っている受験社会専門塾「令和」のホームページです。")</f>
        <v>コラム の記事 受験社会専門塾「令和」 「完全１対１の社会個別指導」を中心に行っている受験社会専門塾「令和」のホームページです。</v>
      </c>
      <c r="E15" s="32">
        <f>IFERROR(__xludf.DUMMYFUNCTION("IFERROR(
  VLOOKUP(
    A15,
    IMPORTRANGE(
      ""1ZygntHC1J6IxzKbTidmOyf5nUyW4GCLurHCjexrLm_o        "",
      ""HTMLキャッシュ!A:F""
    ),
    3,
    FALSE
  ),
  0
)
"),46026.74637731481)</f>
        <v>46026.74638</v>
      </c>
      <c r="F15" s="49">
        <f>IFERROR(__xludf.DUMMYFUNCTION("IFERROR(
  VLOOKUP(
    A15,
    IMPORTRANGE(
      ""1ZHMy3vVUd_0MrSduXTe1etBb1HNpAlGwQr006ljwMiM"",
      ""GSC最新!A:F""
    ),
    2,
    FALSE
  ),
  0
)
"),0.0)</f>
        <v>0</v>
      </c>
      <c r="G15" s="49">
        <f>IFERROR(__xludf.DUMMYFUNCTION("IFERROR(
  VLOOKUP(
    A15,
    IMPORTRANGE(
      ""1ZHMy3vVUd_0MrSduXTe1etBb1HNpAlGwQr006ljwMiM"",
      ""GSC最新!A:F""
    ),
    3,
    FALSE
  ),
  0
)
"),2.0)</f>
        <v>2</v>
      </c>
      <c r="H15" s="49">
        <f>IFERROR(__xludf.DUMMYFUNCTION("IFERROR(
  VLOOKUP(
    A15,
    IMPORTRANGE(
      ""1ZHMy3vVUd_0MrSduXTe1etBb1HNpAlGwQr006ljwMiM"",
      ""GSC最新!A:F""
    ),
    4,
    FALSE
  ),
  0
)
"),1.0)</f>
        <v>1</v>
      </c>
      <c r="I15" s="49">
        <f>IFERROR(__xludf.DUMMYFUNCTION("IFERROR(
  VLOOKUP(
    A15,
    IMPORTRANGE(
      ""1ZHMy3vVUd_0MrSduXTe1etBb1HNpAlGwQr006ljwMiM"",
      ""GSC最新!A:F""
    ),
    5,
    FALSE
  ),
  0
)
"),5.0)</f>
        <v>5</v>
      </c>
      <c r="J15" s="50">
        <f t="shared" ref="J15:K15" si="66">IFERROR(F15/H15,"-")</f>
        <v>0</v>
      </c>
      <c r="K15" s="50">
        <f t="shared" si="66"/>
        <v>0.4</v>
      </c>
      <c r="L15" s="6">
        <f>IFERROR(__xludf.DUMMYFUNCTION("IFERROR(
  VLOOKUP(
    A15,
    IMPORTRANGE(
      ""1ZHMy3vVUd_0MrSduXTe1etBb1HNpAlGwQr006ljwMiM"",
      ""GSC最新!A:R""
    ),
    7,
    FALSE
  ),
  0
)
"),92.0)</f>
        <v>92</v>
      </c>
      <c r="M15" s="6">
        <f>IFERROR(__xludf.DUMMYFUNCTION("IFERROR(
  VLOOKUP(
    A15,
    IMPORTRANGE(
      ""1ZHMy3vVUd_0MrSduXTe1etBb1HNpAlGwQr006ljwMiM"",
      ""GSC最新!A:R""
    ),
    10,
    FALSE
  ),
  0
)
"),253.0)</f>
        <v>253</v>
      </c>
      <c r="N15" s="6">
        <f>IFERROR(__xludf.DUMMYFUNCTION("IFERROR(
  VLOOKUP(
    A15,
    IMPORTRANGE(
      ""1ZHMy3vVUd_0MrSduXTe1etBb1HNpAlGwQr006ljwMiM"",
      ""GSC最新!A:R""
    ),
    13,
    FALSE
  ),
  0
)
"),69.0)</f>
        <v>69</v>
      </c>
      <c r="O15" s="6">
        <f>IFERROR(__xludf.DUMMYFUNCTION("IFERROR(
  VLOOKUP(
    A15,
    IMPORTRANGE(
      ""1ZHMy3vVUd_0MrSduXTe1etBb1HNpAlGwQr006ljwMiM"",
      ""GSC最新!A:R""
    ),
    16,
    FALSE
  ),
  0
)
"),353.0)</f>
        <v>353</v>
      </c>
      <c r="P15" s="51">
        <f t="shared" ref="P15:Q15" si="67">IFERROR(L15/N15,"-")</f>
        <v>1.333333333</v>
      </c>
      <c r="Q15" s="51">
        <f t="shared" si="67"/>
        <v>0.716713881</v>
      </c>
      <c r="R15" s="9">
        <f>IFERROR(__xludf.DUMMYFUNCTION("IFERROR(
  VLOOKUP(
    A15,
    IMPORTRANGE(
      ""1ZHMy3vVUd_0MrSduXTe1etBb1HNpAlGwQr006ljwMiM"",
      ""GSC最新!A:R""
    ),
    8,
    FALSE
  ),
  0
)
"),0.0)</f>
        <v>0</v>
      </c>
      <c r="S15" s="9">
        <f>IFERROR(__xludf.DUMMYFUNCTION("IFERROR(
  VLOOKUP(
    A15,
    IMPORTRANGE(
      ""1ZHMy3vVUd_0MrSduXTe1etBb1HNpAlGwQr006ljwMiM"",
      ""GSC最新!A:R""
    ),
    11,
    FALSE
  ),
  0
)
"),0.007905138339920948)</f>
        <v>0.00790513834</v>
      </c>
      <c r="T15" s="9">
        <f>IFERROR(__xludf.DUMMYFUNCTION("IFERROR(
  VLOOKUP(
    A15,
    IMPORTRANGE(
      ""1ZHMy3vVUd_0MrSduXTe1etBb1HNpAlGwQr006ljwMiM"",
      ""GSC最新!A:R""
    ),
    14,
    FALSE
  ),
  0
)
"),0.014492753623188406)</f>
        <v>0.01449275362</v>
      </c>
      <c r="U15" s="9">
        <f>IFERROR(__xludf.DUMMYFUNCTION("IFERROR(
  VLOOKUP(
    A15,
    IMPORTRANGE(
      ""1ZHMy3vVUd_0MrSduXTe1etBb1HNpAlGwQr006ljwMiM"",
      ""GSC最新!A:R""
    ),
    17,
    FALSE
  ),
  0
)
"),0.014164305949008499)</f>
        <v>0.01416430595</v>
      </c>
      <c r="V15" s="9">
        <f t="shared" ref="V15:W15" si="68">IFERROR(R15-T15,"-")</f>
        <v>-0.01449275362</v>
      </c>
      <c r="W15" s="9">
        <f t="shared" si="68"/>
        <v>-0.006259167609</v>
      </c>
      <c r="X15" s="65">
        <f>IFERROR(__xludf.DUMMYFUNCTION("IFERROR(
  VLOOKUP(
    A15,
    IMPORTRANGE(
      ""1ZHMy3vVUd_0MrSduXTe1etBb1HNpAlGwQr006ljwMiM"",
      ""GSC最新!A:R""
    ),
    9,
    FALSE
  ),
  0
)
"),6.760869565217392)</f>
        <v>6.760869565</v>
      </c>
      <c r="Y15" s="65">
        <f>IFERROR(__xludf.DUMMYFUNCTION("IFERROR(
  VLOOKUP(
    A15,
    IMPORTRANGE(
      ""1ZHMy3vVUd_0MrSduXTe1etBb1HNpAlGwQr006ljwMiM"",
      ""GSC最新!A:R""
    ),
    12,
    FALSE
  ),
  0
)
"),7.537549407114624)</f>
        <v>7.537549407</v>
      </c>
      <c r="Z15" s="65">
        <f>IFERROR(__xludf.DUMMYFUNCTION("IFERROR(
  VLOOKUP(
    A15,
    IMPORTRANGE(
      ""1ZHMy3vVUd_0MrSduXTe1etBb1HNpAlGwQr006ljwMiM"",
      ""GSC最新!A:R""
    ),
    15,
    FALSE
  ),
  0
)
"),21.144927536231883)</f>
        <v>21.14492754</v>
      </c>
      <c r="AA15" s="65">
        <f>IFERROR(__xludf.DUMMYFUNCTION("IFERROR(
  VLOOKUP(
    A15,
    IMPORTRANGE(
      ""1ZHMy3vVUd_0MrSduXTe1etBb1HNpAlGwQr006ljwMiM"",
      ""GSC最新!A:R""
    ),
    18,
    FALSE
  ),
  0
)
"),16.359773371104815)</f>
        <v>16.35977337</v>
      </c>
      <c r="AB15" s="65">
        <f t="shared" ref="AB15:AC15" si="69">X15-Z15</f>
        <v>-14.38405797</v>
      </c>
      <c r="AC15" s="65">
        <f t="shared" si="69"/>
        <v>-8.822223964</v>
      </c>
      <c r="AD15" s="53">
        <f>IFERROR(__xludf.DUMMYFUNCTION("IFERROR(
  VLOOKUP(
    A15,
    IMPORTRANGE(
      ""1ZHMy3vVUd_0MrSduXTe1etBb1HNpAlGwQr006ljwMiM"",
      ""GSC最新!A:F""
    ),
    6,
    FALSE
  ),
  0
)
"),46081.0)</f>
        <v>46081</v>
      </c>
      <c r="AE15" s="54">
        <f>IFERROR(__xludf.DUMMYFUNCTION("IFERROR(
  VLOOKUP(
    A15,
    IMPORTRANGE(
      ""1SCYQd7_cobOYqT0r_F0IqD4tE4rYn5y8Eup4PJTH8es"",
      ""Snapshot!A:M""
    ),
    5,
    FALSE
  ),
  ""-""
)
"),0.0)</f>
        <v>0</v>
      </c>
      <c r="AF15" s="54">
        <f>IFERROR(__xludf.DUMMYFUNCTION("IFERROR(
  VLOOKUP(
    A15,
    IMPORTRANGE(
      ""1SCYQd7_cobOYqT0r_F0IqD4tE4rYn5y8Eup4PJTH8es"",
      ""Snapshot!A:M""
    ),
    6,
    FALSE
  ),
  0
)
"),0.0)</f>
        <v>0</v>
      </c>
      <c r="AG15" s="54">
        <f>IFERROR(__xludf.DUMMYFUNCTION("IFERROR(
  VLOOKUP(
    A15,
    IMPORTRANGE(
      ""1SCYQd7_cobOYqT0r_F0IqD4tE4rYn5y8Eup4PJTH8es"",
      ""Snapshot!A:M""
    ),
    7,
    FALSE
  ),
  0
)
"),0.0)</f>
        <v>0</v>
      </c>
      <c r="AH15" s="54">
        <f>IFERROR(__xludf.DUMMYFUNCTION("IFERROR(
  VLOOKUP(
    A15,
    IMPORTRANGE(
      ""1SCYQd7_cobOYqT0r_F0IqD4tE4rYn5y8Eup4PJTH8es"",
      ""Snapshot!A:M""
    ),
    8,
    FALSE
  ),
  0
)
"),0.0)</f>
        <v>0</v>
      </c>
      <c r="AI15" s="54">
        <f>IFERROR(__xludf.DUMMYFUNCTION("IFERROR(
  VLOOKUP(
    A15,
    IMPORTRANGE(
      ""1SCYQd7_cobOYqT0r_F0IqD4tE4rYn5y8Eup4PJTH8es"",
      ""Snapshot!A:M""
    ),
    9,
    FALSE
  ),
  0
)
"),0.0)</f>
        <v>0</v>
      </c>
      <c r="AJ15" s="54">
        <f>IFERROR(__xludf.DUMMYFUNCTION("IFERROR(
  VLOOKUP(
    A15,
    IMPORTRANGE(
      ""1SCYQd7_cobOYqT0r_F0IqD4tE4rYn5y8Eup4PJTH8es"",
      ""Snapshot!A:M""
    ),
    13,
    FALSE
  ),
  0
)
"),1.0)</f>
        <v>1</v>
      </c>
      <c r="AK15" s="49">
        <f t="shared" ref="AK15:AL15" si="70">LEN(C15)</f>
        <v>17</v>
      </c>
      <c r="AL15" s="49">
        <f t="shared" si="70"/>
        <v>64</v>
      </c>
    </row>
    <row r="16">
      <c r="A16" s="3" t="s">
        <v>833</v>
      </c>
      <c r="B16" s="1" t="str">
        <f>IFERROR(__xludf.DUMMYFUNCTION("IFERROR(
  VLOOKUP(
    A16,
    IMPORTRANGE(
      ""1ZygntHC1J6IxzKbTidmOyf5nUyW4GCLurHCjexrLm_o"",
      ""HTMLキャッシュ!A:F""
    ),
    2,
    FALSE
  ),
  0
)
"),"ST")</f>
        <v>ST</v>
      </c>
      <c r="C16" s="1" t="str">
        <f>IFERROR(__xludf.DUMMYFUNCTION("IFERROR(
  VLOOKUP(
    A16,
    IMPORTRANGE(
      ""1ZygntHC1J6IxzKbTidmOyf5nUyW4GCLurHCjexrLm_o"",
      ""HTMLキャッシュ!A:F""
    ),
    5,
    FALSE
  ),
  0
)
"),"代表メッセージ｜令和の教育方針と生徒への期待")</f>
        <v>代表メッセージ｜令和の教育方針と生徒への期待</v>
      </c>
      <c r="D16" s="1" t="str">
        <f>IFERROR(__xludf.DUMMYFUNCTION("IFERROR(
  VLOOKUP(
    A16,
    IMPORTRANGE(
      ""1ZygntHC1J6IxzKbTidmOyf5nUyW4GCLurHCjexrLm_o        "",
      ""HTMLキャッシュ!A:F""
    ),
    6,
    FALSE
  ),
  0
)
"),"中学受験社会に特化した個別指導塾。志望校対策や過去問解説、整理が難しいテーマを効率的に学べる環境を提供。一生モノの知識を身につけましょう！")</f>
        <v>中学受験社会に特化した個別指導塾。志望校対策や過去問解説、整理が難しいテーマを効率的に学べる環境を提供。一生モノの知識を身につけましょう！</v>
      </c>
      <c r="E16" s="32">
        <f>IFERROR(__xludf.DUMMYFUNCTION("IFERROR(
  VLOOKUP(
    A16,
    IMPORTRANGE(
      ""1ZygntHC1J6IxzKbTidmOyf5nUyW4GCLurHCjexrLm_o        "",
      ""HTMLキャッシュ!A:F""
    ),
    3,
    FALSE
  ),
  0
)
"),46073.647210648145)</f>
        <v>46073.64721</v>
      </c>
      <c r="F16" s="49">
        <f>IFERROR(__xludf.DUMMYFUNCTION("IFERROR(
  VLOOKUP(
    A16,
    IMPORTRANGE(
      ""1ZHMy3vVUd_0MrSduXTe1etBb1HNpAlGwQr006ljwMiM"",
      ""GSC最新!A:F""
    ),
    2,
    FALSE
  ),
  0
)
"),0.0)</f>
        <v>0</v>
      </c>
      <c r="G16" s="49">
        <f>IFERROR(__xludf.DUMMYFUNCTION("IFERROR(
  VLOOKUP(
    A16,
    IMPORTRANGE(
      ""1ZHMy3vVUd_0MrSduXTe1etBb1HNpAlGwQr006ljwMiM"",
      ""GSC最新!A:F""
    ),
    3,
    FALSE
  ),
  0
)
"),1.0)</f>
        <v>1</v>
      </c>
      <c r="H16" s="49">
        <f>IFERROR(__xludf.DUMMYFUNCTION("IFERROR(
  VLOOKUP(
    A16,
    IMPORTRANGE(
      ""1ZHMy3vVUd_0MrSduXTe1etBb1HNpAlGwQr006ljwMiM"",
      ""GSC最新!A:F""
    ),
    4,
    FALSE
  ),
  0
)
"),4.0)</f>
        <v>4</v>
      </c>
      <c r="I16" s="49">
        <f>IFERROR(__xludf.DUMMYFUNCTION("IFERROR(
  VLOOKUP(
    A16,
    IMPORTRANGE(
      ""1ZHMy3vVUd_0MrSduXTe1etBb1HNpAlGwQr006ljwMiM"",
      ""GSC最新!A:F""
    ),
    5,
    FALSE
  ),
  0
)
"),11.0)</f>
        <v>11</v>
      </c>
      <c r="J16" s="50">
        <f t="shared" ref="J16:K16" si="71">IFERROR(F16/H16,"-")</f>
        <v>0</v>
      </c>
      <c r="K16" s="50">
        <f t="shared" si="71"/>
        <v>0.09090909091</v>
      </c>
      <c r="L16" s="6">
        <f>IFERROR(__xludf.DUMMYFUNCTION("IFERROR(
  VLOOKUP(
    A16,
    IMPORTRANGE(
      ""1ZHMy3vVUd_0MrSduXTe1etBb1HNpAlGwQr006ljwMiM"",
      ""GSC最新!A:R""
    ),
    7,
    FALSE
  ),
  0
)
"),25.0)</f>
        <v>25</v>
      </c>
      <c r="M16" s="6">
        <f>IFERROR(__xludf.DUMMYFUNCTION("IFERROR(
  VLOOKUP(
    A16,
    IMPORTRANGE(
      ""1ZHMy3vVUd_0MrSduXTe1etBb1HNpAlGwQr006ljwMiM"",
      ""GSC最新!A:R""
    ),
    10,
    FALSE
  ),
  0
)
"),74.0)</f>
        <v>74</v>
      </c>
      <c r="N16" s="6">
        <f>IFERROR(__xludf.DUMMYFUNCTION("IFERROR(
  VLOOKUP(
    A16,
    IMPORTRANGE(
      ""1ZHMy3vVUd_0MrSduXTe1etBb1HNpAlGwQr006ljwMiM"",
      ""GSC最新!A:R""
    ),
    13,
    FALSE
  ),
  0
)
"),167.0)</f>
        <v>167</v>
      </c>
      <c r="O16" s="6">
        <f>IFERROR(__xludf.DUMMYFUNCTION("IFERROR(
  VLOOKUP(
    A16,
    IMPORTRANGE(
      ""1ZHMy3vVUd_0MrSduXTe1etBb1HNpAlGwQr006ljwMiM"",
      ""GSC最新!A:R""
    ),
    16,
    FALSE
  ),
  0
)
"),366.0)</f>
        <v>366</v>
      </c>
      <c r="P16" s="51">
        <f t="shared" ref="P16:Q16" si="72">IFERROR(L16/N16,"-")</f>
        <v>0.1497005988</v>
      </c>
      <c r="Q16" s="51">
        <f t="shared" si="72"/>
        <v>0.2021857923</v>
      </c>
      <c r="R16" s="9">
        <f>IFERROR(__xludf.DUMMYFUNCTION("IFERROR(
  VLOOKUP(
    A16,
    IMPORTRANGE(
      ""1ZHMy3vVUd_0MrSduXTe1etBb1HNpAlGwQr006ljwMiM"",
      ""GSC最新!A:R""
    ),
    8,
    FALSE
  ),
  0
)
"),0.0)</f>
        <v>0</v>
      </c>
      <c r="S16" s="9">
        <f>IFERROR(__xludf.DUMMYFUNCTION("IFERROR(
  VLOOKUP(
    A16,
    IMPORTRANGE(
      ""1ZHMy3vVUd_0MrSduXTe1etBb1HNpAlGwQr006ljwMiM"",
      ""GSC最新!A:R""
    ),
    11,
    FALSE
  ),
  0
)
"),0.013513513513513514)</f>
        <v>0.01351351351</v>
      </c>
      <c r="T16" s="9">
        <f>IFERROR(__xludf.DUMMYFUNCTION("IFERROR(
  VLOOKUP(
    A16,
    IMPORTRANGE(
      ""1ZHMy3vVUd_0MrSduXTe1etBb1HNpAlGwQr006ljwMiM"",
      ""GSC最新!A:R""
    ),
    14,
    FALSE
  ),
  0
)
"),0.023952095808383235)</f>
        <v>0.02395209581</v>
      </c>
      <c r="U16" s="9">
        <f>IFERROR(__xludf.DUMMYFUNCTION("IFERROR(
  VLOOKUP(
    A16,
    IMPORTRANGE(
      ""1ZHMy3vVUd_0MrSduXTe1etBb1HNpAlGwQr006ljwMiM"",
      ""GSC最新!A:R""
    ),
    17,
    FALSE
  ),
  0
)
"),0.030054644808743168)</f>
        <v>0.03005464481</v>
      </c>
      <c r="V16" s="9">
        <f t="shared" ref="V16:W16" si="73">IFERROR(R16-T16,"-")</f>
        <v>-0.02395209581</v>
      </c>
      <c r="W16" s="9">
        <f t="shared" si="73"/>
        <v>-0.0165411313</v>
      </c>
      <c r="X16" s="65">
        <f>IFERROR(__xludf.DUMMYFUNCTION("IFERROR(
  VLOOKUP(
    A16,
    IMPORTRANGE(
      ""1ZHMy3vVUd_0MrSduXTe1etBb1HNpAlGwQr006ljwMiM"",
      ""GSC最新!A:R""
    ),
    9,
    FALSE
  ),
  0
)
"),15.72)</f>
        <v>15.72</v>
      </c>
      <c r="Y16" s="65">
        <f>IFERROR(__xludf.DUMMYFUNCTION("IFERROR(
  VLOOKUP(
    A16,
    IMPORTRANGE(
      ""1ZHMy3vVUd_0MrSduXTe1etBb1HNpAlGwQr006ljwMiM"",
      ""GSC最新!A:R""
    ),
    12,
    FALSE
  ),
  0
)
"),13.108108108108109)</f>
        <v>13.10810811</v>
      </c>
      <c r="Z16" s="65">
        <f>IFERROR(__xludf.DUMMYFUNCTION("IFERROR(
  VLOOKUP(
    A16,
    IMPORTRANGE(
      ""1ZHMy3vVUd_0MrSduXTe1etBb1HNpAlGwQr006ljwMiM"",
      ""GSC最新!A:R""
    ),
    15,
    FALSE
  ),
  0
)
"),27.91616766467066)</f>
        <v>27.91616766</v>
      </c>
      <c r="AA16" s="65">
        <f>IFERROR(__xludf.DUMMYFUNCTION("IFERROR(
  VLOOKUP(
    A16,
    IMPORTRANGE(
      ""1ZHMy3vVUd_0MrSduXTe1etBb1HNpAlGwQr006ljwMiM"",
      ""GSC最新!A:R""
    ),
    18,
    FALSE
  ),
  0
)
"),25.311475409836067)</f>
        <v>25.31147541</v>
      </c>
      <c r="AB16" s="65">
        <f t="shared" ref="AB16:AC16" si="74">X16-Z16</f>
        <v>-12.19616766</v>
      </c>
      <c r="AC16" s="65">
        <f t="shared" si="74"/>
        <v>-12.2033673</v>
      </c>
      <c r="AD16" s="53">
        <f>IFERROR(__xludf.DUMMYFUNCTION("IFERROR(
  VLOOKUP(
    A16,
    IMPORTRANGE(
      ""1ZHMy3vVUd_0MrSduXTe1etBb1HNpAlGwQr006ljwMiM"",
      ""GSC最新!A:F""
    ),
    6,
    FALSE
  ),
  0
)
"),46081.0)</f>
        <v>46081</v>
      </c>
      <c r="AE16" s="54">
        <f>IFERROR(__xludf.DUMMYFUNCTION("IFERROR(
  VLOOKUP(
    A16,
    IMPORTRANGE(
      ""1SCYQd7_cobOYqT0r_F0IqD4tE4rYn5y8Eup4PJTH8es"",
      ""Snapshot!A:M""
    ),
    5,
    FALSE
  ),
  ""-""
)
"),1.0)</f>
        <v>1</v>
      </c>
      <c r="AF16" s="54">
        <f>IFERROR(__xludf.DUMMYFUNCTION("IFERROR(
  VLOOKUP(
    A16,
    IMPORTRANGE(
      ""1SCYQd7_cobOYqT0r_F0IqD4tE4rYn5y8Eup4PJTH8es"",
      ""Snapshot!A:M""
    ),
    6,
    FALSE
  ),
  0
)
"),3.0)</f>
        <v>3</v>
      </c>
      <c r="AG16" s="54">
        <f>IFERROR(__xludf.DUMMYFUNCTION("IFERROR(
  VLOOKUP(
    A16,
    IMPORTRANGE(
      ""1SCYQd7_cobOYqT0r_F0IqD4tE4rYn5y8Eup4PJTH8es"",
      ""Snapshot!A:M""
    ),
    7,
    FALSE
  ),
  0
)
"),1875.0)</f>
        <v>1875</v>
      </c>
      <c r="AH16" s="54">
        <f>IFERROR(__xludf.DUMMYFUNCTION("IFERROR(
  VLOOKUP(
    A16,
    IMPORTRANGE(
      ""1SCYQd7_cobOYqT0r_F0IqD4tE4rYn5y8Eup4PJTH8es"",
      ""Snapshot!A:M""
    ),
    8,
    FALSE
  ),
  0
)
"),0.0)</f>
        <v>0</v>
      </c>
      <c r="AI16" s="54">
        <f>IFERROR(__xludf.DUMMYFUNCTION("IFERROR(
  VLOOKUP(
    A16,
    IMPORTRANGE(
      ""1SCYQd7_cobOYqT0r_F0IqD4tE4rYn5y8Eup4PJTH8es"",
      ""Snapshot!A:M""
    ),
    9,
    FALSE
  ),
  0
)
"),1.0)</f>
        <v>1</v>
      </c>
      <c r="AJ16" s="54">
        <f>IFERROR(__xludf.DUMMYFUNCTION("IFERROR(
  VLOOKUP(
    A16,
    IMPORTRANGE(
      ""1SCYQd7_cobOYqT0r_F0IqD4tE4rYn5y8Eup4PJTH8es"",
      ""Snapshot!A:M""
    ),
    13,
    FALSE
  ),
  0
)
"),1.0)</f>
        <v>1</v>
      </c>
      <c r="AK16" s="49">
        <f t="shared" ref="AK16:AL16" si="75">LEN(C16)</f>
        <v>22</v>
      </c>
      <c r="AL16" s="49">
        <f t="shared" si="75"/>
        <v>69</v>
      </c>
    </row>
    <row r="17">
      <c r="A17" s="56" t="s">
        <v>834</v>
      </c>
      <c r="B17" s="1" t="s">
        <v>32</v>
      </c>
      <c r="C17" s="1" t="str">
        <f>IFERROR(__xludf.DUMMYFUNCTION("IFERROR(
  VLOOKUP(
    A17,
    IMPORTRANGE(
      ""1ZygntHC1J6IxzKbTidmOyf5nUyW4GCLurHCjexrLm_o"",
      ""HTMLキャッシュ!A:F""
    ),
    5,
    FALSE
  ),
  0
)
"),"小6 4月からの社会立て直しプラン｜遅れた子のための優先順位 - 受験社会専門塾「令和」")</f>
        <v>小6 4月からの社会立て直しプラン｜遅れた子のための優先順位 - 受験社会専門塾「令和」</v>
      </c>
      <c r="D17" s="1" t="str">
        <f>IFERROR(__xludf.DUMMYFUNCTION("IFERROR(
  VLOOKUP(
    A17,
    IMPORTRANGE(
      ""1ZygntHC1J6IxzKbTidmOyf5nUyW4GCLurHCjexrLm_o        "",
      ""HTMLキャッシュ!A:F""
    ),
    6,
    FALSE
  ),
  0
)
"),"社会の悩み一覧（ハブ）へ 小6・4月からの社会挽回プラン｜「遅れ」を合格への武器に変える優先順位 「春期講習が")</f>
        <v>社会の悩み一覧（ハブ）へ 小6・4月からの社会挽回プラン｜「遅れ」を合格への武器に変える優先順位 「春期講習が</v>
      </c>
      <c r="E17" s="32">
        <f>IFERROR(__xludf.DUMMYFUNCTION("IFERROR(
  VLOOKUP(
    A17,
    IMPORTRANGE(
      ""1ZygntHC1J6IxzKbTidmOyf5nUyW4GCLurHCjexrLm_o        "",
      ""HTMLキャッシュ!A:F""
    ),
    3,
    FALSE
  ),
  0
)
"),46081.61680555555)</f>
        <v>46081.61681</v>
      </c>
      <c r="F17" s="49">
        <f>IFERROR(__xludf.DUMMYFUNCTION("IFERROR(
  VLOOKUP(
    A17,
    IMPORTRANGE(
      ""1ZHMy3vVUd_0MrSduXTe1etBb1HNpAlGwQr006ljwMiM"",
      ""GSC最新!A:F""
    ),
    2,
    FALSE
  ),
  0
)
"),1.0)</f>
        <v>1</v>
      </c>
      <c r="G17" s="49">
        <f>IFERROR(__xludf.DUMMYFUNCTION("IFERROR(
  VLOOKUP(
    A17,
    IMPORTRANGE(
      ""1ZHMy3vVUd_0MrSduXTe1etBb1HNpAlGwQr006ljwMiM"",
      ""GSC最新!A:F""
    ),
    3,
    FALSE
  ),
  0
)
"),1.0)</f>
        <v>1</v>
      </c>
      <c r="H17" s="49">
        <f>IFERROR(__xludf.DUMMYFUNCTION("IFERROR(
  VLOOKUP(
    A17,
    IMPORTRANGE(
      ""1ZHMy3vVUd_0MrSduXTe1etBb1HNpAlGwQr006ljwMiM"",
      ""GSC最新!A:F""
    ),
    4,
    FALSE
  ),
  0
)
"),0.0)</f>
        <v>0</v>
      </c>
      <c r="I17" s="49">
        <f>IFERROR(__xludf.DUMMYFUNCTION("IFERROR(
  VLOOKUP(
    A17,
    IMPORTRANGE(
      ""1ZHMy3vVUd_0MrSduXTe1etBb1HNpAlGwQr006ljwMiM"",
      ""GSC最新!A:F""
    ),
    5,
    FALSE
  ),
  0
)
"),0.0)</f>
        <v>0</v>
      </c>
      <c r="J17" s="50" t="str">
        <f t="shared" ref="J17:K17" si="76">IFERROR(F17/H17,"-")</f>
        <v>-</v>
      </c>
      <c r="K17" s="50" t="str">
        <f t="shared" si="76"/>
        <v>-</v>
      </c>
      <c r="L17" s="6">
        <f>IFERROR(__xludf.DUMMYFUNCTION("IFERROR(
  VLOOKUP(
    A17,
    IMPORTRANGE(
      ""1ZHMy3vVUd_0MrSduXTe1etBb1HNpAlGwQr006ljwMiM"",
      ""GSC最新!A:R""
    ),
    7,
    FALSE
  ),
  0
)
"),16.0)</f>
        <v>16</v>
      </c>
      <c r="M17" s="6">
        <f>IFERROR(__xludf.DUMMYFUNCTION("IFERROR(
  VLOOKUP(
    A17,
    IMPORTRANGE(
      ""1ZHMy3vVUd_0MrSduXTe1etBb1HNpAlGwQr006ljwMiM"",
      ""GSC最新!A:R""
    ),
    10,
    FALSE
  ),
  0
)
"),19.0)</f>
        <v>19</v>
      </c>
      <c r="N17" s="6">
        <f>IFERROR(__xludf.DUMMYFUNCTION("IFERROR(
  VLOOKUP(
    A17,
    IMPORTRANGE(
      ""1ZHMy3vVUd_0MrSduXTe1etBb1HNpAlGwQr006ljwMiM"",
      ""GSC最新!A:R""
    ),
    13,
    FALSE
  ),
  0
)
"),0.0)</f>
        <v>0</v>
      </c>
      <c r="O17" s="6">
        <f>IFERROR(__xludf.DUMMYFUNCTION("IFERROR(
  VLOOKUP(
    A17,
    IMPORTRANGE(
      ""1ZHMy3vVUd_0MrSduXTe1etBb1HNpAlGwQr006ljwMiM"",
      ""GSC最新!A:R""
    ),
    16,
    FALSE
  ),
  0
)
"),0.0)</f>
        <v>0</v>
      </c>
      <c r="P17" s="51" t="str">
        <f t="shared" ref="P17:Q17" si="77">IFERROR(L17/N17,"-")</f>
        <v>-</v>
      </c>
      <c r="Q17" s="51" t="str">
        <f t="shared" si="77"/>
        <v>-</v>
      </c>
      <c r="R17" s="9">
        <f>IFERROR(__xludf.DUMMYFUNCTION("IFERROR(
  VLOOKUP(
    A17,
    IMPORTRANGE(
      ""1ZHMy3vVUd_0MrSduXTe1etBb1HNpAlGwQr006ljwMiM"",
      ""GSC最新!A:R""
    ),
    8,
    FALSE
  ),
  0
)
"),0.0625)</f>
        <v>0.0625</v>
      </c>
      <c r="S17" s="9">
        <f>IFERROR(__xludf.DUMMYFUNCTION("IFERROR(
  VLOOKUP(
    A17,
    IMPORTRANGE(
      ""1ZHMy3vVUd_0MrSduXTe1etBb1HNpAlGwQr006ljwMiM"",
      ""GSC最新!A:R""
    ),
    11,
    FALSE
  ),
  0
)
"),0.05263157894736842)</f>
        <v>0.05263157895</v>
      </c>
      <c r="T17" s="9">
        <f>IFERROR(__xludf.DUMMYFUNCTION("IFERROR(
  VLOOKUP(
    A17,
    IMPORTRANGE(
      ""1ZHMy3vVUd_0MrSduXTe1etBb1HNpAlGwQr006ljwMiM"",
      ""GSC最新!A:R""
    ),
    14,
    FALSE
  ),
  0
)
"),0.0)</f>
        <v>0</v>
      </c>
      <c r="U17" s="9">
        <f>IFERROR(__xludf.DUMMYFUNCTION("IFERROR(
  VLOOKUP(
    A17,
    IMPORTRANGE(
      ""1ZHMy3vVUd_0MrSduXTe1etBb1HNpAlGwQr006ljwMiM"",
      ""GSC最新!A:R""
    ),
    17,
    FALSE
  ),
  0
)
"),0.0)</f>
        <v>0</v>
      </c>
      <c r="V17" s="9">
        <f t="shared" ref="V17:W17" si="78">IFERROR(R17-T17,"-")</f>
        <v>0.0625</v>
      </c>
      <c r="W17" s="9">
        <f t="shared" si="78"/>
        <v>0.05263157895</v>
      </c>
      <c r="X17" s="65">
        <f>IFERROR(__xludf.DUMMYFUNCTION("IFERROR(
  VLOOKUP(
    A17,
    IMPORTRANGE(
      ""1ZHMy3vVUd_0MrSduXTe1etBb1HNpAlGwQr006ljwMiM"",
      ""GSC最新!A:R""
    ),
    9,
    FALSE
  ),
  0
)
"),6.8125)</f>
        <v>6.8125</v>
      </c>
      <c r="Y17" s="65">
        <f>IFERROR(__xludf.DUMMYFUNCTION("IFERROR(
  VLOOKUP(
    A17,
    IMPORTRANGE(
      ""1ZHMy3vVUd_0MrSduXTe1etBb1HNpAlGwQr006ljwMiM"",
      ""GSC最新!A:R""
    ),
    12,
    FALSE
  ),
  0
)
"),6.578947368421052)</f>
        <v>6.578947368</v>
      </c>
      <c r="Z17" s="65" t="str">
        <f>IFERROR(__xludf.DUMMYFUNCTION("IFERROR(
  VLOOKUP(
    A17,
    IMPORTRANGE(
      ""1ZHMy3vVUd_0MrSduXTe1etBb1HNpAlGwQr006ljwMiM"",
      ""GSC最新!A:R""
    ),
    15,
    FALSE
  ),
  0
)
"),"")</f>
        <v/>
      </c>
      <c r="AA17" s="65" t="str">
        <f>IFERROR(__xludf.DUMMYFUNCTION("IFERROR(
  VLOOKUP(
    A17,
    IMPORTRANGE(
      ""1ZHMy3vVUd_0MrSduXTe1etBb1HNpAlGwQr006ljwMiM"",
      ""GSC最新!A:R""
    ),
    18,
    FALSE
  ),
  0
)
"),"")</f>
        <v/>
      </c>
      <c r="AB17" s="65">
        <f t="shared" ref="AB17:AC17" si="79">X17-Z17</f>
        <v>6.8125</v>
      </c>
      <c r="AC17" s="65">
        <f t="shared" si="79"/>
        <v>6.578947368</v>
      </c>
      <c r="AD17" s="53">
        <f>IFERROR(__xludf.DUMMYFUNCTION("IFERROR(
  VLOOKUP(
    A17,
    IMPORTRANGE(
      ""1ZHMy3vVUd_0MrSduXTe1etBb1HNpAlGwQr006ljwMiM"",
      ""GSC最新!A:F""
    ),
    6,
    FALSE
  ),
  0
)
"),46081.0)</f>
        <v>46081</v>
      </c>
      <c r="AE17" s="54">
        <f>IFERROR(__xludf.DUMMYFUNCTION("IFERROR(
  VLOOKUP(
    A17,
    IMPORTRANGE(
      ""1SCYQd7_cobOYqT0r_F0IqD4tE4rYn5y8Eup4PJTH8es"",
      ""Snapshot!A:M""
    ),
    5,
    FALSE
  ),
  ""-""
)
"),7.0)</f>
        <v>7</v>
      </c>
      <c r="AF17" s="54">
        <f>IFERROR(__xludf.DUMMYFUNCTION("IFERROR(
  VLOOKUP(
    A17,
    IMPORTRANGE(
      ""1SCYQd7_cobOYqT0r_F0IqD4tE4rYn5y8Eup4PJTH8es"",
      ""Snapshot!A:M""
    ),
    6,
    FALSE
  ),
  0
)
"),13.0)</f>
        <v>13</v>
      </c>
      <c r="AG17" s="54">
        <f>IFERROR(__xludf.DUMMYFUNCTION("IFERROR(
  VLOOKUP(
    A17,
    IMPORTRANGE(
      ""1SCYQd7_cobOYqT0r_F0IqD4tE4rYn5y8Eup4PJTH8es"",
      ""Snapshot!A:M""
    ),
    7,
    FALSE
  ),
  0
)
"),3154.0)</f>
        <v>3154</v>
      </c>
      <c r="AH17" s="54">
        <f>IFERROR(__xludf.DUMMYFUNCTION("IFERROR(
  VLOOKUP(
    A17,
    IMPORTRANGE(
      ""1SCYQd7_cobOYqT0r_F0IqD4tE4rYn5y8Eup4PJTH8es"",
      ""Snapshot!A:M""
    ),
    8,
    FALSE
  ),
  0
)
"),1.0)</f>
        <v>1</v>
      </c>
      <c r="AI17" s="54">
        <f>IFERROR(__xludf.DUMMYFUNCTION("IFERROR(
  VLOOKUP(
    A17,
    IMPORTRANGE(
      ""1SCYQd7_cobOYqT0r_F0IqD4tE4rYn5y8Eup4PJTH8es"",
      ""Snapshot!A:M""
    ),
    9,
    FALSE
  ),
  0
)
"),1.0)</f>
        <v>1</v>
      </c>
      <c r="AJ17" s="54">
        <f>IFERROR(__xludf.DUMMYFUNCTION("IFERROR(
  VLOOKUP(
    A17,
    IMPORTRANGE(
      ""1SCYQd7_cobOYqT0r_F0IqD4tE4rYn5y8Eup4PJTH8es"",
      ""Snapshot!A:M""
    ),
    13,
    FALSE
  ),
  0
)
"),2.0)</f>
        <v>2</v>
      </c>
      <c r="AK17" s="49">
        <f t="shared" ref="AK17:AL17" si="80">LEN(C17)</f>
        <v>44</v>
      </c>
      <c r="AL17" s="49">
        <f t="shared" si="80"/>
        <v>55</v>
      </c>
    </row>
    <row r="18">
      <c r="A18" s="3" t="s">
        <v>835</v>
      </c>
      <c r="B18" s="1" t="str">
        <f>IFERROR(__xludf.DUMMYFUNCTION("IFERROR(
  VLOOKUP(
    A18,
    IMPORTRANGE(
      ""1ZygntHC1J6IxzKbTidmOyf5nUyW4GCLurHCjexrLm_o"",
      ""HTMLキャッシュ!A:F""
    ),
    2,
    FALSE
  ),
  0
)
"),"NW")</f>
        <v>NW</v>
      </c>
      <c r="C18" s="1" t="str">
        <f>IFERROR(__xludf.DUMMYFUNCTION("IFERROR(
  VLOOKUP(
    A18,
    IMPORTRANGE(
      ""1ZygntHC1J6IxzKbTidmOyf5nUyW4GCLurHCjexrLm_o"",
      ""HTMLキャッシュ!A:F""
    ),
    5,
    FALSE
  ),
  0
)
"),"「古典専門塾 かきつばた」開校のお知らせ - 受験社会専門塾「令和」")</f>
        <v>「古典専門塾 かきつばた」開校のお知らせ - 受験社会専門塾「令和」</v>
      </c>
      <c r="D18" s="1" t="str">
        <f>IFERROR(__xludf.DUMMYFUNCTION("IFERROR(
  VLOOKUP(
    A18,
    IMPORTRANGE(
      ""1ZygntHC1J6IxzKbTidmOyf5nUyW4GCLurHCjexrLm_o        "",
      ""HTMLキャッシュ!A:F""
    ),
    6,
    FALSE
  ),
  0
)
"),"本日は掲題の件につきましてお知らせさせて頂きます。 新塾「古典専門塾 かきつばた」を開校致しました。 古典専門")</f>
        <v>本日は掲題の件につきましてお知らせさせて頂きます。 新塾「古典専門塾 かきつばた」を開校致しました。 古典専門</v>
      </c>
      <c r="E18" s="32">
        <f>IFERROR(__xludf.DUMMYFUNCTION("IFERROR(
  VLOOKUP(
    A18,
    IMPORTRANGE(
      ""1ZygntHC1J6IxzKbTidmOyf5nUyW4GCLurHCjexrLm_o        "",
      ""HTMLキャッシュ!A:F""
    ),
    3,
    FALSE
  ),
  0
)
"),43873.655011574076)</f>
        <v>43873.65501</v>
      </c>
      <c r="F18" s="49">
        <f>IFERROR(__xludf.DUMMYFUNCTION("IFERROR(
  VLOOKUP(
    A18,
    IMPORTRANGE(
      ""1ZHMy3vVUd_0MrSduXTe1etBb1HNpAlGwQr006ljwMiM"",
      ""GSC最新!A:F""
    ),
    2,
    FALSE
  ),
  0
)
"),0.0)</f>
        <v>0</v>
      </c>
      <c r="G18" s="49">
        <f>IFERROR(__xludf.DUMMYFUNCTION("IFERROR(
  VLOOKUP(
    A18,
    IMPORTRANGE(
      ""1ZHMy3vVUd_0MrSduXTe1etBb1HNpAlGwQr006ljwMiM"",
      ""GSC最新!A:F""
    ),
    3,
    FALSE
  ),
  0
)
"),1.0)</f>
        <v>1</v>
      </c>
      <c r="H18" s="49">
        <f>IFERROR(__xludf.DUMMYFUNCTION("IFERROR(
  VLOOKUP(
    A18,
    IMPORTRANGE(
      ""1ZHMy3vVUd_0MrSduXTe1etBb1HNpAlGwQr006ljwMiM"",
      ""GSC最新!A:F""
    ),
    4,
    FALSE
  ),
  0
)
"),0.0)</f>
        <v>0</v>
      </c>
      <c r="I18" s="49">
        <f>IFERROR(__xludf.DUMMYFUNCTION("IFERROR(
  VLOOKUP(
    A18,
    IMPORTRANGE(
      ""1ZHMy3vVUd_0MrSduXTe1etBb1HNpAlGwQr006ljwMiM"",
      ""GSC最新!A:F""
    ),
    5,
    FALSE
  ),
  0
)
"),0.0)</f>
        <v>0</v>
      </c>
      <c r="J18" s="50" t="str">
        <f t="shared" ref="J18:K18" si="81">IFERROR(F18/H18,"-")</f>
        <v>-</v>
      </c>
      <c r="K18" s="50" t="str">
        <f t="shared" si="81"/>
        <v>-</v>
      </c>
      <c r="L18" s="6">
        <f>IFERROR(__xludf.DUMMYFUNCTION("IFERROR(
  VLOOKUP(
    A18,
    IMPORTRANGE(
      ""1ZHMy3vVUd_0MrSduXTe1etBb1HNpAlGwQr006ljwMiM"",
      ""GSC最新!A:R""
    ),
    7,
    FALSE
  ),
  0
)
"),1.0)</f>
        <v>1</v>
      </c>
      <c r="M18" s="6">
        <f>IFERROR(__xludf.DUMMYFUNCTION("IFERROR(
  VLOOKUP(
    A18,
    IMPORTRANGE(
      ""1ZHMy3vVUd_0MrSduXTe1etBb1HNpAlGwQr006ljwMiM"",
      ""GSC最新!A:R""
    ),
    10,
    FALSE
  ),
  0
)
"),12.0)</f>
        <v>12</v>
      </c>
      <c r="N18" s="6">
        <f>IFERROR(__xludf.DUMMYFUNCTION("IFERROR(
  VLOOKUP(
    A18,
    IMPORTRANGE(
      ""1ZHMy3vVUd_0MrSduXTe1etBb1HNpAlGwQr006ljwMiM"",
      ""GSC最新!A:R""
    ),
    13,
    FALSE
  ),
  0
)
"),0.0)</f>
        <v>0</v>
      </c>
      <c r="O18" s="6">
        <f>IFERROR(__xludf.DUMMYFUNCTION("IFERROR(
  VLOOKUP(
    A18,
    IMPORTRANGE(
      ""1ZHMy3vVUd_0MrSduXTe1etBb1HNpAlGwQr006ljwMiM"",
      ""GSC最新!A:R""
    ),
    16,
    FALSE
  ),
  0
)
"),4.0)</f>
        <v>4</v>
      </c>
      <c r="P18" s="51" t="str">
        <f t="shared" ref="P18:Q18" si="82">IFERROR(L18/N18,"-")</f>
        <v>-</v>
      </c>
      <c r="Q18" s="51">
        <f t="shared" si="82"/>
        <v>3</v>
      </c>
      <c r="R18" s="9">
        <f>IFERROR(__xludf.DUMMYFUNCTION("IFERROR(
  VLOOKUP(
    A18,
    IMPORTRANGE(
      ""1ZHMy3vVUd_0MrSduXTe1etBb1HNpAlGwQr006ljwMiM"",
      ""GSC最新!A:R""
    ),
    8,
    FALSE
  ),
  0
)
"),0.0)</f>
        <v>0</v>
      </c>
      <c r="S18" s="9">
        <f>IFERROR(__xludf.DUMMYFUNCTION("IFERROR(
  VLOOKUP(
    A18,
    IMPORTRANGE(
      ""1ZHMy3vVUd_0MrSduXTe1etBb1HNpAlGwQr006ljwMiM"",
      ""GSC最新!A:R""
    ),
    11,
    FALSE
  ),
  0
)
"),0.08333333333333333)</f>
        <v>0.08333333333</v>
      </c>
      <c r="T18" s="9">
        <f>IFERROR(__xludf.DUMMYFUNCTION("IFERROR(
  VLOOKUP(
    A18,
    IMPORTRANGE(
      ""1ZHMy3vVUd_0MrSduXTe1etBb1HNpAlGwQr006ljwMiM"",
      ""GSC最新!A:R""
    ),
    14,
    FALSE
  ),
  0
)
"),0.0)</f>
        <v>0</v>
      </c>
      <c r="U18" s="9">
        <f>IFERROR(__xludf.DUMMYFUNCTION("IFERROR(
  VLOOKUP(
    A18,
    IMPORTRANGE(
      ""1ZHMy3vVUd_0MrSduXTe1etBb1HNpAlGwQr006ljwMiM"",
      ""GSC最新!A:R""
    ),
    17,
    FALSE
  ),
  0
)
"),0.0)</f>
        <v>0</v>
      </c>
      <c r="V18" s="9">
        <f t="shared" ref="V18:W18" si="83">IFERROR(R18-T18,"-")</f>
        <v>0</v>
      </c>
      <c r="W18" s="9">
        <f t="shared" si="83"/>
        <v>0.08333333333</v>
      </c>
      <c r="X18" s="65">
        <f>IFERROR(__xludf.DUMMYFUNCTION("IFERROR(
  VLOOKUP(
    A18,
    IMPORTRANGE(
      ""1ZHMy3vVUd_0MrSduXTe1etBb1HNpAlGwQr006ljwMiM"",
      ""GSC最新!A:R""
    ),
    9,
    FALSE
  ),
  0
)
"),10.0)</f>
        <v>10</v>
      </c>
      <c r="Y18" s="65">
        <f>IFERROR(__xludf.DUMMYFUNCTION("IFERROR(
  VLOOKUP(
    A18,
    IMPORTRANGE(
      ""1ZHMy3vVUd_0MrSduXTe1etBb1HNpAlGwQr006ljwMiM"",
      ""GSC最新!A:R""
    ),
    12,
    FALSE
  ),
  0
)
"),10.5)</f>
        <v>10.5</v>
      </c>
      <c r="Z18" s="65" t="str">
        <f>IFERROR(__xludf.DUMMYFUNCTION("IFERROR(
  VLOOKUP(
    A18,
    IMPORTRANGE(
      ""1ZHMy3vVUd_0MrSduXTe1etBb1HNpAlGwQr006ljwMiM"",
      ""GSC最新!A:R""
    ),
    15,
    FALSE
  ),
  0
)
"),"")</f>
        <v/>
      </c>
      <c r="AA18" s="65">
        <f>IFERROR(__xludf.DUMMYFUNCTION("IFERROR(
  VLOOKUP(
    A18,
    IMPORTRANGE(
      ""1ZHMy3vVUd_0MrSduXTe1etBb1HNpAlGwQr006ljwMiM"",
      ""GSC最新!A:R""
    ),
    18,
    FALSE
  ),
  0
)
"),67.0)</f>
        <v>67</v>
      </c>
      <c r="AB18" s="65">
        <f t="shared" ref="AB18:AC18" si="84">X18-Z18</f>
        <v>10</v>
      </c>
      <c r="AC18" s="65">
        <f t="shared" si="84"/>
        <v>-56.5</v>
      </c>
      <c r="AD18" s="53">
        <f>IFERROR(__xludf.DUMMYFUNCTION("IFERROR(
  VLOOKUP(
    A18,
    IMPORTRANGE(
      ""1ZHMy3vVUd_0MrSduXTe1etBb1HNpAlGwQr006ljwMiM"",
      ""GSC最新!A:F""
    ),
    6,
    FALSE
  ),
  0
)
"),46081.0)</f>
        <v>46081</v>
      </c>
      <c r="AE18" s="54">
        <f>IFERROR(__xludf.DUMMYFUNCTION("IFERROR(
  VLOOKUP(
    A18,
    IMPORTRANGE(
      ""1SCYQd7_cobOYqT0r_F0IqD4tE4rYn5y8Eup4PJTH8es"",
      ""Snapshot!A:M""
    ),
    5,
    FALSE
  ),
  ""-""
)
"),0.0)</f>
        <v>0</v>
      </c>
      <c r="AF18" s="54">
        <f>IFERROR(__xludf.DUMMYFUNCTION("IFERROR(
  VLOOKUP(
    A18,
    IMPORTRANGE(
      ""1SCYQd7_cobOYqT0r_F0IqD4tE4rYn5y8Eup4PJTH8es"",
      ""Snapshot!A:M""
    ),
    6,
    FALSE
  ),
  0
)
"),0.0)</f>
        <v>0</v>
      </c>
      <c r="AG18" s="54">
        <f>IFERROR(__xludf.DUMMYFUNCTION("IFERROR(
  VLOOKUP(
    A18,
    IMPORTRANGE(
      ""1SCYQd7_cobOYqT0r_F0IqD4tE4rYn5y8Eup4PJTH8es"",
      ""Snapshot!A:M""
    ),
    7,
    FALSE
  ),
  0
)
"),130.0)</f>
        <v>130</v>
      </c>
      <c r="AH18" s="54">
        <f>IFERROR(__xludf.DUMMYFUNCTION("IFERROR(
  VLOOKUP(
    A18,
    IMPORTRANGE(
      ""1SCYQd7_cobOYqT0r_F0IqD4tE4rYn5y8Eup4PJTH8es"",
      ""Snapshot!A:M""
    ),
    8,
    FALSE
  ),
  0
)
"),0.0)</f>
        <v>0</v>
      </c>
      <c r="AI18" s="54">
        <f>IFERROR(__xludf.DUMMYFUNCTION("IFERROR(
  VLOOKUP(
    A18,
    IMPORTRANGE(
      ""1SCYQd7_cobOYqT0r_F0IqD4tE4rYn5y8Eup4PJTH8es"",
      ""Snapshot!A:M""
    ),
    9,
    FALSE
  ),
  0
)
"),0.0)</f>
        <v>0</v>
      </c>
      <c r="AJ18" s="54">
        <f>IFERROR(__xludf.DUMMYFUNCTION("IFERROR(
  VLOOKUP(
    A18,
    IMPORTRANGE(
      ""1SCYQd7_cobOYqT0r_F0IqD4tE4rYn5y8Eup4PJTH8es"",
      ""Snapshot!A:M""
    ),
    13,
    FALSE
  ),
  0
)
"),2.0)</f>
        <v>2</v>
      </c>
      <c r="AK18" s="49">
        <f t="shared" ref="AK18:AL18" si="85">LEN(C18)</f>
        <v>34</v>
      </c>
      <c r="AL18" s="49">
        <f t="shared" si="85"/>
        <v>55</v>
      </c>
    </row>
    <row r="19">
      <c r="A19" s="56" t="s">
        <v>836</v>
      </c>
      <c r="B19" s="1" t="s">
        <v>32</v>
      </c>
      <c r="C19" s="1" t="str">
        <f>IFERROR(__xludf.DUMMYFUNCTION("IFERROR(
  VLOOKUP(
    A19,
    IMPORTRANGE(
      ""1ZygntHC1J6IxzKbTidmOyf5nUyW4GCLurHCjexrLm_o"",
      ""HTMLキャッシュ!A:F""
    ),
    5,
    FALSE
  ),
  0
)
"),"歴史の流れをつかむ 学習の順序と背景理解の極意")</f>
        <v>歴史の流れをつかむ 学習の順序と背景理解の極意</v>
      </c>
      <c r="D19" s="1" t="str">
        <f>IFERROR(__xludf.DUMMYFUNCTION("IFERROR(
  VLOOKUP(
    A19,
    IMPORTRANGE(
      ""1ZygntHC1J6IxzKbTidmOyf5nUyW4GCLurHCjexrLm_o        "",
      ""HTMLキャッシュ!A:F""
    ),
    6,
    FALSE
  ),
  0
)
"),"社会時代の流れがつかめず正誤・資料で落ちる人へ。5時代を政治/社会/対外の3軸で1枚化し、因果と転換点で覚える。")</f>
        <v>社会時代の流れがつかめず正誤・資料で落ちる人へ。5時代を政治/社会/対外の3軸で1枚化し、因果と転換点で覚える。</v>
      </c>
      <c r="E19" s="32">
        <f>IFERROR(__xludf.DUMMYFUNCTION("IFERROR(
  VLOOKUP(
    A19,
    IMPORTRANGE(
      ""1ZygntHC1J6IxzKbTidmOyf5nUyW4GCLurHCjexrLm_o        "",
      ""HTMLキャッシュ!A:F""
    ),
    3,
    FALSE
  ),
  0
)
"),46080.71561342593)</f>
        <v>46080.71561</v>
      </c>
      <c r="F19" s="49">
        <f>IFERROR(__xludf.DUMMYFUNCTION("IFERROR(
  VLOOKUP(
    A19,
    IMPORTRANGE(
      ""1ZHMy3vVUd_0MrSduXTe1etBb1HNpAlGwQr006ljwMiM"",
      ""GSC最新!A:F""
    ),
    2,
    FALSE
  ),
  0
)
"),0.0)</f>
        <v>0</v>
      </c>
      <c r="G19" s="49">
        <f>IFERROR(__xludf.DUMMYFUNCTION("IFERROR(
  VLOOKUP(
    A19,
    IMPORTRANGE(
      ""1ZHMy3vVUd_0MrSduXTe1etBb1HNpAlGwQr006ljwMiM"",
      ""GSC最新!A:F""
    ),
    3,
    FALSE
  ),
  0
)
"),0.0)</f>
        <v>0</v>
      </c>
      <c r="H19" s="49">
        <f>IFERROR(__xludf.DUMMYFUNCTION("IFERROR(
  VLOOKUP(
    A19,
    IMPORTRANGE(
      ""1ZHMy3vVUd_0MrSduXTe1etBb1HNpAlGwQr006ljwMiM"",
      ""GSC最新!A:F""
    ),
    4,
    FALSE
  ),
  0
)
"),0.0)</f>
        <v>0</v>
      </c>
      <c r="I19" s="49">
        <f>IFERROR(__xludf.DUMMYFUNCTION("IFERROR(
  VLOOKUP(
    A19,
    IMPORTRANGE(
      ""1ZHMy3vVUd_0MrSduXTe1etBb1HNpAlGwQr006ljwMiM"",
      ""GSC最新!A:F""
    ),
    5,
    FALSE
  ),
  0
)
"),0.0)</f>
        <v>0</v>
      </c>
      <c r="J19" s="50" t="str">
        <f t="shared" ref="J19:K19" si="86">IFERROR(F19/H19,"-")</f>
        <v>-</v>
      </c>
      <c r="K19" s="50" t="str">
        <f t="shared" si="86"/>
        <v>-</v>
      </c>
      <c r="L19" s="6">
        <f>IFERROR(__xludf.DUMMYFUNCTION("IFERROR(
  VLOOKUP(
    A19,
    IMPORTRANGE(
      ""1ZHMy3vVUd_0MrSduXTe1etBb1HNpAlGwQr006ljwMiM"",
      ""GSC最新!A:R""
    ),
    7,
    FALSE
  ),
  0
)
"),393.0)</f>
        <v>393</v>
      </c>
      <c r="M19" s="6">
        <f>IFERROR(__xludf.DUMMYFUNCTION("IFERROR(
  VLOOKUP(
    A19,
    IMPORTRANGE(
      ""1ZHMy3vVUd_0MrSduXTe1etBb1HNpAlGwQr006ljwMiM"",
      ""GSC最新!A:R""
    ),
    10,
    FALSE
  ),
  0
)
"),398.0)</f>
        <v>398</v>
      </c>
      <c r="N19" s="6">
        <f>IFERROR(__xludf.DUMMYFUNCTION("IFERROR(
  VLOOKUP(
    A19,
    IMPORTRANGE(
      ""1ZHMy3vVUd_0MrSduXTe1etBb1HNpAlGwQr006ljwMiM"",
      ""GSC最新!A:R""
    ),
    13,
    FALSE
  ),
  0
)
"),0.0)</f>
        <v>0</v>
      </c>
      <c r="O19" s="6">
        <f>IFERROR(__xludf.DUMMYFUNCTION("IFERROR(
  VLOOKUP(
    A19,
    IMPORTRANGE(
      ""1ZHMy3vVUd_0MrSduXTe1etBb1HNpAlGwQr006ljwMiM"",
      ""GSC最新!A:R""
    ),
    16,
    FALSE
  ),
  0
)
"),0.0)</f>
        <v>0</v>
      </c>
      <c r="P19" s="51" t="str">
        <f t="shared" ref="P19:Q19" si="87">IFERROR(L19/N19,"-")</f>
        <v>-</v>
      </c>
      <c r="Q19" s="51" t="str">
        <f t="shared" si="87"/>
        <v>-</v>
      </c>
      <c r="R19" s="9">
        <f>IFERROR(__xludf.DUMMYFUNCTION("IFERROR(
  VLOOKUP(
    A19,
    IMPORTRANGE(
      ""1ZHMy3vVUd_0MrSduXTe1etBb1HNpAlGwQr006ljwMiM"",
      ""GSC最新!A:R""
    ),
    8,
    FALSE
  ),
  0
)
"),0.0)</f>
        <v>0</v>
      </c>
      <c r="S19" s="9">
        <f>IFERROR(__xludf.DUMMYFUNCTION("IFERROR(
  VLOOKUP(
    A19,
    IMPORTRANGE(
      ""1ZHMy3vVUd_0MrSduXTe1etBb1HNpAlGwQr006ljwMiM"",
      ""GSC最新!A:R""
    ),
    11,
    FALSE
  ),
  0
)
"),0.0)</f>
        <v>0</v>
      </c>
      <c r="T19" s="9">
        <f>IFERROR(__xludf.DUMMYFUNCTION("IFERROR(
  VLOOKUP(
    A19,
    IMPORTRANGE(
      ""1ZHMy3vVUd_0MrSduXTe1etBb1HNpAlGwQr006ljwMiM"",
      ""GSC最新!A:R""
    ),
    14,
    FALSE
  ),
  0
)
"),0.0)</f>
        <v>0</v>
      </c>
      <c r="U19" s="9">
        <f>IFERROR(__xludf.DUMMYFUNCTION("IFERROR(
  VLOOKUP(
    A19,
    IMPORTRANGE(
      ""1ZHMy3vVUd_0MrSduXTe1etBb1HNpAlGwQr006ljwMiM"",
      ""GSC最新!A:R""
    ),
    17,
    FALSE
  ),
  0
)
"),0.0)</f>
        <v>0</v>
      </c>
      <c r="V19" s="9">
        <f t="shared" ref="V19:W19" si="88">IFERROR(R19-T19,"-")</f>
        <v>0</v>
      </c>
      <c r="W19" s="9">
        <f t="shared" si="88"/>
        <v>0</v>
      </c>
      <c r="X19" s="65">
        <f>IFERROR(__xludf.DUMMYFUNCTION("IFERROR(
  VLOOKUP(
    A19,
    IMPORTRANGE(
      ""1ZHMy3vVUd_0MrSduXTe1etBb1HNpAlGwQr006ljwMiM"",
      ""GSC最新!A:R""
    ),
    9,
    FALSE
  ),
  0
)
"),5.300254452926208)</f>
        <v>5.300254453</v>
      </c>
      <c r="Y19" s="65">
        <f>IFERROR(__xludf.DUMMYFUNCTION("IFERROR(
  VLOOKUP(
    A19,
    IMPORTRANGE(
      ""1ZHMy3vVUd_0MrSduXTe1etBb1HNpAlGwQr006ljwMiM"",
      ""GSC最新!A:R""
    ),
    12,
    FALSE
  ),
  0
)
"),5.326633165829146)</f>
        <v>5.326633166</v>
      </c>
      <c r="Z19" s="65" t="str">
        <f>IFERROR(__xludf.DUMMYFUNCTION("IFERROR(
  VLOOKUP(
    A19,
    IMPORTRANGE(
      ""1ZHMy3vVUd_0MrSduXTe1etBb1HNpAlGwQr006ljwMiM"",
      ""GSC最新!A:R""
    ),
    15,
    FALSE
  ),
  0
)
"),"")</f>
        <v/>
      </c>
      <c r="AA19" s="65" t="str">
        <f>IFERROR(__xludf.DUMMYFUNCTION("IFERROR(
  VLOOKUP(
    A19,
    IMPORTRANGE(
      ""1ZHMy3vVUd_0MrSduXTe1etBb1HNpAlGwQr006ljwMiM"",
      ""GSC最新!A:R""
    ),
    18,
    FALSE
  ),
  0
)
"),"")</f>
        <v/>
      </c>
      <c r="AB19" s="65">
        <f t="shared" ref="AB19:AC19" si="89">X19-Z19</f>
        <v>5.300254453</v>
      </c>
      <c r="AC19" s="65">
        <f t="shared" si="89"/>
        <v>5.326633166</v>
      </c>
      <c r="AD19" s="53">
        <f>IFERROR(__xludf.DUMMYFUNCTION("IFERROR(
  VLOOKUP(
    A19,
    IMPORTRANGE(
      ""1ZHMy3vVUd_0MrSduXTe1etBb1HNpAlGwQr006ljwMiM"",
      ""GSC最新!A:F""
    ),
    6,
    FALSE
  ),
  0
)
"),46081.0)</f>
        <v>46081</v>
      </c>
      <c r="AE19" s="54">
        <f>IFERROR(__xludf.DUMMYFUNCTION("IFERROR(
  VLOOKUP(
    A19,
    IMPORTRANGE(
      ""1SCYQd7_cobOYqT0r_F0IqD4tE4rYn5y8Eup4PJTH8es"",
      ""Snapshot!A:M""
    ),
    5,
    FALSE
  ),
  ""-""
)
"),8.0)</f>
        <v>8</v>
      </c>
      <c r="AF19" s="54">
        <f>IFERROR(__xludf.DUMMYFUNCTION("IFERROR(
  VLOOKUP(
    A19,
    IMPORTRANGE(
      ""1SCYQd7_cobOYqT0r_F0IqD4tE4rYn5y8Eup4PJTH8es"",
      ""Snapshot!A:M""
    ),
    6,
    FALSE
  ),
  0
)
"),2.0)</f>
        <v>2</v>
      </c>
      <c r="AG19" s="54">
        <f>IFERROR(__xludf.DUMMYFUNCTION("IFERROR(
  VLOOKUP(
    A19,
    IMPORTRANGE(
      ""1SCYQd7_cobOYqT0r_F0IqD4tE4rYn5y8Eup4PJTH8es"",
      ""Snapshot!A:M""
    ),
    7,
    FALSE
  ),
  0
)
"),3066.0)</f>
        <v>3066</v>
      </c>
      <c r="AH19" s="54">
        <f>IFERROR(__xludf.DUMMYFUNCTION("IFERROR(
  VLOOKUP(
    A19,
    IMPORTRANGE(
      ""1SCYQd7_cobOYqT0r_F0IqD4tE4rYn5y8Eup4PJTH8es"",
      ""Snapshot!A:M""
    ),
    8,
    FALSE
  ),
  0
)
"),5.0)</f>
        <v>5</v>
      </c>
      <c r="AI19" s="54">
        <f>IFERROR(__xludf.DUMMYFUNCTION("IFERROR(
  VLOOKUP(
    A19,
    IMPORTRANGE(
      ""1SCYQd7_cobOYqT0r_F0IqD4tE4rYn5y8Eup4PJTH8es"",
      ""Snapshot!A:M""
    ),
    9,
    FALSE
  ),
  0
)
"),2.0)</f>
        <v>2</v>
      </c>
      <c r="AJ19" s="54">
        <f>IFERROR(__xludf.DUMMYFUNCTION("IFERROR(
  VLOOKUP(
    A19,
    IMPORTRANGE(
      ""1SCYQd7_cobOYqT0r_F0IqD4tE4rYn5y8Eup4PJTH8es"",
      ""Snapshot!A:M""
    ),
    13,
    FALSE
  ),
  0
)
"),2.0)</f>
        <v>2</v>
      </c>
      <c r="AK19" s="49">
        <f t="shared" ref="AK19:AL19" si="90">LEN(C19)</f>
        <v>23</v>
      </c>
      <c r="AL19" s="49">
        <f t="shared" si="90"/>
        <v>56</v>
      </c>
    </row>
    <row r="20">
      <c r="A20" s="3" t="s">
        <v>837</v>
      </c>
      <c r="B20" s="1" t="str">
        <f>IFERROR(__xludf.DUMMYFUNCTION("IFERROR(
  VLOOKUP(
    A20,
    IMPORTRANGE(
      ""1ZygntHC1J6IxzKbTidmOyf5nUyW4GCLurHCjexrLm_o"",
      ""HTMLキャッシュ!A:F""
    ),
    2,
    FALSE
  ),
  0
)
"),"NW")</f>
        <v>NW</v>
      </c>
      <c r="C20" s="1" t="str">
        <f>IFERROR(__xludf.DUMMYFUNCTION("IFERROR(
  VLOOKUP(
    A20,
    IMPORTRANGE(
      ""1ZygntHC1J6IxzKbTidmOyf5nUyW4GCLurHCjexrLm_o"",
      ""HTMLキャッシュ!A:F""
    ),
    5,
    FALSE
  ),
  0
)
"),"受験理科専門塾「しゅん吉クエスト」開校のお知らせ - 受験社会専門塾「令和」")</f>
        <v>受験理科専門塾「しゅん吉クエスト」開校のお知らせ - 受験社会専門塾「令和」</v>
      </c>
      <c r="D20" s="1" t="str">
        <f>IFERROR(__xludf.DUMMYFUNCTION("IFERROR(
  VLOOKUP(
    A20,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20" s="32">
        <f>IFERROR(__xludf.DUMMYFUNCTION("IFERROR(
  VLOOKUP(
    A20,
    IMPORTRANGE(
      ""1ZygntHC1J6IxzKbTidmOyf5nUyW4GCLurHCjexrLm_o        "",
      ""HTMLキャッシュ!A:F""
    ),
    3,
    FALSE
  ),
  0
)
"),44400.678194444445)</f>
        <v>44400.67819</v>
      </c>
      <c r="F20" s="49">
        <f>IFERROR(__xludf.DUMMYFUNCTION("IFERROR(
  VLOOKUP(
    A20,
    IMPORTRANGE(
      ""1ZHMy3vVUd_0MrSduXTe1etBb1HNpAlGwQr006ljwMiM"",
      ""GSC最新!A:F""
    ),
    2,
    FALSE
  ),
  0
)
"),0.0)</f>
        <v>0</v>
      </c>
      <c r="G20" s="49">
        <f>IFERROR(__xludf.DUMMYFUNCTION("IFERROR(
  VLOOKUP(
    A20,
    IMPORTRANGE(
      ""1ZHMy3vVUd_0MrSduXTe1etBb1HNpAlGwQr006ljwMiM"",
      ""GSC最新!A:F""
    ),
    3,
    FALSE
  ),
  0
)
"),0.0)</f>
        <v>0</v>
      </c>
      <c r="H20" s="49">
        <f>IFERROR(__xludf.DUMMYFUNCTION("IFERROR(
  VLOOKUP(
    A20,
    IMPORTRANGE(
      ""1ZHMy3vVUd_0MrSduXTe1etBb1HNpAlGwQr006ljwMiM"",
      ""GSC最新!A:F""
    ),
    4,
    FALSE
  ),
  0
)
"),0.0)</f>
        <v>0</v>
      </c>
      <c r="I20" s="49">
        <f>IFERROR(__xludf.DUMMYFUNCTION("IFERROR(
  VLOOKUP(
    A20,
    IMPORTRANGE(
      ""1ZHMy3vVUd_0MrSduXTe1etBb1HNpAlGwQr006ljwMiM"",
      ""GSC最新!A:F""
    ),
    5,
    FALSE
  ),
  0
)
"),0.0)</f>
        <v>0</v>
      </c>
      <c r="J20" s="50" t="str">
        <f t="shared" ref="J20:K20" si="91">IFERROR(F20/H20,"-")</f>
        <v>-</v>
      </c>
      <c r="K20" s="50" t="str">
        <f t="shared" si="91"/>
        <v>-</v>
      </c>
      <c r="L20" s="6">
        <f>IFERROR(__xludf.DUMMYFUNCTION("IFERROR(
  VLOOKUP(
    A20,
    IMPORTRANGE(
      ""1ZHMy3vVUd_0MrSduXTe1etBb1HNpAlGwQr006ljwMiM"",
      ""GSC最新!A:R""
    ),
    7,
    FALSE
  ),
  0
)
"),59.0)</f>
        <v>59</v>
      </c>
      <c r="M20" s="6">
        <f>IFERROR(__xludf.DUMMYFUNCTION("IFERROR(
  VLOOKUP(
    A20,
    IMPORTRANGE(
      ""1ZHMy3vVUd_0MrSduXTe1etBb1HNpAlGwQr006ljwMiM"",
      ""GSC最新!A:R""
    ),
    10,
    FALSE
  ),
  0
)
"),102.0)</f>
        <v>102</v>
      </c>
      <c r="N20" s="6">
        <f>IFERROR(__xludf.DUMMYFUNCTION("IFERROR(
  VLOOKUP(
    A20,
    IMPORTRANGE(
      ""1ZHMy3vVUd_0MrSduXTe1etBb1HNpAlGwQr006ljwMiM"",
      ""GSC最新!A:R""
    ),
    13,
    FALSE
  ),
  0
)
"),9.0)</f>
        <v>9</v>
      </c>
      <c r="O20" s="6">
        <f>IFERROR(__xludf.DUMMYFUNCTION("IFERROR(
  VLOOKUP(
    A20,
    IMPORTRANGE(
      ""1ZHMy3vVUd_0MrSduXTe1etBb1HNpAlGwQr006ljwMiM"",
      ""GSC最新!A:R""
    ),
    16,
    FALSE
  ),
  0
)
"),32.0)</f>
        <v>32</v>
      </c>
      <c r="P20" s="51">
        <f t="shared" ref="P20:Q20" si="92">IFERROR(L20/N20,"-")</f>
        <v>6.555555556</v>
      </c>
      <c r="Q20" s="51">
        <f t="shared" si="92"/>
        <v>3.1875</v>
      </c>
      <c r="R20" s="9">
        <f>IFERROR(__xludf.DUMMYFUNCTION("IFERROR(
  VLOOKUP(
    A20,
    IMPORTRANGE(
      ""1ZHMy3vVUd_0MrSduXTe1etBb1HNpAlGwQr006ljwMiM"",
      ""GSC最新!A:R""
    ),
    8,
    FALSE
  ),
  0
)
"),0.0)</f>
        <v>0</v>
      </c>
      <c r="S20" s="9">
        <f>IFERROR(__xludf.DUMMYFUNCTION("IFERROR(
  VLOOKUP(
    A20,
    IMPORTRANGE(
      ""1ZHMy3vVUd_0MrSduXTe1etBb1HNpAlGwQr006ljwMiM"",
      ""GSC最新!A:R""
    ),
    11,
    FALSE
  ),
  0
)
"),0.0)</f>
        <v>0</v>
      </c>
      <c r="T20" s="9">
        <f>IFERROR(__xludf.DUMMYFUNCTION("IFERROR(
  VLOOKUP(
    A20,
    IMPORTRANGE(
      ""1ZHMy3vVUd_0MrSduXTe1etBb1HNpAlGwQr006ljwMiM"",
      ""GSC最新!A:R""
    ),
    14,
    FALSE
  ),
  0
)
"),0.0)</f>
        <v>0</v>
      </c>
      <c r="U20" s="9">
        <f>IFERROR(__xludf.DUMMYFUNCTION("IFERROR(
  VLOOKUP(
    A20,
    IMPORTRANGE(
      ""1ZHMy3vVUd_0MrSduXTe1etBb1HNpAlGwQr006ljwMiM"",
      ""GSC最新!A:R""
    ),
    17,
    FALSE
  ),
  0
)
"),0.0)</f>
        <v>0</v>
      </c>
      <c r="V20" s="9">
        <f t="shared" ref="V20:W20" si="93">IFERROR(R20-T20,"-")</f>
        <v>0</v>
      </c>
      <c r="W20" s="9">
        <f t="shared" si="93"/>
        <v>0</v>
      </c>
      <c r="X20" s="65">
        <f>IFERROR(__xludf.DUMMYFUNCTION("IFERROR(
  VLOOKUP(
    A20,
    IMPORTRANGE(
      ""1ZHMy3vVUd_0MrSduXTe1etBb1HNpAlGwQr006ljwMiM"",
      ""GSC最新!A:R""
    ),
    9,
    FALSE
  ),
  0
)
"),8.47457627118644)</f>
        <v>8.474576271</v>
      </c>
      <c r="Y20" s="65">
        <f>IFERROR(__xludf.DUMMYFUNCTION("IFERROR(
  VLOOKUP(
    A20,
    IMPORTRANGE(
      ""1ZHMy3vVUd_0MrSduXTe1etBb1HNpAlGwQr006ljwMiM"",
      ""GSC最新!A:R""
    ),
    12,
    FALSE
  ),
  0
)
"),8.656862745098039)</f>
        <v>8.656862745</v>
      </c>
      <c r="Z20" s="65">
        <f>IFERROR(__xludf.DUMMYFUNCTION("IFERROR(
  VLOOKUP(
    A20,
    IMPORTRANGE(
      ""1ZHMy3vVUd_0MrSduXTe1etBb1HNpAlGwQr006ljwMiM"",
      ""GSC最新!A:R""
    ),
    15,
    FALSE
  ),
  0
)
"),12.555555555555555)</f>
        <v>12.55555556</v>
      </c>
      <c r="AA20" s="65">
        <f>IFERROR(__xludf.DUMMYFUNCTION("IFERROR(
  VLOOKUP(
    A20,
    IMPORTRANGE(
      ""1ZHMy3vVUd_0MrSduXTe1etBb1HNpAlGwQr006ljwMiM"",
      ""GSC最新!A:R""
    ),
    18,
    FALSE
  ),
  0
)
"),21.40625)</f>
        <v>21.40625</v>
      </c>
      <c r="AB20" s="65">
        <f t="shared" ref="AB20:AC20" si="94">X20-Z20</f>
        <v>-4.080979284</v>
      </c>
      <c r="AC20" s="65">
        <f t="shared" si="94"/>
        <v>-12.74938725</v>
      </c>
      <c r="AD20" s="53">
        <f>IFERROR(__xludf.DUMMYFUNCTION("IFERROR(
  VLOOKUP(
    A20,
    IMPORTRANGE(
      ""1ZHMy3vVUd_0MrSduXTe1etBb1HNpAlGwQr006ljwMiM"",
      ""GSC最新!A:F""
    ),
    6,
    FALSE
  ),
  0
)
"),46081.0)</f>
        <v>46081</v>
      </c>
      <c r="AE20" s="54">
        <f>IFERROR(__xludf.DUMMYFUNCTION("IFERROR(
  VLOOKUP(
    A20,
    IMPORTRANGE(
      ""1SCYQd7_cobOYqT0r_F0IqD4tE4rYn5y8Eup4PJTH8es"",
      ""Snapshot!A:M""
    ),
    5,
    FALSE
  ),
  ""-""
)
"),0.0)</f>
        <v>0</v>
      </c>
      <c r="AF20" s="54">
        <f>IFERROR(__xludf.DUMMYFUNCTION("IFERROR(
  VLOOKUP(
    A20,
    IMPORTRANGE(
      ""1SCYQd7_cobOYqT0r_F0IqD4tE4rYn5y8Eup4PJTH8es"",
      ""Snapshot!A:M""
    ),
    6,
    FALSE
  ),
  0
)
"),0.0)</f>
        <v>0</v>
      </c>
      <c r="AG20" s="54">
        <f>IFERROR(__xludf.DUMMYFUNCTION("IFERROR(
  VLOOKUP(
    A20,
    IMPORTRANGE(
      ""1SCYQd7_cobOYqT0r_F0IqD4tE4rYn5y8Eup4PJTH8es"",
      ""Snapshot!A:M""
    ),
    7,
    FALSE
  ),
  0
)
"),127.0)</f>
        <v>127</v>
      </c>
      <c r="AH20" s="54">
        <f>IFERROR(__xludf.DUMMYFUNCTION("IFERROR(
  VLOOKUP(
    A20,
    IMPORTRANGE(
      ""1SCYQd7_cobOYqT0r_F0IqD4tE4rYn5y8Eup4PJTH8es"",
      ""Snapshot!A:M""
    ),
    8,
    FALSE
  ),
  0
)
"),0.0)</f>
        <v>0</v>
      </c>
      <c r="AI20" s="54">
        <f>IFERROR(__xludf.DUMMYFUNCTION("IFERROR(
  VLOOKUP(
    A20,
    IMPORTRANGE(
      ""1SCYQd7_cobOYqT0r_F0IqD4tE4rYn5y8Eup4PJTH8es"",
      ""Snapshot!A:M""
    ),
    9,
    FALSE
  ),
  0
)
"),0.0)</f>
        <v>0</v>
      </c>
      <c r="AJ20" s="54">
        <f>IFERROR(__xludf.DUMMYFUNCTION("IFERROR(
  VLOOKUP(
    A20,
    IMPORTRANGE(
      ""1SCYQd7_cobOYqT0r_F0IqD4tE4rYn5y8Eup4PJTH8es"",
      ""Snapshot!A:M""
    ),
    13,
    FALSE
  ),
  0
)
"),2.0)</f>
        <v>2</v>
      </c>
      <c r="AK20" s="49">
        <f t="shared" ref="AK20:AL20" si="95">LEN(C20)</f>
        <v>38</v>
      </c>
      <c r="AL20" s="49">
        <f t="shared" si="95"/>
        <v>55</v>
      </c>
    </row>
    <row r="21">
      <c r="A21" s="3" t="s">
        <v>838</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"),"中学受験公民の勉強順｜憲法→政治→選挙で固める｜令和")</f>
        <v>中学受験公民の勉強順｜憲法→政治→選挙で固める｜令和</v>
      </c>
      <c r="D21" s="1" t="str">
        <f>IFERROR(__xludf.DUMMYFUNCTION("IFERROR(
  VLOOKUP(
    A21,
    IMPORTRANGE(
      ""1ZygntHC1J6IxzKbTidmOyf5nUyW4GCLurHCjexrLm_o        "",
      ""HTMLキャッシュ!A:F""
    ),
    6,
    FALSE
  ),
  0
)
"),"公民は暗記量より順番。憲法→政治→選挙→地方→財政→国際を地図化し、口で説明できるかで完成度を判定する。")</f>
        <v>公民は暗記量より順番。憲法→政治→選挙→地方→財政→国際を地図化し、口で説明できるかで完成度を判定する。</v>
      </c>
      <c r="E21" s="32">
        <f>IFERROR(__xludf.DUMMYFUNCTION("IFERROR(
  VLOOKUP(
    A21,
    IMPORTRANGE(
      ""1ZygntHC1J6IxzKbTidmOyf5nUyW4GCLurHCjexrLm_o        "",
      ""HTMLキャッシュ!A:F""
    ),
    3,
    FALSE
  ),
  0
)
"),46079.851643518516)</f>
        <v>46079.85164</v>
      </c>
      <c r="F21" s="49">
        <f>IFERROR(__xludf.DUMMYFUNCTION("IFERROR(
  VLOOKUP(
    A21,
    IMPORTRANGE(
      ""1ZHMy3vVUd_0MrSduXTe1etBb1HNpAlGwQr006ljwMiM"",
      ""GSC最新!A:F""
    ),
    2,
    FALSE
  ),
  0
)
"),0.0)</f>
        <v>0</v>
      </c>
      <c r="G21" s="49">
        <f>IFERROR(__xludf.DUMMYFUNCTION("IFERROR(
  VLOOKUP(
    A21,
    IMPORTRANGE(
      ""1ZHMy3vVUd_0MrSduXTe1etBb1HNpAlGwQr006ljwMiM"",
      ""GSC最新!A:F""
    ),
    3,
    FALSE
  ),
  0
)
"),0.0)</f>
        <v>0</v>
      </c>
      <c r="H21" s="49">
        <f>IFERROR(__xludf.DUMMYFUNCTION("IFERROR(
  VLOOKUP(
    A21,
    IMPORTRANGE(
      ""1ZHMy3vVUd_0MrSduXTe1etBb1HNpAlGwQr006ljwMiM"",
      ""GSC最新!A:F""
    ),
    4,
    FALSE
  ),
  0
)
"),0.0)</f>
        <v>0</v>
      </c>
      <c r="I21" s="49">
        <f>IFERROR(__xludf.DUMMYFUNCTION("IFERROR(
  VLOOKUP(
    A21,
    IMPORTRANGE(
      ""1ZHMy3vVUd_0MrSduXTe1etBb1HNpAlGwQr006ljwMiM"",
      ""GSC最新!A:F""
    ),
    5,
    FALSE
  ),
  0
)
"),0.0)</f>
        <v>0</v>
      </c>
      <c r="J21" s="50" t="str">
        <f t="shared" ref="J21:K21" si="96">IFERROR(F21/H21,"-")</f>
        <v>-</v>
      </c>
      <c r="K21" s="50" t="str">
        <f t="shared" si="96"/>
        <v>-</v>
      </c>
      <c r="L21" s="6">
        <f>IFERROR(__xludf.DUMMYFUNCTION("IFERROR(
  VLOOKUP(
    A21,
    IMPORTRANGE(
      ""1ZHMy3vVUd_0MrSduXTe1etBb1HNpAlGwQr006ljwMiM"",
      ""GSC最新!A:R""
    ),
    7,
    FALSE
  ),
  0
)
"),37.0)</f>
        <v>37</v>
      </c>
      <c r="M21" s="6">
        <f>IFERROR(__xludf.DUMMYFUNCTION("IFERROR(
  VLOOKUP(
    A21,
    IMPORTRANGE(
      ""1ZHMy3vVUd_0MrSduXTe1etBb1HNpAlGwQr006ljwMiM"",
      ""GSC最新!A:R""
    ),
    10,
    FALSE
  ),
  0
)
"),93.0)</f>
        <v>93</v>
      </c>
      <c r="N21" s="6">
        <f>IFERROR(__xludf.DUMMYFUNCTION("IFERROR(
  VLOOKUP(
    A21,
    IMPORTRANGE(
      ""1ZHMy3vVUd_0MrSduXTe1etBb1HNpAlGwQr006ljwMiM"",
      ""GSC最新!A:R""
    ),
    13,
    FALSE
  ),
  0
)
"),5.0)</f>
        <v>5</v>
      </c>
      <c r="O21" s="6">
        <f>IFERROR(__xludf.DUMMYFUNCTION("IFERROR(
  VLOOKUP(
    A21,
    IMPORTRANGE(
      ""1ZHMy3vVUd_0MrSduXTe1etBb1HNpAlGwQr006ljwMiM"",
      ""GSC最新!A:R""
    ),
    16,
    FALSE
  ),
  0
)
"),9.0)</f>
        <v>9</v>
      </c>
      <c r="P21" s="51">
        <f t="shared" ref="P21:Q21" si="97">IFERROR(L21/N21,"-")</f>
        <v>7.4</v>
      </c>
      <c r="Q21" s="51">
        <f t="shared" si="97"/>
        <v>10.33333333</v>
      </c>
      <c r="R21" s="9">
        <f>IFERROR(__xludf.DUMMYFUNCTION("IFERROR(
  VLOOKUP(
    A21,
    IMPORTRANGE(
      ""1ZHMy3vVUd_0MrSduXTe1etBb1HNpAlGwQr006ljwMiM"",
      ""GSC最新!A:R""
    ),
    8,
    FALSE
  ),
  0
)
"),0.0)</f>
        <v>0</v>
      </c>
      <c r="S21" s="9">
        <f>IFERROR(__xludf.DUMMYFUNCTION("IFERROR(
  VLOOKUP(
    A21,
    IMPORTRANGE(
      ""1ZHMy3vVUd_0MrSduXTe1etBb1HNpAlGwQr006ljwMiM"",
      ""GSC最新!A:R""
    ),
    11,
    FALSE
  ),
  0
)
"),0.0)</f>
        <v>0</v>
      </c>
      <c r="T21" s="9">
        <f>IFERROR(__xludf.DUMMYFUNCTION("IFERROR(
  VLOOKUP(
    A21,
    IMPORTRANGE(
      ""1ZHMy3vVUd_0MrSduXTe1etBb1HNpAlGwQr006ljwMiM"",
      ""GSC最新!A:R""
    ),
    14,
    FALSE
  ),
  0
)
"),0.0)</f>
        <v>0</v>
      </c>
      <c r="U21" s="9">
        <f>IFERROR(__xludf.DUMMYFUNCTION("IFERROR(
  VLOOKUP(
    A21,
    IMPORTRANGE(
      ""1ZHMy3vVUd_0MrSduXTe1etBb1HNpAlGwQr006ljwMiM"",
      ""GSC最新!A:R""
    ),
    17,
    FALSE
  ),
  0
)
"),0.0)</f>
        <v>0</v>
      </c>
      <c r="V21" s="9">
        <f t="shared" ref="V21:W21" si="98">IFERROR(R21-T21,"-")</f>
        <v>0</v>
      </c>
      <c r="W21" s="9">
        <f t="shared" si="98"/>
        <v>0</v>
      </c>
      <c r="X21" s="65">
        <f>IFERROR(__xludf.DUMMYFUNCTION("IFERROR(
  VLOOKUP(
    A21,
    IMPORTRANGE(
      ""1ZHMy3vVUd_0MrSduXTe1etBb1HNpAlGwQr006ljwMiM"",
      ""GSC最新!A:R""
    ),
    9,
    FALSE
  ),
  0
)
"),11.18918918918919)</f>
        <v>11.18918919</v>
      </c>
      <c r="Y21" s="65">
        <f>IFERROR(__xludf.DUMMYFUNCTION("IFERROR(
  VLOOKUP(
    A21,
    IMPORTRANGE(
      ""1ZHMy3vVUd_0MrSduXTe1etBb1HNpAlGwQr006ljwMiM"",
      ""GSC最新!A:R""
    ),
    12,
    FALSE
  ),
  0
)
"),10.021505376344086)</f>
        <v>10.02150538</v>
      </c>
      <c r="Z21" s="65">
        <f>IFERROR(__xludf.DUMMYFUNCTION("IFERROR(
  VLOOKUP(
    A21,
    IMPORTRANGE(
      ""1ZHMy3vVUd_0MrSduXTe1etBb1HNpAlGwQr006ljwMiM"",
      ""GSC最新!A:R""
    ),
    15,
    FALSE
  ),
  0
)
"),37.8)</f>
        <v>37.8</v>
      </c>
      <c r="AA21" s="65">
        <f>IFERROR(__xludf.DUMMYFUNCTION("IFERROR(
  VLOOKUP(
    A21,
    IMPORTRANGE(
      ""1ZHMy3vVUd_0MrSduXTe1etBb1HNpAlGwQr006ljwMiM"",
      ""GSC最新!A:R""
    ),
    18,
    FALSE
  ),
  0
)
"),33.22222222222222)</f>
        <v>33.22222222</v>
      </c>
      <c r="AB21" s="65">
        <f t="shared" ref="AB21:AC21" si="99">X21-Z21</f>
        <v>-26.61081081</v>
      </c>
      <c r="AC21" s="65">
        <f t="shared" si="99"/>
        <v>-23.20071685</v>
      </c>
      <c r="AD21" s="53">
        <f>IFERROR(__xludf.DUMMYFUNCTION("IFERROR(
  VLOOKUP(
    A21,
    IMPORTRANGE(
      ""1ZHMy3vVUd_0MrSduXTe1etBb1HNpAlGwQr006ljwMiM"",
      ""GSC最新!A:F""
    ),
    6,
    FALSE
  ),
  0
)
"),46081.0)</f>
        <v>46081</v>
      </c>
      <c r="AE21" s="54">
        <f>IFERROR(__xludf.DUMMYFUNCTION("IFERROR(
  VLOOKUP(
    A21,
    IMPORTRANGE(
      ""1SCYQd7_cobOYqT0r_F0IqD4tE4rYn5y8Eup4PJTH8es"",
      ""Snapshot!A:M""
    ),
    5,
    FALSE
  ),
  ""-""
)
"),15.0)</f>
        <v>15</v>
      </c>
      <c r="AF21" s="54">
        <f>IFERROR(__xludf.DUMMYFUNCTION("IFERROR(
  VLOOKUP(
    A21,
    IMPORTRANGE(
      ""1SCYQd7_cobOYqT0r_F0IqD4tE4rYn5y8Eup4PJTH8es"",
      ""Snapshot!A:M""
    ),
    6,
    FALSE
  ),
  0
)
"),29.0)</f>
        <v>29</v>
      </c>
      <c r="AG21" s="54">
        <f>IFERROR(__xludf.DUMMYFUNCTION("IFERROR(
  VLOOKUP(
    A21,
    IMPORTRANGE(
      ""1SCYQd7_cobOYqT0r_F0IqD4tE4rYn5y8Eup4PJTH8es"",
      ""Snapshot!A:M""
    ),
    7,
    FALSE
  ),
  0
)
"),5733.0)</f>
        <v>5733</v>
      </c>
      <c r="AH21" s="54">
        <f>IFERROR(__xludf.DUMMYFUNCTION("IFERROR(
  VLOOKUP(
    A21,
    IMPORTRANGE(
      ""1SCYQd7_cobOYqT0r_F0IqD4tE4rYn5y8Eup4PJTH8es"",
      ""Snapshot!A:M""
    ),
    8,
    FALSE
  ),
  0
)
"),1.0)</f>
        <v>1</v>
      </c>
      <c r="AI21" s="54">
        <f>IFERROR(__xludf.DUMMYFUNCTION("IFERROR(
  VLOOKUP(
    A21,
    IMPORTRANGE(
      ""1SCYQd7_cobOYqT0r_F0IqD4tE4rYn5y8Eup4PJTH8es"",
      ""Snapshot!A:M""
    ),
    9,
    FALSE
  ),
  0
)
"),2.0)</f>
        <v>2</v>
      </c>
      <c r="AJ21" s="54">
        <f>IFERROR(__xludf.DUMMYFUNCTION("IFERROR(
  VLOOKUP(
    A21,
    IMPORTRANGE(
      ""1SCYQd7_cobOYqT0r_F0IqD4tE4rYn5y8Eup4PJTH8es"",
      ""Snapshot!A:M""
    ),
    13,
    FALSE
  ),
  0
)
"),2.0)</f>
        <v>2</v>
      </c>
      <c r="AK21" s="49">
        <f t="shared" ref="AK21:AL21" si="100">LEN(C21)</f>
        <v>26</v>
      </c>
      <c r="AL21" s="49">
        <f t="shared" si="100"/>
        <v>52</v>
      </c>
    </row>
    <row r="22">
      <c r="A22" s="3" t="s">
        <v>839</v>
      </c>
      <c r="B22" s="1" t="str">
        <f>IFERROR(__xludf.DUMMYFUNCTION("IFERROR(
  VLOOKUP(
    A22,
    IMPORTRANGE(
      ""1ZygntHC1J6IxzKbTidmOyf5nUyW4GCLurHCjexrLm_o"",
      ""HTMLキャッシュ!A:F""
    ),
    2,
    FALSE
  ),
  0
)
"),"ST")</f>
        <v>ST</v>
      </c>
      <c r="C22" s="1" t="str">
        <f>IFERROR(__xludf.DUMMYFUNCTION("IFERROR(
  VLOOKUP(
    A22,
    IMPORTRANGE(
      ""1ZygntHC1J6IxzKbTidmOyf5nUyW4GCLurHCjexrLm_o"",
      ""HTMLキャッシュ!A:F""
    ),
    5,
    FALSE
  ),
  0
)
"),"令和へのアクセス案内 駅・バス・所在地と行き方ガイド")</f>
        <v>令和へのアクセス案内 駅・バス・所在地と行き方ガイド</v>
      </c>
      <c r="D22" s="1" t="str">
        <f>IFERROR(__xludf.DUMMYFUNCTION("IFERROR(
  VLOOKUP(
    A22,
    IMPORTRANGE(
      ""1ZygntHC1J6IxzKbTidmOyf5nUyW4GCLurHCjexrLm_o        "",
      ""HTMLキャッシュ!A:F""
    ),
    6,
    FALSE
  ),
  0
)
"),"受験社会専門塾「令和」へのアクセス情報。四ツ谷駅四ツ谷口より徒歩2分、装美ビル301号室。詳細な道順と地図付きで初めての方も安心です！")</f>
        <v>受験社会専門塾「令和」へのアクセス情報。四ツ谷駅四ツ谷口より徒歩2分、装美ビル301号室。詳細な道順と地図付きで初めての方も安心です！</v>
      </c>
      <c r="E22" s="32">
        <f>IFERROR(__xludf.DUMMYFUNCTION("IFERROR(
  VLOOKUP(
    A22,
    IMPORTRANGE(
      ""1ZygntHC1J6IxzKbTidmOyf5nUyW4GCLurHCjexrLm_o        "",
      ""HTMLキャッシュ!A:F""
    ),
    3,
    FALSE
  ),
  0
)
"),46073.64346064815)</f>
        <v>46073.64346</v>
      </c>
      <c r="F22" s="49">
        <f>IFERROR(__xludf.DUMMYFUNCTION("IFERROR(
  VLOOKUP(
    A22,
    IMPORTRANGE(
      ""1ZHMy3vVUd_0MrSduXTe1etBb1HNpAlGwQr006ljwMiM"",
      ""GSC最新!A:F""
    ),
    2,
    FALSE
  ),
  0
)
"),0.0)</f>
        <v>0</v>
      </c>
      <c r="G22" s="49">
        <f>IFERROR(__xludf.DUMMYFUNCTION("IFERROR(
  VLOOKUP(
    A22,
    IMPORTRANGE(
      ""1ZHMy3vVUd_0MrSduXTe1etBb1HNpAlGwQr006ljwMiM"",
      ""GSC最新!A:F""
    ),
    3,
    FALSE
  ),
  0
)
"),0.0)</f>
        <v>0</v>
      </c>
      <c r="H22" s="49">
        <f>IFERROR(__xludf.DUMMYFUNCTION("IFERROR(
  VLOOKUP(
    A22,
    IMPORTRANGE(
      ""1ZHMy3vVUd_0MrSduXTe1etBb1HNpAlGwQr006ljwMiM"",
      ""GSC最新!A:F""
    ),
    4,
    FALSE
  ),
  0
)
"),0.0)</f>
        <v>0</v>
      </c>
      <c r="I22" s="49">
        <f>IFERROR(__xludf.DUMMYFUNCTION("IFERROR(
  VLOOKUP(
    A22,
    IMPORTRANGE(
      ""1ZHMy3vVUd_0MrSduXTe1etBb1HNpAlGwQr006ljwMiM"",
      ""GSC最新!A:F""
    ),
    5,
    FALSE
  ),
  0
)
"),0.0)</f>
        <v>0</v>
      </c>
      <c r="J22" s="50" t="str">
        <f t="shared" ref="J22:K22" si="101">IFERROR(F22/H22,"-")</f>
        <v>-</v>
      </c>
      <c r="K22" s="50" t="str">
        <f t="shared" si="101"/>
        <v>-</v>
      </c>
      <c r="L22" s="6">
        <f>IFERROR(__xludf.DUMMYFUNCTION("IFERROR(
  VLOOKUP(
    A22,
    IMPORTRANGE(
      ""1ZHMy3vVUd_0MrSduXTe1etBb1HNpAlGwQr006ljwMiM"",
      ""GSC最新!A:R""
    ),
    7,
    FALSE
  ),
  0
)
"),31.0)</f>
        <v>31</v>
      </c>
      <c r="M22" s="6">
        <f>IFERROR(__xludf.DUMMYFUNCTION("IFERROR(
  VLOOKUP(
    A22,
    IMPORTRANGE(
      ""1ZHMy3vVUd_0MrSduXTe1etBb1HNpAlGwQr006ljwMiM"",
      ""GSC最新!A:R""
    ),
    10,
    FALSE
  ),
  0
)
"),81.0)</f>
        <v>81</v>
      </c>
      <c r="N22" s="6">
        <f>IFERROR(__xludf.DUMMYFUNCTION("IFERROR(
  VLOOKUP(
    A22,
    IMPORTRANGE(
      ""1ZHMy3vVUd_0MrSduXTe1etBb1HNpAlGwQr006ljwMiM"",
      ""GSC最新!A:R""
    ),
    13,
    FALSE
  ),
  0
)
"),20.0)</f>
        <v>20</v>
      </c>
      <c r="O22" s="6">
        <f>IFERROR(__xludf.DUMMYFUNCTION("IFERROR(
  VLOOKUP(
    A22,
    IMPORTRANGE(
      ""1ZHMy3vVUd_0MrSduXTe1etBb1HNpAlGwQr006ljwMiM"",
      ""GSC最新!A:R""
    ),
    16,
    FALSE
  ),
  0
)
"),101.0)</f>
        <v>101</v>
      </c>
      <c r="P22" s="51">
        <f t="shared" ref="P22:Q22" si="102">IFERROR(L22/N22,"-")</f>
        <v>1.55</v>
      </c>
      <c r="Q22" s="51">
        <f t="shared" si="102"/>
        <v>0.801980198</v>
      </c>
      <c r="R22" s="9">
        <f>IFERROR(__xludf.DUMMYFUNCTION("IFERROR(
  VLOOKUP(
    A22,
    IMPORTRANGE(
      ""1ZHMy3vVUd_0MrSduXTe1etBb1HNpAlGwQr006ljwMiM"",
      ""GSC最新!A:R""
    ),
    8,
    FALSE
  ),
  0
)
"),0.0)</f>
        <v>0</v>
      </c>
      <c r="S22" s="9">
        <f>IFERROR(__xludf.DUMMYFUNCTION("IFERROR(
  VLOOKUP(
    A22,
    IMPORTRANGE(
      ""1ZHMy3vVUd_0MrSduXTe1etBb1HNpAlGwQr006ljwMiM"",
      ""GSC最新!A:R""
    ),
    11,
    FALSE
  ),
  0
)
"),0.0)</f>
        <v>0</v>
      </c>
      <c r="T22" s="9">
        <f>IFERROR(__xludf.DUMMYFUNCTION("IFERROR(
  VLOOKUP(
    A22,
    IMPORTRANGE(
      ""1ZHMy3vVUd_0MrSduXTe1etBb1HNpAlGwQr006ljwMiM"",
      ""GSC最新!A:R""
    ),
    14,
    FALSE
  ),
  0
)
"),0.0)</f>
        <v>0</v>
      </c>
      <c r="U22" s="9">
        <f>IFERROR(__xludf.DUMMYFUNCTION("IFERROR(
  VLOOKUP(
    A22,
    IMPORTRANGE(
      ""1ZHMy3vVUd_0MrSduXTe1etBb1HNpAlGwQr006ljwMiM"",
      ""GSC最新!A:R""
    ),
    17,
    FALSE
  ),
  0
)
"),0.0)</f>
        <v>0</v>
      </c>
      <c r="V22" s="9">
        <f t="shared" ref="V22:W22" si="103">IFERROR(R22-T22,"-")</f>
        <v>0</v>
      </c>
      <c r="W22" s="9">
        <f t="shared" si="103"/>
        <v>0</v>
      </c>
      <c r="X22" s="65">
        <f>IFERROR(__xludf.DUMMYFUNCTION("IFERROR(
  VLOOKUP(
    A22,
    IMPORTRANGE(
      ""1ZHMy3vVUd_0MrSduXTe1etBb1HNpAlGwQr006ljwMiM"",
      ""GSC最新!A:R""
    ),
    9,
    FALSE
  ),
  0
)
"),9.193548387096774)</f>
        <v>9.193548387</v>
      </c>
      <c r="Y22" s="65">
        <f>IFERROR(__xludf.DUMMYFUNCTION("IFERROR(
  VLOOKUP(
    A22,
    IMPORTRANGE(
      ""1ZHMy3vVUd_0MrSduXTe1etBb1HNpAlGwQr006ljwMiM"",
      ""GSC最新!A:R""
    ),
    12,
    FALSE
  ),
  0
)
"),9.185185185185185)</f>
        <v>9.185185185</v>
      </c>
      <c r="Z22" s="65">
        <f>IFERROR(__xludf.DUMMYFUNCTION("IFERROR(
  VLOOKUP(
    A22,
    IMPORTRANGE(
      ""1ZHMy3vVUd_0MrSduXTe1etBb1HNpAlGwQr006ljwMiM"",
      ""GSC最新!A:R""
    ),
    15,
    FALSE
  ),
  0
)
"),33.35)</f>
        <v>33.35</v>
      </c>
      <c r="AA22" s="65">
        <f>IFERROR(__xludf.DUMMYFUNCTION("IFERROR(
  VLOOKUP(
    A22,
    IMPORTRANGE(
      ""1ZHMy3vVUd_0MrSduXTe1etBb1HNpAlGwQr006ljwMiM"",
      ""GSC最新!A:R""
    ),
    18,
    FALSE
  ),
  0
)
"),69.10891089108911)</f>
        <v>69.10891089</v>
      </c>
      <c r="AB22" s="65">
        <f t="shared" ref="AB22:AC22" si="104">X22-Z22</f>
        <v>-24.15645161</v>
      </c>
      <c r="AC22" s="65">
        <f t="shared" si="104"/>
        <v>-59.92372571</v>
      </c>
      <c r="AD22" s="53">
        <f>IFERROR(__xludf.DUMMYFUNCTION("IFERROR(
  VLOOKUP(
    A22,
    IMPORTRANGE(
      ""1ZHMy3vVUd_0MrSduXTe1etBb1HNpAlGwQr006ljwMiM"",
      ""GSC最新!A:F""
    ),
    6,
    FALSE
  ),
  0
)
"),46081.0)</f>
        <v>46081</v>
      </c>
      <c r="AE22" s="54">
        <f>IFERROR(__xludf.DUMMYFUNCTION("IFERROR(
  VLOOKUP(
    A22,
    IMPORTRANGE(
      ""1SCYQd7_cobOYqT0r_F0IqD4tE4rYn5y8Eup4PJTH8es"",
      ""Snapshot!A:M""
    ),
    5,
    FALSE
  ),
  ""-""
)
"),1.0)</f>
        <v>1</v>
      </c>
      <c r="AF22" s="54">
        <f>IFERROR(__xludf.DUMMYFUNCTION("IFERROR(
  VLOOKUP(
    A22,
    IMPORTRANGE(
      ""1SCYQd7_cobOYqT0r_F0IqD4tE4rYn5y8Eup4PJTH8es"",
      ""Snapshot!A:M""
    ),
    6,
    FALSE
  ),
  0
)
"),4.0)</f>
        <v>4</v>
      </c>
      <c r="AG22" s="54">
        <f>IFERROR(__xludf.DUMMYFUNCTION("IFERROR(
  VLOOKUP(
    A22,
    IMPORTRANGE(
      ""1SCYQd7_cobOYqT0r_F0IqD4tE4rYn5y8Eup4PJTH8es"",
      ""Snapshot!A:M""
    ),
    7,
    FALSE
  ),
  0
)
"),206.0)</f>
        <v>206</v>
      </c>
      <c r="AH22" s="54">
        <f>IFERROR(__xludf.DUMMYFUNCTION("IFERROR(
  VLOOKUP(
    A22,
    IMPORTRANGE(
      ""1SCYQd7_cobOYqT0r_F0IqD4tE4rYn5y8Eup4PJTH8es"",
      ""Snapshot!A:M""
    ),
    8,
    FALSE
  ),
  0
)
"),0.0)</f>
        <v>0</v>
      </c>
      <c r="AI22" s="54">
        <f>IFERROR(__xludf.DUMMYFUNCTION("IFERROR(
  VLOOKUP(
    A22,
    IMPORTRANGE(
      ""1SCYQd7_cobOYqT0r_F0IqD4tE4rYn5y8Eup4PJTH8es"",
      ""Snapshot!A:M""
    ),
    9,
    FALSE
  ),
  0
)
"),1.0)</f>
        <v>1</v>
      </c>
      <c r="AJ22" s="54">
        <f>IFERROR(__xludf.DUMMYFUNCTION("IFERROR(
  VLOOKUP(
    A22,
    IMPORTRANGE(
      ""1SCYQd7_cobOYqT0r_F0IqD4tE4rYn5y8Eup4PJTH8es"",
      ""Snapshot!A:M""
    ),
    13,
    FALSE
  ),
  0
)
"),1.0)</f>
        <v>1</v>
      </c>
      <c r="AK22" s="49">
        <f t="shared" ref="AK22:AL22" si="105">LEN(C22)</f>
        <v>26</v>
      </c>
      <c r="AL22" s="49">
        <f t="shared" si="105"/>
        <v>67</v>
      </c>
    </row>
    <row r="23">
      <c r="A23" s="3" t="s">
        <v>840</v>
      </c>
      <c r="B23" s="1" t="str">
        <f>IFERROR(__xludf.DUMMYFUNCTION("IFERROR(
  VLOOKUP(
    A22,
    IMPORTRANGE(
      ""1ZygntHC1J6IxzKbTidmOyf5nUyW4GCLurHCjexrLm_o"",
      ""HTMLキャッシュ!A:F""
    ),
    2,
    FALSE
  ),
  0
)
"),"ST")</f>
        <v>ST</v>
      </c>
      <c r="C23" s="1" t="str">
        <f>IFERROR(__xludf.DUMMYFUNCTION("IFERROR(
  VLOOKUP(
    A23,
    IMPORTRANGE(
      ""1ZygntHC1J6IxzKbTidmOyf5nUyW4GCLurHCjexrLm_o"",
      ""HTMLキャッシュ!A:F""
    ),
    5,
    FALSE
  ),
  0
)
"),"歴和の授業時間割一覧 定期・受験対策の最適スケジュール")</f>
        <v>歴和の授業時間割一覧 定期・受験対策の最適スケジュール</v>
      </c>
      <c r="D23" s="1" t="str">
        <f>IFERROR(__xludf.DUMMYFUNCTION("IFERROR(
  VLOOKUP(
    A23,
    IMPORTRANGE(
      ""1ZygntHC1J6IxzKbTidmOyf5nUyW4GCLurHCjexrLm_o        "",
      ""HTMLキャッシュ!A:F""
    ),
    6,
    FALSE
  ),
  0
)
"),"時間割 １対１個別指導の空きコマ状況です。(2020/6/15更新) 日 月 火 水 木 金 土 Ａ限 × ×")</f>
        <v>時間割 １対１個別指導の空きコマ状況です。(2020/6/15更新) 日 月 火 水 木 金 土 Ａ限 × ×</v>
      </c>
      <c r="E23" s="32">
        <f>IFERROR(__xludf.DUMMYFUNCTION("IFERROR(
  VLOOKUP(
    A23,
    IMPORTRANGE(
      ""1ZygntHC1J6IxzKbTidmOyf5nUyW4GCLurHCjexrLm_o        "",
      ""HTMLキャッシュ!A:F""
    ),
    3,
    FALSE
  ),
  0
)
"),46073.607511574075)</f>
        <v>46073.60751</v>
      </c>
      <c r="F23" s="49">
        <f>IFERROR(__xludf.DUMMYFUNCTION("IFERROR(
  VLOOKUP(
    A23,
    IMPORTRANGE(
      ""1ZHMy3vVUd_0MrSduXTe1etBb1HNpAlGwQr006ljwMiM"",
      ""GSC最新!A:F""
    ),
    2,
    FALSE
  ),
  0
)
"),0.0)</f>
        <v>0</v>
      </c>
      <c r="G23" s="49">
        <f>IFERROR(__xludf.DUMMYFUNCTION("IFERROR(
  VLOOKUP(
    A23,
    IMPORTRANGE(
      ""1ZHMy3vVUd_0MrSduXTe1etBb1HNpAlGwQr006ljwMiM"",
      ""GSC最新!A:F""
    ),
    3,
    FALSE
  ),
  0
)
"),0.0)</f>
        <v>0</v>
      </c>
      <c r="H23" s="49">
        <f>IFERROR(__xludf.DUMMYFUNCTION("IFERROR(
  VLOOKUP(
    A23,
    IMPORTRANGE(
      ""1ZHMy3vVUd_0MrSduXTe1etBb1HNpAlGwQr006ljwMiM"",
      ""GSC最新!A:F""
    ),
    4,
    FALSE
  ),
  0
)
"),0.0)</f>
        <v>0</v>
      </c>
      <c r="I23" s="49">
        <f>IFERROR(__xludf.DUMMYFUNCTION("IFERROR(
  VLOOKUP(
    A23,
    IMPORTRANGE(
      ""1ZHMy3vVUd_0MrSduXTe1etBb1HNpAlGwQr006ljwMiM"",
      ""GSC最新!A:F""
    ),
    5,
    FALSE
  ),
  0
)
"),0.0)</f>
        <v>0</v>
      </c>
      <c r="J23" s="50" t="str">
        <f t="shared" ref="J23:K23" si="106">IFERROR(F23/H23,"-")</f>
        <v>-</v>
      </c>
      <c r="K23" s="50" t="str">
        <f t="shared" si="106"/>
        <v>-</v>
      </c>
      <c r="L23" s="6">
        <f>IFERROR(__xludf.DUMMYFUNCTION("IFERROR(
  VLOOKUP(
    A23,
    IMPORTRANGE(
      ""1ZHMy3vVUd_0MrSduXTe1etBb1HNpAlGwQr006ljwMiM"",
      ""GSC最新!A:R""
    ),
    7,
    FALSE
  ),
  0
)
"),6.0)</f>
        <v>6</v>
      </c>
      <c r="M23" s="6">
        <f>IFERROR(__xludf.DUMMYFUNCTION("IFERROR(
  VLOOKUP(
    A23,
    IMPORTRANGE(
      ""1ZHMy3vVUd_0MrSduXTe1etBb1HNpAlGwQr006ljwMiM"",
      ""GSC最新!A:R""
    ),
    10,
    FALSE
  ),
  0
)
"),20.0)</f>
        <v>20</v>
      </c>
      <c r="N23" s="6">
        <f>IFERROR(__xludf.DUMMYFUNCTION("IFERROR(
  VLOOKUP(
    A23,
    IMPORTRANGE(
      ""1ZHMy3vVUd_0MrSduXTe1etBb1HNpAlGwQr006ljwMiM"",
      ""GSC最新!A:R""
    ),
    13,
    FALSE
  ),
  0
)
"),0.0)</f>
        <v>0</v>
      </c>
      <c r="O23" s="6">
        <f>IFERROR(__xludf.DUMMYFUNCTION("IFERROR(
  VLOOKUP(
    A23,
    IMPORTRANGE(
      ""1ZHMy3vVUd_0MrSduXTe1etBb1HNpAlGwQr006ljwMiM"",
      ""GSC最新!A:R""
    ),
    16,
    FALSE
  ),
  0
)
"),1.0)</f>
        <v>1</v>
      </c>
      <c r="P23" s="51" t="str">
        <f t="shared" ref="P23:Q23" si="107">IFERROR(L23/N23,"-")</f>
        <v>-</v>
      </c>
      <c r="Q23" s="51">
        <f t="shared" si="107"/>
        <v>20</v>
      </c>
      <c r="R23" s="9">
        <f>IFERROR(__xludf.DUMMYFUNCTION("IFERROR(
  VLOOKUP(
    A23,
    IMPORTRANGE(
      ""1ZHMy3vVUd_0MrSduXTe1etBb1HNpAlGwQr006ljwMiM"",
      ""GSC最新!A:R""
    ),
    8,
    FALSE
  ),
  0
)
"),0.0)</f>
        <v>0</v>
      </c>
      <c r="S23" s="9">
        <f>IFERROR(__xludf.DUMMYFUNCTION("IFERROR(
  VLOOKUP(
    A23,
    IMPORTRANGE(
      ""1ZHMy3vVUd_0MrSduXTe1etBb1HNpAlGwQr006ljwMiM"",
      ""GSC最新!A:R""
    ),
    11,
    FALSE
  ),
  0
)
"),0.0)</f>
        <v>0</v>
      </c>
      <c r="T23" s="9">
        <f>IFERROR(__xludf.DUMMYFUNCTION("IFERROR(
  VLOOKUP(
    A23,
    IMPORTRANGE(
      ""1ZHMy3vVUd_0MrSduXTe1etBb1HNpAlGwQr006ljwMiM"",
      ""GSC最新!A:R""
    ),
    14,
    FALSE
  ),
  0
)
"),0.0)</f>
        <v>0</v>
      </c>
      <c r="U23" s="9">
        <f>IFERROR(__xludf.DUMMYFUNCTION("IFERROR(
  VLOOKUP(
    A23,
    IMPORTRANGE(
      ""1ZHMy3vVUd_0MrSduXTe1etBb1HNpAlGwQr006ljwMiM"",
      ""GSC最新!A:R""
    ),
    17,
    FALSE
  ),
  0
)
"),0.0)</f>
        <v>0</v>
      </c>
      <c r="V23" s="9">
        <f t="shared" ref="V23:W23" si="108">IFERROR(R23-T23,"-")</f>
        <v>0</v>
      </c>
      <c r="W23" s="9">
        <f t="shared" si="108"/>
        <v>0</v>
      </c>
      <c r="X23" s="65">
        <f>IFERROR(__xludf.DUMMYFUNCTION("IFERROR(
  VLOOKUP(
    A23,
    IMPORTRANGE(
      ""1ZHMy3vVUd_0MrSduXTe1etBb1HNpAlGwQr006ljwMiM"",
      ""GSC最新!A:R""
    ),
    9,
    FALSE
  ),
  0
)
"),7.333333333333333)</f>
        <v>7.333333333</v>
      </c>
      <c r="Y23" s="65">
        <f>IFERROR(__xludf.DUMMYFUNCTION("IFERROR(
  VLOOKUP(
    A23,
    IMPORTRANGE(
      ""1ZHMy3vVUd_0MrSduXTe1etBb1HNpAlGwQr006ljwMiM"",
      ""GSC最新!A:R""
    ),
    12,
    FALSE
  ),
  0
)
"),9.4)</f>
        <v>9.4</v>
      </c>
      <c r="Z23" s="65" t="str">
        <f>IFERROR(__xludf.DUMMYFUNCTION("IFERROR(
  VLOOKUP(
    A23,
    IMPORTRANGE(
      ""1ZHMy3vVUd_0MrSduXTe1etBb1HNpAlGwQr006ljwMiM"",
      ""GSC最新!A:R""
    ),
    15,
    FALSE
  ),
  0
)
"),"")</f>
        <v/>
      </c>
      <c r="AA23" s="65">
        <f>IFERROR(__xludf.DUMMYFUNCTION("IFERROR(
  VLOOKUP(
    A23,
    IMPORTRANGE(
      ""1ZHMy3vVUd_0MrSduXTe1etBb1HNpAlGwQr006ljwMiM"",
      ""GSC最新!A:R""
    ),
    18,
    FALSE
  ),
  0
)
"),2.0)</f>
        <v>2</v>
      </c>
      <c r="AB23" s="65">
        <f t="shared" ref="AB23:AC23" si="109">X23-Z23</f>
        <v>7.333333333</v>
      </c>
      <c r="AC23" s="65">
        <f t="shared" si="109"/>
        <v>7.4</v>
      </c>
      <c r="AD23" s="53">
        <f>IFERROR(__xludf.DUMMYFUNCTION("IFERROR(
  VLOOKUP(
    A23,
    IMPORTRANGE(
      ""1ZHMy3vVUd_0MrSduXTe1etBb1HNpAlGwQr006ljwMiM"",
      ""GSC最新!A:F""
    ),
    6,
    FALSE
  ),
  0
)
"),46081.0)</f>
        <v>46081</v>
      </c>
      <c r="AE23" s="54">
        <f>IFERROR(__xludf.DUMMYFUNCTION("IFERROR(
  VLOOKUP(
    A23,
    IMPORTRANGE(
      ""1SCYQd7_cobOYqT0r_F0IqD4tE4rYn5y8Eup4PJTH8es"",
      ""Snapshot!A:M""
    ),
    5,
    FALSE
  ),
  ""-""
)
"),1.0)</f>
        <v>1</v>
      </c>
      <c r="AF23" s="54">
        <f>IFERROR(__xludf.DUMMYFUNCTION("IFERROR(
  VLOOKUP(
    A23,
    IMPORTRANGE(
      ""1SCYQd7_cobOYqT0r_F0IqD4tE4rYn5y8Eup4PJTH8es"",
      ""Snapshot!A:M""
    ),
    6,
    FALSE
  ),
  0
)
"),0.0)</f>
        <v>0</v>
      </c>
      <c r="AG23" s="54">
        <f>IFERROR(__xludf.DUMMYFUNCTION("IFERROR(
  VLOOKUP(
    A23,
    IMPORTRANGE(
      ""1SCYQd7_cobOYqT0r_F0IqD4tE4rYn5y8Eup4PJTH8es"",
      ""Snapshot!A:M""
    ),
    7,
    FALSE
  ),
  0
)
"),288.0)</f>
        <v>288</v>
      </c>
      <c r="AH23" s="54">
        <f>IFERROR(__xludf.DUMMYFUNCTION("IFERROR(
  VLOOKUP(
    A23,
    IMPORTRANGE(
      ""1SCYQd7_cobOYqT0r_F0IqD4tE4rYn5y8Eup4PJTH8es"",
      ""Snapshot!A:M""
    ),
    8,
    FALSE
  ),
  0
)
"),0.0)</f>
        <v>0</v>
      </c>
      <c r="AI23" s="54">
        <f>IFERROR(__xludf.DUMMYFUNCTION("IFERROR(
  VLOOKUP(
    A23,
    IMPORTRANGE(
      ""1SCYQd7_cobOYqT0r_F0IqD4tE4rYn5y8Eup4PJTH8es"",
      ""Snapshot!A:M""
    ),
    9,
    FALSE
  ),
  0
)
"),1.0)</f>
        <v>1</v>
      </c>
      <c r="AJ23" s="54">
        <f>IFERROR(__xludf.DUMMYFUNCTION("IFERROR(
  VLOOKUP(
    A23,
    IMPORTRANGE(
      ""1SCYQd7_cobOYqT0r_F0IqD4tE4rYn5y8Eup4PJTH8es"",
      ""Snapshot!A:M""
    ),
    13,
    FALSE
  ),
  0
)
"),1.0)</f>
        <v>1</v>
      </c>
      <c r="AK23" s="49">
        <f t="shared" ref="AK23:AL23" si="110">LEN(C23)</f>
        <v>27</v>
      </c>
      <c r="AL23" s="49">
        <f t="shared" si="110"/>
        <v>55</v>
      </c>
    </row>
    <row r="24">
      <c r="A24" s="3" t="s">
        <v>841</v>
      </c>
      <c r="B24" s="1" t="str">
        <f>IFERROR(__xludf.DUMMYFUNCTION("IFERROR(
  VLOOKUP(
    A24,
    IMPORTRANGE(
      ""1ZygntHC1J6IxzKbTidmOyf5nUyW4GCLurHCjexrLm_o"",
      ""HTMLキャッシュ!A:F""
    ),
    2,
    FALSE
  ),
  0
)
"),"NW")</f>
        <v>NW</v>
      </c>
      <c r="C24" s="1" t="str">
        <f>IFERROR(__xludf.DUMMYFUNCTION("IFERROR(
  VLOOKUP(
    A24,
    IMPORTRANGE(
      ""1ZygntHC1J6IxzKbTidmOyf5nUyW4GCLurHCjexrLm_o"",
      ""HTMLキャッシュ!A:F""
    ),
    5,
    FALSE
  ),
  0
)
"),"オンライン１対１個別指導サービス「With You（ウィズ・ユー）」開始のお知らせ - 受験社会専門塾「令和」")</f>
        <v>オンライン１対１個別指導サービス「With You（ウィズ・ユー）」開始のお知らせ - 受験社会専門塾「令和」</v>
      </c>
      <c r="D24" s="1" t="str">
        <f>IFERROR(__xludf.DUMMYFUNCTION("IFERROR(
  VLOOKUP(
    A24,
    IMPORTRANGE(
      ""1ZygntHC1J6IxzKbTidmOyf5nUyW4GCLurHCjexrLm_o        "",
      ""HTMLキャッシュ!A:F""
    ),
    6,
    FALSE
  ),
  0
)
"),"当塾では、オンライン１対１個別指導サービス「With You（ウィズ・ユー）」を2020年4月9日より開始致し")</f>
        <v>当塾では、オンライン１対１個別指導サービス「With You（ウィズ・ユー）」を2020年4月9日より開始致し</v>
      </c>
      <c r="E24" s="32">
        <f>IFERROR(__xludf.DUMMYFUNCTION("IFERROR(
  VLOOKUP(
    A24,
    IMPORTRANGE(
      ""1ZygntHC1J6IxzKbTidmOyf5nUyW4GCLurHCjexrLm_o        "",
      ""HTMLキャッシュ!A:F""
    ),
    3,
    FALSE
  ),
  0
)
"),44305.600798611114)</f>
        <v>44305.6008</v>
      </c>
      <c r="F24" s="49">
        <f>IFERROR(__xludf.DUMMYFUNCTION("IFERROR(
  VLOOKUP(
    A24,
    IMPORTRANGE(
      ""1ZHMy3vVUd_0MrSduXTe1etBb1HNpAlGwQr006ljwMiM"",
      ""GSC最新!A:F""
    ),
    2,
    FALSE
  ),
  0
)
"),0.0)</f>
        <v>0</v>
      </c>
      <c r="G24" s="49">
        <f>IFERROR(__xludf.DUMMYFUNCTION("IFERROR(
  VLOOKUP(
    A24,
    IMPORTRANGE(
      ""1ZHMy3vVUd_0MrSduXTe1etBb1HNpAlGwQr006ljwMiM"",
      ""GSC最新!A:F""
    ),
    3,
    FALSE
  ),
  0
)
"),0.0)</f>
        <v>0</v>
      </c>
      <c r="H24" s="49">
        <f>IFERROR(__xludf.DUMMYFUNCTION("IFERROR(
  VLOOKUP(
    A24,
    IMPORTRANGE(
      ""1ZHMy3vVUd_0MrSduXTe1etBb1HNpAlGwQr006ljwMiM"",
      ""GSC最新!A:F""
    ),
    4,
    FALSE
  ),
  0
)
"),0.0)</f>
        <v>0</v>
      </c>
      <c r="I24" s="49">
        <f>IFERROR(__xludf.DUMMYFUNCTION("IFERROR(
  VLOOKUP(
    A24,
    IMPORTRANGE(
      ""1ZHMy3vVUd_0MrSduXTe1etBb1HNpAlGwQr006ljwMiM"",
      ""GSC最新!A:F""
    ),
    5,
    FALSE
  ),
  0
)
"),0.0)</f>
        <v>0</v>
      </c>
      <c r="J24" s="50" t="str">
        <f t="shared" ref="J24:K24" si="111">IFERROR(F24/H24,"-")</f>
        <v>-</v>
      </c>
      <c r="K24" s="50" t="str">
        <f t="shared" si="111"/>
        <v>-</v>
      </c>
      <c r="L24" s="6">
        <f>IFERROR(__xludf.DUMMYFUNCTION("IFERROR(
  VLOOKUP(
    A24,
    IMPORTRANGE(
      ""1ZHMy3vVUd_0MrSduXTe1etBb1HNpAlGwQr006ljwMiM"",
      ""GSC最新!A:R""
    ),
    7,
    FALSE
  ),
  0
)
"),7.0)</f>
        <v>7</v>
      </c>
      <c r="M24" s="6">
        <f>IFERROR(__xludf.DUMMYFUNCTION("IFERROR(
  VLOOKUP(
    A24,
    IMPORTRANGE(
      ""1ZHMy3vVUd_0MrSduXTe1etBb1HNpAlGwQr006ljwMiM"",
      ""GSC最新!A:R""
    ),
    10,
    FALSE
  ),
  0
)
"),17.0)</f>
        <v>17</v>
      </c>
      <c r="N24" s="6">
        <f>IFERROR(__xludf.DUMMYFUNCTION("IFERROR(
  VLOOKUP(
    A24,
    IMPORTRANGE(
      ""1ZHMy3vVUd_0MrSduXTe1etBb1HNpAlGwQr006ljwMiM"",
      ""GSC最新!A:R""
    ),
    13,
    FALSE
  ),
  0
)
"),5.0)</f>
        <v>5</v>
      </c>
      <c r="O24" s="6">
        <f>IFERROR(__xludf.DUMMYFUNCTION("IFERROR(
  VLOOKUP(
    A24,
    IMPORTRANGE(
      ""1ZHMy3vVUd_0MrSduXTe1etBb1HNpAlGwQr006ljwMiM"",
      ""GSC最新!A:R""
    ),
    16,
    FALSE
  ),
  0
)
"),16.0)</f>
        <v>16</v>
      </c>
      <c r="P24" s="51">
        <f t="shared" ref="P24:Q24" si="112">IFERROR(L24/N24,"-")</f>
        <v>1.4</v>
      </c>
      <c r="Q24" s="51">
        <f t="shared" si="112"/>
        <v>1.0625</v>
      </c>
      <c r="R24" s="9">
        <f>IFERROR(__xludf.DUMMYFUNCTION("IFERROR(
  VLOOKUP(
    A24,
    IMPORTRANGE(
      ""1ZHMy3vVUd_0MrSduXTe1etBb1HNpAlGwQr006ljwMiM"",
      ""GSC最新!A:R""
    ),
    8,
    FALSE
  ),
  0
)
"),0.0)</f>
        <v>0</v>
      </c>
      <c r="S24" s="9">
        <f>IFERROR(__xludf.DUMMYFUNCTION("IFERROR(
  VLOOKUP(
    A24,
    IMPORTRANGE(
      ""1ZHMy3vVUd_0MrSduXTe1etBb1HNpAlGwQr006ljwMiM"",
      ""GSC最新!A:R""
    ),
    11,
    FALSE
  ),
  0
)
"),0.0)</f>
        <v>0</v>
      </c>
      <c r="T24" s="9">
        <f>IFERROR(__xludf.DUMMYFUNCTION("IFERROR(
  VLOOKUP(
    A24,
    IMPORTRANGE(
      ""1ZHMy3vVUd_0MrSduXTe1etBb1HNpAlGwQr006ljwMiM"",
      ""GSC最新!A:R""
    ),
    14,
    FALSE
  ),
  0
)
"),0.0)</f>
        <v>0</v>
      </c>
      <c r="U24" s="9">
        <f>IFERROR(__xludf.DUMMYFUNCTION("IFERROR(
  VLOOKUP(
    A24,
    IMPORTRANGE(
      ""1ZHMy3vVUd_0MrSduXTe1etBb1HNpAlGwQr006ljwMiM"",
      ""GSC最新!A:R""
    ),
    17,
    FALSE
  ),
  0
)
"),0.0)</f>
        <v>0</v>
      </c>
      <c r="V24" s="9">
        <f t="shared" ref="V24:W24" si="113">IFERROR(R24-T24,"-")</f>
        <v>0</v>
      </c>
      <c r="W24" s="9">
        <f t="shared" si="113"/>
        <v>0</v>
      </c>
      <c r="X24" s="65">
        <f>IFERROR(__xludf.DUMMYFUNCTION("IFERROR(
  VLOOKUP(
    A24,
    IMPORTRANGE(
      ""1ZHMy3vVUd_0MrSduXTe1etBb1HNpAlGwQr006ljwMiM"",
      ""GSC最新!A:R""
    ),
    9,
    FALSE
  ),
  0
)
"),7.0)</f>
        <v>7</v>
      </c>
      <c r="Y24" s="65">
        <f>IFERROR(__xludf.DUMMYFUNCTION("IFERROR(
  VLOOKUP(
    A24,
    IMPORTRANGE(
      ""1ZHMy3vVUd_0MrSduXTe1etBb1HNpAlGwQr006ljwMiM"",
      ""GSC最新!A:R""
    ),
    12,
    FALSE
  ),
  0
)
"),5.647058823529412)</f>
        <v>5.647058824</v>
      </c>
      <c r="Z24" s="65">
        <f>IFERROR(__xludf.DUMMYFUNCTION("IFERROR(
  VLOOKUP(
    A24,
    IMPORTRANGE(
      ""1ZHMy3vVUd_0MrSduXTe1etBb1HNpAlGwQr006ljwMiM"",
      ""GSC最新!A:R""
    ),
    15,
    FALSE
  ),
  0
)
"),6.0)</f>
        <v>6</v>
      </c>
      <c r="AA24" s="65">
        <f>IFERROR(__xludf.DUMMYFUNCTION("IFERROR(
  VLOOKUP(
    A24,
    IMPORTRANGE(
      ""1ZHMy3vVUd_0MrSduXTe1etBb1HNpAlGwQr006ljwMiM"",
      ""GSC最新!A:R""
    ),
    18,
    FALSE
  ),
  0
)
"),18.0625)</f>
        <v>18.0625</v>
      </c>
      <c r="AB24" s="65">
        <f t="shared" ref="AB24:AC24" si="114">X24-Z24</f>
        <v>1</v>
      </c>
      <c r="AC24" s="65">
        <f t="shared" si="114"/>
        <v>-12.41544118</v>
      </c>
      <c r="AD24" s="53">
        <f>IFERROR(__xludf.DUMMYFUNCTION("IFERROR(
  VLOOKUP(
    A24,
    IMPORTRANGE(
      ""1ZHMy3vVUd_0MrSduXTe1etBb1HNpAlGwQr006ljwMiM"",
      ""GSC最新!A:F""
    ),
    6,
    FALSE
  ),
  0
)
"),46081.0)</f>
        <v>46081</v>
      </c>
      <c r="AE24" s="54">
        <f>IFERROR(__xludf.DUMMYFUNCTION("IFERROR(
  VLOOKUP(
    A24,
    IMPORTRANGE(
      ""1SCYQd7_cobOYqT0r_F0IqD4tE4rYn5y8Eup4PJTH8es"",
      ""Snapshot!A:M""
    ),
    5,
    FALSE
  ),
  ""-""
)
"),0.0)</f>
        <v>0</v>
      </c>
      <c r="AF24" s="54">
        <f>IFERROR(__xludf.DUMMYFUNCTION("IFERROR(
  VLOOKUP(
    A24,
    IMPORTRANGE(
      ""1SCYQd7_cobOYqT0r_F0IqD4tE4rYn5y8Eup4PJTH8es"",
      ""Snapshot!A:M""
    ),
    6,
    FALSE
  ),
  0
)
"),0.0)</f>
        <v>0</v>
      </c>
      <c r="AG24" s="54">
        <f>IFERROR(__xludf.DUMMYFUNCTION("IFERROR(
  VLOOKUP(
    A24,
    IMPORTRANGE(
      ""1SCYQd7_cobOYqT0r_F0IqD4tE4rYn5y8Eup4PJTH8es"",
      ""Snapshot!A:M""
    ),
    7,
    FALSE
  ),
  0
)
"),559.0)</f>
        <v>559</v>
      </c>
      <c r="AH24" s="54">
        <f>IFERROR(__xludf.DUMMYFUNCTION("IFERROR(
  VLOOKUP(
    A24,
    IMPORTRANGE(
      ""1SCYQd7_cobOYqT0r_F0IqD4tE4rYn5y8Eup4PJTH8es"",
      ""Snapshot!A:M""
    ),
    8,
    FALSE
  ),
  0
)
"),0.0)</f>
        <v>0</v>
      </c>
      <c r="AI24" s="54">
        <f>IFERROR(__xludf.DUMMYFUNCTION("IFERROR(
  VLOOKUP(
    A24,
    IMPORTRANGE(
      ""1SCYQd7_cobOYqT0r_F0IqD4tE4rYn5y8Eup4PJTH8es"",
      ""Snapshot!A:M""
    ),
    9,
    FALSE
  ),
  0
)
"),0.0)</f>
        <v>0</v>
      </c>
      <c r="AJ24" s="54">
        <f>IFERROR(__xludf.DUMMYFUNCTION("IFERROR(
  VLOOKUP(
    A24,
    IMPORTRANGE(
      ""1SCYQd7_cobOYqT0r_F0IqD4tE4rYn5y8Eup4PJTH8es"",
      ""Snapshot!A:M""
    ),
    13,
    FALSE
  ),
  0
)
"),2.0)</f>
        <v>2</v>
      </c>
      <c r="AK24" s="49">
        <f t="shared" ref="AK24:AL24" si="115">LEN(C24)</f>
        <v>55</v>
      </c>
      <c r="AL24" s="49">
        <f t="shared" si="115"/>
        <v>55</v>
      </c>
    </row>
    <row r="25">
      <c r="A25" s="3" t="s">
        <v>842</v>
      </c>
      <c r="B25" s="1" t="str">
        <f>IFERROR(__xludf.DUMMYFUNCTION("IFERROR(
  VLOOKUP(
    A25,
    IMPORTRANGE(
      ""1ZygntHC1J6IxzKbTidmOyf5nUyW4GCLurHCjexrLm_o"",
      ""HTMLキャッシュ!A:F""
    ),
    2,
    FALSE
  ),
  0
)
"),"ST")</f>
        <v>ST</v>
      </c>
      <c r="C25" s="1" t="str">
        <f>IFERROR(__xludf.DUMMYFUNCTION("IFERROR(
  VLOOKUP(
    A25,
    IMPORTRANGE(
      ""1ZygntHC1J6IxzKbTidmOyf5nUyW4GCLurHCjexrLm_o"",
      ""HTMLキャッシュ!A:F""
    ),
    5,
    FALSE
  ),
  0
)
"),"受験社会専門塾「令和」へのお問い合わせ｜質問・授業内容等")</f>
        <v>受験社会専門塾「令和」へのお問い合わせ｜質問・授業内容等</v>
      </c>
      <c r="D25" s="1" t="str">
        <f>IFERROR(__xludf.DUMMYFUNCTION("IFERROR(
  VLOOKUP(
    A25,
    IMPORTRANGE(
      ""1ZygntHC1J6IxzKbTidmOyf5nUyW4GCLurHCjexrLm_o        "",
      ""HTMLキャッシュ!A:F""
    ),
    6,
    FALSE
  ),
  0
)
"),"")</f>
        <v/>
      </c>
      <c r="E25" s="32">
        <f>IFERROR(__xludf.DUMMYFUNCTION("IFERROR(
  VLOOKUP(
    A25,
    IMPORTRANGE(
      ""1ZygntHC1J6IxzKbTidmOyf5nUyW4GCLurHCjexrLm_o        "",
      ""HTMLキャッシュ!A:F""
    ),
    3,
    FALSE
  ),
  0
)
"),46073.83982638889)</f>
        <v>46073.83983</v>
      </c>
      <c r="F25" s="49">
        <f>IFERROR(__xludf.DUMMYFUNCTION("IFERROR(
  VLOOKUP(
    A25,
    IMPORTRANGE(
      ""1ZHMy3vVUd_0MrSduXTe1etBb1HNpAlGwQr006ljwMiM"",
      ""GSC最新!A:F""
    ),
    2,
    FALSE
  ),
  0
)
"),0.0)</f>
        <v>0</v>
      </c>
      <c r="G25" s="49">
        <f>IFERROR(__xludf.DUMMYFUNCTION("IFERROR(
  VLOOKUP(
    A25,
    IMPORTRANGE(
      ""1ZHMy3vVUd_0MrSduXTe1etBb1HNpAlGwQr006ljwMiM"",
      ""GSC最新!A:F""
    ),
    3,
    FALSE
  ),
  0
)
"),0.0)</f>
        <v>0</v>
      </c>
      <c r="H25" s="49">
        <f>IFERROR(__xludf.DUMMYFUNCTION("IFERROR(
  VLOOKUP(
    A25,
    IMPORTRANGE(
      ""1ZHMy3vVUd_0MrSduXTe1etBb1HNpAlGwQr006ljwMiM"",
      ""GSC最新!A:F""
    ),
    4,
    FALSE
  ),
  0
)
"),0.0)</f>
        <v>0</v>
      </c>
      <c r="I25" s="49">
        <f>IFERROR(__xludf.DUMMYFUNCTION("IFERROR(
  VLOOKUP(
    A25,
    IMPORTRANGE(
      ""1ZHMy3vVUd_0MrSduXTe1etBb1HNpAlGwQr006ljwMiM"",
      ""GSC最新!A:F""
    ),
    5,
    FALSE
  ),
  0
)
"),0.0)</f>
        <v>0</v>
      </c>
      <c r="J25" s="50" t="str">
        <f t="shared" ref="J25:K25" si="116">IFERROR(F25/H25,"-")</f>
        <v>-</v>
      </c>
      <c r="K25" s="50" t="str">
        <f t="shared" si="116"/>
        <v>-</v>
      </c>
      <c r="L25" s="6">
        <f>IFERROR(__xludf.DUMMYFUNCTION("IFERROR(
  VLOOKUP(
    A25,
    IMPORTRANGE(
      ""1ZHMy3vVUd_0MrSduXTe1etBb1HNpAlGwQr006ljwMiM"",
      ""GSC最新!A:R""
    ),
    7,
    FALSE
  ),
  0
)
"),8.0)</f>
        <v>8</v>
      </c>
      <c r="M25" s="6">
        <f>IFERROR(__xludf.DUMMYFUNCTION("IFERROR(
  VLOOKUP(
    A25,
    IMPORTRANGE(
      ""1ZHMy3vVUd_0MrSduXTe1etBb1HNpAlGwQr006ljwMiM"",
      ""GSC最新!A:R""
    ),
    10,
    FALSE
  ),
  0
)
"),13.0)</f>
        <v>13</v>
      </c>
      <c r="N25" s="6">
        <f>IFERROR(__xludf.DUMMYFUNCTION("IFERROR(
  VLOOKUP(
    A25,
    IMPORTRANGE(
      ""1ZHMy3vVUd_0MrSduXTe1etBb1HNpAlGwQr006ljwMiM"",
      ""GSC最新!A:R""
    ),
    13,
    FALSE
  ),
  0
)
"),0.0)</f>
        <v>0</v>
      </c>
      <c r="O25" s="6">
        <f>IFERROR(__xludf.DUMMYFUNCTION("IFERROR(
  VLOOKUP(
    A25,
    IMPORTRANGE(
      ""1ZHMy3vVUd_0MrSduXTe1etBb1HNpAlGwQr006ljwMiM"",
      ""GSC最新!A:R""
    ),
    16,
    FALSE
  ),
  0
)
"),1.0)</f>
        <v>1</v>
      </c>
      <c r="P25" s="51" t="str">
        <f t="shared" ref="P25:Q25" si="117">IFERROR(L25/N25,"-")</f>
        <v>-</v>
      </c>
      <c r="Q25" s="51">
        <f t="shared" si="117"/>
        <v>13</v>
      </c>
      <c r="R25" s="9">
        <f>IFERROR(__xludf.DUMMYFUNCTION("IFERROR(
  VLOOKUP(
    A25,
    IMPORTRANGE(
      ""1ZHMy3vVUd_0MrSduXTe1etBb1HNpAlGwQr006ljwMiM"",
      ""GSC最新!A:R""
    ),
    8,
    FALSE
  ),
  0
)
"),0.0)</f>
        <v>0</v>
      </c>
      <c r="S25" s="9">
        <f>IFERROR(__xludf.DUMMYFUNCTION("IFERROR(
  VLOOKUP(
    A25,
    IMPORTRANGE(
      ""1ZHMy3vVUd_0MrSduXTe1etBb1HNpAlGwQr006ljwMiM"",
      ""GSC最新!A:R""
    ),
    11,
    FALSE
  ),
  0
)
"),0.0)</f>
        <v>0</v>
      </c>
      <c r="T25" s="9">
        <f>IFERROR(__xludf.DUMMYFUNCTION("IFERROR(
  VLOOKUP(
    A25,
    IMPORTRANGE(
      ""1ZHMy3vVUd_0MrSduXTe1etBb1HNpAlGwQr006ljwMiM"",
      ""GSC最新!A:R""
    ),
    14,
    FALSE
  ),
  0
)
"),0.0)</f>
        <v>0</v>
      </c>
      <c r="U25" s="9">
        <f>IFERROR(__xludf.DUMMYFUNCTION("IFERROR(
  VLOOKUP(
    A25,
    IMPORTRANGE(
      ""1ZHMy3vVUd_0MrSduXTe1etBb1HNpAlGwQr006ljwMiM"",
      ""GSC最新!A:R""
    ),
    17,
    FALSE
  ),
  0
)
"),0.0)</f>
        <v>0</v>
      </c>
      <c r="V25" s="9">
        <f t="shared" ref="V25:W25" si="118">IFERROR(R25-T25,"-")</f>
        <v>0</v>
      </c>
      <c r="W25" s="9">
        <f t="shared" si="118"/>
        <v>0</v>
      </c>
      <c r="X25" s="65">
        <f>IFERROR(__xludf.DUMMYFUNCTION("IFERROR(
  VLOOKUP(
    A25,
    IMPORTRANGE(
      ""1ZHMy3vVUd_0MrSduXTe1etBb1HNpAlGwQr006ljwMiM"",
      ""GSC最新!A:R""
    ),
    9,
    FALSE
  ),
  0
)
"),4.375)</f>
        <v>4.375</v>
      </c>
      <c r="Y25" s="65">
        <f>IFERROR(__xludf.DUMMYFUNCTION("IFERROR(
  VLOOKUP(
    A25,
    IMPORTRANGE(
      ""1ZHMy3vVUd_0MrSduXTe1etBb1HNpAlGwQr006ljwMiM"",
      ""GSC最新!A:R""
    ),
    12,
    FALSE
  ),
  0
)
"),5.384615384615385)</f>
        <v>5.384615385</v>
      </c>
      <c r="Z25" s="65" t="str">
        <f>IFERROR(__xludf.DUMMYFUNCTION("IFERROR(
  VLOOKUP(
    A25,
    IMPORTRANGE(
      ""1ZHMy3vVUd_0MrSduXTe1etBb1HNpAlGwQr006ljwMiM"",
      ""GSC最新!A:R""
    ),
    15,
    FALSE
  ),
  0
)
"),"")</f>
        <v/>
      </c>
      <c r="AA25" s="65">
        <f>IFERROR(__xludf.DUMMYFUNCTION("IFERROR(
  VLOOKUP(
    A25,
    IMPORTRANGE(
      ""1ZHMy3vVUd_0MrSduXTe1etBb1HNpAlGwQr006ljwMiM"",
      ""GSC最新!A:R""
    ),
    18,
    FALSE
  ),
  0
)
"),9.0)</f>
        <v>9</v>
      </c>
      <c r="AB25" s="65">
        <f t="shared" ref="AB25:AC25" si="119">X25-Z25</f>
        <v>4.375</v>
      </c>
      <c r="AC25" s="65">
        <f t="shared" si="119"/>
        <v>-3.615384615</v>
      </c>
      <c r="AD25" s="53">
        <f>IFERROR(__xludf.DUMMYFUNCTION("IFERROR(
  VLOOKUP(
    A25,
    IMPORTRANGE(
      ""1ZHMy3vVUd_0MrSduXTe1etBb1HNpAlGwQr006ljwMiM"",
      ""GSC最新!A:F""
    ),
    6,
    FALSE
  ),
  0
)
"),46081.0)</f>
        <v>46081</v>
      </c>
      <c r="AE25" s="54">
        <f>IFERROR(__xludf.DUMMYFUNCTION("IFERROR(
  VLOOKUP(
    A25,
    IMPORTRANGE(
      ""1SCYQd7_cobOYqT0r_F0IqD4tE4rYn5y8Eup4PJTH8es"",
      ""Snapshot!A:M""
    ),
    5,
    FALSE
  ),
  ""-""
)
"),0.0)</f>
        <v>0</v>
      </c>
      <c r="AF25" s="54">
        <f>IFERROR(__xludf.DUMMYFUNCTION("IFERROR(
  VLOOKUP(
    A25,
    IMPORTRANGE(
      ""1SCYQd7_cobOYqT0r_F0IqD4tE4rYn5y8Eup4PJTH8es"",
      ""Snapshot!A:M""
    ),
    6,
    FALSE
  ),
  0
)
"),0.0)</f>
        <v>0</v>
      </c>
      <c r="AG25" s="54">
        <f>IFERROR(__xludf.DUMMYFUNCTION("IFERROR(
  VLOOKUP(
    A25,
    IMPORTRANGE(
      ""1SCYQd7_cobOYqT0r_F0IqD4tE4rYn5y8Eup4PJTH8es"",
      ""Snapshot!A:M""
    ),
    7,
    FALSE
  ),
  0
)
"),95.0)</f>
        <v>95</v>
      </c>
      <c r="AH25" s="54">
        <f>IFERROR(__xludf.DUMMYFUNCTION("IFERROR(
  VLOOKUP(
    A25,
    IMPORTRANGE(
      ""1SCYQd7_cobOYqT0r_F0IqD4tE4rYn5y8Eup4PJTH8es"",
      ""Snapshot!A:M""
    ),
    8,
    FALSE
  ),
  0
)
"),0.0)</f>
        <v>0</v>
      </c>
      <c r="AI25" s="54">
        <f>IFERROR(__xludf.DUMMYFUNCTION("IFERROR(
  VLOOKUP(
    A25,
    IMPORTRANGE(
      ""1SCYQd7_cobOYqT0r_F0IqD4tE4rYn5y8Eup4PJTH8es"",
      ""Snapshot!A:M""
    ),
    9,
    FALSE
  ),
  0
)
"),1.0)</f>
        <v>1</v>
      </c>
      <c r="AJ25" s="54">
        <f>IFERROR(__xludf.DUMMYFUNCTION("IFERROR(
  VLOOKUP(
    A25,
    IMPORTRANGE(
      ""1SCYQd7_cobOYqT0r_F0IqD4tE4rYn5y8Eup4PJTH8es"",
      ""Snapshot!A:M""
    ),
    13,
    FALSE
  ),
  0
)
"),1.0)</f>
        <v>1</v>
      </c>
      <c r="AK25" s="49">
        <f t="shared" ref="AK25:AL25" si="120">LEN(C25)</f>
        <v>28</v>
      </c>
      <c r="AL25" s="49">
        <f t="shared" si="120"/>
        <v>0</v>
      </c>
    </row>
    <row r="26">
      <c r="A26" s="3" t="s">
        <v>208</v>
      </c>
      <c r="B26" s="1" t="str">
        <f>IFERROR(__xludf.DUMMYFUNCTION("IFERROR(
  VLOOKUP(
    A26,
    IMPORTRANGE(
      ""1ZygntHC1J6IxzKbTidmOyf5nUyW4GCLurHCjexrLm_o"",
      ""HTMLキャッシュ!A:F""
    ),
    2,
    FALSE
  ),
  0
)
"),"-")</f>
        <v>-</v>
      </c>
      <c r="C26" s="1" t="str">
        <f>IFERROR(__xludf.DUMMYFUNCTION("IFERROR(
  VLOOKUP(
    A26,
    IMPORTRANGE(
      ""1ZygntHC1J6IxzKbTidmOyf5nUyW4GCLurHCjexrLm_o"",
      ""HTMLキャッシュ!A:F""
    ),
    5,
    FALSE
  ),
  0
)
"),"お知らせ - 受験社会専門塾「令和」")</f>
        <v>お知らせ - 受験社会専門塾「令和」</v>
      </c>
      <c r="D26" s="1" t="str">
        <f>IFERROR(__xludf.DUMMYFUNCTION("IFERROR(
  VLOOKUP(
    A26,
    IMPORTRANGE(
      ""1ZygntHC1J6IxzKbTidmOyf5nUyW4GCLurHCjexrLm_o        "",
      ""HTMLキャッシュ!A:F""
    ),
    6,
    FALSE
  ),
  0
)
"),"[1ページ目] お知らせ の記事 受験社会専門塾「令和」 「完全１対１の社会個別指導」を中心に行っている受験社会専門塾「令和」のホームページです。")</f>
        <v>[1ページ目] お知らせ の記事 受験社会専門塾「令和」 「完全１対１の社会個別指導」を中心に行っている受験社会専門塾「令和」のホームページです。</v>
      </c>
      <c r="E26" s="32">
        <f>IFERROR(__xludf.DUMMYFUNCTION("IFERROR(
  VLOOKUP(
    A26,
    IMPORTRANGE(
      ""1ZygntHC1J6IxzKbTidmOyf5nUyW4GCLurHCjexrLm_o        "",
      ""HTMLキャッシュ!A:F""
    ),
    3,
    FALSE
  ),
  0
)
"),46015.759988425925)</f>
        <v>46015.75999</v>
      </c>
      <c r="F26" s="49">
        <f>IFERROR(__xludf.DUMMYFUNCTION("IFERROR(
  VLOOKUP(
    A26,
    IMPORTRANGE(
      ""1ZHMy3vVUd_0MrSduXTe1etBb1HNpAlGwQr006ljwMiM"",
      ""GSC最新!A:F""
    ),
    2,
    FALSE
  ),
  0
)
"),0.0)</f>
        <v>0</v>
      </c>
      <c r="G26" s="49">
        <f>IFERROR(__xludf.DUMMYFUNCTION("IFERROR(
  VLOOKUP(
    A26,
    IMPORTRANGE(
      ""1ZHMy3vVUd_0MrSduXTe1etBb1HNpAlGwQr006ljwMiM"",
      ""GSC最新!A:F""
    ),
    3,
    FALSE
  ),
  0
)
"),0.0)</f>
        <v>0</v>
      </c>
      <c r="H26" s="49">
        <f>IFERROR(__xludf.DUMMYFUNCTION("IFERROR(
  VLOOKUP(
    A26,
    IMPORTRANGE(
      ""1ZHMy3vVUd_0MrSduXTe1etBb1HNpAlGwQr006ljwMiM"",
      ""GSC最新!A:F""
    ),
    4,
    FALSE
  ),
  0
)
"),0.0)</f>
        <v>0</v>
      </c>
      <c r="I26" s="49">
        <f>IFERROR(__xludf.DUMMYFUNCTION("IFERROR(
  VLOOKUP(
    A26,
    IMPORTRANGE(
      ""1ZHMy3vVUd_0MrSduXTe1etBb1HNpAlGwQr006ljwMiM"",
      ""GSC最新!A:F""
    ),
    5,
    FALSE
  ),
  0
)
"),0.0)</f>
        <v>0</v>
      </c>
      <c r="J26" s="50" t="str">
        <f t="shared" ref="J26:K26" si="121">IFERROR(F26/H26,"-")</f>
        <v>-</v>
      </c>
      <c r="K26" s="50" t="str">
        <f t="shared" si="121"/>
        <v>-</v>
      </c>
      <c r="L26" s="6">
        <f>IFERROR(__xludf.DUMMYFUNCTION("IFERROR(
  VLOOKUP(
    A26,
    IMPORTRANGE(
      ""1ZHMy3vVUd_0MrSduXTe1etBb1HNpAlGwQr006ljwMiM"",
      ""GSC最新!A:R""
    ),
    7,
    FALSE
  ),
  0
)
"),3.0)</f>
        <v>3</v>
      </c>
      <c r="M26" s="6">
        <f>IFERROR(__xludf.DUMMYFUNCTION("IFERROR(
  VLOOKUP(
    A26,
    IMPORTRANGE(
      ""1ZHMy3vVUd_0MrSduXTe1etBb1HNpAlGwQr006ljwMiM"",
      ""GSC最新!A:R""
    ),
    10,
    FALSE
  ),
  0
)
"),9.0)</f>
        <v>9</v>
      </c>
      <c r="N26" s="6">
        <f>IFERROR(__xludf.DUMMYFUNCTION("IFERROR(
  VLOOKUP(
    A26,
    IMPORTRANGE(
      ""1ZHMy3vVUd_0MrSduXTe1etBb1HNpAlGwQr006ljwMiM"",
      ""GSC最新!A:R""
    ),
    13,
    FALSE
  ),
  0
)
"),0.0)</f>
        <v>0</v>
      </c>
      <c r="O26" s="6">
        <f>IFERROR(__xludf.DUMMYFUNCTION("IFERROR(
  VLOOKUP(
    A26,
    IMPORTRANGE(
      ""1ZHMy3vVUd_0MrSduXTe1etBb1HNpAlGwQr006ljwMiM"",
      ""GSC最新!A:R""
    ),
    16,
    FALSE
  ),
  0
)
"),1.0)</f>
        <v>1</v>
      </c>
      <c r="P26" s="51" t="str">
        <f t="shared" ref="P26:Q26" si="122">IFERROR(L26/N26,"-")</f>
        <v>-</v>
      </c>
      <c r="Q26" s="51">
        <f t="shared" si="122"/>
        <v>9</v>
      </c>
      <c r="R26" s="9">
        <f>IFERROR(__xludf.DUMMYFUNCTION("IFERROR(
  VLOOKUP(
    A26,
    IMPORTRANGE(
      ""1ZHMy3vVUd_0MrSduXTe1etBb1HNpAlGwQr006ljwMiM"",
      ""GSC最新!A:R""
    ),
    8,
    FALSE
  ),
  0
)
"),0.0)</f>
        <v>0</v>
      </c>
      <c r="S26" s="9">
        <f>IFERROR(__xludf.DUMMYFUNCTION("IFERROR(
  VLOOKUP(
    A26,
    IMPORTRANGE(
      ""1ZHMy3vVUd_0MrSduXTe1etBb1HNpAlGwQr006ljwMiM"",
      ""GSC最新!A:R""
    ),
    11,
    FALSE
  ),
  0
)
"),0.0)</f>
        <v>0</v>
      </c>
      <c r="T26" s="9">
        <f>IFERROR(__xludf.DUMMYFUNCTION("IFERROR(
  VLOOKUP(
    A26,
    IMPORTRANGE(
      ""1ZHMy3vVUd_0MrSduXTe1etBb1HNpAlGwQr006ljwMiM"",
      ""GSC最新!A:R""
    ),
    14,
    FALSE
  ),
  0
)
"),0.0)</f>
        <v>0</v>
      </c>
      <c r="U26" s="9">
        <f>IFERROR(__xludf.DUMMYFUNCTION("IFERROR(
  VLOOKUP(
    A26,
    IMPORTRANGE(
      ""1ZHMy3vVUd_0MrSduXTe1etBb1HNpAlGwQr006ljwMiM"",
      ""GSC最新!A:R""
    ),
    17,
    FALSE
  ),
  0
)
"),0.0)</f>
        <v>0</v>
      </c>
      <c r="V26" s="9">
        <f t="shared" ref="V26:W26" si="123">IFERROR(R26-T26,"-")</f>
        <v>0</v>
      </c>
      <c r="W26" s="9">
        <f t="shared" si="123"/>
        <v>0</v>
      </c>
      <c r="X26" s="65">
        <f>IFERROR(__xludf.DUMMYFUNCTION("IFERROR(
  VLOOKUP(
    A26,
    IMPORTRANGE(
      ""1ZHMy3vVUd_0MrSduXTe1etBb1HNpAlGwQr006ljwMiM"",
      ""GSC最新!A:R""
    ),
    9,
    FALSE
  ),
  0
)
"),6.333333333333333)</f>
        <v>6.333333333</v>
      </c>
      <c r="Y26" s="65">
        <f>IFERROR(__xludf.DUMMYFUNCTION("IFERROR(
  VLOOKUP(
    A26,
    IMPORTRANGE(
      ""1ZHMy3vVUd_0MrSduXTe1etBb1HNpAlGwQr006ljwMiM"",
      ""GSC最新!A:R""
    ),
    12,
    FALSE
  ),
  0
)
"),6.111111111111111)</f>
        <v>6.111111111</v>
      </c>
      <c r="Z26" s="65" t="str">
        <f>IFERROR(__xludf.DUMMYFUNCTION("IFERROR(
  VLOOKUP(
    A26,
    IMPORTRANGE(
      ""1ZHMy3vVUd_0MrSduXTe1etBb1HNpAlGwQr006ljwMiM"",
      ""GSC最新!A:R""
    ),
    15,
    FALSE
  ),
  0
)
"),"")</f>
        <v/>
      </c>
      <c r="AA26" s="65">
        <f>IFERROR(__xludf.DUMMYFUNCTION("IFERROR(
  VLOOKUP(
    A26,
    IMPORTRANGE(
      ""1ZHMy3vVUd_0MrSduXTe1etBb1HNpAlGwQr006ljwMiM"",
      ""GSC最新!A:R""
    ),
    18,
    FALSE
  ),
  0
)
"),7.0)</f>
        <v>7</v>
      </c>
      <c r="AB26" s="65">
        <f t="shared" ref="AB26:AC26" si="124">X26-Z26</f>
        <v>6.333333333</v>
      </c>
      <c r="AC26" s="65">
        <f t="shared" si="124"/>
        <v>-0.8888888889</v>
      </c>
      <c r="AD26" s="53">
        <f>IFERROR(__xludf.DUMMYFUNCTION("IFERROR(
  VLOOKUP(
    A26,
    IMPORTRANGE(
      ""1ZHMy3vVUd_0MrSduXTe1etBb1HNpAlGwQr006ljwMiM"",
      ""GSC最新!A:F""
    ),
    6,
    FALSE
  ),
  0
)
"),46081.0)</f>
        <v>46081</v>
      </c>
      <c r="AE26" s="54">
        <f>IFERROR(__xludf.DUMMYFUNCTION("IFERROR(
  VLOOKUP(
    A26,
    IMPORTRANGE(
      ""1SCYQd7_cobOYqT0r_F0IqD4tE4rYn5y8Eup4PJTH8es"",
      ""Snapshot!A:M""
    ),
    5,
    FALSE
  ),
  ""-""
)
"),0.0)</f>
        <v>0</v>
      </c>
      <c r="AF26" s="54">
        <f>IFERROR(__xludf.DUMMYFUNCTION("IFERROR(
  VLOOKUP(
    A26,
    IMPORTRANGE(
      ""1SCYQd7_cobOYqT0r_F0IqD4tE4rYn5y8Eup4PJTH8es"",
      ""Snapshot!A:M""
    ),
    6,
    FALSE
  ),
  0
)
"),0.0)</f>
        <v>0</v>
      </c>
      <c r="AG26" s="54">
        <f>IFERROR(__xludf.DUMMYFUNCTION("IFERROR(
  VLOOKUP(
    A26,
    IMPORTRANGE(
      ""1SCYQd7_cobOYqT0r_F0IqD4tE4rYn5y8Eup4PJTH8es"",
      ""Snapshot!A:M""
    ),
    7,
    FALSE
  ),
  0
)
"),0.0)</f>
        <v>0</v>
      </c>
      <c r="AH26" s="54">
        <f>IFERROR(__xludf.DUMMYFUNCTION("IFERROR(
  VLOOKUP(
    A26,
    IMPORTRANGE(
      ""1SCYQd7_cobOYqT0r_F0IqD4tE4rYn5y8Eup4PJTH8es"",
      ""Snapshot!A:M""
    ),
    8,
    FALSE
  ),
  0
)
"),0.0)</f>
        <v>0</v>
      </c>
      <c r="AI26" s="54">
        <f>IFERROR(__xludf.DUMMYFUNCTION("IFERROR(
  VLOOKUP(
    A26,
    IMPORTRANGE(
      ""1SCYQd7_cobOYqT0r_F0IqD4tE4rYn5y8Eup4PJTH8es"",
      ""Snapshot!A:M""
    ),
    9,
    FALSE
  ),
  0
)
"),0.0)</f>
        <v>0</v>
      </c>
      <c r="AJ26" s="54">
        <f>IFERROR(__xludf.DUMMYFUNCTION("IFERROR(
  VLOOKUP(
    A26,
    IMPORTRANGE(
      ""1SCYQd7_cobOYqT0r_F0IqD4tE4rYn5y8Eup4PJTH8es"",
      ""Snapshot!A:M""
    ),
    13,
    FALSE
  ),
  0
)
"),1.0)</f>
        <v>1</v>
      </c>
      <c r="AK26" s="49">
        <f t="shared" ref="AK26:AL26" si="125">LEN(C26)</f>
        <v>18</v>
      </c>
      <c r="AL26" s="49">
        <f t="shared" si="125"/>
        <v>73</v>
      </c>
    </row>
    <row r="27">
      <c r="A27" s="3" t="s">
        <v>843</v>
      </c>
      <c r="B27" s="1" t="str">
        <f>IFERROR(__xludf.DUMMYFUNCTION("IFERROR(
  VLOOKUP(
    A27,
    IMPORTRANGE(
      ""1ZygntHC1J6IxzKbTidmOyf5nUyW4GCLurHCjexrLm_o"",
      ""HTMLキャッシュ!A:F""
    ),
    2,
    FALSE
  ),
  0
)
"),"NW")</f>
        <v>NW</v>
      </c>
      <c r="C27" s="1" t="str">
        <f>IFERROR(__xludf.DUMMYFUNCTION("IFERROR(
  VLOOKUP(
    A27,
    IMPORTRANGE(
      ""1ZygntHC1J6IxzKbTidmOyf5nUyW4GCLurHCjexrLm_o"",
      ""HTMLキャッシュ!A:F""
    ),
    5,
    FALSE
  ),
  0
)
"),"「基礎力Stadium 国語のトリガー」開校のお知らせ - 受験社会専門塾「令和」")</f>
        <v>「基礎力Stadium 国語のトリガー」開校のお知らせ - 受験社会専門塾「令和」</v>
      </c>
      <c r="D27" s="1" t="str">
        <f>IFERROR(__xludf.DUMMYFUNCTION("IFERROR(
  VLOOKUP(
    A27,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27" s="32">
        <f>IFERROR(__xludf.DUMMYFUNCTION("IFERROR(
  VLOOKUP(
    A27,
    IMPORTRANGE(
      ""1ZygntHC1J6IxzKbTidmOyf5nUyW4GCLurHCjexrLm_o        "",
      ""HTMLキャッシュ!A:F""
    ),
    3,
    FALSE
  ),
  0
)
"),44292.464641203704)</f>
        <v>44292.46464</v>
      </c>
      <c r="F27" s="49">
        <f>IFERROR(__xludf.DUMMYFUNCTION("IFERROR(
  VLOOKUP(
    A27,
    IMPORTRANGE(
      ""1ZHMy3vVUd_0MrSduXTe1etBb1HNpAlGwQr006ljwMiM"",
      ""GSC最新!A:F""
    ),
    2,
    FALSE
  ),
  0
)
"),0.0)</f>
        <v>0</v>
      </c>
      <c r="G27" s="49">
        <f>IFERROR(__xludf.DUMMYFUNCTION("IFERROR(
  VLOOKUP(
    A27,
    IMPORTRANGE(
      ""1ZHMy3vVUd_0MrSduXTe1etBb1HNpAlGwQr006ljwMiM"",
      ""GSC最新!A:F""
    ),
    3,
    FALSE
  ),
  0
)
"),0.0)</f>
        <v>0</v>
      </c>
      <c r="H27" s="49">
        <f>IFERROR(__xludf.DUMMYFUNCTION("IFERROR(
  VLOOKUP(
    A27,
    IMPORTRANGE(
      ""1ZHMy3vVUd_0MrSduXTe1etBb1HNpAlGwQr006ljwMiM"",
      ""GSC最新!A:F""
    ),
    4,
    FALSE
  ),
  0
)
"),0.0)</f>
        <v>0</v>
      </c>
      <c r="I27" s="49">
        <f>IFERROR(__xludf.DUMMYFUNCTION("IFERROR(
  VLOOKUP(
    A27,
    IMPORTRANGE(
      ""1ZHMy3vVUd_0MrSduXTe1etBb1HNpAlGwQr006ljwMiM"",
      ""GSC最新!A:F""
    ),
    5,
    FALSE
  ),
  0
)
"),0.0)</f>
        <v>0</v>
      </c>
      <c r="J27" s="50" t="str">
        <f t="shared" ref="J27:K27" si="126">IFERROR(F27/H27,"-")</f>
        <v>-</v>
      </c>
      <c r="K27" s="50" t="str">
        <f t="shared" si="126"/>
        <v>-</v>
      </c>
      <c r="L27" s="6">
        <f>IFERROR(__xludf.DUMMYFUNCTION("IFERROR(
  VLOOKUP(
    A27,
    IMPORTRANGE(
      ""1ZHMy3vVUd_0MrSduXTe1etBb1HNpAlGwQr006ljwMiM"",
      ""GSC最新!A:R""
    ),
    7,
    FALSE
  ),
  0
)
"),1.0)</f>
        <v>1</v>
      </c>
      <c r="M27" s="6">
        <f>IFERROR(__xludf.DUMMYFUNCTION("IFERROR(
  VLOOKUP(
    A27,
    IMPORTRANGE(
      ""1ZHMy3vVUd_0MrSduXTe1etBb1HNpAlGwQr006ljwMiM"",
      ""GSC最新!A:R""
    ),
    10,
    FALSE
  ),
  0
)
"),8.0)</f>
        <v>8</v>
      </c>
      <c r="N27" s="6">
        <f>IFERROR(__xludf.DUMMYFUNCTION("IFERROR(
  VLOOKUP(
    A27,
    IMPORTRANGE(
      ""1ZHMy3vVUd_0MrSduXTe1etBb1HNpAlGwQr006ljwMiM"",
      ""GSC最新!A:R""
    ),
    13,
    FALSE
  ),
  0
)
"),3.0)</f>
        <v>3</v>
      </c>
      <c r="O27" s="6">
        <f>IFERROR(__xludf.DUMMYFUNCTION("IFERROR(
  VLOOKUP(
    A27,
    IMPORTRANGE(
      ""1ZHMy3vVUd_0MrSduXTe1etBb1HNpAlGwQr006ljwMiM"",
      ""GSC最新!A:R""
    ),
    16,
    FALSE
  ),
  0
)
"),3.0)</f>
        <v>3</v>
      </c>
      <c r="P27" s="51">
        <f t="shared" ref="P27:Q27" si="127">IFERROR(L27/N27,"-")</f>
        <v>0.3333333333</v>
      </c>
      <c r="Q27" s="51">
        <f t="shared" si="127"/>
        <v>2.666666667</v>
      </c>
      <c r="R27" s="9">
        <f>IFERROR(__xludf.DUMMYFUNCTION("IFERROR(
  VLOOKUP(
    A27,
    IMPORTRANGE(
      ""1ZHMy3vVUd_0MrSduXTe1etBb1HNpAlGwQr006ljwMiM"",
      ""GSC最新!A:R""
    ),
    8,
    FALSE
  ),
  0
)
"),0.0)</f>
        <v>0</v>
      </c>
      <c r="S27" s="9">
        <f>IFERROR(__xludf.DUMMYFUNCTION("IFERROR(
  VLOOKUP(
    A27,
    IMPORTRANGE(
      ""1ZHMy3vVUd_0MrSduXTe1etBb1HNpAlGwQr006ljwMiM"",
      ""GSC最新!A:R""
    ),
    11,
    FALSE
  ),
  0
)
"),0.0)</f>
        <v>0</v>
      </c>
      <c r="T27" s="9">
        <f>IFERROR(__xludf.DUMMYFUNCTION("IFERROR(
  VLOOKUP(
    A27,
    IMPORTRANGE(
      ""1ZHMy3vVUd_0MrSduXTe1etBb1HNpAlGwQr006ljwMiM"",
      ""GSC最新!A:R""
    ),
    14,
    FALSE
  ),
  0
)
"),0.0)</f>
        <v>0</v>
      </c>
      <c r="U27" s="9">
        <f>IFERROR(__xludf.DUMMYFUNCTION("IFERROR(
  VLOOKUP(
    A27,
    IMPORTRANGE(
      ""1ZHMy3vVUd_0MrSduXTe1etBb1HNpAlGwQr006ljwMiM"",
      ""GSC最新!A:R""
    ),
    17,
    FALSE
  ),
  0
)
"),0.0)</f>
        <v>0</v>
      </c>
      <c r="V27" s="9">
        <f t="shared" ref="V27:W27" si="128">IFERROR(R27-T27,"-")</f>
        <v>0</v>
      </c>
      <c r="W27" s="9">
        <f t="shared" si="128"/>
        <v>0</v>
      </c>
      <c r="X27" s="65">
        <f>IFERROR(__xludf.DUMMYFUNCTION("IFERROR(
  VLOOKUP(
    A27,
    IMPORTRANGE(
      ""1ZHMy3vVUd_0MrSduXTe1etBb1HNpAlGwQr006ljwMiM"",
      ""GSC最新!A:R""
    ),
    9,
    FALSE
  ),
  0
)
"),7.0)</f>
        <v>7</v>
      </c>
      <c r="Y27" s="65">
        <f>IFERROR(__xludf.DUMMYFUNCTION("IFERROR(
  VLOOKUP(
    A27,
    IMPORTRANGE(
      ""1ZHMy3vVUd_0MrSduXTe1etBb1HNpAlGwQr006ljwMiM"",
      ""GSC最新!A:R""
    ),
    12,
    FALSE
  ),
  0
)
"),5.625)</f>
        <v>5.625</v>
      </c>
      <c r="Z27" s="65">
        <f>IFERROR(__xludf.DUMMYFUNCTION("IFERROR(
  VLOOKUP(
    A27,
    IMPORTRANGE(
      ""1ZHMy3vVUd_0MrSduXTe1etBb1HNpAlGwQr006ljwMiM"",
      ""GSC最新!A:R""
    ),
    15,
    FALSE
  ),
  0
)
"),6.666666666666667)</f>
        <v>6.666666667</v>
      </c>
      <c r="AA27" s="65">
        <f>IFERROR(__xludf.DUMMYFUNCTION("IFERROR(
  VLOOKUP(
    A27,
    IMPORTRANGE(
      ""1ZHMy3vVUd_0MrSduXTe1etBb1HNpAlGwQr006ljwMiM"",
      ""GSC最新!A:R""
    ),
    18,
    FALSE
  ),
  0
)
"),6.666666666666667)</f>
        <v>6.666666667</v>
      </c>
      <c r="AB27" s="65">
        <f t="shared" ref="AB27:AC27" si="129">X27-Z27</f>
        <v>0.3333333333</v>
      </c>
      <c r="AC27" s="65">
        <f t="shared" si="129"/>
        <v>-1.041666667</v>
      </c>
      <c r="AD27" s="53">
        <f>IFERROR(__xludf.DUMMYFUNCTION("IFERROR(
  VLOOKUP(
    A27,
    IMPORTRANGE(
      ""1ZHMy3vVUd_0MrSduXTe1etBb1HNpAlGwQr006ljwMiM"",
      ""GSC最新!A:F""
    ),
    6,
    FALSE
  ),
  0
)
"),46081.0)</f>
        <v>46081</v>
      </c>
      <c r="AE27" s="54">
        <f>IFERROR(__xludf.DUMMYFUNCTION("IFERROR(
  VLOOKUP(
    A27,
    IMPORTRANGE(
      ""1SCYQd7_cobOYqT0r_F0IqD4tE4rYn5y8Eup4PJTH8es"",
      ""Snapshot!A:M""
    ),
    5,
    FALSE
  ),
  ""-""
)
"),0.0)</f>
        <v>0</v>
      </c>
      <c r="AF27" s="54">
        <f>IFERROR(__xludf.DUMMYFUNCTION("IFERROR(
  VLOOKUP(
    A27,
    IMPORTRANGE(
      ""1SCYQd7_cobOYqT0r_F0IqD4tE4rYn5y8Eup4PJTH8es"",
      ""Snapshot!A:M""
    ),
    6,
    FALSE
  ),
  0
)
"),0.0)</f>
        <v>0</v>
      </c>
      <c r="AG27" s="54">
        <f>IFERROR(__xludf.DUMMYFUNCTION("IFERROR(
  VLOOKUP(
    A27,
    IMPORTRANGE(
      ""1SCYQd7_cobOYqT0r_F0IqD4tE4rYn5y8Eup4PJTH8es"",
      ""Snapshot!A:M""
    ),
    7,
    FALSE
  ),
  0
)
"),139.0)</f>
        <v>139</v>
      </c>
      <c r="AH27" s="54">
        <f>IFERROR(__xludf.DUMMYFUNCTION("IFERROR(
  VLOOKUP(
    A27,
    IMPORTRANGE(
      ""1SCYQd7_cobOYqT0r_F0IqD4tE4rYn5y8Eup4PJTH8es"",
      ""Snapshot!A:M""
    ),
    8,
    FALSE
  ),
  0
)
"),0.0)</f>
        <v>0</v>
      </c>
      <c r="AI27" s="54">
        <f>IFERROR(__xludf.DUMMYFUNCTION("IFERROR(
  VLOOKUP(
    A27,
    IMPORTRANGE(
      ""1SCYQd7_cobOYqT0r_F0IqD4tE4rYn5y8Eup4PJTH8es"",
      ""Snapshot!A:M""
    ),
    9,
    FALSE
  ),
  0
)
"),0.0)</f>
        <v>0</v>
      </c>
      <c r="AJ27" s="54">
        <f>IFERROR(__xludf.DUMMYFUNCTION("IFERROR(
  VLOOKUP(
    A27,
    IMPORTRANGE(
      ""1SCYQd7_cobOYqT0r_F0IqD4tE4rYn5y8Eup4PJTH8es"",
      ""Snapshot!A:M""
    ),
    13,
    FALSE
  ),
  0
)
"),2.0)</f>
        <v>2</v>
      </c>
      <c r="AK27" s="49">
        <f t="shared" ref="AK27:AL27" si="130">LEN(C27)</f>
        <v>41</v>
      </c>
      <c r="AL27" s="49">
        <f t="shared" si="130"/>
        <v>55</v>
      </c>
    </row>
    <row r="28">
      <c r="A28" s="1" t="s">
        <v>844</v>
      </c>
      <c r="B28" s="1" t="str">
        <f>IFERROR(__xludf.DUMMYFUNCTION("IFERROR(
  VLOOKUP(
    A28,
    IMPORTRANGE(
      ""1ZygntHC1J6IxzKbTidmOyf5nUyW4GCLurHCjexrLm_o"",
      ""HTMLキャッシュ!A:F""
    ),
    2,
    FALSE
  ),
  0
)
"),"NW")</f>
        <v>NW</v>
      </c>
      <c r="C28" s="1" t="str">
        <f>IFERROR(__xludf.DUMMYFUNCTION("IFERROR(
  VLOOKUP(
    A28,
    IMPORTRANGE(
      ""1ZygntHC1J6IxzKbTidmOyf5nUyW4GCLurHCjexrLm_o"",
      ""HTMLキャッシュ!A:F""
    ),
    5,
    FALSE
  ),
  0
)
"),"2024年度春期講習会開催のお知らせ - 受験社会専門塾「令和」")</f>
        <v>2024年度春期講習会開催のお知らせ - 受験社会専門塾「令和」</v>
      </c>
      <c r="D28" s="1" t="str">
        <f>IFERROR(__xludf.DUMMYFUNCTION("IFERROR(
  VLOOKUP(
    A28,
    IMPORTRANGE(
      ""1ZygntHC1J6IxzKbTidmOyf5nUyW4GCLurHCjexrLm_o        "",
      ""HTMLキャッシュ!A:F""
    ),
    6,
    FALSE
  ),
  0
)
"),"春休みは、短期間ながら日頃の積み残しを解消するのに最適なタイミングです。 当塾では、この春休みを有意義に過ごし 中学受験を目指す新小3～6年生対象の春期講習会を開催！短期間で社会の苦手を克服し、志望校対策も万全に。個別カリキュラムで実力アップをサポート！")</f>
        <v>春休みは、短期間ながら日頃の積み残しを解消するのに最適なタイミングです。 当塾では、この春休みを有意義に過ごし 中学受験を目指す新小3～6年生対象の春期講習会を開催！短期間で社会の苦手を克服し、志望校対策も万全に。個別カリキュラムで実力アップをサポート！</v>
      </c>
      <c r="E28" s="32">
        <f>IFERROR(__xludf.DUMMYFUNCTION("IFERROR(
  VLOOKUP(
    A28,
    IMPORTRANGE(
      ""1ZygntHC1J6IxzKbTidmOyf5nUyW4GCLurHCjexrLm_o        "",
      ""HTMLキャッシュ!A:F""
    ),
    3,
    FALSE
  ),
  0
)
"),46015.758101851854)</f>
        <v>46015.7581</v>
      </c>
      <c r="F28" s="49">
        <f>IFERROR(__xludf.DUMMYFUNCTION("IFERROR(
  VLOOKUP(
    A28,
    IMPORTRANGE(
      ""1ZHMy3vVUd_0MrSduXTe1etBb1HNpAlGwQr006ljwMiM"",
      ""GSC最新!A:F""
    ),
    2,
    FALSE
  ),
  0
)
"),0.0)</f>
        <v>0</v>
      </c>
      <c r="G28" s="49">
        <f>IFERROR(__xludf.DUMMYFUNCTION("IFERROR(
  VLOOKUP(
    A28,
    IMPORTRANGE(
      ""1ZHMy3vVUd_0MrSduXTe1etBb1HNpAlGwQr006ljwMiM"",
      ""GSC最新!A:F""
    ),
    3,
    FALSE
  ),
  0
)
"),0.0)</f>
        <v>0</v>
      </c>
      <c r="H28" s="49">
        <f>IFERROR(__xludf.DUMMYFUNCTION("IFERROR(
  VLOOKUP(
    A28,
    IMPORTRANGE(
      ""1ZHMy3vVUd_0MrSduXTe1etBb1HNpAlGwQr006ljwMiM"",
      ""GSC最新!A:F""
    ),
    4,
    FALSE
  ),
  0
)
"),1.0)</f>
        <v>1</v>
      </c>
      <c r="I28" s="49">
        <f>IFERROR(__xludf.DUMMYFUNCTION("IFERROR(
  VLOOKUP(
    A28,
    IMPORTRANGE(
      ""1ZHMy3vVUd_0MrSduXTe1etBb1HNpAlGwQr006ljwMiM"",
      ""GSC最新!A:F""
    ),
    5,
    FALSE
  ),
  0
)
"),1.0)</f>
        <v>1</v>
      </c>
      <c r="J28" s="50">
        <f t="shared" ref="J28:K28" si="131">IFERROR(F28/H28,"-")</f>
        <v>0</v>
      </c>
      <c r="K28" s="50">
        <f t="shared" si="131"/>
        <v>0</v>
      </c>
      <c r="L28" s="6">
        <f>IFERROR(__xludf.DUMMYFUNCTION("IFERROR(
  VLOOKUP(
    A28,
    IMPORTRANGE(
      ""1ZHMy3vVUd_0MrSduXTe1etBb1HNpAlGwQr006ljwMiM"",
      ""GSC最新!A:R""
    ),
    7,
    FALSE
  ),
  0
)
"),3.0)</f>
        <v>3</v>
      </c>
      <c r="M28" s="6">
        <f>IFERROR(__xludf.DUMMYFUNCTION("IFERROR(
  VLOOKUP(
    A28,
    IMPORTRANGE(
      ""1ZHMy3vVUd_0MrSduXTe1etBb1HNpAlGwQr006ljwMiM"",
      ""GSC最新!A:R""
    ),
    10,
    FALSE
  ),
  0
)
"),3.0)</f>
        <v>3</v>
      </c>
      <c r="N28" s="6">
        <f>IFERROR(__xludf.DUMMYFUNCTION("IFERROR(
  VLOOKUP(
    A28,
    IMPORTRANGE(
      ""1ZHMy3vVUd_0MrSduXTe1etBb1HNpAlGwQr006ljwMiM"",
      ""GSC最新!A:R""
    ),
    13,
    FALSE
  ),
  0
)
"),18.0)</f>
        <v>18</v>
      </c>
      <c r="O28" s="6">
        <f>IFERROR(__xludf.DUMMYFUNCTION("IFERROR(
  VLOOKUP(
    A28,
    IMPORTRANGE(
      ""1ZHMy3vVUd_0MrSduXTe1etBb1HNpAlGwQr006ljwMiM"",
      ""GSC最新!A:R""
    ),
    16,
    FALSE
  ),
  0
)
"),191.0)</f>
        <v>191</v>
      </c>
      <c r="P28" s="51">
        <f t="shared" ref="P28:Q28" si="132">IFERROR(L28/N28,"-")</f>
        <v>0.1666666667</v>
      </c>
      <c r="Q28" s="51">
        <f t="shared" si="132"/>
        <v>0.01570680628</v>
      </c>
      <c r="R28" s="9">
        <f>IFERROR(__xludf.DUMMYFUNCTION("IFERROR(
  VLOOKUP(
    A28,
    IMPORTRANGE(
      ""1ZHMy3vVUd_0MrSduXTe1etBb1HNpAlGwQr006ljwMiM"",
      ""GSC最新!A:R""
    ),
    8,
    FALSE
  ),
  0
)
"),0.0)</f>
        <v>0</v>
      </c>
      <c r="S28" s="9">
        <f>IFERROR(__xludf.DUMMYFUNCTION("IFERROR(
  VLOOKUP(
    A28,
    IMPORTRANGE(
      ""1ZHMy3vVUd_0MrSduXTe1etBb1HNpAlGwQr006ljwMiM"",
      ""GSC最新!A:R""
    ),
    11,
    FALSE
  ),
  0
)
"),0.0)</f>
        <v>0</v>
      </c>
      <c r="T28" s="9">
        <f>IFERROR(__xludf.DUMMYFUNCTION("IFERROR(
  VLOOKUP(
    A28,
    IMPORTRANGE(
      ""1ZHMy3vVUd_0MrSduXTe1etBb1HNpAlGwQr006ljwMiM"",
      ""GSC最新!A:R""
    ),
    14,
    FALSE
  ),
  0
)
"),0.05555555555555555)</f>
        <v>0.05555555556</v>
      </c>
      <c r="U28" s="9">
        <f>IFERROR(__xludf.DUMMYFUNCTION("IFERROR(
  VLOOKUP(
    A28,
    IMPORTRANGE(
      ""1ZHMy3vVUd_0MrSduXTe1etBb1HNpAlGwQr006ljwMiM"",
      ""GSC最新!A:R""
    ),
    17,
    FALSE
  ),
  0
)
"),0.005235602094240838)</f>
        <v>0.005235602094</v>
      </c>
      <c r="V28" s="9">
        <f t="shared" ref="V28:W28" si="133">IFERROR(R28-T28,"-")</f>
        <v>-0.05555555556</v>
      </c>
      <c r="W28" s="9">
        <f t="shared" si="133"/>
        <v>-0.005235602094</v>
      </c>
      <c r="X28" s="65">
        <f>IFERROR(__xludf.DUMMYFUNCTION("IFERROR(
  VLOOKUP(
    A28,
    IMPORTRANGE(
      ""1ZHMy3vVUd_0MrSduXTe1etBb1HNpAlGwQr006ljwMiM"",
      ""GSC最新!A:R""
    ),
    9,
    FALSE
  ),
  0
)
"),7.666666666666667)</f>
        <v>7.666666667</v>
      </c>
      <c r="Y28" s="65">
        <f>IFERROR(__xludf.DUMMYFUNCTION("IFERROR(
  VLOOKUP(
    A28,
    IMPORTRANGE(
      ""1ZHMy3vVUd_0MrSduXTe1etBb1HNpAlGwQr006ljwMiM"",
      ""GSC最新!A:R""
    ),
    12,
    FALSE
  ),
  0
)
"),7.666666666666667)</f>
        <v>7.666666667</v>
      </c>
      <c r="Z28" s="65">
        <f>IFERROR(__xludf.DUMMYFUNCTION("IFERROR(
  VLOOKUP(
    A28,
    IMPORTRANGE(
      ""1ZHMy3vVUd_0MrSduXTe1etBb1HNpAlGwQr006ljwMiM"",
      ""GSC最新!A:R""
    ),
    15,
    FALSE
  ),
  0
)
"),73.44444444444444)</f>
        <v>73.44444444</v>
      </c>
      <c r="AA28" s="65">
        <f>IFERROR(__xludf.DUMMYFUNCTION("IFERROR(
  VLOOKUP(
    A28,
    IMPORTRANGE(
      ""1ZHMy3vVUd_0MrSduXTe1etBb1HNpAlGwQr006ljwMiM"",
      ""GSC最新!A:R""
    ),
    18,
    FALSE
  ),
  0
)
"),83.08900523560209)</f>
        <v>83.08900524</v>
      </c>
      <c r="AB28" s="65">
        <f t="shared" ref="AB28:AC28" si="134">X28-Z28</f>
        <v>-65.77777778</v>
      </c>
      <c r="AC28" s="65">
        <f t="shared" si="134"/>
        <v>-75.42233857</v>
      </c>
      <c r="AD28" s="53">
        <f>IFERROR(__xludf.DUMMYFUNCTION("IFERROR(
  VLOOKUP(
    A28,
    IMPORTRANGE(
      ""1ZHMy3vVUd_0MrSduXTe1etBb1HNpAlGwQr006ljwMiM"",
      ""GSC最新!A:F""
    ),
    6,
    FALSE
  ),
  0
)
"),46081.0)</f>
        <v>46081</v>
      </c>
      <c r="AE28" s="54">
        <f>IFERROR(__xludf.DUMMYFUNCTION("IFERROR(
  VLOOKUP(
    A28,
    IMPORTRANGE(
      ""1SCYQd7_cobOYqT0r_F0IqD4tE4rYn5y8Eup4PJTH8es"",
      ""Snapshot!A:M""
    ),
    5,
    FALSE
  ),
  ""-""
)
"),0.0)</f>
        <v>0</v>
      </c>
      <c r="AF28" s="54">
        <f>IFERROR(__xludf.DUMMYFUNCTION("IFERROR(
  VLOOKUP(
    A28,
    IMPORTRANGE(
      ""1SCYQd7_cobOYqT0r_F0IqD4tE4rYn5y8Eup4PJTH8es"",
      ""Snapshot!A:M""
    ),
    6,
    FALSE
  ),
  0
)
"),0.0)</f>
        <v>0</v>
      </c>
      <c r="AG28" s="54">
        <f>IFERROR(__xludf.DUMMYFUNCTION("IFERROR(
  VLOOKUP(
    A28,
    IMPORTRANGE(
      ""1SCYQd7_cobOYqT0r_F0IqD4tE4rYn5y8Eup4PJTH8es"",
      ""Snapshot!A:M""
    ),
    7,
    FALSE
  ),
  0
)
"),502.0)</f>
        <v>502</v>
      </c>
      <c r="AH28" s="54">
        <f>IFERROR(__xludf.DUMMYFUNCTION("IFERROR(
  VLOOKUP(
    A28,
    IMPORTRANGE(
      ""1SCYQd7_cobOYqT0r_F0IqD4tE4rYn5y8Eup4PJTH8es"",
      ""Snapshot!A:M""
    ),
    8,
    FALSE
  ),
  0
)
"),2.0)</f>
        <v>2</v>
      </c>
      <c r="AI28" s="54">
        <f>IFERROR(__xludf.DUMMYFUNCTION("IFERROR(
  VLOOKUP(
    A28,
    IMPORTRANGE(
      ""1SCYQd7_cobOYqT0r_F0IqD4tE4rYn5y8Eup4PJTH8es"",
      ""Snapshot!A:M""
    ),
    9,
    FALSE
  ),
  0
)
"),0.0)</f>
        <v>0</v>
      </c>
      <c r="AJ28" s="54">
        <f>IFERROR(__xludf.DUMMYFUNCTION("IFERROR(
  VLOOKUP(
    A28,
    IMPORTRANGE(
      ""1SCYQd7_cobOYqT0r_F0IqD4tE4rYn5y8Eup4PJTH8es"",
      ""Snapshot!A:M""
    ),
    13,
    FALSE
  ),
  0
)
"),2.0)</f>
        <v>2</v>
      </c>
      <c r="AK28" s="49">
        <f t="shared" ref="AK28:AL28" si="135">LEN(C28)</f>
        <v>32</v>
      </c>
      <c r="AL28" s="49">
        <f t="shared" si="135"/>
        <v>127</v>
      </c>
    </row>
    <row r="29">
      <c r="A29" s="1" t="s">
        <v>845</v>
      </c>
      <c r="B29" s="1" t="str">
        <f>IFERROR(__xludf.DUMMYFUNCTION("IFERROR(
  VLOOKUP(
    A29,
    IMPORTRANGE(
      ""1ZygntHC1J6IxzKbTidmOyf5nUyW4GCLurHCjexrLm_o"",
      ""HTMLキャッシュ!A:F""
    ),
    2,
    FALSE
  ),
  0
)
"),"NW")</f>
        <v>NW</v>
      </c>
      <c r="C29" s="1" t="str">
        <f>IFERROR(__xludf.DUMMYFUNCTION("IFERROR(
  VLOOKUP(
    A29,
    IMPORTRANGE(
      ""1ZygntHC1J6IxzKbTidmOyf5nUyW4GCLurHCjexrLm_o"",
      ""HTMLキャッシュ!A:F""
    ),
    5,
    FALSE
  ),
  0
)
"),"2024年度夏期講習会開催のお知らせ - 受験社会専門塾「令和」")</f>
        <v>2024年度夏期講習会開催のお知らせ - 受験社会専門塾「令和」</v>
      </c>
      <c r="D29" s="1" t="str">
        <f>IFERROR(__xludf.DUMMYFUNCTION("IFERROR(
  VLOOKUP(
    A29,
    IMPORTRANGE(
      ""1ZygntHC1J6IxzKbTidmOyf5nUyW4GCLurHCjexrLm_o        "",
      ""HTMLキャッシュ!A:F""
    ),
    6,
    FALSE
  ),
  0
)
"),"夏休みは受験生にとってまさに天王山です。受験を1年以上先に控えているお子様にとっては、日頃忙しくて取り組むこと 中学受験を目指す新小3～6年生対象の夏期講習会を開催！完全1対1の個別指導で志望校対策やクラスアップを徹底サポート。詳細はお問い合わせを！")</f>
        <v>夏休みは受験生にとってまさに天王山です。受験を1年以上先に控えているお子様にとっては、日頃忙しくて取り組むこと 中学受験を目指す新小3～6年生対象の夏期講習会を開催！完全1対1の個別指導で志望校対策やクラスアップを徹底サポート。詳細はお問い合わせを！</v>
      </c>
      <c r="E29" s="32">
        <f>IFERROR(__xludf.DUMMYFUNCTION("IFERROR(
  VLOOKUP(
    A29,
    IMPORTRANGE(
      ""1ZygntHC1J6IxzKbTidmOyf5nUyW4GCLurHCjexrLm_o        "",
      ""HTMLキャッシュ!A:F""
    ),
    3,
    FALSE
  ),
  0
)
"),46015.75755787037)</f>
        <v>46015.75756</v>
      </c>
      <c r="F29" s="49">
        <f>IFERROR(__xludf.DUMMYFUNCTION("IFERROR(
  VLOOKUP(
    A29,
    IMPORTRANGE(
      ""1ZHMy3vVUd_0MrSduXTe1etBb1HNpAlGwQr006ljwMiM"",
      ""GSC最新!A:F""
    ),
    2,
    FALSE
  ),
  0
)
"),0.0)</f>
        <v>0</v>
      </c>
      <c r="G29" s="49">
        <f>IFERROR(__xludf.DUMMYFUNCTION("IFERROR(
  VLOOKUP(
    A29,
    IMPORTRANGE(
      ""1ZHMy3vVUd_0MrSduXTe1etBb1HNpAlGwQr006ljwMiM"",
      ""GSC最新!A:F""
    ),
    3,
    FALSE
  ),
  0
)
"),0.0)</f>
        <v>0</v>
      </c>
      <c r="H29" s="49">
        <f>IFERROR(__xludf.DUMMYFUNCTION("IFERROR(
  VLOOKUP(
    A29,
    IMPORTRANGE(
      ""1ZHMy3vVUd_0MrSduXTe1etBb1HNpAlGwQr006ljwMiM"",
      ""GSC最新!A:F""
    ),
    4,
    FALSE
  ),
  0
)
"),0.0)</f>
        <v>0</v>
      </c>
      <c r="I29" s="49">
        <f>IFERROR(__xludf.DUMMYFUNCTION("IFERROR(
  VLOOKUP(
    A29,
    IMPORTRANGE(
      ""1ZHMy3vVUd_0MrSduXTe1etBb1HNpAlGwQr006ljwMiM"",
      ""GSC最新!A:F""
    ),
    5,
    FALSE
  ),
  0
)
"),0.0)</f>
        <v>0</v>
      </c>
      <c r="J29" s="50" t="str">
        <f t="shared" ref="J29:K29" si="136">IFERROR(F29/H29,"-")</f>
        <v>-</v>
      </c>
      <c r="K29" s="50" t="str">
        <f t="shared" si="136"/>
        <v>-</v>
      </c>
      <c r="L29" s="6">
        <f>IFERROR(__xludf.DUMMYFUNCTION("IFERROR(
  VLOOKUP(
    A29,
    IMPORTRANGE(
      ""1ZHMy3vVUd_0MrSduXTe1etBb1HNpAlGwQr006ljwMiM"",
      ""GSC最新!A:R""
    ),
    7,
    FALSE
  ),
  0
)
"),2.0)</f>
        <v>2</v>
      </c>
      <c r="M29" s="6">
        <f>IFERROR(__xludf.DUMMYFUNCTION("IFERROR(
  VLOOKUP(
    A29,
    IMPORTRANGE(
      ""1ZHMy3vVUd_0MrSduXTe1etBb1HNpAlGwQr006ljwMiM"",
      ""GSC最新!A:R""
    ),
    10,
    FALSE
  ),
  0
)
"),2.0)</f>
        <v>2</v>
      </c>
      <c r="N29" s="6">
        <f>IFERROR(__xludf.DUMMYFUNCTION("IFERROR(
  VLOOKUP(
    A29,
    IMPORTRANGE(
      ""1ZHMy3vVUd_0MrSduXTe1etBb1HNpAlGwQr006ljwMiM"",
      ""GSC最新!A:R""
    ),
    13,
    FALSE
  ),
  0
)
"),6.0)</f>
        <v>6</v>
      </c>
      <c r="O29" s="6">
        <f>IFERROR(__xludf.DUMMYFUNCTION("IFERROR(
  VLOOKUP(
    A29,
    IMPORTRANGE(
      ""1ZHMy3vVUd_0MrSduXTe1etBb1HNpAlGwQr006ljwMiM"",
      ""GSC最新!A:R""
    ),
    16,
    FALSE
  ),
  0
)
"),16.0)</f>
        <v>16</v>
      </c>
      <c r="P29" s="51">
        <f t="shared" ref="P29:Q29" si="137">IFERROR(L29/N29,"-")</f>
        <v>0.3333333333</v>
      </c>
      <c r="Q29" s="51">
        <f t="shared" si="137"/>
        <v>0.125</v>
      </c>
      <c r="R29" s="9">
        <f>IFERROR(__xludf.DUMMYFUNCTION("IFERROR(
  VLOOKUP(
    A29,
    IMPORTRANGE(
      ""1ZHMy3vVUd_0MrSduXTe1etBb1HNpAlGwQr006ljwMiM"",
      ""GSC最新!A:R""
    ),
    8,
    FALSE
  ),
  0
)
"),0.0)</f>
        <v>0</v>
      </c>
      <c r="S29" s="9">
        <f>IFERROR(__xludf.DUMMYFUNCTION("IFERROR(
  VLOOKUP(
    A29,
    IMPORTRANGE(
      ""1ZHMy3vVUd_0MrSduXTe1etBb1HNpAlGwQr006ljwMiM"",
      ""GSC最新!A:R""
    ),
    11,
    FALSE
  ),
  0
)
"),0.0)</f>
        <v>0</v>
      </c>
      <c r="T29" s="9">
        <f>IFERROR(__xludf.DUMMYFUNCTION("IFERROR(
  VLOOKUP(
    A29,
    IMPORTRANGE(
      ""1ZHMy3vVUd_0MrSduXTe1etBb1HNpAlGwQr006ljwMiM"",
      ""GSC最新!A:R""
    ),
    14,
    FALSE
  ),
  0
)
"),0.0)</f>
        <v>0</v>
      </c>
      <c r="U29" s="9">
        <f>IFERROR(__xludf.DUMMYFUNCTION("IFERROR(
  VLOOKUP(
    A29,
    IMPORTRANGE(
      ""1ZHMy3vVUd_0MrSduXTe1etBb1HNpAlGwQr006ljwMiM"",
      ""GSC最新!A:R""
    ),
    17,
    FALSE
  ),
  0
)
"),0.0)</f>
        <v>0</v>
      </c>
      <c r="V29" s="9">
        <f t="shared" ref="V29:W29" si="138">IFERROR(R29-T29,"-")</f>
        <v>0</v>
      </c>
      <c r="W29" s="9">
        <f t="shared" si="138"/>
        <v>0</v>
      </c>
      <c r="X29" s="65">
        <f>IFERROR(__xludf.DUMMYFUNCTION("IFERROR(
  VLOOKUP(
    A29,
    IMPORTRANGE(
      ""1ZHMy3vVUd_0MrSduXTe1etBb1HNpAlGwQr006ljwMiM"",
      ""GSC最新!A:R""
    ),
    9,
    FALSE
  ),
  0
)
"),6.5)</f>
        <v>6.5</v>
      </c>
      <c r="Y29" s="65">
        <f>IFERROR(__xludf.DUMMYFUNCTION("IFERROR(
  VLOOKUP(
    A29,
    IMPORTRANGE(
      ""1ZHMy3vVUd_0MrSduXTe1etBb1HNpAlGwQr006ljwMiM"",
      ""GSC最新!A:R""
    ),
    12,
    FALSE
  ),
  0
)
"),6.5)</f>
        <v>6.5</v>
      </c>
      <c r="Z29" s="65">
        <f>IFERROR(__xludf.DUMMYFUNCTION("IFERROR(
  VLOOKUP(
    A29,
    IMPORTRANGE(
      ""1ZHMy3vVUd_0MrSduXTe1etBb1HNpAlGwQr006ljwMiM"",
      ""GSC最新!A:R""
    ),
    15,
    FALSE
  ),
  0
)
"),18.666666666666668)</f>
        <v>18.66666667</v>
      </c>
      <c r="AA29" s="65">
        <f>IFERROR(__xludf.DUMMYFUNCTION("IFERROR(
  VLOOKUP(
    A29,
    IMPORTRANGE(
      ""1ZHMy3vVUd_0MrSduXTe1etBb1HNpAlGwQr006ljwMiM"",
      ""GSC最新!A:R""
    ),
    18,
    FALSE
  ),
  0
)
"),21.3125)</f>
        <v>21.3125</v>
      </c>
      <c r="AB29" s="65">
        <f t="shared" ref="AB29:AC29" si="139">X29-Z29</f>
        <v>-12.16666667</v>
      </c>
      <c r="AC29" s="65">
        <f t="shared" si="139"/>
        <v>-14.8125</v>
      </c>
      <c r="AD29" s="53">
        <f>IFERROR(__xludf.DUMMYFUNCTION("IFERROR(
  VLOOKUP(
    A29,
    IMPORTRANGE(
      ""1ZHMy3vVUd_0MrSduXTe1etBb1HNpAlGwQr006ljwMiM"",
      ""GSC最新!A:F""
    ),
    6,
    FALSE
  ),
  0
)
"),46081.0)</f>
        <v>46081</v>
      </c>
      <c r="AE29" s="54">
        <f>IFERROR(__xludf.DUMMYFUNCTION("IFERROR(
  VLOOKUP(
    A29,
    IMPORTRANGE(
      ""1SCYQd7_cobOYqT0r_F0IqD4tE4rYn5y8Eup4PJTH8es"",
      ""Snapshot!A:M""
    ),
    5,
    FALSE
  ),
  ""-""
)
"),0.0)</f>
        <v>0</v>
      </c>
      <c r="AF29" s="54">
        <f>IFERROR(__xludf.DUMMYFUNCTION("IFERROR(
  VLOOKUP(
    A29,
    IMPORTRANGE(
      ""1SCYQd7_cobOYqT0r_F0IqD4tE4rYn5y8Eup4PJTH8es"",
      ""Snapshot!A:M""
    ),
    6,
    FALSE
  ),
  0
)
"),0.0)</f>
        <v>0</v>
      </c>
      <c r="AG29" s="54">
        <f>IFERROR(__xludf.DUMMYFUNCTION("IFERROR(
  VLOOKUP(
    A29,
    IMPORTRANGE(
      ""1SCYQd7_cobOYqT0r_F0IqD4tE4rYn5y8Eup4PJTH8es"",
      ""Snapshot!A:M""
    ),
    7,
    FALSE
  ),
  0
)
"),641.0)</f>
        <v>641</v>
      </c>
      <c r="AH29" s="54">
        <f>IFERROR(__xludf.DUMMYFUNCTION("IFERROR(
  VLOOKUP(
    A29,
    IMPORTRANGE(
      ""1SCYQd7_cobOYqT0r_F0IqD4tE4rYn5y8Eup4PJTH8es"",
      ""Snapshot!A:M""
    ),
    8,
    FALSE
  ),
  0
)
"),2.0)</f>
        <v>2</v>
      </c>
      <c r="AI29" s="54">
        <f>IFERROR(__xludf.DUMMYFUNCTION("IFERROR(
  VLOOKUP(
    A29,
    IMPORTRANGE(
      ""1SCYQd7_cobOYqT0r_F0IqD4tE4rYn5y8Eup4PJTH8es"",
      ""Snapshot!A:M""
    ),
    9,
    FALSE
  ),
  0
)
"),0.0)</f>
        <v>0</v>
      </c>
      <c r="AJ29" s="54">
        <f>IFERROR(__xludf.DUMMYFUNCTION("IFERROR(
  VLOOKUP(
    A29,
    IMPORTRANGE(
      ""1SCYQd7_cobOYqT0r_F0IqD4tE4rYn5y8Eup4PJTH8es"",
      ""Snapshot!A:M""
    ),
    13,
    FALSE
  ),
  0
)
"),2.0)</f>
        <v>2</v>
      </c>
      <c r="AK29" s="49">
        <f t="shared" ref="AK29:AL29" si="140">LEN(C29)</f>
        <v>32</v>
      </c>
      <c r="AL29" s="49">
        <f t="shared" si="140"/>
        <v>125</v>
      </c>
    </row>
    <row r="30">
      <c r="A30" s="1" t="s">
        <v>846</v>
      </c>
      <c r="B30" s="1" t="str">
        <f>IFERROR(__xludf.DUMMYFUNCTION("IFERROR(
  VLOOKUP(
    A30,
    IMPORTRANGE(
      ""1ZygntHC1J6IxzKbTidmOyf5nUyW4GCLurHCjexrLm_o"",
      ""HTMLキャッシュ!A:F""
    ),
    2,
    FALSE
  ),
  0
)
"),"NW")</f>
        <v>NW</v>
      </c>
      <c r="C30" s="1" t="str">
        <f>IFERROR(__xludf.DUMMYFUNCTION("IFERROR(
  VLOOKUP(
    A30,
    IMPORTRANGE(
      ""1ZygntHC1J6IxzKbTidmOyf5nUyW4GCLurHCjexrLm_o"",
      ""HTMLキャッシュ!A:F""
    ),
    5,
    FALSE
  ),
  0
)
"),"2024年度生徒募集のお知らせ - 受験社会専門塾「令和」")</f>
        <v>2024年度生徒募集のお知らせ - 受験社会専門塾「令和」</v>
      </c>
      <c r="D30" s="1" t="str">
        <f>IFERROR(__xludf.DUMMYFUNCTION("IFERROR(
  VLOOKUP(
    A30,
    IMPORTRANGE(
      ""1ZygntHC1J6IxzKbTidmOyf5nUyW4GCLurHCjexrLm_o        "",
      ""HTMLキャッシュ!A:F""
    ),
    6,
    FALSE
  ),
  0
)
"),"本日より、2024年度の生徒募集を開始致します。 ２月開講講座および個別指導の詳細については、下記をご覧くださ")</f>
        <v>本日より、2024年度の生徒募集を開始致します。 ２月開講講座および個別指導の詳細については、下記をご覧くださ</v>
      </c>
      <c r="E30" s="32">
        <f>IFERROR(__xludf.DUMMYFUNCTION("IFERROR(
  VLOOKUP(
    A30,
    IMPORTRANGE(
      ""1ZygntHC1J6IxzKbTidmOyf5nUyW4GCLurHCjexrLm_o        "",
      ""HTMLキャッシュ!A:F""
    ),
    3,
    FALSE
  ),
  0
)
"),46015.75890046296)</f>
        <v>46015.7589</v>
      </c>
      <c r="F30" s="49">
        <f>IFERROR(__xludf.DUMMYFUNCTION("IFERROR(
  VLOOKUP(
    A30,
    IMPORTRANGE(
      ""1ZHMy3vVUd_0MrSduXTe1etBb1HNpAlGwQr006ljwMiM"",
      ""GSC最新!A:F""
    ),
    2,
    FALSE
  ),
  0
)
"),0.0)</f>
        <v>0</v>
      </c>
      <c r="G30" s="49">
        <f>IFERROR(__xludf.DUMMYFUNCTION("IFERROR(
  VLOOKUP(
    A30,
    IMPORTRANGE(
      ""1ZHMy3vVUd_0MrSduXTe1etBb1HNpAlGwQr006ljwMiM"",
      ""GSC最新!A:F""
    ),
    3,
    FALSE
  ),
  0
)
"),0.0)</f>
        <v>0</v>
      </c>
      <c r="H30" s="49">
        <f>IFERROR(__xludf.DUMMYFUNCTION("IFERROR(
  VLOOKUP(
    A30,
    IMPORTRANGE(
      ""1ZHMy3vVUd_0MrSduXTe1etBb1HNpAlGwQr006ljwMiM"",
      ""GSC最新!A:F""
    ),
    4,
    FALSE
  ),
  0
)
"),0.0)</f>
        <v>0</v>
      </c>
      <c r="I30" s="49">
        <f>IFERROR(__xludf.DUMMYFUNCTION("IFERROR(
  VLOOKUP(
    A30,
    IMPORTRANGE(
      ""1ZHMy3vVUd_0MrSduXTe1etBb1HNpAlGwQr006ljwMiM"",
      ""GSC最新!A:F""
    ),
    5,
    FALSE
  ),
  0
)
"),0.0)</f>
        <v>0</v>
      </c>
      <c r="J30" s="50" t="str">
        <f t="shared" ref="J30:K30" si="141">IFERROR(F30/H30,"-")</f>
        <v>-</v>
      </c>
      <c r="K30" s="50" t="str">
        <f t="shared" si="141"/>
        <v>-</v>
      </c>
      <c r="L30" s="6">
        <f>IFERROR(__xludf.DUMMYFUNCTION("IFERROR(
  VLOOKUP(
    A30,
    IMPORTRANGE(
      ""1ZHMy3vVUd_0MrSduXTe1etBb1HNpAlGwQr006ljwMiM"",
      ""GSC最新!A:R""
    ),
    7,
    FALSE
  ),
  0
)
"),1.0)</f>
        <v>1</v>
      </c>
      <c r="M30" s="6">
        <f>IFERROR(__xludf.DUMMYFUNCTION("IFERROR(
  VLOOKUP(
    A30,
    IMPORTRANGE(
      ""1ZHMy3vVUd_0MrSduXTe1etBb1HNpAlGwQr006ljwMiM"",
      ""GSC最新!A:R""
    ),
    10,
    FALSE
  ),
  0
)
"),1.0)</f>
        <v>1</v>
      </c>
      <c r="N30" s="6">
        <f>IFERROR(__xludf.DUMMYFUNCTION("IFERROR(
  VLOOKUP(
    A30,
    IMPORTRANGE(
      ""1ZHMy3vVUd_0MrSduXTe1etBb1HNpAlGwQr006ljwMiM"",
      ""GSC最新!A:R""
    ),
    13,
    FALSE
  ),
  0
)
"),0.0)</f>
        <v>0</v>
      </c>
      <c r="O30" s="6">
        <f>IFERROR(__xludf.DUMMYFUNCTION("IFERROR(
  VLOOKUP(
    A30,
    IMPORTRANGE(
      ""1ZHMy3vVUd_0MrSduXTe1etBb1HNpAlGwQr006ljwMiM"",
      ""GSC最新!A:R""
    ),
    16,
    FALSE
  ),
  0
)
"),1.0)</f>
        <v>1</v>
      </c>
      <c r="P30" s="51" t="str">
        <f t="shared" ref="P30:Q30" si="142">IFERROR(L30/N30,"-")</f>
        <v>-</v>
      </c>
      <c r="Q30" s="51">
        <f t="shared" si="142"/>
        <v>1</v>
      </c>
      <c r="R30" s="9">
        <f>IFERROR(__xludf.DUMMYFUNCTION("IFERROR(
  VLOOKUP(
    A30,
    IMPORTRANGE(
      ""1ZHMy3vVUd_0MrSduXTe1etBb1HNpAlGwQr006ljwMiM"",
      ""GSC最新!A:R""
    ),
    8,
    FALSE
  ),
  0
)
"),0.0)</f>
        <v>0</v>
      </c>
      <c r="S30" s="9">
        <f>IFERROR(__xludf.DUMMYFUNCTION("IFERROR(
  VLOOKUP(
    A30,
    IMPORTRANGE(
      ""1ZHMy3vVUd_0MrSduXTe1etBb1HNpAlGwQr006ljwMiM"",
      ""GSC最新!A:R""
    ),
    11,
    FALSE
  ),
  0
)
"),0.0)</f>
        <v>0</v>
      </c>
      <c r="T30" s="9">
        <f>IFERROR(__xludf.DUMMYFUNCTION("IFERROR(
  VLOOKUP(
    A30,
    IMPORTRANGE(
      ""1ZHMy3vVUd_0MrSduXTe1etBb1HNpAlGwQr006ljwMiM"",
      ""GSC最新!A:R""
    ),
    14,
    FALSE
  ),
  0
)
"),0.0)</f>
        <v>0</v>
      </c>
      <c r="U30" s="9">
        <f>IFERROR(__xludf.DUMMYFUNCTION("IFERROR(
  VLOOKUP(
    A30,
    IMPORTRANGE(
      ""1ZHMy3vVUd_0MrSduXTe1etBb1HNpAlGwQr006ljwMiM"",
      ""GSC最新!A:R""
    ),
    17,
    FALSE
  ),
  0
)
"),0.0)</f>
        <v>0</v>
      </c>
      <c r="V30" s="9">
        <f t="shared" ref="V30:W30" si="143">IFERROR(R30-T30,"-")</f>
        <v>0</v>
      </c>
      <c r="W30" s="9">
        <f t="shared" si="143"/>
        <v>0</v>
      </c>
      <c r="X30" s="65">
        <f>IFERROR(__xludf.DUMMYFUNCTION("IFERROR(
  VLOOKUP(
    A30,
    IMPORTRANGE(
      ""1ZHMy3vVUd_0MrSduXTe1etBb1HNpAlGwQr006ljwMiM"",
      ""GSC最新!A:R""
    ),
    9,
    FALSE
  ),
  0
)
"),8.0)</f>
        <v>8</v>
      </c>
      <c r="Y30" s="65">
        <f>IFERROR(__xludf.DUMMYFUNCTION("IFERROR(
  VLOOKUP(
    A30,
    IMPORTRANGE(
      ""1ZHMy3vVUd_0MrSduXTe1etBb1HNpAlGwQr006ljwMiM"",
      ""GSC最新!A:R""
    ),
    12,
    FALSE
  ),
  0
)
"),8.0)</f>
        <v>8</v>
      </c>
      <c r="Z30" s="65" t="str">
        <f>IFERROR(__xludf.DUMMYFUNCTION("IFERROR(
  VLOOKUP(
    A30,
    IMPORTRANGE(
      ""1ZHMy3vVUd_0MrSduXTe1etBb1HNpAlGwQr006ljwMiM"",
      ""GSC最新!A:R""
    ),
    15,
    FALSE
  ),
  0
)
"),"")</f>
        <v/>
      </c>
      <c r="AA30" s="65">
        <f>IFERROR(__xludf.DUMMYFUNCTION("IFERROR(
  VLOOKUP(
    A30,
    IMPORTRANGE(
      ""1ZHMy3vVUd_0MrSduXTe1etBb1HNpAlGwQr006ljwMiM"",
      ""GSC最新!A:R""
    ),
    18,
    FALSE
  ),
  0
)
"),5.0)</f>
        <v>5</v>
      </c>
      <c r="AB30" s="65">
        <f t="shared" ref="AB30:AC30" si="144">X30-Z30</f>
        <v>8</v>
      </c>
      <c r="AC30" s="65">
        <f t="shared" si="144"/>
        <v>3</v>
      </c>
      <c r="AD30" s="53">
        <f>IFERROR(__xludf.DUMMYFUNCTION("IFERROR(
  VLOOKUP(
    A30,
    IMPORTRANGE(
      ""1ZHMy3vVUd_0MrSduXTe1etBb1HNpAlGwQr006ljwMiM"",
      ""GSC最新!A:F""
    ),
    6,
    FALSE
  ),
  0
)
"),46081.0)</f>
        <v>46081</v>
      </c>
      <c r="AE30" s="54">
        <f>IFERROR(__xludf.DUMMYFUNCTION("IFERROR(
  VLOOKUP(
    A30,
    IMPORTRANGE(
      ""1SCYQd7_cobOYqT0r_F0IqD4tE4rYn5y8Eup4PJTH8es"",
      ""Snapshot!A:M""
    ),
    5,
    FALSE
  ),
  ""-""
)
"),0.0)</f>
        <v>0</v>
      </c>
      <c r="AF30" s="54">
        <f>IFERROR(__xludf.DUMMYFUNCTION("IFERROR(
  VLOOKUP(
    A30,
    IMPORTRANGE(
      ""1SCYQd7_cobOYqT0r_F0IqD4tE4rYn5y8Eup4PJTH8es"",
      ""Snapshot!A:M""
    ),
    6,
    FALSE
  ),
  0
)
"),0.0)</f>
        <v>0</v>
      </c>
      <c r="AG30" s="54">
        <f>IFERROR(__xludf.DUMMYFUNCTION("IFERROR(
  VLOOKUP(
    A30,
    IMPORTRANGE(
      ""1SCYQd7_cobOYqT0r_F0IqD4tE4rYn5y8Eup4PJTH8es"",
      ""Snapshot!A:M""
    ),
    7,
    FALSE
  ),
  0
)
"),322.0)</f>
        <v>322</v>
      </c>
      <c r="AH30" s="54">
        <f>IFERROR(__xludf.DUMMYFUNCTION("IFERROR(
  VLOOKUP(
    A30,
    IMPORTRANGE(
      ""1SCYQd7_cobOYqT0r_F0IqD4tE4rYn5y8Eup4PJTH8es"",
      ""Snapshot!A:M""
    ),
    8,
    FALSE
  ),
  0
)
"),3.0)</f>
        <v>3</v>
      </c>
      <c r="AI30" s="54">
        <f>IFERROR(__xludf.DUMMYFUNCTION("IFERROR(
  VLOOKUP(
    A30,
    IMPORTRANGE(
      ""1SCYQd7_cobOYqT0r_F0IqD4tE4rYn5y8Eup4PJTH8es"",
      ""Snapshot!A:M""
    ),
    9,
    FALSE
  ),
  0
)
"),0.0)</f>
        <v>0</v>
      </c>
      <c r="AJ30" s="54">
        <f>IFERROR(__xludf.DUMMYFUNCTION("IFERROR(
  VLOOKUP(
    A30,
    IMPORTRANGE(
      ""1SCYQd7_cobOYqT0r_F0IqD4tE4rYn5y8Eup4PJTH8es"",
      ""Snapshot!A:M""
    ),
    13,
    FALSE
  ),
  0
)
"),2.0)</f>
        <v>2</v>
      </c>
      <c r="AK30" s="49">
        <f t="shared" ref="AK30:AL30" si="145">LEN(C30)</f>
        <v>29</v>
      </c>
      <c r="AL30" s="49">
        <f t="shared" si="145"/>
        <v>55</v>
      </c>
    </row>
    <row r="31">
      <c r="A31" s="1" t="s">
        <v>847</v>
      </c>
      <c r="B31" s="1" t="str">
        <f>IFERROR(__xludf.DUMMYFUNCTION("IFERROR(
  VLOOKUP(
    A31,
    IMPORTRANGE(
      ""1ZygntHC1J6IxzKbTidmOyf5nUyW4GCLurHCjexrLm_o"",
      ""HTMLキャッシュ!A:F""
    ),
    2,
    FALSE
  ),
  0
)
"),"NW")</f>
        <v>NW</v>
      </c>
      <c r="C31" s="1" t="str">
        <f>IFERROR(__xludf.DUMMYFUNCTION("IFERROR(
  VLOOKUP(
    A31,
    IMPORTRANGE(
      ""1ZygntHC1J6IxzKbTidmOyf5nUyW4GCLurHCjexrLm_o"",
      ""HTMLキャッシュ!A:F""
    ),
    5,
    FALSE
  ),
  0
)
"),"2023年度夏期講習会開催のお知らせ - 受験社会専門塾「令和」")</f>
        <v>2023年度夏期講習会開催のお知らせ - 受験社会専門塾「令和」</v>
      </c>
      <c r="D31" s="1" t="str">
        <f>IFERROR(__xludf.DUMMYFUNCTION("IFERROR(
  VLOOKUP(
    A31,
    IMPORTRANGE(
      ""1ZygntHC1J6IxzKbTidmOyf5nUyW4GCLurHCjexrLm_o        "",
      ""HTMLキャッシュ!A:F""
    ),
    6,
    FALSE
  ),
  0
)
"),"夏休みは受験生にとってまさに天王山です。受験を1年以上先に控えているお子様にとっては、日頃忙しくて取り組むこと")</f>
        <v>夏休みは受験生にとってまさに天王山です。受験を1年以上先に控えているお子様にとっては、日頃忙しくて取り組むこと</v>
      </c>
      <c r="E31" s="32">
        <f>IFERROR(__xludf.DUMMYFUNCTION("IFERROR(
  VLOOKUP(
    A31,
    IMPORTRANGE(
      ""1ZygntHC1J6IxzKbTidmOyf5nUyW4GCLurHCjexrLm_o        "",
      ""HTMLキャッシュ!A:F""
    ),
    3,
    FALSE
  ),
  0
)
"),46015.75512731481)</f>
        <v>46015.75513</v>
      </c>
      <c r="F31" s="49">
        <f>IFERROR(__xludf.DUMMYFUNCTION("IFERROR(
  VLOOKUP(
    A31,
    IMPORTRANGE(
      ""1ZHMy3vVUd_0MrSduXTe1etBb1HNpAlGwQr006ljwMiM"",
      ""GSC最新!A:F""
    ),
    2,
    FALSE
  ),
  0
)
"),0.0)</f>
        <v>0</v>
      </c>
      <c r="G31" s="49">
        <f>IFERROR(__xludf.DUMMYFUNCTION("IFERROR(
  VLOOKUP(
    A31,
    IMPORTRANGE(
      ""1ZHMy3vVUd_0MrSduXTe1etBb1HNpAlGwQr006ljwMiM"",
      ""GSC最新!A:F""
    ),
    3,
    FALSE
  ),
  0
)
"),0.0)</f>
        <v>0</v>
      </c>
      <c r="H31" s="49">
        <f>IFERROR(__xludf.DUMMYFUNCTION("IFERROR(
  VLOOKUP(
    A31,
    IMPORTRANGE(
      ""1ZHMy3vVUd_0MrSduXTe1etBb1HNpAlGwQr006ljwMiM"",
      ""GSC最新!A:F""
    ),
    4,
    FALSE
  ),
  0
)
"),0.0)</f>
        <v>0</v>
      </c>
      <c r="I31" s="49">
        <f>IFERROR(__xludf.DUMMYFUNCTION("IFERROR(
  VLOOKUP(
    A31,
    IMPORTRANGE(
      ""1ZHMy3vVUd_0MrSduXTe1etBb1HNpAlGwQr006ljwMiM"",
      ""GSC最新!A:F""
    ),
    5,
    FALSE
  ),
  0
)
"),0.0)</f>
        <v>0</v>
      </c>
      <c r="J31" s="50" t="str">
        <f t="shared" ref="J31:K31" si="146">IFERROR(F31/H31,"-")</f>
        <v>-</v>
      </c>
      <c r="K31" s="50" t="str">
        <f t="shared" si="146"/>
        <v>-</v>
      </c>
      <c r="L31" s="6">
        <f>IFERROR(__xludf.DUMMYFUNCTION("IFERROR(
  VLOOKUP(
    A31,
    IMPORTRANGE(
      ""1ZHMy3vVUd_0MrSduXTe1etBb1HNpAlGwQr006ljwMiM"",
      ""GSC最新!A:R""
    ),
    7,
    FALSE
  ),
  0
)
"),0.0)</f>
        <v>0</v>
      </c>
      <c r="M31" s="6">
        <f>IFERROR(__xludf.DUMMYFUNCTION("IFERROR(
  VLOOKUP(
    A31,
    IMPORTRANGE(
      ""1ZHMy3vVUd_0MrSduXTe1etBb1HNpAlGwQr006ljwMiM"",
      ""GSC最新!A:R""
    ),
    10,
    FALSE
  ),
  0
)
"),1.0)</f>
        <v>1</v>
      </c>
      <c r="N31" s="6">
        <f>IFERROR(__xludf.DUMMYFUNCTION("IFERROR(
  VLOOKUP(
    A31,
    IMPORTRANGE(
      ""1ZHMy3vVUd_0MrSduXTe1etBb1HNpAlGwQr006ljwMiM"",
      ""GSC最新!A:R""
    ),
    13,
    FALSE
  ),
  0
)
"),0.0)</f>
        <v>0</v>
      </c>
      <c r="O31" s="6">
        <f>IFERROR(__xludf.DUMMYFUNCTION("IFERROR(
  VLOOKUP(
    A31,
    IMPORTRANGE(
      ""1ZHMy3vVUd_0MrSduXTe1etBb1HNpAlGwQr006ljwMiM"",
      ""GSC最新!A:R""
    ),
    16,
    FALSE
  ),
  0
)
"),0.0)</f>
        <v>0</v>
      </c>
      <c r="P31" s="51" t="str">
        <f t="shared" ref="P31:Q31" si="147">IFERROR(L31/N31,"-")</f>
        <v>-</v>
      </c>
      <c r="Q31" s="51" t="str">
        <f t="shared" si="147"/>
        <v>-</v>
      </c>
      <c r="R31" s="9">
        <f>IFERROR(__xludf.DUMMYFUNCTION("IFERROR(
  VLOOKUP(
    A31,
    IMPORTRANGE(
      ""1ZHMy3vVUd_0MrSduXTe1etBb1HNpAlGwQr006ljwMiM"",
      ""GSC最新!A:R""
    ),
    8,
    FALSE
  ),
  0
)
"),0.0)</f>
        <v>0</v>
      </c>
      <c r="S31" s="9">
        <f>IFERROR(__xludf.DUMMYFUNCTION("IFERROR(
  VLOOKUP(
    A31,
    IMPORTRANGE(
      ""1ZHMy3vVUd_0MrSduXTe1etBb1HNpAlGwQr006ljwMiM"",
      ""GSC最新!A:R""
    ),
    11,
    FALSE
  ),
  0
)
"),0.0)</f>
        <v>0</v>
      </c>
      <c r="T31" s="9">
        <f>IFERROR(__xludf.DUMMYFUNCTION("IFERROR(
  VLOOKUP(
    A31,
    IMPORTRANGE(
      ""1ZHMy3vVUd_0MrSduXTe1etBb1HNpAlGwQr006ljwMiM"",
      ""GSC最新!A:R""
    ),
    14,
    FALSE
  ),
  0
)
"),0.0)</f>
        <v>0</v>
      </c>
      <c r="U31" s="9">
        <f>IFERROR(__xludf.DUMMYFUNCTION("IFERROR(
  VLOOKUP(
    A31,
    IMPORTRANGE(
      ""1ZHMy3vVUd_0MrSduXTe1etBb1HNpAlGwQr006ljwMiM"",
      ""GSC最新!A:R""
    ),
    17,
    FALSE
  ),
  0
)
"),0.0)</f>
        <v>0</v>
      </c>
      <c r="V31" s="9">
        <f t="shared" ref="V31:W31" si="148">IFERROR(R31-T31,"-")</f>
        <v>0</v>
      </c>
      <c r="W31" s="9">
        <f t="shared" si="148"/>
        <v>0</v>
      </c>
      <c r="X31" s="65" t="str">
        <f>IFERROR(__xludf.DUMMYFUNCTION("IFERROR(
  VLOOKUP(
    A31,
    IMPORTRANGE(
      ""1ZHMy3vVUd_0MrSduXTe1etBb1HNpAlGwQr006ljwMiM"",
      ""GSC最新!A:R""
    ),
    9,
    FALSE
  ),
  0
)
"),"")</f>
        <v/>
      </c>
      <c r="Y31" s="65">
        <f>IFERROR(__xludf.DUMMYFUNCTION("IFERROR(
  VLOOKUP(
    A31,
    IMPORTRANGE(
      ""1ZHMy3vVUd_0MrSduXTe1etBb1HNpAlGwQr006ljwMiM"",
      ""GSC最新!A:R""
    ),
    12,
    FALSE
  ),
  0
)
"),7.0)</f>
        <v>7</v>
      </c>
      <c r="Z31" s="65" t="str">
        <f>IFERROR(__xludf.DUMMYFUNCTION("IFERROR(
  VLOOKUP(
    A31,
    IMPORTRANGE(
      ""1ZHMy3vVUd_0MrSduXTe1etBb1HNpAlGwQr006ljwMiM"",
      ""GSC最新!A:R""
    ),
    15,
    FALSE
  ),
  0
)
"),"")</f>
        <v/>
      </c>
      <c r="AA31" s="65" t="str">
        <f>IFERROR(__xludf.DUMMYFUNCTION("IFERROR(
  VLOOKUP(
    A31,
    IMPORTRANGE(
      ""1ZHMy3vVUd_0MrSduXTe1etBb1HNpAlGwQr006ljwMiM"",
      ""GSC最新!A:R""
    ),
    18,
    FALSE
  ),
  0
)
"),"")</f>
        <v/>
      </c>
      <c r="AB31" s="65">
        <f t="shared" ref="AB31:AC31" si="149">X31-Z31</f>
        <v>0</v>
      </c>
      <c r="AC31" s="65">
        <f t="shared" si="149"/>
        <v>7</v>
      </c>
      <c r="AD31" s="53">
        <f>IFERROR(__xludf.DUMMYFUNCTION("IFERROR(
  VLOOKUP(
    A31,
    IMPORTRANGE(
      ""1ZHMy3vVUd_0MrSduXTe1etBb1HNpAlGwQr006ljwMiM"",
      ""GSC最新!A:F""
    ),
    6,
    FALSE
  ),
  0
)
"),46081.0)</f>
        <v>46081</v>
      </c>
      <c r="AE31" s="54">
        <f>IFERROR(__xludf.DUMMYFUNCTION("IFERROR(
  VLOOKUP(
    A31,
    IMPORTRANGE(
      ""1SCYQd7_cobOYqT0r_F0IqD4tE4rYn5y8Eup4PJTH8es"",
      ""Snapshot!A:M""
    ),
    5,
    FALSE
  ),
  ""-""
)
"),0.0)</f>
        <v>0</v>
      </c>
      <c r="AF31" s="54">
        <f>IFERROR(__xludf.DUMMYFUNCTION("IFERROR(
  VLOOKUP(
    A31,
    IMPORTRANGE(
      ""1SCYQd7_cobOYqT0r_F0IqD4tE4rYn5y8Eup4PJTH8es"",
      ""Snapshot!A:M""
    ),
    6,
    FALSE
  ),
  0
)
"),0.0)</f>
        <v>0</v>
      </c>
      <c r="AG31" s="54">
        <f>IFERROR(__xludf.DUMMYFUNCTION("IFERROR(
  VLOOKUP(
    A31,
    IMPORTRANGE(
      ""1SCYQd7_cobOYqT0r_F0IqD4tE4rYn5y8Eup4PJTH8es"",
      ""Snapshot!A:M""
    ),
    7,
    FALSE
  ),
  0
)
"),641.0)</f>
        <v>641</v>
      </c>
      <c r="AH31" s="54">
        <f>IFERROR(__xludf.DUMMYFUNCTION("IFERROR(
  VLOOKUP(
    A31,
    IMPORTRANGE(
      ""1SCYQd7_cobOYqT0r_F0IqD4tE4rYn5y8Eup4PJTH8es"",
      ""Snapshot!A:M""
    ),
    8,
    FALSE
  ),
  0
)
"),2.0)</f>
        <v>2</v>
      </c>
      <c r="AI31" s="54">
        <f>IFERROR(__xludf.DUMMYFUNCTION("IFERROR(
  VLOOKUP(
    A31,
    IMPORTRANGE(
      ""1SCYQd7_cobOYqT0r_F0IqD4tE4rYn5y8Eup4PJTH8es"",
      ""Snapshot!A:M""
    ),
    9,
    FALSE
  ),
  0
)
"),0.0)</f>
        <v>0</v>
      </c>
      <c r="AJ31" s="54">
        <f>IFERROR(__xludf.DUMMYFUNCTION("IFERROR(
  VLOOKUP(
    A31,
    IMPORTRANGE(
      ""1SCYQd7_cobOYqT0r_F0IqD4tE4rYn5y8Eup4PJTH8es"",
      ""Snapshot!A:M""
    ),
    13,
    FALSE
  ),
  0
)
"),2.0)</f>
        <v>2</v>
      </c>
      <c r="AK31" s="49">
        <f t="shared" ref="AK31:AL31" si="150">LEN(C31)</f>
        <v>32</v>
      </c>
      <c r="AL31" s="49">
        <f t="shared" si="150"/>
        <v>55</v>
      </c>
    </row>
    <row r="32">
      <c r="A32" s="3" t="s">
        <v>848</v>
      </c>
      <c r="B32" s="1" t="str">
        <f>IFERROR(__xludf.DUMMYFUNCTION("IFERROR(
  VLOOKUP(
    A32,
    IMPORTRANGE(
      ""1ZygntHC1J6IxzKbTidmOyf5nUyW4GCLurHCjexrLm_o"",
      ""HTMLキャッシュ!A:F""
    ),
    2,
    FALSE
  ),
  0
)
"),"NW")</f>
        <v>NW</v>
      </c>
      <c r="C32" s="1" t="str">
        <f>IFERROR(__xludf.DUMMYFUNCTION("IFERROR(
  VLOOKUP(
    A32,
    IMPORTRANGE(
      ""1ZygntHC1J6IxzKbTidmOyf5nUyW4GCLurHCjexrLm_o"",
      ""HTMLキャッシュ!A:F""
    ),
    5,
    FALSE
  ),
  0
)
"),"2021年度夏期講習開催のお知らせ - 受験社会専門塾「令和」")</f>
        <v>2021年度夏期講習開催のお知らせ - 受験社会専門塾「令和」</v>
      </c>
      <c r="D32" s="1" t="str">
        <f>IFERROR(__xludf.DUMMYFUNCTION("IFERROR(
  VLOOKUP(
    A32,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32" s="32">
        <f>IFERROR(__xludf.DUMMYFUNCTION("IFERROR(
  VLOOKUP(
    A32,
    IMPORTRANGE(
      ""1ZygntHC1J6IxzKbTidmOyf5nUyW4GCLurHCjexrLm_o        "",
      ""HTMLキャッシュ!A:F""
    ),
    3,
    FALSE
  ),
  0
)
"),44384.64042824074)</f>
        <v>44384.64043</v>
      </c>
      <c r="F32" s="49">
        <f>IFERROR(__xludf.DUMMYFUNCTION("IFERROR(
  VLOOKUP(
    A32,
    IMPORTRANGE(
      ""1ZHMy3vVUd_0MrSduXTe1etBb1HNpAlGwQr006ljwMiM"",
      ""GSC最新!A:F""
    ),
    2,
    FALSE
  ),
  0
)
"),0.0)</f>
        <v>0</v>
      </c>
      <c r="G32" s="49">
        <f>IFERROR(__xludf.DUMMYFUNCTION("IFERROR(
  VLOOKUP(
    A32,
    IMPORTRANGE(
      ""1ZHMy3vVUd_0MrSduXTe1etBb1HNpAlGwQr006ljwMiM"",
      ""GSC最新!A:F""
    ),
    3,
    FALSE
  ),
  0
)
"),0.0)</f>
        <v>0</v>
      </c>
      <c r="H32" s="49">
        <f>IFERROR(__xludf.DUMMYFUNCTION("IFERROR(
  VLOOKUP(
    A32,
    IMPORTRANGE(
      ""1ZHMy3vVUd_0MrSduXTe1etBb1HNpAlGwQr006ljwMiM"",
      ""GSC最新!A:F""
    ),
    4,
    FALSE
  ),
  0
)
"),0.0)</f>
        <v>0</v>
      </c>
      <c r="I32" s="49">
        <f>IFERROR(__xludf.DUMMYFUNCTION("IFERROR(
  VLOOKUP(
    A32,
    IMPORTRANGE(
      ""1ZHMy3vVUd_0MrSduXTe1etBb1HNpAlGwQr006ljwMiM"",
      ""GSC最新!A:F""
    ),
    5,
    FALSE
  ),
  0
)
"),0.0)</f>
        <v>0</v>
      </c>
      <c r="J32" s="50" t="str">
        <f t="shared" ref="J32:K32" si="151">IFERROR(F32/H32,"-")</f>
        <v>-</v>
      </c>
      <c r="K32" s="50" t="str">
        <f t="shared" si="151"/>
        <v>-</v>
      </c>
      <c r="L32" s="6">
        <f>IFERROR(__xludf.DUMMYFUNCTION("IFERROR(
  VLOOKUP(
    A32,
    IMPORTRANGE(
      ""1ZHMy3vVUd_0MrSduXTe1etBb1HNpAlGwQr006ljwMiM"",
      ""GSC最新!A:R""
    ),
    7,
    FALSE
  ),
  0
)
"),1.0)</f>
        <v>1</v>
      </c>
      <c r="M32" s="6">
        <f>IFERROR(__xludf.DUMMYFUNCTION("IFERROR(
  VLOOKUP(
    A32,
    IMPORTRANGE(
      ""1ZHMy3vVUd_0MrSduXTe1etBb1HNpAlGwQr006ljwMiM"",
      ""GSC最新!A:R""
    ),
    10,
    FALSE
  ),
  0
)
"),1.0)</f>
        <v>1</v>
      </c>
      <c r="N32" s="6">
        <f>IFERROR(__xludf.DUMMYFUNCTION("IFERROR(
  VLOOKUP(
    A32,
    IMPORTRANGE(
      ""1ZHMy3vVUd_0MrSduXTe1etBb1HNpAlGwQr006ljwMiM"",
      ""GSC最新!A:R""
    ),
    13,
    FALSE
  ),
  0
)
"),0.0)</f>
        <v>0</v>
      </c>
      <c r="O32" s="6">
        <f>IFERROR(__xludf.DUMMYFUNCTION("IFERROR(
  VLOOKUP(
    A32,
    IMPORTRANGE(
      ""1ZHMy3vVUd_0MrSduXTe1etBb1HNpAlGwQr006ljwMiM"",
      ""GSC最新!A:R""
    ),
    16,
    FALSE
  ),
  0
)
"),1.0)</f>
        <v>1</v>
      </c>
      <c r="P32" s="51" t="str">
        <f t="shared" ref="P32:Q32" si="152">IFERROR(L32/N32,"-")</f>
        <v>-</v>
      </c>
      <c r="Q32" s="51">
        <f t="shared" si="152"/>
        <v>1</v>
      </c>
      <c r="R32" s="9">
        <f>IFERROR(__xludf.DUMMYFUNCTION("IFERROR(
  VLOOKUP(
    A32,
    IMPORTRANGE(
      ""1ZHMy3vVUd_0MrSduXTe1etBb1HNpAlGwQr006ljwMiM"",
      ""GSC最新!A:R""
    ),
    8,
    FALSE
  ),
  0
)
"),0.0)</f>
        <v>0</v>
      </c>
      <c r="S32" s="9">
        <f>IFERROR(__xludf.DUMMYFUNCTION("IFERROR(
  VLOOKUP(
    A32,
    IMPORTRANGE(
      ""1ZHMy3vVUd_0MrSduXTe1etBb1HNpAlGwQr006ljwMiM"",
      ""GSC最新!A:R""
    ),
    11,
    FALSE
  ),
  0
)
"),0.0)</f>
        <v>0</v>
      </c>
      <c r="T32" s="9">
        <f>IFERROR(__xludf.DUMMYFUNCTION("IFERROR(
  VLOOKUP(
    A32,
    IMPORTRANGE(
      ""1ZHMy3vVUd_0MrSduXTe1etBb1HNpAlGwQr006ljwMiM"",
      ""GSC最新!A:R""
    ),
    14,
    FALSE
  ),
  0
)
"),0.0)</f>
        <v>0</v>
      </c>
      <c r="U32" s="9">
        <f>IFERROR(__xludf.DUMMYFUNCTION("IFERROR(
  VLOOKUP(
    A32,
    IMPORTRANGE(
      ""1ZHMy3vVUd_0MrSduXTe1etBb1HNpAlGwQr006ljwMiM"",
      ""GSC最新!A:R""
    ),
    17,
    FALSE
  ),
  0
)
"),0.0)</f>
        <v>0</v>
      </c>
      <c r="V32" s="9">
        <f t="shared" ref="V32:W32" si="153">IFERROR(R32-T32,"-")</f>
        <v>0</v>
      </c>
      <c r="W32" s="9">
        <f t="shared" si="153"/>
        <v>0</v>
      </c>
      <c r="X32" s="65">
        <f>IFERROR(__xludf.DUMMYFUNCTION("IFERROR(
  VLOOKUP(
    A32,
    IMPORTRANGE(
      ""1ZHMy3vVUd_0MrSduXTe1etBb1HNpAlGwQr006ljwMiM"",
      ""GSC最新!A:R""
    ),
    9,
    FALSE
  ),
  0
)
"),6.0)</f>
        <v>6</v>
      </c>
      <c r="Y32" s="65">
        <f>IFERROR(__xludf.DUMMYFUNCTION("IFERROR(
  VLOOKUP(
    A32,
    IMPORTRANGE(
      ""1ZHMy3vVUd_0MrSduXTe1etBb1HNpAlGwQr006ljwMiM"",
      ""GSC最新!A:R""
    ),
    12,
    FALSE
  ),
  0
)
"),6.0)</f>
        <v>6</v>
      </c>
      <c r="Z32" s="65" t="str">
        <f>IFERROR(__xludf.DUMMYFUNCTION("IFERROR(
  VLOOKUP(
    A32,
    IMPORTRANGE(
      ""1ZHMy3vVUd_0MrSduXTe1etBb1HNpAlGwQr006ljwMiM"",
      ""GSC最新!A:R""
    ),
    15,
    FALSE
  ),
  0
)
"),"")</f>
        <v/>
      </c>
      <c r="AA32" s="65">
        <f>IFERROR(__xludf.DUMMYFUNCTION("IFERROR(
  VLOOKUP(
    A32,
    IMPORTRANGE(
      ""1ZHMy3vVUd_0MrSduXTe1etBb1HNpAlGwQr006ljwMiM"",
      ""GSC最新!A:R""
    ),
    18,
    FALSE
  ),
  0
)
"),85.0)</f>
        <v>85</v>
      </c>
      <c r="AB32" s="65">
        <f t="shared" ref="AB32:AC32" si="154">X32-Z32</f>
        <v>6</v>
      </c>
      <c r="AC32" s="65">
        <f t="shared" si="154"/>
        <v>-79</v>
      </c>
      <c r="AD32" s="53">
        <f>IFERROR(__xludf.DUMMYFUNCTION("IFERROR(
  VLOOKUP(
    A32,
    IMPORTRANGE(
      ""1ZHMy3vVUd_0MrSduXTe1etBb1HNpAlGwQr006ljwMiM"",
      ""GSC最新!A:F""
    ),
    6,
    FALSE
  ),
  0
)
"),46081.0)</f>
        <v>46081</v>
      </c>
      <c r="AE32" s="54">
        <f>IFERROR(__xludf.DUMMYFUNCTION("IFERROR(
  VLOOKUP(
    A32,
    IMPORTRANGE(
      ""1SCYQd7_cobOYqT0r_F0IqD4tE4rYn5y8Eup4PJTH8es"",
      ""Snapshot!A:M""
    ),
    5,
    FALSE
  ),
  ""-""
)
"),0.0)</f>
        <v>0</v>
      </c>
      <c r="AF32" s="54">
        <f>IFERROR(__xludf.DUMMYFUNCTION("IFERROR(
  VLOOKUP(
    A32,
    IMPORTRANGE(
      ""1SCYQd7_cobOYqT0r_F0IqD4tE4rYn5y8Eup4PJTH8es"",
      ""Snapshot!A:M""
    ),
    6,
    FALSE
  ),
  0
)
"),0.0)</f>
        <v>0</v>
      </c>
      <c r="AG32" s="54">
        <f>IFERROR(__xludf.DUMMYFUNCTION("IFERROR(
  VLOOKUP(
    A32,
    IMPORTRANGE(
      ""1SCYQd7_cobOYqT0r_F0IqD4tE4rYn5y8Eup4PJTH8es"",
      ""Snapshot!A:M""
    ),
    7,
    FALSE
  ),
  0
)
"),832.0)</f>
        <v>832</v>
      </c>
      <c r="AH32" s="54">
        <f>IFERROR(__xludf.DUMMYFUNCTION("IFERROR(
  VLOOKUP(
    A32,
    IMPORTRANGE(
      ""1SCYQd7_cobOYqT0r_F0IqD4tE4rYn5y8Eup4PJTH8es"",
      ""Snapshot!A:M""
    ),
    8,
    FALSE
  ),
  0
)
"),1.0)</f>
        <v>1</v>
      </c>
      <c r="AI32" s="54">
        <f>IFERROR(__xludf.DUMMYFUNCTION("IFERROR(
  VLOOKUP(
    A32,
    IMPORTRANGE(
      ""1SCYQd7_cobOYqT0r_F0IqD4tE4rYn5y8Eup4PJTH8es"",
      ""Snapshot!A:M""
    ),
    9,
    FALSE
  ),
  0
)
"),0.0)</f>
        <v>0</v>
      </c>
      <c r="AJ32" s="54">
        <f>IFERROR(__xludf.DUMMYFUNCTION("IFERROR(
  VLOOKUP(
    A32,
    IMPORTRANGE(
      ""1SCYQd7_cobOYqT0r_F0IqD4tE4rYn5y8Eup4PJTH8es"",
      ""Snapshot!A:M""
    ),
    13,
    FALSE
  ),
  0
)
"),2.0)</f>
        <v>2</v>
      </c>
      <c r="AK32" s="49">
        <f t="shared" ref="AK32:AL32" si="155">LEN(C32)</f>
        <v>31</v>
      </c>
      <c r="AL32" s="49">
        <f t="shared" si="155"/>
        <v>55</v>
      </c>
    </row>
    <row r="33">
      <c r="A33" s="1" t="s">
        <v>210</v>
      </c>
      <c r="B33" s="1" t="str">
        <f>IFERROR(__xludf.DUMMYFUNCTION("IFERROR(
  VLOOKUP(
    A33,
    IMPORTRANGE(
      ""1ZygntHC1J6IxzKbTidmOyf5nUyW4GCLurHCjexrLm_o"",
      ""HTMLキャッシュ!A:F""
    ),
    2,
    FALSE
  ),
  0
)
"),"-")</f>
        <v>-</v>
      </c>
      <c r="C33" s="1" t="str">
        <f>IFERROR(__xludf.DUMMYFUNCTION("IFERROR(
  VLOOKUP(
    A33,
    IMPORTRANGE(
      ""1ZygntHC1J6IxzKbTidmOyf5nUyW4GCLurHCjexrLm_o"",
      ""HTMLキャッシュ!A:F""
    ),
    5,
    FALSE
  ),
  0
)
"),"コラム - 受験社会専門塾「令和」")</f>
        <v>コラム - 受験社会専門塾「令和」</v>
      </c>
      <c r="D33" s="1" t="str">
        <f>IFERROR(__xludf.DUMMYFUNCTION("IFERROR(
  VLOOKUP(
    A33,
    IMPORTRANGE(
      ""1ZygntHC1J6IxzKbTidmOyf5nUyW4GCLurHCjexrLm_o        "",
      ""HTMLキャッシュ!A:F""
    ),
    6,
    FALSE
  ),
  0
)
"),"コラム について 受験社会専門塾「令和」 「完全１対１の社会個別指導」を中心に行っている受験社会専門塾「令和」のホームページです。")</f>
        <v>コラム について 受験社会専門塾「令和」 「完全１対１の社会個別指導」を中心に行っている受験社会専門塾「令和」のホームページです。</v>
      </c>
      <c r="E33" s="32">
        <f>IFERROR(__xludf.DUMMYFUNCTION("IFERROR(
  VLOOKUP(
    A33,
    IMPORTRANGE(
      ""1ZygntHC1J6IxzKbTidmOyf5nUyW4GCLurHCjexrLm_o        "",
      ""HTMLキャッシュ!A:F""
    ),
    3,
    FALSE
  ),
  0
)
"),25569.375)</f>
        <v>25569.375</v>
      </c>
      <c r="F33" s="49">
        <f>IFERROR(__xludf.DUMMYFUNCTION("IFERROR(
  VLOOKUP(
    A33,
    IMPORTRANGE(
      ""1ZHMy3vVUd_0MrSduXTe1etBb1HNpAlGwQr006ljwMiM"",
      ""GSC最新!A:F""
    ),
    2,
    FALSE
  ),
  0
)
"),0.0)</f>
        <v>0</v>
      </c>
      <c r="G33" s="49">
        <f>IFERROR(__xludf.DUMMYFUNCTION("IFERROR(
  VLOOKUP(
    A33,
    IMPORTRANGE(
      ""1ZHMy3vVUd_0MrSduXTe1etBb1HNpAlGwQr006ljwMiM"",
      ""GSC最新!A:F""
    ),
    3,
    FALSE
  ),
  0
)
"),0.0)</f>
        <v>0</v>
      </c>
      <c r="H33" s="49">
        <f>IFERROR(__xludf.DUMMYFUNCTION("IFERROR(
  VLOOKUP(
    A33,
    IMPORTRANGE(
      ""1ZHMy3vVUd_0MrSduXTe1etBb1HNpAlGwQr006ljwMiM"",
      ""GSC最新!A:F""
    ),
    4,
    FALSE
  ),
  0
)
"),0.0)</f>
        <v>0</v>
      </c>
      <c r="I33" s="49">
        <f>IFERROR(__xludf.DUMMYFUNCTION("IFERROR(
  VLOOKUP(
    A33,
    IMPORTRANGE(
      ""1ZHMy3vVUd_0MrSduXTe1etBb1HNpAlGwQr006ljwMiM"",
      ""GSC最新!A:F""
    ),
    5,
    FALSE
  ),
  0
)
"),0.0)</f>
        <v>0</v>
      </c>
      <c r="J33" s="50" t="str">
        <f t="shared" ref="J33:K33" si="156">IFERROR(F33/H33,"-")</f>
        <v>-</v>
      </c>
      <c r="K33" s="50" t="str">
        <f t="shared" si="156"/>
        <v>-</v>
      </c>
      <c r="L33" s="6">
        <f>IFERROR(__xludf.DUMMYFUNCTION("IFERROR(
  VLOOKUP(
    A33,
    IMPORTRANGE(
      ""1ZHMy3vVUd_0MrSduXTe1etBb1HNpAlGwQr006ljwMiM"",
      ""GSC最新!A:R""
    ),
    7,
    FALSE
  ),
  0
)
"),0.0)</f>
        <v>0</v>
      </c>
      <c r="M33" s="6">
        <f>IFERROR(__xludf.DUMMYFUNCTION("IFERROR(
  VLOOKUP(
    A33,
    IMPORTRANGE(
      ""1ZHMy3vVUd_0MrSduXTe1etBb1HNpAlGwQr006ljwMiM"",
      ""GSC最新!A:R""
    ),
    10,
    FALSE
  ),
  0
)
"),0.0)</f>
        <v>0</v>
      </c>
      <c r="N33" s="6">
        <f>IFERROR(__xludf.DUMMYFUNCTION("IFERROR(
  VLOOKUP(
    A33,
    IMPORTRANGE(
      ""1ZHMy3vVUd_0MrSduXTe1etBb1HNpAlGwQr006ljwMiM"",
      ""GSC最新!A:R""
    ),
    13,
    FALSE
  ),
  0
)
"),0.0)</f>
        <v>0</v>
      </c>
      <c r="O33" s="6">
        <f>IFERROR(__xludf.DUMMYFUNCTION("IFERROR(
  VLOOKUP(
    A33,
    IMPORTRANGE(
      ""1ZHMy3vVUd_0MrSduXTe1etBb1HNpAlGwQr006ljwMiM"",
      ""GSC最新!A:R""
    ),
    16,
    FALSE
  ),
  0
)
"),0.0)</f>
        <v>0</v>
      </c>
      <c r="P33" s="51" t="str">
        <f t="shared" ref="P33:Q33" si="157">IFERROR(L33/N33,"-")</f>
        <v>-</v>
      </c>
      <c r="Q33" s="51" t="str">
        <f t="shared" si="157"/>
        <v>-</v>
      </c>
      <c r="R33" s="9">
        <f>IFERROR(__xludf.DUMMYFUNCTION("IFERROR(
  VLOOKUP(
    A33,
    IMPORTRANGE(
      ""1ZHMy3vVUd_0MrSduXTe1etBb1HNpAlGwQr006ljwMiM"",
      ""GSC最新!A:R""
    ),
    8,
    FALSE
  ),
  0
)
"),0.0)</f>
        <v>0</v>
      </c>
      <c r="S33" s="9">
        <f>IFERROR(__xludf.DUMMYFUNCTION("IFERROR(
  VLOOKUP(
    A33,
    IMPORTRANGE(
      ""1ZHMy3vVUd_0MrSduXTe1etBb1HNpAlGwQr006ljwMiM"",
      ""GSC最新!A:R""
    ),
    11,
    FALSE
  ),
  0
)
"),0.0)</f>
        <v>0</v>
      </c>
      <c r="T33" s="9">
        <f>IFERROR(__xludf.DUMMYFUNCTION("IFERROR(
  VLOOKUP(
    A33,
    IMPORTRANGE(
      ""1ZHMy3vVUd_0MrSduXTe1etBb1HNpAlGwQr006ljwMiM"",
      ""GSC最新!A:R""
    ),
    14,
    FALSE
  ),
  0
)
"),0.0)</f>
        <v>0</v>
      </c>
      <c r="U33" s="9">
        <f>IFERROR(__xludf.DUMMYFUNCTION("IFERROR(
  VLOOKUP(
    A33,
    IMPORTRANGE(
      ""1ZHMy3vVUd_0MrSduXTe1etBb1HNpAlGwQr006ljwMiM"",
      ""GSC最新!A:R""
    ),
    17,
    FALSE
  ),
  0
)
"),0.0)</f>
        <v>0</v>
      </c>
      <c r="V33" s="9">
        <f t="shared" ref="V33:W33" si="158">IFERROR(R33-T33,"-")</f>
        <v>0</v>
      </c>
      <c r="W33" s="9">
        <f t="shared" si="158"/>
        <v>0</v>
      </c>
      <c r="X33" s="65" t="str">
        <f>IFERROR(__xludf.DUMMYFUNCTION("IFERROR(
  VLOOKUP(
    A33,
    IMPORTRANGE(
      ""1ZHMy3vVUd_0MrSduXTe1etBb1HNpAlGwQr006ljwMiM"",
      ""GSC最新!A:R""
    ),
    9,
    FALSE
  ),
  0
)
"),"")</f>
        <v/>
      </c>
      <c r="Y33" s="65" t="str">
        <f>IFERROR(__xludf.DUMMYFUNCTION("IFERROR(
  VLOOKUP(
    A33,
    IMPORTRANGE(
      ""1ZHMy3vVUd_0MrSduXTe1etBb1HNpAlGwQr006ljwMiM"",
      ""GSC最新!A:R""
    ),
    12,
    FALSE
  ),
  0
)
"),"")</f>
        <v/>
      </c>
      <c r="Z33" s="65" t="str">
        <f>IFERROR(__xludf.DUMMYFUNCTION("IFERROR(
  VLOOKUP(
    A33,
    IMPORTRANGE(
      ""1ZHMy3vVUd_0MrSduXTe1etBb1HNpAlGwQr006ljwMiM"",
      ""GSC最新!A:R""
    ),
    15,
    FALSE
  ),
  0
)
"),"")</f>
        <v/>
      </c>
      <c r="AA33" s="65" t="str">
        <f>IFERROR(__xludf.DUMMYFUNCTION("IFERROR(
  VLOOKUP(
    A33,
    IMPORTRANGE(
      ""1ZHMy3vVUd_0MrSduXTe1etBb1HNpAlGwQr006ljwMiM"",
      ""GSC最新!A:R""
    ),
    18,
    FALSE
  ),
  0
)
"),"")</f>
        <v/>
      </c>
      <c r="AB33" s="65">
        <f t="shared" ref="AB33:AC33" si="159">X33-Z33</f>
        <v>0</v>
      </c>
      <c r="AC33" s="65">
        <f t="shared" si="159"/>
        <v>0</v>
      </c>
      <c r="AD33" s="53">
        <f>IFERROR(__xludf.DUMMYFUNCTION("IFERROR(
  VLOOKUP(
    A33,
    IMPORTRANGE(
      ""1ZHMy3vVUd_0MrSduXTe1etBb1HNpAlGwQr006ljwMiM"",
      ""GSC最新!A:F""
    ),
    6,
    FALSE
  ),
  0
)
"),46081.0)</f>
        <v>46081</v>
      </c>
      <c r="AE33" s="54">
        <f>IFERROR(__xludf.DUMMYFUNCTION("IFERROR(
  VLOOKUP(
    A33,
    IMPORTRANGE(
      ""1SCYQd7_cobOYqT0r_F0IqD4tE4rYn5y8Eup4PJTH8es"",
      ""Snapshot!A:M""
    ),
    5,
    FALSE
  ),
  ""-""
)
"),0.0)</f>
        <v>0</v>
      </c>
      <c r="AF33" s="54">
        <f>IFERROR(__xludf.DUMMYFUNCTION("IFERROR(
  VLOOKUP(
    A33,
    IMPORTRANGE(
      ""1SCYQd7_cobOYqT0r_F0IqD4tE4rYn5y8Eup4PJTH8es"",
      ""Snapshot!A:M""
    ),
    6,
    FALSE
  ),
  0
)
"),0.0)</f>
        <v>0</v>
      </c>
      <c r="AG33" s="54">
        <f>IFERROR(__xludf.DUMMYFUNCTION("IFERROR(
  VLOOKUP(
    A33,
    IMPORTRANGE(
      ""1SCYQd7_cobOYqT0r_F0IqD4tE4rYn5y8Eup4PJTH8es"",
      ""Snapshot!A:M""
    ),
    7,
    FALSE
  ),
  0
)
"),0.0)</f>
        <v>0</v>
      </c>
      <c r="AH33" s="54">
        <f>IFERROR(__xludf.DUMMYFUNCTION("IFERROR(
  VLOOKUP(
    A33,
    IMPORTRANGE(
      ""1SCYQd7_cobOYqT0r_F0IqD4tE4rYn5y8Eup4PJTH8es"",
      ""Snapshot!A:M""
    ),
    8,
    FALSE
  ),
  0
)
"),0.0)</f>
        <v>0</v>
      </c>
      <c r="AI33" s="54">
        <f>IFERROR(__xludf.DUMMYFUNCTION("IFERROR(
  VLOOKUP(
    A33,
    IMPORTRANGE(
      ""1SCYQd7_cobOYqT0r_F0IqD4tE4rYn5y8Eup4PJTH8es"",
      ""Snapshot!A:M""
    ),
    9,
    FALSE
  ),
  0
)
"),0.0)</f>
        <v>0</v>
      </c>
      <c r="AJ33" s="54">
        <f>IFERROR(__xludf.DUMMYFUNCTION("IFERROR(
  VLOOKUP(
    A33,
    IMPORTRANGE(
      ""1SCYQd7_cobOYqT0r_F0IqD4tE4rYn5y8Eup4PJTH8es"",
      ""Snapshot!A:M""
    ),
    13,
    FALSE
  ),
  0
)
"),1.0)</f>
        <v>1</v>
      </c>
      <c r="AK33" s="49">
        <f t="shared" ref="AK33:AL33" si="160">LEN(C33)</f>
        <v>17</v>
      </c>
      <c r="AL33" s="49">
        <f t="shared" si="160"/>
        <v>65</v>
      </c>
    </row>
    <row r="34">
      <c r="A34" s="3" t="s">
        <v>849</v>
      </c>
      <c r="B34" s="1" t="str">
        <f>IFERROR(__xludf.DUMMYFUNCTION("IFERROR(
  VLOOKUP(
    A34,
    IMPORTRANGE(
      ""1ZygntHC1J6IxzKbTidmOyf5nUyW4GCLurHCjexrLm_o"",
      ""HTMLキャッシュ!A:F""
    ),
    2,
    FALSE
  ),
  0
)
"),"NW")</f>
        <v>NW</v>
      </c>
      <c r="C34" s="1" t="str">
        <f>IFERROR(__xludf.DUMMYFUNCTION("IFERROR(
  VLOOKUP(
    A34,
    IMPORTRANGE(
      ""1ZygntHC1J6IxzKbTidmOyf5nUyW4GCLurHCjexrLm_o"",
      ""HTMLキャッシュ!A:F""
    ),
    5,
    FALSE
  ),
  0
)
"),"「英語教室サポート」開校のお知らせ - 受験社会専門塾「令和」")</f>
        <v>「英語教室サポート」開校のお知らせ - 受験社会専門塾「令和」</v>
      </c>
      <c r="D34" s="1" t="str">
        <f>IFERROR(__xludf.DUMMYFUNCTION("IFERROR(
  VLOOKUP(
    A34,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34" s="32">
        <f>IFERROR(__xludf.DUMMYFUNCTION("IFERROR(
  VLOOKUP(
    A34,
    IMPORTRANGE(
      ""1ZygntHC1J6IxzKbTidmOyf5nUyW4GCLurHCjexrLm_o        "",
      ""HTMLキャッシュ!A:F""
    ),
    3,
    FALSE
  ),
  0
)
"),44292.45857638889)</f>
        <v>44292.45858</v>
      </c>
      <c r="F34" s="49">
        <f>IFERROR(__xludf.DUMMYFUNCTION("IFERROR(
  VLOOKUP(
    A34,
    IMPORTRANGE(
      ""1ZHMy3vVUd_0MrSduXTe1etBb1HNpAlGwQr006ljwMiM"",
      ""GSC最新!A:F""
    ),
    2,
    FALSE
  ),
  0
)
"),0.0)</f>
        <v>0</v>
      </c>
      <c r="G34" s="49">
        <f>IFERROR(__xludf.DUMMYFUNCTION("IFERROR(
  VLOOKUP(
    A34,
    IMPORTRANGE(
      ""1ZHMy3vVUd_0MrSduXTe1etBb1HNpAlGwQr006ljwMiM"",
      ""GSC最新!A:F""
    ),
    3,
    FALSE
  ),
  0
)
"),0.0)</f>
        <v>0</v>
      </c>
      <c r="H34" s="49">
        <f>IFERROR(__xludf.DUMMYFUNCTION("IFERROR(
  VLOOKUP(
    A34,
    IMPORTRANGE(
      ""1ZHMy3vVUd_0MrSduXTe1etBb1HNpAlGwQr006ljwMiM"",
      ""GSC最新!A:F""
    ),
    4,
    FALSE
  ),
  0
)
"),0.0)</f>
        <v>0</v>
      </c>
      <c r="I34" s="49">
        <f>IFERROR(__xludf.DUMMYFUNCTION("IFERROR(
  VLOOKUP(
    A34,
    IMPORTRANGE(
      ""1ZHMy3vVUd_0MrSduXTe1etBb1HNpAlGwQr006ljwMiM"",
      ""GSC最新!A:F""
    ),
    5,
    FALSE
  ),
  0
)
"),0.0)</f>
        <v>0</v>
      </c>
      <c r="J34" s="50" t="str">
        <f t="shared" ref="J34:K34" si="161">IFERROR(F34/H34,"-")</f>
        <v>-</v>
      </c>
      <c r="K34" s="50" t="str">
        <f t="shared" si="161"/>
        <v>-</v>
      </c>
      <c r="L34" s="6">
        <f>IFERROR(__xludf.DUMMYFUNCTION("IFERROR(
  VLOOKUP(
    A34,
    IMPORTRANGE(
      ""1ZHMy3vVUd_0MrSduXTe1etBb1HNpAlGwQr006ljwMiM"",
      ""GSC最新!A:R""
    ),
    7,
    FALSE
  ),
  0
)
"),0.0)</f>
        <v>0</v>
      </c>
      <c r="M34" s="6">
        <f>IFERROR(__xludf.DUMMYFUNCTION("IFERROR(
  VLOOKUP(
    A34,
    IMPORTRANGE(
      ""1ZHMy3vVUd_0MrSduXTe1etBb1HNpAlGwQr006ljwMiM"",
      ""GSC最新!A:R""
    ),
    10,
    FALSE
  ),
  0
)
"),0.0)</f>
        <v>0</v>
      </c>
      <c r="N34" s="6">
        <f>IFERROR(__xludf.DUMMYFUNCTION("IFERROR(
  VLOOKUP(
    A34,
    IMPORTRANGE(
      ""1ZHMy3vVUd_0MrSduXTe1etBb1HNpAlGwQr006ljwMiM"",
      ""GSC最新!A:R""
    ),
    13,
    FALSE
  ),
  0
)
"),0.0)</f>
        <v>0</v>
      </c>
      <c r="O34" s="6">
        <f>IFERROR(__xludf.DUMMYFUNCTION("IFERROR(
  VLOOKUP(
    A34,
    IMPORTRANGE(
      ""1ZHMy3vVUd_0MrSduXTe1etBb1HNpAlGwQr006ljwMiM"",
      ""GSC最新!A:R""
    ),
    16,
    FALSE
  ),
  0
)
"),0.0)</f>
        <v>0</v>
      </c>
      <c r="P34" s="51" t="str">
        <f t="shared" ref="P34:Q34" si="162">IFERROR(L34/N34,"-")</f>
        <v>-</v>
      </c>
      <c r="Q34" s="51" t="str">
        <f t="shared" si="162"/>
        <v>-</v>
      </c>
      <c r="R34" s="9">
        <f>IFERROR(__xludf.DUMMYFUNCTION("IFERROR(
  VLOOKUP(
    A34,
    IMPORTRANGE(
      ""1ZHMy3vVUd_0MrSduXTe1etBb1HNpAlGwQr006ljwMiM"",
      ""GSC最新!A:R""
    ),
    8,
    FALSE
  ),
  0
)
"),0.0)</f>
        <v>0</v>
      </c>
      <c r="S34" s="9">
        <f>IFERROR(__xludf.DUMMYFUNCTION("IFERROR(
  VLOOKUP(
    A34,
    IMPORTRANGE(
      ""1ZHMy3vVUd_0MrSduXTe1etBb1HNpAlGwQr006ljwMiM"",
      ""GSC最新!A:R""
    ),
    11,
    FALSE
  ),
  0
)
"),0.0)</f>
        <v>0</v>
      </c>
      <c r="T34" s="9">
        <f>IFERROR(__xludf.DUMMYFUNCTION("IFERROR(
  VLOOKUP(
    A34,
    IMPORTRANGE(
      ""1ZHMy3vVUd_0MrSduXTe1etBb1HNpAlGwQr006ljwMiM"",
      ""GSC最新!A:R""
    ),
    14,
    FALSE
  ),
  0
)
"),0.0)</f>
        <v>0</v>
      </c>
      <c r="U34" s="9">
        <f>IFERROR(__xludf.DUMMYFUNCTION("IFERROR(
  VLOOKUP(
    A34,
    IMPORTRANGE(
      ""1ZHMy3vVUd_0MrSduXTe1etBb1HNpAlGwQr006ljwMiM"",
      ""GSC最新!A:R""
    ),
    17,
    FALSE
  ),
  0
)
"),0.0)</f>
        <v>0</v>
      </c>
      <c r="V34" s="9">
        <f t="shared" ref="V34:W34" si="163">IFERROR(R34-T34,"-")</f>
        <v>0</v>
      </c>
      <c r="W34" s="9">
        <f t="shared" si="163"/>
        <v>0</v>
      </c>
      <c r="X34" s="65" t="str">
        <f>IFERROR(__xludf.DUMMYFUNCTION("IFERROR(
  VLOOKUP(
    A34,
    IMPORTRANGE(
      ""1ZHMy3vVUd_0MrSduXTe1etBb1HNpAlGwQr006ljwMiM"",
      ""GSC最新!A:R""
    ),
    9,
    FALSE
  ),
  0
)
"),"")</f>
        <v/>
      </c>
      <c r="Y34" s="65" t="str">
        <f>IFERROR(__xludf.DUMMYFUNCTION("IFERROR(
  VLOOKUP(
    A34,
    IMPORTRANGE(
      ""1ZHMy3vVUd_0MrSduXTe1etBb1HNpAlGwQr006ljwMiM"",
      ""GSC最新!A:R""
    ),
    12,
    FALSE
  ),
  0
)
"),"")</f>
        <v/>
      </c>
      <c r="Z34" s="65" t="str">
        <f>IFERROR(__xludf.DUMMYFUNCTION("IFERROR(
  VLOOKUP(
    A34,
    IMPORTRANGE(
      ""1ZHMy3vVUd_0MrSduXTe1etBb1HNpAlGwQr006ljwMiM"",
      ""GSC最新!A:R""
    ),
    15,
    FALSE
  ),
  0
)
"),"")</f>
        <v/>
      </c>
      <c r="AA34" s="65" t="str">
        <f>IFERROR(__xludf.DUMMYFUNCTION("IFERROR(
  VLOOKUP(
    A34,
    IMPORTRANGE(
      ""1ZHMy3vVUd_0MrSduXTe1etBb1HNpAlGwQr006ljwMiM"",
      ""GSC最新!A:R""
    ),
    18,
    FALSE
  ),
  0
)
"),"")</f>
        <v/>
      </c>
      <c r="AB34" s="65">
        <f t="shared" ref="AB34:AC34" si="164">X34-Z34</f>
        <v>0</v>
      </c>
      <c r="AC34" s="65">
        <f t="shared" si="164"/>
        <v>0</v>
      </c>
      <c r="AD34" s="53">
        <f>IFERROR(__xludf.DUMMYFUNCTION("IFERROR(
  VLOOKUP(
    A34,
    IMPORTRANGE(
      ""1ZHMy3vVUd_0MrSduXTe1etBb1HNpAlGwQr006ljwMiM"",
      ""GSC最新!A:F""
    ),
    6,
    FALSE
  ),
  0
)
"),46081.0)</f>
        <v>46081</v>
      </c>
      <c r="AE34" s="54">
        <f>IFERROR(__xludf.DUMMYFUNCTION("IFERROR(
  VLOOKUP(
    A34,
    IMPORTRANGE(
      ""1SCYQd7_cobOYqT0r_F0IqD4tE4rYn5y8Eup4PJTH8es"",
      ""Snapshot!A:M""
    ),
    5,
    FALSE
  ),
  ""-""
)
"),0.0)</f>
        <v>0</v>
      </c>
      <c r="AF34" s="54">
        <f>IFERROR(__xludf.DUMMYFUNCTION("IFERROR(
  VLOOKUP(
    A34,
    IMPORTRANGE(
      ""1SCYQd7_cobOYqT0r_F0IqD4tE4rYn5y8Eup4PJTH8es"",
      ""Snapshot!A:M""
    ),
    6,
    FALSE
  ),
  0
)
"),0.0)</f>
        <v>0</v>
      </c>
      <c r="AG34" s="54">
        <f>IFERROR(__xludf.DUMMYFUNCTION("IFERROR(
  VLOOKUP(
    A34,
    IMPORTRANGE(
      ""1SCYQd7_cobOYqT0r_F0IqD4tE4rYn5y8Eup4PJTH8es"",
      ""Snapshot!A:M""
    ),
    7,
    FALSE
  ),
  0
)
"),120.0)</f>
        <v>120</v>
      </c>
      <c r="AH34" s="54">
        <f>IFERROR(__xludf.DUMMYFUNCTION("IFERROR(
  VLOOKUP(
    A34,
    IMPORTRANGE(
      ""1SCYQd7_cobOYqT0r_F0IqD4tE4rYn5y8Eup4PJTH8es"",
      ""Snapshot!A:M""
    ),
    8,
    FALSE
  ),
  0
)
"),0.0)</f>
        <v>0</v>
      </c>
      <c r="AI34" s="54">
        <f>IFERROR(__xludf.DUMMYFUNCTION("IFERROR(
  VLOOKUP(
    A34,
    IMPORTRANGE(
      ""1SCYQd7_cobOYqT0r_F0IqD4tE4rYn5y8Eup4PJTH8es"",
      ""Snapshot!A:M""
    ),
    9,
    FALSE
  ),
  0
)
"),0.0)</f>
        <v>0</v>
      </c>
      <c r="AJ34" s="54">
        <f>IFERROR(__xludf.DUMMYFUNCTION("IFERROR(
  VLOOKUP(
    A34,
    IMPORTRANGE(
      ""1SCYQd7_cobOYqT0r_F0IqD4tE4rYn5y8Eup4PJTH8es"",
      ""Snapshot!A:M""
    ),
    13,
    FALSE
  ),
  0
)
"),2.0)</f>
        <v>2</v>
      </c>
      <c r="AK34" s="49">
        <f t="shared" ref="AK34:AL34" si="165">LEN(C34)</f>
        <v>31</v>
      </c>
      <c r="AL34" s="49">
        <f t="shared" si="165"/>
        <v>55</v>
      </c>
    </row>
    <row r="35">
      <c r="A35" s="1" t="s">
        <v>850</v>
      </c>
      <c r="B35" s="1" t="str">
        <f>IFERROR(__xludf.DUMMYFUNCTION("IFERROR(
  VLOOKUP(
    A35,
    IMPORTRANGE(
      ""1ZygntHC1J6IxzKbTidmOyf5nUyW4GCLurHCjexrLm_o"",
      ""HTMLキャッシュ!A:F""
    ),
    2,
    FALSE
  ),
  0
)
"),"NW")</f>
        <v>NW</v>
      </c>
      <c r="C35" s="1" t="str">
        <f>IFERROR(__xludf.DUMMYFUNCTION("IFERROR(
  VLOOKUP(
    A35,
    IMPORTRANGE(
      ""1ZygntHC1J6IxzKbTidmOyf5nUyW4GCLurHCjexrLm_o"",
      ""HTMLキャッシュ!A:F""
    ),
    5,
    FALSE
  ),
  0
)
"),"2023年度生徒募集のお知らせ - 受験社会専門塾「令和」")</f>
        <v>2023年度生徒募集のお知らせ - 受験社会専門塾「令和」</v>
      </c>
      <c r="D35" s="1" t="str">
        <f>IFERROR(__xludf.DUMMYFUNCTION("IFERROR(
  VLOOKUP(
    A35,
    IMPORTRANGE(
      ""1ZygntHC1J6IxzKbTidmOyf5nUyW4GCLurHCjexrLm_o        "",
      ""HTMLキャッシュ!A:F""
    ),
    6,
    FALSE
  ),
  0
)
"),"本日より、2023年度の生徒募集を開始致します。 ２月開講講座および個別指導の詳細については、下記をご覧くださ")</f>
        <v>本日より、2023年度の生徒募集を開始致します。 ２月開講講座および個別指導の詳細については、下記をご覧くださ</v>
      </c>
      <c r="E35" s="32">
        <f>IFERROR(__xludf.DUMMYFUNCTION("IFERROR(
  VLOOKUP(
    A35,
    IMPORTRANGE(
      ""1ZygntHC1J6IxzKbTidmOyf5nUyW4GCLurHCjexrLm_o        "",
      ""HTMLキャッシュ!A:F""
    ),
    3,
    FALSE
  ),
  0
)
"),46015.75667824074)</f>
        <v>46015.75668</v>
      </c>
      <c r="F35" s="49">
        <f>IFERROR(__xludf.DUMMYFUNCTION("IFERROR(
  VLOOKUP(
    A35,
    IMPORTRANGE(
      ""1ZHMy3vVUd_0MrSduXTe1etBb1HNpAlGwQr006ljwMiM"",
      ""GSC最新!A:F""
    ),
    2,
    FALSE
  ),
  0
)
"),0.0)</f>
        <v>0</v>
      </c>
      <c r="G35" s="49">
        <f>IFERROR(__xludf.DUMMYFUNCTION("IFERROR(
  VLOOKUP(
    A35,
    IMPORTRANGE(
      ""1ZHMy3vVUd_0MrSduXTe1etBb1HNpAlGwQr006ljwMiM"",
      ""GSC最新!A:F""
    ),
    3,
    FALSE
  ),
  0
)
"),0.0)</f>
        <v>0</v>
      </c>
      <c r="H35" s="49">
        <f>IFERROR(__xludf.DUMMYFUNCTION("IFERROR(
  VLOOKUP(
    A35,
    IMPORTRANGE(
      ""1ZHMy3vVUd_0MrSduXTe1etBb1HNpAlGwQr006ljwMiM"",
      ""GSC最新!A:F""
    ),
    4,
    FALSE
  ),
  0
)
"),0.0)</f>
        <v>0</v>
      </c>
      <c r="I35" s="49">
        <f>IFERROR(__xludf.DUMMYFUNCTION("IFERROR(
  VLOOKUP(
    A35,
    IMPORTRANGE(
      ""1ZHMy3vVUd_0MrSduXTe1etBb1HNpAlGwQr006ljwMiM"",
      ""GSC最新!A:F""
    ),
    5,
    FALSE
  ),
  0
)
"),0.0)</f>
        <v>0</v>
      </c>
      <c r="J35" s="50" t="str">
        <f t="shared" ref="J35:K35" si="166">IFERROR(F35/H35,"-")</f>
        <v>-</v>
      </c>
      <c r="K35" s="50" t="str">
        <f t="shared" si="166"/>
        <v>-</v>
      </c>
      <c r="L35" s="6">
        <f>IFERROR(__xludf.DUMMYFUNCTION("IFERROR(
  VLOOKUP(
    A35,
    IMPORTRANGE(
      ""1ZHMy3vVUd_0MrSduXTe1etBb1HNpAlGwQr006ljwMiM"",
      ""GSC最新!A:R""
    ),
    7,
    FALSE
  ),
  0
)
"),0.0)</f>
        <v>0</v>
      </c>
      <c r="M35" s="6">
        <f>IFERROR(__xludf.DUMMYFUNCTION("IFERROR(
  VLOOKUP(
    A35,
    IMPORTRANGE(
      ""1ZHMy3vVUd_0MrSduXTe1etBb1HNpAlGwQr006ljwMiM"",
      ""GSC最新!A:R""
    ),
    10,
    FALSE
  ),
  0
)
"),0.0)</f>
        <v>0</v>
      </c>
      <c r="N35" s="6">
        <f>IFERROR(__xludf.DUMMYFUNCTION("IFERROR(
  VLOOKUP(
    A35,
    IMPORTRANGE(
      ""1ZHMy3vVUd_0MrSduXTe1etBb1HNpAlGwQr006ljwMiM"",
      ""GSC最新!A:R""
    ),
    13,
    FALSE
  ),
  0
)
"),0.0)</f>
        <v>0</v>
      </c>
      <c r="O35" s="6">
        <f>IFERROR(__xludf.DUMMYFUNCTION("IFERROR(
  VLOOKUP(
    A35,
    IMPORTRANGE(
      ""1ZHMy3vVUd_0MrSduXTe1etBb1HNpAlGwQr006ljwMiM"",
      ""GSC最新!A:R""
    ),
    16,
    FALSE
  ),
  0
)
"),0.0)</f>
        <v>0</v>
      </c>
      <c r="P35" s="51" t="str">
        <f t="shared" ref="P35:Q35" si="167">IFERROR(L35/N35,"-")</f>
        <v>-</v>
      </c>
      <c r="Q35" s="51" t="str">
        <f t="shared" si="167"/>
        <v>-</v>
      </c>
      <c r="R35" s="9">
        <f>IFERROR(__xludf.DUMMYFUNCTION("IFERROR(
  VLOOKUP(
    A35,
    IMPORTRANGE(
      ""1ZHMy3vVUd_0MrSduXTe1etBb1HNpAlGwQr006ljwMiM"",
      ""GSC最新!A:R""
    ),
    8,
    FALSE
  ),
  0
)
"),0.0)</f>
        <v>0</v>
      </c>
      <c r="S35" s="9">
        <f>IFERROR(__xludf.DUMMYFUNCTION("IFERROR(
  VLOOKUP(
    A35,
    IMPORTRANGE(
      ""1ZHMy3vVUd_0MrSduXTe1etBb1HNpAlGwQr006ljwMiM"",
      ""GSC最新!A:R""
    ),
    11,
    FALSE
  ),
  0
)
"),0.0)</f>
        <v>0</v>
      </c>
      <c r="T35" s="9">
        <f>IFERROR(__xludf.DUMMYFUNCTION("IFERROR(
  VLOOKUP(
    A35,
    IMPORTRANGE(
      ""1ZHMy3vVUd_0MrSduXTe1etBb1HNpAlGwQr006ljwMiM"",
      ""GSC最新!A:R""
    ),
    14,
    FALSE
  ),
  0
)
"),0.0)</f>
        <v>0</v>
      </c>
      <c r="U35" s="9">
        <f>IFERROR(__xludf.DUMMYFUNCTION("IFERROR(
  VLOOKUP(
    A35,
    IMPORTRANGE(
      ""1ZHMy3vVUd_0MrSduXTe1etBb1HNpAlGwQr006ljwMiM"",
      ""GSC最新!A:R""
    ),
    17,
    FALSE
  ),
  0
)
"),0.0)</f>
        <v>0</v>
      </c>
      <c r="V35" s="9">
        <f t="shared" ref="V35:W35" si="168">IFERROR(R35-T35,"-")</f>
        <v>0</v>
      </c>
      <c r="W35" s="9">
        <f t="shared" si="168"/>
        <v>0</v>
      </c>
      <c r="X35" s="65" t="str">
        <f>IFERROR(__xludf.DUMMYFUNCTION("IFERROR(
  VLOOKUP(
    A35,
    IMPORTRANGE(
      ""1ZHMy3vVUd_0MrSduXTe1etBb1HNpAlGwQr006ljwMiM"",
      ""GSC最新!A:R""
    ),
    9,
    FALSE
  ),
  0
)
"),"")</f>
        <v/>
      </c>
      <c r="Y35" s="65" t="str">
        <f>IFERROR(__xludf.DUMMYFUNCTION("IFERROR(
  VLOOKUP(
    A35,
    IMPORTRANGE(
      ""1ZHMy3vVUd_0MrSduXTe1etBb1HNpAlGwQr006ljwMiM"",
      ""GSC最新!A:R""
    ),
    12,
    FALSE
  ),
  0
)
"),"")</f>
        <v/>
      </c>
      <c r="Z35" s="65" t="str">
        <f>IFERROR(__xludf.DUMMYFUNCTION("IFERROR(
  VLOOKUP(
    A35,
    IMPORTRANGE(
      ""1ZHMy3vVUd_0MrSduXTe1etBb1HNpAlGwQr006ljwMiM"",
      ""GSC最新!A:R""
    ),
    15,
    FALSE
  ),
  0
)
"),"")</f>
        <v/>
      </c>
      <c r="AA35" s="65" t="str">
        <f>IFERROR(__xludf.DUMMYFUNCTION("IFERROR(
  VLOOKUP(
    A35,
    IMPORTRANGE(
      ""1ZHMy3vVUd_0MrSduXTe1etBb1HNpAlGwQr006ljwMiM"",
      ""GSC最新!A:R""
    ),
    18,
    FALSE
  ),
  0
)
"),"")</f>
        <v/>
      </c>
      <c r="AB35" s="65">
        <f t="shared" ref="AB35:AC35" si="169">X35-Z35</f>
        <v>0</v>
      </c>
      <c r="AC35" s="65">
        <f t="shared" si="169"/>
        <v>0</v>
      </c>
      <c r="AD35" s="53">
        <f>IFERROR(__xludf.DUMMYFUNCTION("IFERROR(
  VLOOKUP(
    A35,
    IMPORTRANGE(
      ""1ZHMy3vVUd_0MrSduXTe1etBb1HNpAlGwQr006ljwMiM"",
      ""GSC最新!A:F""
    ),
    6,
    FALSE
  ),
  0
)
"),46081.0)</f>
        <v>46081</v>
      </c>
      <c r="AE35" s="54">
        <f>IFERROR(__xludf.DUMMYFUNCTION("IFERROR(
  VLOOKUP(
    A35,
    IMPORTRANGE(
      ""1SCYQd7_cobOYqT0r_F0IqD4tE4rYn5y8Eup4PJTH8es"",
      ""Snapshot!A:M""
    ),
    5,
    FALSE
  ),
  ""-""
)
"),0.0)</f>
        <v>0</v>
      </c>
      <c r="AF35" s="54">
        <f>IFERROR(__xludf.DUMMYFUNCTION("IFERROR(
  VLOOKUP(
    A35,
    IMPORTRANGE(
      ""1SCYQd7_cobOYqT0r_F0IqD4tE4rYn5y8Eup4PJTH8es"",
      ""Snapshot!A:M""
    ),
    6,
    FALSE
  ),
  0
)
"),0.0)</f>
        <v>0</v>
      </c>
      <c r="AG35" s="54">
        <f>IFERROR(__xludf.DUMMYFUNCTION("IFERROR(
  VLOOKUP(
    A35,
    IMPORTRANGE(
      ""1SCYQd7_cobOYqT0r_F0IqD4tE4rYn5y8Eup4PJTH8es"",
      ""Snapshot!A:M""
    ),
    7,
    FALSE
  ),
  0
)
"),322.0)</f>
        <v>322</v>
      </c>
      <c r="AH35" s="54">
        <f>IFERROR(__xludf.DUMMYFUNCTION("IFERROR(
  VLOOKUP(
    A35,
    IMPORTRANGE(
      ""1SCYQd7_cobOYqT0r_F0IqD4tE4rYn5y8Eup4PJTH8es"",
      ""Snapshot!A:M""
    ),
    8,
    FALSE
  ),
  0
)
"),3.0)</f>
        <v>3</v>
      </c>
      <c r="AI35" s="54">
        <f>IFERROR(__xludf.DUMMYFUNCTION("IFERROR(
  VLOOKUP(
    A35,
    IMPORTRANGE(
      ""1SCYQd7_cobOYqT0r_F0IqD4tE4rYn5y8Eup4PJTH8es"",
      ""Snapshot!A:M""
    ),
    9,
    FALSE
  ),
  0
)
"),0.0)</f>
        <v>0</v>
      </c>
      <c r="AJ35" s="54">
        <f>IFERROR(__xludf.DUMMYFUNCTION("IFERROR(
  VLOOKUP(
    A35,
    IMPORTRANGE(
      ""1SCYQd7_cobOYqT0r_F0IqD4tE4rYn5y8Eup4PJTH8es"",
      ""Snapshot!A:M""
    ),
    13,
    FALSE
  ),
  0
)
"),2.0)</f>
        <v>2</v>
      </c>
      <c r="AK35" s="49">
        <f t="shared" ref="AK35:AL35" si="170">LEN(C35)</f>
        <v>29</v>
      </c>
      <c r="AL35" s="49">
        <f t="shared" si="170"/>
        <v>55</v>
      </c>
    </row>
    <row r="36">
      <c r="A36" s="1" t="s">
        <v>851</v>
      </c>
      <c r="B36" s="1" t="str">
        <f>IFERROR(__xludf.DUMMYFUNCTION("IFERROR(
  VLOOKUP(
    A36,
    IMPORTRANGE(
      ""1ZygntHC1J6IxzKbTidmOyf5nUyW4GCLurHCjexrLm_o"",
      ""HTMLキャッシュ!A:F""
    ),
    2,
    FALSE
  ),
  0
)
"),"NW")</f>
        <v>NW</v>
      </c>
      <c r="C36" s="1" t="str">
        <f>IFERROR(__xludf.DUMMYFUNCTION("IFERROR(
  VLOOKUP(
    A36,
    IMPORTRANGE(
      ""1ZygntHC1J6IxzKbTidmOyf5nUyW4GCLurHCjexrLm_o"",
      ""HTMLキャッシュ!A:F""
    ),
    5,
    FALSE
  ),
  0
)
"),"2021年度生徒募集のお知らせ - 受験社会専門塾「令和」")</f>
        <v>2021年度生徒募集のお知らせ - 受験社会専門塾「令和」</v>
      </c>
      <c r="D36" s="1" t="str">
        <f>IFERROR(__xludf.DUMMYFUNCTION("IFERROR(
  VLOOKUP(
    A36,
    IMPORTRANGE(
      ""1ZygntHC1J6IxzKbTidmOyf5nUyW4GCLurHCjexrLm_o        "",
      ""HTMLキャッシュ!A:F""
    ),
    6,
    FALSE
  ),
  0
)
"),"本日より、2021年度の生徒募集を開始致します。 ２月開講講座および個別指導の詳細については、下記をご覧くださ")</f>
        <v>本日より、2021年度の生徒募集を開始致します。 ２月開講講座および個別指導の詳細については、下記をご覧くださ</v>
      </c>
      <c r="E36" s="32">
        <f>IFERROR(__xludf.DUMMYFUNCTION("IFERROR(
  VLOOKUP(
    A36,
    IMPORTRANGE(
      ""1ZygntHC1J6IxzKbTidmOyf5nUyW4GCLurHCjexrLm_o        "",
      ""HTMLキャッシュ!A:F""
    ),
    3,
    FALSE
  ),
  0
)
"),46015.74569444444)</f>
        <v>46015.74569</v>
      </c>
      <c r="F36" s="49">
        <f>IFERROR(__xludf.DUMMYFUNCTION("IFERROR(
  VLOOKUP(
    A36,
    IMPORTRANGE(
      ""1ZHMy3vVUd_0MrSduXTe1etBb1HNpAlGwQr006ljwMiM"",
      ""GSC最新!A:F""
    ),
    2,
    FALSE
  ),
  0
)
"),0.0)</f>
        <v>0</v>
      </c>
      <c r="G36" s="49">
        <f>IFERROR(__xludf.DUMMYFUNCTION("IFERROR(
  VLOOKUP(
    A36,
    IMPORTRANGE(
      ""1ZHMy3vVUd_0MrSduXTe1etBb1HNpAlGwQr006ljwMiM"",
      ""GSC最新!A:F""
    ),
    3,
    FALSE
  ),
  0
)
"),0.0)</f>
        <v>0</v>
      </c>
      <c r="H36" s="49">
        <f>IFERROR(__xludf.DUMMYFUNCTION("IFERROR(
  VLOOKUP(
    A36,
    IMPORTRANGE(
      ""1ZHMy3vVUd_0MrSduXTe1etBb1HNpAlGwQr006ljwMiM"",
      ""GSC最新!A:F""
    ),
    4,
    FALSE
  ),
  0
)
"),0.0)</f>
        <v>0</v>
      </c>
      <c r="I36" s="49">
        <f>IFERROR(__xludf.DUMMYFUNCTION("IFERROR(
  VLOOKUP(
    A36,
    IMPORTRANGE(
      ""1ZHMy3vVUd_0MrSduXTe1etBb1HNpAlGwQr006ljwMiM"",
      ""GSC最新!A:F""
    ),
    5,
    FALSE
  ),
  0
)
"),0.0)</f>
        <v>0</v>
      </c>
      <c r="J36" s="50" t="str">
        <f t="shared" ref="J36:K36" si="171">IFERROR(F36/H36,"-")</f>
        <v>-</v>
      </c>
      <c r="K36" s="50" t="str">
        <f t="shared" si="171"/>
        <v>-</v>
      </c>
      <c r="L36" s="6">
        <f>IFERROR(__xludf.DUMMYFUNCTION("IFERROR(
  VLOOKUP(
    A36,
    IMPORTRANGE(
      ""1ZHMy3vVUd_0MrSduXTe1etBb1HNpAlGwQr006ljwMiM"",
      ""GSC最新!A:R""
    ),
    7,
    FALSE
  ),
  0
)
"),0.0)</f>
        <v>0</v>
      </c>
      <c r="M36" s="6">
        <f>IFERROR(__xludf.DUMMYFUNCTION("IFERROR(
  VLOOKUP(
    A36,
    IMPORTRANGE(
      ""1ZHMy3vVUd_0MrSduXTe1etBb1HNpAlGwQr006ljwMiM"",
      ""GSC最新!A:R""
    ),
    10,
    FALSE
  ),
  0
)
"),0.0)</f>
        <v>0</v>
      </c>
      <c r="N36" s="6">
        <f>IFERROR(__xludf.DUMMYFUNCTION("IFERROR(
  VLOOKUP(
    A36,
    IMPORTRANGE(
      ""1ZHMy3vVUd_0MrSduXTe1etBb1HNpAlGwQr006ljwMiM"",
      ""GSC最新!A:R""
    ),
    13,
    FALSE
  ),
  0
)
"),0.0)</f>
        <v>0</v>
      </c>
      <c r="O36" s="6">
        <f>IFERROR(__xludf.DUMMYFUNCTION("IFERROR(
  VLOOKUP(
    A36,
    IMPORTRANGE(
      ""1ZHMy3vVUd_0MrSduXTe1etBb1HNpAlGwQr006ljwMiM"",
      ""GSC最新!A:R""
    ),
    16,
    FALSE
  ),
  0
)
"),0.0)</f>
        <v>0</v>
      </c>
      <c r="P36" s="51" t="str">
        <f t="shared" ref="P36:Q36" si="172">IFERROR(L36/N36,"-")</f>
        <v>-</v>
      </c>
      <c r="Q36" s="51" t="str">
        <f t="shared" si="172"/>
        <v>-</v>
      </c>
      <c r="R36" s="9">
        <f>IFERROR(__xludf.DUMMYFUNCTION("IFERROR(
  VLOOKUP(
    A36,
    IMPORTRANGE(
      ""1ZHMy3vVUd_0MrSduXTe1etBb1HNpAlGwQr006ljwMiM"",
      ""GSC最新!A:R""
    ),
    8,
    FALSE
  ),
  0
)
"),0.0)</f>
        <v>0</v>
      </c>
      <c r="S36" s="9">
        <f>IFERROR(__xludf.DUMMYFUNCTION("IFERROR(
  VLOOKUP(
    A36,
    IMPORTRANGE(
      ""1ZHMy3vVUd_0MrSduXTe1etBb1HNpAlGwQr006ljwMiM"",
      ""GSC最新!A:R""
    ),
    11,
    FALSE
  ),
  0
)
"),0.0)</f>
        <v>0</v>
      </c>
      <c r="T36" s="9">
        <f>IFERROR(__xludf.DUMMYFUNCTION("IFERROR(
  VLOOKUP(
    A36,
    IMPORTRANGE(
      ""1ZHMy3vVUd_0MrSduXTe1etBb1HNpAlGwQr006ljwMiM"",
      ""GSC最新!A:R""
    ),
    14,
    FALSE
  ),
  0
)
"),0.0)</f>
        <v>0</v>
      </c>
      <c r="U36" s="9">
        <f>IFERROR(__xludf.DUMMYFUNCTION("IFERROR(
  VLOOKUP(
    A36,
    IMPORTRANGE(
      ""1ZHMy3vVUd_0MrSduXTe1etBb1HNpAlGwQr006ljwMiM"",
      ""GSC最新!A:R""
    ),
    17,
    FALSE
  ),
  0
)
"),0.0)</f>
        <v>0</v>
      </c>
      <c r="V36" s="9">
        <f t="shared" ref="V36:W36" si="173">IFERROR(R36-T36,"-")</f>
        <v>0</v>
      </c>
      <c r="W36" s="9">
        <f t="shared" si="173"/>
        <v>0</v>
      </c>
      <c r="X36" s="65" t="str">
        <f>IFERROR(__xludf.DUMMYFUNCTION("IFERROR(
  VLOOKUP(
    A36,
    IMPORTRANGE(
      ""1ZHMy3vVUd_0MrSduXTe1etBb1HNpAlGwQr006ljwMiM"",
      ""GSC最新!A:R""
    ),
    9,
    FALSE
  ),
  0
)
"),"")</f>
        <v/>
      </c>
      <c r="Y36" s="65" t="str">
        <f>IFERROR(__xludf.DUMMYFUNCTION("IFERROR(
  VLOOKUP(
    A36,
    IMPORTRANGE(
      ""1ZHMy3vVUd_0MrSduXTe1etBb1HNpAlGwQr006ljwMiM"",
      ""GSC最新!A:R""
    ),
    12,
    FALSE
  ),
  0
)
"),"")</f>
        <v/>
      </c>
      <c r="Z36" s="65" t="str">
        <f>IFERROR(__xludf.DUMMYFUNCTION("IFERROR(
  VLOOKUP(
    A36,
    IMPORTRANGE(
      ""1ZHMy3vVUd_0MrSduXTe1etBb1HNpAlGwQr006ljwMiM"",
      ""GSC最新!A:R""
    ),
    15,
    FALSE
  ),
  0
)
"),"")</f>
        <v/>
      </c>
      <c r="AA36" s="65" t="str">
        <f>IFERROR(__xludf.DUMMYFUNCTION("IFERROR(
  VLOOKUP(
    A36,
    IMPORTRANGE(
      ""1ZHMy3vVUd_0MrSduXTe1etBb1HNpAlGwQr006ljwMiM"",
      ""GSC最新!A:R""
    ),
    18,
    FALSE
  ),
  0
)
"),"")</f>
        <v/>
      </c>
      <c r="AB36" s="65">
        <f t="shared" ref="AB36:AC36" si="174">X36-Z36</f>
        <v>0</v>
      </c>
      <c r="AC36" s="65">
        <f t="shared" si="174"/>
        <v>0</v>
      </c>
      <c r="AD36" s="53">
        <f>IFERROR(__xludf.DUMMYFUNCTION("IFERROR(
  VLOOKUP(
    A36,
    IMPORTRANGE(
      ""1ZHMy3vVUd_0MrSduXTe1etBb1HNpAlGwQr006ljwMiM"",
      ""GSC最新!A:F""
    ),
    6,
    FALSE
  ),
  0
)
"),46081.0)</f>
        <v>46081</v>
      </c>
      <c r="AE36" s="54">
        <f>IFERROR(__xludf.DUMMYFUNCTION("IFERROR(
  VLOOKUP(
    A36,
    IMPORTRANGE(
      ""1SCYQd7_cobOYqT0r_F0IqD4tE4rYn5y8Eup4PJTH8es"",
      ""Snapshot!A:M""
    ),
    5,
    FALSE
  ),
  ""-""
)
"),0.0)</f>
        <v>0</v>
      </c>
      <c r="AF36" s="54">
        <f>IFERROR(__xludf.DUMMYFUNCTION("IFERROR(
  VLOOKUP(
    A36,
    IMPORTRANGE(
      ""1SCYQd7_cobOYqT0r_F0IqD4tE4rYn5y8Eup4PJTH8es"",
      ""Snapshot!A:M""
    ),
    6,
    FALSE
  ),
  0
)
"),0.0)</f>
        <v>0</v>
      </c>
      <c r="AG36" s="54">
        <f>IFERROR(__xludf.DUMMYFUNCTION("IFERROR(
  VLOOKUP(
    A36,
    IMPORTRANGE(
      ""1SCYQd7_cobOYqT0r_F0IqD4tE4rYn5y8Eup4PJTH8es"",
      ""Snapshot!A:M""
    ),
    7,
    FALSE
  ),
  0
)
"),322.0)</f>
        <v>322</v>
      </c>
      <c r="AH36" s="54">
        <f>IFERROR(__xludf.DUMMYFUNCTION("IFERROR(
  VLOOKUP(
    A36,
    IMPORTRANGE(
      ""1SCYQd7_cobOYqT0r_F0IqD4tE4rYn5y8Eup4PJTH8es"",
      ""Snapshot!A:M""
    ),
    8,
    FALSE
  ),
  0
)
"),3.0)</f>
        <v>3</v>
      </c>
      <c r="AI36" s="54">
        <f>IFERROR(__xludf.DUMMYFUNCTION("IFERROR(
  VLOOKUP(
    A36,
    IMPORTRANGE(
      ""1SCYQd7_cobOYqT0r_F0IqD4tE4rYn5y8Eup4PJTH8es"",
      ""Snapshot!A:M""
    ),
    9,
    FALSE
  ),
  0
)
"),0.0)</f>
        <v>0</v>
      </c>
      <c r="AJ36" s="54">
        <f>IFERROR(__xludf.DUMMYFUNCTION("IFERROR(
  VLOOKUP(
    A36,
    IMPORTRANGE(
      ""1SCYQd7_cobOYqT0r_F0IqD4tE4rYn5y8Eup4PJTH8es"",
      ""Snapshot!A:M""
    ),
    13,
    FALSE
  ),
  0
)
"),2.0)</f>
        <v>2</v>
      </c>
      <c r="AK36" s="49">
        <f t="shared" ref="AK36:AL36" si="175">LEN(C36)</f>
        <v>29</v>
      </c>
      <c r="AL36" s="49">
        <f t="shared" si="175"/>
        <v>55</v>
      </c>
    </row>
    <row r="37">
      <c r="A37" s="1" t="s">
        <v>852</v>
      </c>
      <c r="B37" s="1" t="str">
        <f>IFERROR(__xludf.DUMMYFUNCTION("IFERROR(
  VLOOKUP(
    A37,
    IMPORTRANGE(
      ""1ZygntHC1J6IxzKbTidmOyf5nUyW4GCLurHCjexrLm_o"",
      ""HTMLキャッシュ!A:F""
    ),
    2,
    FALSE
  ),
  0
)
"),"NW")</f>
        <v>NW</v>
      </c>
      <c r="C37" s="1" t="str">
        <f>IFERROR(__xludf.DUMMYFUNCTION("IFERROR(
  VLOOKUP(
    A37,
    IMPORTRANGE(
      ""1ZygntHC1J6IxzKbTidmOyf5nUyW4GCLurHCjexrLm_o"",
      ""HTMLキャッシュ!A:F""
    ),
    5,
    FALSE
  ),
  0
)
"),"2022年度生徒募集のお知らせ - 受験社会専門塾「令和」")</f>
        <v>2022年度生徒募集のお知らせ - 受験社会専門塾「令和」</v>
      </c>
      <c r="D37" s="1" t="str">
        <f>IFERROR(__xludf.DUMMYFUNCTION("IFERROR(
  VLOOKUP(
    A37,
    IMPORTRANGE(
      ""1ZygntHC1J6IxzKbTidmOyf5nUyW4GCLurHCjexrLm_o        "",
      ""HTMLキャッシュ!A:F""
    ),
    6,
    FALSE
  ),
  0
)
"),"本日より、2022年度の生徒募集を開始致します。 ２月開講講座および個別指導の詳細については、下記をご覧くださ")</f>
        <v>本日より、2022年度の生徒募集を開始致します。 ２月開講講座および個別指導の詳細については、下記をご覧くださ</v>
      </c>
      <c r="E37" s="32">
        <f>IFERROR(__xludf.DUMMYFUNCTION("IFERROR(
  VLOOKUP(
    A37,
    IMPORTRANGE(
      ""1ZygntHC1J6IxzKbTidmOyf5nUyW4GCLurHCjexrLm_o        "",
      ""HTMLキャッシュ!A:F""
    ),
    3,
    FALSE
  ),
  0
)
"),46015.7478125)</f>
        <v>46015.74781</v>
      </c>
      <c r="F37" s="49">
        <f>IFERROR(__xludf.DUMMYFUNCTION("IFERROR(
  VLOOKUP(
    A37,
    IMPORTRANGE(
      ""1ZHMy3vVUd_0MrSduXTe1etBb1HNpAlGwQr006ljwMiM"",
      ""GSC最新!A:F""
    ),
    2,
    FALSE
  ),
  0
)
"),0.0)</f>
        <v>0</v>
      </c>
      <c r="G37" s="49">
        <f>IFERROR(__xludf.DUMMYFUNCTION("IFERROR(
  VLOOKUP(
    A37,
    IMPORTRANGE(
      ""1ZHMy3vVUd_0MrSduXTe1etBb1HNpAlGwQr006ljwMiM"",
      ""GSC最新!A:F""
    ),
    3,
    FALSE
  ),
  0
)
"),0.0)</f>
        <v>0</v>
      </c>
      <c r="H37" s="49">
        <f>IFERROR(__xludf.DUMMYFUNCTION("IFERROR(
  VLOOKUP(
    A37,
    IMPORTRANGE(
      ""1ZHMy3vVUd_0MrSduXTe1etBb1HNpAlGwQr006ljwMiM"",
      ""GSC最新!A:F""
    ),
    4,
    FALSE
  ),
  0
)
"),0.0)</f>
        <v>0</v>
      </c>
      <c r="I37" s="49">
        <f>IFERROR(__xludf.DUMMYFUNCTION("IFERROR(
  VLOOKUP(
    A37,
    IMPORTRANGE(
      ""1ZHMy3vVUd_0MrSduXTe1etBb1HNpAlGwQr006ljwMiM"",
      ""GSC最新!A:F""
    ),
    5,
    FALSE
  ),
  0
)
"),0.0)</f>
        <v>0</v>
      </c>
      <c r="J37" s="50" t="str">
        <f t="shared" ref="J37:K37" si="176">IFERROR(F37/H37,"-")</f>
        <v>-</v>
      </c>
      <c r="K37" s="50" t="str">
        <f t="shared" si="176"/>
        <v>-</v>
      </c>
      <c r="L37" s="6">
        <f>IFERROR(__xludf.DUMMYFUNCTION("IFERROR(
  VLOOKUP(
    A37,
    IMPORTRANGE(
      ""1ZHMy3vVUd_0MrSduXTe1etBb1HNpAlGwQr006ljwMiM"",
      ""GSC最新!A:R""
    ),
    7,
    FALSE
  ),
  0
)
"),0.0)</f>
        <v>0</v>
      </c>
      <c r="M37" s="6">
        <f>IFERROR(__xludf.DUMMYFUNCTION("IFERROR(
  VLOOKUP(
    A37,
    IMPORTRANGE(
      ""1ZHMy3vVUd_0MrSduXTe1etBb1HNpAlGwQr006ljwMiM"",
      ""GSC最新!A:R""
    ),
    10,
    FALSE
  ),
  0
)
"),0.0)</f>
        <v>0</v>
      </c>
      <c r="N37" s="6">
        <f>IFERROR(__xludf.DUMMYFUNCTION("IFERROR(
  VLOOKUP(
    A37,
    IMPORTRANGE(
      ""1ZHMy3vVUd_0MrSduXTe1etBb1HNpAlGwQr006ljwMiM"",
      ""GSC最新!A:R""
    ),
    13,
    FALSE
  ),
  0
)
"),0.0)</f>
        <v>0</v>
      </c>
      <c r="O37" s="6">
        <f>IFERROR(__xludf.DUMMYFUNCTION("IFERROR(
  VLOOKUP(
    A37,
    IMPORTRANGE(
      ""1ZHMy3vVUd_0MrSduXTe1etBb1HNpAlGwQr006ljwMiM"",
      ""GSC最新!A:R""
    ),
    16,
    FALSE
  ),
  0
)
"),0.0)</f>
        <v>0</v>
      </c>
      <c r="P37" s="51" t="str">
        <f t="shared" ref="P37:Q37" si="177">IFERROR(L37/N37,"-")</f>
        <v>-</v>
      </c>
      <c r="Q37" s="51" t="str">
        <f t="shared" si="177"/>
        <v>-</v>
      </c>
      <c r="R37" s="9">
        <f>IFERROR(__xludf.DUMMYFUNCTION("IFERROR(
  VLOOKUP(
    A37,
    IMPORTRANGE(
      ""1ZHMy3vVUd_0MrSduXTe1etBb1HNpAlGwQr006ljwMiM"",
      ""GSC最新!A:R""
    ),
    8,
    FALSE
  ),
  0
)
"),0.0)</f>
        <v>0</v>
      </c>
      <c r="S37" s="9">
        <f>IFERROR(__xludf.DUMMYFUNCTION("IFERROR(
  VLOOKUP(
    A37,
    IMPORTRANGE(
      ""1ZHMy3vVUd_0MrSduXTe1etBb1HNpAlGwQr006ljwMiM"",
      ""GSC最新!A:R""
    ),
    11,
    FALSE
  ),
  0
)
"),0.0)</f>
        <v>0</v>
      </c>
      <c r="T37" s="9">
        <f>IFERROR(__xludf.DUMMYFUNCTION("IFERROR(
  VLOOKUP(
    A37,
    IMPORTRANGE(
      ""1ZHMy3vVUd_0MrSduXTe1etBb1HNpAlGwQr006ljwMiM"",
      ""GSC最新!A:R""
    ),
    14,
    FALSE
  ),
  0
)
"),0.0)</f>
        <v>0</v>
      </c>
      <c r="U37" s="9">
        <f>IFERROR(__xludf.DUMMYFUNCTION("IFERROR(
  VLOOKUP(
    A37,
    IMPORTRANGE(
      ""1ZHMy3vVUd_0MrSduXTe1etBb1HNpAlGwQr006ljwMiM"",
      ""GSC最新!A:R""
    ),
    17,
    FALSE
  ),
  0
)
"),0.0)</f>
        <v>0</v>
      </c>
      <c r="V37" s="9">
        <f t="shared" ref="V37:W37" si="178">IFERROR(R37-T37,"-")</f>
        <v>0</v>
      </c>
      <c r="W37" s="9">
        <f t="shared" si="178"/>
        <v>0</v>
      </c>
      <c r="X37" s="65" t="str">
        <f>IFERROR(__xludf.DUMMYFUNCTION("IFERROR(
  VLOOKUP(
    A37,
    IMPORTRANGE(
      ""1ZHMy3vVUd_0MrSduXTe1etBb1HNpAlGwQr006ljwMiM"",
      ""GSC最新!A:R""
    ),
    9,
    FALSE
  ),
  0
)
"),"")</f>
        <v/>
      </c>
      <c r="Y37" s="65" t="str">
        <f>IFERROR(__xludf.DUMMYFUNCTION("IFERROR(
  VLOOKUP(
    A37,
    IMPORTRANGE(
      ""1ZHMy3vVUd_0MrSduXTe1etBb1HNpAlGwQr006ljwMiM"",
      ""GSC最新!A:R""
    ),
    12,
    FALSE
  ),
  0
)
"),"")</f>
        <v/>
      </c>
      <c r="Z37" s="65" t="str">
        <f>IFERROR(__xludf.DUMMYFUNCTION("IFERROR(
  VLOOKUP(
    A37,
    IMPORTRANGE(
      ""1ZHMy3vVUd_0MrSduXTe1etBb1HNpAlGwQr006ljwMiM"",
      ""GSC最新!A:R""
    ),
    15,
    FALSE
  ),
  0
)
"),"")</f>
        <v/>
      </c>
      <c r="AA37" s="65" t="str">
        <f>IFERROR(__xludf.DUMMYFUNCTION("IFERROR(
  VLOOKUP(
    A37,
    IMPORTRANGE(
      ""1ZHMy3vVUd_0MrSduXTe1etBb1HNpAlGwQr006ljwMiM"",
      ""GSC最新!A:R""
    ),
    18,
    FALSE
  ),
  0
)
"),"")</f>
        <v/>
      </c>
      <c r="AB37" s="65">
        <f t="shared" ref="AB37:AC37" si="179">X37-Z37</f>
        <v>0</v>
      </c>
      <c r="AC37" s="65">
        <f t="shared" si="179"/>
        <v>0</v>
      </c>
      <c r="AD37" s="53">
        <f>IFERROR(__xludf.DUMMYFUNCTION("IFERROR(
  VLOOKUP(
    A37,
    IMPORTRANGE(
      ""1ZHMy3vVUd_0MrSduXTe1etBb1HNpAlGwQr006ljwMiM"",
      ""GSC最新!A:F""
    ),
    6,
    FALSE
  ),
  0
)
"),46081.0)</f>
        <v>46081</v>
      </c>
      <c r="AE37" s="54">
        <f>IFERROR(__xludf.DUMMYFUNCTION("IFERROR(
  VLOOKUP(
    A37,
    IMPORTRANGE(
      ""1SCYQd7_cobOYqT0r_F0IqD4tE4rYn5y8Eup4PJTH8es"",
      ""Snapshot!A:M""
    ),
    5,
    FALSE
  ),
  ""-""
)
"),0.0)</f>
        <v>0</v>
      </c>
      <c r="AF37" s="54">
        <f>IFERROR(__xludf.DUMMYFUNCTION("IFERROR(
  VLOOKUP(
    A37,
    IMPORTRANGE(
      ""1SCYQd7_cobOYqT0r_F0IqD4tE4rYn5y8Eup4PJTH8es"",
      ""Snapshot!A:M""
    ),
    6,
    FALSE
  ),
  0
)
"),0.0)</f>
        <v>0</v>
      </c>
      <c r="AG37" s="54">
        <f>IFERROR(__xludf.DUMMYFUNCTION("IFERROR(
  VLOOKUP(
    A37,
    IMPORTRANGE(
      ""1SCYQd7_cobOYqT0r_F0IqD4tE4rYn5y8Eup4PJTH8es"",
      ""Snapshot!A:M""
    ),
    7,
    FALSE
  ),
  0
)
"),322.0)</f>
        <v>322</v>
      </c>
      <c r="AH37" s="54">
        <f>IFERROR(__xludf.DUMMYFUNCTION("IFERROR(
  VLOOKUP(
    A37,
    IMPORTRANGE(
      ""1SCYQd7_cobOYqT0r_F0IqD4tE4rYn5y8Eup4PJTH8es"",
      ""Snapshot!A:M""
    ),
    8,
    FALSE
  ),
  0
)
"),3.0)</f>
        <v>3</v>
      </c>
      <c r="AI37" s="54">
        <f>IFERROR(__xludf.DUMMYFUNCTION("IFERROR(
  VLOOKUP(
    A37,
    IMPORTRANGE(
      ""1SCYQd7_cobOYqT0r_F0IqD4tE4rYn5y8Eup4PJTH8es"",
      ""Snapshot!A:M""
    ),
    9,
    FALSE
  ),
  0
)
"),0.0)</f>
        <v>0</v>
      </c>
      <c r="AJ37" s="54">
        <f>IFERROR(__xludf.DUMMYFUNCTION("IFERROR(
  VLOOKUP(
    A37,
    IMPORTRANGE(
      ""1SCYQd7_cobOYqT0r_F0IqD4tE4rYn5y8Eup4PJTH8es"",
      ""Snapshot!A:M""
    ),
    13,
    FALSE
  ),
  0
)
"),2.0)</f>
        <v>2</v>
      </c>
      <c r="AK37" s="49">
        <f t="shared" ref="AK37:AL37" si="180">LEN(C37)</f>
        <v>29</v>
      </c>
      <c r="AL37" s="49">
        <f t="shared" si="180"/>
        <v>55</v>
      </c>
    </row>
    <row r="38">
      <c r="A38" s="3" t="s">
        <v>853</v>
      </c>
      <c r="B38" s="1" t="str">
        <f>IFERROR(__xludf.DUMMYFUNCTION("IFERROR(
  VLOOKUP(
    A38,
    IMPORTRANGE(
      ""1ZygntHC1J6IxzKbTidmOyf5nUyW4GCLurHCjexrLm_o"",
      ""HTMLキャッシュ!A:F""
    ),
    2,
    FALSE
  ),
  0
)
"),"NW")</f>
        <v>NW</v>
      </c>
      <c r="C38" s="1" t="str">
        <f>IFERROR(__xludf.DUMMYFUNCTION("IFERROR(
  VLOOKUP(
    A38,
    IMPORTRANGE(
      ""1ZygntHC1J6IxzKbTidmOyf5nUyW4GCLurHCjexrLm_o"",
      ""HTMLキャッシュ!A:F""
    ),
    5,
    FALSE
  ),
  0
)
"),"2020年度生徒募集のお知らせ - 受験社会専門塾「令和」")</f>
        <v>2020年度生徒募集のお知らせ - 受験社会専門塾「令和」</v>
      </c>
      <c r="D38" s="1" t="str">
        <f>IFERROR(__xludf.DUMMYFUNCTION("IFERROR(
  VLOOKUP(
    A38,
    IMPORTRANGE(
      ""1ZygntHC1J6IxzKbTidmOyf5nUyW4GCLurHCjexrLm_o        "",
      ""HTMLキャッシュ!A:F""
    ),
    6,
    FALSE
  ),
  0
)
"),"本日より、2020年度の生徒募集を開始致します。 ２月開講講座、個別指導の詳細については、下記をご覧下さいませ")</f>
        <v>本日より、2020年度の生徒募集を開始致します。 ２月開講講座、個別指導の詳細については、下記をご覧下さいませ</v>
      </c>
      <c r="E38" s="32">
        <f>IFERROR(__xludf.DUMMYFUNCTION("IFERROR(
  VLOOKUP(
    A38,
    IMPORTRANGE(
      ""1ZygntHC1J6IxzKbTidmOyf5nUyW4GCLurHCjexrLm_o        "",
      ""HTMLキャッシュ!A:F""
    ),
    3,
    FALSE
  ),
  0
)
"),46015.741377314815)</f>
        <v>46015.74138</v>
      </c>
      <c r="F38" s="49">
        <f>IFERROR(__xludf.DUMMYFUNCTION("IFERROR(
  VLOOKUP(
    A38,
    IMPORTRANGE(
      ""1ZHMy3vVUd_0MrSduXTe1etBb1HNpAlGwQr006ljwMiM"",
      ""GSC最新!A:F""
    ),
    2,
    FALSE
  ),
  0
)
"),0.0)</f>
        <v>0</v>
      </c>
      <c r="G38" s="49">
        <f>IFERROR(__xludf.DUMMYFUNCTION("IFERROR(
  VLOOKUP(
    A38,
    IMPORTRANGE(
      ""1ZHMy3vVUd_0MrSduXTe1etBb1HNpAlGwQr006ljwMiM"",
      ""GSC最新!A:F""
    ),
    3,
    FALSE
  ),
  0
)
"),0.0)</f>
        <v>0</v>
      </c>
      <c r="H38" s="49">
        <f>IFERROR(__xludf.DUMMYFUNCTION("IFERROR(
  VLOOKUP(
    A38,
    IMPORTRANGE(
      ""1ZHMy3vVUd_0MrSduXTe1etBb1HNpAlGwQr006ljwMiM"",
      ""GSC最新!A:F""
    ),
    4,
    FALSE
  ),
  0
)
"),0.0)</f>
        <v>0</v>
      </c>
      <c r="I38" s="49">
        <f>IFERROR(__xludf.DUMMYFUNCTION("IFERROR(
  VLOOKUP(
    A38,
    IMPORTRANGE(
      ""1ZHMy3vVUd_0MrSduXTe1etBb1HNpAlGwQr006ljwMiM"",
      ""GSC最新!A:F""
    ),
    5,
    FALSE
  ),
  0
)
"),0.0)</f>
        <v>0</v>
      </c>
      <c r="J38" s="50" t="str">
        <f t="shared" ref="J38:K38" si="181">IFERROR(F38/H38,"-")</f>
        <v>-</v>
      </c>
      <c r="K38" s="50" t="str">
        <f t="shared" si="181"/>
        <v>-</v>
      </c>
      <c r="L38" s="6">
        <f>IFERROR(__xludf.DUMMYFUNCTION("IFERROR(
  VLOOKUP(
    A38,
    IMPORTRANGE(
      ""1ZHMy3vVUd_0MrSduXTe1etBb1HNpAlGwQr006ljwMiM"",
      ""GSC最新!A:R""
    ),
    7,
    FALSE
  ),
  0
)
"),0.0)</f>
        <v>0</v>
      </c>
      <c r="M38" s="6">
        <f>IFERROR(__xludf.DUMMYFUNCTION("IFERROR(
  VLOOKUP(
    A38,
    IMPORTRANGE(
      ""1ZHMy3vVUd_0MrSduXTe1etBb1HNpAlGwQr006ljwMiM"",
      ""GSC最新!A:R""
    ),
    10,
    FALSE
  ),
  0
)
"),0.0)</f>
        <v>0</v>
      </c>
      <c r="N38" s="6">
        <f>IFERROR(__xludf.DUMMYFUNCTION("IFERROR(
  VLOOKUP(
    A38,
    IMPORTRANGE(
      ""1ZHMy3vVUd_0MrSduXTe1etBb1HNpAlGwQr006ljwMiM"",
      ""GSC最新!A:R""
    ),
    13,
    FALSE
  ),
  0
)
"),0.0)</f>
        <v>0</v>
      </c>
      <c r="O38" s="6">
        <f>IFERROR(__xludf.DUMMYFUNCTION("IFERROR(
  VLOOKUP(
    A38,
    IMPORTRANGE(
      ""1ZHMy3vVUd_0MrSduXTe1etBb1HNpAlGwQr006ljwMiM"",
      ""GSC最新!A:R""
    ),
    16,
    FALSE
  ),
  0
)
"),0.0)</f>
        <v>0</v>
      </c>
      <c r="P38" s="51" t="str">
        <f t="shared" ref="P38:Q38" si="182">IFERROR(L38/N38,"-")</f>
        <v>-</v>
      </c>
      <c r="Q38" s="51" t="str">
        <f t="shared" si="182"/>
        <v>-</v>
      </c>
      <c r="R38" s="9">
        <f>IFERROR(__xludf.DUMMYFUNCTION("IFERROR(
  VLOOKUP(
    A38,
    IMPORTRANGE(
      ""1ZHMy3vVUd_0MrSduXTe1etBb1HNpAlGwQr006ljwMiM"",
      ""GSC最新!A:R""
    ),
    8,
    FALSE
  ),
  0
)
"),0.0)</f>
        <v>0</v>
      </c>
      <c r="S38" s="9">
        <f>IFERROR(__xludf.DUMMYFUNCTION("IFERROR(
  VLOOKUP(
    A38,
    IMPORTRANGE(
      ""1ZHMy3vVUd_0MrSduXTe1etBb1HNpAlGwQr006ljwMiM"",
      ""GSC最新!A:R""
    ),
    11,
    FALSE
  ),
  0
)
"),0.0)</f>
        <v>0</v>
      </c>
      <c r="T38" s="9">
        <f>IFERROR(__xludf.DUMMYFUNCTION("IFERROR(
  VLOOKUP(
    A38,
    IMPORTRANGE(
      ""1ZHMy3vVUd_0MrSduXTe1etBb1HNpAlGwQr006ljwMiM"",
      ""GSC最新!A:R""
    ),
    14,
    FALSE
  ),
  0
)
"),0.0)</f>
        <v>0</v>
      </c>
      <c r="U38" s="9">
        <f>IFERROR(__xludf.DUMMYFUNCTION("IFERROR(
  VLOOKUP(
    A38,
    IMPORTRANGE(
      ""1ZHMy3vVUd_0MrSduXTe1etBb1HNpAlGwQr006ljwMiM"",
      ""GSC最新!A:R""
    ),
    17,
    FALSE
  ),
  0
)
"),0.0)</f>
        <v>0</v>
      </c>
      <c r="V38" s="9">
        <f t="shared" ref="V38:W38" si="183">IFERROR(R38-T38,"-")</f>
        <v>0</v>
      </c>
      <c r="W38" s="9">
        <f t="shared" si="183"/>
        <v>0</v>
      </c>
      <c r="X38" s="65" t="str">
        <f>IFERROR(__xludf.DUMMYFUNCTION("IFERROR(
  VLOOKUP(
    A38,
    IMPORTRANGE(
      ""1ZHMy3vVUd_0MrSduXTe1etBb1HNpAlGwQr006ljwMiM"",
      ""GSC最新!A:R""
    ),
    9,
    FALSE
  ),
  0
)
"),"")</f>
        <v/>
      </c>
      <c r="Y38" s="65" t="str">
        <f>IFERROR(__xludf.DUMMYFUNCTION("IFERROR(
  VLOOKUP(
    A38,
    IMPORTRANGE(
      ""1ZHMy3vVUd_0MrSduXTe1etBb1HNpAlGwQr006ljwMiM"",
      ""GSC最新!A:R""
    ),
    12,
    FALSE
  ),
  0
)
"),"")</f>
        <v/>
      </c>
      <c r="Z38" s="65" t="str">
        <f>IFERROR(__xludf.DUMMYFUNCTION("IFERROR(
  VLOOKUP(
    A38,
    IMPORTRANGE(
      ""1ZHMy3vVUd_0MrSduXTe1etBb1HNpAlGwQr006ljwMiM"",
      ""GSC最新!A:R""
    ),
    15,
    FALSE
  ),
  0
)
"),"")</f>
        <v/>
      </c>
      <c r="AA38" s="65" t="str">
        <f>IFERROR(__xludf.DUMMYFUNCTION("IFERROR(
  VLOOKUP(
    A38,
    IMPORTRANGE(
      ""1ZHMy3vVUd_0MrSduXTe1etBb1HNpAlGwQr006ljwMiM"",
      ""GSC最新!A:R""
    ),
    18,
    FALSE
  ),
  0
)
"),"")</f>
        <v/>
      </c>
      <c r="AB38" s="65">
        <f t="shared" ref="AB38:AC38" si="184">X38-Z38</f>
        <v>0</v>
      </c>
      <c r="AC38" s="65">
        <f t="shared" si="184"/>
        <v>0</v>
      </c>
      <c r="AD38" s="53">
        <f>IFERROR(__xludf.DUMMYFUNCTION("IFERROR(
  VLOOKUP(
    A38,
    IMPORTRANGE(
      ""1ZHMy3vVUd_0MrSduXTe1etBb1HNpAlGwQr006ljwMiM"",
      ""GSC最新!A:F""
    ),
    6,
    FALSE
  ),
  0
)
"),46081.0)</f>
        <v>46081</v>
      </c>
      <c r="AE38" s="54">
        <f>IFERROR(__xludf.DUMMYFUNCTION("IFERROR(
  VLOOKUP(
    A38,
    IMPORTRANGE(
      ""1SCYQd7_cobOYqT0r_F0IqD4tE4rYn5y8Eup4PJTH8es"",
      ""Snapshot!A:M""
    ),
    5,
    FALSE
  ),
  ""-""
)
"),0.0)</f>
        <v>0</v>
      </c>
      <c r="AF38" s="54">
        <f>IFERROR(__xludf.DUMMYFUNCTION("IFERROR(
  VLOOKUP(
    A38,
    IMPORTRANGE(
      ""1SCYQd7_cobOYqT0r_F0IqD4tE4rYn5y8Eup4PJTH8es"",
      ""Snapshot!A:M""
    ),
    6,
    FALSE
  ),
  0
)
"),0.0)</f>
        <v>0</v>
      </c>
      <c r="AG38" s="54">
        <f>IFERROR(__xludf.DUMMYFUNCTION("IFERROR(
  VLOOKUP(
    A38,
    IMPORTRANGE(
      ""1SCYQd7_cobOYqT0r_F0IqD4tE4rYn5y8Eup4PJTH8es"",
      ""Snapshot!A:M""
    ),
    7,
    FALSE
  ),
  0
)
"),322.0)</f>
        <v>322</v>
      </c>
      <c r="AH38" s="54">
        <f>IFERROR(__xludf.DUMMYFUNCTION("IFERROR(
  VLOOKUP(
    A38,
    IMPORTRANGE(
      ""1SCYQd7_cobOYqT0r_F0IqD4tE4rYn5y8Eup4PJTH8es"",
      ""Snapshot!A:M""
    ),
    8,
    FALSE
  ),
  0
)
"),3.0)</f>
        <v>3</v>
      </c>
      <c r="AI38" s="54">
        <f>IFERROR(__xludf.DUMMYFUNCTION("IFERROR(
  VLOOKUP(
    A38,
    IMPORTRANGE(
      ""1SCYQd7_cobOYqT0r_F0IqD4tE4rYn5y8Eup4PJTH8es"",
      ""Snapshot!A:M""
    ),
    9,
    FALSE
  ),
  0
)
"),0.0)</f>
        <v>0</v>
      </c>
      <c r="AJ38" s="54">
        <f>IFERROR(__xludf.DUMMYFUNCTION("IFERROR(
  VLOOKUP(
    A38,
    IMPORTRANGE(
      ""1SCYQd7_cobOYqT0r_F0IqD4tE4rYn5y8Eup4PJTH8es"",
      ""Snapshot!A:M""
    ),
    13,
    FALSE
  ),
  0
)
"),2.0)</f>
        <v>2</v>
      </c>
      <c r="AK38" s="49">
        <f t="shared" ref="AK38:AL38" si="185">LEN(C38)</f>
        <v>29</v>
      </c>
      <c r="AL38" s="49">
        <f t="shared" si="185"/>
        <v>55</v>
      </c>
    </row>
    <row r="39">
      <c r="A39" s="1" t="s">
        <v>854</v>
      </c>
      <c r="B39" s="1" t="str">
        <f>IFERROR(__xludf.DUMMYFUNCTION("IFERROR(
  VLOOKUP(
    A39,
    IMPORTRANGE(
      ""1ZygntHC1J6IxzKbTidmOyf5nUyW4GCLurHCjexrLm_o"",
      ""HTMLキャッシュ!A:F""
    ),
    2,
    FALSE
  ),
  0
)
"),"NW")</f>
        <v>NW</v>
      </c>
      <c r="C39" s="1" t="str">
        <f>IFERROR(__xludf.DUMMYFUNCTION("IFERROR(
  VLOOKUP(
    A39,
    IMPORTRANGE(
      ""1ZygntHC1J6IxzKbTidmOyf5nUyW4GCLurHCjexrLm_o"",
      ""HTMLキャッシュ!A:F""
    ),
    5,
    FALSE
  ),
  0
)
"),"2024年度冬期講習会開催のお知らせ - 受験社会専門塾「令和」")</f>
        <v>2024年度冬期講習会開催のお知らせ - 受験社会専門塾「令和」</v>
      </c>
      <c r="D39" s="1" t="str">
        <f>IFERROR(__xludf.DUMMYFUNCTION("IFERROR(
  VLOOKUP(
    A39,
    IMPORTRANGE(
      ""1ZygntHC1J6IxzKbTidmOyf5nUyW4GCLurHCjexrLm_o        "",
      ""HTMLキャッシュ!A:F""
    ),
    6,
    FALSE
  ),
  0
)
"),"弊塾では冬期講習会を実施いたします。現在当塾に通う生徒の皆さんはもちろん、普段他塾に通われている生徒さんにも参 中学受験を目指す新小3〜6年生対象の冬期講習会を開催！志望校対策やクラスアップ対策に特化した個別カリキュラムで実力を強化。詳細はお問い合わせを！")</f>
        <v>弊塾では冬期講習会を実施いたします。現在当塾に通う生徒の皆さんはもちろん、普段他塾に通われている生徒さんにも参 中学受験を目指す新小3〜6年生対象の冬期講習会を開催！志望校対策やクラスアップ対策に特化した個別カリキュラムで実力を強化。詳細はお問い合わせを！</v>
      </c>
      <c r="E39" s="32">
        <f>IFERROR(__xludf.DUMMYFUNCTION("IFERROR(
  VLOOKUP(
    A39,
    IMPORTRANGE(
      ""1ZygntHC1J6IxzKbTidmOyf5nUyW4GCLurHCjexrLm_o        "",
      ""HTMLキャッシュ!A:F""
    ),
    3,
    FALSE
  ),
  0
)
"),45674.676886574074)</f>
        <v>45674.67689</v>
      </c>
      <c r="F39" s="49">
        <f>IFERROR(__xludf.DUMMYFUNCTION("IFERROR(
  VLOOKUP(
    A39,
    IMPORTRANGE(
      ""1ZHMy3vVUd_0MrSduXTe1etBb1HNpAlGwQr006ljwMiM"",
      ""GSC最新!A:F""
    ),
    2,
    FALSE
  ),
  0
)
"),0.0)</f>
        <v>0</v>
      </c>
      <c r="G39" s="49">
        <f>IFERROR(__xludf.DUMMYFUNCTION("IFERROR(
  VLOOKUP(
    A39,
    IMPORTRANGE(
      ""1ZHMy3vVUd_0MrSduXTe1etBb1HNpAlGwQr006ljwMiM"",
      ""GSC最新!A:F""
    ),
    3,
    FALSE
  ),
  0
)
"),0.0)</f>
        <v>0</v>
      </c>
      <c r="H39" s="49">
        <f>IFERROR(__xludf.DUMMYFUNCTION("IFERROR(
  VLOOKUP(
    A39,
    IMPORTRANGE(
      ""1ZHMy3vVUd_0MrSduXTe1etBb1HNpAlGwQr006ljwMiM"",
      ""GSC最新!A:F""
    ),
    4,
    FALSE
  ),
  0
)
"),0.0)</f>
        <v>0</v>
      </c>
      <c r="I39" s="49">
        <f>IFERROR(__xludf.DUMMYFUNCTION("IFERROR(
  VLOOKUP(
    A39,
    IMPORTRANGE(
      ""1ZHMy3vVUd_0MrSduXTe1etBb1HNpAlGwQr006ljwMiM"",
      ""GSC最新!A:F""
    ),
    5,
    FALSE
  ),
  0
)
"),0.0)</f>
        <v>0</v>
      </c>
      <c r="J39" s="50" t="str">
        <f t="shared" ref="J39:K39" si="186">IFERROR(F39/H39,"-")</f>
        <v>-</v>
      </c>
      <c r="K39" s="50" t="str">
        <f t="shared" si="186"/>
        <v>-</v>
      </c>
      <c r="L39" s="6">
        <f>IFERROR(__xludf.DUMMYFUNCTION("IFERROR(
  VLOOKUP(
    A39,
    IMPORTRANGE(
      ""1ZHMy3vVUd_0MrSduXTe1etBb1HNpAlGwQr006ljwMiM"",
      ""GSC最新!A:R""
    ),
    7,
    FALSE
  ),
  0
)
"),0.0)</f>
        <v>0</v>
      </c>
      <c r="M39" s="6">
        <f>IFERROR(__xludf.DUMMYFUNCTION("IFERROR(
  VLOOKUP(
    A39,
    IMPORTRANGE(
      ""1ZHMy3vVUd_0MrSduXTe1etBb1HNpAlGwQr006ljwMiM"",
      ""GSC最新!A:R""
    ),
    10,
    FALSE
  ),
  0
)
"),0.0)</f>
        <v>0</v>
      </c>
      <c r="N39" s="6">
        <f>IFERROR(__xludf.DUMMYFUNCTION("IFERROR(
  VLOOKUP(
    A39,
    IMPORTRANGE(
      ""1ZHMy3vVUd_0MrSduXTe1etBb1HNpAlGwQr006ljwMiM"",
      ""GSC最新!A:R""
    ),
    13,
    FALSE
  ),
  0
)
"),0.0)</f>
        <v>0</v>
      </c>
      <c r="O39" s="6">
        <f>IFERROR(__xludf.DUMMYFUNCTION("IFERROR(
  VLOOKUP(
    A39,
    IMPORTRANGE(
      ""1ZHMy3vVUd_0MrSduXTe1etBb1HNpAlGwQr006ljwMiM"",
      ""GSC最新!A:R""
    ),
    16,
    FALSE
  ),
  0
)
"),0.0)</f>
        <v>0</v>
      </c>
      <c r="P39" s="51" t="str">
        <f t="shared" ref="P39:Q39" si="187">IFERROR(L39/N39,"-")</f>
        <v>-</v>
      </c>
      <c r="Q39" s="51" t="str">
        <f t="shared" si="187"/>
        <v>-</v>
      </c>
      <c r="R39" s="9">
        <f>IFERROR(__xludf.DUMMYFUNCTION("IFERROR(
  VLOOKUP(
    A39,
    IMPORTRANGE(
      ""1ZHMy3vVUd_0MrSduXTe1etBb1HNpAlGwQr006ljwMiM"",
      ""GSC最新!A:R""
    ),
    8,
    FALSE
  ),
  0
)
"),0.0)</f>
        <v>0</v>
      </c>
      <c r="S39" s="9">
        <f>IFERROR(__xludf.DUMMYFUNCTION("IFERROR(
  VLOOKUP(
    A39,
    IMPORTRANGE(
      ""1ZHMy3vVUd_0MrSduXTe1etBb1HNpAlGwQr006ljwMiM"",
      ""GSC最新!A:R""
    ),
    11,
    FALSE
  ),
  0
)
"),0.0)</f>
        <v>0</v>
      </c>
      <c r="T39" s="9">
        <f>IFERROR(__xludf.DUMMYFUNCTION("IFERROR(
  VLOOKUP(
    A39,
    IMPORTRANGE(
      ""1ZHMy3vVUd_0MrSduXTe1etBb1HNpAlGwQr006ljwMiM"",
      ""GSC最新!A:R""
    ),
    14,
    FALSE
  ),
  0
)
"),0.0)</f>
        <v>0</v>
      </c>
      <c r="U39" s="9">
        <f>IFERROR(__xludf.DUMMYFUNCTION("IFERROR(
  VLOOKUP(
    A39,
    IMPORTRANGE(
      ""1ZHMy3vVUd_0MrSduXTe1etBb1HNpAlGwQr006ljwMiM"",
      ""GSC最新!A:R""
    ),
    17,
    FALSE
  ),
  0
)
"),0.0)</f>
        <v>0</v>
      </c>
      <c r="V39" s="9">
        <f t="shared" ref="V39:W39" si="188">IFERROR(R39-T39,"-")</f>
        <v>0</v>
      </c>
      <c r="W39" s="9">
        <f t="shared" si="188"/>
        <v>0</v>
      </c>
      <c r="X39" s="65" t="str">
        <f>IFERROR(__xludf.DUMMYFUNCTION("IFERROR(
  VLOOKUP(
    A39,
    IMPORTRANGE(
      ""1ZHMy3vVUd_0MrSduXTe1etBb1HNpAlGwQr006ljwMiM"",
      ""GSC最新!A:R""
    ),
    9,
    FALSE
  ),
  0
)
"),"")</f>
        <v/>
      </c>
      <c r="Y39" s="65" t="str">
        <f>IFERROR(__xludf.DUMMYFUNCTION("IFERROR(
  VLOOKUP(
    A39,
    IMPORTRANGE(
      ""1ZHMy3vVUd_0MrSduXTe1etBb1HNpAlGwQr006ljwMiM"",
      ""GSC最新!A:R""
    ),
    12,
    FALSE
  ),
  0
)
"),"")</f>
        <v/>
      </c>
      <c r="Z39" s="65" t="str">
        <f>IFERROR(__xludf.DUMMYFUNCTION("IFERROR(
  VLOOKUP(
    A39,
    IMPORTRANGE(
      ""1ZHMy3vVUd_0MrSduXTe1etBb1HNpAlGwQr006ljwMiM"",
      ""GSC最新!A:R""
    ),
    15,
    FALSE
  ),
  0
)
"),"")</f>
        <v/>
      </c>
      <c r="AA39" s="65" t="str">
        <f>IFERROR(__xludf.DUMMYFUNCTION("IFERROR(
  VLOOKUP(
    A39,
    IMPORTRANGE(
      ""1ZHMy3vVUd_0MrSduXTe1etBb1HNpAlGwQr006ljwMiM"",
      ""GSC最新!A:R""
    ),
    18,
    FALSE
  ),
  0
)
"),"")</f>
        <v/>
      </c>
      <c r="AB39" s="65">
        <f t="shared" ref="AB39:AC39" si="189">X39-Z39</f>
        <v>0</v>
      </c>
      <c r="AC39" s="65">
        <f t="shared" si="189"/>
        <v>0</v>
      </c>
      <c r="AD39" s="53">
        <f>IFERROR(__xludf.DUMMYFUNCTION("IFERROR(
  VLOOKUP(
    A39,
    IMPORTRANGE(
      ""1ZHMy3vVUd_0MrSduXTe1etBb1HNpAlGwQr006ljwMiM"",
      ""GSC最新!A:F""
    ),
    6,
    FALSE
  ),
  0
)
"),46081.0)</f>
        <v>46081</v>
      </c>
      <c r="AE39" s="54">
        <f>IFERROR(__xludf.DUMMYFUNCTION("IFERROR(
  VLOOKUP(
    A39,
    IMPORTRANGE(
      ""1SCYQd7_cobOYqT0r_F0IqD4tE4rYn5y8Eup4PJTH8es"",
      ""Snapshot!A:M""
    ),
    5,
    FALSE
  ),
  ""-""
)
"),0.0)</f>
        <v>0</v>
      </c>
      <c r="AF39" s="54">
        <f>IFERROR(__xludf.DUMMYFUNCTION("IFERROR(
  VLOOKUP(
    A39,
    IMPORTRANGE(
      ""1SCYQd7_cobOYqT0r_F0IqD4tE4rYn5y8Eup4PJTH8es"",
      ""Snapshot!A:M""
    ),
    6,
    FALSE
  ),
  0
)
"),0.0)</f>
        <v>0</v>
      </c>
      <c r="AG39" s="54">
        <f>IFERROR(__xludf.DUMMYFUNCTION("IFERROR(
  VLOOKUP(
    A39,
    IMPORTRANGE(
      ""1SCYQd7_cobOYqT0r_F0IqD4tE4rYn5y8Eup4PJTH8es"",
      ""Snapshot!A:M""
    ),
    7,
    FALSE
  ),
  0
)
"),444.0)</f>
        <v>444</v>
      </c>
      <c r="AH39" s="54">
        <f>IFERROR(__xludf.DUMMYFUNCTION("IFERROR(
  VLOOKUP(
    A39,
    IMPORTRANGE(
      ""1SCYQd7_cobOYqT0r_F0IqD4tE4rYn5y8Eup4PJTH8es"",
      ""Snapshot!A:M""
    ),
    8,
    FALSE
  ),
  0
)
"),0.0)</f>
        <v>0</v>
      </c>
      <c r="AI39" s="54">
        <f>IFERROR(__xludf.DUMMYFUNCTION("IFERROR(
  VLOOKUP(
    A39,
    IMPORTRANGE(
      ""1SCYQd7_cobOYqT0r_F0IqD4tE4rYn5y8Eup4PJTH8es"",
      ""Snapshot!A:M""
    ),
    9,
    FALSE
  ),
  0
)
"),0.0)</f>
        <v>0</v>
      </c>
      <c r="AJ39" s="54">
        <f>IFERROR(__xludf.DUMMYFUNCTION("IFERROR(
  VLOOKUP(
    A39,
    IMPORTRANGE(
      ""1SCYQd7_cobOYqT0r_F0IqD4tE4rYn5y8Eup4PJTH8es"",
      ""Snapshot!A:M""
    ),
    13,
    FALSE
  ),
  0
)
"),2.0)</f>
        <v>2</v>
      </c>
      <c r="AK39" s="49">
        <f t="shared" ref="AK39:AL39" si="190">LEN(C39)</f>
        <v>32</v>
      </c>
      <c r="AL39" s="49">
        <f t="shared" si="190"/>
        <v>128</v>
      </c>
    </row>
    <row r="40">
      <c r="A40" s="1" t="s">
        <v>855</v>
      </c>
      <c r="B40" s="1" t="str">
        <f>IFERROR(__xludf.DUMMYFUNCTION("IFERROR(
  VLOOKUP(
    A40,
    IMPORTRANGE(
      ""1ZygntHC1J6IxzKbTidmOyf5nUyW4GCLurHCjexrLm_o"",
      ""HTMLキャッシュ!A:F""
    ),
    2,
    FALSE
  ),
  0
)
"),"NW")</f>
        <v>NW</v>
      </c>
      <c r="C40" s="1" t="str">
        <f>IFERROR(__xludf.DUMMYFUNCTION("IFERROR(
  VLOOKUP(
    A40,
    IMPORTRANGE(
      ""1ZygntHC1J6IxzKbTidmOyf5nUyW4GCLurHCjexrLm_o"",
      ""HTMLキャッシュ!A:F""
    ),
    5,
    FALSE
  ),
  0
)
"),"2023年度冬期講習会開催のお知らせ - 受験社会専門塾「令和」")</f>
        <v>2023年度冬期講習会開催のお知らせ - 受験社会専門塾「令和」</v>
      </c>
      <c r="D40" s="1" t="str">
        <f>IFERROR(__xludf.DUMMYFUNCTION("IFERROR(
  VLOOKUP(
    A40,
    IMPORTRANGE(
      ""1ZygntHC1J6IxzKbTidmOyf5nUyW4GCLurHCjexrLm_o        "",
      ""HTMLキャッシュ!A:F""
    ),
    6,
    FALSE
  ),
  0
)
"),"弊塾では冬期講習会を実施いたします。現在当塾に通う生徒の皆さんはもちろん、普段他塾に通われている生徒さんにも参")</f>
        <v>弊塾では冬期講習会を実施いたします。現在当塾に通う生徒の皆さんはもちろん、普段他塾に通われている生徒さんにも参</v>
      </c>
      <c r="E40" s="32">
        <f>IFERROR(__xludf.DUMMYFUNCTION("IFERROR(
  VLOOKUP(
    A40,
    IMPORTRANGE(
      ""1ZygntHC1J6IxzKbTidmOyf5nUyW4GCLurHCjexrLm_o        "",
      ""HTMLキャッシュ!A:F""
    ),
    3,
    FALSE
  ),
  0
)
"),46015.75701388889)</f>
        <v>46015.75701</v>
      </c>
      <c r="F40" s="49">
        <f>IFERROR(__xludf.DUMMYFUNCTION("IFERROR(
  VLOOKUP(
    A40,
    IMPORTRANGE(
      ""1ZHMy3vVUd_0MrSduXTe1etBb1HNpAlGwQr006ljwMiM"",
      ""GSC最新!A:F""
    ),
    2,
    FALSE
  ),
  0
)
"),0.0)</f>
        <v>0</v>
      </c>
      <c r="G40" s="49">
        <f>IFERROR(__xludf.DUMMYFUNCTION("IFERROR(
  VLOOKUP(
    A40,
    IMPORTRANGE(
      ""1ZHMy3vVUd_0MrSduXTe1etBb1HNpAlGwQr006ljwMiM"",
      ""GSC最新!A:F""
    ),
    3,
    FALSE
  ),
  0
)
"),0.0)</f>
        <v>0</v>
      </c>
      <c r="H40" s="49">
        <f>IFERROR(__xludf.DUMMYFUNCTION("IFERROR(
  VLOOKUP(
    A40,
    IMPORTRANGE(
      ""1ZHMy3vVUd_0MrSduXTe1etBb1HNpAlGwQr006ljwMiM"",
      ""GSC最新!A:F""
    ),
    4,
    FALSE
  ),
  0
)
"),0.0)</f>
        <v>0</v>
      </c>
      <c r="I40" s="49">
        <f>IFERROR(__xludf.DUMMYFUNCTION("IFERROR(
  VLOOKUP(
    A40,
    IMPORTRANGE(
      ""1ZHMy3vVUd_0MrSduXTe1etBb1HNpAlGwQr006ljwMiM"",
      ""GSC最新!A:F""
    ),
    5,
    FALSE
  ),
  0
)
"),0.0)</f>
        <v>0</v>
      </c>
      <c r="J40" s="50" t="str">
        <f t="shared" ref="J40:K40" si="191">IFERROR(F40/H40,"-")</f>
        <v>-</v>
      </c>
      <c r="K40" s="50" t="str">
        <f t="shared" si="191"/>
        <v>-</v>
      </c>
      <c r="L40" s="6">
        <f>IFERROR(__xludf.DUMMYFUNCTION("IFERROR(
  VLOOKUP(
    A40,
    IMPORTRANGE(
      ""1ZHMy3vVUd_0MrSduXTe1etBb1HNpAlGwQr006ljwMiM"",
      ""GSC最新!A:R""
    ),
    7,
    FALSE
  ),
  0
)
"),0.0)</f>
        <v>0</v>
      </c>
      <c r="M40" s="6">
        <f>IFERROR(__xludf.DUMMYFUNCTION("IFERROR(
  VLOOKUP(
    A40,
    IMPORTRANGE(
      ""1ZHMy3vVUd_0MrSduXTe1etBb1HNpAlGwQr006ljwMiM"",
      ""GSC最新!A:R""
    ),
    10,
    FALSE
  ),
  0
)
"),0.0)</f>
        <v>0</v>
      </c>
      <c r="N40" s="6">
        <f>IFERROR(__xludf.DUMMYFUNCTION("IFERROR(
  VLOOKUP(
    A40,
    IMPORTRANGE(
      ""1ZHMy3vVUd_0MrSduXTe1etBb1HNpAlGwQr006ljwMiM"",
      ""GSC最新!A:R""
    ),
    13,
    FALSE
  ),
  0
)
"),0.0)</f>
        <v>0</v>
      </c>
      <c r="O40" s="6">
        <f>IFERROR(__xludf.DUMMYFUNCTION("IFERROR(
  VLOOKUP(
    A40,
    IMPORTRANGE(
      ""1ZHMy3vVUd_0MrSduXTe1etBb1HNpAlGwQr006ljwMiM"",
      ""GSC最新!A:R""
    ),
    16,
    FALSE
  ),
  0
)
"),1.0)</f>
        <v>1</v>
      </c>
      <c r="P40" s="51" t="str">
        <f t="shared" ref="P40:Q40" si="192">IFERROR(L40/N40,"-")</f>
        <v>-</v>
      </c>
      <c r="Q40" s="51">
        <f t="shared" si="192"/>
        <v>0</v>
      </c>
      <c r="R40" s="9">
        <f>IFERROR(__xludf.DUMMYFUNCTION("IFERROR(
  VLOOKUP(
    A40,
    IMPORTRANGE(
      ""1ZHMy3vVUd_0MrSduXTe1etBb1HNpAlGwQr006ljwMiM"",
      ""GSC最新!A:R""
    ),
    8,
    FALSE
  ),
  0
)
"),0.0)</f>
        <v>0</v>
      </c>
      <c r="S40" s="9">
        <f>IFERROR(__xludf.DUMMYFUNCTION("IFERROR(
  VLOOKUP(
    A40,
    IMPORTRANGE(
      ""1ZHMy3vVUd_0MrSduXTe1etBb1HNpAlGwQr006ljwMiM"",
      ""GSC最新!A:R""
    ),
    11,
    FALSE
  ),
  0
)
"),0.0)</f>
        <v>0</v>
      </c>
      <c r="T40" s="9">
        <f>IFERROR(__xludf.DUMMYFUNCTION("IFERROR(
  VLOOKUP(
    A40,
    IMPORTRANGE(
      ""1ZHMy3vVUd_0MrSduXTe1etBb1HNpAlGwQr006ljwMiM"",
      ""GSC最新!A:R""
    ),
    14,
    FALSE
  ),
  0
)
"),0.0)</f>
        <v>0</v>
      </c>
      <c r="U40" s="9">
        <f>IFERROR(__xludf.DUMMYFUNCTION("IFERROR(
  VLOOKUP(
    A40,
    IMPORTRANGE(
      ""1ZHMy3vVUd_0MrSduXTe1etBb1HNpAlGwQr006ljwMiM"",
      ""GSC最新!A:R""
    ),
    17,
    FALSE
  ),
  0
)
"),0.0)</f>
        <v>0</v>
      </c>
      <c r="V40" s="9">
        <f t="shared" ref="V40:W40" si="193">IFERROR(R40-T40,"-")</f>
        <v>0</v>
      </c>
      <c r="W40" s="9">
        <f t="shared" si="193"/>
        <v>0</v>
      </c>
      <c r="X40" s="65" t="str">
        <f>IFERROR(__xludf.DUMMYFUNCTION("IFERROR(
  VLOOKUP(
    A40,
    IMPORTRANGE(
      ""1ZHMy3vVUd_0MrSduXTe1etBb1HNpAlGwQr006ljwMiM"",
      ""GSC最新!A:R""
    ),
    9,
    FALSE
  ),
  0
)
"),"")</f>
        <v/>
      </c>
      <c r="Y40" s="65" t="str">
        <f>IFERROR(__xludf.DUMMYFUNCTION("IFERROR(
  VLOOKUP(
    A40,
    IMPORTRANGE(
      ""1ZHMy3vVUd_0MrSduXTe1etBb1HNpAlGwQr006ljwMiM"",
      ""GSC最新!A:R""
    ),
    12,
    FALSE
  ),
  0
)
"),"")</f>
        <v/>
      </c>
      <c r="Z40" s="65" t="str">
        <f>IFERROR(__xludf.DUMMYFUNCTION("IFERROR(
  VLOOKUP(
    A40,
    IMPORTRANGE(
      ""1ZHMy3vVUd_0MrSduXTe1etBb1HNpAlGwQr006ljwMiM"",
      ""GSC最新!A:R""
    ),
    15,
    FALSE
  ),
  0
)
"),"")</f>
        <v/>
      </c>
      <c r="AA40" s="65">
        <f>IFERROR(__xludf.DUMMYFUNCTION("IFERROR(
  VLOOKUP(
    A40,
    IMPORTRANGE(
      ""1ZHMy3vVUd_0MrSduXTe1etBb1HNpAlGwQr006ljwMiM"",
      ""GSC最新!A:R""
    ),
    18,
    FALSE
  ),
  0
)
"),18.0)</f>
        <v>18</v>
      </c>
      <c r="AB40" s="65">
        <f t="shared" ref="AB40:AC40" si="194">X40-Z40</f>
        <v>0</v>
      </c>
      <c r="AC40" s="65">
        <f t="shared" si="194"/>
        <v>-18</v>
      </c>
      <c r="AD40" s="53">
        <f>IFERROR(__xludf.DUMMYFUNCTION("IFERROR(
  VLOOKUP(
    A40,
    IMPORTRANGE(
      ""1ZHMy3vVUd_0MrSduXTe1etBb1HNpAlGwQr006ljwMiM"",
      ""GSC最新!A:F""
    ),
    6,
    FALSE
  ),
  0
)
"),46081.0)</f>
        <v>46081</v>
      </c>
      <c r="AE40" s="54">
        <f>IFERROR(__xludf.DUMMYFUNCTION("IFERROR(
  VLOOKUP(
    A40,
    IMPORTRANGE(
      ""1SCYQd7_cobOYqT0r_F0IqD4tE4rYn5y8Eup4PJTH8es"",
      ""Snapshot!A:M""
    ),
    5,
    FALSE
  ),
  ""-""
)
"),0.0)</f>
        <v>0</v>
      </c>
      <c r="AF40" s="54">
        <f>IFERROR(__xludf.DUMMYFUNCTION("IFERROR(
  VLOOKUP(
    A40,
    IMPORTRANGE(
      ""1SCYQd7_cobOYqT0r_F0IqD4tE4rYn5y8Eup4PJTH8es"",
      ""Snapshot!A:M""
    ),
    6,
    FALSE
  ),
  0
)
"),0.0)</f>
        <v>0</v>
      </c>
      <c r="AG40" s="54">
        <f>IFERROR(__xludf.DUMMYFUNCTION("IFERROR(
  VLOOKUP(
    A40,
    IMPORTRANGE(
      ""1SCYQd7_cobOYqT0r_F0IqD4tE4rYn5y8Eup4PJTH8es"",
      ""Snapshot!A:M""
    ),
    7,
    FALSE
  ),
  0
)
"),445.0)</f>
        <v>445</v>
      </c>
      <c r="AH40" s="54">
        <f>IFERROR(__xludf.DUMMYFUNCTION("IFERROR(
  VLOOKUP(
    A40,
    IMPORTRANGE(
      ""1SCYQd7_cobOYqT0r_F0IqD4tE4rYn5y8Eup4PJTH8es"",
      ""Snapshot!A:M""
    ),
    8,
    FALSE
  ),
  0
)
"),2.0)</f>
        <v>2</v>
      </c>
      <c r="AI40" s="54">
        <f>IFERROR(__xludf.DUMMYFUNCTION("IFERROR(
  VLOOKUP(
    A40,
    IMPORTRANGE(
      ""1SCYQd7_cobOYqT0r_F0IqD4tE4rYn5y8Eup4PJTH8es"",
      ""Snapshot!A:M""
    ),
    9,
    FALSE
  ),
  0
)
"),0.0)</f>
        <v>0</v>
      </c>
      <c r="AJ40" s="54">
        <f>IFERROR(__xludf.DUMMYFUNCTION("IFERROR(
  VLOOKUP(
    A40,
    IMPORTRANGE(
      ""1SCYQd7_cobOYqT0r_F0IqD4tE4rYn5y8Eup4PJTH8es"",
      ""Snapshot!A:M""
    ),
    13,
    FALSE
  ),
  0
)
"),2.0)</f>
        <v>2</v>
      </c>
      <c r="AK40" s="49">
        <f t="shared" ref="AK40:AL40" si="195">LEN(C40)</f>
        <v>32</v>
      </c>
      <c r="AL40" s="49">
        <f t="shared" si="195"/>
        <v>55</v>
      </c>
    </row>
    <row r="41">
      <c r="A41" s="1" t="s">
        <v>856</v>
      </c>
      <c r="B41" s="1" t="str">
        <f>IFERROR(__xludf.DUMMYFUNCTION("IFERROR(
  VLOOKUP(
    A41,
    IMPORTRANGE(
      ""1ZygntHC1J6IxzKbTidmOyf5nUyW4GCLurHCjexrLm_o"",
      ""HTMLキャッシュ!A:F""
    ),
    2,
    FALSE
  ),
  0
)
"),"NW")</f>
        <v>NW</v>
      </c>
      <c r="C41" s="1" t="str">
        <f>IFERROR(__xludf.DUMMYFUNCTION("IFERROR(
  VLOOKUP(
    A41,
    IMPORTRANGE(
      ""1ZygntHC1J6IxzKbTidmOyf5nUyW4GCLurHCjexrLm_o"",
      ""HTMLキャッシュ!A:F""
    ),
    5,
    FALSE
  ),
  0
)
"),"2025年度冬期講習会開催のお知らせ - 受験社会専門塾「令和」")</f>
        <v>2025年度冬期講習会開催のお知らせ - 受験社会専門塾「令和」</v>
      </c>
      <c r="D41" s="1" t="str">
        <f>IFERROR(__xludf.DUMMYFUNCTION("IFERROR(
  VLOOKUP(
    A41,
    IMPORTRANGE(
      ""1ZygntHC1J6IxzKbTidmOyf5nUyW4GCLurHCjexrLm_o        "",
      ""HTMLキャッシュ!A:F""
    ),
    6,
    FALSE
  ),
  0
)
"),"弊塾では、2025年度も冬期講習会を実施いたします。現在当塾に通う生徒の皆さんはもちろん、普段他塾に通われてい")</f>
        <v>弊塾では、2025年度も冬期講習会を実施いたします。現在当塾に通う生徒の皆さんはもちろん、普段他塾に通われてい</v>
      </c>
      <c r="E41" s="32">
        <f>IFERROR(__xludf.DUMMYFUNCTION("IFERROR(
  VLOOKUP(
    A41,
    IMPORTRANGE(
      ""1ZygntHC1J6IxzKbTidmOyf5nUyW4GCLurHCjexrLm_o        "",
      ""HTMLキャッシュ!A:F""
    ),
    3,
    FALSE
  ),
  0
)
"),45986.87981481481)</f>
        <v>45986.87981</v>
      </c>
      <c r="F41" s="49">
        <f>IFERROR(__xludf.DUMMYFUNCTION("IFERROR(
  VLOOKUP(
    A41,
    IMPORTRANGE(
      ""1ZHMy3vVUd_0MrSduXTe1etBb1HNpAlGwQr006ljwMiM"",
      ""GSC最新!A:F""
    ),
    2,
    FALSE
  ),
  0
)
"),0.0)</f>
        <v>0</v>
      </c>
      <c r="G41" s="49">
        <f>IFERROR(__xludf.DUMMYFUNCTION("IFERROR(
  VLOOKUP(
    A41,
    IMPORTRANGE(
      ""1ZHMy3vVUd_0MrSduXTe1etBb1HNpAlGwQr006ljwMiM"",
      ""GSC最新!A:F""
    ),
    3,
    FALSE
  ),
  0
)
"),0.0)</f>
        <v>0</v>
      </c>
      <c r="H41" s="49">
        <f>IFERROR(__xludf.DUMMYFUNCTION("IFERROR(
  VLOOKUP(
    A41,
    IMPORTRANGE(
      ""1ZHMy3vVUd_0MrSduXTe1etBb1HNpAlGwQr006ljwMiM"",
      ""GSC最新!A:F""
    ),
    4,
    FALSE
  ),
  0
)
"),0.0)</f>
        <v>0</v>
      </c>
      <c r="I41" s="49">
        <f>IFERROR(__xludf.DUMMYFUNCTION("IFERROR(
  VLOOKUP(
    A41,
    IMPORTRANGE(
      ""1ZHMy3vVUd_0MrSduXTe1etBb1HNpAlGwQr006ljwMiM"",
      ""GSC最新!A:F""
    ),
    5,
    FALSE
  ),
  0
)
"),0.0)</f>
        <v>0</v>
      </c>
      <c r="J41" s="50" t="str">
        <f t="shared" ref="J41:K41" si="196">IFERROR(F41/H41,"-")</f>
        <v>-</v>
      </c>
      <c r="K41" s="50" t="str">
        <f t="shared" si="196"/>
        <v>-</v>
      </c>
      <c r="L41" s="6">
        <f>IFERROR(__xludf.DUMMYFUNCTION("IFERROR(
  VLOOKUP(
    A41,
    IMPORTRANGE(
      ""1ZHMy3vVUd_0MrSduXTe1etBb1HNpAlGwQr006ljwMiM"",
      ""GSC最新!A:R""
    ),
    7,
    FALSE
  ),
  0
)
"),0.0)</f>
        <v>0</v>
      </c>
      <c r="M41" s="6">
        <f>IFERROR(__xludf.DUMMYFUNCTION("IFERROR(
  VLOOKUP(
    A41,
    IMPORTRANGE(
      ""1ZHMy3vVUd_0MrSduXTe1etBb1HNpAlGwQr006ljwMiM"",
      ""GSC最新!A:R""
    ),
    10,
    FALSE
  ),
  0
)
"),0.0)</f>
        <v>0</v>
      </c>
      <c r="N41" s="6">
        <f>IFERROR(__xludf.DUMMYFUNCTION("IFERROR(
  VLOOKUP(
    A41,
    IMPORTRANGE(
      ""1ZHMy3vVUd_0MrSduXTe1etBb1HNpAlGwQr006ljwMiM"",
      ""GSC最新!A:R""
    ),
    13,
    FALSE
  ),
  0
)
"),0.0)</f>
        <v>0</v>
      </c>
      <c r="O41" s="6">
        <f>IFERROR(__xludf.DUMMYFUNCTION("IFERROR(
  VLOOKUP(
    A41,
    IMPORTRANGE(
      ""1ZHMy3vVUd_0MrSduXTe1etBb1HNpAlGwQr006ljwMiM"",
      ""GSC最新!A:R""
    ),
    16,
    FALSE
  ),
  0
)
"),0.0)</f>
        <v>0</v>
      </c>
      <c r="P41" s="51" t="str">
        <f t="shared" ref="P41:Q41" si="197">IFERROR(L41/N41,"-")</f>
        <v>-</v>
      </c>
      <c r="Q41" s="51" t="str">
        <f t="shared" si="197"/>
        <v>-</v>
      </c>
      <c r="R41" s="9">
        <f>IFERROR(__xludf.DUMMYFUNCTION("IFERROR(
  VLOOKUP(
    A41,
    IMPORTRANGE(
      ""1ZHMy3vVUd_0MrSduXTe1etBb1HNpAlGwQr006ljwMiM"",
      ""GSC最新!A:R""
    ),
    8,
    FALSE
  ),
  0
)
"),0.0)</f>
        <v>0</v>
      </c>
      <c r="S41" s="9">
        <f>IFERROR(__xludf.DUMMYFUNCTION("IFERROR(
  VLOOKUP(
    A41,
    IMPORTRANGE(
      ""1ZHMy3vVUd_0MrSduXTe1etBb1HNpAlGwQr006ljwMiM"",
      ""GSC最新!A:R""
    ),
    11,
    FALSE
  ),
  0
)
"),0.0)</f>
        <v>0</v>
      </c>
      <c r="T41" s="9">
        <f>IFERROR(__xludf.DUMMYFUNCTION("IFERROR(
  VLOOKUP(
    A41,
    IMPORTRANGE(
      ""1ZHMy3vVUd_0MrSduXTe1etBb1HNpAlGwQr006ljwMiM"",
      ""GSC最新!A:R""
    ),
    14,
    FALSE
  ),
  0
)
"),0.0)</f>
        <v>0</v>
      </c>
      <c r="U41" s="9">
        <f>IFERROR(__xludf.DUMMYFUNCTION("IFERROR(
  VLOOKUP(
    A41,
    IMPORTRANGE(
      ""1ZHMy3vVUd_0MrSduXTe1etBb1HNpAlGwQr006ljwMiM"",
      ""GSC最新!A:R""
    ),
    17,
    FALSE
  ),
  0
)
"),0.0)</f>
        <v>0</v>
      </c>
      <c r="V41" s="9">
        <f t="shared" ref="V41:W41" si="198">IFERROR(R41-T41,"-")</f>
        <v>0</v>
      </c>
      <c r="W41" s="9">
        <f t="shared" si="198"/>
        <v>0</v>
      </c>
      <c r="X41" s="65" t="str">
        <f>IFERROR(__xludf.DUMMYFUNCTION("IFERROR(
  VLOOKUP(
    A41,
    IMPORTRANGE(
      ""1ZHMy3vVUd_0MrSduXTe1etBb1HNpAlGwQr006ljwMiM"",
      ""GSC最新!A:R""
    ),
    9,
    FALSE
  ),
  0
)
"),"")</f>
        <v/>
      </c>
      <c r="Y41" s="65" t="str">
        <f>IFERROR(__xludf.DUMMYFUNCTION("IFERROR(
  VLOOKUP(
    A41,
    IMPORTRANGE(
      ""1ZHMy3vVUd_0MrSduXTe1etBb1HNpAlGwQr006ljwMiM"",
      ""GSC最新!A:R""
    ),
    12,
    FALSE
  ),
  0
)
"),"")</f>
        <v/>
      </c>
      <c r="Z41" s="65" t="str">
        <f>IFERROR(__xludf.DUMMYFUNCTION("IFERROR(
  VLOOKUP(
    A41,
    IMPORTRANGE(
      ""1ZHMy3vVUd_0MrSduXTe1etBb1HNpAlGwQr006ljwMiM"",
      ""GSC最新!A:R""
    ),
    15,
    FALSE
  ),
  0
)
"),"")</f>
        <v/>
      </c>
      <c r="AA41" s="65" t="str">
        <f>IFERROR(__xludf.DUMMYFUNCTION("IFERROR(
  VLOOKUP(
    A41,
    IMPORTRANGE(
      ""1ZHMy3vVUd_0MrSduXTe1etBb1HNpAlGwQr006ljwMiM"",
      ""GSC最新!A:R""
    ),
    18,
    FALSE
  ),
  0
)
"),"")</f>
        <v/>
      </c>
      <c r="AB41" s="65">
        <f t="shared" ref="AB41:AC41" si="199">X41-Z41</f>
        <v>0</v>
      </c>
      <c r="AC41" s="65">
        <f t="shared" si="199"/>
        <v>0</v>
      </c>
      <c r="AD41" s="53">
        <f>IFERROR(__xludf.DUMMYFUNCTION("IFERROR(
  VLOOKUP(
    A41,
    IMPORTRANGE(
      ""1ZHMy3vVUd_0MrSduXTe1etBb1HNpAlGwQr006ljwMiM"",
      ""GSC最新!A:F""
    ),
    6,
    FALSE
  ),
  0
)
"),46081.0)</f>
        <v>46081</v>
      </c>
      <c r="AE41" s="54">
        <f>IFERROR(__xludf.DUMMYFUNCTION("IFERROR(
  VLOOKUP(
    A41,
    IMPORTRANGE(
      ""1SCYQd7_cobOYqT0r_F0IqD4tE4rYn5y8Eup4PJTH8es"",
      ""Snapshot!A:M""
    ),
    5,
    FALSE
  ),
  ""-""
)
"),0.0)</f>
        <v>0</v>
      </c>
      <c r="AF41" s="54">
        <f>IFERROR(__xludf.DUMMYFUNCTION("IFERROR(
  VLOOKUP(
    A41,
    IMPORTRANGE(
      ""1SCYQd7_cobOYqT0r_F0IqD4tE4rYn5y8Eup4PJTH8es"",
      ""Snapshot!A:M""
    ),
    6,
    FALSE
  ),
  0
)
"),0.0)</f>
        <v>0</v>
      </c>
      <c r="AG41" s="54">
        <f>IFERROR(__xludf.DUMMYFUNCTION("IFERROR(
  VLOOKUP(
    A41,
    IMPORTRANGE(
      ""1SCYQd7_cobOYqT0r_F0IqD4tE4rYn5y8Eup4PJTH8es"",
      ""Snapshot!A:M""
    ),
    7,
    FALSE
  ),
  0
)
"),446.0)</f>
        <v>446</v>
      </c>
      <c r="AH41" s="54">
        <f>IFERROR(__xludf.DUMMYFUNCTION("IFERROR(
  VLOOKUP(
    A41,
    IMPORTRANGE(
      ""1SCYQd7_cobOYqT0r_F0IqD4tE4rYn5y8Eup4PJTH8es"",
      ""Snapshot!A:M""
    ),
    8,
    FALSE
  ),
  0
)
"),0.0)</f>
        <v>0</v>
      </c>
      <c r="AI41" s="54">
        <f>IFERROR(__xludf.DUMMYFUNCTION("IFERROR(
  VLOOKUP(
    A41,
    IMPORTRANGE(
      ""1SCYQd7_cobOYqT0r_F0IqD4tE4rYn5y8Eup4PJTH8es"",
      ""Snapshot!A:M""
    ),
    9,
    FALSE
  ),
  0
)
"),0.0)</f>
        <v>0</v>
      </c>
      <c r="AJ41" s="54">
        <f>IFERROR(__xludf.DUMMYFUNCTION("IFERROR(
  VLOOKUP(
    A41,
    IMPORTRANGE(
      ""1SCYQd7_cobOYqT0r_F0IqD4tE4rYn5y8Eup4PJTH8es"",
      ""Snapshot!A:M""
    ),
    13,
    FALSE
  ),
  0
)
"),2.0)</f>
        <v>2</v>
      </c>
      <c r="AK41" s="49">
        <f t="shared" ref="AK41:AL41" si="200">LEN(C41)</f>
        <v>32</v>
      </c>
      <c r="AL41" s="49">
        <f t="shared" si="200"/>
        <v>55</v>
      </c>
    </row>
    <row r="42">
      <c r="A42" s="3" t="s">
        <v>211</v>
      </c>
      <c r="B42" s="1" t="str">
        <f>IFERROR(__xludf.DUMMYFUNCTION("IFERROR(
  VLOOKUP(
    A42,
    IMPORTRANGE(
      ""1ZygntHC1J6IxzKbTidmOyf5nUyW4GCLurHCjexrLm_o"",
      ""HTMLキャッシュ!A:F""
    ),
    2,
    FALSE
  ),
  0
)
"),"-")</f>
        <v>-</v>
      </c>
      <c r="C42" s="1" t="str">
        <f>IFERROR(__xludf.DUMMYFUNCTION("IFERROR(
  VLOOKUP(
    A42,
    IMPORTRANGE(
      ""1ZygntHC1J6IxzKbTidmOyf5nUyW4GCLurHCjexrLm_o"",
      ""HTMLキャッシュ!A:F""
    ),
    5,
    FALSE
  ),
  0
)
"),"サンプルページ - 受験社会専門塾「令和」")</f>
        <v>サンプルページ - 受験社会専門塾「令和」</v>
      </c>
      <c r="D42" s="1" t="str">
        <f>IFERROR(__xludf.DUMMYFUNCTION("IFERROR(
  VLOOKUP(
    A42,
    IMPORTRANGE(
      ""1ZygntHC1J6IxzKbTidmOyf5nUyW4GCLurHCjexrLm_o        "",
      ""HTMLキャッシュ!A:F""
    ),
    6,
    FALSE
  ),
  0
)
"),"これはサンプルページです。同じ位置に固定され、(多くのテーマでは) サイトナビゲーションメニューに含まれる点が")</f>
        <v>これはサンプルページです。同じ位置に固定され、(多くのテーマでは) サイトナビゲーションメニューに含まれる点が</v>
      </c>
      <c r="E42" s="32">
        <f>IFERROR(__xludf.DUMMYFUNCTION("IFERROR(
  VLOOKUP(
    A42,
    IMPORTRANGE(
      ""1ZygntHC1J6IxzKbTidmOyf5nUyW4GCLurHCjexrLm_o        "",
      ""HTMLキャッシュ!A:F""
    ),
    3,
    FALSE
  ),
  0
)
"),46015.617164351854)</f>
        <v>46015.61716</v>
      </c>
      <c r="F42" s="49">
        <f>IFERROR(__xludf.DUMMYFUNCTION("IFERROR(
  VLOOKUP(
    A42,
    IMPORTRANGE(
      ""1ZHMy3vVUd_0MrSduXTe1etBb1HNpAlGwQr006ljwMiM"",
      ""GSC最新!A:F""
    ),
    2,
    FALSE
  ),
  0
)
"),0.0)</f>
        <v>0</v>
      </c>
      <c r="G42" s="49">
        <f>IFERROR(__xludf.DUMMYFUNCTION("IFERROR(
  VLOOKUP(
    A42,
    IMPORTRANGE(
      ""1ZHMy3vVUd_0MrSduXTe1etBb1HNpAlGwQr006ljwMiM"",
      ""GSC最新!A:F""
    ),
    3,
    FALSE
  ),
  0
)
"),0.0)</f>
        <v>0</v>
      </c>
      <c r="H42" s="49">
        <f>IFERROR(__xludf.DUMMYFUNCTION("IFERROR(
  VLOOKUP(
    A42,
    IMPORTRANGE(
      ""1ZHMy3vVUd_0MrSduXTe1etBb1HNpAlGwQr006ljwMiM"",
      ""GSC最新!A:F""
    ),
    4,
    FALSE
  ),
  0
)
"),0.0)</f>
        <v>0</v>
      </c>
      <c r="I42" s="49">
        <f>IFERROR(__xludf.DUMMYFUNCTION("IFERROR(
  VLOOKUP(
    A42,
    IMPORTRANGE(
      ""1ZHMy3vVUd_0MrSduXTe1etBb1HNpAlGwQr006ljwMiM"",
      ""GSC最新!A:F""
    ),
    5,
    FALSE
  ),
  0
)
"),0.0)</f>
        <v>0</v>
      </c>
      <c r="J42" s="50" t="str">
        <f t="shared" ref="J42:K42" si="201">IFERROR(F42/H42,"-")</f>
        <v>-</v>
      </c>
      <c r="K42" s="50" t="str">
        <f t="shared" si="201"/>
        <v>-</v>
      </c>
      <c r="L42" s="6">
        <f>IFERROR(__xludf.DUMMYFUNCTION("IFERROR(
  VLOOKUP(
    A42,
    IMPORTRANGE(
      ""1ZHMy3vVUd_0MrSduXTe1etBb1HNpAlGwQr006ljwMiM"",
      ""GSC最新!A:R""
    ),
    7,
    FALSE
  ),
  0
)
"),0.0)</f>
        <v>0</v>
      </c>
      <c r="M42" s="6">
        <f>IFERROR(__xludf.DUMMYFUNCTION("IFERROR(
  VLOOKUP(
    A42,
    IMPORTRANGE(
      ""1ZHMy3vVUd_0MrSduXTe1etBb1HNpAlGwQr006ljwMiM"",
      ""GSC最新!A:R""
    ),
    10,
    FALSE
  ),
  0
)
"),0.0)</f>
        <v>0</v>
      </c>
      <c r="N42" s="6">
        <f>IFERROR(__xludf.DUMMYFUNCTION("IFERROR(
  VLOOKUP(
    A42,
    IMPORTRANGE(
      ""1ZHMy3vVUd_0MrSduXTe1etBb1HNpAlGwQr006ljwMiM"",
      ""GSC最新!A:R""
    ),
    13,
    FALSE
  ),
  0
)
"),0.0)</f>
        <v>0</v>
      </c>
      <c r="O42" s="6">
        <f>IFERROR(__xludf.DUMMYFUNCTION("IFERROR(
  VLOOKUP(
    A42,
    IMPORTRANGE(
      ""1ZHMy3vVUd_0MrSduXTe1etBb1HNpAlGwQr006ljwMiM"",
      ""GSC最新!A:R""
    ),
    16,
    FALSE
  ),
  0
)
"),0.0)</f>
        <v>0</v>
      </c>
      <c r="P42" s="51" t="str">
        <f t="shared" ref="P42:Q42" si="202">IFERROR(L42/N42,"-")</f>
        <v>-</v>
      </c>
      <c r="Q42" s="51" t="str">
        <f t="shared" si="202"/>
        <v>-</v>
      </c>
      <c r="R42" s="9">
        <f>IFERROR(__xludf.DUMMYFUNCTION("IFERROR(
  VLOOKUP(
    A42,
    IMPORTRANGE(
      ""1ZHMy3vVUd_0MrSduXTe1etBb1HNpAlGwQr006ljwMiM"",
      ""GSC最新!A:R""
    ),
    8,
    FALSE
  ),
  0
)
"),0.0)</f>
        <v>0</v>
      </c>
      <c r="S42" s="9">
        <f>IFERROR(__xludf.DUMMYFUNCTION("IFERROR(
  VLOOKUP(
    A42,
    IMPORTRANGE(
      ""1ZHMy3vVUd_0MrSduXTe1etBb1HNpAlGwQr006ljwMiM"",
      ""GSC最新!A:R""
    ),
    11,
    FALSE
  ),
  0
)
"),0.0)</f>
        <v>0</v>
      </c>
      <c r="T42" s="9">
        <f>IFERROR(__xludf.DUMMYFUNCTION("IFERROR(
  VLOOKUP(
    A42,
    IMPORTRANGE(
      ""1ZHMy3vVUd_0MrSduXTe1etBb1HNpAlGwQr006ljwMiM"",
      ""GSC最新!A:R""
    ),
    14,
    FALSE
  ),
  0
)
"),0.0)</f>
        <v>0</v>
      </c>
      <c r="U42" s="9">
        <f>IFERROR(__xludf.DUMMYFUNCTION("IFERROR(
  VLOOKUP(
    A42,
    IMPORTRANGE(
      ""1ZHMy3vVUd_0MrSduXTe1etBb1HNpAlGwQr006ljwMiM"",
      ""GSC最新!A:R""
    ),
    17,
    FALSE
  ),
  0
)
"),0.0)</f>
        <v>0</v>
      </c>
      <c r="V42" s="9">
        <f t="shared" ref="V42:W42" si="203">IFERROR(R42-T42,"-")</f>
        <v>0</v>
      </c>
      <c r="W42" s="9">
        <f t="shared" si="203"/>
        <v>0</v>
      </c>
      <c r="X42" s="65" t="str">
        <f>IFERROR(__xludf.DUMMYFUNCTION("IFERROR(
  VLOOKUP(
    A42,
    IMPORTRANGE(
      ""1ZHMy3vVUd_0MrSduXTe1etBb1HNpAlGwQr006ljwMiM"",
      ""GSC最新!A:R""
    ),
    9,
    FALSE
  ),
  0
)
"),"")</f>
        <v/>
      </c>
      <c r="Y42" s="65" t="str">
        <f>IFERROR(__xludf.DUMMYFUNCTION("IFERROR(
  VLOOKUP(
    A42,
    IMPORTRANGE(
      ""1ZHMy3vVUd_0MrSduXTe1etBb1HNpAlGwQr006ljwMiM"",
      ""GSC最新!A:R""
    ),
    12,
    FALSE
  ),
  0
)
"),"")</f>
        <v/>
      </c>
      <c r="Z42" s="65" t="str">
        <f>IFERROR(__xludf.DUMMYFUNCTION("IFERROR(
  VLOOKUP(
    A42,
    IMPORTRANGE(
      ""1ZHMy3vVUd_0MrSduXTe1etBb1HNpAlGwQr006ljwMiM"",
      ""GSC最新!A:R""
    ),
    15,
    FALSE
  ),
  0
)
"),"")</f>
        <v/>
      </c>
      <c r="AA42" s="65" t="str">
        <f>IFERROR(__xludf.DUMMYFUNCTION("IFERROR(
  VLOOKUP(
    A42,
    IMPORTRANGE(
      ""1ZHMy3vVUd_0MrSduXTe1etBb1HNpAlGwQr006ljwMiM"",
      ""GSC最新!A:R""
    ),
    18,
    FALSE
  ),
  0
)
"),"")</f>
        <v/>
      </c>
      <c r="AB42" s="65">
        <f t="shared" ref="AB42:AC42" si="204">X42-Z42</f>
        <v>0</v>
      </c>
      <c r="AC42" s="65">
        <f t="shared" si="204"/>
        <v>0</v>
      </c>
      <c r="AD42" s="53">
        <f>IFERROR(__xludf.DUMMYFUNCTION("IFERROR(
  VLOOKUP(
    A42,
    IMPORTRANGE(
      ""1ZHMy3vVUd_0MrSduXTe1etBb1HNpAlGwQr006ljwMiM"",
      ""GSC最新!A:F""
    ),
    6,
    FALSE
  ),
  0
)
"),46081.0)</f>
        <v>46081</v>
      </c>
      <c r="AE42" s="54">
        <f>IFERROR(__xludf.DUMMYFUNCTION("IFERROR(
  VLOOKUP(
    A42,
    IMPORTRANGE(
      ""1SCYQd7_cobOYqT0r_F0IqD4tE4rYn5y8Eup4PJTH8es"",
      ""Snapshot!A:M""
    ),
    5,
    FALSE
  ),
  ""-""
)
"),0.0)</f>
        <v>0</v>
      </c>
      <c r="AF42" s="54">
        <f>IFERROR(__xludf.DUMMYFUNCTION("IFERROR(
  VLOOKUP(
    A42,
    IMPORTRANGE(
      ""1SCYQd7_cobOYqT0r_F0IqD4tE4rYn5y8Eup4PJTH8es"",
      ""Snapshot!A:M""
    ),
    6,
    FALSE
  ),
  0
)
"),0.0)</f>
        <v>0</v>
      </c>
      <c r="AG42" s="54">
        <f>IFERROR(__xludf.DUMMYFUNCTION("IFERROR(
  VLOOKUP(
    A42,
    IMPORTRANGE(
      ""1SCYQd7_cobOYqT0r_F0IqD4tE4rYn5y8Eup4PJTH8es"",
      ""Snapshot!A:M""
    ),
    7,
    FALSE
  ),
  0
)
"),455.0)</f>
        <v>455</v>
      </c>
      <c r="AH42" s="54">
        <f>IFERROR(__xludf.DUMMYFUNCTION("IFERROR(
  VLOOKUP(
    A42,
    IMPORTRANGE(
      ""1SCYQd7_cobOYqT0r_F0IqD4tE4rYn5y8Eup4PJTH8es"",
      ""Snapshot!A:M""
    ),
    8,
    FALSE
  ),
  0
)
"),1.0)</f>
        <v>1</v>
      </c>
      <c r="AI42" s="54">
        <f>IFERROR(__xludf.DUMMYFUNCTION("IFERROR(
  VLOOKUP(
    A42,
    IMPORTRANGE(
      ""1SCYQd7_cobOYqT0r_F0IqD4tE4rYn5y8Eup4PJTH8es"",
      ""Snapshot!A:M""
    ),
    9,
    FALSE
  ),
  0
)
"),1.0)</f>
        <v>1</v>
      </c>
      <c r="AJ42" s="54">
        <f>IFERROR(__xludf.DUMMYFUNCTION("IFERROR(
  VLOOKUP(
    A42,
    IMPORTRANGE(
      ""1SCYQd7_cobOYqT0r_F0IqD4tE4rYn5y8Eup4PJTH8es"",
      ""Snapshot!A:M""
    ),
    13,
    FALSE
  ),
  0
)
"),1.0)</f>
        <v>1</v>
      </c>
      <c r="AK42" s="49">
        <f t="shared" ref="AK42:AL42" si="205">LEN(C42)</f>
        <v>21</v>
      </c>
      <c r="AL42" s="49">
        <f t="shared" si="205"/>
        <v>55</v>
      </c>
    </row>
    <row r="43">
      <c r="A43" s="1" t="s">
        <v>857</v>
      </c>
      <c r="B43" s="1" t="str">
        <f>IFERROR(__xludf.DUMMYFUNCTION("IFERROR(
  VLOOKUP(
    A43,
    IMPORTRANGE(
      ""1ZygntHC1J6IxzKbTidmOyf5nUyW4GCLurHCjexrLm_o"",
      ""HTMLキャッシュ!A:F""
    ),
    2,
    FALSE
  ),
  0
)
"),"NW")</f>
        <v>NW</v>
      </c>
      <c r="C43" s="1" t="str">
        <f>IFERROR(__xludf.DUMMYFUNCTION("IFERROR(
  VLOOKUP(
    A43,
    IMPORTRANGE(
      ""1ZygntHC1J6IxzKbTidmOyf5nUyW4GCLurHCjexrLm_o"",
      ""HTMLキャッシュ!A:F""
    ),
    5,
    FALSE
  ),
  0
)
"),"2022年度冬期講習会開催のお知らせ - 受験社会専門塾「令和」")</f>
        <v>2022年度冬期講習会開催のお知らせ - 受験社会専門塾「令和」</v>
      </c>
      <c r="D43" s="1" t="str">
        <f>IFERROR(__xludf.DUMMYFUNCTION("IFERROR(
  VLOOKUP(
    A43,
    IMPORTRANGE(
      ""1ZygntHC1J6IxzKbTidmOyf5nUyW4GCLurHCjexrLm_o        "",
      ""HTMLキャッシュ!A:F""
    ),
    6,
    FALSE
  ),
  0
)
"),"弊塾では冬期講習会を実施いたします。現在当塾に通う生徒の皆さんはもちろん、普段他塾に通われている生徒さんにも参")</f>
        <v>弊塾では冬期講習会を実施いたします。現在当塾に通う生徒の皆さんはもちろん、普段他塾に通われている生徒さんにも参</v>
      </c>
      <c r="E43" s="32">
        <f>IFERROR(__xludf.DUMMYFUNCTION("IFERROR(
  VLOOKUP(
    A43,
    IMPORTRANGE(
      ""1ZygntHC1J6IxzKbTidmOyf5nUyW4GCLurHCjexrLm_o        "",
      ""HTMLキャッシュ!A:F""
    ),
    3,
    FALSE
  ),
  0
)
"),46015.74831018518)</f>
        <v>46015.74831</v>
      </c>
      <c r="F43" s="49">
        <f>IFERROR(__xludf.DUMMYFUNCTION("IFERROR(
  VLOOKUP(
    A43,
    IMPORTRANGE(
      ""1ZHMy3vVUd_0MrSduXTe1etBb1HNpAlGwQr006ljwMiM"",
      ""GSC最新!A:F""
    ),
    2,
    FALSE
  ),
  0
)
"),0.0)</f>
        <v>0</v>
      </c>
      <c r="G43" s="49">
        <f>IFERROR(__xludf.DUMMYFUNCTION("IFERROR(
  VLOOKUP(
    A43,
    IMPORTRANGE(
      ""1ZHMy3vVUd_0MrSduXTe1etBb1HNpAlGwQr006ljwMiM"",
      ""GSC最新!A:F""
    ),
    3,
    FALSE
  ),
  0
)
"),0.0)</f>
        <v>0</v>
      </c>
      <c r="H43" s="49">
        <f>IFERROR(__xludf.DUMMYFUNCTION("IFERROR(
  VLOOKUP(
    A43,
    IMPORTRANGE(
      ""1ZHMy3vVUd_0MrSduXTe1etBb1HNpAlGwQr006ljwMiM"",
      ""GSC最新!A:F""
    ),
    4,
    FALSE
  ),
  0
)
"),0.0)</f>
        <v>0</v>
      </c>
      <c r="I43" s="49">
        <f>IFERROR(__xludf.DUMMYFUNCTION("IFERROR(
  VLOOKUP(
    A43,
    IMPORTRANGE(
      ""1ZHMy3vVUd_0MrSduXTe1etBb1HNpAlGwQr006ljwMiM"",
      ""GSC最新!A:F""
    ),
    5,
    FALSE
  ),
  0
)
"),0.0)</f>
        <v>0</v>
      </c>
      <c r="J43" s="50" t="str">
        <f t="shared" ref="J43:K43" si="206">IFERROR(F43/H43,"-")</f>
        <v>-</v>
      </c>
      <c r="K43" s="50" t="str">
        <f t="shared" si="206"/>
        <v>-</v>
      </c>
      <c r="L43" s="6">
        <f>IFERROR(__xludf.DUMMYFUNCTION("IFERROR(
  VLOOKUP(
    A43,
    IMPORTRANGE(
      ""1ZHMy3vVUd_0MrSduXTe1etBb1HNpAlGwQr006ljwMiM"",
      ""GSC最新!A:R""
    ),
    7,
    FALSE
  ),
  0
)
"),0.0)</f>
        <v>0</v>
      </c>
      <c r="M43" s="6">
        <f>IFERROR(__xludf.DUMMYFUNCTION("IFERROR(
  VLOOKUP(
    A43,
    IMPORTRANGE(
      ""1ZHMy3vVUd_0MrSduXTe1etBb1HNpAlGwQr006ljwMiM"",
      ""GSC最新!A:R""
    ),
    10,
    FALSE
  ),
  0
)
"),0.0)</f>
        <v>0</v>
      </c>
      <c r="N43" s="6">
        <f>IFERROR(__xludf.DUMMYFUNCTION("IFERROR(
  VLOOKUP(
    A43,
    IMPORTRANGE(
      ""1ZHMy3vVUd_0MrSduXTe1etBb1HNpAlGwQr006ljwMiM"",
      ""GSC最新!A:R""
    ),
    13,
    FALSE
  ),
  0
)
"),0.0)</f>
        <v>0</v>
      </c>
      <c r="O43" s="6">
        <f>IFERROR(__xludf.DUMMYFUNCTION("IFERROR(
  VLOOKUP(
    A43,
    IMPORTRANGE(
      ""1ZHMy3vVUd_0MrSduXTe1etBb1HNpAlGwQr006ljwMiM"",
      ""GSC最新!A:R""
    ),
    16,
    FALSE
  ),
  0
)
"),0.0)</f>
        <v>0</v>
      </c>
      <c r="P43" s="51" t="str">
        <f t="shared" ref="P43:Q43" si="207">IFERROR(L43/N43,"-")</f>
        <v>-</v>
      </c>
      <c r="Q43" s="51" t="str">
        <f t="shared" si="207"/>
        <v>-</v>
      </c>
      <c r="R43" s="9">
        <f>IFERROR(__xludf.DUMMYFUNCTION("IFERROR(
  VLOOKUP(
    A43,
    IMPORTRANGE(
      ""1ZHMy3vVUd_0MrSduXTe1etBb1HNpAlGwQr006ljwMiM"",
      ""GSC最新!A:R""
    ),
    8,
    FALSE
  ),
  0
)
"),0.0)</f>
        <v>0</v>
      </c>
      <c r="S43" s="9">
        <f>IFERROR(__xludf.DUMMYFUNCTION("IFERROR(
  VLOOKUP(
    A43,
    IMPORTRANGE(
      ""1ZHMy3vVUd_0MrSduXTe1etBb1HNpAlGwQr006ljwMiM"",
      ""GSC最新!A:R""
    ),
    11,
    FALSE
  ),
  0
)
"),0.0)</f>
        <v>0</v>
      </c>
      <c r="T43" s="9">
        <f>IFERROR(__xludf.DUMMYFUNCTION("IFERROR(
  VLOOKUP(
    A43,
    IMPORTRANGE(
      ""1ZHMy3vVUd_0MrSduXTe1etBb1HNpAlGwQr006ljwMiM"",
      ""GSC最新!A:R""
    ),
    14,
    FALSE
  ),
  0
)
"),0.0)</f>
        <v>0</v>
      </c>
      <c r="U43" s="9">
        <f>IFERROR(__xludf.DUMMYFUNCTION("IFERROR(
  VLOOKUP(
    A43,
    IMPORTRANGE(
      ""1ZHMy3vVUd_0MrSduXTe1etBb1HNpAlGwQr006ljwMiM"",
      ""GSC最新!A:R""
    ),
    17,
    FALSE
  ),
  0
)
"),0.0)</f>
        <v>0</v>
      </c>
      <c r="V43" s="9">
        <f t="shared" ref="V43:W43" si="208">IFERROR(R43-T43,"-")</f>
        <v>0</v>
      </c>
      <c r="W43" s="9">
        <f t="shared" si="208"/>
        <v>0</v>
      </c>
      <c r="X43" s="65" t="str">
        <f>IFERROR(__xludf.DUMMYFUNCTION("IFERROR(
  VLOOKUP(
    A43,
    IMPORTRANGE(
      ""1ZHMy3vVUd_0MrSduXTe1etBb1HNpAlGwQr006ljwMiM"",
      ""GSC最新!A:R""
    ),
    9,
    FALSE
  ),
  0
)
"),"")</f>
        <v/>
      </c>
      <c r="Y43" s="65" t="str">
        <f>IFERROR(__xludf.DUMMYFUNCTION("IFERROR(
  VLOOKUP(
    A43,
    IMPORTRANGE(
      ""1ZHMy3vVUd_0MrSduXTe1etBb1HNpAlGwQr006ljwMiM"",
      ""GSC最新!A:R""
    ),
    12,
    FALSE
  ),
  0
)
"),"")</f>
        <v/>
      </c>
      <c r="Z43" s="65" t="str">
        <f>IFERROR(__xludf.DUMMYFUNCTION("IFERROR(
  VLOOKUP(
    A43,
    IMPORTRANGE(
      ""1ZHMy3vVUd_0MrSduXTe1etBb1HNpAlGwQr006ljwMiM"",
      ""GSC最新!A:R""
    ),
    15,
    FALSE
  ),
  0
)
"),"")</f>
        <v/>
      </c>
      <c r="AA43" s="65" t="str">
        <f>IFERROR(__xludf.DUMMYFUNCTION("IFERROR(
  VLOOKUP(
    A43,
    IMPORTRANGE(
      ""1ZHMy3vVUd_0MrSduXTe1etBb1HNpAlGwQr006ljwMiM"",
      ""GSC最新!A:R""
    ),
    18,
    FALSE
  ),
  0
)
"),"")</f>
        <v/>
      </c>
      <c r="AB43" s="65">
        <f t="shared" ref="AB43:AC43" si="209">X43-Z43</f>
        <v>0</v>
      </c>
      <c r="AC43" s="65">
        <f t="shared" si="209"/>
        <v>0</v>
      </c>
      <c r="AD43" s="53">
        <f>IFERROR(__xludf.DUMMYFUNCTION("IFERROR(
  VLOOKUP(
    A43,
    IMPORTRANGE(
      ""1ZHMy3vVUd_0MrSduXTe1etBb1HNpAlGwQr006ljwMiM"",
      ""GSC最新!A:F""
    ),
    6,
    FALSE
  ),
  0
)
"),46081.0)</f>
        <v>46081</v>
      </c>
      <c r="AE43" s="54">
        <f>IFERROR(__xludf.DUMMYFUNCTION("IFERROR(
  VLOOKUP(
    A43,
    IMPORTRANGE(
      ""1SCYQd7_cobOYqT0r_F0IqD4tE4rYn5y8Eup4PJTH8es"",
      ""Snapshot!A:M""
    ),
    5,
    FALSE
  ),
  ""-""
)
"),0.0)</f>
        <v>0</v>
      </c>
      <c r="AF43" s="54">
        <f>IFERROR(__xludf.DUMMYFUNCTION("IFERROR(
  VLOOKUP(
    A43,
    IMPORTRANGE(
      ""1SCYQd7_cobOYqT0r_F0IqD4tE4rYn5y8Eup4PJTH8es"",
      ""Snapshot!A:M""
    ),
    6,
    FALSE
  ),
  0
)
"),0.0)</f>
        <v>0</v>
      </c>
      <c r="AG43" s="54">
        <f>IFERROR(__xludf.DUMMYFUNCTION("IFERROR(
  VLOOKUP(
    A43,
    IMPORTRANGE(
      ""1SCYQd7_cobOYqT0r_F0IqD4tE4rYn5y8Eup4PJTH8es"",
      ""Snapshot!A:M""
    ),
    7,
    FALSE
  ),
  0
)
"),470.0)</f>
        <v>470</v>
      </c>
      <c r="AH43" s="54">
        <f>IFERROR(__xludf.DUMMYFUNCTION("IFERROR(
  VLOOKUP(
    A43,
    IMPORTRANGE(
      ""1SCYQd7_cobOYqT0r_F0IqD4tE4rYn5y8Eup4PJTH8es"",
      ""Snapshot!A:M""
    ),
    8,
    FALSE
  ),
  0
)
"),2.0)</f>
        <v>2</v>
      </c>
      <c r="AI43" s="54">
        <f>IFERROR(__xludf.DUMMYFUNCTION("IFERROR(
  VLOOKUP(
    A43,
    IMPORTRANGE(
      ""1SCYQd7_cobOYqT0r_F0IqD4tE4rYn5y8Eup4PJTH8es"",
      ""Snapshot!A:M""
    ),
    9,
    FALSE
  ),
  0
)
"),0.0)</f>
        <v>0</v>
      </c>
      <c r="AJ43" s="54">
        <f>IFERROR(__xludf.DUMMYFUNCTION("IFERROR(
  VLOOKUP(
    A43,
    IMPORTRANGE(
      ""1SCYQd7_cobOYqT0r_F0IqD4tE4rYn5y8Eup4PJTH8es"",
      ""Snapshot!A:M""
    ),
    13,
    FALSE
  ),
  0
)
"),2.0)</f>
        <v>2</v>
      </c>
      <c r="AK43" s="49">
        <f t="shared" ref="AK43:AL43" si="210">LEN(C43)</f>
        <v>32</v>
      </c>
      <c r="AL43" s="49">
        <f t="shared" si="210"/>
        <v>55</v>
      </c>
    </row>
    <row r="44">
      <c r="A44" s="3" t="s">
        <v>858</v>
      </c>
      <c r="B44" s="1" t="str">
        <f>IFERROR(__xludf.DUMMYFUNCTION("IFERROR(
  VLOOKUP(
    A44,
    IMPORTRANGE(
      ""1ZygntHC1J6IxzKbTidmOyf5nUyW4GCLurHCjexrLm_o"",
      ""HTMLキャッシュ!A:F""
    ),
    2,
    FALSE
  ),
  0
)
"),"NW")</f>
        <v>NW</v>
      </c>
      <c r="C44" s="1" t="str">
        <f>IFERROR(__xludf.DUMMYFUNCTION("IFERROR(
  VLOOKUP(
    A44,
    IMPORTRANGE(
      ""1ZygntHC1J6IxzKbTidmOyf5nUyW4GCLurHCjexrLm_o"",
      ""HTMLキャッシュ!A:F""
    ),
    5,
    FALSE
  ),
  0
)
"),"2019年度冬期講習開講のお知らせ - 受験社会専門塾「令和」")</f>
        <v>2019年度冬期講習開講のお知らせ - 受験社会専門塾「令和」</v>
      </c>
      <c r="D44" s="1" t="str">
        <f>IFERROR(__xludf.DUMMYFUNCTION("IFERROR(
  VLOOKUP(
    A44,
    IMPORTRANGE(
      ""1ZygntHC1J6IxzKbTidmOyf5nUyW4GCLurHCjexrLm_o        "",
      ""HTMLキャッシュ!A:F""
    ),
    6,
    FALSE
  ),
  0
)
"),"弊塾では冬期講習会を実施させて頂く運びとなりました。 現在当塾に通塾されている塾生の皆さんは勿論")</f>
        <v>弊塾では冬期講習会を実施させて頂く運びとなりました。 現在当塾に通塾されている塾生の皆さんは勿論</v>
      </c>
      <c r="E44" s="32">
        <f>IFERROR(__xludf.DUMMYFUNCTION("IFERROR(
  VLOOKUP(
    A44,
    IMPORTRANGE(
      ""1ZygntHC1J6IxzKbTidmOyf5nUyW4GCLurHCjexrLm_o        "",
      ""HTMLキャッシュ!A:F""
    ),
    3,
    FALSE
  ),
  0
)
"),46015.73835648148)</f>
        <v>46015.73836</v>
      </c>
      <c r="F44" s="49">
        <f>IFERROR(__xludf.DUMMYFUNCTION("IFERROR(
  VLOOKUP(
    A44,
    IMPORTRANGE(
      ""1ZHMy3vVUd_0MrSduXTe1etBb1HNpAlGwQr006ljwMiM"",
      ""GSC最新!A:F""
    ),
    2,
    FALSE
  ),
  0
)
"),0.0)</f>
        <v>0</v>
      </c>
      <c r="G44" s="49">
        <f>IFERROR(__xludf.DUMMYFUNCTION("IFERROR(
  VLOOKUP(
    A44,
    IMPORTRANGE(
      ""1ZHMy3vVUd_0MrSduXTe1etBb1HNpAlGwQr006ljwMiM"",
      ""GSC最新!A:F""
    ),
    3,
    FALSE
  ),
  0
)
"),0.0)</f>
        <v>0</v>
      </c>
      <c r="H44" s="49">
        <f>IFERROR(__xludf.DUMMYFUNCTION("IFERROR(
  VLOOKUP(
    A44,
    IMPORTRANGE(
      ""1ZHMy3vVUd_0MrSduXTe1etBb1HNpAlGwQr006ljwMiM"",
      ""GSC最新!A:F""
    ),
    4,
    FALSE
  ),
  0
)
"),0.0)</f>
        <v>0</v>
      </c>
      <c r="I44" s="49">
        <f>IFERROR(__xludf.DUMMYFUNCTION("IFERROR(
  VLOOKUP(
    A44,
    IMPORTRANGE(
      ""1ZHMy3vVUd_0MrSduXTe1etBb1HNpAlGwQr006ljwMiM"",
      ""GSC最新!A:F""
    ),
    5,
    FALSE
  ),
  0
)
"),0.0)</f>
        <v>0</v>
      </c>
      <c r="J44" s="50" t="str">
        <f t="shared" ref="J44:K44" si="211">IFERROR(F44/H44,"-")</f>
        <v>-</v>
      </c>
      <c r="K44" s="50" t="str">
        <f t="shared" si="211"/>
        <v>-</v>
      </c>
      <c r="L44" s="6">
        <f>IFERROR(__xludf.DUMMYFUNCTION("IFERROR(
  VLOOKUP(
    A44,
    IMPORTRANGE(
      ""1ZHMy3vVUd_0MrSduXTe1etBb1HNpAlGwQr006ljwMiM"",
      ""GSC最新!A:R""
    ),
    7,
    FALSE
  ),
  0
)
"),0.0)</f>
        <v>0</v>
      </c>
      <c r="M44" s="6">
        <f>IFERROR(__xludf.DUMMYFUNCTION("IFERROR(
  VLOOKUP(
    A44,
    IMPORTRANGE(
      ""1ZHMy3vVUd_0MrSduXTe1etBb1HNpAlGwQr006ljwMiM"",
      ""GSC最新!A:R""
    ),
    10,
    FALSE
  ),
  0
)
"),0.0)</f>
        <v>0</v>
      </c>
      <c r="N44" s="6">
        <f>IFERROR(__xludf.DUMMYFUNCTION("IFERROR(
  VLOOKUP(
    A44,
    IMPORTRANGE(
      ""1ZHMy3vVUd_0MrSduXTe1etBb1HNpAlGwQr006ljwMiM"",
      ""GSC最新!A:R""
    ),
    13,
    FALSE
  ),
  0
)
"),0.0)</f>
        <v>0</v>
      </c>
      <c r="O44" s="6">
        <f>IFERROR(__xludf.DUMMYFUNCTION("IFERROR(
  VLOOKUP(
    A44,
    IMPORTRANGE(
      ""1ZHMy3vVUd_0MrSduXTe1etBb1HNpAlGwQr006ljwMiM"",
      ""GSC最新!A:R""
    ),
    16,
    FALSE
  ),
  0
)
"),0.0)</f>
        <v>0</v>
      </c>
      <c r="P44" s="51" t="str">
        <f t="shared" ref="P44:Q44" si="212">IFERROR(L44/N44,"-")</f>
        <v>-</v>
      </c>
      <c r="Q44" s="51" t="str">
        <f t="shared" si="212"/>
        <v>-</v>
      </c>
      <c r="R44" s="9">
        <f>IFERROR(__xludf.DUMMYFUNCTION("IFERROR(
  VLOOKUP(
    A44,
    IMPORTRANGE(
      ""1ZHMy3vVUd_0MrSduXTe1etBb1HNpAlGwQr006ljwMiM"",
      ""GSC最新!A:R""
    ),
    8,
    FALSE
  ),
  0
)
"),0.0)</f>
        <v>0</v>
      </c>
      <c r="S44" s="9">
        <f>IFERROR(__xludf.DUMMYFUNCTION("IFERROR(
  VLOOKUP(
    A44,
    IMPORTRANGE(
      ""1ZHMy3vVUd_0MrSduXTe1etBb1HNpAlGwQr006ljwMiM"",
      ""GSC最新!A:R""
    ),
    11,
    FALSE
  ),
  0
)
"),0.0)</f>
        <v>0</v>
      </c>
      <c r="T44" s="9">
        <f>IFERROR(__xludf.DUMMYFUNCTION("IFERROR(
  VLOOKUP(
    A44,
    IMPORTRANGE(
      ""1ZHMy3vVUd_0MrSduXTe1etBb1HNpAlGwQr006ljwMiM"",
      ""GSC最新!A:R""
    ),
    14,
    FALSE
  ),
  0
)
"),0.0)</f>
        <v>0</v>
      </c>
      <c r="U44" s="9">
        <f>IFERROR(__xludf.DUMMYFUNCTION("IFERROR(
  VLOOKUP(
    A44,
    IMPORTRANGE(
      ""1ZHMy3vVUd_0MrSduXTe1etBb1HNpAlGwQr006ljwMiM"",
      ""GSC最新!A:R""
    ),
    17,
    FALSE
  ),
  0
)
"),0.0)</f>
        <v>0</v>
      </c>
      <c r="V44" s="9">
        <f t="shared" ref="V44:W44" si="213">IFERROR(R44-T44,"-")</f>
        <v>0</v>
      </c>
      <c r="W44" s="9">
        <f t="shared" si="213"/>
        <v>0</v>
      </c>
      <c r="X44" s="65" t="str">
        <f>IFERROR(__xludf.DUMMYFUNCTION("IFERROR(
  VLOOKUP(
    A44,
    IMPORTRANGE(
      ""1ZHMy3vVUd_0MrSduXTe1etBb1HNpAlGwQr006ljwMiM"",
      ""GSC最新!A:R""
    ),
    9,
    FALSE
  ),
  0
)
"),"")</f>
        <v/>
      </c>
      <c r="Y44" s="65" t="str">
        <f>IFERROR(__xludf.DUMMYFUNCTION("IFERROR(
  VLOOKUP(
    A44,
    IMPORTRANGE(
      ""1ZHMy3vVUd_0MrSduXTe1etBb1HNpAlGwQr006ljwMiM"",
      ""GSC最新!A:R""
    ),
    12,
    FALSE
  ),
  0
)
"),"")</f>
        <v/>
      </c>
      <c r="Z44" s="65" t="str">
        <f>IFERROR(__xludf.DUMMYFUNCTION("IFERROR(
  VLOOKUP(
    A44,
    IMPORTRANGE(
      ""1ZHMy3vVUd_0MrSduXTe1etBb1HNpAlGwQr006ljwMiM"",
      ""GSC最新!A:R""
    ),
    15,
    FALSE
  ),
  0
)
"),"")</f>
        <v/>
      </c>
      <c r="AA44" s="65" t="str">
        <f>IFERROR(__xludf.DUMMYFUNCTION("IFERROR(
  VLOOKUP(
    A44,
    IMPORTRANGE(
      ""1ZHMy3vVUd_0MrSduXTe1etBb1HNpAlGwQr006ljwMiM"",
      ""GSC最新!A:R""
    ),
    18,
    FALSE
  ),
  0
)
"),"")</f>
        <v/>
      </c>
      <c r="AB44" s="65">
        <f t="shared" ref="AB44:AC44" si="214">X44-Z44</f>
        <v>0</v>
      </c>
      <c r="AC44" s="65">
        <f t="shared" si="214"/>
        <v>0</v>
      </c>
      <c r="AD44" s="53">
        <f>IFERROR(__xludf.DUMMYFUNCTION("IFERROR(
  VLOOKUP(
    A44,
    IMPORTRANGE(
      ""1ZHMy3vVUd_0MrSduXTe1etBb1HNpAlGwQr006ljwMiM"",
      ""GSC最新!A:F""
    ),
    6,
    FALSE
  ),
  0
)
"),46081.0)</f>
        <v>46081</v>
      </c>
      <c r="AE44" s="54">
        <f>IFERROR(__xludf.DUMMYFUNCTION("IFERROR(
  VLOOKUP(
    A44,
    IMPORTRANGE(
      ""1SCYQd7_cobOYqT0r_F0IqD4tE4rYn5y8Eup4PJTH8es"",
      ""Snapshot!A:M""
    ),
    5,
    FALSE
  ),
  ""-""
)
"),0.0)</f>
        <v>0</v>
      </c>
      <c r="AF44" s="54">
        <f>IFERROR(__xludf.DUMMYFUNCTION("IFERROR(
  VLOOKUP(
    A44,
    IMPORTRANGE(
      ""1SCYQd7_cobOYqT0r_F0IqD4tE4rYn5y8Eup4PJTH8es"",
      ""Snapshot!A:M""
    ),
    6,
    FALSE
  ),
  0
)
"),0.0)</f>
        <v>0</v>
      </c>
      <c r="AG44" s="54">
        <f>IFERROR(__xludf.DUMMYFUNCTION("IFERROR(
  VLOOKUP(
    A44,
    IMPORTRANGE(
      ""1SCYQd7_cobOYqT0r_F0IqD4tE4rYn5y8Eup4PJTH8es"",
      ""Snapshot!A:M""
    ),
    7,
    FALSE
  ),
  0
)
"),497.0)</f>
        <v>497</v>
      </c>
      <c r="AH44" s="54">
        <f>IFERROR(__xludf.DUMMYFUNCTION("IFERROR(
  VLOOKUP(
    A44,
    IMPORTRANGE(
      ""1SCYQd7_cobOYqT0r_F0IqD4tE4rYn5y8Eup4PJTH8es"",
      ""Snapshot!A:M""
    ),
    8,
    FALSE
  ),
  0
)
"),1.0)</f>
        <v>1</v>
      </c>
      <c r="AI44" s="54">
        <f>IFERROR(__xludf.DUMMYFUNCTION("IFERROR(
  VLOOKUP(
    A44,
    IMPORTRANGE(
      ""1SCYQd7_cobOYqT0r_F0IqD4tE4rYn5y8Eup4PJTH8es"",
      ""Snapshot!A:M""
    ),
    9,
    FALSE
  ),
  0
)
"),0.0)</f>
        <v>0</v>
      </c>
      <c r="AJ44" s="54">
        <f>IFERROR(__xludf.DUMMYFUNCTION("IFERROR(
  VLOOKUP(
    A44,
    IMPORTRANGE(
      ""1SCYQd7_cobOYqT0r_F0IqD4tE4rYn5y8Eup4PJTH8es"",
      ""Snapshot!A:M""
    ),
    13,
    FALSE
  ),
  0
)
"),2.0)</f>
        <v>2</v>
      </c>
      <c r="AK44" s="49">
        <f t="shared" ref="AK44:AL44" si="215">LEN(C44)</f>
        <v>31</v>
      </c>
      <c r="AL44" s="49">
        <f t="shared" si="215"/>
        <v>48</v>
      </c>
    </row>
    <row r="45">
      <c r="A45" s="1" t="s">
        <v>859</v>
      </c>
      <c r="B45" s="1" t="str">
        <f>IFERROR(__xludf.DUMMYFUNCTION("IFERROR(
  VLOOKUP(
    A45,
    IMPORTRANGE(
      ""1ZygntHC1J6IxzKbTidmOyf5nUyW4GCLurHCjexrLm_o"",
      ""HTMLキャッシュ!A:F""
    ),
    2,
    FALSE
  ),
  0
)
"),"NW")</f>
        <v>NW</v>
      </c>
      <c r="C45" s="1" t="str">
        <f>IFERROR(__xludf.DUMMYFUNCTION("IFERROR(
  VLOOKUP(
    A45,
    IMPORTRANGE(
      ""1ZygntHC1J6IxzKbTidmOyf5nUyW4GCLurHCjexrLm_o"",
      ""HTMLキャッシュ!A:F""
    ),
    5,
    FALSE
  ),
  0
)
"),"2023年度春期講習会開催のお知らせ - 受験社会専門塾「令和」")</f>
        <v>2023年度春期講習会開催のお知らせ - 受験社会専門塾「令和」</v>
      </c>
      <c r="D45" s="1" t="str">
        <f>IFERROR(__xludf.DUMMYFUNCTION("IFERROR(
  VLOOKUP(
    A45,
    IMPORTRANGE(
      ""1ZygntHC1J6IxzKbTidmOyf5nUyW4GCLurHCjexrLm_o        "",
      ""HTMLキャッシュ!A:F""
    ),
    6,
    FALSE
  ),
  0
)
"),"春休みは、短期間ながら日頃の積み残しを解消するのに最適なタイミングです。 当塾では、この春休みを有意義に過ごし")</f>
        <v>春休みは、短期間ながら日頃の積み残しを解消するのに最適なタイミングです。 当塾では、この春休みを有意義に過ごし</v>
      </c>
      <c r="E45" s="32">
        <f>IFERROR(__xludf.DUMMYFUNCTION("IFERROR(
  VLOOKUP(
    A45,
    IMPORTRANGE(
      ""1ZygntHC1J6IxzKbTidmOyf5nUyW4GCLurHCjexrLm_o        "",
      ""HTMLキャッシュ!A:F""
    ),
    3,
    FALSE
  ),
  0
)
"),46015.755949074075)</f>
        <v>46015.75595</v>
      </c>
      <c r="F45" s="49">
        <f>IFERROR(__xludf.DUMMYFUNCTION("IFERROR(
  VLOOKUP(
    A45,
    IMPORTRANGE(
      ""1ZHMy3vVUd_0MrSduXTe1etBb1HNpAlGwQr006ljwMiM"",
      ""GSC最新!A:F""
    ),
    2,
    FALSE
  ),
  0
)
"),0.0)</f>
        <v>0</v>
      </c>
      <c r="G45" s="49">
        <f>IFERROR(__xludf.DUMMYFUNCTION("IFERROR(
  VLOOKUP(
    A45,
    IMPORTRANGE(
      ""1ZHMy3vVUd_0MrSduXTe1etBb1HNpAlGwQr006ljwMiM"",
      ""GSC最新!A:F""
    ),
    3,
    FALSE
  ),
  0
)
"),0.0)</f>
        <v>0</v>
      </c>
      <c r="H45" s="49">
        <f>IFERROR(__xludf.DUMMYFUNCTION("IFERROR(
  VLOOKUP(
    A45,
    IMPORTRANGE(
      ""1ZHMy3vVUd_0MrSduXTe1etBb1HNpAlGwQr006ljwMiM"",
      ""GSC最新!A:F""
    ),
    4,
    FALSE
  ),
  0
)
"),0.0)</f>
        <v>0</v>
      </c>
      <c r="I45" s="49">
        <f>IFERROR(__xludf.DUMMYFUNCTION("IFERROR(
  VLOOKUP(
    A45,
    IMPORTRANGE(
      ""1ZHMy3vVUd_0MrSduXTe1etBb1HNpAlGwQr006ljwMiM"",
      ""GSC最新!A:F""
    ),
    5,
    FALSE
  ),
  0
)
"),0.0)</f>
        <v>0</v>
      </c>
      <c r="J45" s="50" t="str">
        <f t="shared" ref="J45:K45" si="216">IFERROR(F45/H45,"-")</f>
        <v>-</v>
      </c>
      <c r="K45" s="50" t="str">
        <f t="shared" si="216"/>
        <v>-</v>
      </c>
      <c r="L45" s="6">
        <f>IFERROR(__xludf.DUMMYFUNCTION("IFERROR(
  VLOOKUP(
    A45,
    IMPORTRANGE(
      ""1ZHMy3vVUd_0MrSduXTe1etBb1HNpAlGwQr006ljwMiM"",
      ""GSC最新!A:R""
    ),
    7,
    FALSE
  ),
  0
)
"),0.0)</f>
        <v>0</v>
      </c>
      <c r="M45" s="6">
        <f>IFERROR(__xludf.DUMMYFUNCTION("IFERROR(
  VLOOKUP(
    A45,
    IMPORTRANGE(
      ""1ZHMy3vVUd_0MrSduXTe1etBb1HNpAlGwQr006ljwMiM"",
      ""GSC最新!A:R""
    ),
    10,
    FALSE
  ),
  0
)
"),0.0)</f>
        <v>0</v>
      </c>
      <c r="N45" s="6">
        <f>IFERROR(__xludf.DUMMYFUNCTION("IFERROR(
  VLOOKUP(
    A45,
    IMPORTRANGE(
      ""1ZHMy3vVUd_0MrSduXTe1etBb1HNpAlGwQr006ljwMiM"",
      ""GSC最新!A:R""
    ),
    13,
    FALSE
  ),
  0
)
"),0.0)</f>
        <v>0</v>
      </c>
      <c r="O45" s="6">
        <f>IFERROR(__xludf.DUMMYFUNCTION("IFERROR(
  VLOOKUP(
    A45,
    IMPORTRANGE(
      ""1ZHMy3vVUd_0MrSduXTe1etBb1HNpAlGwQr006ljwMiM"",
      ""GSC最新!A:R""
    ),
    16,
    FALSE
  ),
  0
)
"),2.0)</f>
        <v>2</v>
      </c>
      <c r="P45" s="51" t="str">
        <f t="shared" ref="P45:Q45" si="217">IFERROR(L45/N45,"-")</f>
        <v>-</v>
      </c>
      <c r="Q45" s="51">
        <f t="shared" si="217"/>
        <v>0</v>
      </c>
      <c r="R45" s="9">
        <f>IFERROR(__xludf.DUMMYFUNCTION("IFERROR(
  VLOOKUP(
    A45,
    IMPORTRANGE(
      ""1ZHMy3vVUd_0MrSduXTe1etBb1HNpAlGwQr006ljwMiM"",
      ""GSC最新!A:R""
    ),
    8,
    FALSE
  ),
  0
)
"),0.0)</f>
        <v>0</v>
      </c>
      <c r="S45" s="9">
        <f>IFERROR(__xludf.DUMMYFUNCTION("IFERROR(
  VLOOKUP(
    A45,
    IMPORTRANGE(
      ""1ZHMy3vVUd_0MrSduXTe1etBb1HNpAlGwQr006ljwMiM"",
      ""GSC最新!A:R""
    ),
    11,
    FALSE
  ),
  0
)
"),0.0)</f>
        <v>0</v>
      </c>
      <c r="T45" s="9">
        <f>IFERROR(__xludf.DUMMYFUNCTION("IFERROR(
  VLOOKUP(
    A45,
    IMPORTRANGE(
      ""1ZHMy3vVUd_0MrSduXTe1etBb1HNpAlGwQr006ljwMiM"",
      ""GSC最新!A:R""
    ),
    14,
    FALSE
  ),
  0
)
"),0.0)</f>
        <v>0</v>
      </c>
      <c r="U45" s="9">
        <f>IFERROR(__xludf.DUMMYFUNCTION("IFERROR(
  VLOOKUP(
    A45,
    IMPORTRANGE(
      ""1ZHMy3vVUd_0MrSduXTe1etBb1HNpAlGwQr006ljwMiM"",
      ""GSC最新!A:R""
    ),
    17,
    FALSE
  ),
  0
)
"),0.0)</f>
        <v>0</v>
      </c>
      <c r="V45" s="9">
        <f t="shared" ref="V45:W45" si="218">IFERROR(R45-T45,"-")</f>
        <v>0</v>
      </c>
      <c r="W45" s="9">
        <f t="shared" si="218"/>
        <v>0</v>
      </c>
      <c r="X45" s="65" t="str">
        <f>IFERROR(__xludf.DUMMYFUNCTION("IFERROR(
  VLOOKUP(
    A45,
    IMPORTRANGE(
      ""1ZHMy3vVUd_0MrSduXTe1etBb1HNpAlGwQr006ljwMiM"",
      ""GSC最新!A:R""
    ),
    9,
    FALSE
  ),
  0
)
"),"")</f>
        <v/>
      </c>
      <c r="Y45" s="65" t="str">
        <f>IFERROR(__xludf.DUMMYFUNCTION("IFERROR(
  VLOOKUP(
    A45,
    IMPORTRANGE(
      ""1ZHMy3vVUd_0MrSduXTe1etBb1HNpAlGwQr006ljwMiM"",
      ""GSC最新!A:R""
    ),
    12,
    FALSE
  ),
  0
)
"),"")</f>
        <v/>
      </c>
      <c r="Z45" s="65" t="str">
        <f>IFERROR(__xludf.DUMMYFUNCTION("IFERROR(
  VLOOKUP(
    A45,
    IMPORTRANGE(
      ""1ZHMy3vVUd_0MrSduXTe1etBb1HNpAlGwQr006ljwMiM"",
      ""GSC最新!A:R""
    ),
    15,
    FALSE
  ),
  0
)
"),"")</f>
        <v/>
      </c>
      <c r="AA45" s="65">
        <f>IFERROR(__xludf.DUMMYFUNCTION("IFERROR(
  VLOOKUP(
    A45,
    IMPORTRANGE(
      ""1ZHMy3vVUd_0MrSduXTe1etBb1HNpAlGwQr006ljwMiM"",
      ""GSC最新!A:R""
    ),
    18,
    FALSE
  ),
  0
)
"),20.0)</f>
        <v>20</v>
      </c>
      <c r="AB45" s="65">
        <f t="shared" ref="AB45:AC45" si="219">X45-Z45</f>
        <v>0</v>
      </c>
      <c r="AC45" s="65">
        <f t="shared" si="219"/>
        <v>-20</v>
      </c>
      <c r="AD45" s="53">
        <f>IFERROR(__xludf.DUMMYFUNCTION("IFERROR(
  VLOOKUP(
    A45,
    IMPORTRANGE(
      ""1ZHMy3vVUd_0MrSduXTe1etBb1HNpAlGwQr006ljwMiM"",
      ""GSC最新!A:F""
    ),
    6,
    FALSE
  ),
  0
)
"),46081.0)</f>
        <v>46081</v>
      </c>
      <c r="AE45" s="54">
        <f>IFERROR(__xludf.DUMMYFUNCTION("IFERROR(
  VLOOKUP(
    A45,
    IMPORTRANGE(
      ""1SCYQd7_cobOYqT0r_F0IqD4tE4rYn5y8Eup4PJTH8es"",
      ""Snapshot!A:M""
    ),
    5,
    FALSE
  ),
  ""-""
)
"),0.0)</f>
        <v>0</v>
      </c>
      <c r="AF45" s="54">
        <f>IFERROR(__xludf.DUMMYFUNCTION("IFERROR(
  VLOOKUP(
    A45,
    IMPORTRANGE(
      ""1SCYQd7_cobOYqT0r_F0IqD4tE4rYn5y8Eup4PJTH8es"",
      ""Snapshot!A:M""
    ),
    6,
    FALSE
  ),
  0
)
"),0.0)</f>
        <v>0</v>
      </c>
      <c r="AG45" s="54">
        <f>IFERROR(__xludf.DUMMYFUNCTION("IFERROR(
  VLOOKUP(
    A45,
    IMPORTRANGE(
      ""1SCYQd7_cobOYqT0r_F0IqD4tE4rYn5y8Eup4PJTH8es"",
      ""Snapshot!A:M""
    ),
    7,
    FALSE
  ),
  0
)
"),502.0)</f>
        <v>502</v>
      </c>
      <c r="AH45" s="54">
        <f>IFERROR(__xludf.DUMMYFUNCTION("IFERROR(
  VLOOKUP(
    A45,
    IMPORTRANGE(
      ""1SCYQd7_cobOYqT0r_F0IqD4tE4rYn5y8Eup4PJTH8es"",
      ""Snapshot!A:M""
    ),
    8,
    FALSE
  ),
  0
)
"),2.0)</f>
        <v>2</v>
      </c>
      <c r="AI45" s="54">
        <f>IFERROR(__xludf.DUMMYFUNCTION("IFERROR(
  VLOOKUP(
    A45,
    IMPORTRANGE(
      ""1SCYQd7_cobOYqT0r_F0IqD4tE4rYn5y8Eup4PJTH8es"",
      ""Snapshot!A:M""
    ),
    9,
    FALSE
  ),
  0
)
"),0.0)</f>
        <v>0</v>
      </c>
      <c r="AJ45" s="54">
        <f>IFERROR(__xludf.DUMMYFUNCTION("IFERROR(
  VLOOKUP(
    A45,
    IMPORTRANGE(
      ""1SCYQd7_cobOYqT0r_F0IqD4tE4rYn5y8Eup4PJTH8es"",
      ""Snapshot!A:M""
    ),
    13,
    FALSE
  ),
  0
)
"),2.0)</f>
        <v>2</v>
      </c>
      <c r="AK45" s="49">
        <f t="shared" ref="AK45:AL45" si="220">LEN(C45)</f>
        <v>32</v>
      </c>
      <c r="AL45" s="49">
        <f t="shared" si="220"/>
        <v>55</v>
      </c>
    </row>
    <row r="46">
      <c r="A46" s="1" t="s">
        <v>860</v>
      </c>
      <c r="B46" s="1" t="str">
        <f>IFERROR(__xludf.DUMMYFUNCTION("IFERROR(
  VLOOKUP(
    A46,
    IMPORTRANGE(
      ""1ZygntHC1J6IxzKbTidmOyf5nUyW4GCLurHCjexrLm_o"",
      ""HTMLキャッシュ!A:F""
    ),
    2,
    FALSE
  ),
  0
)
"),"NW")</f>
        <v>NW</v>
      </c>
      <c r="C46" s="1" t="str">
        <f>IFERROR(__xludf.DUMMYFUNCTION("IFERROR(
  VLOOKUP(
    A46,
    IMPORTRANGE(
      ""1ZygntHC1J6IxzKbTidmOyf5nUyW4GCLurHCjexrLm_o"",
      ""HTMLキャッシュ!A:F""
    ),
    5,
    FALSE
  ),
  0
)
"),"2022年度春期講習会開催のお知らせ - 受験社会専門塾「令和」")</f>
        <v>2022年度春期講習会開催のお知らせ - 受験社会専門塾「令和」</v>
      </c>
      <c r="D46" s="1" t="str">
        <f>IFERROR(__xludf.DUMMYFUNCTION("IFERROR(
  VLOOKUP(
    A46,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46" s="32">
        <f>IFERROR(__xludf.DUMMYFUNCTION("IFERROR(
  VLOOKUP(
    A46,
    IMPORTRANGE(
      ""1ZygntHC1J6IxzKbTidmOyf5nUyW4GCLurHCjexrLm_o        "",
      ""HTMLキャッシュ!A:F""
    ),
    3,
    FALSE
  ),
  0
)
"),46015.74655092593)</f>
        <v>46015.74655</v>
      </c>
      <c r="F46" s="49">
        <f>IFERROR(__xludf.DUMMYFUNCTION("IFERROR(
  VLOOKUP(
    A46,
    IMPORTRANGE(
      ""1ZHMy3vVUd_0MrSduXTe1etBb1HNpAlGwQr006ljwMiM"",
      ""GSC最新!A:F""
    ),
    2,
    FALSE
  ),
  0
)
"),0.0)</f>
        <v>0</v>
      </c>
      <c r="G46" s="49">
        <f>IFERROR(__xludf.DUMMYFUNCTION("IFERROR(
  VLOOKUP(
    A46,
    IMPORTRANGE(
      ""1ZHMy3vVUd_0MrSduXTe1etBb1HNpAlGwQr006ljwMiM"",
      ""GSC最新!A:F""
    ),
    3,
    FALSE
  ),
  0
)
"),0.0)</f>
        <v>0</v>
      </c>
      <c r="H46" s="49">
        <f>IFERROR(__xludf.DUMMYFUNCTION("IFERROR(
  VLOOKUP(
    A46,
    IMPORTRANGE(
      ""1ZHMy3vVUd_0MrSduXTe1etBb1HNpAlGwQr006ljwMiM"",
      ""GSC最新!A:F""
    ),
    4,
    FALSE
  ),
  0
)
"),0.0)</f>
        <v>0</v>
      </c>
      <c r="I46" s="49">
        <f>IFERROR(__xludf.DUMMYFUNCTION("IFERROR(
  VLOOKUP(
    A46,
    IMPORTRANGE(
      ""1ZHMy3vVUd_0MrSduXTe1etBb1HNpAlGwQr006ljwMiM"",
      ""GSC最新!A:F""
    ),
    5,
    FALSE
  ),
  0
)
"),0.0)</f>
        <v>0</v>
      </c>
      <c r="J46" s="50" t="str">
        <f t="shared" ref="J46:K46" si="221">IFERROR(F46/H46,"-")</f>
        <v>-</v>
      </c>
      <c r="K46" s="50" t="str">
        <f t="shared" si="221"/>
        <v>-</v>
      </c>
      <c r="L46" s="6">
        <f>IFERROR(__xludf.DUMMYFUNCTION("IFERROR(
  VLOOKUP(
    A46,
    IMPORTRANGE(
      ""1ZHMy3vVUd_0MrSduXTe1etBb1HNpAlGwQr006ljwMiM"",
      ""GSC最新!A:R""
    ),
    7,
    FALSE
  ),
  0
)
"),0.0)</f>
        <v>0</v>
      </c>
      <c r="M46" s="6">
        <f>IFERROR(__xludf.DUMMYFUNCTION("IFERROR(
  VLOOKUP(
    A46,
    IMPORTRANGE(
      ""1ZHMy3vVUd_0MrSduXTe1etBb1HNpAlGwQr006ljwMiM"",
      ""GSC最新!A:R""
    ),
    10,
    FALSE
  ),
  0
)
"),0.0)</f>
        <v>0</v>
      </c>
      <c r="N46" s="6">
        <f>IFERROR(__xludf.DUMMYFUNCTION("IFERROR(
  VLOOKUP(
    A46,
    IMPORTRANGE(
      ""1ZHMy3vVUd_0MrSduXTe1etBb1HNpAlGwQr006ljwMiM"",
      ""GSC最新!A:R""
    ),
    13,
    FALSE
  ),
  0
)
"),0.0)</f>
        <v>0</v>
      </c>
      <c r="O46" s="6">
        <f>IFERROR(__xludf.DUMMYFUNCTION("IFERROR(
  VLOOKUP(
    A46,
    IMPORTRANGE(
      ""1ZHMy3vVUd_0MrSduXTe1etBb1HNpAlGwQr006ljwMiM"",
      ""GSC最新!A:R""
    ),
    16,
    FALSE
  ),
  0
)
"),0.0)</f>
        <v>0</v>
      </c>
      <c r="P46" s="51" t="str">
        <f t="shared" ref="P46:Q46" si="222">IFERROR(L46/N46,"-")</f>
        <v>-</v>
      </c>
      <c r="Q46" s="51" t="str">
        <f t="shared" si="222"/>
        <v>-</v>
      </c>
      <c r="R46" s="9">
        <f>IFERROR(__xludf.DUMMYFUNCTION("IFERROR(
  VLOOKUP(
    A46,
    IMPORTRANGE(
      ""1ZHMy3vVUd_0MrSduXTe1etBb1HNpAlGwQr006ljwMiM"",
      ""GSC最新!A:R""
    ),
    8,
    FALSE
  ),
  0
)
"),0.0)</f>
        <v>0</v>
      </c>
      <c r="S46" s="9">
        <f>IFERROR(__xludf.DUMMYFUNCTION("IFERROR(
  VLOOKUP(
    A46,
    IMPORTRANGE(
      ""1ZHMy3vVUd_0MrSduXTe1etBb1HNpAlGwQr006ljwMiM"",
      ""GSC最新!A:R""
    ),
    11,
    FALSE
  ),
  0
)
"),0.0)</f>
        <v>0</v>
      </c>
      <c r="T46" s="9">
        <f>IFERROR(__xludf.DUMMYFUNCTION("IFERROR(
  VLOOKUP(
    A46,
    IMPORTRANGE(
      ""1ZHMy3vVUd_0MrSduXTe1etBb1HNpAlGwQr006ljwMiM"",
      ""GSC最新!A:R""
    ),
    14,
    FALSE
  ),
  0
)
"),0.0)</f>
        <v>0</v>
      </c>
      <c r="U46" s="9">
        <f>IFERROR(__xludf.DUMMYFUNCTION("IFERROR(
  VLOOKUP(
    A46,
    IMPORTRANGE(
      ""1ZHMy3vVUd_0MrSduXTe1etBb1HNpAlGwQr006ljwMiM"",
      ""GSC最新!A:R""
    ),
    17,
    FALSE
  ),
  0
)
"),0.0)</f>
        <v>0</v>
      </c>
      <c r="V46" s="9">
        <f t="shared" ref="V46:W46" si="223">IFERROR(R46-T46,"-")</f>
        <v>0</v>
      </c>
      <c r="W46" s="9">
        <f t="shared" si="223"/>
        <v>0</v>
      </c>
      <c r="X46" s="65" t="str">
        <f>IFERROR(__xludf.DUMMYFUNCTION("IFERROR(
  VLOOKUP(
    A46,
    IMPORTRANGE(
      ""1ZHMy3vVUd_0MrSduXTe1etBb1HNpAlGwQr006ljwMiM"",
      ""GSC最新!A:R""
    ),
    9,
    FALSE
  ),
  0
)
"),"")</f>
        <v/>
      </c>
      <c r="Y46" s="65" t="str">
        <f>IFERROR(__xludf.DUMMYFUNCTION("IFERROR(
  VLOOKUP(
    A46,
    IMPORTRANGE(
      ""1ZHMy3vVUd_0MrSduXTe1etBb1HNpAlGwQr006ljwMiM"",
      ""GSC最新!A:R""
    ),
    12,
    FALSE
  ),
  0
)
"),"")</f>
        <v/>
      </c>
      <c r="Z46" s="65" t="str">
        <f>IFERROR(__xludf.DUMMYFUNCTION("IFERROR(
  VLOOKUP(
    A46,
    IMPORTRANGE(
      ""1ZHMy3vVUd_0MrSduXTe1etBb1HNpAlGwQr006ljwMiM"",
      ""GSC最新!A:R""
    ),
    15,
    FALSE
  ),
  0
)
"),"")</f>
        <v/>
      </c>
      <c r="AA46" s="65" t="str">
        <f>IFERROR(__xludf.DUMMYFUNCTION("IFERROR(
  VLOOKUP(
    A46,
    IMPORTRANGE(
      ""1ZHMy3vVUd_0MrSduXTe1etBb1HNpAlGwQr006ljwMiM"",
      ""GSC最新!A:R""
    ),
    18,
    FALSE
  ),
  0
)
"),"")</f>
        <v/>
      </c>
      <c r="AB46" s="65">
        <f t="shared" ref="AB46:AC46" si="224">X46-Z46</f>
        <v>0</v>
      </c>
      <c r="AC46" s="65">
        <f t="shared" si="224"/>
        <v>0</v>
      </c>
      <c r="AD46" s="53">
        <f>IFERROR(__xludf.DUMMYFUNCTION("IFERROR(
  VLOOKUP(
    A46,
    IMPORTRANGE(
      ""1ZHMy3vVUd_0MrSduXTe1etBb1HNpAlGwQr006ljwMiM"",
      ""GSC最新!A:F""
    ),
    6,
    FALSE
  ),
  0
)
"),46081.0)</f>
        <v>46081</v>
      </c>
      <c r="AE46" s="54">
        <f>IFERROR(__xludf.DUMMYFUNCTION("IFERROR(
  VLOOKUP(
    A46,
    IMPORTRANGE(
      ""1SCYQd7_cobOYqT0r_F0IqD4tE4rYn5y8Eup4PJTH8es"",
      ""Snapshot!A:M""
    ),
    5,
    FALSE
  ),
  ""-""
)
"),0.0)</f>
        <v>0</v>
      </c>
      <c r="AF46" s="54">
        <f>IFERROR(__xludf.DUMMYFUNCTION("IFERROR(
  VLOOKUP(
    A46,
    IMPORTRANGE(
      ""1SCYQd7_cobOYqT0r_F0IqD4tE4rYn5y8Eup4PJTH8es"",
      ""Snapshot!A:M""
    ),
    6,
    FALSE
  ),
  0
)
"),0.0)</f>
        <v>0</v>
      </c>
      <c r="AG46" s="54">
        <f>IFERROR(__xludf.DUMMYFUNCTION("IFERROR(
  VLOOKUP(
    A46,
    IMPORTRANGE(
      ""1SCYQd7_cobOYqT0r_F0IqD4tE4rYn5y8Eup4PJTH8es"",
      ""Snapshot!A:M""
    ),
    7,
    FALSE
  ),
  0
)
"),515.0)</f>
        <v>515</v>
      </c>
      <c r="AH46" s="54">
        <f>IFERROR(__xludf.DUMMYFUNCTION("IFERROR(
  VLOOKUP(
    A46,
    IMPORTRANGE(
      ""1SCYQd7_cobOYqT0r_F0IqD4tE4rYn5y8Eup4PJTH8es"",
      ""Snapshot!A:M""
    ),
    8,
    FALSE
  ),
  0
)
"),2.0)</f>
        <v>2</v>
      </c>
      <c r="AI46" s="54">
        <f>IFERROR(__xludf.DUMMYFUNCTION("IFERROR(
  VLOOKUP(
    A46,
    IMPORTRANGE(
      ""1SCYQd7_cobOYqT0r_F0IqD4tE4rYn5y8Eup4PJTH8es"",
      ""Snapshot!A:M""
    ),
    9,
    FALSE
  ),
  0
)
"),0.0)</f>
        <v>0</v>
      </c>
      <c r="AJ46" s="54">
        <f>IFERROR(__xludf.DUMMYFUNCTION("IFERROR(
  VLOOKUP(
    A46,
    IMPORTRANGE(
      ""1SCYQd7_cobOYqT0r_F0IqD4tE4rYn5y8Eup4PJTH8es"",
      ""Snapshot!A:M""
    ),
    13,
    FALSE
  ),
  0
)
"),2.0)</f>
        <v>2</v>
      </c>
      <c r="AK46" s="49">
        <f t="shared" ref="AK46:AL46" si="225">LEN(C46)</f>
        <v>32</v>
      </c>
      <c r="AL46" s="49">
        <f t="shared" si="225"/>
        <v>55</v>
      </c>
    </row>
    <row r="47">
      <c r="A47" s="1" t="s">
        <v>861</v>
      </c>
      <c r="B47" s="1" t="str">
        <f>IFERROR(__xludf.DUMMYFUNCTION("IFERROR(
  VLOOKUP(
    A47,
    IMPORTRANGE(
      ""1ZygntHC1J6IxzKbTidmOyf5nUyW4GCLurHCjexrLm_o"",
      ""HTMLキャッシュ!A:F""
    ),
    2,
    FALSE
  ),
  0
)
"),"NW")</f>
        <v>NW</v>
      </c>
      <c r="C47" s="1" t="str">
        <f>IFERROR(__xludf.DUMMYFUNCTION("IFERROR(
  VLOOKUP(
    A47,
    IMPORTRANGE(
      ""1ZygntHC1J6IxzKbTidmOyf5nUyW4GCLurHCjexrLm_o"",
      ""HTMLキャッシュ!A:F""
    ),
    5,
    FALSE
  ),
  0
)
"),"2021年度春期講習会開催のお知らせ - 受験社会専門塾「令和」")</f>
        <v>2021年度春期講習会開催のお知らせ - 受験社会専門塾「令和」</v>
      </c>
      <c r="D47" s="1" t="str">
        <f>IFERROR(__xludf.DUMMYFUNCTION("IFERROR(
  VLOOKUP(
    A47,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47" s="32">
        <f>IFERROR(__xludf.DUMMYFUNCTION("IFERROR(
  VLOOKUP(
    A47,
    IMPORTRANGE(
      ""1ZygntHC1J6IxzKbTidmOyf5nUyW4GCLurHCjexrLm_o        "",
      ""HTMLキャッシュ!A:F""
    ),
    3,
    FALSE
  ),
  0
)
"),46015.74228009259)</f>
        <v>46015.74228</v>
      </c>
      <c r="F47" s="49">
        <f>IFERROR(__xludf.DUMMYFUNCTION("IFERROR(
  VLOOKUP(
    A47,
    IMPORTRANGE(
      ""1ZHMy3vVUd_0MrSduXTe1etBb1HNpAlGwQr006ljwMiM"",
      ""GSC最新!A:F""
    ),
    2,
    FALSE
  ),
  0
)
"),0.0)</f>
        <v>0</v>
      </c>
      <c r="G47" s="49">
        <f>IFERROR(__xludf.DUMMYFUNCTION("IFERROR(
  VLOOKUP(
    A47,
    IMPORTRANGE(
      ""1ZHMy3vVUd_0MrSduXTe1etBb1HNpAlGwQr006ljwMiM"",
      ""GSC最新!A:F""
    ),
    3,
    FALSE
  ),
  0
)
"),0.0)</f>
        <v>0</v>
      </c>
      <c r="H47" s="49">
        <f>IFERROR(__xludf.DUMMYFUNCTION("IFERROR(
  VLOOKUP(
    A47,
    IMPORTRANGE(
      ""1ZHMy3vVUd_0MrSduXTe1etBb1HNpAlGwQr006ljwMiM"",
      ""GSC最新!A:F""
    ),
    4,
    FALSE
  ),
  0
)
"),0.0)</f>
        <v>0</v>
      </c>
      <c r="I47" s="49">
        <f>IFERROR(__xludf.DUMMYFUNCTION("IFERROR(
  VLOOKUP(
    A47,
    IMPORTRANGE(
      ""1ZHMy3vVUd_0MrSduXTe1etBb1HNpAlGwQr006ljwMiM"",
      ""GSC最新!A:F""
    ),
    5,
    FALSE
  ),
  0
)
"),0.0)</f>
        <v>0</v>
      </c>
      <c r="J47" s="50" t="str">
        <f t="shared" ref="J47:K47" si="226">IFERROR(F47/H47,"-")</f>
        <v>-</v>
      </c>
      <c r="K47" s="50" t="str">
        <f t="shared" si="226"/>
        <v>-</v>
      </c>
      <c r="L47" s="6">
        <f>IFERROR(__xludf.DUMMYFUNCTION("IFERROR(
  VLOOKUP(
    A47,
    IMPORTRANGE(
      ""1ZHMy3vVUd_0MrSduXTe1etBb1HNpAlGwQr006ljwMiM"",
      ""GSC最新!A:R""
    ),
    7,
    FALSE
  ),
  0
)
"),0.0)</f>
        <v>0</v>
      </c>
      <c r="M47" s="6">
        <f>IFERROR(__xludf.DUMMYFUNCTION("IFERROR(
  VLOOKUP(
    A47,
    IMPORTRANGE(
      ""1ZHMy3vVUd_0MrSduXTe1etBb1HNpAlGwQr006ljwMiM"",
      ""GSC最新!A:R""
    ),
    10,
    FALSE
  ),
  0
)
"),0.0)</f>
        <v>0</v>
      </c>
      <c r="N47" s="6">
        <f>IFERROR(__xludf.DUMMYFUNCTION("IFERROR(
  VLOOKUP(
    A47,
    IMPORTRANGE(
      ""1ZHMy3vVUd_0MrSduXTe1etBb1HNpAlGwQr006ljwMiM"",
      ""GSC最新!A:R""
    ),
    13,
    FALSE
  ),
  0
)
"),0.0)</f>
        <v>0</v>
      </c>
      <c r="O47" s="6">
        <f>IFERROR(__xludf.DUMMYFUNCTION("IFERROR(
  VLOOKUP(
    A47,
    IMPORTRANGE(
      ""1ZHMy3vVUd_0MrSduXTe1etBb1HNpAlGwQr006ljwMiM"",
      ""GSC最新!A:R""
    ),
    16,
    FALSE
  ),
  0
)
"),0.0)</f>
        <v>0</v>
      </c>
      <c r="P47" s="51" t="str">
        <f t="shared" ref="P47:Q47" si="227">IFERROR(L47/N47,"-")</f>
        <v>-</v>
      </c>
      <c r="Q47" s="51" t="str">
        <f t="shared" si="227"/>
        <v>-</v>
      </c>
      <c r="R47" s="9">
        <f>IFERROR(__xludf.DUMMYFUNCTION("IFERROR(
  VLOOKUP(
    A47,
    IMPORTRANGE(
      ""1ZHMy3vVUd_0MrSduXTe1etBb1HNpAlGwQr006ljwMiM"",
      ""GSC最新!A:R""
    ),
    8,
    FALSE
  ),
  0
)
"),0.0)</f>
        <v>0</v>
      </c>
      <c r="S47" s="9">
        <f>IFERROR(__xludf.DUMMYFUNCTION("IFERROR(
  VLOOKUP(
    A47,
    IMPORTRANGE(
      ""1ZHMy3vVUd_0MrSduXTe1etBb1HNpAlGwQr006ljwMiM"",
      ""GSC最新!A:R""
    ),
    11,
    FALSE
  ),
  0
)
"),0.0)</f>
        <v>0</v>
      </c>
      <c r="T47" s="9">
        <f>IFERROR(__xludf.DUMMYFUNCTION("IFERROR(
  VLOOKUP(
    A47,
    IMPORTRANGE(
      ""1ZHMy3vVUd_0MrSduXTe1etBb1HNpAlGwQr006ljwMiM"",
      ""GSC最新!A:R""
    ),
    14,
    FALSE
  ),
  0
)
"),0.0)</f>
        <v>0</v>
      </c>
      <c r="U47" s="9">
        <f>IFERROR(__xludf.DUMMYFUNCTION("IFERROR(
  VLOOKUP(
    A47,
    IMPORTRANGE(
      ""1ZHMy3vVUd_0MrSduXTe1etBb1HNpAlGwQr006ljwMiM"",
      ""GSC最新!A:R""
    ),
    17,
    FALSE
  ),
  0
)
"),0.0)</f>
        <v>0</v>
      </c>
      <c r="V47" s="9">
        <f t="shared" ref="V47:W47" si="228">IFERROR(R47-T47,"-")</f>
        <v>0</v>
      </c>
      <c r="W47" s="9">
        <f t="shared" si="228"/>
        <v>0</v>
      </c>
      <c r="X47" s="65" t="str">
        <f>IFERROR(__xludf.DUMMYFUNCTION("IFERROR(
  VLOOKUP(
    A47,
    IMPORTRANGE(
      ""1ZHMy3vVUd_0MrSduXTe1etBb1HNpAlGwQr006ljwMiM"",
      ""GSC最新!A:R""
    ),
    9,
    FALSE
  ),
  0
)
"),"")</f>
        <v/>
      </c>
      <c r="Y47" s="65" t="str">
        <f>IFERROR(__xludf.DUMMYFUNCTION("IFERROR(
  VLOOKUP(
    A47,
    IMPORTRANGE(
      ""1ZHMy3vVUd_0MrSduXTe1etBb1HNpAlGwQr006ljwMiM"",
      ""GSC最新!A:R""
    ),
    12,
    FALSE
  ),
  0
)
"),"")</f>
        <v/>
      </c>
      <c r="Z47" s="65" t="str">
        <f>IFERROR(__xludf.DUMMYFUNCTION("IFERROR(
  VLOOKUP(
    A47,
    IMPORTRANGE(
      ""1ZHMy3vVUd_0MrSduXTe1etBb1HNpAlGwQr006ljwMiM"",
      ""GSC最新!A:R""
    ),
    15,
    FALSE
  ),
  0
)
"),"")</f>
        <v/>
      </c>
      <c r="AA47" s="65" t="str">
        <f>IFERROR(__xludf.DUMMYFUNCTION("IFERROR(
  VLOOKUP(
    A47,
    IMPORTRANGE(
      ""1ZHMy3vVUd_0MrSduXTe1etBb1HNpAlGwQr006ljwMiM"",
      ""GSC最新!A:R""
    ),
    18,
    FALSE
  ),
  0
)
"),"")</f>
        <v/>
      </c>
      <c r="AB47" s="65">
        <f t="shared" ref="AB47:AC47" si="229">X47-Z47</f>
        <v>0</v>
      </c>
      <c r="AC47" s="65">
        <f t="shared" si="229"/>
        <v>0</v>
      </c>
      <c r="AD47" s="53">
        <f>IFERROR(__xludf.DUMMYFUNCTION("IFERROR(
  VLOOKUP(
    A47,
    IMPORTRANGE(
      ""1ZHMy3vVUd_0MrSduXTe1etBb1HNpAlGwQr006ljwMiM"",
      ""GSC最新!A:F""
    ),
    6,
    FALSE
  ),
  0
)
"),46081.0)</f>
        <v>46081</v>
      </c>
      <c r="AE47" s="54">
        <f>IFERROR(__xludf.DUMMYFUNCTION("IFERROR(
  VLOOKUP(
    A47,
    IMPORTRANGE(
      ""1SCYQd7_cobOYqT0r_F0IqD4tE4rYn5y8Eup4PJTH8es"",
      ""Snapshot!A:M""
    ),
    5,
    FALSE
  ),
  ""-""
)
"),0.0)</f>
        <v>0</v>
      </c>
      <c r="AF47" s="54">
        <f>IFERROR(__xludf.DUMMYFUNCTION("IFERROR(
  VLOOKUP(
    A47,
    IMPORTRANGE(
      ""1SCYQd7_cobOYqT0r_F0IqD4tE4rYn5y8Eup4PJTH8es"",
      ""Snapshot!A:M""
    ),
    6,
    FALSE
  ),
  0
)
"),0.0)</f>
        <v>0</v>
      </c>
      <c r="AG47" s="54">
        <f>IFERROR(__xludf.DUMMYFUNCTION("IFERROR(
  VLOOKUP(
    A47,
    IMPORTRANGE(
      ""1SCYQd7_cobOYqT0r_F0IqD4tE4rYn5y8Eup4PJTH8es"",
      ""Snapshot!A:M""
    ),
    7,
    FALSE
  ),
  0
)
"),515.0)</f>
        <v>515</v>
      </c>
      <c r="AH47" s="54">
        <f>IFERROR(__xludf.DUMMYFUNCTION("IFERROR(
  VLOOKUP(
    A47,
    IMPORTRANGE(
      ""1SCYQd7_cobOYqT0r_F0IqD4tE4rYn5y8Eup4PJTH8es"",
      ""Snapshot!A:M""
    ),
    8,
    FALSE
  ),
  0
)
"),2.0)</f>
        <v>2</v>
      </c>
      <c r="AI47" s="54">
        <f>IFERROR(__xludf.DUMMYFUNCTION("IFERROR(
  VLOOKUP(
    A47,
    IMPORTRANGE(
      ""1SCYQd7_cobOYqT0r_F0IqD4tE4rYn5y8Eup4PJTH8es"",
      ""Snapshot!A:M""
    ),
    9,
    FALSE
  ),
  0
)
"),0.0)</f>
        <v>0</v>
      </c>
      <c r="AJ47" s="54">
        <f>IFERROR(__xludf.DUMMYFUNCTION("IFERROR(
  VLOOKUP(
    A47,
    IMPORTRANGE(
      ""1SCYQd7_cobOYqT0r_F0IqD4tE4rYn5y8Eup4PJTH8es"",
      ""Snapshot!A:M""
    ),
    13,
    FALSE
  ),
  0
)
"),2.0)</f>
        <v>2</v>
      </c>
      <c r="AK47" s="49">
        <f t="shared" ref="AK47:AL47" si="230">LEN(C47)</f>
        <v>32</v>
      </c>
      <c r="AL47" s="49">
        <f t="shared" si="230"/>
        <v>55</v>
      </c>
    </row>
    <row r="48">
      <c r="A48" s="1" t="s">
        <v>862</v>
      </c>
      <c r="B48" s="1" t="str">
        <f>IFERROR(__xludf.DUMMYFUNCTION("IFERROR(
  VLOOKUP(
    A48,
    IMPORTRANGE(
      ""1ZygntHC1J6IxzKbTidmOyf5nUyW4GCLurHCjexrLm_o"",
      ""HTMLキャッシュ!A:F""
    ),
    2,
    FALSE
  ),
  0
)
"),"NW")</f>
        <v>NW</v>
      </c>
      <c r="C48" s="1" t="str">
        <f>IFERROR(__xludf.DUMMYFUNCTION("IFERROR(
  VLOOKUP(
    A48,
    IMPORTRANGE(
      ""1ZygntHC1J6IxzKbTidmOyf5nUyW4GCLurHCjexrLm_o"",
      ""HTMLキャッシュ!A:F""
    ),
    5,
    FALSE
  ),
  0
)
"),"2020年度春期講習会開催のお知らせ - 受験社会専門塾「令和」")</f>
        <v>2020年度春期講習会開催のお知らせ - 受験社会専門塾「令和」</v>
      </c>
      <c r="D48" s="1" t="str">
        <f>IFERROR(__xludf.DUMMYFUNCTION("IFERROR(
  VLOOKUP(
    A48,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48" s="32">
        <f>IFERROR(__xludf.DUMMYFUNCTION("IFERROR(
  VLOOKUP(
    A48,
    IMPORTRANGE(
      ""1ZygntHC1J6IxzKbTidmOyf5nUyW4GCLurHCjexrLm_o        "",
      ""HTMLキャッシュ!A:F""
    ),
    3,
    FALSE
  ),
  0
)
"),46015.738854166666)</f>
        <v>46015.73885</v>
      </c>
      <c r="F48" s="49">
        <f>IFERROR(__xludf.DUMMYFUNCTION("IFERROR(
  VLOOKUP(
    A48,
    IMPORTRANGE(
      ""1ZHMy3vVUd_0MrSduXTe1etBb1HNpAlGwQr006ljwMiM"",
      ""GSC最新!A:F""
    ),
    2,
    FALSE
  ),
  0
)
"),0.0)</f>
        <v>0</v>
      </c>
      <c r="G48" s="49">
        <f>IFERROR(__xludf.DUMMYFUNCTION("IFERROR(
  VLOOKUP(
    A48,
    IMPORTRANGE(
      ""1ZHMy3vVUd_0MrSduXTe1etBb1HNpAlGwQr006ljwMiM"",
      ""GSC最新!A:F""
    ),
    3,
    FALSE
  ),
  0
)
"),0.0)</f>
        <v>0</v>
      </c>
      <c r="H48" s="49">
        <f>IFERROR(__xludf.DUMMYFUNCTION("IFERROR(
  VLOOKUP(
    A48,
    IMPORTRANGE(
      ""1ZHMy3vVUd_0MrSduXTe1etBb1HNpAlGwQr006ljwMiM"",
      ""GSC最新!A:F""
    ),
    4,
    FALSE
  ),
  0
)
"),0.0)</f>
        <v>0</v>
      </c>
      <c r="I48" s="49">
        <f>IFERROR(__xludf.DUMMYFUNCTION("IFERROR(
  VLOOKUP(
    A48,
    IMPORTRANGE(
      ""1ZHMy3vVUd_0MrSduXTe1etBb1HNpAlGwQr006ljwMiM"",
      ""GSC最新!A:F""
    ),
    5,
    FALSE
  ),
  0
)
"),0.0)</f>
        <v>0</v>
      </c>
      <c r="J48" s="50" t="str">
        <f t="shared" ref="J48:K48" si="231">IFERROR(F48/H48,"-")</f>
        <v>-</v>
      </c>
      <c r="K48" s="50" t="str">
        <f t="shared" si="231"/>
        <v>-</v>
      </c>
      <c r="L48" s="6">
        <f>IFERROR(__xludf.DUMMYFUNCTION("IFERROR(
  VLOOKUP(
    A48,
    IMPORTRANGE(
      ""1ZHMy3vVUd_0MrSduXTe1etBb1HNpAlGwQr006ljwMiM"",
      ""GSC最新!A:R""
    ),
    7,
    FALSE
  ),
  0
)
"),0.0)</f>
        <v>0</v>
      </c>
      <c r="M48" s="6">
        <f>IFERROR(__xludf.DUMMYFUNCTION("IFERROR(
  VLOOKUP(
    A48,
    IMPORTRANGE(
      ""1ZHMy3vVUd_0MrSduXTe1etBb1HNpAlGwQr006ljwMiM"",
      ""GSC最新!A:R""
    ),
    10,
    FALSE
  ),
  0
)
"),0.0)</f>
        <v>0</v>
      </c>
      <c r="N48" s="6">
        <f>IFERROR(__xludf.DUMMYFUNCTION("IFERROR(
  VLOOKUP(
    A48,
    IMPORTRANGE(
      ""1ZHMy3vVUd_0MrSduXTe1etBb1HNpAlGwQr006ljwMiM"",
      ""GSC最新!A:R""
    ),
    13,
    FALSE
  ),
  0
)
"),0.0)</f>
        <v>0</v>
      </c>
      <c r="O48" s="6">
        <f>IFERROR(__xludf.DUMMYFUNCTION("IFERROR(
  VLOOKUP(
    A48,
    IMPORTRANGE(
      ""1ZHMy3vVUd_0MrSduXTe1etBb1HNpAlGwQr006ljwMiM"",
      ""GSC最新!A:R""
    ),
    16,
    FALSE
  ),
  0
)
"),0.0)</f>
        <v>0</v>
      </c>
      <c r="P48" s="51" t="str">
        <f t="shared" ref="P48:Q48" si="232">IFERROR(L48/N48,"-")</f>
        <v>-</v>
      </c>
      <c r="Q48" s="51" t="str">
        <f t="shared" si="232"/>
        <v>-</v>
      </c>
      <c r="R48" s="9">
        <f>IFERROR(__xludf.DUMMYFUNCTION("IFERROR(
  VLOOKUP(
    A48,
    IMPORTRANGE(
      ""1ZHMy3vVUd_0MrSduXTe1etBb1HNpAlGwQr006ljwMiM"",
      ""GSC最新!A:R""
    ),
    8,
    FALSE
  ),
  0
)
"),0.0)</f>
        <v>0</v>
      </c>
      <c r="S48" s="9">
        <f>IFERROR(__xludf.DUMMYFUNCTION("IFERROR(
  VLOOKUP(
    A48,
    IMPORTRANGE(
      ""1ZHMy3vVUd_0MrSduXTe1etBb1HNpAlGwQr006ljwMiM"",
      ""GSC最新!A:R""
    ),
    11,
    FALSE
  ),
  0
)
"),0.0)</f>
        <v>0</v>
      </c>
      <c r="T48" s="9">
        <f>IFERROR(__xludf.DUMMYFUNCTION("IFERROR(
  VLOOKUP(
    A48,
    IMPORTRANGE(
      ""1ZHMy3vVUd_0MrSduXTe1etBb1HNpAlGwQr006ljwMiM"",
      ""GSC最新!A:R""
    ),
    14,
    FALSE
  ),
  0
)
"),0.0)</f>
        <v>0</v>
      </c>
      <c r="U48" s="9">
        <f>IFERROR(__xludf.DUMMYFUNCTION("IFERROR(
  VLOOKUP(
    A48,
    IMPORTRANGE(
      ""1ZHMy3vVUd_0MrSduXTe1etBb1HNpAlGwQr006ljwMiM"",
      ""GSC最新!A:R""
    ),
    17,
    FALSE
  ),
  0
)
"),0.0)</f>
        <v>0</v>
      </c>
      <c r="V48" s="9">
        <f t="shared" ref="V48:W48" si="233">IFERROR(R48-T48,"-")</f>
        <v>0</v>
      </c>
      <c r="W48" s="9">
        <f t="shared" si="233"/>
        <v>0</v>
      </c>
      <c r="X48" s="65" t="str">
        <f>IFERROR(__xludf.DUMMYFUNCTION("IFERROR(
  VLOOKUP(
    A48,
    IMPORTRANGE(
      ""1ZHMy3vVUd_0MrSduXTe1etBb1HNpAlGwQr006ljwMiM"",
      ""GSC最新!A:R""
    ),
    9,
    FALSE
  ),
  0
)
"),"")</f>
        <v/>
      </c>
      <c r="Y48" s="65" t="str">
        <f>IFERROR(__xludf.DUMMYFUNCTION("IFERROR(
  VLOOKUP(
    A48,
    IMPORTRANGE(
      ""1ZHMy3vVUd_0MrSduXTe1etBb1HNpAlGwQr006ljwMiM"",
      ""GSC最新!A:R""
    ),
    12,
    FALSE
  ),
  0
)
"),"")</f>
        <v/>
      </c>
      <c r="Z48" s="65" t="str">
        <f>IFERROR(__xludf.DUMMYFUNCTION("IFERROR(
  VLOOKUP(
    A48,
    IMPORTRANGE(
      ""1ZHMy3vVUd_0MrSduXTe1etBb1HNpAlGwQr006ljwMiM"",
      ""GSC最新!A:R""
    ),
    15,
    FALSE
  ),
  0
)
"),"")</f>
        <v/>
      </c>
      <c r="AA48" s="65" t="str">
        <f>IFERROR(__xludf.DUMMYFUNCTION("IFERROR(
  VLOOKUP(
    A48,
    IMPORTRANGE(
      ""1ZHMy3vVUd_0MrSduXTe1etBb1HNpAlGwQr006ljwMiM"",
      ""GSC最新!A:R""
    ),
    18,
    FALSE
  ),
  0
)
"),"")</f>
        <v/>
      </c>
      <c r="AB48" s="65">
        <f t="shared" ref="AB48:AC48" si="234">X48-Z48</f>
        <v>0</v>
      </c>
      <c r="AC48" s="65">
        <f t="shared" si="234"/>
        <v>0</v>
      </c>
      <c r="AD48" s="53">
        <f>IFERROR(__xludf.DUMMYFUNCTION("IFERROR(
  VLOOKUP(
    A48,
    IMPORTRANGE(
      ""1ZHMy3vVUd_0MrSduXTe1etBb1HNpAlGwQr006ljwMiM"",
      ""GSC最新!A:F""
    ),
    6,
    FALSE
  ),
  0
)
"),46081.0)</f>
        <v>46081</v>
      </c>
      <c r="AE48" s="54">
        <f>IFERROR(__xludf.DUMMYFUNCTION("IFERROR(
  VLOOKUP(
    A48,
    IMPORTRANGE(
      ""1SCYQd7_cobOYqT0r_F0IqD4tE4rYn5y8Eup4PJTH8es"",
      ""Snapshot!A:M""
    ),
    5,
    FALSE
  ),
  ""-""
)
"),0.0)</f>
        <v>0</v>
      </c>
      <c r="AF48" s="54">
        <f>IFERROR(__xludf.DUMMYFUNCTION("IFERROR(
  VLOOKUP(
    A48,
    IMPORTRANGE(
      ""1SCYQd7_cobOYqT0r_F0IqD4tE4rYn5y8Eup4PJTH8es"",
      ""Snapshot!A:M""
    ),
    6,
    FALSE
  ),
  0
)
"),0.0)</f>
        <v>0</v>
      </c>
      <c r="AG48" s="54">
        <f>IFERROR(__xludf.DUMMYFUNCTION("IFERROR(
  VLOOKUP(
    A48,
    IMPORTRANGE(
      ""1SCYQd7_cobOYqT0r_F0IqD4tE4rYn5y8Eup4PJTH8es"",
      ""Snapshot!A:M""
    ),
    7,
    FALSE
  ),
  0
)
"),515.0)</f>
        <v>515</v>
      </c>
      <c r="AH48" s="54">
        <f>IFERROR(__xludf.DUMMYFUNCTION("IFERROR(
  VLOOKUP(
    A48,
    IMPORTRANGE(
      ""1SCYQd7_cobOYqT0r_F0IqD4tE4rYn5y8Eup4PJTH8es"",
      ""Snapshot!A:M""
    ),
    8,
    FALSE
  ),
  0
)
"),2.0)</f>
        <v>2</v>
      </c>
      <c r="AI48" s="54">
        <f>IFERROR(__xludf.DUMMYFUNCTION("IFERROR(
  VLOOKUP(
    A48,
    IMPORTRANGE(
      ""1SCYQd7_cobOYqT0r_F0IqD4tE4rYn5y8Eup4PJTH8es"",
      ""Snapshot!A:M""
    ),
    9,
    FALSE
  ),
  0
)
"),0.0)</f>
        <v>0</v>
      </c>
      <c r="AJ48" s="54">
        <f>IFERROR(__xludf.DUMMYFUNCTION("IFERROR(
  VLOOKUP(
    A48,
    IMPORTRANGE(
      ""1SCYQd7_cobOYqT0r_F0IqD4tE4rYn5y8Eup4PJTH8es"",
      ""Snapshot!A:M""
    ),
    13,
    FALSE
  ),
  0
)
"),2.0)</f>
        <v>2</v>
      </c>
      <c r="AK48" s="49">
        <f t="shared" ref="AK48:AL48" si="235">LEN(C48)</f>
        <v>32</v>
      </c>
      <c r="AL48" s="49">
        <f t="shared" si="235"/>
        <v>55</v>
      </c>
    </row>
    <row r="49">
      <c r="A49" s="3" t="s">
        <v>863</v>
      </c>
      <c r="B49" s="1" t="str">
        <f>IFERROR(__xludf.DUMMYFUNCTION("IFERROR(
  VLOOKUP(
    A49,
    IMPORTRANGE(
      ""1ZygntHC1J6IxzKbTidmOyf5nUyW4GCLurHCjexrLm_o"",
      ""HTMLキャッシュ!A:F""
    ),
    2,
    FALSE
  ),
  0
)
"),"NW")</f>
        <v>NW</v>
      </c>
      <c r="C49" s="1" t="str">
        <f>IFERROR(__xludf.DUMMYFUNCTION("IFERROR(
  VLOOKUP(
    A49,
    IMPORTRANGE(
      ""1ZygntHC1J6IxzKbTidmOyf5nUyW4GCLurHCjexrLm_o"",
      ""HTMLキャッシュ!A:F""
    ),
    5,
    FALSE
  ),
  0
)
"),"2019年度春期講習会開催のお知らせ - 受験社会専門塾「令和」")</f>
        <v>2019年度春期講習会開催のお知らせ - 受験社会専門塾「令和」</v>
      </c>
      <c r="D49" s="1" t="str">
        <f>IFERROR(__xludf.DUMMYFUNCTION("IFERROR(
  VLOOKUP(
    A49,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49" s="32">
        <f>IFERROR(__xludf.DUMMYFUNCTION("IFERROR(
  VLOOKUP(
    A49,
    IMPORTRANGE(
      ""1ZygntHC1J6IxzKbTidmOyf5nUyW4GCLurHCjexrLm_o        "",
      ""HTMLキャッシュ!A:F""
    ),
    3,
    FALSE
  ),
  0
)
"),46015.759988425925)</f>
        <v>46015.75999</v>
      </c>
      <c r="F49" s="49">
        <f>IFERROR(__xludf.DUMMYFUNCTION("IFERROR(
  VLOOKUP(
    A49,
    IMPORTRANGE(
      ""1ZHMy3vVUd_0MrSduXTe1etBb1HNpAlGwQr006ljwMiM"",
      ""GSC最新!A:F""
    ),
    2,
    FALSE
  ),
  0
)
"),0.0)</f>
        <v>0</v>
      </c>
      <c r="G49" s="49">
        <f>IFERROR(__xludf.DUMMYFUNCTION("IFERROR(
  VLOOKUP(
    A49,
    IMPORTRANGE(
      ""1ZHMy3vVUd_0MrSduXTe1etBb1HNpAlGwQr006ljwMiM"",
      ""GSC最新!A:F""
    ),
    3,
    FALSE
  ),
  0
)
"),0.0)</f>
        <v>0</v>
      </c>
      <c r="H49" s="49">
        <f>IFERROR(__xludf.DUMMYFUNCTION("IFERROR(
  VLOOKUP(
    A49,
    IMPORTRANGE(
      ""1ZHMy3vVUd_0MrSduXTe1etBb1HNpAlGwQr006ljwMiM"",
      ""GSC最新!A:F""
    ),
    4,
    FALSE
  ),
  0
)
"),0.0)</f>
        <v>0</v>
      </c>
      <c r="I49" s="49">
        <f>IFERROR(__xludf.DUMMYFUNCTION("IFERROR(
  VLOOKUP(
    A49,
    IMPORTRANGE(
      ""1ZHMy3vVUd_0MrSduXTe1etBb1HNpAlGwQr006ljwMiM"",
      ""GSC最新!A:F""
    ),
    5,
    FALSE
  ),
  0
)
"),0.0)</f>
        <v>0</v>
      </c>
      <c r="J49" s="50" t="str">
        <f t="shared" ref="J49:K49" si="236">IFERROR(F49/H49,"-")</f>
        <v>-</v>
      </c>
      <c r="K49" s="50" t="str">
        <f t="shared" si="236"/>
        <v>-</v>
      </c>
      <c r="L49" s="6">
        <f>IFERROR(__xludf.DUMMYFUNCTION("IFERROR(
  VLOOKUP(
    A49,
    IMPORTRANGE(
      ""1ZHMy3vVUd_0MrSduXTe1etBb1HNpAlGwQr006ljwMiM"",
      ""GSC最新!A:R""
    ),
    7,
    FALSE
  ),
  0
)
"),0.0)</f>
        <v>0</v>
      </c>
      <c r="M49" s="6">
        <f>IFERROR(__xludf.DUMMYFUNCTION("IFERROR(
  VLOOKUP(
    A49,
    IMPORTRANGE(
      ""1ZHMy3vVUd_0MrSduXTe1etBb1HNpAlGwQr006ljwMiM"",
      ""GSC最新!A:R""
    ),
    10,
    FALSE
  ),
  0
)
"),0.0)</f>
        <v>0</v>
      </c>
      <c r="N49" s="6">
        <f>IFERROR(__xludf.DUMMYFUNCTION("IFERROR(
  VLOOKUP(
    A49,
    IMPORTRANGE(
      ""1ZHMy3vVUd_0MrSduXTe1etBb1HNpAlGwQr006ljwMiM"",
      ""GSC最新!A:R""
    ),
    13,
    FALSE
  ),
  0
)
"),0.0)</f>
        <v>0</v>
      </c>
      <c r="O49" s="6">
        <f>IFERROR(__xludf.DUMMYFUNCTION("IFERROR(
  VLOOKUP(
    A49,
    IMPORTRANGE(
      ""1ZHMy3vVUd_0MrSduXTe1etBb1HNpAlGwQr006ljwMiM"",
      ""GSC最新!A:R""
    ),
    16,
    FALSE
  ),
  0
)
"),0.0)</f>
        <v>0</v>
      </c>
      <c r="P49" s="51" t="str">
        <f t="shared" ref="P49:Q49" si="237">IFERROR(L49/N49,"-")</f>
        <v>-</v>
      </c>
      <c r="Q49" s="51" t="str">
        <f t="shared" si="237"/>
        <v>-</v>
      </c>
      <c r="R49" s="9">
        <f>IFERROR(__xludf.DUMMYFUNCTION("IFERROR(
  VLOOKUP(
    A49,
    IMPORTRANGE(
      ""1ZHMy3vVUd_0MrSduXTe1etBb1HNpAlGwQr006ljwMiM"",
      ""GSC最新!A:R""
    ),
    8,
    FALSE
  ),
  0
)
"),0.0)</f>
        <v>0</v>
      </c>
      <c r="S49" s="9">
        <f>IFERROR(__xludf.DUMMYFUNCTION("IFERROR(
  VLOOKUP(
    A49,
    IMPORTRANGE(
      ""1ZHMy3vVUd_0MrSduXTe1etBb1HNpAlGwQr006ljwMiM"",
      ""GSC最新!A:R""
    ),
    11,
    FALSE
  ),
  0
)
"),0.0)</f>
        <v>0</v>
      </c>
      <c r="T49" s="9">
        <f>IFERROR(__xludf.DUMMYFUNCTION("IFERROR(
  VLOOKUP(
    A49,
    IMPORTRANGE(
      ""1ZHMy3vVUd_0MrSduXTe1etBb1HNpAlGwQr006ljwMiM"",
      ""GSC最新!A:R""
    ),
    14,
    FALSE
  ),
  0
)
"),0.0)</f>
        <v>0</v>
      </c>
      <c r="U49" s="9">
        <f>IFERROR(__xludf.DUMMYFUNCTION("IFERROR(
  VLOOKUP(
    A49,
    IMPORTRANGE(
      ""1ZHMy3vVUd_0MrSduXTe1etBb1HNpAlGwQr006ljwMiM"",
      ""GSC最新!A:R""
    ),
    17,
    FALSE
  ),
  0
)
"),0.0)</f>
        <v>0</v>
      </c>
      <c r="V49" s="9">
        <f t="shared" ref="V49:W49" si="238">IFERROR(R49-T49,"-")</f>
        <v>0</v>
      </c>
      <c r="W49" s="9">
        <f t="shared" si="238"/>
        <v>0</v>
      </c>
      <c r="X49" s="65" t="str">
        <f>IFERROR(__xludf.DUMMYFUNCTION("IFERROR(
  VLOOKUP(
    A49,
    IMPORTRANGE(
      ""1ZHMy3vVUd_0MrSduXTe1etBb1HNpAlGwQr006ljwMiM"",
      ""GSC最新!A:R""
    ),
    9,
    FALSE
  ),
  0
)
"),"")</f>
        <v/>
      </c>
      <c r="Y49" s="65" t="str">
        <f>IFERROR(__xludf.DUMMYFUNCTION("IFERROR(
  VLOOKUP(
    A49,
    IMPORTRANGE(
      ""1ZHMy3vVUd_0MrSduXTe1etBb1HNpAlGwQr006ljwMiM"",
      ""GSC最新!A:R""
    ),
    12,
    FALSE
  ),
  0
)
"),"")</f>
        <v/>
      </c>
      <c r="Z49" s="65" t="str">
        <f>IFERROR(__xludf.DUMMYFUNCTION("IFERROR(
  VLOOKUP(
    A49,
    IMPORTRANGE(
      ""1ZHMy3vVUd_0MrSduXTe1etBb1HNpAlGwQr006ljwMiM"",
      ""GSC最新!A:R""
    ),
    15,
    FALSE
  ),
  0
)
"),"")</f>
        <v/>
      </c>
      <c r="AA49" s="65" t="str">
        <f>IFERROR(__xludf.DUMMYFUNCTION("IFERROR(
  VLOOKUP(
    A49,
    IMPORTRANGE(
      ""1ZHMy3vVUd_0MrSduXTe1etBb1HNpAlGwQr006ljwMiM"",
      ""GSC最新!A:R""
    ),
    18,
    FALSE
  ),
  0
)
"),"")</f>
        <v/>
      </c>
      <c r="AB49" s="65">
        <f t="shared" ref="AB49:AC49" si="239">X49-Z49</f>
        <v>0</v>
      </c>
      <c r="AC49" s="65">
        <f t="shared" si="239"/>
        <v>0</v>
      </c>
      <c r="AD49" s="53">
        <f>IFERROR(__xludf.DUMMYFUNCTION("IFERROR(
  VLOOKUP(
    A49,
    IMPORTRANGE(
      ""1ZHMy3vVUd_0MrSduXTe1etBb1HNpAlGwQr006ljwMiM"",
      ""GSC最新!A:F""
    ),
    6,
    FALSE
  ),
  0
)
"),46081.0)</f>
        <v>46081</v>
      </c>
      <c r="AE49" s="54">
        <f>IFERROR(__xludf.DUMMYFUNCTION("IFERROR(
  VLOOKUP(
    A49,
    IMPORTRANGE(
      ""1SCYQd7_cobOYqT0r_F0IqD4tE4rYn5y8Eup4PJTH8es"",
      ""Snapshot!A:M""
    ),
    5,
    FALSE
  ),
  ""-""
)
"),0.0)</f>
        <v>0</v>
      </c>
      <c r="AF49" s="54">
        <f>IFERROR(__xludf.DUMMYFUNCTION("IFERROR(
  VLOOKUP(
    A49,
    IMPORTRANGE(
      ""1SCYQd7_cobOYqT0r_F0IqD4tE4rYn5y8Eup4PJTH8es"",
      ""Snapshot!A:M""
    ),
    6,
    FALSE
  ),
  0
)
"),0.0)</f>
        <v>0</v>
      </c>
      <c r="AG49" s="54">
        <f>IFERROR(__xludf.DUMMYFUNCTION("IFERROR(
  VLOOKUP(
    A49,
    IMPORTRANGE(
      ""1SCYQd7_cobOYqT0r_F0IqD4tE4rYn5y8Eup4PJTH8es"",
      ""Snapshot!A:M""
    ),
    7,
    FALSE
  ),
  0
)
"),515.0)</f>
        <v>515</v>
      </c>
      <c r="AH49" s="54">
        <f>IFERROR(__xludf.DUMMYFUNCTION("IFERROR(
  VLOOKUP(
    A49,
    IMPORTRANGE(
      ""1SCYQd7_cobOYqT0r_F0IqD4tE4rYn5y8Eup4PJTH8es"",
      ""Snapshot!A:M""
    ),
    8,
    FALSE
  ),
  0
)
"),2.0)</f>
        <v>2</v>
      </c>
      <c r="AI49" s="54">
        <f>IFERROR(__xludf.DUMMYFUNCTION("IFERROR(
  VLOOKUP(
    A49,
    IMPORTRANGE(
      ""1SCYQd7_cobOYqT0r_F0IqD4tE4rYn5y8Eup4PJTH8es"",
      ""Snapshot!A:M""
    ),
    9,
    FALSE
  ),
  0
)
"),0.0)</f>
        <v>0</v>
      </c>
      <c r="AJ49" s="54">
        <f>IFERROR(__xludf.DUMMYFUNCTION("IFERROR(
  VLOOKUP(
    A49,
    IMPORTRANGE(
      ""1SCYQd7_cobOYqT0r_F0IqD4tE4rYn5y8Eup4PJTH8es"",
      ""Snapshot!A:M""
    ),
    13,
    FALSE
  ),
  0
)
"),2.0)</f>
        <v>2</v>
      </c>
      <c r="AK49" s="49">
        <f t="shared" ref="AK49:AL49" si="240">LEN(C49)</f>
        <v>32</v>
      </c>
      <c r="AL49" s="49">
        <f t="shared" si="240"/>
        <v>55</v>
      </c>
    </row>
    <row r="50">
      <c r="A50" s="1" t="s">
        <v>864</v>
      </c>
      <c r="B50" s="1" t="str">
        <f>IFERROR(__xludf.DUMMYFUNCTION("IFERROR(
  VLOOKUP(
    A50,
    IMPORTRANGE(
      ""1ZygntHC1J6IxzKbTidmOyf5nUyW4GCLurHCjexrLm_o"",
      ""HTMLキャッシュ!A:F""
    ),
    2,
    FALSE
  ),
  0
)
"),"NW")</f>
        <v>NW</v>
      </c>
      <c r="C50" s="1" t="str">
        <f>IFERROR(__xludf.DUMMYFUNCTION("IFERROR(
  VLOOKUP(
    A50,
    IMPORTRANGE(
      ""1ZygntHC1J6IxzKbTidmOyf5nUyW4GCLurHCjexrLm_o"",
      ""HTMLキャッシュ!A:F""
    ),
    5,
    FALSE
  ),
  0
)
"),"2025年 春期講習会開催のお知らせ - 受験社会専門塾「令和」")</f>
        <v>2025年 春期講習会開催のお知らせ - 受験社会専門塾「令和」</v>
      </c>
      <c r="D50" s="1" t="str">
        <f>IFERROR(__xludf.DUMMYFUNCTION("IFERROR(
  VLOOKUP(
    A50,
    IMPORTRANGE(
      ""1ZygntHC1J6IxzKbTidmOyf5nUyW4GCLurHCjexrLm_o        "",
      ""HTMLキャッシュ!A:F""
    ),
    6,
    FALSE
  ),
  0
)
"),"春休みは、短い期間ながらも日頃の積み残しを解消し、次の学年に向けて力を蓄える絶好のタイミングです。 受験社会専")</f>
        <v>春休みは、短い期間ながらも日頃の積み残しを解消し、次の学年に向けて力を蓄える絶好のタイミングです。 受験社会専</v>
      </c>
      <c r="E50" s="32">
        <f>IFERROR(__xludf.DUMMYFUNCTION("IFERROR(
  VLOOKUP(
    A50,
    IMPORTRANGE(
      ""1ZygntHC1J6IxzKbTidmOyf5nUyW4GCLurHCjexrLm_o        "",
      ""HTMLキャッシュ!A:F""
    ),
    3,
    FALSE
  ),
  0
)
"),46015.75925925926)</f>
        <v>46015.75926</v>
      </c>
      <c r="F50" s="49">
        <f>IFERROR(__xludf.DUMMYFUNCTION("IFERROR(
  VLOOKUP(
    A50,
    IMPORTRANGE(
      ""1ZHMy3vVUd_0MrSduXTe1etBb1HNpAlGwQr006ljwMiM"",
      ""GSC最新!A:F""
    ),
    2,
    FALSE
  ),
  0
)
"),0.0)</f>
        <v>0</v>
      </c>
      <c r="G50" s="49">
        <f>IFERROR(__xludf.DUMMYFUNCTION("IFERROR(
  VLOOKUP(
    A50,
    IMPORTRANGE(
      ""1ZHMy3vVUd_0MrSduXTe1etBb1HNpAlGwQr006ljwMiM"",
      ""GSC最新!A:F""
    ),
    3,
    FALSE
  ),
  0
)
"),0.0)</f>
        <v>0</v>
      </c>
      <c r="H50" s="49">
        <f>IFERROR(__xludf.DUMMYFUNCTION("IFERROR(
  VLOOKUP(
    A50,
    IMPORTRANGE(
      ""1ZHMy3vVUd_0MrSduXTe1etBb1HNpAlGwQr006ljwMiM"",
      ""GSC最新!A:F""
    ),
    4,
    FALSE
  ),
  0
)
"),0.0)</f>
        <v>0</v>
      </c>
      <c r="I50" s="49">
        <f>IFERROR(__xludf.DUMMYFUNCTION("IFERROR(
  VLOOKUP(
    A50,
    IMPORTRANGE(
      ""1ZHMy3vVUd_0MrSduXTe1etBb1HNpAlGwQr006ljwMiM"",
      ""GSC最新!A:F""
    ),
    5,
    FALSE
  ),
  0
)
"),0.0)</f>
        <v>0</v>
      </c>
      <c r="J50" s="50" t="str">
        <f t="shared" ref="J50:K50" si="241">IFERROR(F50/H50,"-")</f>
        <v>-</v>
      </c>
      <c r="K50" s="50" t="str">
        <f t="shared" si="241"/>
        <v>-</v>
      </c>
      <c r="L50" s="6">
        <f>IFERROR(__xludf.DUMMYFUNCTION("IFERROR(
  VLOOKUP(
    A50,
    IMPORTRANGE(
      ""1ZHMy3vVUd_0MrSduXTe1etBb1HNpAlGwQr006ljwMiM"",
      ""GSC最新!A:R""
    ),
    7,
    FALSE
  ),
  0
)
"),0.0)</f>
        <v>0</v>
      </c>
      <c r="M50" s="6">
        <f>IFERROR(__xludf.DUMMYFUNCTION("IFERROR(
  VLOOKUP(
    A50,
    IMPORTRANGE(
      ""1ZHMy3vVUd_0MrSduXTe1etBb1HNpAlGwQr006ljwMiM"",
      ""GSC最新!A:R""
    ),
    10,
    FALSE
  ),
  0
)
"),0.0)</f>
        <v>0</v>
      </c>
      <c r="N50" s="6">
        <f>IFERROR(__xludf.DUMMYFUNCTION("IFERROR(
  VLOOKUP(
    A50,
    IMPORTRANGE(
      ""1ZHMy3vVUd_0MrSduXTe1etBb1HNpAlGwQr006ljwMiM"",
      ""GSC最新!A:R""
    ),
    13,
    FALSE
  ),
  0
)
"),0.0)</f>
        <v>0</v>
      </c>
      <c r="O50" s="6">
        <f>IFERROR(__xludf.DUMMYFUNCTION("IFERROR(
  VLOOKUP(
    A50,
    IMPORTRANGE(
      ""1ZHMy3vVUd_0MrSduXTe1etBb1HNpAlGwQr006ljwMiM"",
      ""GSC最新!A:R""
    ),
    16,
    FALSE
  ),
  0
)
"),0.0)</f>
        <v>0</v>
      </c>
      <c r="P50" s="51" t="str">
        <f t="shared" ref="P50:Q50" si="242">IFERROR(L50/N50,"-")</f>
        <v>-</v>
      </c>
      <c r="Q50" s="51" t="str">
        <f t="shared" si="242"/>
        <v>-</v>
      </c>
      <c r="R50" s="9">
        <f>IFERROR(__xludf.DUMMYFUNCTION("IFERROR(
  VLOOKUP(
    A50,
    IMPORTRANGE(
      ""1ZHMy3vVUd_0MrSduXTe1etBb1HNpAlGwQr006ljwMiM"",
      ""GSC最新!A:R""
    ),
    8,
    FALSE
  ),
  0
)
"),0.0)</f>
        <v>0</v>
      </c>
      <c r="S50" s="9">
        <f>IFERROR(__xludf.DUMMYFUNCTION("IFERROR(
  VLOOKUP(
    A50,
    IMPORTRANGE(
      ""1ZHMy3vVUd_0MrSduXTe1etBb1HNpAlGwQr006ljwMiM"",
      ""GSC最新!A:R""
    ),
    11,
    FALSE
  ),
  0
)
"),0.0)</f>
        <v>0</v>
      </c>
      <c r="T50" s="9">
        <f>IFERROR(__xludf.DUMMYFUNCTION("IFERROR(
  VLOOKUP(
    A50,
    IMPORTRANGE(
      ""1ZHMy3vVUd_0MrSduXTe1etBb1HNpAlGwQr006ljwMiM"",
      ""GSC最新!A:R""
    ),
    14,
    FALSE
  ),
  0
)
"),0.0)</f>
        <v>0</v>
      </c>
      <c r="U50" s="9">
        <f>IFERROR(__xludf.DUMMYFUNCTION("IFERROR(
  VLOOKUP(
    A50,
    IMPORTRANGE(
      ""1ZHMy3vVUd_0MrSduXTe1etBb1HNpAlGwQr006ljwMiM"",
      ""GSC最新!A:R""
    ),
    17,
    FALSE
  ),
  0
)
"),0.0)</f>
        <v>0</v>
      </c>
      <c r="V50" s="9">
        <f t="shared" ref="V50:W50" si="243">IFERROR(R50-T50,"-")</f>
        <v>0</v>
      </c>
      <c r="W50" s="9">
        <f t="shared" si="243"/>
        <v>0</v>
      </c>
      <c r="X50" s="65" t="str">
        <f>IFERROR(__xludf.DUMMYFUNCTION("IFERROR(
  VLOOKUP(
    A50,
    IMPORTRANGE(
      ""1ZHMy3vVUd_0MrSduXTe1etBb1HNpAlGwQr006ljwMiM"",
      ""GSC最新!A:R""
    ),
    9,
    FALSE
  ),
  0
)
"),"")</f>
        <v/>
      </c>
      <c r="Y50" s="65" t="str">
        <f>IFERROR(__xludf.DUMMYFUNCTION("IFERROR(
  VLOOKUP(
    A50,
    IMPORTRANGE(
      ""1ZHMy3vVUd_0MrSduXTe1etBb1HNpAlGwQr006ljwMiM"",
      ""GSC最新!A:R""
    ),
    12,
    FALSE
  ),
  0
)
"),"")</f>
        <v/>
      </c>
      <c r="Z50" s="65" t="str">
        <f>IFERROR(__xludf.DUMMYFUNCTION("IFERROR(
  VLOOKUP(
    A50,
    IMPORTRANGE(
      ""1ZHMy3vVUd_0MrSduXTe1etBb1HNpAlGwQr006ljwMiM"",
      ""GSC最新!A:R""
    ),
    15,
    FALSE
  ),
  0
)
"),"")</f>
        <v/>
      </c>
      <c r="AA50" s="65" t="str">
        <f>IFERROR(__xludf.DUMMYFUNCTION("IFERROR(
  VLOOKUP(
    A50,
    IMPORTRANGE(
      ""1ZHMy3vVUd_0MrSduXTe1etBb1HNpAlGwQr006ljwMiM"",
      ""GSC最新!A:R""
    ),
    18,
    FALSE
  ),
  0
)
"),"")</f>
        <v/>
      </c>
      <c r="AB50" s="65">
        <f t="shared" ref="AB50:AC50" si="244">X50-Z50</f>
        <v>0</v>
      </c>
      <c r="AC50" s="65">
        <f t="shared" si="244"/>
        <v>0</v>
      </c>
      <c r="AD50" s="53">
        <f>IFERROR(__xludf.DUMMYFUNCTION("IFERROR(
  VLOOKUP(
    A50,
    IMPORTRANGE(
      ""1ZHMy3vVUd_0MrSduXTe1etBb1HNpAlGwQr006ljwMiM"",
      ""GSC最新!A:F""
    ),
    6,
    FALSE
  ),
  0
)
"),46081.0)</f>
        <v>46081</v>
      </c>
      <c r="AE50" s="54">
        <f>IFERROR(__xludf.DUMMYFUNCTION("IFERROR(
  VLOOKUP(
    A50,
    IMPORTRANGE(
      ""1SCYQd7_cobOYqT0r_F0IqD4tE4rYn5y8Eup4PJTH8es"",
      ""Snapshot!A:M""
    ),
    5,
    FALSE
  ),
  ""-""
)
"),0.0)</f>
        <v>0</v>
      </c>
      <c r="AF50" s="54">
        <f>IFERROR(__xludf.DUMMYFUNCTION("IFERROR(
  VLOOKUP(
    A50,
    IMPORTRANGE(
      ""1SCYQd7_cobOYqT0r_F0IqD4tE4rYn5y8Eup4PJTH8es"",
      ""Snapshot!A:M""
    ),
    6,
    FALSE
  ),
  0
)
"),0.0)</f>
        <v>0</v>
      </c>
      <c r="AG50" s="54">
        <f>IFERROR(__xludf.DUMMYFUNCTION("IFERROR(
  VLOOKUP(
    A50,
    IMPORTRANGE(
      ""1SCYQd7_cobOYqT0r_F0IqD4tE4rYn5y8Eup4PJTH8es"",
      ""Snapshot!A:M""
    ),
    7,
    FALSE
  ),
  0
)
"),520.0)</f>
        <v>520</v>
      </c>
      <c r="AH50" s="54">
        <f>IFERROR(__xludf.DUMMYFUNCTION("IFERROR(
  VLOOKUP(
    A50,
    IMPORTRANGE(
      ""1SCYQd7_cobOYqT0r_F0IqD4tE4rYn5y8Eup4PJTH8es"",
      ""Snapshot!A:M""
    ),
    8,
    FALSE
  ),
  0
)
"),2.0)</f>
        <v>2</v>
      </c>
      <c r="AI50" s="54">
        <f>IFERROR(__xludf.DUMMYFUNCTION("IFERROR(
  VLOOKUP(
    A50,
    IMPORTRANGE(
      ""1SCYQd7_cobOYqT0r_F0IqD4tE4rYn5y8Eup4PJTH8es"",
      ""Snapshot!A:M""
    ),
    9,
    FALSE
  ),
  0
)
"),0.0)</f>
        <v>0</v>
      </c>
      <c r="AJ50" s="54">
        <f>IFERROR(__xludf.DUMMYFUNCTION("IFERROR(
  VLOOKUP(
    A50,
    IMPORTRANGE(
      ""1SCYQd7_cobOYqT0r_F0IqD4tE4rYn5y8Eup4PJTH8es"",
      ""Snapshot!A:M""
    ),
    13,
    FALSE
  ),
  0
)
"),2.0)</f>
        <v>2</v>
      </c>
      <c r="AK50" s="49">
        <f t="shared" ref="AK50:AL50" si="245">LEN(C50)</f>
        <v>32</v>
      </c>
      <c r="AL50" s="49">
        <f t="shared" si="245"/>
        <v>55</v>
      </c>
    </row>
    <row r="51">
      <c r="A51" s="1" t="s">
        <v>865</v>
      </c>
      <c r="B51" s="1" t="str">
        <f>IFERROR(__xludf.DUMMYFUNCTION("IFERROR(
  VLOOKUP(
    A51,
    IMPORTRANGE(
      ""1ZygntHC1J6IxzKbTidmOyf5nUyW4GCLurHCjexrLm_o"",
      ""HTMLキャッシュ!A:F""
    ),
    2,
    FALSE
  ),
  0
)
"),"NW")</f>
        <v>NW</v>
      </c>
      <c r="C51" s="1" t="str">
        <f>IFERROR(__xludf.DUMMYFUNCTION("IFERROR(
  VLOOKUP(
    A51,
    IMPORTRANGE(
      ""1ZygntHC1J6IxzKbTidmOyf5nUyW4GCLurHCjexrLm_o"",
      ""HTMLキャッシュ!A:F""
    ),
    5,
    FALSE
  ),
  0
)
"),"2021年度夏期講習会開催のお知らせ - 受験社会専門塾「令和」")</f>
        <v>2021年度夏期講習会開催のお知らせ - 受験社会専門塾「令和」</v>
      </c>
      <c r="D51" s="1" t="str">
        <f>IFERROR(__xludf.DUMMYFUNCTION("IFERROR(
  VLOOKUP(
    A51,
    IMPORTRANGE(
      ""1ZygntHC1J6IxzKbTidmOyf5nUyW4GCLurHCjexrLm_o        "",
      ""HTMLキャッシュ!A:F""
    ),
    6,
    FALSE
  ),
  0
)
"),"夏休みは、受験生にとってはまさに天王山の時期であり、受験を１年以上先に控えるお子様にとっても、普段は忙しくて取")</f>
        <v>夏休みは、受験生にとってはまさに天王山の時期であり、受験を１年以上先に控えるお子様にとっても、普段は忙しくて取</v>
      </c>
      <c r="E51" s="32">
        <f>IFERROR(__xludf.DUMMYFUNCTION("IFERROR(
  VLOOKUP(
    A51,
    IMPORTRANGE(
      ""1ZygntHC1J6IxzKbTidmOyf5nUyW4GCLurHCjexrLm_o        "",
      ""HTMLキャッシュ!A:F""
    ),
    3,
    FALSE
  ),
  0
)
"),46015.74172453704)</f>
        <v>46015.74172</v>
      </c>
      <c r="F51" s="49">
        <f>IFERROR(__xludf.DUMMYFUNCTION("IFERROR(
  VLOOKUP(
    A51,
    IMPORTRANGE(
      ""1ZHMy3vVUd_0MrSduXTe1etBb1HNpAlGwQr006ljwMiM"",
      ""GSC最新!A:F""
    ),
    2,
    FALSE
  ),
  0
)
"),0.0)</f>
        <v>0</v>
      </c>
      <c r="G51" s="49">
        <f>IFERROR(__xludf.DUMMYFUNCTION("IFERROR(
  VLOOKUP(
    A51,
    IMPORTRANGE(
      ""1ZHMy3vVUd_0MrSduXTe1etBb1HNpAlGwQr006ljwMiM"",
      ""GSC最新!A:F""
    ),
    3,
    FALSE
  ),
  0
)
"),0.0)</f>
        <v>0</v>
      </c>
      <c r="H51" s="49">
        <f>IFERROR(__xludf.DUMMYFUNCTION("IFERROR(
  VLOOKUP(
    A51,
    IMPORTRANGE(
      ""1ZHMy3vVUd_0MrSduXTe1etBb1HNpAlGwQr006ljwMiM"",
      ""GSC最新!A:F""
    ),
    4,
    FALSE
  ),
  0
)
"),0.0)</f>
        <v>0</v>
      </c>
      <c r="I51" s="49">
        <f>IFERROR(__xludf.DUMMYFUNCTION("IFERROR(
  VLOOKUP(
    A51,
    IMPORTRANGE(
      ""1ZHMy3vVUd_0MrSduXTe1etBb1HNpAlGwQr006ljwMiM"",
      ""GSC最新!A:F""
    ),
    5,
    FALSE
  ),
  0
)
"),0.0)</f>
        <v>0</v>
      </c>
      <c r="J51" s="50" t="str">
        <f t="shared" ref="J51:K51" si="246">IFERROR(F51/H51,"-")</f>
        <v>-</v>
      </c>
      <c r="K51" s="50" t="str">
        <f t="shared" si="246"/>
        <v>-</v>
      </c>
      <c r="L51" s="6">
        <f>IFERROR(__xludf.DUMMYFUNCTION("IFERROR(
  VLOOKUP(
    A51,
    IMPORTRANGE(
      ""1ZHMy3vVUd_0MrSduXTe1etBb1HNpAlGwQr006ljwMiM"",
      ""GSC最新!A:R""
    ),
    7,
    FALSE
  ),
  0
)
"),0.0)</f>
        <v>0</v>
      </c>
      <c r="M51" s="6">
        <f>IFERROR(__xludf.DUMMYFUNCTION("IFERROR(
  VLOOKUP(
    A51,
    IMPORTRANGE(
      ""1ZHMy3vVUd_0MrSduXTe1etBb1HNpAlGwQr006ljwMiM"",
      ""GSC最新!A:R""
    ),
    10,
    FALSE
  ),
  0
)
"),0.0)</f>
        <v>0</v>
      </c>
      <c r="N51" s="6">
        <f>IFERROR(__xludf.DUMMYFUNCTION("IFERROR(
  VLOOKUP(
    A51,
    IMPORTRANGE(
      ""1ZHMy3vVUd_0MrSduXTe1etBb1HNpAlGwQr006ljwMiM"",
      ""GSC最新!A:R""
    ),
    13,
    FALSE
  ),
  0
)
"),0.0)</f>
        <v>0</v>
      </c>
      <c r="O51" s="6">
        <f>IFERROR(__xludf.DUMMYFUNCTION("IFERROR(
  VLOOKUP(
    A51,
    IMPORTRANGE(
      ""1ZHMy3vVUd_0MrSduXTe1etBb1HNpAlGwQr006ljwMiM"",
      ""GSC最新!A:R""
    ),
    16,
    FALSE
  ),
  0
)
"),0.0)</f>
        <v>0</v>
      </c>
      <c r="P51" s="51" t="str">
        <f t="shared" ref="P51:Q51" si="247">IFERROR(L51/N51,"-")</f>
        <v>-</v>
      </c>
      <c r="Q51" s="51" t="str">
        <f t="shared" si="247"/>
        <v>-</v>
      </c>
      <c r="R51" s="9">
        <f>IFERROR(__xludf.DUMMYFUNCTION("IFERROR(
  VLOOKUP(
    A51,
    IMPORTRANGE(
      ""1ZHMy3vVUd_0MrSduXTe1etBb1HNpAlGwQr006ljwMiM"",
      ""GSC最新!A:R""
    ),
    8,
    FALSE
  ),
  0
)
"),0.0)</f>
        <v>0</v>
      </c>
      <c r="S51" s="9">
        <f>IFERROR(__xludf.DUMMYFUNCTION("IFERROR(
  VLOOKUP(
    A51,
    IMPORTRANGE(
      ""1ZHMy3vVUd_0MrSduXTe1etBb1HNpAlGwQr006ljwMiM"",
      ""GSC最新!A:R""
    ),
    11,
    FALSE
  ),
  0
)
"),0.0)</f>
        <v>0</v>
      </c>
      <c r="T51" s="9">
        <f>IFERROR(__xludf.DUMMYFUNCTION("IFERROR(
  VLOOKUP(
    A51,
    IMPORTRANGE(
      ""1ZHMy3vVUd_0MrSduXTe1etBb1HNpAlGwQr006ljwMiM"",
      ""GSC最新!A:R""
    ),
    14,
    FALSE
  ),
  0
)
"),0.0)</f>
        <v>0</v>
      </c>
      <c r="U51" s="9">
        <f>IFERROR(__xludf.DUMMYFUNCTION("IFERROR(
  VLOOKUP(
    A51,
    IMPORTRANGE(
      ""1ZHMy3vVUd_0MrSduXTe1etBb1HNpAlGwQr006ljwMiM"",
      ""GSC最新!A:R""
    ),
    17,
    FALSE
  ),
  0
)
"),0.0)</f>
        <v>0</v>
      </c>
      <c r="V51" s="9">
        <f t="shared" ref="V51:W51" si="248">IFERROR(R51-T51,"-")</f>
        <v>0</v>
      </c>
      <c r="W51" s="9">
        <f t="shared" si="248"/>
        <v>0</v>
      </c>
      <c r="X51" s="65" t="str">
        <f>IFERROR(__xludf.DUMMYFUNCTION("IFERROR(
  VLOOKUP(
    A51,
    IMPORTRANGE(
      ""1ZHMy3vVUd_0MrSduXTe1etBb1HNpAlGwQr006ljwMiM"",
      ""GSC最新!A:R""
    ),
    9,
    FALSE
  ),
  0
)
"),"")</f>
        <v/>
      </c>
      <c r="Y51" s="65" t="str">
        <f>IFERROR(__xludf.DUMMYFUNCTION("IFERROR(
  VLOOKUP(
    A51,
    IMPORTRANGE(
      ""1ZHMy3vVUd_0MrSduXTe1etBb1HNpAlGwQr006ljwMiM"",
      ""GSC最新!A:R""
    ),
    12,
    FALSE
  ),
  0
)
"),"")</f>
        <v/>
      </c>
      <c r="Z51" s="65" t="str">
        <f>IFERROR(__xludf.DUMMYFUNCTION("IFERROR(
  VLOOKUP(
    A51,
    IMPORTRANGE(
      ""1ZHMy3vVUd_0MrSduXTe1etBb1HNpAlGwQr006ljwMiM"",
      ""GSC最新!A:R""
    ),
    15,
    FALSE
  ),
  0
)
"),"")</f>
        <v/>
      </c>
      <c r="AA51" s="65" t="str">
        <f>IFERROR(__xludf.DUMMYFUNCTION("IFERROR(
  VLOOKUP(
    A51,
    IMPORTRANGE(
      ""1ZHMy3vVUd_0MrSduXTe1etBb1HNpAlGwQr006ljwMiM"",
      ""GSC最新!A:R""
    ),
    18,
    FALSE
  ),
  0
)
"),"")</f>
        <v/>
      </c>
      <c r="AB51" s="65">
        <f t="shared" ref="AB51:AC51" si="249">X51-Z51</f>
        <v>0</v>
      </c>
      <c r="AC51" s="65">
        <f t="shared" si="249"/>
        <v>0</v>
      </c>
      <c r="AD51" s="53">
        <f>IFERROR(__xludf.DUMMYFUNCTION("IFERROR(
  VLOOKUP(
    A51,
    IMPORTRANGE(
      ""1ZHMy3vVUd_0MrSduXTe1etBb1HNpAlGwQr006ljwMiM"",
      ""GSC最新!A:F""
    ),
    6,
    FALSE
  ),
  0
)
"),46081.0)</f>
        <v>46081</v>
      </c>
      <c r="AE51" s="54">
        <f>IFERROR(__xludf.DUMMYFUNCTION("IFERROR(
  VLOOKUP(
    A51,
    IMPORTRANGE(
      ""1SCYQd7_cobOYqT0r_F0IqD4tE4rYn5y8Eup4PJTH8es"",
      ""Snapshot!A:M""
    ),
    5,
    FALSE
  ),
  ""-""
)
"),0.0)</f>
        <v>0</v>
      </c>
      <c r="AF51" s="54">
        <f>IFERROR(__xludf.DUMMYFUNCTION("IFERROR(
  VLOOKUP(
    A51,
    IMPORTRANGE(
      ""1SCYQd7_cobOYqT0r_F0IqD4tE4rYn5y8Eup4PJTH8es"",
      ""Snapshot!A:M""
    ),
    6,
    FALSE
  ),
  0
)
"),0.0)</f>
        <v>0</v>
      </c>
      <c r="AG51" s="54">
        <f>IFERROR(__xludf.DUMMYFUNCTION("IFERROR(
  VLOOKUP(
    A51,
    IMPORTRANGE(
      ""1SCYQd7_cobOYqT0r_F0IqD4tE4rYn5y8Eup4PJTH8es"",
      ""Snapshot!A:M""
    ),
    7,
    FALSE
  ),
  0
)
"),530.0)</f>
        <v>530</v>
      </c>
      <c r="AH51" s="54">
        <f>IFERROR(__xludf.DUMMYFUNCTION("IFERROR(
  VLOOKUP(
    A51,
    IMPORTRANGE(
      ""1SCYQd7_cobOYqT0r_F0IqD4tE4rYn5y8Eup4PJTH8es"",
      ""Snapshot!A:M""
    ),
    8,
    FALSE
  ),
  0
)
"),1.0)</f>
        <v>1</v>
      </c>
      <c r="AI51" s="54">
        <f>IFERROR(__xludf.DUMMYFUNCTION("IFERROR(
  VLOOKUP(
    A51,
    IMPORTRANGE(
      ""1SCYQd7_cobOYqT0r_F0IqD4tE4rYn5y8Eup4PJTH8es"",
      ""Snapshot!A:M""
    ),
    9,
    FALSE
  ),
  0
)
"),0.0)</f>
        <v>0</v>
      </c>
      <c r="AJ51" s="54">
        <f>IFERROR(__xludf.DUMMYFUNCTION("IFERROR(
  VLOOKUP(
    A51,
    IMPORTRANGE(
      ""1SCYQd7_cobOYqT0r_F0IqD4tE4rYn5y8Eup4PJTH8es"",
      ""Snapshot!A:M""
    ),
    13,
    FALSE
  ),
  0
)
"),2.0)</f>
        <v>2</v>
      </c>
      <c r="AK51" s="49">
        <f t="shared" ref="AK51:AL51" si="250">LEN(C51)</f>
        <v>32</v>
      </c>
      <c r="AL51" s="49">
        <f t="shared" si="250"/>
        <v>55</v>
      </c>
    </row>
    <row r="52">
      <c r="A52" s="1" t="s">
        <v>866</v>
      </c>
      <c r="B52" s="1" t="str">
        <f>IFERROR(__xludf.DUMMYFUNCTION("IFERROR(
  VLOOKUP(
    A52,
    IMPORTRANGE(
      ""1ZygntHC1J6IxzKbTidmOyf5nUyW4GCLurHCjexrLm_o"",
      ""HTMLキャッシュ!A:F""
    ),
    2,
    FALSE
  ),
  0
)
"),"NW")</f>
        <v>NW</v>
      </c>
      <c r="C52" s="1" t="str">
        <f>IFERROR(__xludf.DUMMYFUNCTION("IFERROR(
  VLOOKUP(
    A52,
    IMPORTRANGE(
      ""1ZygntHC1J6IxzKbTidmOyf5nUyW4GCLurHCjexrLm_o"",
      ""HTMLキャッシュ!A:F""
    ),
    5,
    FALSE
  ),
  0
)
"),"2025年度 夏期講習会開催のお知らせ - 受験社会専門塾「令和」")</f>
        <v>2025年度 夏期講習会開催のお知らせ - 受験社会専門塾「令和」</v>
      </c>
      <c r="D52" s="1" t="str">
        <f>IFERROR(__xludf.DUMMYFUNCTION("IFERROR(
  VLOOKUP(
    A52,
    IMPORTRANGE(
      ""1ZygntHC1J6IxzKbTidmOyf5nUyW4GCLurHCjexrLm_o        "",
      ""HTMLキャッシュ!A:F""
    ),
    6,
    FALSE
  ),
  0
)
"),"夏休みは、受験生にとってはまさに勝負の期間です。 また、受験がまだ先のお子様にとっても、普段は忙しくて取り組め")</f>
        <v>夏休みは、受験生にとってはまさに勝負の期間です。 また、受験がまだ先のお子様にとっても、普段は忙しくて取り組め</v>
      </c>
      <c r="E52" s="32">
        <f>IFERROR(__xludf.DUMMYFUNCTION("IFERROR(
  VLOOKUP(
    A52,
    IMPORTRANGE(
      ""1ZygntHC1J6IxzKbTidmOyf5nUyW4GCLurHCjexrLm_o        "",
      ""HTMLキャッシュ!A:F""
    ),
    3,
    FALSE
  ),
  0
)
"),46015.7596412037)</f>
        <v>46015.75964</v>
      </c>
      <c r="F52" s="49">
        <f>IFERROR(__xludf.DUMMYFUNCTION("IFERROR(
  VLOOKUP(
    A52,
    IMPORTRANGE(
      ""1ZHMy3vVUd_0MrSduXTe1etBb1HNpAlGwQr006ljwMiM"",
      ""GSC最新!A:F""
    ),
    2,
    FALSE
  ),
  0
)
"),0.0)</f>
        <v>0</v>
      </c>
      <c r="G52" s="49">
        <f>IFERROR(__xludf.DUMMYFUNCTION("IFERROR(
  VLOOKUP(
    A52,
    IMPORTRANGE(
      ""1ZHMy3vVUd_0MrSduXTe1etBb1HNpAlGwQr006ljwMiM"",
      ""GSC最新!A:F""
    ),
    3,
    FALSE
  ),
  0
)
"),0.0)</f>
        <v>0</v>
      </c>
      <c r="H52" s="49">
        <f>IFERROR(__xludf.DUMMYFUNCTION("IFERROR(
  VLOOKUP(
    A52,
    IMPORTRANGE(
      ""1ZHMy3vVUd_0MrSduXTe1etBb1HNpAlGwQr006ljwMiM"",
      ""GSC最新!A:F""
    ),
    4,
    FALSE
  ),
  0
)
"),0.0)</f>
        <v>0</v>
      </c>
      <c r="I52" s="49">
        <f>IFERROR(__xludf.DUMMYFUNCTION("IFERROR(
  VLOOKUP(
    A52,
    IMPORTRANGE(
      ""1ZHMy3vVUd_0MrSduXTe1etBb1HNpAlGwQr006ljwMiM"",
      ""GSC最新!A:F""
    ),
    5,
    FALSE
  ),
  0
)
"),0.0)</f>
        <v>0</v>
      </c>
      <c r="J52" s="50" t="str">
        <f t="shared" ref="J52:K52" si="251">IFERROR(F52/H52,"-")</f>
        <v>-</v>
      </c>
      <c r="K52" s="50" t="str">
        <f t="shared" si="251"/>
        <v>-</v>
      </c>
      <c r="L52" s="6">
        <f>IFERROR(__xludf.DUMMYFUNCTION("IFERROR(
  VLOOKUP(
    A52,
    IMPORTRANGE(
      ""1ZHMy3vVUd_0MrSduXTe1etBb1HNpAlGwQr006ljwMiM"",
      ""GSC最新!A:R""
    ),
    7,
    FALSE
  ),
  0
)
"),0.0)</f>
        <v>0</v>
      </c>
      <c r="M52" s="6">
        <f>IFERROR(__xludf.DUMMYFUNCTION("IFERROR(
  VLOOKUP(
    A52,
    IMPORTRANGE(
      ""1ZHMy3vVUd_0MrSduXTe1etBb1HNpAlGwQr006ljwMiM"",
      ""GSC最新!A:R""
    ),
    10,
    FALSE
  ),
  0
)
"),0.0)</f>
        <v>0</v>
      </c>
      <c r="N52" s="6">
        <f>IFERROR(__xludf.DUMMYFUNCTION("IFERROR(
  VLOOKUP(
    A52,
    IMPORTRANGE(
      ""1ZHMy3vVUd_0MrSduXTe1etBb1HNpAlGwQr006ljwMiM"",
      ""GSC最新!A:R""
    ),
    13,
    FALSE
  ),
  0
)
"),0.0)</f>
        <v>0</v>
      </c>
      <c r="O52" s="6">
        <f>IFERROR(__xludf.DUMMYFUNCTION("IFERROR(
  VLOOKUP(
    A52,
    IMPORTRANGE(
      ""1ZHMy3vVUd_0MrSduXTe1etBb1HNpAlGwQr006ljwMiM"",
      ""GSC最新!A:R""
    ),
    16,
    FALSE
  ),
  0
)
"),0.0)</f>
        <v>0</v>
      </c>
      <c r="P52" s="51" t="str">
        <f t="shared" ref="P52:Q52" si="252">IFERROR(L52/N52,"-")</f>
        <v>-</v>
      </c>
      <c r="Q52" s="51" t="str">
        <f t="shared" si="252"/>
        <v>-</v>
      </c>
      <c r="R52" s="9">
        <f>IFERROR(__xludf.DUMMYFUNCTION("IFERROR(
  VLOOKUP(
    A52,
    IMPORTRANGE(
      ""1ZHMy3vVUd_0MrSduXTe1etBb1HNpAlGwQr006ljwMiM"",
      ""GSC最新!A:R""
    ),
    8,
    FALSE
  ),
  0
)
"),0.0)</f>
        <v>0</v>
      </c>
      <c r="S52" s="9">
        <f>IFERROR(__xludf.DUMMYFUNCTION("IFERROR(
  VLOOKUP(
    A52,
    IMPORTRANGE(
      ""1ZHMy3vVUd_0MrSduXTe1etBb1HNpAlGwQr006ljwMiM"",
      ""GSC最新!A:R""
    ),
    11,
    FALSE
  ),
  0
)
"),0.0)</f>
        <v>0</v>
      </c>
      <c r="T52" s="9">
        <f>IFERROR(__xludf.DUMMYFUNCTION("IFERROR(
  VLOOKUP(
    A52,
    IMPORTRANGE(
      ""1ZHMy3vVUd_0MrSduXTe1etBb1HNpAlGwQr006ljwMiM"",
      ""GSC最新!A:R""
    ),
    14,
    FALSE
  ),
  0
)
"),0.0)</f>
        <v>0</v>
      </c>
      <c r="U52" s="9">
        <f>IFERROR(__xludf.DUMMYFUNCTION("IFERROR(
  VLOOKUP(
    A52,
    IMPORTRANGE(
      ""1ZHMy3vVUd_0MrSduXTe1etBb1HNpAlGwQr006ljwMiM"",
      ""GSC最新!A:R""
    ),
    17,
    FALSE
  ),
  0
)
"),0.0)</f>
        <v>0</v>
      </c>
      <c r="V52" s="9">
        <f t="shared" ref="V52:W52" si="253">IFERROR(R52-T52,"-")</f>
        <v>0</v>
      </c>
      <c r="W52" s="9">
        <f t="shared" si="253"/>
        <v>0</v>
      </c>
      <c r="X52" s="65" t="str">
        <f>IFERROR(__xludf.DUMMYFUNCTION("IFERROR(
  VLOOKUP(
    A52,
    IMPORTRANGE(
      ""1ZHMy3vVUd_0MrSduXTe1etBb1HNpAlGwQr006ljwMiM"",
      ""GSC最新!A:R""
    ),
    9,
    FALSE
  ),
  0
)
"),"")</f>
        <v/>
      </c>
      <c r="Y52" s="65" t="str">
        <f>IFERROR(__xludf.DUMMYFUNCTION("IFERROR(
  VLOOKUP(
    A52,
    IMPORTRANGE(
      ""1ZHMy3vVUd_0MrSduXTe1etBb1HNpAlGwQr006ljwMiM"",
      ""GSC最新!A:R""
    ),
    12,
    FALSE
  ),
  0
)
"),"")</f>
        <v/>
      </c>
      <c r="Z52" s="65" t="str">
        <f>IFERROR(__xludf.DUMMYFUNCTION("IFERROR(
  VLOOKUP(
    A52,
    IMPORTRANGE(
      ""1ZHMy3vVUd_0MrSduXTe1etBb1HNpAlGwQr006ljwMiM"",
      ""GSC最新!A:R""
    ),
    15,
    FALSE
  ),
  0
)
"),"")</f>
        <v/>
      </c>
      <c r="AA52" s="65" t="str">
        <f>IFERROR(__xludf.DUMMYFUNCTION("IFERROR(
  VLOOKUP(
    A52,
    IMPORTRANGE(
      ""1ZHMy3vVUd_0MrSduXTe1etBb1HNpAlGwQr006ljwMiM"",
      ""GSC最新!A:R""
    ),
    18,
    FALSE
  ),
  0
)
"),"")</f>
        <v/>
      </c>
      <c r="AB52" s="65">
        <f t="shared" ref="AB52:AC52" si="254">X52-Z52</f>
        <v>0</v>
      </c>
      <c r="AC52" s="65">
        <f t="shared" si="254"/>
        <v>0</v>
      </c>
      <c r="AD52" s="53">
        <f>IFERROR(__xludf.DUMMYFUNCTION("IFERROR(
  VLOOKUP(
    A52,
    IMPORTRANGE(
      ""1ZHMy3vVUd_0MrSduXTe1etBb1HNpAlGwQr006ljwMiM"",
      ""GSC最新!A:F""
    ),
    6,
    FALSE
  ),
  0
)
"),46081.0)</f>
        <v>46081</v>
      </c>
      <c r="AE52" s="54">
        <f>IFERROR(__xludf.DUMMYFUNCTION("IFERROR(
  VLOOKUP(
    A52,
    IMPORTRANGE(
      ""1SCYQd7_cobOYqT0r_F0IqD4tE4rYn5y8Eup4PJTH8es"",
      ""Snapshot!A:M""
    ),
    5,
    FALSE
  ),
  ""-""
)
"),0.0)</f>
        <v>0</v>
      </c>
      <c r="AF52" s="54">
        <f>IFERROR(__xludf.DUMMYFUNCTION("IFERROR(
  VLOOKUP(
    A52,
    IMPORTRANGE(
      ""1SCYQd7_cobOYqT0r_F0IqD4tE4rYn5y8Eup4PJTH8es"",
      ""Snapshot!A:M""
    ),
    6,
    FALSE
  ),
  0
)
"),0.0)</f>
        <v>0</v>
      </c>
      <c r="AG52" s="54">
        <f>IFERROR(__xludf.DUMMYFUNCTION("IFERROR(
  VLOOKUP(
    A52,
    IMPORTRANGE(
      ""1SCYQd7_cobOYqT0r_F0IqD4tE4rYn5y8Eup4PJTH8es"",
      ""Snapshot!A:M""
    ),
    7,
    FALSE
  ),
  0
)
"),615.0)</f>
        <v>615</v>
      </c>
      <c r="AH52" s="54">
        <f>IFERROR(__xludf.DUMMYFUNCTION("IFERROR(
  VLOOKUP(
    A52,
    IMPORTRANGE(
      ""1SCYQd7_cobOYqT0r_F0IqD4tE4rYn5y8Eup4PJTH8es"",
      ""Snapshot!A:M""
    ),
    8,
    FALSE
  ),
  0
)
"),2.0)</f>
        <v>2</v>
      </c>
      <c r="AI52" s="54">
        <f>IFERROR(__xludf.DUMMYFUNCTION("IFERROR(
  VLOOKUP(
    A52,
    IMPORTRANGE(
      ""1SCYQd7_cobOYqT0r_F0IqD4tE4rYn5y8Eup4PJTH8es"",
      ""Snapshot!A:M""
    ),
    9,
    FALSE
  ),
  0
)
"),0.0)</f>
        <v>0</v>
      </c>
      <c r="AJ52" s="54">
        <f>IFERROR(__xludf.DUMMYFUNCTION("IFERROR(
  VLOOKUP(
    A52,
    IMPORTRANGE(
      ""1SCYQd7_cobOYqT0r_F0IqD4tE4rYn5y8Eup4PJTH8es"",
      ""Snapshot!A:M""
    ),
    13,
    FALSE
  ),
  0
)
"),2.0)</f>
        <v>2</v>
      </c>
      <c r="AK52" s="49">
        <f t="shared" ref="AK52:AL52" si="255">LEN(C52)</f>
        <v>33</v>
      </c>
      <c r="AL52" s="49">
        <f t="shared" si="255"/>
        <v>55</v>
      </c>
    </row>
    <row r="53">
      <c r="A53" s="3" t="s">
        <v>867</v>
      </c>
      <c r="B53" s="1" t="str">
        <f>IFERROR(__xludf.DUMMYFUNCTION("IFERROR(
  VLOOKUP(
    A53,
    IMPORTRANGE(
      ""1ZygntHC1J6IxzKbTidmOyf5nUyW4GCLurHCjexrLm_o"",
      ""HTMLキャッシュ!A:F""
    ),
    2,
    FALSE
  ),
  0
)
"),"NW")</f>
        <v>NW</v>
      </c>
      <c r="C53" s="1" t="str">
        <f>IFERROR(__xludf.DUMMYFUNCTION("IFERROR(
  VLOOKUP(
    A53,
    IMPORTRANGE(
      ""1ZygntHC1J6IxzKbTidmOyf5nUyW4GCLurHCjexrLm_o"",
      ""HTMLキャッシュ!A:F""
    ),
    5,
    FALSE
  ),
  0
)
"),"「受験社会専門塾 令和」開校致します！ - 受験社会専門塾「令和」")</f>
        <v>「受験社会専門塾 令和」開校致します！ - 受験社会専門塾「令和」</v>
      </c>
      <c r="D53" s="1" t="str">
        <f>IFERROR(__xludf.DUMMYFUNCTION("IFERROR(
  VLOOKUP(
    A53,
    IMPORTRANGE(
      ""1ZygntHC1J6IxzKbTidmOyf5nUyW4GCLurHCjexrLm_o        "",
      ""HTMLキャッシュ!A:F""
    ),
    6,
    FALSE
  ),
  0
)
"),"この度、中学受験にむけて社会にお困りのお子様を対象に、「受験社会専門塾 令和」を開校致します。 「受験社会専門")</f>
        <v>この度、中学受験にむけて社会にお困りのお子様を対象に、「受験社会専門塾 令和」を開校致します。 「受験社会専門</v>
      </c>
      <c r="E53" s="32">
        <f>IFERROR(__xludf.DUMMYFUNCTION("IFERROR(
  VLOOKUP(
    A53,
    IMPORTRANGE(
      ""1ZygntHC1J6IxzKbTidmOyf5nUyW4GCLurHCjexrLm_o        "",
      ""HTMLキャッシュ!A:F""
    ),
    3,
    FALSE
  ),
  0
)
"),43592.66357638889)</f>
        <v>43592.66358</v>
      </c>
      <c r="F53" s="49">
        <f>IFERROR(__xludf.DUMMYFUNCTION("IFERROR(
  VLOOKUP(
    A53,
    IMPORTRANGE(
      ""1ZHMy3vVUd_0MrSduXTe1etBb1HNpAlGwQr006ljwMiM"",
      ""GSC最新!A:F""
    ),
    2,
    FALSE
  ),
  0
)
"),0.0)</f>
        <v>0</v>
      </c>
      <c r="G53" s="49">
        <f>IFERROR(__xludf.DUMMYFUNCTION("IFERROR(
  VLOOKUP(
    A53,
    IMPORTRANGE(
      ""1ZHMy3vVUd_0MrSduXTe1etBb1HNpAlGwQr006ljwMiM"",
      ""GSC最新!A:F""
    ),
    3,
    FALSE
  ),
  0
)
"),0.0)</f>
        <v>0</v>
      </c>
      <c r="H53" s="49">
        <f>IFERROR(__xludf.DUMMYFUNCTION("IFERROR(
  VLOOKUP(
    A53,
    IMPORTRANGE(
      ""1ZHMy3vVUd_0MrSduXTe1etBb1HNpAlGwQr006ljwMiM"",
      ""GSC最新!A:F""
    ),
    4,
    FALSE
  ),
  0
)
"),0.0)</f>
        <v>0</v>
      </c>
      <c r="I53" s="49">
        <f>IFERROR(__xludf.DUMMYFUNCTION("IFERROR(
  VLOOKUP(
    A53,
    IMPORTRANGE(
      ""1ZHMy3vVUd_0MrSduXTe1etBb1HNpAlGwQr006ljwMiM"",
      ""GSC最新!A:F""
    ),
    5,
    FALSE
  ),
  0
)
"),0.0)</f>
        <v>0</v>
      </c>
      <c r="J53" s="50" t="str">
        <f t="shared" ref="J53:K53" si="256">IFERROR(F53/H53,"-")</f>
        <v>-</v>
      </c>
      <c r="K53" s="50" t="str">
        <f t="shared" si="256"/>
        <v>-</v>
      </c>
      <c r="L53" s="6">
        <f>IFERROR(__xludf.DUMMYFUNCTION("IFERROR(
  VLOOKUP(
    A53,
    IMPORTRANGE(
      ""1ZHMy3vVUd_0MrSduXTe1etBb1HNpAlGwQr006ljwMiM"",
      ""GSC最新!A:R""
    ),
    7,
    FALSE
  ),
  0
)
"),0.0)</f>
        <v>0</v>
      </c>
      <c r="M53" s="6">
        <f>IFERROR(__xludf.DUMMYFUNCTION("IFERROR(
  VLOOKUP(
    A53,
    IMPORTRANGE(
      ""1ZHMy3vVUd_0MrSduXTe1etBb1HNpAlGwQr006ljwMiM"",
      ""GSC最新!A:R""
    ),
    10,
    FALSE
  ),
  0
)
"),0.0)</f>
        <v>0</v>
      </c>
      <c r="N53" s="6">
        <f>IFERROR(__xludf.DUMMYFUNCTION("IFERROR(
  VLOOKUP(
    A53,
    IMPORTRANGE(
      ""1ZHMy3vVUd_0MrSduXTe1etBb1HNpAlGwQr006ljwMiM"",
      ""GSC最新!A:R""
    ),
    13,
    FALSE
  ),
  0
)
"),0.0)</f>
        <v>0</v>
      </c>
      <c r="O53" s="6">
        <f>IFERROR(__xludf.DUMMYFUNCTION("IFERROR(
  VLOOKUP(
    A53,
    IMPORTRANGE(
      ""1ZHMy3vVUd_0MrSduXTe1etBb1HNpAlGwQr006ljwMiM"",
      ""GSC最新!A:R""
    ),
    16,
    FALSE
  ),
  0
)
"),0.0)</f>
        <v>0</v>
      </c>
      <c r="P53" s="51" t="str">
        <f t="shared" ref="P53:Q53" si="257">IFERROR(L53/N53,"-")</f>
        <v>-</v>
      </c>
      <c r="Q53" s="51" t="str">
        <f t="shared" si="257"/>
        <v>-</v>
      </c>
      <c r="R53" s="9">
        <f>IFERROR(__xludf.DUMMYFUNCTION("IFERROR(
  VLOOKUP(
    A53,
    IMPORTRANGE(
      ""1ZHMy3vVUd_0MrSduXTe1etBb1HNpAlGwQr006ljwMiM"",
      ""GSC最新!A:R""
    ),
    8,
    FALSE
  ),
  0
)
"),0.0)</f>
        <v>0</v>
      </c>
      <c r="S53" s="9">
        <f>IFERROR(__xludf.DUMMYFUNCTION("IFERROR(
  VLOOKUP(
    A53,
    IMPORTRANGE(
      ""1ZHMy3vVUd_0MrSduXTe1etBb1HNpAlGwQr006ljwMiM"",
      ""GSC最新!A:R""
    ),
    11,
    FALSE
  ),
  0
)
"),0.0)</f>
        <v>0</v>
      </c>
      <c r="T53" s="9">
        <f>IFERROR(__xludf.DUMMYFUNCTION("IFERROR(
  VLOOKUP(
    A53,
    IMPORTRANGE(
      ""1ZHMy3vVUd_0MrSduXTe1etBb1HNpAlGwQr006ljwMiM"",
      ""GSC最新!A:R""
    ),
    14,
    FALSE
  ),
  0
)
"),0.0)</f>
        <v>0</v>
      </c>
      <c r="U53" s="9">
        <f>IFERROR(__xludf.DUMMYFUNCTION("IFERROR(
  VLOOKUP(
    A53,
    IMPORTRANGE(
      ""1ZHMy3vVUd_0MrSduXTe1etBb1HNpAlGwQr006ljwMiM"",
      ""GSC最新!A:R""
    ),
    17,
    FALSE
  ),
  0
)
"),0.0)</f>
        <v>0</v>
      </c>
      <c r="V53" s="9">
        <f t="shared" ref="V53:W53" si="258">IFERROR(R53-T53,"-")</f>
        <v>0</v>
      </c>
      <c r="W53" s="9">
        <f t="shared" si="258"/>
        <v>0</v>
      </c>
      <c r="X53" s="65" t="str">
        <f>IFERROR(__xludf.DUMMYFUNCTION("IFERROR(
  VLOOKUP(
    A53,
    IMPORTRANGE(
      ""1ZHMy3vVUd_0MrSduXTe1etBb1HNpAlGwQr006ljwMiM"",
      ""GSC最新!A:R""
    ),
    9,
    FALSE
  ),
  0
)
"),"")</f>
        <v/>
      </c>
      <c r="Y53" s="65" t="str">
        <f>IFERROR(__xludf.DUMMYFUNCTION("IFERROR(
  VLOOKUP(
    A53,
    IMPORTRANGE(
      ""1ZHMy3vVUd_0MrSduXTe1etBb1HNpAlGwQr006ljwMiM"",
      ""GSC最新!A:R""
    ),
    12,
    FALSE
  ),
  0
)
"),"")</f>
        <v/>
      </c>
      <c r="Z53" s="65" t="str">
        <f>IFERROR(__xludf.DUMMYFUNCTION("IFERROR(
  VLOOKUP(
    A53,
    IMPORTRANGE(
      ""1ZHMy3vVUd_0MrSduXTe1etBb1HNpAlGwQr006ljwMiM"",
      ""GSC最新!A:R""
    ),
    15,
    FALSE
  ),
  0
)
"),"")</f>
        <v/>
      </c>
      <c r="AA53" s="65" t="str">
        <f>IFERROR(__xludf.DUMMYFUNCTION("IFERROR(
  VLOOKUP(
    A53,
    IMPORTRANGE(
      ""1ZHMy3vVUd_0MrSduXTe1etBb1HNpAlGwQr006ljwMiM"",
      ""GSC最新!A:R""
    ),
    18,
    FALSE
  ),
  0
)
"),"")</f>
        <v/>
      </c>
      <c r="AB53" s="65">
        <f t="shared" ref="AB53:AC53" si="259">X53-Z53</f>
        <v>0</v>
      </c>
      <c r="AC53" s="65">
        <f t="shared" si="259"/>
        <v>0</v>
      </c>
      <c r="AD53" s="53">
        <f>IFERROR(__xludf.DUMMYFUNCTION("IFERROR(
  VLOOKUP(
    A53,
    IMPORTRANGE(
      ""1ZHMy3vVUd_0MrSduXTe1etBb1HNpAlGwQr006ljwMiM"",
      ""GSC最新!A:F""
    ),
    6,
    FALSE
  ),
  0
)
"),46081.0)</f>
        <v>46081</v>
      </c>
      <c r="AE53" s="54">
        <f>IFERROR(__xludf.DUMMYFUNCTION("IFERROR(
  VLOOKUP(
    A53,
    IMPORTRANGE(
      ""1SCYQd7_cobOYqT0r_F0IqD4tE4rYn5y8Eup4PJTH8es"",
      ""Snapshot!A:M""
    ),
    5,
    FALSE
  ),
  ""-""
)
"),0.0)</f>
        <v>0</v>
      </c>
      <c r="AF53" s="54">
        <f>IFERROR(__xludf.DUMMYFUNCTION("IFERROR(
  VLOOKUP(
    A53,
    IMPORTRANGE(
      ""1SCYQd7_cobOYqT0r_F0IqD4tE4rYn5y8Eup4PJTH8es"",
      ""Snapshot!A:M""
    ),
    6,
    FALSE
  ),
  0
)
"),0.0)</f>
        <v>0</v>
      </c>
      <c r="AG53" s="54">
        <f>IFERROR(__xludf.DUMMYFUNCTION("IFERROR(
  VLOOKUP(
    A53,
    IMPORTRANGE(
      ""1SCYQd7_cobOYqT0r_F0IqD4tE4rYn5y8Eup4PJTH8es"",
      ""Snapshot!A:M""
    ),
    7,
    FALSE
  ),
  0
)
"),638.0)</f>
        <v>638</v>
      </c>
      <c r="AH53" s="54">
        <f>IFERROR(__xludf.DUMMYFUNCTION("IFERROR(
  VLOOKUP(
    A53,
    IMPORTRANGE(
      ""1SCYQd7_cobOYqT0r_F0IqD4tE4rYn5y8Eup4PJTH8es"",
      ""Snapshot!A:M""
    ),
    8,
    FALSE
  ),
  0
)
"),0.0)</f>
        <v>0</v>
      </c>
      <c r="AI53" s="54">
        <f>IFERROR(__xludf.DUMMYFUNCTION("IFERROR(
  VLOOKUP(
    A53,
    IMPORTRANGE(
      ""1SCYQd7_cobOYqT0r_F0IqD4tE4rYn5y8Eup4PJTH8es"",
      ""Snapshot!A:M""
    ),
    9,
    FALSE
  ),
  0
)
"),0.0)</f>
        <v>0</v>
      </c>
      <c r="AJ53" s="54">
        <f>IFERROR(__xludf.DUMMYFUNCTION("IFERROR(
  VLOOKUP(
    A53,
    IMPORTRANGE(
      ""1SCYQd7_cobOYqT0r_F0IqD4tE4rYn5y8Eup4PJTH8es"",
      ""Snapshot!A:M""
    ),
    13,
    FALSE
  ),
  0
)
"),2.0)</f>
        <v>2</v>
      </c>
      <c r="AK53" s="49">
        <f t="shared" ref="AK53:AL53" si="260">LEN(C53)</f>
        <v>33</v>
      </c>
      <c r="AL53" s="49">
        <f t="shared" si="260"/>
        <v>55</v>
      </c>
    </row>
    <row r="54">
      <c r="A54" s="1" t="s">
        <v>868</v>
      </c>
      <c r="B54" s="1" t="str">
        <f>IFERROR(__xludf.DUMMYFUNCTION("IFERROR(
  VLOOKUP(
    A54,
    IMPORTRANGE(
      ""1ZygntHC1J6IxzKbTidmOyf5nUyW4GCLurHCjexrLm_o"",
      ""HTMLキャッシュ!A:F""
    ),
    2,
    FALSE
  ),
  0
)
"),"NW")</f>
        <v>NW</v>
      </c>
      <c r="C54" s="1" t="str">
        <f>IFERROR(__xludf.DUMMYFUNCTION("IFERROR(
  VLOOKUP(
    A54,
    IMPORTRANGE(
      ""1ZygntHC1J6IxzKbTidmOyf5nUyW4GCLurHCjexrLm_o"",
      ""HTMLキャッシュ!A:F""
    ),
    5,
    FALSE
  ),
  0
)
"),"2022年度夏期講習会開催のお知らせ - 受験社会専門塾「令和」")</f>
        <v>2022年度夏期講習会開催のお知らせ - 受験社会専門塾「令和」</v>
      </c>
      <c r="D54" s="1" t="str">
        <f>IFERROR(__xludf.DUMMYFUNCTION("IFERROR(
  VLOOKUP(
    A54,
    IMPORTRANGE(
      ""1ZygntHC1J6IxzKbTidmOyf5nUyW4GCLurHCjexrLm_o        "",
      ""HTMLキャッシュ!A:F""
    ),
    6,
    FALSE
  ),
  0
)
"),"夏休みは、受験生にとってまさに天王山です。受験を1年以上先に控えているお子様にとっては、日頃忙しくて取り組むこ")</f>
        <v>夏休みは、受験生にとってまさに天王山です。受験を1年以上先に控えているお子様にとっては、日頃忙しくて取り組むこ</v>
      </c>
      <c r="E54" s="32">
        <f>IFERROR(__xludf.DUMMYFUNCTION("IFERROR(
  VLOOKUP(
    A54,
    IMPORTRANGE(
      ""1ZygntHC1J6IxzKbTidmOyf5nUyW4GCLurHCjexrLm_o        "",
      ""HTMLキャッシュ!A:F""
    ),
    3,
    FALSE
  ),
  0
)
"),46015.74616898148)</f>
        <v>46015.74617</v>
      </c>
      <c r="F54" s="49">
        <f>IFERROR(__xludf.DUMMYFUNCTION("IFERROR(
  VLOOKUP(
    A54,
    IMPORTRANGE(
      ""1ZHMy3vVUd_0MrSduXTe1etBb1HNpAlGwQr006ljwMiM"",
      ""GSC最新!A:F""
    ),
    2,
    FALSE
  ),
  0
)
"),0.0)</f>
        <v>0</v>
      </c>
      <c r="G54" s="49">
        <f>IFERROR(__xludf.DUMMYFUNCTION("IFERROR(
  VLOOKUP(
    A54,
    IMPORTRANGE(
      ""1ZHMy3vVUd_0MrSduXTe1etBb1HNpAlGwQr006ljwMiM"",
      ""GSC最新!A:F""
    ),
    3,
    FALSE
  ),
  0
)
"),0.0)</f>
        <v>0</v>
      </c>
      <c r="H54" s="49">
        <f>IFERROR(__xludf.DUMMYFUNCTION("IFERROR(
  VLOOKUP(
    A54,
    IMPORTRANGE(
      ""1ZHMy3vVUd_0MrSduXTe1etBb1HNpAlGwQr006ljwMiM"",
      ""GSC最新!A:F""
    ),
    4,
    FALSE
  ),
  0
)
"),0.0)</f>
        <v>0</v>
      </c>
      <c r="I54" s="49">
        <f>IFERROR(__xludf.DUMMYFUNCTION("IFERROR(
  VLOOKUP(
    A54,
    IMPORTRANGE(
      ""1ZHMy3vVUd_0MrSduXTe1etBb1HNpAlGwQr006ljwMiM"",
      ""GSC最新!A:F""
    ),
    5,
    FALSE
  ),
  0
)
"),0.0)</f>
        <v>0</v>
      </c>
      <c r="J54" s="50" t="str">
        <f t="shared" ref="J54:K54" si="261">IFERROR(F54/H54,"-")</f>
        <v>-</v>
      </c>
      <c r="K54" s="50" t="str">
        <f t="shared" si="261"/>
        <v>-</v>
      </c>
      <c r="L54" s="6">
        <f>IFERROR(__xludf.DUMMYFUNCTION("IFERROR(
  VLOOKUP(
    A54,
    IMPORTRANGE(
      ""1ZHMy3vVUd_0MrSduXTe1etBb1HNpAlGwQr006ljwMiM"",
      ""GSC最新!A:R""
    ),
    7,
    FALSE
  ),
  0
)
"),0.0)</f>
        <v>0</v>
      </c>
      <c r="M54" s="6">
        <f>IFERROR(__xludf.DUMMYFUNCTION("IFERROR(
  VLOOKUP(
    A54,
    IMPORTRANGE(
      ""1ZHMy3vVUd_0MrSduXTe1etBb1HNpAlGwQr006ljwMiM"",
      ""GSC最新!A:R""
    ),
    10,
    FALSE
  ),
  0
)
"),0.0)</f>
        <v>0</v>
      </c>
      <c r="N54" s="6">
        <f>IFERROR(__xludf.DUMMYFUNCTION("IFERROR(
  VLOOKUP(
    A54,
    IMPORTRANGE(
      ""1ZHMy3vVUd_0MrSduXTe1etBb1HNpAlGwQr006ljwMiM"",
      ""GSC最新!A:R""
    ),
    13,
    FALSE
  ),
  0
)
"),0.0)</f>
        <v>0</v>
      </c>
      <c r="O54" s="6">
        <f>IFERROR(__xludf.DUMMYFUNCTION("IFERROR(
  VLOOKUP(
    A54,
    IMPORTRANGE(
      ""1ZHMy3vVUd_0MrSduXTe1etBb1HNpAlGwQr006ljwMiM"",
      ""GSC最新!A:R""
    ),
    16,
    FALSE
  ),
  0
)
"),0.0)</f>
        <v>0</v>
      </c>
      <c r="P54" s="51" t="str">
        <f t="shared" ref="P54:Q54" si="262">IFERROR(L54/N54,"-")</f>
        <v>-</v>
      </c>
      <c r="Q54" s="51" t="str">
        <f t="shared" si="262"/>
        <v>-</v>
      </c>
      <c r="R54" s="9">
        <f>IFERROR(__xludf.DUMMYFUNCTION("IFERROR(
  VLOOKUP(
    A54,
    IMPORTRANGE(
      ""1ZHMy3vVUd_0MrSduXTe1etBb1HNpAlGwQr006ljwMiM"",
      ""GSC最新!A:R""
    ),
    8,
    FALSE
  ),
  0
)
"),0.0)</f>
        <v>0</v>
      </c>
      <c r="S54" s="9">
        <f>IFERROR(__xludf.DUMMYFUNCTION("IFERROR(
  VLOOKUP(
    A54,
    IMPORTRANGE(
      ""1ZHMy3vVUd_0MrSduXTe1etBb1HNpAlGwQr006ljwMiM"",
      ""GSC最新!A:R""
    ),
    11,
    FALSE
  ),
  0
)
"),0.0)</f>
        <v>0</v>
      </c>
      <c r="T54" s="9">
        <f>IFERROR(__xludf.DUMMYFUNCTION("IFERROR(
  VLOOKUP(
    A54,
    IMPORTRANGE(
      ""1ZHMy3vVUd_0MrSduXTe1etBb1HNpAlGwQr006ljwMiM"",
      ""GSC最新!A:R""
    ),
    14,
    FALSE
  ),
  0
)
"),0.0)</f>
        <v>0</v>
      </c>
      <c r="U54" s="9">
        <f>IFERROR(__xludf.DUMMYFUNCTION("IFERROR(
  VLOOKUP(
    A54,
    IMPORTRANGE(
      ""1ZHMy3vVUd_0MrSduXTe1etBb1HNpAlGwQr006ljwMiM"",
      ""GSC最新!A:R""
    ),
    17,
    FALSE
  ),
  0
)
"),0.0)</f>
        <v>0</v>
      </c>
      <c r="V54" s="9">
        <f t="shared" ref="V54:W54" si="263">IFERROR(R54-T54,"-")</f>
        <v>0</v>
      </c>
      <c r="W54" s="9">
        <f t="shared" si="263"/>
        <v>0</v>
      </c>
      <c r="X54" s="65" t="str">
        <f>IFERROR(__xludf.DUMMYFUNCTION("IFERROR(
  VLOOKUP(
    A54,
    IMPORTRANGE(
      ""1ZHMy3vVUd_0MrSduXTe1etBb1HNpAlGwQr006ljwMiM"",
      ""GSC最新!A:R""
    ),
    9,
    FALSE
  ),
  0
)
"),"")</f>
        <v/>
      </c>
      <c r="Y54" s="65" t="str">
        <f>IFERROR(__xludf.DUMMYFUNCTION("IFERROR(
  VLOOKUP(
    A54,
    IMPORTRANGE(
      ""1ZHMy3vVUd_0MrSduXTe1etBb1HNpAlGwQr006ljwMiM"",
      ""GSC最新!A:R""
    ),
    12,
    FALSE
  ),
  0
)
"),"")</f>
        <v/>
      </c>
      <c r="Z54" s="65" t="str">
        <f>IFERROR(__xludf.DUMMYFUNCTION("IFERROR(
  VLOOKUP(
    A54,
    IMPORTRANGE(
      ""1ZHMy3vVUd_0MrSduXTe1etBb1HNpAlGwQr006ljwMiM"",
      ""GSC最新!A:R""
    ),
    15,
    FALSE
  ),
  0
)
"),"")</f>
        <v/>
      </c>
      <c r="AA54" s="65" t="str">
        <f>IFERROR(__xludf.DUMMYFUNCTION("IFERROR(
  VLOOKUP(
    A54,
    IMPORTRANGE(
      ""1ZHMy3vVUd_0MrSduXTe1etBb1HNpAlGwQr006ljwMiM"",
      ""GSC最新!A:R""
    ),
    18,
    FALSE
  ),
  0
)
"),"")</f>
        <v/>
      </c>
      <c r="AB54" s="65">
        <f t="shared" ref="AB54:AC54" si="264">X54-Z54</f>
        <v>0</v>
      </c>
      <c r="AC54" s="65">
        <f t="shared" si="264"/>
        <v>0</v>
      </c>
      <c r="AD54" s="53">
        <f>IFERROR(__xludf.DUMMYFUNCTION("IFERROR(
  VLOOKUP(
    A54,
    IMPORTRANGE(
      ""1ZHMy3vVUd_0MrSduXTe1etBb1HNpAlGwQr006ljwMiM"",
      ""GSC最新!A:F""
    ),
    6,
    FALSE
  ),
  0
)
"),46081.0)</f>
        <v>46081</v>
      </c>
      <c r="AE54" s="54">
        <f>IFERROR(__xludf.DUMMYFUNCTION("IFERROR(
  VLOOKUP(
    A54,
    IMPORTRANGE(
      ""1SCYQd7_cobOYqT0r_F0IqD4tE4rYn5y8Eup4PJTH8es"",
      ""Snapshot!A:M""
    ),
    5,
    FALSE
  ),
  ""-""
)
"),0.0)</f>
        <v>0</v>
      </c>
      <c r="AF54" s="54">
        <f>IFERROR(__xludf.DUMMYFUNCTION("IFERROR(
  VLOOKUP(
    A54,
    IMPORTRANGE(
      ""1SCYQd7_cobOYqT0r_F0IqD4tE4rYn5y8Eup4PJTH8es"",
      ""Snapshot!A:M""
    ),
    6,
    FALSE
  ),
  0
)
"),0.0)</f>
        <v>0</v>
      </c>
      <c r="AG54" s="54">
        <f>IFERROR(__xludf.DUMMYFUNCTION("IFERROR(
  VLOOKUP(
    A54,
    IMPORTRANGE(
      ""1SCYQd7_cobOYqT0r_F0IqD4tE4rYn5y8Eup4PJTH8es"",
      ""Snapshot!A:M""
    ),
    7,
    FALSE
  ),
  0
)
"),642.0)</f>
        <v>642</v>
      </c>
      <c r="AH54" s="54">
        <f>IFERROR(__xludf.DUMMYFUNCTION("IFERROR(
  VLOOKUP(
    A54,
    IMPORTRANGE(
      ""1SCYQd7_cobOYqT0r_F0IqD4tE4rYn5y8Eup4PJTH8es"",
      ""Snapshot!A:M""
    ),
    8,
    FALSE
  ),
  0
)
"),1.0)</f>
        <v>1</v>
      </c>
      <c r="AI54" s="54">
        <f>IFERROR(__xludf.DUMMYFUNCTION("IFERROR(
  VLOOKUP(
    A54,
    IMPORTRANGE(
      ""1SCYQd7_cobOYqT0r_F0IqD4tE4rYn5y8Eup4PJTH8es"",
      ""Snapshot!A:M""
    ),
    9,
    FALSE
  ),
  0
)
"),0.0)</f>
        <v>0</v>
      </c>
      <c r="AJ54" s="54">
        <f>IFERROR(__xludf.DUMMYFUNCTION("IFERROR(
  VLOOKUP(
    A54,
    IMPORTRANGE(
      ""1SCYQd7_cobOYqT0r_F0IqD4tE4rYn5y8Eup4PJTH8es"",
      ""Snapshot!A:M""
    ),
    13,
    FALSE
  ),
  0
)
"),2.0)</f>
        <v>2</v>
      </c>
      <c r="AK54" s="49">
        <f t="shared" ref="AK54:AL54" si="265">LEN(C54)</f>
        <v>32</v>
      </c>
      <c r="AL54" s="49">
        <f t="shared" si="265"/>
        <v>55</v>
      </c>
    </row>
    <row r="55">
      <c r="A55" s="3" t="s">
        <v>869</v>
      </c>
      <c r="B55" s="1" t="str">
        <f>IFERROR(__xludf.DUMMYFUNCTION("IFERROR(
  VLOOKUP(
    A55,
    IMPORTRANGE(
      ""1ZygntHC1J6IxzKbTidmOyf5nUyW4GCLurHCjexrLm_o"",
      ""HTMLキャッシュ!A:F""
    ),
    2,
    FALSE
  ),
  0
)
"),"NW")</f>
        <v>NW</v>
      </c>
      <c r="C55" s="1" t="str">
        <f>IFERROR(__xludf.DUMMYFUNCTION("IFERROR(
  VLOOKUP(
    A55,
    IMPORTRANGE(
      ""1ZygntHC1J6IxzKbTidmOyf5nUyW4GCLurHCjexrLm_o"",
      ""HTMLキャッシュ!A:F""
    ),
    5,
    FALSE
  ),
  0
)
"),"2019年度夏期講習会開催のお知らせ - 受験社会専門塾「令和」")</f>
        <v>2019年度夏期講習会開催のお知らせ - 受験社会専門塾「令和」</v>
      </c>
      <c r="D55" s="1" t="str">
        <f>IFERROR(__xludf.DUMMYFUNCTION("IFERROR(
  VLOOKUP(
    A55,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55" s="32">
        <f>IFERROR(__xludf.DUMMYFUNCTION("IFERROR(
  VLOOKUP(
    A55,
    IMPORTRANGE(
      ""1ZygntHC1J6IxzKbTidmOyf5nUyW4GCLurHCjexrLm_o        "",
      ""HTMLキャッシュ!A:F""
    ),
    3,
    FALSE
  ),
  0
)
"),46015.73805555556)</f>
        <v>46015.73806</v>
      </c>
      <c r="F55" s="49">
        <f>IFERROR(__xludf.DUMMYFUNCTION("IFERROR(
  VLOOKUP(
    A55,
    IMPORTRANGE(
      ""1ZHMy3vVUd_0MrSduXTe1etBb1HNpAlGwQr006ljwMiM"",
      ""GSC最新!A:F""
    ),
    2,
    FALSE
  ),
  0
)
"),0.0)</f>
        <v>0</v>
      </c>
      <c r="G55" s="49">
        <f>IFERROR(__xludf.DUMMYFUNCTION("IFERROR(
  VLOOKUP(
    A55,
    IMPORTRANGE(
      ""1ZHMy3vVUd_0MrSduXTe1etBb1HNpAlGwQr006ljwMiM"",
      ""GSC最新!A:F""
    ),
    3,
    FALSE
  ),
  0
)
"),0.0)</f>
        <v>0</v>
      </c>
      <c r="H55" s="49">
        <f>IFERROR(__xludf.DUMMYFUNCTION("IFERROR(
  VLOOKUP(
    A55,
    IMPORTRANGE(
      ""1ZHMy3vVUd_0MrSduXTe1etBb1HNpAlGwQr006ljwMiM"",
      ""GSC最新!A:F""
    ),
    4,
    FALSE
  ),
  0
)
"),0.0)</f>
        <v>0</v>
      </c>
      <c r="I55" s="49">
        <f>IFERROR(__xludf.DUMMYFUNCTION("IFERROR(
  VLOOKUP(
    A55,
    IMPORTRANGE(
      ""1ZHMy3vVUd_0MrSduXTe1etBb1HNpAlGwQr006ljwMiM"",
      ""GSC最新!A:F""
    ),
    5,
    FALSE
  ),
  0
)
"),0.0)</f>
        <v>0</v>
      </c>
      <c r="J55" s="50" t="str">
        <f t="shared" ref="J55:K55" si="266">IFERROR(F55/H55,"-")</f>
        <v>-</v>
      </c>
      <c r="K55" s="50" t="str">
        <f t="shared" si="266"/>
        <v>-</v>
      </c>
      <c r="L55" s="6">
        <f>IFERROR(__xludf.DUMMYFUNCTION("IFERROR(
  VLOOKUP(
    A55,
    IMPORTRANGE(
      ""1ZHMy3vVUd_0MrSduXTe1etBb1HNpAlGwQr006ljwMiM"",
      ""GSC最新!A:R""
    ),
    7,
    FALSE
  ),
  0
)
"),0.0)</f>
        <v>0</v>
      </c>
      <c r="M55" s="6">
        <f>IFERROR(__xludf.DUMMYFUNCTION("IFERROR(
  VLOOKUP(
    A55,
    IMPORTRANGE(
      ""1ZHMy3vVUd_0MrSduXTe1etBb1HNpAlGwQr006ljwMiM"",
      ""GSC最新!A:R""
    ),
    10,
    FALSE
  ),
  0
)
"),0.0)</f>
        <v>0</v>
      </c>
      <c r="N55" s="6">
        <f>IFERROR(__xludf.DUMMYFUNCTION("IFERROR(
  VLOOKUP(
    A55,
    IMPORTRANGE(
      ""1ZHMy3vVUd_0MrSduXTe1etBb1HNpAlGwQr006ljwMiM"",
      ""GSC最新!A:R""
    ),
    13,
    FALSE
  ),
  0
)
"),0.0)</f>
        <v>0</v>
      </c>
      <c r="O55" s="6">
        <f>IFERROR(__xludf.DUMMYFUNCTION("IFERROR(
  VLOOKUP(
    A55,
    IMPORTRANGE(
      ""1ZHMy3vVUd_0MrSduXTe1etBb1HNpAlGwQr006ljwMiM"",
      ""GSC最新!A:R""
    ),
    16,
    FALSE
  ),
  0
)
"),0.0)</f>
        <v>0</v>
      </c>
      <c r="P55" s="51" t="str">
        <f t="shared" ref="P55:Q55" si="267">IFERROR(L55/N55,"-")</f>
        <v>-</v>
      </c>
      <c r="Q55" s="51" t="str">
        <f t="shared" si="267"/>
        <v>-</v>
      </c>
      <c r="R55" s="9">
        <f>IFERROR(__xludf.DUMMYFUNCTION("IFERROR(
  VLOOKUP(
    A55,
    IMPORTRANGE(
      ""1ZHMy3vVUd_0MrSduXTe1etBb1HNpAlGwQr006ljwMiM"",
      ""GSC最新!A:R""
    ),
    8,
    FALSE
  ),
  0
)
"),0.0)</f>
        <v>0</v>
      </c>
      <c r="S55" s="9">
        <f>IFERROR(__xludf.DUMMYFUNCTION("IFERROR(
  VLOOKUP(
    A55,
    IMPORTRANGE(
      ""1ZHMy3vVUd_0MrSduXTe1etBb1HNpAlGwQr006ljwMiM"",
      ""GSC最新!A:R""
    ),
    11,
    FALSE
  ),
  0
)
"),0.0)</f>
        <v>0</v>
      </c>
      <c r="T55" s="9">
        <f>IFERROR(__xludf.DUMMYFUNCTION("IFERROR(
  VLOOKUP(
    A55,
    IMPORTRANGE(
      ""1ZHMy3vVUd_0MrSduXTe1etBb1HNpAlGwQr006ljwMiM"",
      ""GSC最新!A:R""
    ),
    14,
    FALSE
  ),
  0
)
"),0.0)</f>
        <v>0</v>
      </c>
      <c r="U55" s="9">
        <f>IFERROR(__xludf.DUMMYFUNCTION("IFERROR(
  VLOOKUP(
    A55,
    IMPORTRANGE(
      ""1ZHMy3vVUd_0MrSduXTe1etBb1HNpAlGwQr006ljwMiM"",
      ""GSC最新!A:R""
    ),
    17,
    FALSE
  ),
  0
)
"),0.0)</f>
        <v>0</v>
      </c>
      <c r="V55" s="9">
        <f t="shared" ref="V55:W55" si="268">IFERROR(R55-T55,"-")</f>
        <v>0</v>
      </c>
      <c r="W55" s="9">
        <f t="shared" si="268"/>
        <v>0</v>
      </c>
      <c r="X55" s="65" t="str">
        <f>IFERROR(__xludf.DUMMYFUNCTION("IFERROR(
  VLOOKUP(
    A55,
    IMPORTRANGE(
      ""1ZHMy3vVUd_0MrSduXTe1etBb1HNpAlGwQr006ljwMiM"",
      ""GSC最新!A:R""
    ),
    9,
    FALSE
  ),
  0
)
"),"")</f>
        <v/>
      </c>
      <c r="Y55" s="65" t="str">
        <f>IFERROR(__xludf.DUMMYFUNCTION("IFERROR(
  VLOOKUP(
    A55,
    IMPORTRANGE(
      ""1ZHMy3vVUd_0MrSduXTe1etBb1HNpAlGwQr006ljwMiM"",
      ""GSC最新!A:R""
    ),
    12,
    FALSE
  ),
  0
)
"),"")</f>
        <v/>
      </c>
      <c r="Z55" s="65" t="str">
        <f>IFERROR(__xludf.DUMMYFUNCTION("IFERROR(
  VLOOKUP(
    A55,
    IMPORTRANGE(
      ""1ZHMy3vVUd_0MrSduXTe1etBb1HNpAlGwQr006ljwMiM"",
      ""GSC最新!A:R""
    ),
    15,
    FALSE
  ),
  0
)
"),"")</f>
        <v/>
      </c>
      <c r="AA55" s="65" t="str">
        <f>IFERROR(__xludf.DUMMYFUNCTION("IFERROR(
  VLOOKUP(
    A55,
    IMPORTRANGE(
      ""1ZHMy3vVUd_0MrSduXTe1etBb1HNpAlGwQr006ljwMiM"",
      ""GSC最新!A:R""
    ),
    18,
    FALSE
  ),
  0
)
"),"")</f>
        <v/>
      </c>
      <c r="AB55" s="65">
        <f t="shared" ref="AB55:AC55" si="269">X55-Z55</f>
        <v>0</v>
      </c>
      <c r="AC55" s="65">
        <f t="shared" si="269"/>
        <v>0</v>
      </c>
      <c r="AD55" s="53">
        <f>IFERROR(__xludf.DUMMYFUNCTION("IFERROR(
  VLOOKUP(
    A55,
    IMPORTRANGE(
      ""1ZHMy3vVUd_0MrSduXTe1etBb1HNpAlGwQr006ljwMiM"",
      ""GSC最新!A:F""
    ),
    6,
    FALSE
  ),
  0
)
"),46081.0)</f>
        <v>46081</v>
      </c>
      <c r="AE55" s="54">
        <f>IFERROR(__xludf.DUMMYFUNCTION("IFERROR(
  VLOOKUP(
    A55,
    IMPORTRANGE(
      ""1SCYQd7_cobOYqT0r_F0IqD4tE4rYn5y8Eup4PJTH8es"",
      ""Snapshot!A:M""
    ),
    5,
    FALSE
  ),
  ""-""
)
"),0.0)</f>
        <v>0</v>
      </c>
      <c r="AF55" s="54">
        <f>IFERROR(__xludf.DUMMYFUNCTION("IFERROR(
  VLOOKUP(
    A55,
    IMPORTRANGE(
      ""1SCYQd7_cobOYqT0r_F0IqD4tE4rYn5y8Eup4PJTH8es"",
      ""Snapshot!A:M""
    ),
    6,
    FALSE
  ),
  0
)
"),0.0)</f>
        <v>0</v>
      </c>
      <c r="AG55" s="54">
        <f>IFERROR(__xludf.DUMMYFUNCTION("IFERROR(
  VLOOKUP(
    A55,
    IMPORTRANGE(
      ""1SCYQd7_cobOYqT0r_F0IqD4tE4rYn5y8Eup4PJTH8es"",
      ""Snapshot!A:M""
    ),
    7,
    FALSE
  ),
  0
)
"),705.0)</f>
        <v>705</v>
      </c>
      <c r="AH55" s="54">
        <f>IFERROR(__xludf.DUMMYFUNCTION("IFERROR(
  VLOOKUP(
    A55,
    IMPORTRANGE(
      ""1SCYQd7_cobOYqT0r_F0IqD4tE4rYn5y8Eup4PJTH8es"",
      ""Snapshot!A:M""
    ),
    8,
    FALSE
  ),
  0
)
"),1.0)</f>
        <v>1</v>
      </c>
      <c r="AI55" s="54">
        <f>IFERROR(__xludf.DUMMYFUNCTION("IFERROR(
  VLOOKUP(
    A55,
    IMPORTRANGE(
      ""1SCYQd7_cobOYqT0r_F0IqD4tE4rYn5y8Eup4PJTH8es"",
      ""Snapshot!A:M""
    ),
    9,
    FALSE
  ),
  0
)
"),0.0)</f>
        <v>0</v>
      </c>
      <c r="AJ55" s="54">
        <f>IFERROR(__xludf.DUMMYFUNCTION("IFERROR(
  VLOOKUP(
    A55,
    IMPORTRANGE(
      ""1SCYQd7_cobOYqT0r_F0IqD4tE4rYn5y8Eup4PJTH8es"",
      ""Snapshot!A:M""
    ),
    13,
    FALSE
  ),
  0
)
"),2.0)</f>
        <v>2</v>
      </c>
      <c r="AK55" s="49">
        <f t="shared" ref="AK55:AL55" si="270">LEN(C55)</f>
        <v>32</v>
      </c>
      <c r="AL55" s="49">
        <f t="shared" si="270"/>
        <v>55</v>
      </c>
    </row>
    <row r="56">
      <c r="A56" s="3" t="s">
        <v>870</v>
      </c>
      <c r="B56" s="1" t="str">
        <f>IFERROR(__xludf.DUMMYFUNCTION("IFERROR(
  VLOOKUP(
    A56,
    IMPORTRANGE(
      ""1ZygntHC1J6IxzKbTidmOyf5nUyW4GCLurHCjexrLm_o"",
      ""HTMLキャッシュ!A:F""
    ),
    2,
    FALSE
  ),
  0
)
"),"NW")</f>
        <v>NW</v>
      </c>
      <c r="C56" s="1" t="str">
        <f>IFERROR(__xludf.DUMMYFUNCTION("IFERROR(
  VLOOKUP(
    A56,
    IMPORTRANGE(
      ""1ZygntHC1J6IxzKbTidmOyf5nUyW4GCLurHCjexrLm_o"",
      ""HTMLキャッシュ!A:F""
    ),
    5,
    FALSE
  ),
  0
)
"),"11月3日(土)「早稲田大突破セミナー」開催のお知らせ - 受験社会専門塾「令和」")</f>
        <v>11月3日(土)「早稲田大突破セミナー」開催のお知らせ - 受験社会専門塾「令和」</v>
      </c>
      <c r="D56" s="1" t="str">
        <f>IFERROR(__xludf.DUMMYFUNCTION("IFERROR(
  VLOOKUP(
    A56,
    IMPORTRANGE(
      ""1ZygntHC1J6IxzKbTidmOyf5nUyW4GCLurHCjexrLm_o        "",
      ""HTMLキャッシュ!A:F""
    ),
    6,
    FALSE
  ),
  0
)
"),"本日は掲題の件につきましてお知らせさせて頂きます。 中高一貫校専門塾エスコットにて、11月3日(火)に、「早稲")</f>
        <v>本日は掲題の件につきましてお知らせさせて頂きます。 中高一貫校専門塾エスコットにて、11月3日(火)に、「早稲</v>
      </c>
      <c r="E56" s="32">
        <f>IFERROR(__xludf.DUMMYFUNCTION("IFERROR(
  VLOOKUP(
    A56,
    IMPORTRANGE(
      ""1ZygntHC1J6IxzKbTidmOyf5nUyW4GCLurHCjexrLm_o        "",
      ""HTMLキャッシュ!A:F""
    ),
    3,
    FALSE
  ),
  0
)
"),44162.54756944445)</f>
        <v>44162.54757</v>
      </c>
      <c r="F56" s="49">
        <f>IFERROR(__xludf.DUMMYFUNCTION("IFERROR(
  VLOOKUP(
    A56,
    IMPORTRANGE(
      ""1ZHMy3vVUd_0MrSduXTe1etBb1HNpAlGwQr006ljwMiM"",
      ""GSC最新!A:F""
    ),
    2,
    FALSE
  ),
  0
)
"),0.0)</f>
        <v>0</v>
      </c>
      <c r="G56" s="49">
        <f>IFERROR(__xludf.DUMMYFUNCTION("IFERROR(
  VLOOKUP(
    A56,
    IMPORTRANGE(
      ""1ZHMy3vVUd_0MrSduXTe1etBb1HNpAlGwQr006ljwMiM"",
      ""GSC最新!A:F""
    ),
    3,
    FALSE
  ),
  0
)
"),0.0)</f>
        <v>0</v>
      </c>
      <c r="H56" s="49">
        <f>IFERROR(__xludf.DUMMYFUNCTION("IFERROR(
  VLOOKUP(
    A56,
    IMPORTRANGE(
      ""1ZHMy3vVUd_0MrSduXTe1etBb1HNpAlGwQr006ljwMiM"",
      ""GSC最新!A:F""
    ),
    4,
    FALSE
  ),
  0
)
"),0.0)</f>
        <v>0</v>
      </c>
      <c r="I56" s="49">
        <f>IFERROR(__xludf.DUMMYFUNCTION("IFERROR(
  VLOOKUP(
    A56,
    IMPORTRANGE(
      ""1ZHMy3vVUd_0MrSduXTe1etBb1HNpAlGwQr006ljwMiM"",
      ""GSC最新!A:F""
    ),
    5,
    FALSE
  ),
  0
)
"),0.0)</f>
        <v>0</v>
      </c>
      <c r="J56" s="50" t="str">
        <f t="shared" ref="J56:K56" si="271">IFERROR(F56/H56,"-")</f>
        <v>-</v>
      </c>
      <c r="K56" s="50" t="str">
        <f t="shared" si="271"/>
        <v>-</v>
      </c>
      <c r="L56" s="6">
        <f>IFERROR(__xludf.DUMMYFUNCTION("IFERROR(
  VLOOKUP(
    A56,
    IMPORTRANGE(
      ""1ZHMy3vVUd_0MrSduXTe1etBb1HNpAlGwQr006ljwMiM"",
      ""GSC最新!A:R""
    ),
    7,
    FALSE
  ),
  0
)
"),0.0)</f>
        <v>0</v>
      </c>
      <c r="M56" s="6">
        <f>IFERROR(__xludf.DUMMYFUNCTION("IFERROR(
  VLOOKUP(
    A56,
    IMPORTRANGE(
      ""1ZHMy3vVUd_0MrSduXTe1etBb1HNpAlGwQr006ljwMiM"",
      ""GSC最新!A:R""
    ),
    10,
    FALSE
  ),
  0
)
"),0.0)</f>
        <v>0</v>
      </c>
      <c r="N56" s="6">
        <f>IFERROR(__xludf.DUMMYFUNCTION("IFERROR(
  VLOOKUP(
    A56,
    IMPORTRANGE(
      ""1ZHMy3vVUd_0MrSduXTe1etBb1HNpAlGwQr006ljwMiM"",
      ""GSC最新!A:R""
    ),
    13,
    FALSE
  ),
  0
)
"),0.0)</f>
        <v>0</v>
      </c>
      <c r="O56" s="6">
        <f>IFERROR(__xludf.DUMMYFUNCTION("IFERROR(
  VLOOKUP(
    A56,
    IMPORTRANGE(
      ""1ZHMy3vVUd_0MrSduXTe1etBb1HNpAlGwQr006ljwMiM"",
      ""GSC最新!A:R""
    ),
    16,
    FALSE
  ),
  0
)
"),0.0)</f>
        <v>0</v>
      </c>
      <c r="P56" s="51" t="str">
        <f t="shared" ref="P56:Q56" si="272">IFERROR(L56/N56,"-")</f>
        <v>-</v>
      </c>
      <c r="Q56" s="51" t="str">
        <f t="shared" si="272"/>
        <v>-</v>
      </c>
      <c r="R56" s="9">
        <f>IFERROR(__xludf.DUMMYFUNCTION("IFERROR(
  VLOOKUP(
    A56,
    IMPORTRANGE(
      ""1ZHMy3vVUd_0MrSduXTe1etBb1HNpAlGwQr006ljwMiM"",
      ""GSC最新!A:R""
    ),
    8,
    FALSE
  ),
  0
)
"),0.0)</f>
        <v>0</v>
      </c>
      <c r="S56" s="9">
        <f>IFERROR(__xludf.DUMMYFUNCTION("IFERROR(
  VLOOKUP(
    A56,
    IMPORTRANGE(
      ""1ZHMy3vVUd_0MrSduXTe1etBb1HNpAlGwQr006ljwMiM"",
      ""GSC最新!A:R""
    ),
    11,
    FALSE
  ),
  0
)
"),0.0)</f>
        <v>0</v>
      </c>
      <c r="T56" s="9">
        <f>IFERROR(__xludf.DUMMYFUNCTION("IFERROR(
  VLOOKUP(
    A56,
    IMPORTRANGE(
      ""1ZHMy3vVUd_0MrSduXTe1etBb1HNpAlGwQr006ljwMiM"",
      ""GSC最新!A:R""
    ),
    14,
    FALSE
  ),
  0
)
"),0.0)</f>
        <v>0</v>
      </c>
      <c r="U56" s="9">
        <f>IFERROR(__xludf.DUMMYFUNCTION("IFERROR(
  VLOOKUP(
    A56,
    IMPORTRANGE(
      ""1ZHMy3vVUd_0MrSduXTe1etBb1HNpAlGwQr006ljwMiM"",
      ""GSC最新!A:R""
    ),
    17,
    FALSE
  ),
  0
)
"),0.0)</f>
        <v>0</v>
      </c>
      <c r="V56" s="9">
        <f t="shared" ref="V56:W56" si="273">IFERROR(R56-T56,"-")</f>
        <v>0</v>
      </c>
      <c r="W56" s="9">
        <f t="shared" si="273"/>
        <v>0</v>
      </c>
      <c r="X56" s="65" t="str">
        <f>IFERROR(__xludf.DUMMYFUNCTION("IFERROR(
  VLOOKUP(
    A56,
    IMPORTRANGE(
      ""1ZHMy3vVUd_0MrSduXTe1etBb1HNpAlGwQr006ljwMiM"",
      ""GSC最新!A:R""
    ),
    9,
    FALSE
  ),
  0
)
"),"")</f>
        <v/>
      </c>
      <c r="Y56" s="65" t="str">
        <f>IFERROR(__xludf.DUMMYFUNCTION("IFERROR(
  VLOOKUP(
    A56,
    IMPORTRANGE(
      ""1ZHMy3vVUd_0MrSduXTe1etBb1HNpAlGwQr006ljwMiM"",
      ""GSC最新!A:R""
    ),
    12,
    FALSE
  ),
  0
)
"),"")</f>
        <v/>
      </c>
      <c r="Z56" s="65" t="str">
        <f>IFERROR(__xludf.DUMMYFUNCTION("IFERROR(
  VLOOKUP(
    A56,
    IMPORTRANGE(
      ""1ZHMy3vVUd_0MrSduXTe1etBb1HNpAlGwQr006ljwMiM"",
      ""GSC最新!A:R""
    ),
    15,
    FALSE
  ),
  0
)
"),"")</f>
        <v/>
      </c>
      <c r="AA56" s="65" t="str">
        <f>IFERROR(__xludf.DUMMYFUNCTION("IFERROR(
  VLOOKUP(
    A56,
    IMPORTRANGE(
      ""1ZHMy3vVUd_0MrSduXTe1etBb1HNpAlGwQr006ljwMiM"",
      ""GSC最新!A:R""
    ),
    18,
    FALSE
  ),
  0
)
"),"")</f>
        <v/>
      </c>
      <c r="AB56" s="65">
        <f t="shared" ref="AB56:AC56" si="274">X56-Z56</f>
        <v>0</v>
      </c>
      <c r="AC56" s="65">
        <f t="shared" si="274"/>
        <v>0</v>
      </c>
      <c r="AD56" s="53">
        <f>IFERROR(__xludf.DUMMYFUNCTION("IFERROR(
  VLOOKUP(
    A56,
    IMPORTRANGE(
      ""1ZHMy3vVUd_0MrSduXTe1etBb1HNpAlGwQr006ljwMiM"",
      ""GSC最新!A:F""
    ),
    6,
    FALSE
  ),
  0
)
"),46081.0)</f>
        <v>46081</v>
      </c>
      <c r="AE56" s="54">
        <f>IFERROR(__xludf.DUMMYFUNCTION("IFERROR(
  VLOOKUP(
    A56,
    IMPORTRANGE(
      ""1SCYQd7_cobOYqT0r_F0IqD4tE4rYn5y8Eup4PJTH8es"",
      ""Snapshot!A:M""
    ),
    5,
    FALSE
  ),
  ""-""
)
"),0.0)</f>
        <v>0</v>
      </c>
      <c r="AF56" s="54">
        <f>IFERROR(__xludf.DUMMYFUNCTION("IFERROR(
  VLOOKUP(
    A56,
    IMPORTRANGE(
      ""1SCYQd7_cobOYqT0r_F0IqD4tE4rYn5y8Eup4PJTH8es"",
      ""Snapshot!A:M""
    ),
    6,
    FALSE
  ),
  0
)
"),0.0)</f>
        <v>0</v>
      </c>
      <c r="AG56" s="54">
        <f>IFERROR(__xludf.DUMMYFUNCTION("IFERROR(
  VLOOKUP(
    A56,
    IMPORTRANGE(
      ""1SCYQd7_cobOYqT0r_F0IqD4tE4rYn5y8Eup4PJTH8es"",
      ""Snapshot!A:M""
    ),
    7,
    FALSE
  ),
  0
)
"),719.0)</f>
        <v>719</v>
      </c>
      <c r="AH56" s="54">
        <f>IFERROR(__xludf.DUMMYFUNCTION("IFERROR(
  VLOOKUP(
    A56,
    IMPORTRANGE(
      ""1SCYQd7_cobOYqT0r_F0IqD4tE4rYn5y8Eup4PJTH8es"",
      ""Snapshot!A:M""
    ),
    8,
    FALSE
  ),
  0
)
"),0.0)</f>
        <v>0</v>
      </c>
      <c r="AI56" s="54">
        <f>IFERROR(__xludf.DUMMYFUNCTION("IFERROR(
  VLOOKUP(
    A56,
    IMPORTRANGE(
      ""1SCYQd7_cobOYqT0r_F0IqD4tE4rYn5y8Eup4PJTH8es"",
      ""Snapshot!A:M""
    ),
    9,
    FALSE
  ),
  0
)
"),0.0)</f>
        <v>0</v>
      </c>
      <c r="AJ56" s="54">
        <f>IFERROR(__xludf.DUMMYFUNCTION("IFERROR(
  VLOOKUP(
    A56,
    IMPORTRANGE(
      ""1SCYQd7_cobOYqT0r_F0IqD4tE4rYn5y8Eup4PJTH8es"",
      ""Snapshot!A:M""
    ),
    13,
    FALSE
  ),
  0
)
"),2.0)</f>
        <v>2</v>
      </c>
      <c r="AK56" s="49">
        <f t="shared" ref="AK56:AL56" si="275">LEN(C56)</f>
        <v>41</v>
      </c>
      <c r="AL56" s="49">
        <f t="shared" si="275"/>
        <v>55</v>
      </c>
    </row>
    <row r="57">
      <c r="A57" s="3" t="s">
        <v>213</v>
      </c>
      <c r="C57" s="1" t="str">
        <f>IFERROR(__xludf.DUMMYFUNCTION("IFERROR(
  VLOOKUP(
    A57,
    IMPORTRANGE(
      ""1ZygntHC1J6IxzKbTidmOyf5nUyW4GCLurHCjexrLm_o"",
      ""HTMLキャッシュ!A:F""
    ),
    5,
    FALSE
  ),
  0
)
"),"2020年度夏期講習会開催のお知らせ - 受験社会専門塾「令和」")</f>
        <v>2020年度夏期講習会開催のお知らせ - 受験社会専門塾「令和」</v>
      </c>
      <c r="D57" s="1" t="str">
        <f>IFERROR(__xludf.DUMMYFUNCTION("IFERROR(
  VLOOKUP(
    A57,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57" s="32">
        <f>IFERROR(__xludf.DUMMYFUNCTION("IFERROR(
  VLOOKUP(
    A57,
    IMPORTRANGE(
      ""1ZygntHC1J6IxzKbTidmOyf5nUyW4GCLurHCjexrLm_o        "",
      ""HTMLキャッシュ!A:F""
    ),
    3,
    FALSE
  ),
  0
)
"),44025.601805555554)</f>
        <v>44025.60181</v>
      </c>
      <c r="F57" s="49">
        <f>IFERROR(__xludf.DUMMYFUNCTION("IFERROR(
  VLOOKUP(
    A57,
    IMPORTRANGE(
      ""1ZHMy3vVUd_0MrSduXTe1etBb1HNpAlGwQr006ljwMiM"",
      ""GSC最新!A:F""
    ),
    2,
    FALSE
  ),
  0
)
"),0.0)</f>
        <v>0</v>
      </c>
      <c r="G57" s="49">
        <f>IFERROR(__xludf.DUMMYFUNCTION("IFERROR(
  VLOOKUP(
    A57,
    IMPORTRANGE(
      ""1ZHMy3vVUd_0MrSduXTe1etBb1HNpAlGwQr006ljwMiM"",
      ""GSC最新!A:F""
    ),
    3,
    FALSE
  ),
  0
)
"),0.0)</f>
        <v>0</v>
      </c>
      <c r="H57" s="49">
        <f>IFERROR(__xludf.DUMMYFUNCTION("IFERROR(
  VLOOKUP(
    A57,
    IMPORTRANGE(
      ""1ZHMy3vVUd_0MrSduXTe1etBb1HNpAlGwQr006ljwMiM"",
      ""GSC最新!A:F""
    ),
    4,
    FALSE
  ),
  0
)
"),0.0)</f>
        <v>0</v>
      </c>
      <c r="I57" s="49">
        <f>IFERROR(__xludf.DUMMYFUNCTION("IFERROR(
  VLOOKUP(
    A57,
    IMPORTRANGE(
      ""1ZHMy3vVUd_0MrSduXTe1etBb1HNpAlGwQr006ljwMiM"",
      ""GSC最新!A:F""
    ),
    5,
    FALSE
  ),
  0
)
"),0.0)</f>
        <v>0</v>
      </c>
      <c r="J57" s="50" t="str">
        <f t="shared" ref="J57:K57" si="276">IFERROR(F57/H57,"-")</f>
        <v>-</v>
      </c>
      <c r="K57" s="50" t="str">
        <f t="shared" si="276"/>
        <v>-</v>
      </c>
      <c r="L57" s="6">
        <f>IFERROR(__xludf.DUMMYFUNCTION("IFERROR(
  VLOOKUP(
    A57,
    IMPORTRANGE(
      ""1ZHMy3vVUd_0MrSduXTe1etBb1HNpAlGwQr006ljwMiM"",
      ""GSC最新!A:R""
    ),
    7,
    FALSE
  ),
  0
)
"),0.0)</f>
        <v>0</v>
      </c>
      <c r="M57" s="6">
        <f>IFERROR(__xludf.DUMMYFUNCTION("IFERROR(
  VLOOKUP(
    A57,
    IMPORTRANGE(
      ""1ZHMy3vVUd_0MrSduXTe1etBb1HNpAlGwQr006ljwMiM"",
      ""GSC最新!A:R""
    ),
    10,
    FALSE
  ),
  0
)
"),0.0)</f>
        <v>0</v>
      </c>
      <c r="N57" s="6">
        <f>IFERROR(__xludf.DUMMYFUNCTION("IFERROR(
  VLOOKUP(
    A57,
    IMPORTRANGE(
      ""1ZHMy3vVUd_0MrSduXTe1etBb1HNpAlGwQr006ljwMiM"",
      ""GSC最新!A:R""
    ),
    13,
    FALSE
  ),
  0
)
"),0.0)</f>
        <v>0</v>
      </c>
      <c r="O57" s="6">
        <f>IFERROR(__xludf.DUMMYFUNCTION("IFERROR(
  VLOOKUP(
    A57,
    IMPORTRANGE(
      ""1ZHMy3vVUd_0MrSduXTe1etBb1HNpAlGwQr006ljwMiM"",
      ""GSC最新!A:R""
    ),
    16,
    FALSE
  ),
  0
)
"),0.0)</f>
        <v>0</v>
      </c>
      <c r="P57" s="51" t="str">
        <f t="shared" ref="P57:Q57" si="277">IFERROR(L57/N57,"-")</f>
        <v>-</v>
      </c>
      <c r="Q57" s="51" t="str">
        <f t="shared" si="277"/>
        <v>-</v>
      </c>
      <c r="R57" s="9">
        <f>IFERROR(__xludf.DUMMYFUNCTION("IFERROR(
  VLOOKUP(
    A57,
    IMPORTRANGE(
      ""1ZHMy3vVUd_0MrSduXTe1etBb1HNpAlGwQr006ljwMiM"",
      ""GSC最新!A:R""
    ),
    8,
    FALSE
  ),
  0
)
"),0.0)</f>
        <v>0</v>
      </c>
      <c r="S57" s="9">
        <f>IFERROR(__xludf.DUMMYFUNCTION("IFERROR(
  VLOOKUP(
    A57,
    IMPORTRANGE(
      ""1ZHMy3vVUd_0MrSduXTe1etBb1HNpAlGwQr006ljwMiM"",
      ""GSC最新!A:R""
    ),
    11,
    FALSE
  ),
  0
)
"),0.0)</f>
        <v>0</v>
      </c>
      <c r="T57" s="9">
        <f>IFERROR(__xludf.DUMMYFUNCTION("IFERROR(
  VLOOKUP(
    A57,
    IMPORTRANGE(
      ""1ZHMy3vVUd_0MrSduXTe1etBb1HNpAlGwQr006ljwMiM"",
      ""GSC最新!A:R""
    ),
    14,
    FALSE
  ),
  0
)
"),0.0)</f>
        <v>0</v>
      </c>
      <c r="U57" s="9">
        <f>IFERROR(__xludf.DUMMYFUNCTION("IFERROR(
  VLOOKUP(
    A57,
    IMPORTRANGE(
      ""1ZHMy3vVUd_0MrSduXTe1etBb1HNpAlGwQr006ljwMiM"",
      ""GSC最新!A:R""
    ),
    17,
    FALSE
  ),
  0
)
"),0.0)</f>
        <v>0</v>
      </c>
      <c r="V57" s="9">
        <f t="shared" ref="V57:W57" si="278">IFERROR(R57-T57,"-")</f>
        <v>0</v>
      </c>
      <c r="W57" s="9">
        <f t="shared" si="278"/>
        <v>0</v>
      </c>
      <c r="X57" s="65" t="str">
        <f>IFERROR(__xludf.DUMMYFUNCTION("IFERROR(
  VLOOKUP(
    A57,
    IMPORTRANGE(
      ""1ZHMy3vVUd_0MrSduXTe1etBb1HNpAlGwQr006ljwMiM"",
      ""GSC最新!A:R""
    ),
    9,
    FALSE
  ),
  0
)
"),"")</f>
        <v/>
      </c>
      <c r="Y57" s="65" t="str">
        <f>IFERROR(__xludf.DUMMYFUNCTION("IFERROR(
  VLOOKUP(
    A57,
    IMPORTRANGE(
      ""1ZHMy3vVUd_0MrSduXTe1etBb1HNpAlGwQr006ljwMiM"",
      ""GSC最新!A:R""
    ),
    12,
    FALSE
  ),
  0
)
"),"")</f>
        <v/>
      </c>
      <c r="Z57" s="65" t="str">
        <f>IFERROR(__xludf.DUMMYFUNCTION("IFERROR(
  VLOOKUP(
    A57,
    IMPORTRANGE(
      ""1ZHMy3vVUd_0MrSduXTe1etBb1HNpAlGwQr006ljwMiM"",
      ""GSC最新!A:R""
    ),
    15,
    FALSE
  ),
  0
)
"),"")</f>
        <v/>
      </c>
      <c r="AA57" s="65" t="str">
        <f>IFERROR(__xludf.DUMMYFUNCTION("IFERROR(
  VLOOKUP(
    A57,
    IMPORTRANGE(
      ""1ZHMy3vVUd_0MrSduXTe1etBb1HNpAlGwQr006ljwMiM"",
      ""GSC最新!A:R""
    ),
    18,
    FALSE
  ),
  0
)
"),"")</f>
        <v/>
      </c>
      <c r="AB57" s="65">
        <f t="shared" ref="AB57:AC57" si="279">X57-Z57</f>
        <v>0</v>
      </c>
      <c r="AC57" s="65">
        <f t="shared" si="279"/>
        <v>0</v>
      </c>
      <c r="AD57" s="53">
        <f>IFERROR(__xludf.DUMMYFUNCTION("IFERROR(
  VLOOKUP(
    A57,
    IMPORTRANGE(
      ""1ZHMy3vVUd_0MrSduXTe1etBb1HNpAlGwQr006ljwMiM"",
      ""GSC最新!A:F""
    ),
    6,
    FALSE
  ),
  0
)
"),46081.0)</f>
        <v>46081</v>
      </c>
      <c r="AE57" s="54">
        <f>IFERROR(__xludf.DUMMYFUNCTION("IFERROR(
  VLOOKUP(
    A57,
    IMPORTRANGE(
      ""1SCYQd7_cobOYqT0r_F0IqD4tE4rYn5y8Eup4PJTH8es"",
      ""Snapshot!A:M""
    ),
    5,
    FALSE
  ),
  ""-""
)
"),0.0)</f>
        <v>0</v>
      </c>
      <c r="AF57" s="54">
        <f>IFERROR(__xludf.DUMMYFUNCTION("IFERROR(
  VLOOKUP(
    A57,
    IMPORTRANGE(
      ""1SCYQd7_cobOYqT0r_F0IqD4tE4rYn5y8Eup4PJTH8es"",
      ""Snapshot!A:M""
    ),
    6,
    FALSE
  ),
  0
)
"),0.0)</f>
        <v>0</v>
      </c>
      <c r="AG57" s="54">
        <f>IFERROR(__xludf.DUMMYFUNCTION("IFERROR(
  VLOOKUP(
    A57,
    IMPORTRANGE(
      ""1SCYQd7_cobOYqT0r_F0IqD4tE4rYn5y8Eup4PJTH8es"",
      ""Snapshot!A:M""
    ),
    7,
    FALSE
  ),
  0
)
"),831.0)</f>
        <v>831</v>
      </c>
      <c r="AH57" s="54">
        <f>IFERROR(__xludf.DUMMYFUNCTION("IFERROR(
  VLOOKUP(
    A57,
    IMPORTRANGE(
      ""1SCYQd7_cobOYqT0r_F0IqD4tE4rYn5y8Eup4PJTH8es"",
      ""Snapshot!A:M""
    ),
    8,
    FALSE
  ),
  0
)
"),1.0)</f>
        <v>1</v>
      </c>
      <c r="AI57" s="54">
        <f>IFERROR(__xludf.DUMMYFUNCTION("IFERROR(
  VLOOKUP(
    A57,
    IMPORTRANGE(
      ""1SCYQd7_cobOYqT0r_F0IqD4tE4rYn5y8Eup4PJTH8es"",
      ""Snapshot!A:M""
    ),
    9,
    FALSE
  ),
  0
)
"),0.0)</f>
        <v>0</v>
      </c>
      <c r="AJ57" s="54">
        <f>IFERROR(__xludf.DUMMYFUNCTION("IFERROR(
  VLOOKUP(
    A57,
    IMPORTRANGE(
      ""1SCYQd7_cobOYqT0r_F0IqD4tE4rYn5y8Eup4PJTH8es"",
      ""Snapshot!A:M""
    ),
    13,
    FALSE
  ),
  0
)
"),2.0)</f>
        <v>2</v>
      </c>
      <c r="AK57" s="49">
        <f t="shared" ref="AK57:AL57" si="280">LEN(C57)</f>
        <v>32</v>
      </c>
      <c r="AL57" s="49">
        <f t="shared" si="280"/>
        <v>55</v>
      </c>
    </row>
    <row r="58">
      <c r="A58" s="56" t="s">
        <v>871</v>
      </c>
      <c r="B58" s="1" t="s">
        <v>32</v>
      </c>
      <c r="C58" s="1" t="str">
        <f>IFERROR(__xludf.DUMMYFUNCTION("IFERROR(
  VLOOKUP(
    A58,
    IMPORTRANGE(
      ""1ZygntHC1J6IxzKbTidmOyf5nUyW4GCLurHCjexrLm_o"",
      ""HTMLキャッシュ!A:F""
    ),
    5,
    FALSE
  ),
  0
)
"),"中学受験社会の悩み別ガイド｜後回し・暗記・復習の困りごと解決 - 受験社会専門塾「令和」")</f>
        <v>中学受験社会の悩み別ガイド｜後回し・暗記・復習の困りごと解決 - 受験社会専門塾「令和」</v>
      </c>
      <c r="D58" s="1" t="str">
        <f>IFERROR(__xludf.DUMMYFUNCTION("IFERROR(
  VLOOKUP(
    A58,
    IMPORTRANGE(
      ""1ZygntHC1J6IxzKbTidmOyf5nUyW4GCLurHCjexrLm_o        "",
      ""HTMLキャッシュ!A:F""
    ),
    6,
    FALSE
  ),
  0
)
"),"中学受験社会で「後回しになる」「一問一答が効かない」「知ってるのに解けない」「テスト直しが続かない」などの悩みを症状別に整理。原因の見立てから、地理・歴史・公民の関連記事へ最短で案内します。")</f>
        <v>中学受験社会で「後回しになる」「一問一答が効かない」「知ってるのに解けない」「テスト直しが続かない」などの悩みを症状別に整理。原因の見立てから、地理・歴史・公民の関連記事へ最短で案内します。</v>
      </c>
      <c r="E58" s="32">
        <f>IFERROR(__xludf.DUMMYFUNCTION("IFERROR(
  VLOOKUP(
    A58,
    IMPORTRANGE(
      ""1ZygntHC1J6IxzKbTidmOyf5nUyW4GCLurHCjexrLm_o        "",
      ""HTMLキャッシュ!A:F""
    ),
    3,
    FALSE
  ),
  0
)
"),46080.821701388886)</f>
        <v>46080.8217</v>
      </c>
      <c r="F58" s="49">
        <f>IFERROR(__xludf.DUMMYFUNCTION("IFERROR(
  VLOOKUP(
    A58,
    IMPORTRANGE(
      ""1ZHMy3vVUd_0MrSduXTe1etBb1HNpAlGwQr006ljwMiM"",
      ""GSC最新!A:F""
    ),
    2,
    FALSE
  ),
  0
)
"),0.0)</f>
        <v>0</v>
      </c>
      <c r="G58" s="49">
        <f>IFERROR(__xludf.DUMMYFUNCTION("IFERROR(
  VLOOKUP(
    A58,
    IMPORTRANGE(
      ""1ZHMy3vVUd_0MrSduXTe1etBb1HNpAlGwQr006ljwMiM"",
      ""GSC最新!A:F""
    ),
    3,
    FALSE
  ),
  0
)
"),0.0)</f>
        <v>0</v>
      </c>
      <c r="H58" s="49">
        <f>IFERROR(__xludf.DUMMYFUNCTION("IFERROR(
  VLOOKUP(
    A58,
    IMPORTRANGE(
      ""1ZHMy3vVUd_0MrSduXTe1etBb1HNpAlGwQr006ljwMiM"",
      ""GSC最新!A:F""
    ),
    4,
    FALSE
  ),
  0
)
"),0.0)</f>
        <v>0</v>
      </c>
      <c r="I58" s="49">
        <f>IFERROR(__xludf.DUMMYFUNCTION("IFERROR(
  VLOOKUP(
    A58,
    IMPORTRANGE(
      ""1ZHMy3vVUd_0MrSduXTe1etBb1HNpAlGwQr006ljwMiM"",
      ""GSC最新!A:F""
    ),
    5,
    FALSE
  ),
  0
)
"),0.0)</f>
        <v>0</v>
      </c>
      <c r="J58" s="50" t="str">
        <f t="shared" ref="J58:K58" si="281">IFERROR(F58/H58,"-")</f>
        <v>-</v>
      </c>
      <c r="K58" s="50" t="str">
        <f t="shared" si="281"/>
        <v>-</v>
      </c>
      <c r="L58" s="6">
        <f>IFERROR(__xludf.DUMMYFUNCTION("IFERROR(
  VLOOKUP(
    A58,
    IMPORTRANGE(
      ""1ZHMy3vVUd_0MrSduXTe1etBb1HNpAlGwQr006ljwMiM"",
      ""GSC最新!A:R""
    ),
    7,
    FALSE
  ),
  0
)
"),0.0)</f>
        <v>0</v>
      </c>
      <c r="M58" s="6">
        <f>IFERROR(__xludf.DUMMYFUNCTION("IFERROR(
  VLOOKUP(
    A58,
    IMPORTRANGE(
      ""1ZHMy3vVUd_0MrSduXTe1etBb1HNpAlGwQr006ljwMiM"",
      ""GSC最新!A:R""
    ),
    10,
    FALSE
  ),
  0
)
"),0.0)</f>
        <v>0</v>
      </c>
      <c r="N58" s="6">
        <f>IFERROR(__xludf.DUMMYFUNCTION("IFERROR(
  VLOOKUP(
    A58,
    IMPORTRANGE(
      ""1ZHMy3vVUd_0MrSduXTe1etBb1HNpAlGwQr006ljwMiM"",
      ""GSC最新!A:R""
    ),
    13,
    FALSE
  ),
  0
)
"),0.0)</f>
        <v>0</v>
      </c>
      <c r="O58" s="6">
        <f>IFERROR(__xludf.DUMMYFUNCTION("IFERROR(
  VLOOKUP(
    A58,
    IMPORTRANGE(
      ""1ZHMy3vVUd_0MrSduXTe1etBb1HNpAlGwQr006ljwMiM"",
      ""GSC最新!A:R""
    ),
    16,
    FALSE
  ),
  0
)
"),0.0)</f>
        <v>0</v>
      </c>
      <c r="P58" s="51" t="str">
        <f t="shared" ref="P58:Q58" si="282">IFERROR(L58/N58,"-")</f>
        <v>-</v>
      </c>
      <c r="Q58" s="51" t="str">
        <f t="shared" si="282"/>
        <v>-</v>
      </c>
      <c r="R58" s="9">
        <f>IFERROR(__xludf.DUMMYFUNCTION("IFERROR(
  VLOOKUP(
    A58,
    IMPORTRANGE(
      ""1ZHMy3vVUd_0MrSduXTe1etBb1HNpAlGwQr006ljwMiM"",
      ""GSC最新!A:R""
    ),
    8,
    FALSE
  ),
  0
)
"),0.0)</f>
        <v>0</v>
      </c>
      <c r="S58" s="9">
        <f>IFERROR(__xludf.DUMMYFUNCTION("IFERROR(
  VLOOKUP(
    A58,
    IMPORTRANGE(
      ""1ZHMy3vVUd_0MrSduXTe1etBb1HNpAlGwQr006ljwMiM"",
      ""GSC最新!A:R""
    ),
    11,
    FALSE
  ),
  0
)
"),0.0)</f>
        <v>0</v>
      </c>
      <c r="T58" s="9">
        <f>IFERROR(__xludf.DUMMYFUNCTION("IFERROR(
  VLOOKUP(
    A58,
    IMPORTRANGE(
      ""1ZHMy3vVUd_0MrSduXTe1etBb1HNpAlGwQr006ljwMiM"",
      ""GSC最新!A:R""
    ),
    14,
    FALSE
  ),
  0
)
"),0.0)</f>
        <v>0</v>
      </c>
      <c r="U58" s="9">
        <f>IFERROR(__xludf.DUMMYFUNCTION("IFERROR(
  VLOOKUP(
    A58,
    IMPORTRANGE(
      ""1ZHMy3vVUd_0MrSduXTe1etBb1HNpAlGwQr006ljwMiM"",
      ""GSC最新!A:R""
    ),
    17,
    FALSE
  ),
  0
)
"),0.0)</f>
        <v>0</v>
      </c>
      <c r="V58" s="9">
        <f t="shared" ref="V58:W58" si="283">IFERROR(R58-T58,"-")</f>
        <v>0</v>
      </c>
      <c r="W58" s="9">
        <f t="shared" si="283"/>
        <v>0</v>
      </c>
      <c r="X58" s="65" t="str">
        <f>IFERROR(__xludf.DUMMYFUNCTION("IFERROR(
  VLOOKUP(
    A58,
    IMPORTRANGE(
      ""1ZHMy3vVUd_0MrSduXTe1etBb1HNpAlGwQr006ljwMiM"",
      ""GSC最新!A:R""
    ),
    9,
    FALSE
  ),
  0
)
"),"")</f>
        <v/>
      </c>
      <c r="Y58" s="65" t="str">
        <f>IFERROR(__xludf.DUMMYFUNCTION("IFERROR(
  VLOOKUP(
    A58,
    IMPORTRANGE(
      ""1ZHMy3vVUd_0MrSduXTe1etBb1HNpAlGwQr006ljwMiM"",
      ""GSC最新!A:R""
    ),
    12,
    FALSE
  ),
  0
)
"),"")</f>
        <v/>
      </c>
      <c r="Z58" s="65" t="str">
        <f>IFERROR(__xludf.DUMMYFUNCTION("IFERROR(
  VLOOKUP(
    A58,
    IMPORTRANGE(
      ""1ZHMy3vVUd_0MrSduXTe1etBb1HNpAlGwQr006ljwMiM"",
      ""GSC最新!A:R""
    ),
    15,
    FALSE
  ),
  0
)
"),"")</f>
        <v/>
      </c>
      <c r="AA58" s="65" t="str">
        <f>IFERROR(__xludf.DUMMYFUNCTION("IFERROR(
  VLOOKUP(
    A58,
    IMPORTRANGE(
      ""1ZHMy3vVUd_0MrSduXTe1etBb1HNpAlGwQr006ljwMiM"",
      ""GSC最新!A:R""
    ),
    18,
    FALSE
  ),
  0
)
"),"")</f>
        <v/>
      </c>
      <c r="AB58" s="65">
        <f t="shared" ref="AB58:AC58" si="284">X58-Z58</f>
        <v>0</v>
      </c>
      <c r="AC58" s="65">
        <f t="shared" si="284"/>
        <v>0</v>
      </c>
      <c r="AD58" s="53">
        <f>IFERROR(__xludf.DUMMYFUNCTION("IFERROR(
  VLOOKUP(
    A58,
    IMPORTRANGE(
      ""1ZHMy3vVUd_0MrSduXTe1etBb1HNpAlGwQr006ljwMiM"",
      ""GSC最新!A:F""
    ),
    6,
    FALSE
  ),
  0
)
"),46081.0)</f>
        <v>46081</v>
      </c>
      <c r="AE58" s="54">
        <f>IFERROR(__xludf.DUMMYFUNCTION("IFERROR(
  VLOOKUP(
    A58,
    IMPORTRANGE(
      ""1SCYQd7_cobOYqT0r_F0IqD4tE4rYn5y8Eup4PJTH8es"",
      ""Snapshot!A:M""
    ),
    5,
    FALSE
  ),
  ""-""
)
"),4.0)</f>
        <v>4</v>
      </c>
      <c r="AF58" s="54">
        <f>IFERROR(__xludf.DUMMYFUNCTION("IFERROR(
  VLOOKUP(
    A58,
    IMPORTRANGE(
      ""1SCYQd7_cobOYqT0r_F0IqD4tE4rYn5y8Eup4PJTH8es"",
      ""Snapshot!A:M""
    ),
    6,
    FALSE
  ),
  0
)
"),10.0)</f>
        <v>10</v>
      </c>
      <c r="AG58" s="54">
        <f>IFERROR(__xludf.DUMMYFUNCTION("IFERROR(
  VLOOKUP(
    A58,
    IMPORTRANGE(
      ""1SCYQd7_cobOYqT0r_F0IqD4tE4rYn5y8Eup4PJTH8es"",
      ""Snapshot!A:M""
    ),
    7,
    FALSE
  ),
  0
)
"),1641.0)</f>
        <v>1641</v>
      </c>
      <c r="AH58" s="54">
        <f>IFERROR(__xludf.DUMMYFUNCTION("IFERROR(
  VLOOKUP(
    A58,
    IMPORTRANGE(
      ""1SCYQd7_cobOYqT0r_F0IqD4tE4rYn5y8Eup4PJTH8es"",
      ""Snapshot!A:M""
    ),
    8,
    FALSE
  ),
  0
)
"),22.0)</f>
        <v>22</v>
      </c>
      <c r="AI58" s="54">
        <f>IFERROR(__xludf.DUMMYFUNCTION("IFERROR(
  VLOOKUP(
    A58,
    IMPORTRANGE(
      ""1SCYQd7_cobOYqT0r_F0IqD4tE4rYn5y8Eup4PJTH8es"",
      ""Snapshot!A:M""
    ),
    9,
    FALSE
  ),
  0
)
"),3.0)</f>
        <v>3</v>
      </c>
      <c r="AJ58" s="54">
        <f>IFERROR(__xludf.DUMMYFUNCTION("IFERROR(
  VLOOKUP(
    A58,
    IMPORTRANGE(
      ""1SCYQd7_cobOYqT0r_F0IqD4tE4rYn5y8Eup4PJTH8es"",
      ""Snapshot!A:M""
    ),
    13,
    FALSE
  ),
  0
)
"),2.0)</f>
        <v>2</v>
      </c>
      <c r="AK58" s="49">
        <f t="shared" ref="AK58:AL58" si="285">LEN(C58)</f>
        <v>44</v>
      </c>
      <c r="AL58" s="49">
        <f t="shared" si="285"/>
        <v>95</v>
      </c>
    </row>
    <row r="59">
      <c r="A59" s="56" t="s">
        <v>872</v>
      </c>
      <c r="B59" s="1" t="s">
        <v>32</v>
      </c>
      <c r="C59" s="1" t="str">
        <f>IFERROR(__xludf.DUMMYFUNCTION("IFERROR(
  VLOOKUP(
    A59,
    IMPORTRANGE(
      ""1ZygntHC1J6IxzKbTidmOyf5nUyW4GCLurHCjexrLm_o"",
      ""HTMLキャッシュ!A:F""
    ),
    5,
    FALSE
  ),
  0
)
"),"中学受験社会が「後回し」になる家庭の特徴と、今日から立て直す3ステップ - 受験社会専門塾「令和」")</f>
        <v>中学受験社会が「後回し」になる家庭の特徴と、今日から立て直す3ステップ - 受験社会専門塾「令和」</v>
      </c>
      <c r="D59" s="1" t="str">
        <f>IFERROR(__xludf.DUMMYFUNCTION("IFERROR(
  VLOOKUP(
    A59,
    IMPORTRANGE(
      ""1ZygntHC1J6IxzKbTidmOyf5nUyW4GCLurHCjexrLm_o        "",
      ""HTMLキャッシュ!A:F""
    ),
    6,
    FALSE
  ),
  0
)
"),"社会の悩み一覧（ハブ）へ 中学受験・社会｜「後回し」を止めるための仕組み 中学受験社会が後回しになるときの見直")</f>
        <v>社会の悩み一覧（ハブ）へ 中学受験・社会｜「後回し」を止めるための仕組み 中学受験社会が後回しになるときの見直</v>
      </c>
      <c r="E59" s="32">
        <f>IFERROR(__xludf.DUMMYFUNCTION("IFERROR(
  VLOOKUP(
    A59,
    IMPORTRANGE(
      ""1ZygntHC1J6IxzKbTidmOyf5nUyW4GCLurHCjexrLm_o        "",
      ""HTMLキャッシュ!A:F""
    ),
    3,
    FALSE
  ),
  0
)
"),46080.778761574074)</f>
        <v>46080.77876</v>
      </c>
      <c r="F59" s="49">
        <f>IFERROR(__xludf.DUMMYFUNCTION("IFERROR(
  VLOOKUP(
    A59,
    IMPORTRANGE(
      ""1ZHMy3vVUd_0MrSduXTe1etBb1HNpAlGwQr006ljwMiM"",
      ""GSC最新!A:F""
    ),
    2,
    FALSE
  ),
  0
)
"),0.0)</f>
        <v>0</v>
      </c>
      <c r="G59" s="49">
        <f>IFERROR(__xludf.DUMMYFUNCTION("IFERROR(
  VLOOKUP(
    A59,
    IMPORTRANGE(
      ""1ZHMy3vVUd_0MrSduXTe1etBb1HNpAlGwQr006ljwMiM"",
      ""GSC最新!A:F""
    ),
    3,
    FALSE
  ),
  0
)
"),0.0)</f>
        <v>0</v>
      </c>
      <c r="H59" s="49">
        <f>IFERROR(__xludf.DUMMYFUNCTION("IFERROR(
  VLOOKUP(
    A59,
    IMPORTRANGE(
      ""1ZHMy3vVUd_0MrSduXTe1etBb1HNpAlGwQr006ljwMiM"",
      ""GSC最新!A:F""
    ),
    4,
    FALSE
  ),
  0
)
"),0.0)</f>
        <v>0</v>
      </c>
      <c r="I59" s="49">
        <f>IFERROR(__xludf.DUMMYFUNCTION("IFERROR(
  VLOOKUP(
    A59,
    IMPORTRANGE(
      ""1ZHMy3vVUd_0MrSduXTe1etBb1HNpAlGwQr006ljwMiM"",
      ""GSC最新!A:F""
    ),
    5,
    FALSE
  ),
  0
)
"),0.0)</f>
        <v>0</v>
      </c>
      <c r="J59" s="50" t="str">
        <f t="shared" ref="J59:K59" si="286">IFERROR(F59/H59,"-")</f>
        <v>-</v>
      </c>
      <c r="K59" s="50" t="str">
        <f t="shared" si="286"/>
        <v>-</v>
      </c>
      <c r="L59" s="6">
        <f>IFERROR(__xludf.DUMMYFUNCTION("IFERROR(
  VLOOKUP(
    A59,
    IMPORTRANGE(
      ""1ZHMy3vVUd_0MrSduXTe1etBb1HNpAlGwQr006ljwMiM"",
      ""GSC最新!A:R""
    ),
    7,
    FALSE
  ),
  0
)
"),0.0)</f>
        <v>0</v>
      </c>
      <c r="M59" s="6">
        <f>IFERROR(__xludf.DUMMYFUNCTION("IFERROR(
  VLOOKUP(
    A59,
    IMPORTRANGE(
      ""1ZHMy3vVUd_0MrSduXTe1etBb1HNpAlGwQr006ljwMiM"",
      ""GSC最新!A:R""
    ),
    10,
    FALSE
  ),
  0
)
"),0.0)</f>
        <v>0</v>
      </c>
      <c r="N59" s="6">
        <f>IFERROR(__xludf.DUMMYFUNCTION("IFERROR(
  VLOOKUP(
    A59,
    IMPORTRANGE(
      ""1ZHMy3vVUd_0MrSduXTe1etBb1HNpAlGwQr006ljwMiM"",
      ""GSC最新!A:R""
    ),
    13,
    FALSE
  ),
  0
)
"),0.0)</f>
        <v>0</v>
      </c>
      <c r="O59" s="6">
        <f>IFERROR(__xludf.DUMMYFUNCTION("IFERROR(
  VLOOKUP(
    A59,
    IMPORTRANGE(
      ""1ZHMy3vVUd_0MrSduXTe1etBb1HNpAlGwQr006ljwMiM"",
      ""GSC最新!A:R""
    ),
    16,
    FALSE
  ),
  0
)
"),0.0)</f>
        <v>0</v>
      </c>
      <c r="P59" s="51" t="str">
        <f t="shared" ref="P59:Q59" si="287">IFERROR(L59/N59,"-")</f>
        <v>-</v>
      </c>
      <c r="Q59" s="51" t="str">
        <f t="shared" si="287"/>
        <v>-</v>
      </c>
      <c r="R59" s="9">
        <f>IFERROR(__xludf.DUMMYFUNCTION("IFERROR(
  VLOOKUP(
    A59,
    IMPORTRANGE(
      ""1ZHMy3vVUd_0MrSduXTe1etBb1HNpAlGwQr006ljwMiM"",
      ""GSC最新!A:R""
    ),
    8,
    FALSE
  ),
  0
)
"),0.0)</f>
        <v>0</v>
      </c>
      <c r="S59" s="9">
        <f>IFERROR(__xludf.DUMMYFUNCTION("IFERROR(
  VLOOKUP(
    A59,
    IMPORTRANGE(
      ""1ZHMy3vVUd_0MrSduXTe1etBb1HNpAlGwQr006ljwMiM"",
      ""GSC最新!A:R""
    ),
    11,
    FALSE
  ),
  0
)
"),0.0)</f>
        <v>0</v>
      </c>
      <c r="T59" s="9">
        <f>IFERROR(__xludf.DUMMYFUNCTION("IFERROR(
  VLOOKUP(
    A59,
    IMPORTRANGE(
      ""1ZHMy3vVUd_0MrSduXTe1etBb1HNpAlGwQr006ljwMiM"",
      ""GSC最新!A:R""
    ),
    14,
    FALSE
  ),
  0
)
"),0.0)</f>
        <v>0</v>
      </c>
      <c r="U59" s="9">
        <f>IFERROR(__xludf.DUMMYFUNCTION("IFERROR(
  VLOOKUP(
    A59,
    IMPORTRANGE(
      ""1ZHMy3vVUd_0MrSduXTe1etBb1HNpAlGwQr006ljwMiM"",
      ""GSC最新!A:R""
    ),
    17,
    FALSE
  ),
  0
)
"),0.0)</f>
        <v>0</v>
      </c>
      <c r="V59" s="9">
        <f t="shared" ref="V59:W59" si="288">IFERROR(R59-T59,"-")</f>
        <v>0</v>
      </c>
      <c r="W59" s="9">
        <f t="shared" si="288"/>
        <v>0</v>
      </c>
      <c r="X59" s="65" t="str">
        <f>IFERROR(__xludf.DUMMYFUNCTION("IFERROR(
  VLOOKUP(
    A59,
    IMPORTRANGE(
      ""1ZHMy3vVUd_0MrSduXTe1etBb1HNpAlGwQr006ljwMiM"",
      ""GSC最新!A:R""
    ),
    9,
    FALSE
  ),
  0
)
"),"")</f>
        <v/>
      </c>
      <c r="Y59" s="65" t="str">
        <f>IFERROR(__xludf.DUMMYFUNCTION("IFERROR(
  VLOOKUP(
    A59,
    IMPORTRANGE(
      ""1ZHMy3vVUd_0MrSduXTe1etBb1HNpAlGwQr006ljwMiM"",
      ""GSC最新!A:R""
    ),
    12,
    FALSE
  ),
  0
)
"),"")</f>
        <v/>
      </c>
      <c r="Z59" s="65" t="str">
        <f>IFERROR(__xludf.DUMMYFUNCTION("IFERROR(
  VLOOKUP(
    A59,
    IMPORTRANGE(
      ""1ZHMy3vVUd_0MrSduXTe1etBb1HNpAlGwQr006ljwMiM"",
      ""GSC最新!A:R""
    ),
    15,
    FALSE
  ),
  0
)
"),"")</f>
        <v/>
      </c>
      <c r="AA59" s="65" t="str">
        <f>IFERROR(__xludf.DUMMYFUNCTION("IFERROR(
  VLOOKUP(
    A59,
    IMPORTRANGE(
      ""1ZHMy3vVUd_0MrSduXTe1etBb1HNpAlGwQr006ljwMiM"",
      ""GSC最新!A:R""
    ),
    18,
    FALSE
  ),
  0
)
"),"")</f>
        <v/>
      </c>
      <c r="AB59" s="65">
        <f t="shared" ref="AB59:AC59" si="289">X59-Z59</f>
        <v>0</v>
      </c>
      <c r="AC59" s="65">
        <f t="shared" si="289"/>
        <v>0</v>
      </c>
      <c r="AD59" s="53">
        <f>IFERROR(__xludf.DUMMYFUNCTION("IFERROR(
  VLOOKUP(
    A59,
    IMPORTRANGE(
      ""1ZHMy3vVUd_0MrSduXTe1etBb1HNpAlGwQr006ljwMiM"",
      ""GSC最新!A:F""
    ),
    6,
    FALSE
  ),
  0
)
"),46081.0)</f>
        <v>46081</v>
      </c>
      <c r="AE59" s="54">
        <f>IFERROR(__xludf.DUMMYFUNCTION("IFERROR(
  VLOOKUP(
    A59,
    IMPORTRANGE(
      ""1SCYQd7_cobOYqT0r_F0IqD4tE4rYn5y8Eup4PJTH8es"",
      ""Snapshot!A:M""
    ),
    5,
    FALSE
  ),
  ""-""
)
"),6.0)</f>
        <v>6</v>
      </c>
      <c r="AF59" s="54">
        <f>IFERROR(__xludf.DUMMYFUNCTION("IFERROR(
  VLOOKUP(
    A59,
    IMPORTRANGE(
      ""1SCYQd7_cobOYqT0r_F0IqD4tE4rYn5y8Eup4PJTH8es"",
      ""Snapshot!A:M""
    ),
    6,
    FALSE
  ),
  0
)
"),11.0)</f>
        <v>11</v>
      </c>
      <c r="AG59" s="54">
        <f>IFERROR(__xludf.DUMMYFUNCTION("IFERROR(
  VLOOKUP(
    A59,
    IMPORTRANGE(
      ""1SCYQd7_cobOYqT0r_F0IqD4tE4rYn5y8Eup4PJTH8es"",
      ""Snapshot!A:M""
    ),
    7,
    FALSE
  ),
  0
)
"),1818.0)</f>
        <v>1818</v>
      </c>
      <c r="AH59" s="54">
        <f>IFERROR(__xludf.DUMMYFUNCTION("IFERROR(
  VLOOKUP(
    A59,
    IMPORTRANGE(
      ""1SCYQd7_cobOYqT0r_F0IqD4tE4rYn5y8Eup4PJTH8es"",
      ""Snapshot!A:M""
    ),
    8,
    FALSE
  ),
  0
)
"),5.0)</f>
        <v>5</v>
      </c>
      <c r="AI59" s="54">
        <f>IFERROR(__xludf.DUMMYFUNCTION("IFERROR(
  VLOOKUP(
    A59,
    IMPORTRANGE(
      ""1SCYQd7_cobOYqT0r_F0IqD4tE4rYn5y8Eup4PJTH8es"",
      ""Snapshot!A:M""
    ),
    9,
    FALSE
  ),
  0
)
"),4.0)</f>
        <v>4</v>
      </c>
      <c r="AJ59" s="54">
        <f>IFERROR(__xludf.DUMMYFUNCTION("IFERROR(
  VLOOKUP(
    A59,
    IMPORTRANGE(
      ""1SCYQd7_cobOYqT0r_F0IqD4tE4rYn5y8Eup4PJTH8es"",
      ""Snapshot!A:M""
    ),
    13,
    FALSE
  ),
  0
)
"),2.0)</f>
        <v>2</v>
      </c>
      <c r="AK59" s="49">
        <f t="shared" ref="AK59:AL59" si="290">LEN(C59)</f>
        <v>49</v>
      </c>
      <c r="AL59" s="49">
        <f t="shared" si="290"/>
        <v>55</v>
      </c>
    </row>
    <row r="60">
      <c r="A60" s="56" t="s">
        <v>873</v>
      </c>
      <c r="B60" s="1" t="s">
        <v>32</v>
      </c>
      <c r="C60" s="1" t="str">
        <f>IFERROR(__xludf.DUMMYFUNCTION("IFERROR(
  VLOOKUP(
    A60,
    IMPORTRANGE(
      ""1ZygntHC1J6IxzKbTidmOyf5nUyW4GCLurHCjexrLm_o"",
      ""HTMLキャッシュ!A:F""
    ),
    5,
    FALSE
  ),
  0
)
"),"5分で復習できる社会ノート術｜色分けより大事な3つのルール - 受験社会専門塾「令和」")</f>
        <v>5分で復習できる社会ノート術｜色分けより大事な3つのルール - 受験社会専門塾「令和」</v>
      </c>
      <c r="D60" s="1" t="str">
        <f>IFERROR(__xludf.DUMMYFUNCTION("IFERROR(
  VLOOKUP(
    A60,
    IMPORTRANGE(
      ""1ZygntHC1J6IxzKbTidmOyf5nUyW4GCLurHCjexrLm_o        "",
      ""HTMLキャッシュ!A:F""
    ),
    6,
    FALSE
  ),
  0
)
"),"「ノートはきれいに書けているのに、模試の点数が上がらない」 社会という科目は、覚えるべき用語や資料が膨大です。")</f>
        <v>「ノートはきれいに書けているのに、模試の点数が上がらない」 社会という科目は、覚えるべき用語や資料が膨大です。</v>
      </c>
      <c r="E60" s="32">
        <f>IFERROR(__xludf.DUMMYFUNCTION("IFERROR(
  VLOOKUP(
    A60,
    IMPORTRANGE(
      ""1ZygntHC1J6IxzKbTidmOyf5nUyW4GCLurHCjexrLm_o        "",
      ""HTMLキャッシュ!A:F""
    ),
    3,
    FALSE
  ),
  0
)
"),46046.71890046296)</f>
        <v>46046.7189</v>
      </c>
      <c r="F60" s="49">
        <f>IFERROR(__xludf.DUMMYFUNCTION("IFERROR(
  VLOOKUP(
    A60,
    IMPORTRANGE(
      ""1ZHMy3vVUd_0MrSduXTe1etBb1HNpAlGwQr006ljwMiM"",
      ""GSC最新!A:F""
    ),
    2,
    FALSE
  ),
  0
)
"),0.0)</f>
        <v>0</v>
      </c>
      <c r="G60" s="49">
        <f>IFERROR(__xludf.DUMMYFUNCTION("IFERROR(
  VLOOKUP(
    A60,
    IMPORTRANGE(
      ""1ZHMy3vVUd_0MrSduXTe1etBb1HNpAlGwQr006ljwMiM"",
      ""GSC最新!A:F""
    ),
    3,
    FALSE
  ),
  0
)
"),0.0)</f>
        <v>0</v>
      </c>
      <c r="H60" s="49">
        <f>IFERROR(__xludf.DUMMYFUNCTION("IFERROR(
  VLOOKUP(
    A60,
    IMPORTRANGE(
      ""1ZHMy3vVUd_0MrSduXTe1etBb1HNpAlGwQr006ljwMiM"",
      ""GSC最新!A:F""
    ),
    4,
    FALSE
  ),
  0
)
"),0.0)</f>
        <v>0</v>
      </c>
      <c r="I60" s="49">
        <f>IFERROR(__xludf.DUMMYFUNCTION("IFERROR(
  VLOOKUP(
    A60,
    IMPORTRANGE(
      ""1ZHMy3vVUd_0MrSduXTe1etBb1HNpAlGwQr006ljwMiM"",
      ""GSC最新!A:F""
    ),
    5,
    FALSE
  ),
  0
)
"),0.0)</f>
        <v>0</v>
      </c>
      <c r="J60" s="50" t="str">
        <f t="shared" ref="J60:K60" si="291">IFERROR(F60/H60,"-")</f>
        <v>-</v>
      </c>
      <c r="K60" s="50" t="str">
        <f t="shared" si="291"/>
        <v>-</v>
      </c>
      <c r="L60" s="6">
        <f>IFERROR(__xludf.DUMMYFUNCTION("IFERROR(
  VLOOKUP(
    A60,
    IMPORTRANGE(
      ""1ZHMy3vVUd_0MrSduXTe1etBb1HNpAlGwQr006ljwMiM"",
      ""GSC最新!A:R""
    ),
    7,
    FALSE
  ),
  0
)
"),0.0)</f>
        <v>0</v>
      </c>
      <c r="M60" s="6">
        <f>IFERROR(__xludf.DUMMYFUNCTION("IFERROR(
  VLOOKUP(
    A60,
    IMPORTRANGE(
      ""1ZHMy3vVUd_0MrSduXTe1etBb1HNpAlGwQr006ljwMiM"",
      ""GSC最新!A:R""
    ),
    10,
    FALSE
  ),
  0
)
"),0.0)</f>
        <v>0</v>
      </c>
      <c r="N60" s="6">
        <f>IFERROR(__xludf.DUMMYFUNCTION("IFERROR(
  VLOOKUP(
    A60,
    IMPORTRANGE(
      ""1ZHMy3vVUd_0MrSduXTe1etBb1HNpAlGwQr006ljwMiM"",
      ""GSC最新!A:R""
    ),
    13,
    FALSE
  ),
  0
)
"),0.0)</f>
        <v>0</v>
      </c>
      <c r="O60" s="6">
        <f>IFERROR(__xludf.DUMMYFUNCTION("IFERROR(
  VLOOKUP(
    A60,
    IMPORTRANGE(
      ""1ZHMy3vVUd_0MrSduXTe1etBb1HNpAlGwQr006ljwMiM"",
      ""GSC最新!A:R""
    ),
    16,
    FALSE
  ),
  0
)
"),0.0)</f>
        <v>0</v>
      </c>
      <c r="P60" s="51" t="str">
        <f t="shared" ref="P60:Q60" si="292">IFERROR(L60/N60,"-")</f>
        <v>-</v>
      </c>
      <c r="Q60" s="51" t="str">
        <f t="shared" si="292"/>
        <v>-</v>
      </c>
      <c r="R60" s="9">
        <f>IFERROR(__xludf.DUMMYFUNCTION("IFERROR(
  VLOOKUP(
    A60,
    IMPORTRANGE(
      ""1ZHMy3vVUd_0MrSduXTe1etBb1HNpAlGwQr006ljwMiM"",
      ""GSC最新!A:R""
    ),
    8,
    FALSE
  ),
  0
)
"),0.0)</f>
        <v>0</v>
      </c>
      <c r="S60" s="9">
        <f>IFERROR(__xludf.DUMMYFUNCTION("IFERROR(
  VLOOKUP(
    A60,
    IMPORTRANGE(
      ""1ZHMy3vVUd_0MrSduXTe1etBb1HNpAlGwQr006ljwMiM"",
      ""GSC最新!A:R""
    ),
    11,
    FALSE
  ),
  0
)
"),0.0)</f>
        <v>0</v>
      </c>
      <c r="T60" s="9">
        <f>IFERROR(__xludf.DUMMYFUNCTION("IFERROR(
  VLOOKUP(
    A60,
    IMPORTRANGE(
      ""1ZHMy3vVUd_0MrSduXTe1etBb1HNpAlGwQr006ljwMiM"",
      ""GSC最新!A:R""
    ),
    14,
    FALSE
  ),
  0
)
"),0.0)</f>
        <v>0</v>
      </c>
      <c r="U60" s="9">
        <f>IFERROR(__xludf.DUMMYFUNCTION("IFERROR(
  VLOOKUP(
    A60,
    IMPORTRANGE(
      ""1ZHMy3vVUd_0MrSduXTe1etBb1HNpAlGwQr006ljwMiM"",
      ""GSC最新!A:R""
    ),
    17,
    FALSE
  ),
  0
)
"),0.0)</f>
        <v>0</v>
      </c>
      <c r="V60" s="9">
        <f t="shared" ref="V60:W60" si="293">IFERROR(R60-T60,"-")</f>
        <v>0</v>
      </c>
      <c r="W60" s="9">
        <f t="shared" si="293"/>
        <v>0</v>
      </c>
      <c r="X60" s="65" t="str">
        <f>IFERROR(__xludf.DUMMYFUNCTION("IFERROR(
  VLOOKUP(
    A60,
    IMPORTRANGE(
      ""1ZHMy3vVUd_0MrSduXTe1etBb1HNpAlGwQr006ljwMiM"",
      ""GSC最新!A:R""
    ),
    9,
    FALSE
  ),
  0
)
"),"")</f>
        <v/>
      </c>
      <c r="Y60" s="65" t="str">
        <f>IFERROR(__xludf.DUMMYFUNCTION("IFERROR(
  VLOOKUP(
    A60,
    IMPORTRANGE(
      ""1ZHMy3vVUd_0MrSduXTe1etBb1HNpAlGwQr006ljwMiM"",
      ""GSC最新!A:R""
    ),
    12,
    FALSE
  ),
  0
)
"),"")</f>
        <v/>
      </c>
      <c r="Z60" s="65" t="str">
        <f>IFERROR(__xludf.DUMMYFUNCTION("IFERROR(
  VLOOKUP(
    A60,
    IMPORTRANGE(
      ""1ZHMy3vVUd_0MrSduXTe1etBb1HNpAlGwQr006ljwMiM"",
      ""GSC最新!A:R""
    ),
    15,
    FALSE
  ),
  0
)
"),"")</f>
        <v/>
      </c>
      <c r="AA60" s="65" t="str">
        <f>IFERROR(__xludf.DUMMYFUNCTION("IFERROR(
  VLOOKUP(
    A60,
    IMPORTRANGE(
      ""1ZHMy3vVUd_0MrSduXTe1etBb1HNpAlGwQr006ljwMiM"",
      ""GSC最新!A:R""
    ),
    18,
    FALSE
  ),
  0
)
"),"")</f>
        <v/>
      </c>
      <c r="AB60" s="65">
        <f t="shared" ref="AB60:AC60" si="294">X60-Z60</f>
        <v>0</v>
      </c>
      <c r="AC60" s="65">
        <f t="shared" si="294"/>
        <v>0</v>
      </c>
      <c r="AD60" s="53">
        <f>IFERROR(__xludf.DUMMYFUNCTION("IFERROR(
  VLOOKUP(
    A60,
    IMPORTRANGE(
      ""1ZHMy3vVUd_0MrSduXTe1etBb1HNpAlGwQr006ljwMiM"",
      ""GSC最新!A:F""
    ),
    6,
    FALSE
  ),
  0
)
"),46081.0)</f>
        <v>46081</v>
      </c>
      <c r="AE60" s="54">
        <f>IFERROR(__xludf.DUMMYFUNCTION("IFERROR(
  VLOOKUP(
    A60,
    IMPORTRANGE(
      ""1SCYQd7_cobOYqT0r_F0IqD4tE4rYn5y8Eup4PJTH8es"",
      ""Snapshot!A:M""
    ),
    5,
    FALSE
  ),
  ""-""
)
"),7.0)</f>
        <v>7</v>
      </c>
      <c r="AF60" s="54">
        <f>IFERROR(__xludf.DUMMYFUNCTION("IFERROR(
  VLOOKUP(
    A60,
    IMPORTRANGE(
      ""1SCYQd7_cobOYqT0r_F0IqD4tE4rYn5y8Eup4PJTH8es"",
      ""Snapshot!A:M""
    ),
    6,
    FALSE
  ),
  0
)
"),11.0)</f>
        <v>11</v>
      </c>
      <c r="AG60" s="54">
        <f>IFERROR(__xludf.DUMMYFUNCTION("IFERROR(
  VLOOKUP(
    A60,
    IMPORTRANGE(
      ""1SCYQd7_cobOYqT0r_F0IqD4tE4rYn5y8Eup4PJTH8es"",
      ""Snapshot!A:M""
    ),
    7,
    FALSE
  ),
  0
)
"),2779.0)</f>
        <v>2779</v>
      </c>
      <c r="AH60" s="54">
        <f>IFERROR(__xludf.DUMMYFUNCTION("IFERROR(
  VLOOKUP(
    A60,
    IMPORTRANGE(
      ""1SCYQd7_cobOYqT0r_F0IqD4tE4rYn5y8Eup4PJTH8es"",
      ""Snapshot!A:M""
    ),
    8,
    FALSE
  ),
  0
)
"),0.0)</f>
        <v>0</v>
      </c>
      <c r="AI60" s="54">
        <f>IFERROR(__xludf.DUMMYFUNCTION("IFERROR(
  VLOOKUP(
    A60,
    IMPORTRANGE(
      ""1SCYQd7_cobOYqT0r_F0IqD4tE4rYn5y8Eup4PJTH8es"",
      ""Snapshot!A:M""
    ),
    9,
    FALSE
  ),
  0
)
"),2.0)</f>
        <v>2</v>
      </c>
      <c r="AJ60" s="54">
        <f>IFERROR(__xludf.DUMMYFUNCTION("IFERROR(
  VLOOKUP(
    A60,
    IMPORTRANGE(
      ""1SCYQd7_cobOYqT0r_F0IqD4tE4rYn5y8Eup4PJTH8es"",
      ""Snapshot!A:M""
    ),
    13,
    FALSE
  ),
  0
)
"),2.0)</f>
        <v>2</v>
      </c>
      <c r="AK60" s="49">
        <f t="shared" ref="AK60:AL60" si="295">LEN(C60)</f>
        <v>43</v>
      </c>
      <c r="AL60" s="49">
        <f t="shared" si="295"/>
        <v>55</v>
      </c>
    </row>
    <row r="61">
      <c r="A61" s="56" t="s">
        <v>874</v>
      </c>
      <c r="B61" s="1" t="s">
        <v>32</v>
      </c>
      <c r="C61" s="1" t="str">
        <f>IFERROR(__xludf.DUMMYFUNCTION("IFERROR(
  VLOOKUP(
    A61,
    IMPORTRANGE(
      ""1ZygntHC1J6IxzKbTidmOyf5nUyW4GCLurHCjexrLm_o"",
      ""HTMLキャッシュ!A:F""
    ),
    5,
    FALSE
  ),
  0
)
"),"5分で復習できる社会ノート術｜色分けより大事な3つのルール - 受験社会専門塾「令和」")</f>
        <v>5分で復習できる社会ノート術｜色分けより大事な3つのルール - 受験社会専門塾「令和」</v>
      </c>
      <c r="D61" s="1" t="str">
        <f>IFERROR(__xludf.DUMMYFUNCTION("IFERROR(
  VLOOKUP(
    A61,
    IMPORTRANGE(
      ""1ZygntHC1J6IxzKbTidmOyf5nUyW4GCLurHCjexrLm_o        "",
      ""HTMLキャッシュ!A:F""
    ),
    6,
    FALSE
  ),
  0
)
"),"「ノートはきれいに書けているのに、模試の点数が上がらない」 社会という科目は、覚えるべき用語や資料が膨大です。")</f>
        <v>「ノートはきれいに書けているのに、模試の点数が上がらない」 社会という科目は、覚えるべき用語や資料が膨大です。</v>
      </c>
      <c r="E61" s="32">
        <f>IFERROR(__xludf.DUMMYFUNCTION("IFERROR(
  VLOOKUP(
    A61,
    IMPORTRANGE(
      ""1ZygntHC1J6IxzKbTidmOyf5nUyW4GCLurHCjexrLm_o        "",
      ""HTMLキャッシュ!A:F""
    ),
    3,
    FALSE
  ),
  0
)
"),46084.5646412037)</f>
        <v>46084.56464</v>
      </c>
      <c r="F61" s="49">
        <f>IFERROR(__xludf.DUMMYFUNCTION("IFERROR(
  VLOOKUP(
    A61,
    IMPORTRANGE(
      ""1ZHMy3vVUd_0MrSduXTe1etBb1HNpAlGwQr006ljwMiM"",
      ""GSC最新!A:F""
    ),
    2,
    FALSE
  ),
  0
)
"),0.0)</f>
        <v>0</v>
      </c>
      <c r="G61" s="49">
        <f>IFERROR(__xludf.DUMMYFUNCTION("IFERROR(
  VLOOKUP(
    A61,
    IMPORTRANGE(
      ""1ZHMy3vVUd_0MrSduXTe1etBb1HNpAlGwQr006ljwMiM"",
      ""GSC最新!A:F""
    ),
    3,
    FALSE
  ),
  0
)
"),0.0)</f>
        <v>0</v>
      </c>
      <c r="H61" s="49">
        <f>IFERROR(__xludf.DUMMYFUNCTION("IFERROR(
  VLOOKUP(
    A61,
    IMPORTRANGE(
      ""1ZHMy3vVUd_0MrSduXTe1etBb1HNpAlGwQr006ljwMiM"",
      ""GSC最新!A:F""
    ),
    4,
    FALSE
  ),
  0
)
"),0.0)</f>
        <v>0</v>
      </c>
      <c r="I61" s="49">
        <f>IFERROR(__xludf.DUMMYFUNCTION("IFERROR(
  VLOOKUP(
    A61,
    IMPORTRANGE(
      ""1ZHMy3vVUd_0MrSduXTe1etBb1HNpAlGwQr006ljwMiM"",
      ""GSC最新!A:F""
    ),
    5,
    FALSE
  ),
  0
)
"),0.0)</f>
        <v>0</v>
      </c>
      <c r="J61" s="50" t="str">
        <f t="shared" ref="J61:K61" si="296">IFERROR(F61/H61,"-")</f>
        <v>-</v>
      </c>
      <c r="K61" s="50" t="str">
        <f t="shared" si="296"/>
        <v>-</v>
      </c>
      <c r="L61" s="6">
        <f>IFERROR(__xludf.DUMMYFUNCTION("IFERROR(
  VLOOKUP(
    A61,
    IMPORTRANGE(
      ""1ZHMy3vVUd_0MrSduXTe1etBb1HNpAlGwQr006ljwMiM"",
      ""GSC最新!A:R""
    ),
    7,
    FALSE
  ),
  0
)
"),0.0)</f>
        <v>0</v>
      </c>
      <c r="M61" s="6">
        <f>IFERROR(__xludf.DUMMYFUNCTION("IFERROR(
  VLOOKUP(
    A61,
    IMPORTRANGE(
      ""1ZHMy3vVUd_0MrSduXTe1etBb1HNpAlGwQr006ljwMiM"",
      ""GSC最新!A:R""
    ),
    10,
    FALSE
  ),
  0
)
"),0.0)</f>
        <v>0</v>
      </c>
      <c r="N61" s="6">
        <f>IFERROR(__xludf.DUMMYFUNCTION("IFERROR(
  VLOOKUP(
    A61,
    IMPORTRANGE(
      ""1ZHMy3vVUd_0MrSduXTe1etBb1HNpAlGwQr006ljwMiM"",
      ""GSC最新!A:R""
    ),
    13,
    FALSE
  ),
  0
)
"),0.0)</f>
        <v>0</v>
      </c>
      <c r="O61" s="6">
        <f>IFERROR(__xludf.DUMMYFUNCTION("IFERROR(
  VLOOKUP(
    A61,
    IMPORTRANGE(
      ""1ZHMy3vVUd_0MrSduXTe1etBb1HNpAlGwQr006ljwMiM"",
      ""GSC最新!A:R""
    ),
    16,
    FALSE
  ),
  0
)
"),0.0)</f>
        <v>0</v>
      </c>
      <c r="P61" s="51" t="str">
        <f t="shared" ref="P61:Q61" si="297">IFERROR(L61/N61,"-")</f>
        <v>-</v>
      </c>
      <c r="Q61" s="51" t="str">
        <f t="shared" si="297"/>
        <v>-</v>
      </c>
      <c r="R61" s="9">
        <f>IFERROR(__xludf.DUMMYFUNCTION("IFERROR(
  VLOOKUP(
    A61,
    IMPORTRANGE(
      ""1ZHMy3vVUd_0MrSduXTe1etBb1HNpAlGwQr006ljwMiM"",
      ""GSC最新!A:R""
    ),
    8,
    FALSE
  ),
  0
)
"),0.0)</f>
        <v>0</v>
      </c>
      <c r="S61" s="9">
        <f>IFERROR(__xludf.DUMMYFUNCTION("IFERROR(
  VLOOKUP(
    A61,
    IMPORTRANGE(
      ""1ZHMy3vVUd_0MrSduXTe1etBb1HNpAlGwQr006ljwMiM"",
      ""GSC最新!A:R""
    ),
    11,
    FALSE
  ),
  0
)
"),0.0)</f>
        <v>0</v>
      </c>
      <c r="T61" s="9">
        <f>IFERROR(__xludf.DUMMYFUNCTION("IFERROR(
  VLOOKUP(
    A61,
    IMPORTRANGE(
      ""1ZHMy3vVUd_0MrSduXTe1etBb1HNpAlGwQr006ljwMiM"",
      ""GSC最新!A:R""
    ),
    14,
    FALSE
  ),
  0
)
"),0.0)</f>
        <v>0</v>
      </c>
      <c r="U61" s="9">
        <f>IFERROR(__xludf.DUMMYFUNCTION("IFERROR(
  VLOOKUP(
    A61,
    IMPORTRANGE(
      ""1ZHMy3vVUd_0MrSduXTe1etBb1HNpAlGwQr006ljwMiM"",
      ""GSC最新!A:R""
    ),
    17,
    FALSE
  ),
  0
)
"),0.0)</f>
        <v>0</v>
      </c>
      <c r="V61" s="9">
        <f t="shared" ref="V61:W61" si="298">IFERROR(R61-T61,"-")</f>
        <v>0</v>
      </c>
      <c r="W61" s="9">
        <f t="shared" si="298"/>
        <v>0</v>
      </c>
      <c r="X61" s="65" t="str">
        <f>IFERROR(__xludf.DUMMYFUNCTION("IFERROR(
  VLOOKUP(
    A61,
    IMPORTRANGE(
      ""1ZHMy3vVUd_0MrSduXTe1etBb1HNpAlGwQr006ljwMiM"",
      ""GSC最新!A:R""
    ),
    9,
    FALSE
  ),
  0
)
"),"")</f>
        <v/>
      </c>
      <c r="Y61" s="65" t="str">
        <f>IFERROR(__xludf.DUMMYFUNCTION("IFERROR(
  VLOOKUP(
    A61,
    IMPORTRANGE(
      ""1ZHMy3vVUd_0MrSduXTe1etBb1HNpAlGwQr006ljwMiM"",
      ""GSC最新!A:R""
    ),
    12,
    FALSE
  ),
  0
)
"),"")</f>
        <v/>
      </c>
      <c r="Z61" s="65" t="str">
        <f>IFERROR(__xludf.DUMMYFUNCTION("IFERROR(
  VLOOKUP(
    A61,
    IMPORTRANGE(
      ""1ZHMy3vVUd_0MrSduXTe1etBb1HNpAlGwQr006ljwMiM"",
      ""GSC最新!A:R""
    ),
    15,
    FALSE
  ),
  0
)
"),"")</f>
        <v/>
      </c>
      <c r="AA61" s="65" t="str">
        <f>IFERROR(__xludf.DUMMYFUNCTION("IFERROR(
  VLOOKUP(
    A61,
    IMPORTRANGE(
      ""1ZHMy3vVUd_0MrSduXTe1etBb1HNpAlGwQr006ljwMiM"",
      ""GSC最新!A:R""
    ),
    18,
    FALSE
  ),
  0
)
"),"")</f>
        <v/>
      </c>
      <c r="AB61" s="65">
        <f t="shared" ref="AB61:AC61" si="299">X61-Z61</f>
        <v>0</v>
      </c>
      <c r="AC61" s="65">
        <f t="shared" si="299"/>
        <v>0</v>
      </c>
      <c r="AD61" s="53">
        <f>IFERROR(__xludf.DUMMYFUNCTION("IFERROR(
  VLOOKUP(
    A61,
    IMPORTRANGE(
      ""1ZHMy3vVUd_0MrSduXTe1etBb1HNpAlGwQr006ljwMiM"",
      ""GSC最新!A:F""
    ),
    6,
    FALSE
  ),
  0
)
"),46081.0)</f>
        <v>46081</v>
      </c>
      <c r="AE61" s="54">
        <f>IFERROR(__xludf.DUMMYFUNCTION("IFERROR(
  VLOOKUP(
    A61,
    IMPORTRANGE(
      ""1SCYQd7_cobOYqT0r_F0IqD4tE4rYn5y8Eup4PJTH8es"",
      ""Snapshot!A:M""
    ),
    5,
    FALSE
  ),
  ""-""
)
"),7.0)</f>
        <v>7</v>
      </c>
      <c r="AF61" s="54">
        <f>IFERROR(__xludf.DUMMYFUNCTION("IFERROR(
  VLOOKUP(
    A61,
    IMPORTRANGE(
      ""1SCYQd7_cobOYqT0r_F0IqD4tE4rYn5y8Eup4PJTH8es"",
      ""Snapshot!A:M""
    ),
    6,
    FALSE
  ),
  0
)
"),11.0)</f>
        <v>11</v>
      </c>
      <c r="AG61" s="54">
        <f>IFERROR(__xludf.DUMMYFUNCTION("IFERROR(
  VLOOKUP(
    A61,
    IMPORTRANGE(
      ""1SCYQd7_cobOYqT0r_F0IqD4tE4rYn5y8Eup4PJTH8es"",
      ""Snapshot!A:M""
    ),
    7,
    FALSE
  ),
  0
)
"),2779.0)</f>
        <v>2779</v>
      </c>
      <c r="AH61" s="54">
        <f>IFERROR(__xludf.DUMMYFUNCTION("IFERROR(
  VLOOKUP(
    A61,
    IMPORTRANGE(
      ""1SCYQd7_cobOYqT0r_F0IqD4tE4rYn5y8Eup4PJTH8es"",
      ""Snapshot!A:M""
    ),
    8,
    FALSE
  ),
  0
)
"),0.0)</f>
        <v>0</v>
      </c>
      <c r="AI61" s="54">
        <f>IFERROR(__xludf.DUMMYFUNCTION("IFERROR(
  VLOOKUP(
    A61,
    IMPORTRANGE(
      ""1SCYQd7_cobOYqT0r_F0IqD4tE4rYn5y8Eup4PJTH8es"",
      ""Snapshot!A:M""
    ),
    9,
    FALSE
  ),
  0
)
"),2.0)</f>
        <v>2</v>
      </c>
      <c r="AJ61" s="54">
        <f>IFERROR(__xludf.DUMMYFUNCTION("IFERROR(
  VLOOKUP(
    A61,
    IMPORTRANGE(
      ""1SCYQd7_cobOYqT0r_F0IqD4tE4rYn5y8Eup4PJTH8es"",
      ""Snapshot!A:M""
    ),
    13,
    FALSE
  ),
  0
)
"),2.0)</f>
        <v>2</v>
      </c>
      <c r="AK61" s="49">
        <f t="shared" ref="AK61:AL61" si="300">LEN(C61)</f>
        <v>43</v>
      </c>
      <c r="AL61" s="49">
        <f t="shared" si="300"/>
        <v>55</v>
      </c>
    </row>
    <row r="62">
      <c r="A62" s="56" t="s">
        <v>875</v>
      </c>
      <c r="B62" s="1" t="s">
        <v>32</v>
      </c>
      <c r="C62" s="1" t="str">
        <f>IFERROR(__xludf.DUMMYFUNCTION("IFERROR(
  VLOOKUP(
    A62,
    IMPORTRANGE(
      ""1ZygntHC1J6IxzKbTidmOyf5nUyW4GCLurHCjexrLm_o"",
      ""HTMLキャッシュ!A:F""
    ),
    5,
    FALSE
  ),
  0
)
"),"公民は「しくみ」を描ければ勝ち｜三権分立を10分で整理する方法 - 受験社会専門塾「令和」")</f>
        <v>公民は「しくみ」を描ければ勝ち｜三権分立を10分で整理する方法 - 受験社会専門塾「令和」</v>
      </c>
      <c r="D62" s="1" t="str">
        <f>IFERROR(__xludf.DUMMYFUNCTION("IFERROR(
  VLOOKUP(
    A62,
    IMPORTRANGE(
      ""1ZygntHC1J6IxzKbTidmOyf5nUyW4GCLurHCjexrLm_o        "",
      ""HTMLキャッシュ!A:F""
    ),
    6,
    FALSE
  ),
  0
)
"),"社会の悩み一覧（ハブ）へ 公民：政治の“しくみ”で取りこぼしを止める 中学受験 小4〜小6 公民は「しくみ」を")</f>
        <v>社会の悩み一覧（ハブ）へ 公民：政治の“しくみ”で取りこぼしを止める 中学受験 小4〜小6 公民は「しくみ」を</v>
      </c>
      <c r="E62" s="32">
        <f>IFERROR(__xludf.DUMMYFUNCTION("IFERROR(
  VLOOKUP(
    A62,
    IMPORTRANGE(
      ""1ZygntHC1J6IxzKbTidmOyf5nUyW4GCLurHCjexrLm_o        "",
      ""HTMLキャッシュ!A:F""
    ),
    3,
    FALSE
  ),
  0
)
"),46080.6890625)</f>
        <v>46080.68906</v>
      </c>
      <c r="F62" s="49">
        <f>IFERROR(__xludf.DUMMYFUNCTION("IFERROR(
  VLOOKUP(
    A62,
    IMPORTRANGE(
      ""1ZHMy3vVUd_0MrSduXTe1etBb1HNpAlGwQr006ljwMiM"",
      ""GSC最新!A:F""
    ),
    2,
    FALSE
  ),
  0
)
"),0.0)</f>
        <v>0</v>
      </c>
      <c r="G62" s="49">
        <f>IFERROR(__xludf.DUMMYFUNCTION("IFERROR(
  VLOOKUP(
    A62,
    IMPORTRANGE(
      ""1ZHMy3vVUd_0MrSduXTe1etBb1HNpAlGwQr006ljwMiM"",
      ""GSC最新!A:F""
    ),
    3,
    FALSE
  ),
  0
)
"),0.0)</f>
        <v>0</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"),0.0)</f>
        <v>0</v>
      </c>
      <c r="J62" s="50" t="str">
        <f t="shared" ref="J62:K62" si="301">IFERROR(F62/H62,"-")</f>
        <v>-</v>
      </c>
      <c r="K62" s="50" t="str">
        <f t="shared" si="301"/>
        <v>-</v>
      </c>
      <c r="L62" s="6">
        <f>IFERROR(__xludf.DUMMYFUNCTION("IFERROR(
  VLOOKUP(
    A62,
    IMPORTRANGE(
      ""1ZHMy3vVUd_0MrSduXTe1etBb1HNpAlGwQr006ljwMiM"",
      ""GSC最新!A:R""
    ),
    7,
    FALSE
  ),
  0
)
"),0.0)</f>
        <v>0</v>
      </c>
      <c r="M62" s="6">
        <f>IFERROR(__xludf.DUMMYFUNCTION("IFERROR(
  VLOOKUP(
    A62,
    IMPORTRANGE(
      ""1ZHMy3vVUd_0MrSduXTe1etBb1HNpAlGwQr006ljwMiM"",
      ""GSC最新!A:R""
    ),
    10,
    FALSE
  ),
  0
)
"),0.0)</f>
        <v>0</v>
      </c>
      <c r="N62" s="6">
        <f>IFERROR(__xludf.DUMMYFUNCTION("IFERROR(
  VLOOKUP(
    A62,
    IMPORTRANGE(
      ""1ZHMy3vVUd_0MrSduXTe1etBb1HNpAlGwQr006ljwMiM"",
      ""GSC最新!A:R""
    ),
    13,
    FALSE
  ),
  0
)
"),0.0)</f>
        <v>0</v>
      </c>
      <c r="O62" s="6">
        <f>IFERROR(__xludf.DUMMYFUNCTION("IFERROR(
  VLOOKUP(
    A62,
    IMPORTRANGE(
      ""1ZHMy3vVUd_0MrSduXTe1etBb1HNpAlGwQr006ljwMiM"",
      ""GSC最新!A:R""
    ),
    16,
    FALSE
  ),
  0
)
"),0.0)</f>
        <v>0</v>
      </c>
      <c r="P62" s="51" t="str">
        <f t="shared" ref="P62:Q62" si="302">IFERROR(L62/N62,"-")</f>
        <v>-</v>
      </c>
      <c r="Q62" s="51" t="str">
        <f t="shared" si="302"/>
        <v>-</v>
      </c>
      <c r="R62" s="9">
        <f>IFERROR(__xludf.DUMMYFUNCTION("IFERROR(
  VLOOKUP(
    A62,
    IMPORTRANGE(
      ""1ZHMy3vVUd_0MrSduXTe1etBb1HNpAlGwQr006ljwMiM"",
      ""GSC最新!A:R""
    ),
    8,
    FALSE
  ),
  0
)
"),0.0)</f>
        <v>0</v>
      </c>
      <c r="S62" s="9">
        <f>IFERROR(__xludf.DUMMYFUNCTION("IFERROR(
  VLOOKUP(
    A62,
    IMPORTRANGE(
      ""1ZHMy3vVUd_0MrSduXTe1etBb1HNpAlGwQr006ljwMiM"",
      ""GSC最新!A:R""
    ),
    11,
    FALSE
  ),
  0
)
"),0.0)</f>
        <v>0</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f>
        <v>0</v>
      </c>
      <c r="V62" s="9">
        <f t="shared" ref="V62:W62" si="303">IFERROR(R62-T62,"-")</f>
        <v>0</v>
      </c>
      <c r="W62" s="9">
        <f t="shared" si="303"/>
        <v>0</v>
      </c>
      <c r="X62" s="65" t="str">
        <f>IFERROR(__xludf.DUMMYFUNCTION("IFERROR(
  VLOOKUP(
    A62,
    IMPORTRANGE(
      ""1ZHMy3vVUd_0MrSduXTe1etBb1HNpAlGwQr006ljwMiM"",
      ""GSC最新!A:R""
    ),
    9,
    FALSE
  ),
  0
)
"),"")</f>
        <v/>
      </c>
      <c r="Y62" s="65" t="str">
        <f>IFERROR(__xludf.DUMMYFUNCTION("IFERROR(
  VLOOKUP(
    A62,
    IMPORTRANGE(
      ""1ZHMy3vVUd_0MrSduXTe1etBb1HNpAlGwQr006ljwMiM"",
      ""GSC最新!A:R""
    ),
    12,
    FALSE
  ),
  0
)
"),"")</f>
        <v/>
      </c>
      <c r="Z62" s="65" t="str">
        <f>IFERROR(__xludf.DUMMYFUNCTION("IFERROR(
  VLOOKUP(
    A62,
    IMPORTRANGE(
      ""1ZHMy3vVUd_0MrSduXTe1etBb1HNpAlGwQr006ljwMiM"",
      ""GSC最新!A:R""
    ),
    15,
    FALSE
  ),
  0
)
"),"")</f>
        <v/>
      </c>
      <c r="AA62" s="65" t="str">
        <f>IFERROR(__xludf.DUMMYFUNCTION("IFERROR(
  VLOOKUP(
    A62,
    IMPORTRANGE(
      ""1ZHMy3vVUd_0MrSduXTe1etBb1HNpAlGwQr006ljwMiM"",
      ""GSC最新!A:R""
    ),
    18,
    FALSE
  ),
  0
)
"),"")</f>
        <v/>
      </c>
      <c r="AB62" s="65">
        <f t="shared" ref="AB62:AC62" si="304">X62-Z62</f>
        <v>0</v>
      </c>
      <c r="AC62" s="65">
        <f t="shared" si="304"/>
        <v>0</v>
      </c>
      <c r="AD62" s="53">
        <f>IFERROR(__xludf.DUMMYFUNCTION("IFERROR(
  VLOOKUP(
    A62,
    IMPORTRANGE(
      ""1ZHMy3vVUd_0MrSduXTe1etBb1HNpAlGwQr006ljwMiM"",
      ""GSC最新!A:F""
    ),
    6,
    FALSE
  ),
  0
)
"),46081.0)</f>
        <v>46081</v>
      </c>
      <c r="AE62" s="54">
        <f>IFERROR(__xludf.DUMMYFUNCTION("IFERROR(
  VLOOKUP(
    A62,
    IMPORTRANGE(
      ""1SCYQd7_cobOYqT0r_F0IqD4tE4rYn5y8Eup4PJTH8es"",
      ""Snapshot!A:M""
    ),
    5,
    FALSE
  ),
  ""-""
)
"),6.0)</f>
        <v>6</v>
      </c>
      <c r="AF62" s="54">
        <f>IFERROR(__xludf.DUMMYFUNCTION("IFERROR(
  VLOOKUP(
    A62,
    IMPORTRANGE(
      ""1SCYQd7_cobOYqT0r_F0IqD4tE4rYn5y8Eup4PJTH8es"",
      ""Snapshot!A:M""
    ),
    6,
    FALSE
  ),
  0
)
"),5.0)</f>
        <v>5</v>
      </c>
      <c r="AG62" s="54">
        <f>IFERROR(__xludf.DUMMYFUNCTION("IFERROR(
  VLOOKUP(
    A62,
    IMPORTRANGE(
      ""1SCYQd7_cobOYqT0r_F0IqD4tE4rYn5y8Eup4PJTH8es"",
      ""Snapshot!A:M""
    ),
    7,
    FALSE
  ),
  0
)
"),1934.0)</f>
        <v>1934</v>
      </c>
      <c r="AH62" s="54">
        <f>IFERROR(__xludf.DUMMYFUNCTION("IFERROR(
  VLOOKUP(
    A62,
    IMPORTRANGE(
      ""1SCYQd7_cobOYqT0r_F0IqD4tE4rYn5y8Eup4PJTH8es"",
      ""Snapshot!A:M""
    ),
    8,
    FALSE
  ),
  0
)
"),2.0)</f>
        <v>2</v>
      </c>
      <c r="AI62" s="54">
        <f>IFERROR(__xludf.DUMMYFUNCTION("IFERROR(
  VLOOKUP(
    A62,
    IMPORTRANGE(
      ""1SCYQd7_cobOYqT0r_F0IqD4tE4rYn5y8Eup4PJTH8es"",
      ""Snapshot!A:M""
    ),
    9,
    FALSE
  ),
  0
)
"),2.0)</f>
        <v>2</v>
      </c>
      <c r="AJ62" s="54">
        <f>IFERROR(__xludf.DUMMYFUNCTION("IFERROR(
  VLOOKUP(
    A62,
    IMPORTRANGE(
      ""1SCYQd7_cobOYqT0r_F0IqD4tE4rYn5y8Eup4PJTH8es"",
      ""Snapshot!A:M""
    ),
    13,
    FALSE
  ),
  0
)
"),2.0)</f>
        <v>2</v>
      </c>
      <c r="AK62" s="49">
        <f t="shared" ref="AK62:AL62" si="305">LEN(C62)</f>
        <v>45</v>
      </c>
      <c r="AL62" s="49">
        <f t="shared" si="305"/>
        <v>55</v>
      </c>
    </row>
    <row r="63">
      <c r="A63" s="56" t="s">
        <v>876</v>
      </c>
      <c r="B63" s="1" t="s">
        <v>32</v>
      </c>
      <c r="C63" s="1" t="str">
        <f>IFERROR(__xludf.DUMMYFUNCTION("IFERROR(
  VLOOKUP(
    A63,
    IMPORTRANGE(
      ""1ZygntHC1J6IxzKbTidmOyf5nUyW4GCLurHCjexrLm_o"",
      ""HTMLキャッシュ!A:F""
    ),
    5,
    FALSE
  ),
  0
)
"),"社会が嫌いな子が「少し好きになる」入り口の作り方（地理・歴史・公民） - 受験社会専門塾「令和」")</f>
        <v>社会が嫌いな子が「少し好きになる」入り口の作り方（地理・歴史・公民） - 受験社会専門塾「令和」</v>
      </c>
      <c r="D63" s="1" t="str">
        <f>IFERROR(__xludf.DUMMYFUNCTION("IFERROR(
  VLOOKUP(
    A63,
    IMPORTRANGE(
      ""1ZygntHC1J6IxzKbTidmOyf5nUyW4GCLurHCjexrLm_o        "",
      ""HTMLキャッシュ!A:F""
    ),
    6,
    FALSE
  ),
  0
)
"),"社会の悩み一覧（ハブ）へ 机の前に座り、テキストを開いたままフリーズしている。やっと覚えた用語も、テストが終わ")</f>
        <v>社会の悩み一覧（ハブ）へ 机の前に座り、テキストを開いたままフリーズしている。やっと覚えた用語も、テストが終わ</v>
      </c>
      <c r="E63" s="32">
        <f>IFERROR(__xludf.DUMMYFUNCTION("IFERROR(
  VLOOKUP(
    A63,
    IMPORTRANGE(
      ""1ZygntHC1J6IxzKbTidmOyf5nUyW4GCLurHCjexrLm_o        "",
      ""HTMLキャッシュ!A:F""
    ),
    3,
    FALSE
  ),
  0
)
"),46080.62332175926)</f>
        <v>46080.62332</v>
      </c>
      <c r="F63" s="49">
        <f>IFERROR(__xludf.DUMMYFUNCTION("IFERROR(
  VLOOKUP(
    A63,
    IMPORTRANGE(
      ""1ZHMy3vVUd_0MrSduXTe1etBb1HNpAlGwQr006ljwMiM"",
      ""GSC最新!A:F""
    ),
    2,
    FALSE
  ),
  0
)
"),0.0)</f>
        <v>0</v>
      </c>
      <c r="G63" s="49">
        <f>IFERROR(__xludf.DUMMYFUNCTION("IFERROR(
  VLOOKUP(
    A63,
    IMPORTRANGE(
      ""1ZHMy3vVUd_0MrSduXTe1etBb1HNpAlGwQr006ljwMiM"",
      ""GSC最新!A:F""
    ),
    3,
    FALSE
  ),
  0
)
"),0.0)</f>
        <v>0</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"),0.0)</f>
        <v>0</v>
      </c>
      <c r="J63" s="50" t="str">
        <f t="shared" ref="J63:K63" si="306">IFERROR(F63/H63,"-")</f>
        <v>-</v>
      </c>
      <c r="K63" s="50" t="str">
        <f t="shared" si="306"/>
        <v>-</v>
      </c>
      <c r="L63" s="6">
        <f>IFERROR(__xludf.DUMMYFUNCTION("IFERROR(
  VLOOKUP(
    A63,
    IMPORTRANGE(
      ""1ZHMy3vVUd_0MrSduXTe1etBb1HNpAlGwQr006ljwMiM"",
      ""GSC最新!A:R""
    ),
    7,
    FALSE
  ),
  0
)
"),0.0)</f>
        <v>0</v>
      </c>
      <c r="M63" s="6">
        <f>IFERROR(__xludf.DUMMYFUNCTION("IFERROR(
  VLOOKUP(
    A63,
    IMPORTRANGE(
      ""1ZHMy3vVUd_0MrSduXTe1etBb1HNpAlGwQr006ljwMiM"",
      ""GSC最新!A:R""
    ),
    10,
    FALSE
  ),
  0
)
"),0.0)</f>
        <v>0</v>
      </c>
      <c r="N63" s="6">
        <f>IFERROR(__xludf.DUMMYFUNCTION("IFERROR(
  VLOOKUP(
    A63,
    IMPORTRANGE(
      ""1ZHMy3vVUd_0MrSduXTe1etBb1HNpAlGwQr006ljwMiM"",
      ""GSC最新!A:R""
    ),
    13,
    FALSE
  ),
  0
)
"),0.0)</f>
        <v>0</v>
      </c>
      <c r="O63" s="6">
        <f>IFERROR(__xludf.DUMMYFUNCTION("IFERROR(
  VLOOKUP(
    A63,
    IMPORTRANGE(
      ""1ZHMy3vVUd_0MrSduXTe1etBb1HNpAlGwQr006ljwMiM"",
      ""GSC最新!A:R""
    ),
    16,
    FALSE
  ),
  0
)
"),0.0)</f>
        <v>0</v>
      </c>
      <c r="P63" s="51" t="str">
        <f t="shared" ref="P63:Q63" si="307">IFERROR(L63/N63,"-")</f>
        <v>-</v>
      </c>
      <c r="Q63" s="51" t="str">
        <f t="shared" si="307"/>
        <v>-</v>
      </c>
      <c r="R63" s="9">
        <f>IFERROR(__xludf.DUMMYFUNCTION("IFERROR(
  VLOOKUP(
    A63,
    IMPORTRANGE(
      ""1ZHMy3vVUd_0MrSduXTe1etBb1HNpAlGwQr006ljwMiM"",
      ""GSC最新!A:R""
    ),
    8,
    FALSE
  ),
  0
)
"),0.0)</f>
        <v>0</v>
      </c>
      <c r="S63" s="9">
        <f>IFERROR(__xludf.DUMMYFUNCTION("IFERROR(
  VLOOKUP(
    A63,
    IMPORTRANGE(
      ""1ZHMy3vVUd_0MrSduXTe1etBb1HNpAlGwQr006ljwMiM"",
      ""GSC最新!A:R""
    ),
    11,
    FALSE
  ),
  0
)
"),0.0)</f>
        <v>0</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f>
        <v>0</v>
      </c>
      <c r="V63" s="9">
        <f t="shared" ref="V63:W63" si="308">IFERROR(R63-T63,"-")</f>
        <v>0</v>
      </c>
      <c r="W63" s="9">
        <f t="shared" si="308"/>
        <v>0</v>
      </c>
      <c r="X63" s="65" t="str">
        <f>IFERROR(__xludf.DUMMYFUNCTION("IFERROR(
  VLOOKUP(
    A63,
    IMPORTRANGE(
      ""1ZHMy3vVUd_0MrSduXTe1etBb1HNpAlGwQr006ljwMiM"",
      ""GSC最新!A:R""
    ),
    9,
    FALSE
  ),
  0
)
"),"")</f>
        <v/>
      </c>
      <c r="Y63" s="65" t="str">
        <f>IFERROR(__xludf.DUMMYFUNCTION("IFERROR(
  VLOOKUP(
    A63,
    IMPORTRANGE(
      ""1ZHMy3vVUd_0MrSduXTe1etBb1HNpAlGwQr006ljwMiM"",
      ""GSC最新!A:R""
    ),
    12,
    FALSE
  ),
  0
)
"),"")</f>
        <v/>
      </c>
      <c r="Z63" s="65" t="str">
        <f>IFERROR(__xludf.DUMMYFUNCTION("IFERROR(
  VLOOKUP(
    A63,
    IMPORTRANGE(
      ""1ZHMy3vVUd_0MrSduXTe1etBb1HNpAlGwQr006ljwMiM"",
      ""GSC最新!A:R""
    ),
    15,
    FALSE
  ),
  0
)
"),"")</f>
        <v/>
      </c>
      <c r="AA63" s="65" t="str">
        <f>IFERROR(__xludf.DUMMYFUNCTION("IFERROR(
  VLOOKUP(
    A63,
    IMPORTRANGE(
      ""1ZHMy3vVUd_0MrSduXTe1etBb1HNpAlGwQr006ljwMiM"",
      ""GSC最新!A:R""
    ),
    18,
    FALSE
  ),
  0
)
"),"")</f>
        <v/>
      </c>
      <c r="AB63" s="65">
        <f t="shared" ref="AB63:AC63" si="309">X63-Z63</f>
        <v>0</v>
      </c>
      <c r="AC63" s="65">
        <f t="shared" si="309"/>
        <v>0</v>
      </c>
      <c r="AD63" s="53">
        <f>IFERROR(__xludf.DUMMYFUNCTION("IFERROR(
  VLOOKUP(
    A63,
    IMPORTRANGE(
      ""1ZHMy3vVUd_0MrSduXTe1etBb1HNpAlGwQr006ljwMiM"",
      ""GSC最新!A:F""
    ),
    6,
    FALSE
  ),
  0
)
"),46081.0)</f>
        <v>46081</v>
      </c>
      <c r="AE63" s="54">
        <f>IFERROR(__xludf.DUMMYFUNCTION("IFERROR(
  VLOOKUP(
    A63,
    IMPORTRANGE(
      ""1SCYQd7_cobOYqT0r_F0IqD4tE4rYn5y8Eup4PJTH8es"",
      ""Snapshot!A:M""
    ),
    5,
    FALSE
  ),
  ""-""
)
"),6.0)</f>
        <v>6</v>
      </c>
      <c r="AF63" s="54">
        <f>IFERROR(__xludf.DUMMYFUNCTION("IFERROR(
  VLOOKUP(
    A63,
    IMPORTRANGE(
      ""1SCYQd7_cobOYqT0r_F0IqD4tE4rYn5y8Eup4PJTH8es"",
      ""Snapshot!A:M""
    ),
    6,
    FALSE
  ),
  0
)
"),10.0)</f>
        <v>10</v>
      </c>
      <c r="AG63" s="54">
        <f>IFERROR(__xludf.DUMMYFUNCTION("IFERROR(
  VLOOKUP(
    A63,
    IMPORTRANGE(
      ""1SCYQd7_cobOYqT0r_F0IqD4tE4rYn5y8Eup4PJTH8es"",
      ""Snapshot!A:M""
    ),
    7,
    FALSE
  ),
  0
)
"),2040.0)</f>
        <v>2040</v>
      </c>
      <c r="AH63" s="54">
        <f>IFERROR(__xludf.DUMMYFUNCTION("IFERROR(
  VLOOKUP(
    A63,
    IMPORTRANGE(
      ""1SCYQd7_cobOYqT0r_F0IqD4tE4rYn5y8Eup4PJTH8es"",
      ""Snapshot!A:M""
    ),
    8,
    FALSE
  ),
  0
)
"),3.0)</f>
        <v>3</v>
      </c>
      <c r="AI63" s="54">
        <f>IFERROR(__xludf.DUMMYFUNCTION("IFERROR(
  VLOOKUP(
    A63,
    IMPORTRANGE(
      ""1SCYQd7_cobOYqT0r_F0IqD4tE4rYn5y8Eup4PJTH8es"",
      ""Snapshot!A:M""
    ),
    9,
    FALSE
  ),
  0
)
"),4.0)</f>
        <v>4</v>
      </c>
      <c r="AJ63" s="54">
        <f>IFERROR(__xludf.DUMMYFUNCTION("IFERROR(
  VLOOKUP(
    A63,
    IMPORTRANGE(
      ""1SCYQd7_cobOYqT0r_F0IqD4tE4rYn5y8Eup4PJTH8es"",
      ""Snapshot!A:M""
    ),
    13,
    FALSE
  ),
  0
)
"),2.0)</f>
        <v>2</v>
      </c>
      <c r="AK63" s="49">
        <f t="shared" ref="AK63:AL63" si="310">LEN(C63)</f>
        <v>48</v>
      </c>
      <c r="AL63" s="49">
        <f t="shared" si="310"/>
        <v>55</v>
      </c>
    </row>
    <row r="64">
      <c r="A64" s="56" t="s">
        <v>877</v>
      </c>
      <c r="B64" s="1" t="s">
        <v>32</v>
      </c>
      <c r="C64" s="1" t="str">
        <f>IFERROR(__xludf.DUMMYFUNCTION("IFERROR(
  VLOOKUP(
    A64,
    IMPORTRANGE(
      ""1ZygntHC1J6IxzKbTidmOyf5nUyW4GCLurHCjexrLm_o"",
      ""HTMLキャッシュ!A:F""
    ),
    5,
    FALSE
  ),
  0
)
"),"地形図の出題はここを見る｜等高線・縮尺・土地利用・地図記号 - 受験社会専門塾「令和」")</f>
        <v>地形図の出題はここを見る｜等高線・縮尺・土地利用・地図記号 - 受験社会専門塾「令和」</v>
      </c>
      <c r="D64" s="1" t="str">
        <f>IFERROR(__xludf.DUMMYFUNCTION("IFERROR(
  VLOOKUP(
    A64,
    IMPORTRANGE(
      ""1ZygntHC1J6IxzKbTidmOyf5nUyW4GCLurHCjexrLm_o        "",
      ""HTMLキャッシュ!A:F""
    ),
    6,
    FALSE
  ),
  0
)
"),"社会の悩み一覧（ハブ）へ 地形図の処理が遅い・根拠が言えない状態を解決する 地形図が読めないのではなく、見る順")</f>
        <v>社会の悩み一覧（ハブ）へ 地形図の処理が遅い・根拠が言えない状態を解決する 地形図が読めないのではなく、見る順</v>
      </c>
      <c r="E64" s="32">
        <f>IFERROR(__xludf.DUMMYFUNCTION("IFERROR(
  VLOOKUP(
    A64,
    IMPORTRANGE(
      ""1ZygntHC1J6IxzKbTidmOyf5nUyW4GCLurHCjexrLm_o        "",
      ""HTMLキャッシュ!A:F""
    ),
    3,
    FALSE
  ),
  0
)
"),46080.80546296296)</f>
        <v>46080.80546</v>
      </c>
      <c r="F64" s="49">
        <f>IFERROR(__xludf.DUMMYFUNCTION("IFERROR(
  VLOOKUP(
    A64,
    IMPORTRANGE(
      ""1ZHMy3vVUd_0MrSduXTe1etBb1HNpAlGwQr006ljwMiM"",
      ""GSC最新!A:F""
    ),
    2,
    FALSE
  ),
  0
)
"),0.0)</f>
        <v>0</v>
      </c>
      <c r="G64" s="49">
        <f>IFERROR(__xludf.DUMMYFUNCTION("IFERROR(
  VLOOKUP(
    A64,
    IMPORTRANGE(
      ""1ZHMy3vVUd_0MrSduXTe1etBb1HNpAlGwQr006ljwMiM"",
      ""GSC最新!A:F""
    ),
    3,
    FALSE
  ),
  0
)
"),0.0)</f>
        <v>0</v>
      </c>
      <c r="H64" s="49">
        <f>IFERROR(__xludf.DUMMYFUNCTION("IFERROR(
  VLOOKUP(
    A64,
    IMPORTRANGE(
      ""1ZHMy3vVUd_0MrSduXTe1etBb1HNpAlGwQr006ljwMiM"",
      ""GSC最新!A:F""
    ),
    4,
    FALSE
  ),
  0
)
"),0.0)</f>
        <v>0</v>
      </c>
      <c r="I64" s="49">
        <f>IFERROR(__xludf.DUMMYFUNCTION("IFERROR(
  VLOOKUP(
    A64,
    IMPORTRANGE(
      ""1ZHMy3vVUd_0MrSduXTe1etBb1HNpAlGwQr006ljwMiM"",
      ""GSC最新!A:F""
    ),
    5,
    FALSE
  ),
  0
)
"),0.0)</f>
        <v>0</v>
      </c>
      <c r="J64" s="50" t="str">
        <f t="shared" ref="J64:K64" si="311">IFERROR(F64/H64,"-")</f>
        <v>-</v>
      </c>
      <c r="K64" s="50" t="str">
        <f t="shared" si="311"/>
        <v>-</v>
      </c>
      <c r="L64" s="6">
        <f>IFERROR(__xludf.DUMMYFUNCTION("IFERROR(
  VLOOKUP(
    A64,
    IMPORTRANGE(
      ""1ZHMy3vVUd_0MrSduXTe1etBb1HNpAlGwQr006ljwMiM"",
      ""GSC最新!A:R""
    ),
    7,
    FALSE
  ),
  0
)
"),0.0)</f>
        <v>0</v>
      </c>
      <c r="M64" s="6">
        <f>IFERROR(__xludf.DUMMYFUNCTION("IFERROR(
  VLOOKUP(
    A64,
    IMPORTRANGE(
      ""1ZHMy3vVUd_0MrSduXTe1etBb1HNpAlGwQr006ljwMiM"",
      ""GSC最新!A:R""
    ),
    10,
    FALSE
  ),
  0
)
"),0.0)</f>
        <v>0</v>
      </c>
      <c r="N64" s="6">
        <f>IFERROR(__xludf.DUMMYFUNCTION("IFERROR(
  VLOOKUP(
    A64,
    IMPORTRANGE(
      ""1ZHMy3vVUd_0MrSduXTe1etBb1HNpAlGwQr006ljwMiM"",
      ""GSC最新!A:R""
    ),
    13,
    FALSE
  ),
  0
)
"),0.0)</f>
        <v>0</v>
      </c>
      <c r="O64" s="6">
        <f>IFERROR(__xludf.DUMMYFUNCTION("IFERROR(
  VLOOKUP(
    A64,
    IMPORTRANGE(
      ""1ZHMy3vVUd_0MrSduXTe1etBb1HNpAlGwQr006ljwMiM"",
      ""GSC最新!A:R""
    ),
    16,
    FALSE
  ),
  0
)
"),0.0)</f>
        <v>0</v>
      </c>
      <c r="P64" s="51" t="str">
        <f t="shared" ref="P64:Q64" si="312">IFERROR(L64/N64,"-")</f>
        <v>-</v>
      </c>
      <c r="Q64" s="51" t="str">
        <f t="shared" si="312"/>
        <v>-</v>
      </c>
      <c r="R64" s="9">
        <f>IFERROR(__xludf.DUMMYFUNCTION("IFERROR(
  VLOOKUP(
    A64,
    IMPORTRANGE(
      ""1ZHMy3vVUd_0MrSduXTe1etBb1HNpAlGwQr006ljwMiM"",
      ""GSC最新!A:R""
    ),
    8,
    FALSE
  ),
  0
)
"),0.0)</f>
        <v>0</v>
      </c>
      <c r="S64" s="9">
        <f>IFERROR(__xludf.DUMMYFUNCTION("IFERROR(
  VLOOKUP(
    A64,
    IMPORTRANGE(
      ""1ZHMy3vVUd_0MrSduXTe1etBb1HNpAlGwQr006ljwMiM"",
      ""GSC最新!A:R""
    ),
    11,
    FALSE
  ),
  0
)
"),0.0)</f>
        <v>0</v>
      </c>
      <c r="T64" s="9">
        <f>IFERROR(__xludf.DUMMYFUNCTION("IFERROR(
  VLOOKUP(
    A64,
    IMPORTRANGE(
      ""1ZHMy3vVUd_0MrSduXTe1etBb1HNpAlGwQr006ljwMiM"",
      ""GSC最新!A:R""
    ),
    14,
    FALSE
  ),
  0
)
"),0.0)</f>
        <v>0</v>
      </c>
      <c r="U64" s="9">
        <f>IFERROR(__xludf.DUMMYFUNCTION("IFERROR(
  VLOOKUP(
    A64,
    IMPORTRANGE(
      ""1ZHMy3vVUd_0MrSduXTe1etBb1HNpAlGwQr006ljwMiM"",
      ""GSC最新!A:R""
    ),
    17,
    FALSE
  ),
  0
)
"),0.0)</f>
        <v>0</v>
      </c>
      <c r="V64" s="9">
        <f t="shared" ref="V64:W64" si="313">IFERROR(R64-T64,"-")</f>
        <v>0</v>
      </c>
      <c r="W64" s="9">
        <f t="shared" si="313"/>
        <v>0</v>
      </c>
      <c r="X64" s="65" t="str">
        <f>IFERROR(__xludf.DUMMYFUNCTION("IFERROR(
  VLOOKUP(
    A64,
    IMPORTRANGE(
      ""1ZHMy3vVUd_0MrSduXTe1etBb1HNpAlGwQr006ljwMiM"",
      ""GSC最新!A:R""
    ),
    9,
    FALSE
  ),
  0
)
"),"")</f>
        <v/>
      </c>
      <c r="Y64" s="65" t="str">
        <f>IFERROR(__xludf.DUMMYFUNCTION("IFERROR(
  VLOOKUP(
    A64,
    IMPORTRANGE(
      ""1ZHMy3vVUd_0MrSduXTe1etBb1HNpAlGwQr006ljwMiM"",
      ""GSC最新!A:R""
    ),
    12,
    FALSE
  ),
  0
)
"),"")</f>
        <v/>
      </c>
      <c r="Z64" s="65" t="str">
        <f>IFERROR(__xludf.DUMMYFUNCTION("IFERROR(
  VLOOKUP(
    A64,
    IMPORTRANGE(
      ""1ZHMy3vVUd_0MrSduXTe1etBb1HNpAlGwQr006ljwMiM"",
      ""GSC最新!A:R""
    ),
    15,
    FALSE
  ),
  0
)
"),"")</f>
        <v/>
      </c>
      <c r="AA64" s="65" t="str">
        <f>IFERROR(__xludf.DUMMYFUNCTION("IFERROR(
  VLOOKUP(
    A64,
    IMPORTRANGE(
      ""1ZHMy3vVUd_0MrSduXTe1etBb1HNpAlGwQr006ljwMiM"",
      ""GSC最新!A:R""
    ),
    18,
    FALSE
  ),
  0
)
"),"")</f>
        <v/>
      </c>
      <c r="AB64" s="65">
        <f t="shared" ref="AB64:AC64" si="314">X64-Z64</f>
        <v>0</v>
      </c>
      <c r="AC64" s="65">
        <f t="shared" si="314"/>
        <v>0</v>
      </c>
      <c r="AD64" s="53">
        <f>IFERROR(__xludf.DUMMYFUNCTION("IFERROR(
  VLOOKUP(
    A64,
    IMPORTRANGE(
      ""1ZHMy3vVUd_0MrSduXTe1etBb1HNpAlGwQr006ljwMiM"",
      ""GSC最新!A:F""
    ),
    6,
    FALSE
  ),
  0
)
"),46081.0)</f>
        <v>46081</v>
      </c>
      <c r="AE64" s="54">
        <f>IFERROR(__xludf.DUMMYFUNCTION("IFERROR(
  VLOOKUP(
    A64,
    IMPORTRANGE(
      ""1SCYQd7_cobOYqT0r_F0IqD4tE4rYn5y8Eup4PJTH8es"",
      ""Snapshot!A:M""
    ),
    5,
    FALSE
  ),
  ""-""
)
"),7.0)</f>
        <v>7</v>
      </c>
      <c r="AF64" s="54">
        <f>IFERROR(__xludf.DUMMYFUNCTION("IFERROR(
  VLOOKUP(
    A64,
    IMPORTRANGE(
      ""1SCYQd7_cobOYqT0r_F0IqD4tE4rYn5y8Eup4PJTH8es"",
      ""Snapshot!A:M""
    ),
    6,
    FALSE
  ),
  0
)
"),2.0)</f>
        <v>2</v>
      </c>
      <c r="AG64" s="54">
        <f>IFERROR(__xludf.DUMMYFUNCTION("IFERROR(
  VLOOKUP(
    A64,
    IMPORTRANGE(
      ""1SCYQd7_cobOYqT0r_F0IqD4tE4rYn5y8Eup4PJTH8es"",
      ""Snapshot!A:M""
    ),
    7,
    FALSE
  ),
  0
)
"),2045.0)</f>
        <v>2045</v>
      </c>
      <c r="AH64" s="54">
        <f>IFERROR(__xludf.DUMMYFUNCTION("IFERROR(
  VLOOKUP(
    A64,
    IMPORTRANGE(
      ""1SCYQd7_cobOYqT0r_F0IqD4tE4rYn5y8Eup4PJTH8es"",
      ""Snapshot!A:M""
    ),
    8,
    FALSE
  ),
  0
)
"),4.0)</f>
        <v>4</v>
      </c>
      <c r="AI64" s="54">
        <f>IFERROR(__xludf.DUMMYFUNCTION("IFERROR(
  VLOOKUP(
    A64,
    IMPORTRANGE(
      ""1SCYQd7_cobOYqT0r_F0IqD4tE4rYn5y8Eup4PJTH8es"",
      ""Snapshot!A:M""
    ),
    9,
    FALSE
  ),
  0
)
"),2.0)</f>
        <v>2</v>
      </c>
      <c r="AJ64" s="54">
        <f>IFERROR(__xludf.DUMMYFUNCTION("IFERROR(
  VLOOKUP(
    A64,
    IMPORTRANGE(
      ""1SCYQd7_cobOYqT0r_F0IqD4tE4rYn5y8Eup4PJTH8es"",
      ""Snapshot!A:M""
    ),
    13,
    FALSE
  ),
  0
)
"),2.0)</f>
        <v>2</v>
      </c>
      <c r="AK64" s="49">
        <f t="shared" ref="AK64:AL64" si="315">LEN(C64)</f>
        <v>43</v>
      </c>
      <c r="AL64" s="49">
        <f t="shared" si="315"/>
        <v>55</v>
      </c>
    </row>
    <row r="65">
      <c r="A65" s="56" t="s">
        <v>878</v>
      </c>
      <c r="B65" s="1" t="s">
        <v>32</v>
      </c>
      <c r="C65" s="1" t="str">
        <f>IFERROR(__xludf.DUMMYFUNCTION("IFERROR(
  VLOOKUP(
    A65,
    IMPORTRANGE(
      ""1ZygntHC1J6IxzKbTidmOyf5nUyW4GCLurHCjexrLm_o"",
      ""HTMLキャッシュ!A:F""
    ),
    5,
    FALSE
  ),
  0
)
"),"一問一答が効かない子のための「覚える→使う」社会勉強法 - 受験社会専門塾「令和」")</f>
        <v>一問一答が効かない子のための「覚える→使う」社会勉強法 - 受験社会専門塾「令和」</v>
      </c>
      <c r="D65" s="1" t="str">
        <f>IFERROR(__xludf.DUMMYFUNCTION("IFERROR(
  VLOOKUP(
    A65,
    IMPORTRANGE(
      ""1ZygntHC1J6IxzKbTidmOyf5nUyW4GCLurHCjexrLm_o        "",
      ""HTMLキャッシュ!A:F""
    ),
    6,
    FALSE
  ),
  0
)
"),"社会の悩み一覧（ハブ）へ 一問一答は完璧なのに、なぜ模試で解けないのか？「知っている」を「使える」に変える暗記")</f>
        <v>社会の悩み一覧（ハブ）へ 一問一答は完璧なのに、なぜ模試で解けないのか？「知っている」を「使える」に変える暗記</v>
      </c>
      <c r="E65" s="32">
        <f>IFERROR(__xludf.DUMMYFUNCTION("IFERROR(
  VLOOKUP(
    A65,
    IMPORTRANGE(
      ""1ZygntHC1J6IxzKbTidmOyf5nUyW4GCLurHCjexrLm_o        "",
      ""HTMLキャッシュ!A:F""
    ),
    3,
    FALSE
  ),
  0
)
"),46080.653275462966)</f>
        <v>46080.65328</v>
      </c>
      <c r="F65" s="49">
        <f>IFERROR(__xludf.DUMMYFUNCTION("IFERROR(
  VLOOKUP(
    A65,
    IMPORTRANGE(
      ""1ZHMy3vVUd_0MrSduXTe1etBb1HNpAlGwQr006ljwMiM"",
      ""GSC最新!A:F""
    ),
    2,
    FALSE
  ),
  0
)
"),0.0)</f>
        <v>0</v>
      </c>
      <c r="G65" s="49">
        <f>IFERROR(__xludf.DUMMYFUNCTION("IFERROR(
  VLOOKUP(
    A65,
    IMPORTRANGE(
      ""1ZHMy3vVUd_0MrSduXTe1etBb1HNpAlGwQr006ljwMiM"",
      ""GSC最新!A:F""
    ),
    3,
    FALSE
  ),
  0
)
"),0.0)</f>
        <v>0</v>
      </c>
      <c r="H65" s="49">
        <f>IFERROR(__xludf.DUMMYFUNCTION("IFERROR(
  VLOOKUP(
    A65,
    IMPORTRANGE(
      ""1ZHMy3vVUd_0MrSduXTe1etBb1HNpAlGwQr006ljwMiM"",
      ""GSC最新!A:F""
    ),
    4,
    FALSE
  ),
  0
)
"),0.0)</f>
        <v>0</v>
      </c>
      <c r="I65" s="49">
        <f>IFERROR(__xludf.DUMMYFUNCTION("IFERROR(
  VLOOKUP(
    A65,
    IMPORTRANGE(
      ""1ZHMy3vVUd_0MrSduXTe1etBb1HNpAlGwQr006ljwMiM"",
      ""GSC最新!A:F""
    ),
    5,
    FALSE
  ),
  0
)
"),0.0)</f>
        <v>0</v>
      </c>
      <c r="J65" s="50" t="str">
        <f t="shared" ref="J65:K65" si="316">IFERROR(F65/H65,"-")</f>
        <v>-</v>
      </c>
      <c r="K65" s="50" t="str">
        <f t="shared" si="316"/>
        <v>-</v>
      </c>
      <c r="L65" s="6">
        <f>IFERROR(__xludf.DUMMYFUNCTION("IFERROR(
  VLOOKUP(
    A65,
    IMPORTRANGE(
      ""1ZHMy3vVUd_0MrSduXTe1etBb1HNpAlGwQr006ljwMiM"",
      ""GSC最新!A:R""
    ),
    7,
    FALSE
  ),
  0
)
"),0.0)</f>
        <v>0</v>
      </c>
      <c r="M65" s="6">
        <f>IFERROR(__xludf.DUMMYFUNCTION("IFERROR(
  VLOOKUP(
    A65,
    IMPORTRANGE(
      ""1ZHMy3vVUd_0MrSduXTe1etBb1HNpAlGwQr006ljwMiM"",
      ""GSC最新!A:R""
    ),
    10,
    FALSE
  ),
  0
)
"),0.0)</f>
        <v>0</v>
      </c>
      <c r="N65" s="6">
        <f>IFERROR(__xludf.DUMMYFUNCTION("IFERROR(
  VLOOKUP(
    A65,
    IMPORTRANGE(
      ""1ZHMy3vVUd_0MrSduXTe1etBb1HNpAlGwQr006ljwMiM"",
      ""GSC最新!A:R""
    ),
    13,
    FALSE
  ),
  0
)
"),0.0)</f>
        <v>0</v>
      </c>
      <c r="O65" s="6">
        <f>IFERROR(__xludf.DUMMYFUNCTION("IFERROR(
  VLOOKUP(
    A65,
    IMPORTRANGE(
      ""1ZHMy3vVUd_0MrSduXTe1etBb1HNpAlGwQr006ljwMiM"",
      ""GSC最新!A:R""
    ),
    16,
    FALSE
  ),
  0
)
"),0.0)</f>
        <v>0</v>
      </c>
      <c r="P65" s="51" t="str">
        <f t="shared" ref="P65:Q65" si="317">IFERROR(L65/N65,"-")</f>
        <v>-</v>
      </c>
      <c r="Q65" s="51" t="str">
        <f t="shared" si="317"/>
        <v>-</v>
      </c>
      <c r="R65" s="9">
        <f>IFERROR(__xludf.DUMMYFUNCTION("IFERROR(
  VLOOKUP(
    A65,
    IMPORTRANGE(
      ""1ZHMy3vVUd_0MrSduXTe1etBb1HNpAlGwQr006ljwMiM"",
      ""GSC最新!A:R""
    ),
    8,
    FALSE
  ),
  0
)
"),0.0)</f>
        <v>0</v>
      </c>
      <c r="S65" s="9">
        <f>IFERROR(__xludf.DUMMYFUNCTION("IFERROR(
  VLOOKUP(
    A65,
    IMPORTRANGE(
      ""1ZHMy3vVUd_0MrSduXTe1etBb1HNpAlGwQr006ljwMiM"",
      ""GSC最新!A:R""
    ),
    11,
    FALSE
  ),
  0
)
"),0.0)</f>
        <v>0</v>
      </c>
      <c r="T65" s="9">
        <f>IFERROR(__xludf.DUMMYFUNCTION("IFERROR(
  VLOOKUP(
    A65,
    IMPORTRANGE(
      ""1ZHMy3vVUd_0MrSduXTe1etBb1HNpAlGwQr006ljwMiM"",
      ""GSC最新!A:R""
    ),
    14,
    FALSE
  ),
  0
)
"),0.0)</f>
        <v>0</v>
      </c>
      <c r="U65" s="9">
        <f>IFERROR(__xludf.DUMMYFUNCTION("IFERROR(
  VLOOKUP(
    A65,
    IMPORTRANGE(
      ""1ZHMy3vVUd_0MrSduXTe1etBb1HNpAlGwQr006ljwMiM"",
      ""GSC最新!A:R""
    ),
    17,
    FALSE
  ),
  0
)
"),0.0)</f>
        <v>0</v>
      </c>
      <c r="V65" s="9">
        <f t="shared" ref="V65:W65" si="318">IFERROR(R65-T65,"-")</f>
        <v>0</v>
      </c>
      <c r="W65" s="9">
        <f t="shared" si="318"/>
        <v>0</v>
      </c>
      <c r="X65" s="65" t="str">
        <f>IFERROR(__xludf.DUMMYFUNCTION("IFERROR(
  VLOOKUP(
    A65,
    IMPORTRANGE(
      ""1ZHMy3vVUd_0MrSduXTe1etBb1HNpAlGwQr006ljwMiM"",
      ""GSC最新!A:R""
    ),
    9,
    FALSE
  ),
  0
)
"),"")</f>
        <v/>
      </c>
      <c r="Y65" s="65" t="str">
        <f>IFERROR(__xludf.DUMMYFUNCTION("IFERROR(
  VLOOKUP(
    A65,
    IMPORTRANGE(
      ""1ZHMy3vVUd_0MrSduXTe1etBb1HNpAlGwQr006ljwMiM"",
      ""GSC最新!A:R""
    ),
    12,
    FALSE
  ),
  0
)
"),"")</f>
        <v/>
      </c>
      <c r="Z65" s="65" t="str">
        <f>IFERROR(__xludf.DUMMYFUNCTION("IFERROR(
  VLOOKUP(
    A65,
    IMPORTRANGE(
      ""1ZHMy3vVUd_0MrSduXTe1etBb1HNpAlGwQr006ljwMiM"",
      ""GSC最新!A:R""
    ),
    15,
    FALSE
  ),
  0
)
"),"")</f>
        <v/>
      </c>
      <c r="AA65" s="65" t="str">
        <f>IFERROR(__xludf.DUMMYFUNCTION("IFERROR(
  VLOOKUP(
    A65,
    IMPORTRANGE(
      ""1ZHMy3vVUd_0MrSduXTe1etBb1HNpAlGwQr006ljwMiM"",
      ""GSC最新!A:R""
    ),
    18,
    FALSE
  ),
  0
)
"),"")</f>
        <v/>
      </c>
      <c r="AB65" s="65">
        <f t="shared" ref="AB65:AC65" si="319">X65-Z65</f>
        <v>0</v>
      </c>
      <c r="AC65" s="65">
        <f t="shared" si="319"/>
        <v>0</v>
      </c>
      <c r="AD65" s="53">
        <f>IFERROR(__xludf.DUMMYFUNCTION("IFERROR(
  VLOOKUP(
    A65,
    IMPORTRANGE(
      ""1ZHMy3vVUd_0MrSduXTe1etBb1HNpAlGwQr006ljwMiM"",
      ""GSC最新!A:F""
    ),
    6,
    FALSE
  ),
  0
)
"),46081.0)</f>
        <v>46081</v>
      </c>
      <c r="AE65" s="54">
        <f>IFERROR(__xludf.DUMMYFUNCTION("IFERROR(
  VLOOKUP(
    A65,
    IMPORTRANGE(
      ""1SCYQd7_cobOYqT0r_F0IqD4tE4rYn5y8Eup4PJTH8es"",
      ""Snapshot!A:M""
    ),
    5,
    FALSE
  ),
  ""-""
)
"),8.0)</f>
        <v>8</v>
      </c>
      <c r="AF65" s="54">
        <f>IFERROR(__xludf.DUMMYFUNCTION("IFERROR(
  VLOOKUP(
    A65,
    IMPORTRANGE(
      ""1SCYQd7_cobOYqT0r_F0IqD4tE4rYn5y8Eup4PJTH8es"",
      ""Snapshot!A:M""
    ),
    6,
    FALSE
  ),
  0
)
"),12.0)</f>
        <v>12</v>
      </c>
      <c r="AG65" s="54">
        <f>IFERROR(__xludf.DUMMYFUNCTION("IFERROR(
  VLOOKUP(
    A65,
    IMPORTRANGE(
      ""1SCYQd7_cobOYqT0r_F0IqD4tE4rYn5y8Eup4PJTH8es"",
      ""Snapshot!A:M""
    ),
    7,
    FALSE
  ),
  0
)
"),2109.0)</f>
        <v>2109</v>
      </c>
      <c r="AH65" s="54">
        <f>IFERROR(__xludf.DUMMYFUNCTION("IFERROR(
  VLOOKUP(
    A65,
    IMPORTRANGE(
      ""1SCYQd7_cobOYqT0r_F0IqD4tE4rYn5y8Eup4PJTH8es"",
      ""Snapshot!A:M""
    ),
    8,
    FALSE
  ),
  0
)
"),3.0)</f>
        <v>3</v>
      </c>
      <c r="AI65" s="54">
        <f>IFERROR(__xludf.DUMMYFUNCTION("IFERROR(
  VLOOKUP(
    A65,
    IMPORTRANGE(
      ""1SCYQd7_cobOYqT0r_F0IqD4tE4rYn5y8Eup4PJTH8es"",
      ""Snapshot!A:M""
    ),
    9,
    FALSE
  ),
  0
)
"),5.0)</f>
        <v>5</v>
      </c>
      <c r="AJ65" s="54">
        <f>IFERROR(__xludf.DUMMYFUNCTION("IFERROR(
  VLOOKUP(
    A65,
    IMPORTRANGE(
      ""1SCYQd7_cobOYqT0r_F0IqD4tE4rYn5y8Eup4PJTH8es"",
      ""Snapshot!A:M""
    ),
    13,
    FALSE
  ),
  0
)
"),2.0)</f>
        <v>2</v>
      </c>
      <c r="AK65" s="49">
        <f t="shared" ref="AK65:AL65" si="320">LEN(C65)</f>
        <v>41</v>
      </c>
      <c r="AL65" s="49">
        <f t="shared" si="320"/>
        <v>55</v>
      </c>
    </row>
    <row r="66">
      <c r="A66" s="56" t="s">
        <v>879</v>
      </c>
      <c r="B66" s="1" t="s">
        <v>32</v>
      </c>
      <c r="C66" s="1" t="str">
        <f>IFERROR(__xludf.DUMMYFUNCTION("IFERROR(
  VLOOKUP(
    A66,
    IMPORTRANGE(
      ""1ZygntHC1J6IxzKbTidmOyf5nUyW4GCLurHCjexrLm_o"",
      ""HTMLキャッシュ!A:F""
    ),
    5,
    FALSE
  ),
  0
)
"),"白地図が最強｜都道府県・地方・山地山脈を一気に固める練習法 - 受験社会専門塾「令和」")</f>
        <v>白地図が最強｜都道府県・地方・山地山脈を一気に固める練習法 - 受験社会専門塾「令和」</v>
      </c>
      <c r="D66" s="1" t="str">
        <f>IFERROR(__xludf.DUMMYFUNCTION("IFERROR(
  VLOOKUP(
    A66,
    IMPORTRANGE(
      ""1ZygntHC1J6IxzKbTidmOyf5nUyW4GCLurHCjexrLm_o        "",
      ""HTMLキャッシュ!A:F""
    ),
    6,
    FALSE
  ),
  0
)
"),"社会の悩み一覧（ハブ）へ 受験社会｜地理 悩み解決のヒント 白地図で位置を定着 暗記しているのに伸びないとき、")</f>
        <v>社会の悩み一覧（ハブ）へ 受験社会｜地理 悩み解決のヒント 白地図で位置を定着 暗記しているのに伸びないとき、</v>
      </c>
      <c r="E66" s="32">
        <f>IFERROR(__xludf.DUMMYFUNCTION("IFERROR(
  VLOOKUP(
    A66,
    IMPORTRANGE(
      ""1ZygntHC1J6IxzKbTidmOyf5nUyW4GCLurHCjexrLm_o        "",
      ""HTMLキャッシュ!A:F""
    ),
    3,
    FALSE
  ),
  0
)
"),46080.691458333335)</f>
        <v>46080.69146</v>
      </c>
      <c r="F66" s="49">
        <f>IFERROR(__xludf.DUMMYFUNCTION("IFERROR(
  VLOOKUP(
    A66,
    IMPORTRANGE(
      ""1ZHMy3vVUd_0MrSduXTe1etBb1HNpAlGwQr006ljwMiM"",
      ""GSC最新!A:F""
    ),
    2,
    FALSE
  ),
  0
)
"),0.0)</f>
        <v>0</v>
      </c>
      <c r="G66" s="49">
        <f>IFERROR(__xludf.DUMMYFUNCTION("IFERROR(
  VLOOKUP(
    A66,
    IMPORTRANGE(
      ""1ZHMy3vVUd_0MrSduXTe1etBb1HNpAlGwQr006ljwMiM"",
      ""GSC最新!A:F""
    ),
    3,
    FALSE
  ),
  0
)
"),0.0)</f>
        <v>0</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"),0.0)</f>
        <v>0</v>
      </c>
      <c r="J66" s="50" t="str">
        <f t="shared" ref="J66:K66" si="321">IFERROR(F66/H66,"-")</f>
        <v>-</v>
      </c>
      <c r="K66" s="50" t="str">
        <f t="shared" si="321"/>
        <v>-</v>
      </c>
      <c r="L66" s="6">
        <f>IFERROR(__xludf.DUMMYFUNCTION("IFERROR(
  VLOOKUP(
    A66,
    IMPORTRANGE(
      ""1ZHMy3vVUd_0MrSduXTe1etBb1HNpAlGwQr006ljwMiM"",
      ""GSC最新!A:R""
    ),
    7,
    FALSE
  ),
  0
)
"),0.0)</f>
        <v>0</v>
      </c>
      <c r="M66" s="6">
        <f>IFERROR(__xludf.DUMMYFUNCTION("IFERROR(
  VLOOKUP(
    A66,
    IMPORTRANGE(
      ""1ZHMy3vVUd_0MrSduXTe1etBb1HNpAlGwQr006ljwMiM"",
      ""GSC最新!A:R""
    ),
    10,
    FALSE
  ),
  0
)
"),0.0)</f>
        <v>0</v>
      </c>
      <c r="N66" s="6">
        <f>IFERROR(__xludf.DUMMYFUNCTION("IFERROR(
  VLOOKUP(
    A66,
    IMPORTRANGE(
      ""1ZHMy3vVUd_0MrSduXTe1etBb1HNpAlGwQr006ljwMiM"",
      ""GSC最新!A:R""
    ),
    13,
    FALSE
  ),
  0
)
"),0.0)</f>
        <v>0</v>
      </c>
      <c r="O66" s="6">
        <f>IFERROR(__xludf.DUMMYFUNCTION("IFERROR(
  VLOOKUP(
    A66,
    IMPORTRANGE(
      ""1ZHMy3vVUd_0MrSduXTe1etBb1HNpAlGwQr006ljwMiM"",
      ""GSC最新!A:R""
    ),
    16,
    FALSE
  ),
  0
)
"),0.0)</f>
        <v>0</v>
      </c>
      <c r="P66" s="51" t="str">
        <f t="shared" ref="P66:Q66" si="322">IFERROR(L66/N66,"-")</f>
        <v>-</v>
      </c>
      <c r="Q66" s="51" t="str">
        <f t="shared" si="322"/>
        <v>-</v>
      </c>
      <c r="R66" s="9">
        <f>IFERROR(__xludf.DUMMYFUNCTION("IFERROR(
  VLOOKUP(
    A66,
    IMPORTRANGE(
      ""1ZHMy3vVUd_0MrSduXTe1etBb1HNpAlGwQr006ljwMiM"",
      ""GSC最新!A:R""
    ),
    8,
    FALSE
  ),
  0
)
"),0.0)</f>
        <v>0</v>
      </c>
      <c r="S66" s="9">
        <f>IFERROR(__xludf.DUMMYFUNCTION("IFERROR(
  VLOOKUP(
    A66,
    IMPORTRANGE(
      ""1ZHMy3vVUd_0MrSduXTe1etBb1HNpAlGwQr006ljwMiM"",
      ""GSC最新!A:R""
    ),
    11,
    FALSE
  ),
  0
)
"),0.0)</f>
        <v>0</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f>
        <v>0</v>
      </c>
      <c r="V66" s="9">
        <f t="shared" ref="V66:W66" si="323">IFERROR(R66-T66,"-")</f>
        <v>0</v>
      </c>
      <c r="W66" s="9">
        <f t="shared" si="323"/>
        <v>0</v>
      </c>
      <c r="X66" s="65" t="str">
        <f>IFERROR(__xludf.DUMMYFUNCTION("IFERROR(
  VLOOKUP(
    A66,
    IMPORTRANGE(
      ""1ZHMy3vVUd_0MrSduXTe1etBb1HNpAlGwQr006ljwMiM"",
      ""GSC最新!A:R""
    ),
    9,
    FALSE
  ),
  0
)
"),"")</f>
        <v/>
      </c>
      <c r="Y66" s="65" t="str">
        <f>IFERROR(__xludf.DUMMYFUNCTION("IFERROR(
  VLOOKUP(
    A66,
    IMPORTRANGE(
      ""1ZHMy3vVUd_0MrSduXTe1etBb1HNpAlGwQr006ljwMiM"",
      ""GSC最新!A:R""
    ),
    12,
    FALSE
  ),
  0
)
"),"")</f>
        <v/>
      </c>
      <c r="Z66" s="65" t="str">
        <f>IFERROR(__xludf.DUMMYFUNCTION("IFERROR(
  VLOOKUP(
    A66,
    IMPORTRANGE(
      ""1ZHMy3vVUd_0MrSduXTe1etBb1HNpAlGwQr006ljwMiM"",
      ""GSC最新!A:R""
    ),
    15,
    FALSE
  ),
  0
)
"),"")</f>
        <v/>
      </c>
      <c r="AA66" s="65" t="str">
        <f>IFERROR(__xludf.DUMMYFUNCTION("IFERROR(
  VLOOKUP(
    A66,
    IMPORTRANGE(
      ""1ZHMy3vVUd_0MrSduXTe1etBb1HNpAlGwQr006ljwMiM"",
      ""GSC最新!A:R""
    ),
    18,
    FALSE
  ),
  0
)
"),"")</f>
        <v/>
      </c>
      <c r="AB66" s="65">
        <f t="shared" ref="AB66:AC66" si="324">X66-Z66</f>
        <v>0</v>
      </c>
      <c r="AC66" s="65">
        <f t="shared" si="324"/>
        <v>0</v>
      </c>
      <c r="AD66" s="53">
        <f>IFERROR(__xludf.DUMMYFUNCTION("IFERROR(
  VLOOKUP(
    A66,
    IMPORTRANGE(
      ""1ZHMy3vVUd_0MrSduXTe1etBb1HNpAlGwQr006ljwMiM"",
      ""GSC最新!A:F""
    ),
    6,
    FALSE
  ),
  0
)
"),46081.0)</f>
        <v>46081</v>
      </c>
      <c r="AE66" s="54">
        <f>IFERROR(__xludf.DUMMYFUNCTION("IFERROR(
  VLOOKUP(
    A66,
    IMPORTRANGE(
      ""1SCYQd7_cobOYqT0r_F0IqD4tE4rYn5y8Eup4PJTH8es"",
      ""Snapshot!A:M""
    ),
    5,
    FALSE
  ),
  ""-""
)
"),6.0)</f>
        <v>6</v>
      </c>
      <c r="AF66" s="54">
        <f>IFERROR(__xludf.DUMMYFUNCTION("IFERROR(
  VLOOKUP(
    A66,
    IMPORTRANGE(
      ""1SCYQd7_cobOYqT0r_F0IqD4tE4rYn5y8Eup4PJTH8es"",
      ""Snapshot!A:M""
    ),
    6,
    FALSE
  ),
  0
)
"),4.0)</f>
        <v>4</v>
      </c>
      <c r="AG66" s="54">
        <f>IFERROR(__xludf.DUMMYFUNCTION("IFERROR(
  VLOOKUP(
    A66,
    IMPORTRANGE(
      ""1SCYQd7_cobOYqT0r_F0IqD4tE4rYn5y8Eup4PJTH8es"",
      ""Snapshot!A:M""
    ),
    7,
    FALSE
  ),
  0
)
"),2206.0)</f>
        <v>2206</v>
      </c>
      <c r="AH66" s="54">
        <f>IFERROR(__xludf.DUMMYFUNCTION("IFERROR(
  VLOOKUP(
    A66,
    IMPORTRANGE(
      ""1SCYQd7_cobOYqT0r_F0IqD4tE4rYn5y8Eup4PJTH8es"",
      ""Snapshot!A:M""
    ),
    8,
    FALSE
  ),
  0
)
"),5.0)</f>
        <v>5</v>
      </c>
      <c r="AI66" s="54">
        <f>IFERROR(__xludf.DUMMYFUNCTION("IFERROR(
  VLOOKUP(
    A66,
    IMPORTRANGE(
      ""1SCYQd7_cobOYqT0r_F0IqD4tE4rYn5y8Eup4PJTH8es"",
      ""Snapshot!A:M""
    ),
    9,
    FALSE
  ),
  0
)
"),2.0)</f>
        <v>2</v>
      </c>
      <c r="AJ66" s="54">
        <f>IFERROR(__xludf.DUMMYFUNCTION("IFERROR(
  VLOOKUP(
    A66,
    IMPORTRANGE(
      ""1SCYQd7_cobOYqT0r_F0IqD4tE4rYn5y8Eup4PJTH8es"",
      ""Snapshot!A:M""
    ),
    13,
    FALSE
  ),
  0
)
"),2.0)</f>
        <v>2</v>
      </c>
      <c r="AK66" s="49">
        <f t="shared" ref="AK66:AL66" si="325">LEN(C66)</f>
        <v>43</v>
      </c>
      <c r="AL66" s="49">
        <f t="shared" si="325"/>
        <v>55</v>
      </c>
    </row>
    <row r="67">
      <c r="A67" s="56" t="s">
        <v>880</v>
      </c>
      <c r="B67" s="1" t="s">
        <v>32</v>
      </c>
      <c r="C67" s="1" t="str">
        <f>IFERROR(__xludf.DUMMYFUNCTION("IFERROR(
  VLOOKUP(
    A67,
    IMPORTRANGE(
      ""1ZygntHC1J6IxzKbTidmOyf5nUyW4GCLurHCjexrLm_o"",
      ""HTMLキャッシュ!A:F""
    ),
    5,
    FALSE
  ),
  0
)
"),"1日15分で回る！中学受験社会の家庭学習ルーティン（小5〜小6 - 受験社会専門塾「令和」")</f>
        <v>1日15分で回る！中学受験社会の家庭学習ルーティン（小5〜小6 - 受験社会専門塾「令和」</v>
      </c>
      <c r="D67" s="1" t="str">
        <f>IFERROR(__xludf.DUMMYFUNCTION("IFERROR(
  VLOOKUP(
    A67,
    IMPORTRANGE(
      ""1ZygntHC1J6IxzKbTidmOyf5nUyW4GCLurHCjexrLm_o        "",
      ""HTMLキャッシュ!A:F""
    ),
    6,
    FALSE
  ),
  0
)
"),"社会の悩み一覧（ハブ）へ 中学受験 社会 家庭学習 平日15分で社会を点に変えるルーティン｜やりっぱなしを止め")</f>
        <v>社会の悩み一覧（ハブ）へ 中学受験 社会 家庭学習 平日15分で社会を点に変えるルーティン｜やりっぱなしを止め</v>
      </c>
      <c r="E67" s="32">
        <f>IFERROR(__xludf.DUMMYFUNCTION("IFERROR(
  VLOOKUP(
    A67,
    IMPORTRANGE(
      ""1ZygntHC1J6IxzKbTidmOyf5nUyW4GCLurHCjexrLm_o        "",
      ""HTMLキャッシュ!A:F""
    ),
    3,
    FALSE
  ),
  0
)
"),46080.65574074074)</f>
        <v>46080.65574</v>
      </c>
      <c r="F67" s="49">
        <f>IFERROR(__xludf.DUMMYFUNCTION("IFERROR(
  VLOOKUP(
    A67,
    IMPORTRANGE(
      ""1ZHMy3vVUd_0MrSduXTe1etBb1HNpAlGwQr006ljwMiM"",
      ""GSC最新!A:F""
    ),
    2,
    FALSE
  ),
  0
)
"),0.0)</f>
        <v>0</v>
      </c>
      <c r="G67" s="49">
        <f>IFERROR(__xludf.DUMMYFUNCTION("IFERROR(
  VLOOKUP(
    A67,
    IMPORTRANGE(
      ""1ZHMy3vVUd_0MrSduXTe1etBb1HNpAlGwQr006ljwMiM"",
      ""GSC最新!A:F""
    ),
    3,
    FALSE
  ),
  0
)
"),0.0)</f>
        <v>0</v>
      </c>
      <c r="H67" s="49">
        <f>IFERROR(__xludf.DUMMYFUNCTION("IFERROR(
  VLOOKUP(
    A67,
    IMPORTRANGE(
      ""1ZHMy3vVUd_0MrSduXTe1etBb1HNpAlGwQr006ljwMiM"",
      ""GSC最新!A:F""
    ),
    4,
    FALSE
  ),
  0
)
"),0.0)</f>
        <v>0</v>
      </c>
      <c r="I67" s="49">
        <f>IFERROR(__xludf.DUMMYFUNCTION("IFERROR(
  VLOOKUP(
    A67,
    IMPORTRANGE(
      ""1ZHMy3vVUd_0MrSduXTe1etBb1HNpAlGwQr006ljwMiM"",
      ""GSC最新!A:F""
    ),
    5,
    FALSE
  ),
  0
)
"),0.0)</f>
        <v>0</v>
      </c>
      <c r="J67" s="50" t="str">
        <f t="shared" ref="J67:K67" si="326">IFERROR(F67/H67,"-")</f>
        <v>-</v>
      </c>
      <c r="K67" s="50" t="str">
        <f t="shared" si="326"/>
        <v>-</v>
      </c>
      <c r="L67" s="6">
        <f>IFERROR(__xludf.DUMMYFUNCTION("IFERROR(
  VLOOKUP(
    A67,
    IMPORTRANGE(
      ""1ZHMy3vVUd_0MrSduXTe1etBb1HNpAlGwQr006ljwMiM"",
      ""GSC最新!A:R""
    ),
    7,
    FALSE
  ),
  0
)
"),0.0)</f>
        <v>0</v>
      </c>
      <c r="M67" s="6">
        <f>IFERROR(__xludf.DUMMYFUNCTION("IFERROR(
  VLOOKUP(
    A67,
    IMPORTRANGE(
      ""1ZHMy3vVUd_0MrSduXTe1etBb1HNpAlGwQr006ljwMiM"",
      ""GSC最新!A:R""
    ),
    10,
    FALSE
  ),
  0
)
"),0.0)</f>
        <v>0</v>
      </c>
      <c r="N67" s="6">
        <f>IFERROR(__xludf.DUMMYFUNCTION("IFERROR(
  VLOOKUP(
    A67,
    IMPORTRANGE(
      ""1ZHMy3vVUd_0MrSduXTe1etBb1HNpAlGwQr006ljwMiM"",
      ""GSC最新!A:R""
    ),
    13,
    FALSE
  ),
  0
)
"),0.0)</f>
        <v>0</v>
      </c>
      <c r="O67" s="6">
        <f>IFERROR(__xludf.DUMMYFUNCTION("IFERROR(
  VLOOKUP(
    A67,
    IMPORTRANGE(
      ""1ZHMy3vVUd_0MrSduXTe1etBb1HNpAlGwQr006ljwMiM"",
      ""GSC最新!A:R""
    ),
    16,
    FALSE
  ),
  0
)
"),0.0)</f>
        <v>0</v>
      </c>
      <c r="P67" s="51" t="str">
        <f t="shared" ref="P67:Q67" si="327">IFERROR(L67/N67,"-")</f>
        <v>-</v>
      </c>
      <c r="Q67" s="51" t="str">
        <f t="shared" si="327"/>
        <v>-</v>
      </c>
      <c r="R67" s="9">
        <f>IFERROR(__xludf.DUMMYFUNCTION("IFERROR(
  VLOOKUP(
    A67,
    IMPORTRANGE(
      ""1ZHMy3vVUd_0MrSduXTe1etBb1HNpAlGwQr006ljwMiM"",
      ""GSC最新!A:R""
    ),
    8,
    FALSE
  ),
  0
)
"),0.0)</f>
        <v>0</v>
      </c>
      <c r="S67" s="9">
        <f>IFERROR(__xludf.DUMMYFUNCTION("IFERROR(
  VLOOKUP(
    A67,
    IMPORTRANGE(
      ""1ZHMy3vVUd_0MrSduXTe1etBb1HNpAlGwQr006ljwMiM"",
      ""GSC最新!A:R""
    ),
    11,
    FALSE
  ),
  0
)
"),0.0)</f>
        <v>0</v>
      </c>
      <c r="T67" s="9">
        <f>IFERROR(__xludf.DUMMYFUNCTION("IFERROR(
  VLOOKUP(
    A67,
    IMPORTRANGE(
      ""1ZHMy3vVUd_0MrSduXTe1etBb1HNpAlGwQr006ljwMiM"",
      ""GSC最新!A:R""
    ),
    14,
    FALSE
  ),
  0
)
"),0.0)</f>
        <v>0</v>
      </c>
      <c r="U67" s="9">
        <f>IFERROR(__xludf.DUMMYFUNCTION("IFERROR(
  VLOOKUP(
    A67,
    IMPORTRANGE(
      ""1ZHMy3vVUd_0MrSduXTe1etBb1HNpAlGwQr006ljwMiM"",
      ""GSC最新!A:R""
    ),
    17,
    FALSE
  ),
  0
)
"),0.0)</f>
        <v>0</v>
      </c>
      <c r="V67" s="9">
        <f t="shared" ref="V67:W67" si="328">IFERROR(R67-T67,"-")</f>
        <v>0</v>
      </c>
      <c r="W67" s="9">
        <f t="shared" si="328"/>
        <v>0</v>
      </c>
      <c r="X67" s="65" t="str">
        <f>IFERROR(__xludf.DUMMYFUNCTION("IFERROR(
  VLOOKUP(
    A67,
    IMPORTRANGE(
      ""1ZHMy3vVUd_0MrSduXTe1etBb1HNpAlGwQr006ljwMiM"",
      ""GSC最新!A:R""
    ),
    9,
    FALSE
  ),
  0
)
"),"")</f>
        <v/>
      </c>
      <c r="Y67" s="65" t="str">
        <f>IFERROR(__xludf.DUMMYFUNCTION("IFERROR(
  VLOOKUP(
    A67,
    IMPORTRANGE(
      ""1ZHMy3vVUd_0MrSduXTe1etBb1HNpAlGwQr006ljwMiM"",
      ""GSC最新!A:R""
    ),
    12,
    FALSE
  ),
  0
)
"),"")</f>
        <v/>
      </c>
      <c r="Z67" s="65" t="str">
        <f>IFERROR(__xludf.DUMMYFUNCTION("IFERROR(
  VLOOKUP(
    A67,
    IMPORTRANGE(
      ""1ZHMy3vVUd_0MrSduXTe1etBb1HNpAlGwQr006ljwMiM"",
      ""GSC最新!A:R""
    ),
    15,
    FALSE
  ),
  0
)
"),"")</f>
        <v/>
      </c>
      <c r="AA67" s="65" t="str">
        <f>IFERROR(__xludf.DUMMYFUNCTION("IFERROR(
  VLOOKUP(
    A67,
    IMPORTRANGE(
      ""1ZHMy3vVUd_0MrSduXTe1etBb1HNpAlGwQr006ljwMiM"",
      ""GSC最新!A:R""
    ),
    18,
    FALSE
  ),
  0
)
"),"")</f>
        <v/>
      </c>
      <c r="AB67" s="65">
        <f t="shared" ref="AB67:AC67" si="329">X67-Z67</f>
        <v>0</v>
      </c>
      <c r="AC67" s="65">
        <f t="shared" si="329"/>
        <v>0</v>
      </c>
      <c r="AD67" s="53">
        <f>IFERROR(__xludf.DUMMYFUNCTION("IFERROR(
  VLOOKUP(
    A67,
    IMPORTRANGE(
      ""1ZHMy3vVUd_0MrSduXTe1etBb1HNpAlGwQr006ljwMiM"",
      ""GSC最新!A:F""
    ),
    6,
    FALSE
  ),
  0
)
"),46081.0)</f>
        <v>46081</v>
      </c>
      <c r="AE67" s="54">
        <f>IFERROR(__xludf.DUMMYFUNCTION("IFERROR(
  VLOOKUP(
    A67,
    IMPORTRANGE(
      ""1SCYQd7_cobOYqT0r_F0IqD4tE4rYn5y8Eup4PJTH8es"",
      ""Snapshot!A:M""
    ),
    5,
    FALSE
  ),
  ""-""
)
"),8.0)</f>
        <v>8</v>
      </c>
      <c r="AF67" s="54">
        <f>IFERROR(__xludf.DUMMYFUNCTION("IFERROR(
  VLOOKUP(
    A67,
    IMPORTRANGE(
      ""1SCYQd7_cobOYqT0r_F0IqD4tE4rYn5y8Eup4PJTH8es"",
      ""Snapshot!A:M""
    ),
    6,
    FALSE
  ),
  0
)
"),15.0)</f>
        <v>15</v>
      </c>
      <c r="AG67" s="54">
        <f>IFERROR(__xludf.DUMMYFUNCTION("IFERROR(
  VLOOKUP(
    A67,
    IMPORTRANGE(
      ""1SCYQd7_cobOYqT0r_F0IqD4tE4rYn5y8Eup4PJTH8es"",
      ""Snapshot!A:M""
    ),
    7,
    FALSE
  ),
  0
)
"),2213.0)</f>
        <v>2213</v>
      </c>
      <c r="AH67" s="54">
        <f>IFERROR(__xludf.DUMMYFUNCTION("IFERROR(
  VLOOKUP(
    A67,
    IMPORTRANGE(
      ""1SCYQd7_cobOYqT0r_F0IqD4tE4rYn5y8Eup4PJTH8es"",
      ""Snapshot!A:M""
    ),
    8,
    FALSE
  ),
  0
)
"),5.0)</f>
        <v>5</v>
      </c>
      <c r="AI67" s="54">
        <f>IFERROR(__xludf.DUMMYFUNCTION("IFERROR(
  VLOOKUP(
    A67,
    IMPORTRANGE(
      ""1SCYQd7_cobOYqT0r_F0IqD4tE4rYn5y8Eup4PJTH8es"",
      ""Snapshot!A:M""
    ),
    9,
    FALSE
  ),
  0
)
"),5.0)</f>
        <v>5</v>
      </c>
      <c r="AJ67" s="54">
        <f>IFERROR(__xludf.DUMMYFUNCTION("IFERROR(
  VLOOKUP(
    A67,
    IMPORTRANGE(
      ""1SCYQd7_cobOYqT0r_F0IqD4tE4rYn5y8Eup4PJTH8es"",
      ""Snapshot!A:M""
    ),
    13,
    FALSE
  ),
  0
)
"),2.0)</f>
        <v>2</v>
      </c>
      <c r="AK67" s="49">
        <f t="shared" ref="AK67:AL67" si="330">LEN(C67)</f>
        <v>45</v>
      </c>
      <c r="AL67" s="49">
        <f t="shared" si="330"/>
        <v>55</v>
      </c>
    </row>
    <row r="68">
      <c r="A68" s="56" t="s">
        <v>881</v>
      </c>
      <c r="B68" s="1" t="s">
        <v>32</v>
      </c>
      <c r="C68" s="1" t="str">
        <f>IFERROR(__xludf.DUMMYFUNCTION("IFERROR(
  VLOOKUP(
    A68,
    IMPORTRANGE(
      ""1ZygntHC1J6IxzKbTidmOyf5nUyW4GCLurHCjexrLm_o"",
      ""HTMLキャッシュ!A:F""
    ),
    5,
    FALSE
  ),
  0
)
"),"社会が伸びない原因は暗記量ではない｜得点につながる「整理」の作り方 - 受験社会専門塾「令和」")</f>
        <v>社会が伸びない原因は暗記量ではない｜得点につながる「整理」の作り方 - 受験社会専門塾「令和」</v>
      </c>
      <c r="D68" s="1" t="str">
        <f>IFERROR(__xludf.DUMMYFUNCTION("IFERROR(
  VLOOKUP(
    A68,
    IMPORTRANGE(
      ""1ZygntHC1J6IxzKbTidmOyf5nUyW4GCLurHCjexrLm_o        "",
      ""HTMLキャッシュ!A:F""
    ),
    6,
    FALSE
  ),
  0
)
"),"社会の悩み一覧（ハブ）へ 社会が伸びない原因は暗記量ではない｜得点につながる「整理」の作り方 一問一答は回して")</f>
        <v>社会の悩み一覧（ハブ）へ 社会が伸びない原因は暗記量ではない｜得点につながる「整理」の作り方 一問一答は回して</v>
      </c>
      <c r="E68" s="32">
        <f>IFERROR(__xludf.DUMMYFUNCTION("IFERROR(
  VLOOKUP(
    A68,
    IMPORTRANGE(
      ""1ZygntHC1J6IxzKbTidmOyf5nUyW4GCLurHCjexrLm_o        "",
      ""HTMLキャッシュ!A:F""
    ),
    3,
    FALSE
  ),
  0
)
"),46080.699328703704)</f>
        <v>46080.69933</v>
      </c>
      <c r="F68" s="49">
        <f>IFERROR(__xludf.DUMMYFUNCTION("IFERROR(
  VLOOKUP(
    A68,
    IMPORTRANGE(
      ""1ZHMy3vVUd_0MrSduXTe1etBb1HNpAlGwQr006ljwMiM"",
      ""GSC最新!A:F""
    ),
    2,
    FALSE
  ),
  0
)
"),0.0)</f>
        <v>0</v>
      </c>
      <c r="G68" s="49">
        <f>IFERROR(__xludf.DUMMYFUNCTION("IFERROR(
  VLOOKUP(
    A68,
    IMPORTRANGE(
      ""1ZHMy3vVUd_0MrSduXTe1etBb1HNpAlGwQr006ljwMiM"",
      ""GSC最新!A:F""
    ),
    3,
    FALSE
  ),
  0
)
"),0.0)</f>
        <v>0</v>
      </c>
      <c r="H68" s="49">
        <f>IFERROR(__xludf.DUMMYFUNCTION("IFERROR(
  VLOOKUP(
    A68,
    IMPORTRANGE(
      ""1ZHMy3vVUd_0MrSduXTe1etBb1HNpAlGwQr006ljwMiM"",
      ""GSC最新!A:F""
    ),
    4,
    FALSE
  ),
  0
)
"),0.0)</f>
        <v>0</v>
      </c>
      <c r="I68" s="49">
        <f>IFERROR(__xludf.DUMMYFUNCTION("IFERROR(
  VLOOKUP(
    A68,
    IMPORTRANGE(
      ""1ZHMy3vVUd_0MrSduXTe1etBb1HNpAlGwQr006ljwMiM"",
      ""GSC最新!A:F""
    ),
    5,
    FALSE
  ),
  0
)
"),0.0)</f>
        <v>0</v>
      </c>
      <c r="J68" s="50" t="str">
        <f t="shared" ref="J68:K68" si="331">IFERROR(F68/H68,"-")</f>
        <v>-</v>
      </c>
      <c r="K68" s="50" t="str">
        <f t="shared" si="331"/>
        <v>-</v>
      </c>
      <c r="L68" s="6">
        <f>IFERROR(__xludf.DUMMYFUNCTION("IFERROR(
  VLOOKUP(
    A68,
    IMPORTRANGE(
      ""1ZHMy3vVUd_0MrSduXTe1etBb1HNpAlGwQr006ljwMiM"",
      ""GSC最新!A:R""
    ),
    7,
    FALSE
  ),
  0
)
"),0.0)</f>
        <v>0</v>
      </c>
      <c r="M68" s="6">
        <f>IFERROR(__xludf.DUMMYFUNCTION("IFERROR(
  VLOOKUP(
    A68,
    IMPORTRANGE(
      ""1ZHMy3vVUd_0MrSduXTe1etBb1HNpAlGwQr006ljwMiM"",
      ""GSC最新!A:R""
    ),
    10,
    FALSE
  ),
  0
)
"),0.0)</f>
        <v>0</v>
      </c>
      <c r="N68" s="6">
        <f>IFERROR(__xludf.DUMMYFUNCTION("IFERROR(
  VLOOKUP(
    A68,
    IMPORTRANGE(
      ""1ZHMy3vVUd_0MrSduXTe1etBb1HNpAlGwQr006ljwMiM"",
      ""GSC最新!A:R""
    ),
    13,
    FALSE
  ),
  0
)
"),0.0)</f>
        <v>0</v>
      </c>
      <c r="O68" s="6">
        <f>IFERROR(__xludf.DUMMYFUNCTION("IFERROR(
  VLOOKUP(
    A68,
    IMPORTRANGE(
      ""1ZHMy3vVUd_0MrSduXTe1etBb1HNpAlGwQr006ljwMiM"",
      ""GSC最新!A:R""
    ),
    16,
    FALSE
  ),
  0
)
"),0.0)</f>
        <v>0</v>
      </c>
      <c r="P68" s="51" t="str">
        <f t="shared" ref="P68:Q68" si="332">IFERROR(L68/N68,"-")</f>
        <v>-</v>
      </c>
      <c r="Q68" s="51" t="str">
        <f t="shared" si="332"/>
        <v>-</v>
      </c>
      <c r="R68" s="9">
        <f>IFERROR(__xludf.DUMMYFUNCTION("IFERROR(
  VLOOKUP(
    A68,
    IMPORTRANGE(
      ""1ZHMy3vVUd_0MrSduXTe1etBb1HNpAlGwQr006ljwMiM"",
      ""GSC最新!A:R""
    ),
    8,
    FALSE
  ),
  0
)
"),0.0)</f>
        <v>0</v>
      </c>
      <c r="S68" s="9">
        <f>IFERROR(__xludf.DUMMYFUNCTION("IFERROR(
  VLOOKUP(
    A68,
    IMPORTRANGE(
      ""1ZHMy3vVUd_0MrSduXTe1etBb1HNpAlGwQr006ljwMiM"",
      ""GSC最新!A:R""
    ),
    11,
    FALSE
  ),
  0
)
"),0.0)</f>
        <v>0</v>
      </c>
      <c r="T68" s="9">
        <f>IFERROR(__xludf.DUMMYFUNCTION("IFERROR(
  VLOOKUP(
    A68,
    IMPORTRANGE(
      ""1ZHMy3vVUd_0MrSduXTe1etBb1HNpAlGwQr006ljwMiM"",
      ""GSC最新!A:R""
    ),
    14,
    FALSE
  ),
  0
)
"),0.0)</f>
        <v>0</v>
      </c>
      <c r="U68" s="9">
        <f>IFERROR(__xludf.DUMMYFUNCTION("IFERROR(
  VLOOKUP(
    A68,
    IMPORTRANGE(
      ""1ZHMy3vVUd_0MrSduXTe1etBb1HNpAlGwQr006ljwMiM"",
      ""GSC最新!A:R""
    ),
    17,
    FALSE
  ),
  0
)
"),0.0)</f>
        <v>0</v>
      </c>
      <c r="V68" s="9">
        <f t="shared" ref="V68:W68" si="333">IFERROR(R68-T68,"-")</f>
        <v>0</v>
      </c>
      <c r="W68" s="9">
        <f t="shared" si="333"/>
        <v>0</v>
      </c>
      <c r="X68" s="65" t="str">
        <f>IFERROR(__xludf.DUMMYFUNCTION("IFERROR(
  VLOOKUP(
    A68,
    IMPORTRANGE(
      ""1ZHMy3vVUd_0MrSduXTe1etBb1HNpAlGwQr006ljwMiM"",
      ""GSC最新!A:R""
    ),
    9,
    FALSE
  ),
  0
)
"),"")</f>
        <v/>
      </c>
      <c r="Y68" s="65" t="str">
        <f>IFERROR(__xludf.DUMMYFUNCTION("IFERROR(
  VLOOKUP(
    A68,
    IMPORTRANGE(
      ""1ZHMy3vVUd_0MrSduXTe1etBb1HNpAlGwQr006ljwMiM"",
      ""GSC最新!A:R""
    ),
    12,
    FALSE
  ),
  0
)
"),"")</f>
        <v/>
      </c>
      <c r="Z68" s="65" t="str">
        <f>IFERROR(__xludf.DUMMYFUNCTION("IFERROR(
  VLOOKUP(
    A68,
    IMPORTRANGE(
      ""1ZHMy3vVUd_0MrSduXTe1etBb1HNpAlGwQr006ljwMiM"",
      ""GSC最新!A:R""
    ),
    15,
    FALSE
  ),
  0
)
"),"")</f>
        <v/>
      </c>
      <c r="AA68" s="65" t="str">
        <f>IFERROR(__xludf.DUMMYFUNCTION("IFERROR(
  VLOOKUP(
    A68,
    IMPORTRANGE(
      ""1ZHMy3vVUd_0MrSduXTe1etBb1HNpAlGwQr006ljwMiM"",
      ""GSC最新!A:R""
    ),
    18,
    FALSE
  ),
  0
)
"),"")</f>
        <v/>
      </c>
      <c r="AB68" s="65">
        <f t="shared" ref="AB68:AC68" si="334">X68-Z68</f>
        <v>0</v>
      </c>
      <c r="AC68" s="65">
        <f t="shared" si="334"/>
        <v>0</v>
      </c>
      <c r="AD68" s="53">
        <f>IFERROR(__xludf.DUMMYFUNCTION("IFERROR(
  VLOOKUP(
    A68,
    IMPORTRANGE(
      ""1ZHMy3vVUd_0MrSduXTe1etBb1HNpAlGwQr006ljwMiM"",
      ""GSC最新!A:F""
    ),
    6,
    FALSE
  ),
  0
)
"),46081.0)</f>
        <v>46081</v>
      </c>
      <c r="AE68" s="54">
        <f>IFERROR(__xludf.DUMMYFUNCTION("IFERROR(
  VLOOKUP(
    A68,
    IMPORTRANGE(
      ""1SCYQd7_cobOYqT0r_F0IqD4tE4rYn5y8Eup4PJTH8es"",
      ""Snapshot!A:M""
    ),
    5,
    FALSE
  ),
  ""-""
)
"),8.0)</f>
        <v>8</v>
      </c>
      <c r="AF68" s="54">
        <f>IFERROR(__xludf.DUMMYFUNCTION("IFERROR(
  VLOOKUP(
    A68,
    IMPORTRANGE(
      ""1SCYQd7_cobOYqT0r_F0IqD4tE4rYn5y8Eup4PJTH8es"",
      ""Snapshot!A:M""
    ),
    6,
    FALSE
  ),
  0
)
"),14.0)</f>
        <v>14</v>
      </c>
      <c r="AG68" s="54">
        <f>IFERROR(__xludf.DUMMYFUNCTION("IFERROR(
  VLOOKUP(
    A68,
    IMPORTRANGE(
      ""1SCYQd7_cobOYqT0r_F0IqD4tE4rYn5y8Eup4PJTH8es"",
      ""Snapshot!A:M""
    ),
    7,
    FALSE
  ),
  0
)
"),2257.0)</f>
        <v>2257</v>
      </c>
      <c r="AH68" s="54">
        <f>IFERROR(__xludf.DUMMYFUNCTION("IFERROR(
  VLOOKUP(
    A68,
    IMPORTRANGE(
      ""1SCYQd7_cobOYqT0r_F0IqD4tE4rYn5y8Eup4PJTH8es"",
      ""Snapshot!A:M""
    ),
    8,
    FALSE
  ),
  0
)
"),5.0)</f>
        <v>5</v>
      </c>
      <c r="AI68" s="54">
        <f>IFERROR(__xludf.DUMMYFUNCTION("IFERROR(
  VLOOKUP(
    A68,
    IMPORTRANGE(
      ""1SCYQd7_cobOYqT0r_F0IqD4tE4rYn5y8Eup4PJTH8es"",
      ""Snapshot!A:M""
    ),
    9,
    FALSE
  ),
  0
)
"),5.0)</f>
        <v>5</v>
      </c>
      <c r="AJ68" s="54">
        <f>IFERROR(__xludf.DUMMYFUNCTION("IFERROR(
  VLOOKUP(
    A68,
    IMPORTRANGE(
      ""1SCYQd7_cobOYqT0r_F0IqD4tE4rYn5y8Eup4PJTH8es"",
      ""Snapshot!A:M""
    ),
    13,
    FALSE
  ),
  0
)
"),2.0)</f>
        <v>2</v>
      </c>
      <c r="AK68" s="49">
        <f t="shared" ref="AK68:AL68" si="335">LEN(C68)</f>
        <v>47</v>
      </c>
      <c r="AL68" s="49">
        <f t="shared" si="335"/>
        <v>55</v>
      </c>
    </row>
    <row r="69">
      <c r="A69" s="56" t="s">
        <v>882</v>
      </c>
      <c r="B69" s="1" t="s">
        <v>32</v>
      </c>
      <c r="C69" s="1" t="str">
        <f>IFERROR(__xludf.DUMMYFUNCTION("IFERROR(
  VLOOKUP(
    A69,
    IMPORTRANGE(
      ""1ZygntHC1J6IxzKbTidmOyf5nUyW4GCLurHCjexrLm_o"",
      ""HTMLキャッシュ!A:F""
    ),
    5,
    FALSE
  ),
  0
)
"),"模試で「知ってるのに解けない」を防ぐ｜用語の“引き出し”の作り方 - 受験社会専門塾「令和」")</f>
        <v>模試で「知ってるのに解けない」を防ぐ｜用語の“引き出し”の作り方 - 受験社会専門塾「令和」</v>
      </c>
      <c r="D69" s="1" t="str">
        <f>IFERROR(__xludf.DUMMYFUNCTION("IFERROR(
  VLOOKUP(
    A69,
    IMPORTRANGE(
      ""1ZygntHC1J6IxzKbTidmOyf5nUyW4GCLurHCjexrLm_o        "",
      ""HTMLキャッシュ!A:F""
    ),
    6,
    FALSE
  ),
  0
)
"),"社会の悩み一覧（ハブ）へ 「漢字も書けるし、一問一答も満点。なのに、初見問題になると手が止まってしまう……」")</f>
        <v>社会の悩み一覧（ハブ）へ 「漢字も書けるし、一問一答も満点。なのに、初見問題になると手が止まってしまう……」</v>
      </c>
      <c r="E69" s="32">
        <f>IFERROR(__xludf.DUMMYFUNCTION("IFERROR(
  VLOOKUP(
    A69,
    IMPORTRANGE(
      ""1ZygntHC1J6IxzKbTidmOyf5nUyW4GCLurHCjexrLm_o        "",
      ""HTMLキャッシュ!A:F""
    ),
    3,
    FALSE
  ),
  0
)
"),46080.64371527778)</f>
        <v>46080.64372</v>
      </c>
      <c r="F69" s="49">
        <f>IFERROR(__xludf.DUMMYFUNCTION("IFERROR(
  VLOOKUP(
    A69,
    IMPORTRANGE(
      ""1ZHMy3vVUd_0MrSduXTe1etBb1HNpAlGwQr006ljwMiM"",
      ""GSC最新!A:F""
    ),
    2,
    FALSE
  ),
  0
)
"),0.0)</f>
        <v>0</v>
      </c>
      <c r="G69" s="49">
        <f>IFERROR(__xludf.DUMMYFUNCTION("IFERROR(
  VLOOKUP(
    A69,
    IMPORTRANGE(
      ""1ZHMy3vVUd_0MrSduXTe1etBb1HNpAlGwQr006ljwMiM"",
      ""GSC最新!A:F""
    ),
    3,
    FALSE
  ),
  0
)
"),0.0)</f>
        <v>0</v>
      </c>
      <c r="H69" s="49">
        <f>IFERROR(__xludf.DUMMYFUNCTION("IFERROR(
  VLOOKUP(
    A69,
    IMPORTRANGE(
      ""1ZHMy3vVUd_0MrSduXTe1etBb1HNpAlGwQr006ljwMiM"",
      ""GSC最新!A:F""
    ),
    4,
    FALSE
  ),
  0
)
"),0.0)</f>
        <v>0</v>
      </c>
      <c r="I69" s="49">
        <f>IFERROR(__xludf.DUMMYFUNCTION("IFERROR(
  VLOOKUP(
    A69,
    IMPORTRANGE(
      ""1ZHMy3vVUd_0MrSduXTe1etBb1HNpAlGwQr006ljwMiM"",
      ""GSC最新!A:F""
    ),
    5,
    FALSE
  ),
  0
)
"),0.0)</f>
        <v>0</v>
      </c>
      <c r="J69" s="50" t="str">
        <f t="shared" ref="J69:K69" si="336">IFERROR(F69/H69,"-")</f>
        <v>-</v>
      </c>
      <c r="K69" s="50" t="str">
        <f t="shared" si="336"/>
        <v>-</v>
      </c>
      <c r="L69" s="6">
        <f>IFERROR(__xludf.DUMMYFUNCTION("IFERROR(
  VLOOKUP(
    A69,
    IMPORTRANGE(
      ""1ZHMy3vVUd_0MrSduXTe1etBb1HNpAlGwQr006ljwMiM"",
      ""GSC最新!A:R""
    ),
    7,
    FALSE
  ),
  0
)
"),0.0)</f>
        <v>0</v>
      </c>
      <c r="M69" s="6">
        <f>IFERROR(__xludf.DUMMYFUNCTION("IFERROR(
  VLOOKUP(
    A69,
    IMPORTRANGE(
      ""1ZHMy3vVUd_0MrSduXTe1etBb1HNpAlGwQr006ljwMiM"",
      ""GSC最新!A:R""
    ),
    10,
    FALSE
  ),
  0
)
"),0.0)</f>
        <v>0</v>
      </c>
      <c r="N69" s="6">
        <f>IFERROR(__xludf.DUMMYFUNCTION("IFERROR(
  VLOOKUP(
    A69,
    IMPORTRANGE(
      ""1ZHMy3vVUd_0MrSduXTe1etBb1HNpAlGwQr006ljwMiM"",
      ""GSC最新!A:R""
    ),
    13,
    FALSE
  ),
  0
)
"),0.0)</f>
        <v>0</v>
      </c>
      <c r="O69" s="6">
        <f>IFERROR(__xludf.DUMMYFUNCTION("IFERROR(
  VLOOKUP(
    A69,
    IMPORTRANGE(
      ""1ZHMy3vVUd_0MrSduXTe1etBb1HNpAlGwQr006ljwMiM"",
      ""GSC最新!A:R""
    ),
    16,
    FALSE
  ),
  0
)
"),0.0)</f>
        <v>0</v>
      </c>
      <c r="P69" s="51" t="str">
        <f t="shared" ref="P69:Q69" si="337">IFERROR(L69/N69,"-")</f>
        <v>-</v>
      </c>
      <c r="Q69" s="51" t="str">
        <f t="shared" si="337"/>
        <v>-</v>
      </c>
      <c r="R69" s="9">
        <f>IFERROR(__xludf.DUMMYFUNCTION("IFERROR(
  VLOOKUP(
    A69,
    IMPORTRANGE(
      ""1ZHMy3vVUd_0MrSduXTe1etBb1HNpAlGwQr006ljwMiM"",
      ""GSC最新!A:R""
    ),
    8,
    FALSE
  ),
  0
)
"),0.0)</f>
        <v>0</v>
      </c>
      <c r="S69" s="9">
        <f>IFERROR(__xludf.DUMMYFUNCTION("IFERROR(
  VLOOKUP(
    A69,
    IMPORTRANGE(
      ""1ZHMy3vVUd_0MrSduXTe1etBb1HNpAlGwQr006ljwMiM"",
      ""GSC最新!A:R""
    ),
    11,
    FALSE
  ),
  0
)
"),0.0)</f>
        <v>0</v>
      </c>
      <c r="T69" s="9">
        <f>IFERROR(__xludf.DUMMYFUNCTION("IFERROR(
  VLOOKUP(
    A69,
    IMPORTRANGE(
      ""1ZHMy3vVUd_0MrSduXTe1etBb1HNpAlGwQr006ljwMiM"",
      ""GSC最新!A:R""
    ),
    14,
    FALSE
  ),
  0
)
"),0.0)</f>
        <v>0</v>
      </c>
      <c r="U69" s="9">
        <f>IFERROR(__xludf.DUMMYFUNCTION("IFERROR(
  VLOOKUP(
    A69,
    IMPORTRANGE(
      ""1ZHMy3vVUd_0MrSduXTe1etBb1HNpAlGwQr006ljwMiM"",
      ""GSC最新!A:R""
    ),
    17,
    FALSE
  ),
  0
)
"),0.0)</f>
        <v>0</v>
      </c>
      <c r="V69" s="9">
        <f t="shared" ref="V69:W69" si="338">IFERROR(R69-T69,"-")</f>
        <v>0</v>
      </c>
      <c r="W69" s="9">
        <f t="shared" si="338"/>
        <v>0</v>
      </c>
      <c r="X69" s="65" t="str">
        <f>IFERROR(__xludf.DUMMYFUNCTION("IFERROR(
  VLOOKUP(
    A69,
    IMPORTRANGE(
      ""1ZHMy3vVUd_0MrSduXTe1etBb1HNpAlGwQr006ljwMiM"",
      ""GSC最新!A:R""
    ),
    9,
    FALSE
  ),
  0
)
"),"")</f>
        <v/>
      </c>
      <c r="Y69" s="65" t="str">
        <f>IFERROR(__xludf.DUMMYFUNCTION("IFERROR(
  VLOOKUP(
    A69,
    IMPORTRANGE(
      ""1ZHMy3vVUd_0MrSduXTe1etBb1HNpAlGwQr006ljwMiM"",
      ""GSC最新!A:R""
    ),
    12,
    FALSE
  ),
  0
)
"),"")</f>
        <v/>
      </c>
      <c r="Z69" s="65" t="str">
        <f>IFERROR(__xludf.DUMMYFUNCTION("IFERROR(
  VLOOKUP(
    A69,
    IMPORTRANGE(
      ""1ZHMy3vVUd_0MrSduXTe1etBb1HNpAlGwQr006ljwMiM"",
      ""GSC最新!A:R""
    ),
    15,
    FALSE
  ),
  0
)
"),"")</f>
        <v/>
      </c>
      <c r="AA69" s="65" t="str">
        <f>IFERROR(__xludf.DUMMYFUNCTION("IFERROR(
  VLOOKUP(
    A69,
    IMPORTRANGE(
      ""1ZHMy3vVUd_0MrSduXTe1etBb1HNpAlGwQr006ljwMiM"",
      ""GSC最新!A:R""
    ),
    18,
    FALSE
  ),
  0
)
"),"")</f>
        <v/>
      </c>
      <c r="AB69" s="65">
        <f t="shared" ref="AB69:AC69" si="339">X69-Z69</f>
        <v>0</v>
      </c>
      <c r="AC69" s="65">
        <f t="shared" si="339"/>
        <v>0</v>
      </c>
      <c r="AD69" s="53">
        <f>IFERROR(__xludf.DUMMYFUNCTION("IFERROR(
  VLOOKUP(
    A69,
    IMPORTRANGE(
      ""1ZHMy3vVUd_0MrSduXTe1etBb1HNpAlGwQr006ljwMiM"",
      ""GSC最新!A:F""
    ),
    6,
    FALSE
  ),
  0
)
"),46081.0)</f>
        <v>46081</v>
      </c>
      <c r="AE69" s="54">
        <f>IFERROR(__xludf.DUMMYFUNCTION("IFERROR(
  VLOOKUP(
    A69,
    IMPORTRANGE(
      ""1SCYQd7_cobOYqT0r_F0IqD4tE4rYn5y8Eup4PJTH8es"",
      ""Snapshot!A:M""
    ),
    5,
    FALSE
  ),
  ""-""
)
"),8.0)</f>
        <v>8</v>
      </c>
      <c r="AF69" s="54">
        <f>IFERROR(__xludf.DUMMYFUNCTION("IFERROR(
  VLOOKUP(
    A69,
    IMPORTRANGE(
      ""1SCYQd7_cobOYqT0r_F0IqD4tE4rYn5y8Eup4PJTH8es"",
      ""Snapshot!A:M""
    ),
    6,
    FALSE
  ),
  0
)
"),11.0)</f>
        <v>11</v>
      </c>
      <c r="AG69" s="54">
        <f>IFERROR(__xludf.DUMMYFUNCTION("IFERROR(
  VLOOKUP(
    A69,
    IMPORTRANGE(
      ""1SCYQd7_cobOYqT0r_F0IqD4tE4rYn5y8Eup4PJTH8es"",
      ""Snapshot!A:M""
    ),
    7,
    FALSE
  ),
  0
)
"),2389.0)</f>
        <v>2389</v>
      </c>
      <c r="AH69" s="54">
        <f>IFERROR(__xludf.DUMMYFUNCTION("IFERROR(
  VLOOKUP(
    A69,
    IMPORTRANGE(
      ""1SCYQd7_cobOYqT0r_F0IqD4tE4rYn5y8Eup4PJTH8es"",
      ""Snapshot!A:M""
    ),
    8,
    FALSE
  ),
  0
)
"),5.0)</f>
        <v>5</v>
      </c>
      <c r="AI69" s="54">
        <f>IFERROR(__xludf.DUMMYFUNCTION("IFERROR(
  VLOOKUP(
    A69,
    IMPORTRANGE(
      ""1SCYQd7_cobOYqT0r_F0IqD4tE4rYn5y8Eup4PJTH8es"",
      ""Snapshot!A:M""
    ),
    9,
    FALSE
  ),
  0
)
"),5.0)</f>
        <v>5</v>
      </c>
      <c r="AJ69" s="54">
        <f>IFERROR(__xludf.DUMMYFUNCTION("IFERROR(
  VLOOKUP(
    A69,
    IMPORTRANGE(
      ""1SCYQd7_cobOYqT0r_F0IqD4tE4rYn5y8Eup4PJTH8es"",
      ""Snapshot!A:M""
    ),
    13,
    FALSE
  ),
  0
)
"),2.0)</f>
        <v>2</v>
      </c>
      <c r="AK69" s="49">
        <f t="shared" ref="AK69:AL69" si="340">LEN(C69)</f>
        <v>46</v>
      </c>
      <c r="AL69" s="49">
        <f t="shared" si="340"/>
        <v>54</v>
      </c>
    </row>
    <row r="70">
      <c r="A70" s="56" t="s">
        <v>883</v>
      </c>
      <c r="B70" s="1" t="s">
        <v>32</v>
      </c>
      <c r="C70" s="1" t="str">
        <f>IFERROR(__xludf.DUMMYFUNCTION("IFERROR(
  VLOOKUP(
    A70,
    IMPORTRANGE(
      ""1ZygntHC1J6IxzKbTidmOyf5nUyW4GCLurHCjexrLm_o"",
      ""HTMLキャッシュ!A:F""
    ),
    5,
    FALSE
  ),
  0
)
"),"歴史資料問題の解き方｜絵・写真・文章史料の“見るべき点” - 受験社会専門塾「令和」")</f>
        <v>歴史資料問題の解き方｜絵・写真・文章史料の“見るべき点” - 受験社会専門塾「令和」</v>
      </c>
      <c r="D70" s="1" t="str">
        <f>IFERROR(__xludf.DUMMYFUNCTION("IFERROR(
  VLOOKUP(
    A70,
    IMPORTRANGE(
      ""1ZygntHC1J6IxzKbTidmOyf5nUyW4GCLurHCjexrLm_o        "",
      ""HTMLキャッシュ!A:F""
    ),
    6,
    FALSE
  ),
  0
)
"),"社会の悩み一覧（ハブ）へ 歴史：資料問題のミス対策 中学受験 小4〜小6向け 歴史資料問題の解き方｜絵・写真・")</f>
        <v>社会の悩み一覧（ハブ）へ 歴史：資料問題のミス対策 中学受験 小4〜小6向け 歴史資料問題の解き方｜絵・写真・</v>
      </c>
      <c r="E70" s="32">
        <f>IFERROR(__xludf.DUMMYFUNCTION("IFERROR(
  VLOOKUP(
    A70,
    IMPORTRANGE(
      ""1ZygntHC1J6IxzKbTidmOyf5nUyW4GCLurHCjexrLm_o        "",
      ""HTMLキャッシュ!A:F""
    ),
    3,
    FALSE
  ),
  0
)
"),46080.70539351852)</f>
        <v>46080.70539</v>
      </c>
      <c r="F70" s="49">
        <f>IFERROR(__xludf.DUMMYFUNCTION("IFERROR(
  VLOOKUP(
    A70,
    IMPORTRANGE(
      ""1ZHMy3vVUd_0MrSduXTe1etBb1HNpAlGwQr006ljwMiM"",
      ""GSC最新!A:F""
    ),
    2,
    FALSE
  ),
  0
)
"),0.0)</f>
        <v>0</v>
      </c>
      <c r="G70" s="49">
        <f>IFERROR(__xludf.DUMMYFUNCTION("IFERROR(
  VLOOKUP(
    A70,
    IMPORTRANGE(
      ""1ZHMy3vVUd_0MrSduXTe1etBb1HNpAlGwQr006ljwMiM"",
      ""GSC最新!A:F""
    ),
    3,
    FALSE
  ),
  0
)
"),0.0)</f>
        <v>0</v>
      </c>
      <c r="H70" s="49">
        <f>IFERROR(__xludf.DUMMYFUNCTION("IFERROR(
  VLOOKUP(
    A70,
    IMPORTRANGE(
      ""1ZHMy3vVUd_0MrSduXTe1etBb1HNpAlGwQr006ljwMiM"",
      ""GSC最新!A:F""
    ),
    4,
    FALSE
  ),
  0
)
"),0.0)</f>
        <v>0</v>
      </c>
      <c r="I70" s="49">
        <f>IFERROR(__xludf.DUMMYFUNCTION("IFERROR(
  VLOOKUP(
    A70,
    IMPORTRANGE(
      ""1ZHMy3vVUd_0MrSduXTe1etBb1HNpAlGwQr006ljwMiM"",
      ""GSC最新!A:F""
    ),
    5,
    FALSE
  ),
  0
)
"),0.0)</f>
        <v>0</v>
      </c>
      <c r="J70" s="50" t="str">
        <f t="shared" ref="J70:K70" si="341">IFERROR(F70/H70,"-")</f>
        <v>-</v>
      </c>
      <c r="K70" s="50" t="str">
        <f t="shared" si="341"/>
        <v>-</v>
      </c>
      <c r="L70" s="6">
        <f>IFERROR(__xludf.DUMMYFUNCTION("IFERROR(
  VLOOKUP(
    A70,
    IMPORTRANGE(
      ""1ZHMy3vVUd_0MrSduXTe1etBb1HNpAlGwQr006ljwMiM"",
      ""GSC最新!A:R""
    ),
    7,
    FALSE
  ),
  0
)
"),0.0)</f>
        <v>0</v>
      </c>
      <c r="M70" s="6">
        <f>IFERROR(__xludf.DUMMYFUNCTION("IFERROR(
  VLOOKUP(
    A70,
    IMPORTRANGE(
      ""1ZHMy3vVUd_0MrSduXTe1etBb1HNpAlGwQr006ljwMiM"",
      ""GSC最新!A:R""
    ),
    10,
    FALSE
  ),
  0
)
"),0.0)</f>
        <v>0</v>
      </c>
      <c r="N70" s="6">
        <f>IFERROR(__xludf.DUMMYFUNCTION("IFERROR(
  VLOOKUP(
    A70,
    IMPORTRANGE(
      ""1ZHMy3vVUd_0MrSduXTe1etBb1HNpAlGwQr006ljwMiM"",
      ""GSC最新!A:R""
    ),
    13,
    FALSE
  ),
  0
)
"),0.0)</f>
        <v>0</v>
      </c>
      <c r="O70" s="6">
        <f>IFERROR(__xludf.DUMMYFUNCTION("IFERROR(
  VLOOKUP(
    A70,
    IMPORTRANGE(
      ""1ZHMy3vVUd_0MrSduXTe1etBb1HNpAlGwQr006ljwMiM"",
      ""GSC最新!A:R""
    ),
    16,
    FALSE
  ),
  0
)
"),0.0)</f>
        <v>0</v>
      </c>
      <c r="P70" s="51" t="str">
        <f t="shared" ref="P70:Q70" si="342">IFERROR(L70/N70,"-")</f>
        <v>-</v>
      </c>
      <c r="Q70" s="51" t="str">
        <f t="shared" si="342"/>
        <v>-</v>
      </c>
      <c r="R70" s="9">
        <f>IFERROR(__xludf.DUMMYFUNCTION("IFERROR(
  VLOOKUP(
    A70,
    IMPORTRANGE(
      ""1ZHMy3vVUd_0MrSduXTe1etBb1HNpAlGwQr006ljwMiM"",
      ""GSC最新!A:R""
    ),
    8,
    FALSE
  ),
  0
)
"),0.0)</f>
        <v>0</v>
      </c>
      <c r="S70" s="9">
        <f>IFERROR(__xludf.DUMMYFUNCTION("IFERROR(
  VLOOKUP(
    A70,
    IMPORTRANGE(
      ""1ZHMy3vVUd_0MrSduXTe1etBb1HNpAlGwQr006ljwMiM"",
      ""GSC最新!A:R""
    ),
    11,
    FALSE
  ),
  0
)
"),0.0)</f>
        <v>0</v>
      </c>
      <c r="T70" s="9">
        <f>IFERROR(__xludf.DUMMYFUNCTION("IFERROR(
  VLOOKUP(
    A70,
    IMPORTRANGE(
      ""1ZHMy3vVUd_0MrSduXTe1etBb1HNpAlGwQr006ljwMiM"",
      ""GSC最新!A:R""
    ),
    14,
    FALSE
  ),
  0
)
"),0.0)</f>
        <v>0</v>
      </c>
      <c r="U70" s="9">
        <f>IFERROR(__xludf.DUMMYFUNCTION("IFERROR(
  VLOOKUP(
    A70,
    IMPORTRANGE(
      ""1ZHMy3vVUd_0MrSduXTe1etBb1HNpAlGwQr006ljwMiM"",
      ""GSC最新!A:R""
    ),
    17,
    FALSE
  ),
  0
)
"),0.0)</f>
        <v>0</v>
      </c>
      <c r="V70" s="9">
        <f t="shared" ref="V70:W70" si="343">IFERROR(R70-T70,"-")</f>
        <v>0</v>
      </c>
      <c r="W70" s="9">
        <f t="shared" si="343"/>
        <v>0</v>
      </c>
      <c r="X70" s="65" t="str">
        <f>IFERROR(__xludf.DUMMYFUNCTION("IFERROR(
  VLOOKUP(
    A70,
    IMPORTRANGE(
      ""1ZHMy3vVUd_0MrSduXTe1etBb1HNpAlGwQr006ljwMiM"",
      ""GSC最新!A:R""
    ),
    9,
    FALSE
  ),
  0
)
"),"")</f>
        <v/>
      </c>
      <c r="Y70" s="65" t="str">
        <f>IFERROR(__xludf.DUMMYFUNCTION("IFERROR(
  VLOOKUP(
    A70,
    IMPORTRANGE(
      ""1ZHMy3vVUd_0MrSduXTe1etBb1HNpAlGwQr006ljwMiM"",
      ""GSC最新!A:R""
    ),
    12,
    FALSE
  ),
  0
)
"),"")</f>
        <v/>
      </c>
      <c r="Z70" s="65" t="str">
        <f>IFERROR(__xludf.DUMMYFUNCTION("IFERROR(
  VLOOKUP(
    A70,
    IMPORTRANGE(
      ""1ZHMy3vVUd_0MrSduXTe1etBb1HNpAlGwQr006ljwMiM"",
      ""GSC最新!A:R""
    ),
    15,
    FALSE
  ),
  0
)
"),"")</f>
        <v/>
      </c>
      <c r="AA70" s="65" t="str">
        <f>IFERROR(__xludf.DUMMYFUNCTION("IFERROR(
  VLOOKUP(
    A70,
    IMPORTRANGE(
      ""1ZHMy3vVUd_0MrSduXTe1etBb1HNpAlGwQr006ljwMiM"",
      ""GSC最新!A:R""
    ),
    18,
    FALSE
  ),
  0
)
"),"")</f>
        <v/>
      </c>
      <c r="AB70" s="65">
        <f t="shared" ref="AB70:AC70" si="344">X70-Z70</f>
        <v>0</v>
      </c>
      <c r="AC70" s="65">
        <f t="shared" si="344"/>
        <v>0</v>
      </c>
      <c r="AD70" s="53">
        <f>IFERROR(__xludf.DUMMYFUNCTION("IFERROR(
  VLOOKUP(
    A70,
    IMPORTRANGE(
      ""1ZHMy3vVUd_0MrSduXTe1etBb1HNpAlGwQr006ljwMiM"",
      ""GSC最新!A:F""
    ),
    6,
    FALSE
  ),
  0
)
"),46081.0)</f>
        <v>46081</v>
      </c>
      <c r="AE70" s="54">
        <f>IFERROR(__xludf.DUMMYFUNCTION("IFERROR(
  VLOOKUP(
    A70,
    IMPORTRANGE(
      ""1SCYQd7_cobOYqT0r_F0IqD4tE4rYn5y8Eup4PJTH8es"",
      ""Snapshot!A:M""
    ),
    5,
    FALSE
  ),
  ""-""
)
"),8.0)</f>
        <v>8</v>
      </c>
      <c r="AF70" s="54">
        <f>IFERROR(__xludf.DUMMYFUNCTION("IFERROR(
  VLOOKUP(
    A70,
    IMPORTRANGE(
      ""1SCYQd7_cobOYqT0r_F0IqD4tE4rYn5y8Eup4PJTH8es"",
      ""Snapshot!A:M""
    ),
    6,
    FALSE
  ),
  0
)
"),10.0)</f>
        <v>10</v>
      </c>
      <c r="AG70" s="54">
        <f>IFERROR(__xludf.DUMMYFUNCTION("IFERROR(
  VLOOKUP(
    A70,
    IMPORTRANGE(
      ""1SCYQd7_cobOYqT0r_F0IqD4tE4rYn5y8Eup4PJTH8es"",
      ""Snapshot!A:M""
    ),
    7,
    FALSE
  ),
  0
)
"),2623.0)</f>
        <v>2623</v>
      </c>
      <c r="AH70" s="54">
        <f>IFERROR(__xludf.DUMMYFUNCTION("IFERROR(
  VLOOKUP(
    A70,
    IMPORTRANGE(
      ""1SCYQd7_cobOYqT0r_F0IqD4tE4rYn5y8Eup4PJTH8es"",
      ""Snapshot!A:M""
    ),
    8,
    FALSE
  ),
  0
)
"),6.0)</f>
        <v>6</v>
      </c>
      <c r="AI70" s="54">
        <f>IFERROR(__xludf.DUMMYFUNCTION("IFERROR(
  VLOOKUP(
    A70,
    IMPORTRANGE(
      ""1SCYQd7_cobOYqT0r_F0IqD4tE4rYn5y8Eup4PJTH8es"",
      ""Snapshot!A:M""
    ),
    9,
    FALSE
  ),
  0
)
"),7.0)</f>
        <v>7</v>
      </c>
      <c r="AJ70" s="54">
        <f>IFERROR(__xludf.DUMMYFUNCTION("IFERROR(
  VLOOKUP(
    A70,
    IMPORTRANGE(
      ""1SCYQd7_cobOYqT0r_F0IqD4tE4rYn5y8Eup4PJTH8es"",
      ""Snapshot!A:M""
    ),
    13,
    FALSE
  ),
  0
)
"),2.0)</f>
        <v>2</v>
      </c>
      <c r="AK70" s="49">
        <f t="shared" ref="AK70:AL70" si="345">LEN(C70)</f>
        <v>42</v>
      </c>
      <c r="AL70" s="49">
        <f t="shared" si="345"/>
        <v>55</v>
      </c>
    </row>
    <row r="71">
      <c r="A71" s="56" t="s">
        <v>884</v>
      </c>
      <c r="B71" s="1" t="s">
        <v>32</v>
      </c>
      <c r="C71" s="1" t="str">
        <f>IFERROR(__xludf.DUMMYFUNCTION("IFERROR(
  VLOOKUP(
    A71,
    IMPORTRANGE(
      ""1ZygntHC1J6IxzKbTidmOyf5nUyW4GCLurHCjexrLm_o"",
      ""HTMLキャッシュ!A:F""
    ),
    5,
    FALSE
  ),
  0
)
"),"地図が読めない子のための「位置→地形→気候→産業」のつなげ方 - 受験社会専門塾「令和」")</f>
        <v>地図が読めない子のための「位置→地形→気候→産業」のつなげ方 - 受験社会専門塾「令和」</v>
      </c>
      <c r="D71" s="1" t="str">
        <f>IFERROR(__xludf.DUMMYFUNCTION("IFERROR(
  VLOOKUP(
    A71,
    IMPORTRANGE(
      ""1ZygntHC1J6IxzKbTidmOyf5nUyW4GCLurHCjexrLm_o        "",
      ""HTMLキャッシュ!A:F""
    ),
    6,
    FALSE
  ),
  0
)
"),"社会の悩み一覧（ハブ）へ 地理の悩み：地図が読めない 理由を答える力 位置→地形→気候→産業 地図が読めない子")</f>
        <v>社会の悩み一覧（ハブ）へ 地理の悩み：地図が読めない 理由を答える力 位置→地形→気候→産業 地図が読めない子</v>
      </c>
      <c r="E71" s="32">
        <f>IFERROR(__xludf.DUMMYFUNCTION("IFERROR(
  VLOOKUP(
    A71,
    IMPORTRANGE(
      ""1ZygntHC1J6IxzKbTidmOyf5nUyW4GCLurHCjexrLm_o        "",
      ""HTMLキャッシュ!A:F""
    ),
    3,
    FALSE
  ),
  0
)
"),46080.75144675926)</f>
        <v>46080.75145</v>
      </c>
      <c r="F71" s="49">
        <f>IFERROR(__xludf.DUMMYFUNCTION("IFERROR(
  VLOOKUP(
    A71,
    IMPORTRANGE(
      ""1ZHMy3vVUd_0MrSduXTe1etBb1HNpAlGwQr006ljwMiM"",
      ""GSC最新!A:F""
    ),
    2,
    FALSE
  ),
  0
)
"),0.0)</f>
        <v>0</v>
      </c>
      <c r="G71" s="49">
        <f>IFERROR(__xludf.DUMMYFUNCTION("IFERROR(
  VLOOKUP(
    A71,
    IMPORTRANGE(
      ""1ZHMy3vVUd_0MrSduXTe1etBb1HNpAlGwQr006ljwMiM"",
      ""GSC最新!A:F""
    ),
    3,
    FALSE
  ),
  0
)
"),0.0)</f>
        <v>0</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"),0.0)</f>
        <v>0</v>
      </c>
      <c r="J71" s="50" t="str">
        <f t="shared" ref="J71:K71" si="346">IFERROR(F71/H71,"-")</f>
        <v>-</v>
      </c>
      <c r="K71" s="50" t="str">
        <f t="shared" si="346"/>
        <v>-</v>
      </c>
      <c r="L71" s="6">
        <f>IFERROR(__xludf.DUMMYFUNCTION("IFERROR(
  VLOOKUP(
    A71,
    IMPORTRANGE(
      ""1ZHMy3vVUd_0MrSduXTe1etBb1HNpAlGwQr006ljwMiM"",
      ""GSC最新!A:R""
    ),
    7,
    FALSE
  ),
  0
)
"),0.0)</f>
        <v>0</v>
      </c>
      <c r="M71" s="6">
        <f>IFERROR(__xludf.DUMMYFUNCTION("IFERROR(
  VLOOKUP(
    A71,
    IMPORTRANGE(
      ""1ZHMy3vVUd_0MrSduXTe1etBb1HNpAlGwQr006ljwMiM"",
      ""GSC最新!A:R""
    ),
    10,
    FALSE
  ),
  0
)
"),0.0)</f>
        <v>0</v>
      </c>
      <c r="N71" s="6">
        <f>IFERROR(__xludf.DUMMYFUNCTION("IFERROR(
  VLOOKUP(
    A71,
    IMPORTRANGE(
      ""1ZHMy3vVUd_0MrSduXTe1etBb1HNpAlGwQr006ljwMiM"",
      ""GSC最新!A:R""
    ),
    13,
    FALSE
  ),
  0
)
"),0.0)</f>
        <v>0</v>
      </c>
      <c r="O71" s="6">
        <f>IFERROR(__xludf.DUMMYFUNCTION("IFERROR(
  VLOOKUP(
    A71,
    IMPORTRANGE(
      ""1ZHMy3vVUd_0MrSduXTe1etBb1HNpAlGwQr006ljwMiM"",
      ""GSC最新!A:R""
    ),
    16,
    FALSE
  ),
  0
)
"),0.0)</f>
        <v>0</v>
      </c>
      <c r="P71" s="51" t="str">
        <f t="shared" ref="P71:Q71" si="347">IFERROR(L71/N71,"-")</f>
        <v>-</v>
      </c>
      <c r="Q71" s="51" t="str">
        <f t="shared" si="347"/>
        <v>-</v>
      </c>
      <c r="R71" s="9">
        <f>IFERROR(__xludf.DUMMYFUNCTION("IFERROR(
  VLOOKUP(
    A71,
    IMPORTRANGE(
      ""1ZHMy3vVUd_0MrSduXTe1etBb1HNpAlGwQr006ljwMiM"",
      ""GSC最新!A:R""
    ),
    8,
    FALSE
  ),
  0
)
"),0.0)</f>
        <v>0</v>
      </c>
      <c r="S71" s="9">
        <f>IFERROR(__xludf.DUMMYFUNCTION("IFERROR(
  VLOOKUP(
    A71,
    IMPORTRANGE(
      ""1ZHMy3vVUd_0MrSduXTe1etBb1HNpAlGwQr006ljwMiM"",
      ""GSC最新!A:R""
    ),
    11,
    FALSE
  ),
  0
)
"),0.0)</f>
        <v>0</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f>
        <v>0</v>
      </c>
      <c r="V71" s="9">
        <f t="shared" ref="V71:W71" si="348">IFERROR(R71-T71,"-")</f>
        <v>0</v>
      </c>
      <c r="W71" s="9">
        <f t="shared" si="348"/>
        <v>0</v>
      </c>
      <c r="X71" s="65" t="str">
        <f>IFERROR(__xludf.DUMMYFUNCTION("IFERROR(
  VLOOKUP(
    A71,
    IMPORTRANGE(
      ""1ZHMy3vVUd_0MrSduXTe1etBb1HNpAlGwQr006ljwMiM"",
      ""GSC最新!A:R""
    ),
    9,
    FALSE
  ),
  0
)
"),"")</f>
        <v/>
      </c>
      <c r="Y71" s="65" t="str">
        <f>IFERROR(__xludf.DUMMYFUNCTION("IFERROR(
  VLOOKUP(
    A71,
    IMPORTRANGE(
      ""1ZHMy3vVUd_0MrSduXTe1etBb1HNpAlGwQr006ljwMiM"",
      ""GSC最新!A:R""
    ),
    12,
    FALSE
  ),
  0
)
"),"")</f>
        <v/>
      </c>
      <c r="Z71" s="65" t="str">
        <f>IFERROR(__xludf.DUMMYFUNCTION("IFERROR(
  VLOOKUP(
    A71,
    IMPORTRANGE(
      ""1ZHMy3vVUd_0MrSduXTe1etBb1HNpAlGwQr006ljwMiM"",
      ""GSC最新!A:R""
    ),
    15,
    FALSE
  ),
  0
)
"),"")</f>
        <v/>
      </c>
      <c r="AA71" s="65" t="str">
        <f>IFERROR(__xludf.DUMMYFUNCTION("IFERROR(
  VLOOKUP(
    A71,
    IMPORTRANGE(
      ""1ZHMy3vVUd_0MrSduXTe1etBb1HNpAlGwQr006ljwMiM"",
      ""GSC最新!A:R""
    ),
    18,
    FALSE
  ),
  0
)
"),"")</f>
        <v/>
      </c>
      <c r="AB71" s="65">
        <f t="shared" ref="AB71:AC71" si="349">X71-Z71</f>
        <v>0</v>
      </c>
      <c r="AC71" s="65">
        <f t="shared" si="349"/>
        <v>0</v>
      </c>
      <c r="AD71" s="53">
        <f>IFERROR(__xludf.DUMMYFUNCTION("IFERROR(
  VLOOKUP(
    A71,
    IMPORTRANGE(
      ""1ZHMy3vVUd_0MrSduXTe1etBb1HNpAlGwQr006ljwMiM"",
      ""GSC最新!A:F""
    ),
    6,
    FALSE
  ),
  0
)
"),46081.0)</f>
        <v>46081</v>
      </c>
      <c r="AE71" s="54">
        <f>IFERROR(__xludf.DUMMYFUNCTION("IFERROR(
  VLOOKUP(
    A71,
    IMPORTRANGE(
      ""1SCYQd7_cobOYqT0r_F0IqD4tE4rYn5y8Eup4PJTH8es"",
      ""Snapshot!A:M""
    ),
    5,
    FALSE
  ),
  ""-""
)
"),7.0)</f>
        <v>7</v>
      </c>
      <c r="AF71" s="54">
        <f>IFERROR(__xludf.DUMMYFUNCTION("IFERROR(
  VLOOKUP(
    A71,
    IMPORTRANGE(
      ""1SCYQd7_cobOYqT0r_F0IqD4tE4rYn5y8Eup4PJTH8es"",
      ""Snapshot!A:M""
    ),
    6,
    FALSE
  ),
  0
)
"),16.0)</f>
        <v>16</v>
      </c>
      <c r="AG71" s="54">
        <f>IFERROR(__xludf.DUMMYFUNCTION("IFERROR(
  VLOOKUP(
    A71,
    IMPORTRANGE(
      ""1SCYQd7_cobOYqT0r_F0IqD4tE4rYn5y8Eup4PJTH8es"",
      ""Snapshot!A:M""
    ),
    7,
    FALSE
  ),
  0
)
"),2643.0)</f>
        <v>2643</v>
      </c>
      <c r="AH71" s="54">
        <f>IFERROR(__xludf.DUMMYFUNCTION("IFERROR(
  VLOOKUP(
    A71,
    IMPORTRANGE(
      ""1SCYQd7_cobOYqT0r_F0IqD4tE4rYn5y8Eup4PJTH8es"",
      ""Snapshot!A:M""
    ),
    8,
    FALSE
  ),
  0
)
"),5.0)</f>
        <v>5</v>
      </c>
      <c r="AI71" s="54">
        <f>IFERROR(__xludf.DUMMYFUNCTION("IFERROR(
  VLOOKUP(
    A71,
    IMPORTRANGE(
      ""1SCYQd7_cobOYqT0r_F0IqD4tE4rYn5y8Eup4PJTH8es"",
      ""Snapshot!A:M""
    ),
    9,
    FALSE
  ),
  0
)
"),6.0)</f>
        <v>6</v>
      </c>
      <c r="AJ71" s="54">
        <f>IFERROR(__xludf.DUMMYFUNCTION("IFERROR(
  VLOOKUP(
    A71,
    IMPORTRANGE(
      ""1SCYQd7_cobOYqT0r_F0IqD4tE4rYn5y8Eup4PJTH8es"",
      ""Snapshot!A:M""
    ),
    13,
    FALSE
  ),
  0
)
"),2.0)</f>
        <v>2</v>
      </c>
      <c r="AK71" s="49">
        <f t="shared" ref="AK71:AL71" si="350">LEN(C71)</f>
        <v>44</v>
      </c>
      <c r="AL71" s="49">
        <f t="shared" si="350"/>
        <v>55</v>
      </c>
    </row>
    <row r="72">
      <c r="A72" s="56" t="s">
        <v>885</v>
      </c>
      <c r="B72" s="1" t="s">
        <v>32</v>
      </c>
      <c r="C72" s="1" t="str">
        <f>IFERROR(__xludf.DUMMYFUNCTION("IFERROR(
  VLOOKUP(
    A72,
    IMPORTRANGE(
      ""1ZygntHC1J6IxzKbTidmOyf5nUyW4GCLurHCjexrLm_o"",
      ""HTMLキャッシュ!A:F""
    ),
    5,
    FALSE
  ),
  0
)
"),"暗記が苦手でも伸びる子の共通点｜反復回数を増やす仕組み - 受験社会専門塾「令和」")</f>
        <v>暗記が苦手でも伸びる子の共通点｜反復回数を増やす仕組み - 受験社会専門塾「令和」</v>
      </c>
      <c r="D72" s="1" t="str">
        <f>IFERROR(__xludf.DUMMYFUNCTION("IFERROR(
  VLOOKUP(
    A72,
    IMPORTRANGE(
      ""1ZygntHC1J6IxzKbTidmOyf5nUyW4GCLurHCjexrLm_o        "",
      ""HTMLキャッシュ!A:F""
    ),
    6,
    FALSE
  ),
  0
)
"),"社会の悩み一覧（ハブ）へ 社会の悩み：暗記が苦手 伸びる軸：反復の仕組み 当日→翌日→週末 暗記が苦手でも伸び")</f>
        <v>社会の悩み一覧（ハブ）へ 社会の悩み：暗記が苦手 伸びる軸：反復の仕組み 当日→翌日→週末 暗記が苦手でも伸び</v>
      </c>
      <c r="E72" s="32">
        <f>IFERROR(__xludf.DUMMYFUNCTION("IFERROR(
  VLOOKUP(
    A72,
    IMPORTRANGE(
      ""1ZygntHC1J6IxzKbTidmOyf5nUyW4GCLurHCjexrLm_o        "",
      ""HTMLキャッシュ!A:F""
    ),
    3,
    FALSE
  ),
  0
)
"),46080.77783564815)</f>
        <v>46080.77784</v>
      </c>
      <c r="F72" s="49">
        <f>IFERROR(__xludf.DUMMYFUNCTION("IFERROR(
  VLOOKUP(
    A72,
    IMPORTRANGE(
      ""1ZHMy3vVUd_0MrSduXTe1etBb1HNpAlGwQr006ljwMiM"",
      ""GSC最新!A:F""
    ),
    2,
    FALSE
  ),
  0
)
"),0.0)</f>
        <v>0</v>
      </c>
      <c r="G72" s="49">
        <f>IFERROR(__xludf.DUMMYFUNCTION("IFERROR(
  VLOOKUP(
    A72,
    IMPORTRANGE(
      ""1ZHMy3vVUd_0MrSduXTe1etBb1HNpAlGwQr006ljwMiM"",
      ""GSC最新!A:F""
    ),
    3,
    FALSE
  ),
  0
)
"),0.0)</f>
        <v>0</v>
      </c>
      <c r="H72" s="49">
        <f>IFERROR(__xludf.DUMMYFUNCTION("IFERROR(
  VLOOKUP(
    A72,
    IMPORTRANGE(
      ""1ZHMy3vVUd_0MrSduXTe1etBb1HNpAlGwQr006ljwMiM"",
      ""GSC最新!A:F""
    ),
    4,
    FALSE
  ),
  0
)
"),0.0)</f>
        <v>0</v>
      </c>
      <c r="I72" s="49">
        <f>IFERROR(__xludf.DUMMYFUNCTION("IFERROR(
  VLOOKUP(
    A72,
    IMPORTRANGE(
      ""1ZHMy3vVUd_0MrSduXTe1etBb1HNpAlGwQr006ljwMiM"",
      ""GSC最新!A:F""
    ),
    5,
    FALSE
  ),
  0
)
"),0.0)</f>
        <v>0</v>
      </c>
      <c r="J72" s="50" t="str">
        <f t="shared" ref="J72:K72" si="351">IFERROR(F72/H72,"-")</f>
        <v>-</v>
      </c>
      <c r="K72" s="50" t="str">
        <f t="shared" si="351"/>
        <v>-</v>
      </c>
      <c r="L72" s="6">
        <f>IFERROR(__xludf.DUMMYFUNCTION("IFERROR(
  VLOOKUP(
    A72,
    IMPORTRANGE(
      ""1ZHMy3vVUd_0MrSduXTe1etBb1HNpAlGwQr006ljwMiM"",
      ""GSC最新!A:R""
    ),
    7,
    FALSE
  ),
  0
)
"),0.0)</f>
        <v>0</v>
      </c>
      <c r="M72" s="6">
        <f>IFERROR(__xludf.DUMMYFUNCTION("IFERROR(
  VLOOKUP(
    A72,
    IMPORTRANGE(
      ""1ZHMy3vVUd_0MrSduXTe1etBb1HNpAlGwQr006ljwMiM"",
      ""GSC最新!A:R""
    ),
    10,
    FALSE
  ),
  0
)
"),0.0)</f>
        <v>0</v>
      </c>
      <c r="N72" s="6">
        <f>IFERROR(__xludf.DUMMYFUNCTION("IFERROR(
  VLOOKUP(
    A72,
    IMPORTRANGE(
      ""1ZHMy3vVUd_0MrSduXTe1etBb1HNpAlGwQr006ljwMiM"",
      ""GSC最新!A:R""
    ),
    13,
    FALSE
  ),
  0
)
"),0.0)</f>
        <v>0</v>
      </c>
      <c r="O72" s="6">
        <f>IFERROR(__xludf.DUMMYFUNCTION("IFERROR(
  VLOOKUP(
    A72,
    IMPORTRANGE(
      ""1ZHMy3vVUd_0MrSduXTe1etBb1HNpAlGwQr006ljwMiM"",
      ""GSC最新!A:R""
    ),
    16,
    FALSE
  ),
  0
)
"),0.0)</f>
        <v>0</v>
      </c>
      <c r="P72" s="51" t="str">
        <f t="shared" ref="P72:Q72" si="352">IFERROR(L72/N72,"-")</f>
        <v>-</v>
      </c>
      <c r="Q72" s="51" t="str">
        <f t="shared" si="352"/>
        <v>-</v>
      </c>
      <c r="R72" s="9">
        <f>IFERROR(__xludf.DUMMYFUNCTION("IFERROR(
  VLOOKUP(
    A72,
    IMPORTRANGE(
      ""1ZHMy3vVUd_0MrSduXTe1etBb1HNpAlGwQr006ljwMiM"",
      ""GSC最新!A:R""
    ),
    8,
    FALSE
  ),
  0
)
"),0.0)</f>
        <v>0</v>
      </c>
      <c r="S72" s="9">
        <f>IFERROR(__xludf.DUMMYFUNCTION("IFERROR(
  VLOOKUP(
    A72,
    IMPORTRANGE(
      ""1ZHMy3vVUd_0MrSduXTe1etBb1HNpAlGwQr006ljwMiM"",
      ""GSC最新!A:R""
    ),
    11,
    FALSE
  ),
  0
)
"),0.0)</f>
        <v>0</v>
      </c>
      <c r="T72" s="9">
        <f>IFERROR(__xludf.DUMMYFUNCTION("IFERROR(
  VLOOKUP(
    A72,
    IMPORTRANGE(
      ""1ZHMy3vVUd_0MrSduXTe1etBb1HNpAlGwQr006ljwMiM"",
      ""GSC最新!A:R""
    ),
    14,
    FALSE
  ),
  0
)
"),0.0)</f>
        <v>0</v>
      </c>
      <c r="U72" s="9">
        <f>IFERROR(__xludf.DUMMYFUNCTION("IFERROR(
  VLOOKUP(
    A72,
    IMPORTRANGE(
      ""1ZHMy3vVUd_0MrSduXTe1etBb1HNpAlGwQr006ljwMiM"",
      ""GSC最新!A:R""
    ),
    17,
    FALSE
  ),
  0
)
"),0.0)</f>
        <v>0</v>
      </c>
      <c r="V72" s="9">
        <f t="shared" ref="V72:W72" si="353">IFERROR(R72-T72,"-")</f>
        <v>0</v>
      </c>
      <c r="W72" s="9">
        <f t="shared" si="353"/>
        <v>0</v>
      </c>
      <c r="X72" s="65" t="str">
        <f>IFERROR(__xludf.DUMMYFUNCTION("IFERROR(
  VLOOKUP(
    A72,
    IMPORTRANGE(
      ""1ZHMy3vVUd_0MrSduXTe1etBb1HNpAlGwQr006ljwMiM"",
      ""GSC最新!A:R""
    ),
    9,
    FALSE
  ),
  0
)
"),"")</f>
        <v/>
      </c>
      <c r="Y72" s="65" t="str">
        <f>IFERROR(__xludf.DUMMYFUNCTION("IFERROR(
  VLOOKUP(
    A72,
    IMPORTRANGE(
      ""1ZHMy3vVUd_0MrSduXTe1etBb1HNpAlGwQr006ljwMiM"",
      ""GSC最新!A:R""
    ),
    12,
    FALSE
  ),
  0
)
"),"")</f>
        <v/>
      </c>
      <c r="Z72" s="65" t="str">
        <f>IFERROR(__xludf.DUMMYFUNCTION("IFERROR(
  VLOOKUP(
    A72,
    IMPORTRANGE(
      ""1ZHMy3vVUd_0MrSduXTe1etBb1HNpAlGwQr006ljwMiM"",
      ""GSC最新!A:R""
    ),
    15,
    FALSE
  ),
  0
)
"),"")</f>
        <v/>
      </c>
      <c r="AA72" s="65" t="str">
        <f>IFERROR(__xludf.DUMMYFUNCTION("IFERROR(
  VLOOKUP(
    A72,
    IMPORTRANGE(
      ""1ZHMy3vVUd_0MrSduXTe1etBb1HNpAlGwQr006ljwMiM"",
      ""GSC最新!A:R""
    ),
    18,
    FALSE
  ),
  0
)
"),"")</f>
        <v/>
      </c>
      <c r="AB72" s="65">
        <f t="shared" ref="AB72:AC72" si="354">X72-Z72</f>
        <v>0</v>
      </c>
      <c r="AC72" s="65">
        <f t="shared" si="354"/>
        <v>0</v>
      </c>
      <c r="AD72" s="53">
        <f>IFERROR(__xludf.DUMMYFUNCTION("IFERROR(
  VLOOKUP(
    A72,
    IMPORTRANGE(
      ""1ZHMy3vVUd_0MrSduXTe1etBb1HNpAlGwQr006ljwMiM"",
      ""GSC最新!A:F""
    ),
    6,
    FALSE
  ),
  0
)
"),46081.0)</f>
        <v>46081</v>
      </c>
      <c r="AE72" s="54">
        <f>IFERROR(__xludf.DUMMYFUNCTION("IFERROR(
  VLOOKUP(
    A72,
    IMPORTRANGE(
      ""1SCYQd7_cobOYqT0r_F0IqD4tE4rYn5y8Eup4PJTH8es"",
      ""Snapshot!A:M""
    ),
    5,
    FALSE
  ),
  ""-""
)
"),8.0)</f>
        <v>8</v>
      </c>
      <c r="AF72" s="54">
        <f>IFERROR(__xludf.DUMMYFUNCTION("IFERROR(
  VLOOKUP(
    A72,
    IMPORTRANGE(
      ""1SCYQd7_cobOYqT0r_F0IqD4tE4rYn5y8Eup4PJTH8es"",
      ""Snapshot!A:M""
    ),
    6,
    FALSE
  ),
  0
)
"),22.0)</f>
        <v>22</v>
      </c>
      <c r="AG72" s="54">
        <f>IFERROR(__xludf.DUMMYFUNCTION("IFERROR(
  VLOOKUP(
    A72,
    IMPORTRANGE(
      ""1SCYQd7_cobOYqT0r_F0IqD4tE4rYn5y8Eup4PJTH8es"",
      ""Snapshot!A:M""
    ),
    7,
    FALSE
  ),
  0
)
"),2700.0)</f>
        <v>2700</v>
      </c>
      <c r="AH72" s="54">
        <f>IFERROR(__xludf.DUMMYFUNCTION("IFERROR(
  VLOOKUP(
    A72,
    IMPORTRANGE(
      ""1SCYQd7_cobOYqT0r_F0IqD4tE4rYn5y8Eup4PJTH8es"",
      ""Snapshot!A:M""
    ),
    8,
    FALSE
  ),
  0
)
"),3.0)</f>
        <v>3</v>
      </c>
      <c r="AI72" s="54">
        <f>IFERROR(__xludf.DUMMYFUNCTION("IFERROR(
  VLOOKUP(
    A72,
    IMPORTRANGE(
      ""1SCYQd7_cobOYqT0r_F0IqD4tE4rYn5y8Eup4PJTH8es"",
      ""Snapshot!A:M""
    ),
    9,
    FALSE
  ),
  0
)
"),4.0)</f>
        <v>4</v>
      </c>
      <c r="AJ72" s="54">
        <f>IFERROR(__xludf.DUMMYFUNCTION("IFERROR(
  VLOOKUP(
    A72,
    IMPORTRANGE(
      ""1SCYQd7_cobOYqT0r_F0IqD4tE4rYn5y8Eup4PJTH8es"",
      ""Snapshot!A:M""
    ),
    13,
    FALSE
  ),
  0
)
"),2.0)</f>
        <v>2</v>
      </c>
      <c r="AK72" s="49">
        <f t="shared" ref="AK72:AL72" si="355">LEN(C72)</f>
        <v>41</v>
      </c>
      <c r="AL72" s="49">
        <f t="shared" si="355"/>
        <v>55</v>
      </c>
    </row>
    <row r="73">
      <c r="A73" s="56" t="s">
        <v>886</v>
      </c>
      <c r="B73" s="1" t="s">
        <v>32</v>
      </c>
      <c r="C73" s="1" t="str">
        <f>IFERROR(__xludf.DUMMYFUNCTION("IFERROR(
  VLOOKUP(
    A73,
    IMPORTRANGE(
      ""1ZygntHC1J6IxzKbTidmOyf5nUyW4GCLurHCjexrLm_o"",
      ""HTMLキャッシュ!A:F""
    ),
    5,
    FALSE
  ),
  0
)
"),"明治維新が一番わからない子へ｜改革の順番と狙いを3本柱で整理 - 受験社会専門塾「令和」")</f>
        <v>明治維新が一番わからない子へ｜改革の順番と狙いを3本柱で整理 - 受験社会専門塾「令和」</v>
      </c>
      <c r="D73" s="1" t="str">
        <f>IFERROR(__xludf.DUMMYFUNCTION("IFERROR(
  VLOOKUP(
    A73,
    IMPORTRANGE(
      ""1ZygntHC1J6IxzKbTidmOyf5nUyW4GCLurHCjexrLm_o        "",
      ""HTMLキャッシュ!A:F""
    ),
    6,
    FALSE
  ),
  0
)
"),"社会の悩み一覧（ハブ）へ 歴史：明治維新の整理 3本柱で攻略 明治維新が一番わからない子へ｜改革の順番と狙いを")</f>
        <v>社会の悩み一覧（ハブ）へ 歴史：明治維新の整理 3本柱で攻略 明治維新が一番わからない子へ｜改革の順番と狙いを</v>
      </c>
      <c r="E73" s="32">
        <f>IFERROR(__xludf.DUMMYFUNCTION("IFERROR(
  VLOOKUP(
    A73,
    IMPORTRANGE(
      ""1ZygntHC1J6IxzKbTidmOyf5nUyW4GCLurHCjexrLm_o        "",
      ""HTMLキャッシュ!A:F""
    ),
    3,
    FALSE
  ),
  0
)
"),46080.71826388889)</f>
        <v>46080.71826</v>
      </c>
      <c r="F73" s="49">
        <f>IFERROR(__xludf.DUMMYFUNCTION("IFERROR(
  VLOOKUP(
    A73,
    IMPORTRANGE(
      ""1ZHMy3vVUd_0MrSduXTe1etBb1HNpAlGwQr006ljwMiM"",
      ""GSC最新!A:F""
    ),
    2,
    FALSE
  ),
  0
)
"),0.0)</f>
        <v>0</v>
      </c>
      <c r="G73" s="49">
        <f>IFERROR(__xludf.DUMMYFUNCTION("IFERROR(
  VLOOKUP(
    A73,
    IMPORTRANGE(
      ""1ZHMy3vVUd_0MrSduXTe1etBb1HNpAlGwQr006ljwMiM"",
      ""GSC最新!A:F""
    ),
    3,
    FALSE
  ),
  0
)
"),0.0)</f>
        <v>0</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"),0.0)</f>
        <v>0</v>
      </c>
      <c r="J73" s="50" t="str">
        <f t="shared" ref="J73:K73" si="356">IFERROR(F73/H73,"-")</f>
        <v>-</v>
      </c>
      <c r="K73" s="50" t="str">
        <f t="shared" si="356"/>
        <v>-</v>
      </c>
      <c r="L73" s="6">
        <f>IFERROR(__xludf.DUMMYFUNCTION("IFERROR(
  VLOOKUP(
    A73,
    IMPORTRANGE(
      ""1ZHMy3vVUd_0MrSduXTe1etBb1HNpAlGwQr006ljwMiM"",
      ""GSC最新!A:R""
    ),
    7,
    FALSE
  ),
  0
)
"),0.0)</f>
        <v>0</v>
      </c>
      <c r="M73" s="6">
        <f>IFERROR(__xludf.DUMMYFUNCTION("IFERROR(
  VLOOKUP(
    A73,
    IMPORTRANGE(
      ""1ZHMy3vVUd_0MrSduXTe1etBb1HNpAlGwQr006ljwMiM"",
      ""GSC最新!A:R""
    ),
    10,
    FALSE
  ),
  0
)
"),0.0)</f>
        <v>0</v>
      </c>
      <c r="N73" s="6">
        <f>IFERROR(__xludf.DUMMYFUNCTION("IFERROR(
  VLOOKUP(
    A73,
    IMPORTRANGE(
      ""1ZHMy3vVUd_0MrSduXTe1etBb1HNpAlGwQr006ljwMiM"",
      ""GSC最新!A:R""
    ),
    13,
    FALSE
  ),
  0
)
"),0.0)</f>
        <v>0</v>
      </c>
      <c r="O73" s="6">
        <f>IFERROR(__xludf.DUMMYFUNCTION("IFERROR(
  VLOOKUP(
    A73,
    IMPORTRANGE(
      ""1ZHMy3vVUd_0MrSduXTe1etBb1HNpAlGwQr006ljwMiM"",
      ""GSC最新!A:R""
    ),
    16,
    FALSE
  ),
  0
)
"),0.0)</f>
        <v>0</v>
      </c>
      <c r="P73" s="51" t="str">
        <f t="shared" ref="P73:Q73" si="357">IFERROR(L73/N73,"-")</f>
        <v>-</v>
      </c>
      <c r="Q73" s="51" t="str">
        <f t="shared" si="357"/>
        <v>-</v>
      </c>
      <c r="R73" s="9">
        <f>IFERROR(__xludf.DUMMYFUNCTION("IFERROR(
  VLOOKUP(
    A73,
    IMPORTRANGE(
      ""1ZHMy3vVUd_0MrSduXTe1etBb1HNpAlGwQr006ljwMiM"",
      ""GSC最新!A:R""
    ),
    8,
    FALSE
  ),
  0
)
"),0.0)</f>
        <v>0</v>
      </c>
      <c r="S73" s="9">
        <f>IFERROR(__xludf.DUMMYFUNCTION("IFERROR(
  VLOOKUP(
    A73,
    IMPORTRANGE(
      ""1ZHMy3vVUd_0MrSduXTe1etBb1HNpAlGwQr006ljwMiM"",
      ""GSC最新!A:R""
    ),
    11,
    FALSE
  ),
  0
)
"),0.0)</f>
        <v>0</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f>
        <v>0</v>
      </c>
      <c r="V73" s="9">
        <f t="shared" ref="V73:W73" si="358">IFERROR(R73-T73,"-")</f>
        <v>0</v>
      </c>
      <c r="W73" s="9">
        <f t="shared" si="358"/>
        <v>0</v>
      </c>
      <c r="X73" s="65" t="str">
        <f>IFERROR(__xludf.DUMMYFUNCTION("IFERROR(
  VLOOKUP(
    A73,
    IMPORTRANGE(
      ""1ZHMy3vVUd_0MrSduXTe1etBb1HNpAlGwQr006ljwMiM"",
      ""GSC最新!A:R""
    ),
    9,
    FALSE
  ),
  0
)
"),"")</f>
        <v/>
      </c>
      <c r="Y73" s="65" t="str">
        <f>IFERROR(__xludf.DUMMYFUNCTION("IFERROR(
  VLOOKUP(
    A73,
    IMPORTRANGE(
      ""1ZHMy3vVUd_0MrSduXTe1etBb1HNpAlGwQr006ljwMiM"",
      ""GSC最新!A:R""
    ),
    12,
    FALSE
  ),
  0
)
"),"")</f>
        <v/>
      </c>
      <c r="Z73" s="65" t="str">
        <f>IFERROR(__xludf.DUMMYFUNCTION("IFERROR(
  VLOOKUP(
    A73,
    IMPORTRANGE(
      ""1ZHMy3vVUd_0MrSduXTe1etBb1HNpAlGwQr006ljwMiM"",
      ""GSC最新!A:R""
    ),
    15,
    FALSE
  ),
  0
)
"),"")</f>
        <v/>
      </c>
      <c r="AA73" s="65" t="str">
        <f>IFERROR(__xludf.DUMMYFUNCTION("IFERROR(
  VLOOKUP(
    A73,
    IMPORTRANGE(
      ""1ZHMy3vVUd_0MrSduXTe1etBb1HNpAlGwQr006ljwMiM"",
      ""GSC最新!A:R""
    ),
    18,
    FALSE
  ),
  0
)
"),"")</f>
        <v/>
      </c>
      <c r="AB73" s="65">
        <f t="shared" ref="AB73:AC73" si="359">X73-Z73</f>
        <v>0</v>
      </c>
      <c r="AC73" s="65">
        <f t="shared" si="359"/>
        <v>0</v>
      </c>
      <c r="AD73" s="53">
        <f>IFERROR(__xludf.DUMMYFUNCTION("IFERROR(
  VLOOKUP(
    A73,
    IMPORTRANGE(
      ""1ZHMy3vVUd_0MrSduXTe1etBb1HNpAlGwQr006ljwMiM"",
      ""GSC最新!A:F""
    ),
    6,
    FALSE
  ),
  0
)
"),46081.0)</f>
        <v>46081</v>
      </c>
      <c r="AE73" s="54">
        <f>IFERROR(__xludf.DUMMYFUNCTION("IFERROR(
  VLOOKUP(
    A73,
    IMPORTRANGE(
      ""1SCYQd7_cobOYqT0r_F0IqD4tE4rYn5y8Eup4PJTH8es"",
      ""Snapshot!A:M""
    ),
    5,
    FALSE
  ),
  ""-""
)
"),8.0)</f>
        <v>8</v>
      </c>
      <c r="AF73" s="54">
        <f>IFERROR(__xludf.DUMMYFUNCTION("IFERROR(
  VLOOKUP(
    A73,
    IMPORTRANGE(
      ""1SCYQd7_cobOYqT0r_F0IqD4tE4rYn5y8Eup4PJTH8es"",
      ""Snapshot!A:M""
    ),
    6,
    FALSE
  ),
  0
)
"),9.0)</f>
        <v>9</v>
      </c>
      <c r="AG73" s="54">
        <f>IFERROR(__xludf.DUMMYFUNCTION("IFERROR(
  VLOOKUP(
    A73,
    IMPORTRANGE(
      ""1SCYQd7_cobOYqT0r_F0IqD4tE4rYn5y8Eup4PJTH8es"",
      ""Snapshot!A:M""
    ),
    7,
    FALSE
  ),
  0
)
"),2795.0)</f>
        <v>2795</v>
      </c>
      <c r="AH73" s="54">
        <f>IFERROR(__xludf.DUMMYFUNCTION("IFERROR(
  VLOOKUP(
    A73,
    IMPORTRANGE(
      ""1SCYQd7_cobOYqT0r_F0IqD4tE4rYn5y8Eup4PJTH8es"",
      ""Snapshot!A:M""
    ),
    8,
    FALSE
  ),
  0
)
"),7.0)</f>
        <v>7</v>
      </c>
      <c r="AI73" s="54">
        <f>IFERROR(__xludf.DUMMYFUNCTION("IFERROR(
  VLOOKUP(
    A73,
    IMPORTRANGE(
      ""1SCYQd7_cobOYqT0r_F0IqD4tE4rYn5y8Eup4PJTH8es"",
      ""Snapshot!A:M""
    ),
    9,
    FALSE
  ),
  0
)
"),5.0)</f>
        <v>5</v>
      </c>
      <c r="AJ73" s="54">
        <f>IFERROR(__xludf.DUMMYFUNCTION("IFERROR(
  VLOOKUP(
    A73,
    IMPORTRANGE(
      ""1SCYQd7_cobOYqT0r_F0IqD4tE4rYn5y8Eup4PJTH8es"",
      ""Snapshot!A:M""
    ),
    13,
    FALSE
  ),
  0
)
"),2.0)</f>
        <v>2</v>
      </c>
      <c r="AK73" s="49">
        <f t="shared" ref="AK73:AL73" si="360">LEN(C73)</f>
        <v>44</v>
      </c>
      <c r="AL73" s="49">
        <f t="shared" si="360"/>
        <v>55</v>
      </c>
    </row>
    <row r="74">
      <c r="A74" s="56" t="s">
        <v>887</v>
      </c>
      <c r="B74" s="1" t="s">
        <v>32</v>
      </c>
      <c r="C74" s="1" t="str">
        <f>IFERROR(__xludf.DUMMYFUNCTION("IFERROR(
  VLOOKUP(
    A74,
    IMPORTRANGE(
      ""1ZygntHC1J6IxzKbTidmOyf5nUyW4GCLurHCjexrLm_o"",
      ""HTMLキャッシュ!A:F""
    ),
    5,
    FALSE
  ),
  0
)
"),"原因と結果で覚える鎌倉〜室町｜入試の正誤で落とさない - 受験社会専門塾「令和」")</f>
        <v>原因と結果で覚える鎌倉〜室町｜入試の正誤で落とさない - 受験社会専門塾「令和」</v>
      </c>
      <c r="D74" s="1" t="str">
        <f>IFERROR(__xludf.DUMMYFUNCTION("IFERROR(
  VLOOKUP(
    A74,
    IMPORTRANGE(
      ""1ZygntHC1J6IxzKbTidmOyf5nUyW4GCLurHCjexrLm_o        "",
      ""HTMLキャッシュ!A:F""
    ),
    6,
    FALSE
  ),
  0
)
"),"社会の悩み一覧（ハブ）へ 鎌倉〜室町：歴史の整理 原因→できごと→結果 “原因→できごと→結果”で並べると、正")</f>
        <v>社会の悩み一覧（ハブ）へ 鎌倉〜室町：歴史の整理 原因→できごと→結果 “原因→できごと→結果”で並べると、正</v>
      </c>
      <c r="E74" s="32">
        <f>IFERROR(__xludf.DUMMYFUNCTION("IFERROR(
  VLOOKUP(
    A74,
    IMPORTRANGE(
      ""1ZygntHC1J6IxzKbTidmOyf5nUyW4GCLurHCjexrLm_o        "",
      ""HTMLキャッシュ!A:F""
    ),
    3,
    FALSE
  ),
  0
)
"),46080.72164351852)</f>
        <v>46080.72164</v>
      </c>
      <c r="F74" s="49">
        <f>IFERROR(__xludf.DUMMYFUNCTION("IFERROR(
  VLOOKUP(
    A74,
    IMPORTRANGE(
      ""1ZHMy3vVUd_0MrSduXTe1etBb1HNpAlGwQr006ljwMiM"",
      ""GSC最新!A:F""
    ),
    2,
    FALSE
  ),
  0
)
"),0.0)</f>
        <v>0</v>
      </c>
      <c r="G74" s="49">
        <f>IFERROR(__xludf.DUMMYFUNCTION("IFERROR(
  VLOOKUP(
    A74,
    IMPORTRANGE(
      ""1ZHMy3vVUd_0MrSduXTe1etBb1HNpAlGwQr006ljwMiM"",
      ""GSC最新!A:F""
    ),
    3,
    FALSE
  ),
  0
)
"),0.0)</f>
        <v>0</v>
      </c>
      <c r="H74" s="49">
        <f>IFERROR(__xludf.DUMMYFUNCTION("IFERROR(
  VLOOKUP(
    A74,
    IMPORTRANGE(
      ""1ZHMy3vVUd_0MrSduXTe1etBb1HNpAlGwQr006ljwMiM"",
      ""GSC最新!A:F""
    ),
    4,
    FALSE
  ),
  0
)
"),0.0)</f>
        <v>0</v>
      </c>
      <c r="I74" s="49">
        <f>IFERROR(__xludf.DUMMYFUNCTION("IFERROR(
  VLOOKUP(
    A74,
    IMPORTRANGE(
      ""1ZHMy3vVUd_0MrSduXTe1etBb1HNpAlGwQr006ljwMiM"",
      ""GSC最新!A:F""
    ),
    5,
    FALSE
  ),
  0
)
"),0.0)</f>
        <v>0</v>
      </c>
      <c r="J74" s="50" t="str">
        <f t="shared" ref="J74:K74" si="361">IFERROR(F74/H74,"-")</f>
        <v>-</v>
      </c>
      <c r="K74" s="50" t="str">
        <f t="shared" si="361"/>
        <v>-</v>
      </c>
      <c r="L74" s="6">
        <f>IFERROR(__xludf.DUMMYFUNCTION("IFERROR(
  VLOOKUP(
    A74,
    IMPORTRANGE(
      ""1ZHMy3vVUd_0MrSduXTe1etBb1HNpAlGwQr006ljwMiM"",
      ""GSC最新!A:R""
    ),
    7,
    FALSE
  ),
  0
)
"),0.0)</f>
        <v>0</v>
      </c>
      <c r="M74" s="6">
        <f>IFERROR(__xludf.DUMMYFUNCTION("IFERROR(
  VLOOKUP(
    A74,
    IMPORTRANGE(
      ""1ZHMy3vVUd_0MrSduXTe1etBb1HNpAlGwQr006ljwMiM"",
      ""GSC最新!A:R""
    ),
    10,
    FALSE
  ),
  0
)
"),0.0)</f>
        <v>0</v>
      </c>
      <c r="N74" s="6">
        <f>IFERROR(__xludf.DUMMYFUNCTION("IFERROR(
  VLOOKUP(
    A74,
    IMPORTRANGE(
      ""1ZHMy3vVUd_0MrSduXTe1etBb1HNpAlGwQr006ljwMiM"",
      ""GSC最新!A:R""
    ),
    13,
    FALSE
  ),
  0
)
"),0.0)</f>
        <v>0</v>
      </c>
      <c r="O74" s="6">
        <f>IFERROR(__xludf.DUMMYFUNCTION("IFERROR(
  VLOOKUP(
    A74,
    IMPORTRANGE(
      ""1ZHMy3vVUd_0MrSduXTe1etBb1HNpAlGwQr006ljwMiM"",
      ""GSC最新!A:R""
    ),
    16,
    FALSE
  ),
  0
)
"),0.0)</f>
        <v>0</v>
      </c>
      <c r="P74" s="51" t="str">
        <f t="shared" ref="P74:Q74" si="362">IFERROR(L74/N74,"-")</f>
        <v>-</v>
      </c>
      <c r="Q74" s="51" t="str">
        <f t="shared" si="362"/>
        <v>-</v>
      </c>
      <c r="R74" s="9">
        <f>IFERROR(__xludf.DUMMYFUNCTION("IFERROR(
  VLOOKUP(
    A74,
    IMPORTRANGE(
      ""1ZHMy3vVUd_0MrSduXTe1etBb1HNpAlGwQr006ljwMiM"",
      ""GSC最新!A:R""
    ),
    8,
    FALSE
  ),
  0
)
"),0.0)</f>
        <v>0</v>
      </c>
      <c r="S74" s="9">
        <f>IFERROR(__xludf.DUMMYFUNCTION("IFERROR(
  VLOOKUP(
    A74,
    IMPORTRANGE(
      ""1ZHMy3vVUd_0MrSduXTe1etBb1HNpAlGwQr006ljwMiM"",
      ""GSC最新!A:R""
    ),
    11,
    FALSE
  ),
  0
)
"),0.0)</f>
        <v>0</v>
      </c>
      <c r="T74" s="9">
        <f>IFERROR(__xludf.DUMMYFUNCTION("IFERROR(
  VLOOKUP(
    A74,
    IMPORTRANGE(
      ""1ZHMy3vVUd_0MrSduXTe1etBb1HNpAlGwQr006ljwMiM"",
      ""GSC最新!A:R""
    ),
    14,
    FALSE
  ),
  0
)
"),0.0)</f>
        <v>0</v>
      </c>
      <c r="U74" s="9">
        <f>IFERROR(__xludf.DUMMYFUNCTION("IFERROR(
  VLOOKUP(
    A74,
    IMPORTRANGE(
      ""1ZHMy3vVUd_0MrSduXTe1etBb1HNpAlGwQr006ljwMiM"",
      ""GSC最新!A:R""
    ),
    17,
    FALSE
  ),
  0
)
"),0.0)</f>
        <v>0</v>
      </c>
      <c r="V74" s="9">
        <f t="shared" ref="V74:W74" si="363">IFERROR(R74-T74,"-")</f>
        <v>0</v>
      </c>
      <c r="W74" s="9">
        <f t="shared" si="363"/>
        <v>0</v>
      </c>
      <c r="X74" s="65" t="str">
        <f>IFERROR(__xludf.DUMMYFUNCTION("IFERROR(
  VLOOKUP(
    A74,
    IMPORTRANGE(
      ""1ZHMy3vVUd_0MrSduXTe1etBb1HNpAlGwQr006ljwMiM"",
      ""GSC最新!A:R""
    ),
    9,
    FALSE
  ),
  0
)
"),"")</f>
        <v/>
      </c>
      <c r="Y74" s="65" t="str">
        <f>IFERROR(__xludf.DUMMYFUNCTION("IFERROR(
  VLOOKUP(
    A74,
    IMPORTRANGE(
      ""1ZHMy3vVUd_0MrSduXTe1etBb1HNpAlGwQr006ljwMiM"",
      ""GSC最新!A:R""
    ),
    12,
    FALSE
  ),
  0
)
"),"")</f>
        <v/>
      </c>
      <c r="Z74" s="65" t="str">
        <f>IFERROR(__xludf.DUMMYFUNCTION("IFERROR(
  VLOOKUP(
    A74,
    IMPORTRANGE(
      ""1ZHMy3vVUd_0MrSduXTe1etBb1HNpAlGwQr006ljwMiM"",
      ""GSC最新!A:R""
    ),
    15,
    FALSE
  ),
  0
)
"),"")</f>
        <v/>
      </c>
      <c r="AA74" s="65" t="str">
        <f>IFERROR(__xludf.DUMMYFUNCTION("IFERROR(
  VLOOKUP(
    A74,
    IMPORTRANGE(
      ""1ZHMy3vVUd_0MrSduXTe1etBb1HNpAlGwQr006ljwMiM"",
      ""GSC最新!A:R""
    ),
    18,
    FALSE
  ),
  0
)
"),"")</f>
        <v/>
      </c>
      <c r="AB74" s="65">
        <f t="shared" ref="AB74:AC74" si="364">X74-Z74</f>
        <v>0</v>
      </c>
      <c r="AC74" s="65">
        <f t="shared" si="364"/>
        <v>0</v>
      </c>
      <c r="AD74" s="53">
        <f>IFERROR(__xludf.DUMMYFUNCTION("IFERROR(
  VLOOKUP(
    A74,
    IMPORTRANGE(
      ""1ZHMy3vVUd_0MrSduXTe1etBb1HNpAlGwQr006ljwMiM"",
      ""GSC最新!A:F""
    ),
    6,
    FALSE
  ),
  0
)
"),46081.0)</f>
        <v>46081</v>
      </c>
      <c r="AE74" s="54">
        <f>IFERROR(__xludf.DUMMYFUNCTION("IFERROR(
  VLOOKUP(
    A74,
    IMPORTRANGE(
      ""1SCYQd7_cobOYqT0r_F0IqD4tE4rYn5y8Eup4PJTH8es"",
      ""Snapshot!A:M""
    ),
    5,
    FALSE
  ),
  ""-""
)
"),8.0)</f>
        <v>8</v>
      </c>
      <c r="AF74" s="54">
        <f>IFERROR(__xludf.DUMMYFUNCTION("IFERROR(
  VLOOKUP(
    A74,
    IMPORTRANGE(
      ""1SCYQd7_cobOYqT0r_F0IqD4tE4rYn5y8Eup4PJTH8es"",
      ""Snapshot!A:M""
    ),
    6,
    FALSE
  ),
  0
)
"),9.0)</f>
        <v>9</v>
      </c>
      <c r="AG74" s="54">
        <f>IFERROR(__xludf.DUMMYFUNCTION("IFERROR(
  VLOOKUP(
    A74,
    IMPORTRANGE(
      ""1SCYQd7_cobOYqT0r_F0IqD4tE4rYn5y8Eup4PJTH8es"",
      ""Snapshot!A:M""
    ),
    7,
    FALSE
  ),
  0
)
"),2810.0)</f>
        <v>2810</v>
      </c>
      <c r="AH74" s="54">
        <f>IFERROR(__xludf.DUMMYFUNCTION("IFERROR(
  VLOOKUP(
    A74,
    IMPORTRANGE(
      ""1SCYQd7_cobOYqT0r_F0IqD4tE4rYn5y8Eup4PJTH8es"",
      ""Snapshot!A:M""
    ),
    8,
    FALSE
  ),
  0
)
"),5.0)</f>
        <v>5</v>
      </c>
      <c r="AI74" s="54">
        <f>IFERROR(__xludf.DUMMYFUNCTION("IFERROR(
  VLOOKUP(
    A74,
    IMPORTRANGE(
      ""1SCYQd7_cobOYqT0r_F0IqD4tE4rYn5y8Eup4PJTH8es"",
      ""Snapshot!A:M""
    ),
    9,
    FALSE
  ),
  0
)
"),5.0)</f>
        <v>5</v>
      </c>
      <c r="AJ74" s="54">
        <f>IFERROR(__xludf.DUMMYFUNCTION("IFERROR(
  VLOOKUP(
    A74,
    IMPORTRANGE(
      ""1SCYQd7_cobOYqT0r_F0IqD4tE4rYn5y8Eup4PJTH8es"",
      ""Snapshot!A:M""
    ),
    13,
    FALSE
  ),
  0
)
"),2.0)</f>
        <v>2</v>
      </c>
      <c r="AK74" s="49">
        <f t="shared" ref="AK74:AL74" si="365">LEN(C74)</f>
        <v>40</v>
      </c>
      <c r="AL74" s="49">
        <f t="shared" si="365"/>
        <v>55</v>
      </c>
    </row>
    <row r="75">
      <c r="A75" s="56" t="s">
        <v>888</v>
      </c>
      <c r="B75" s="1" t="s">
        <v>32</v>
      </c>
      <c r="C75" s="1" t="str">
        <f>IFERROR(__xludf.DUMMYFUNCTION("IFERROR(
  VLOOKUP(
    A75,
    IMPORTRANGE(
      ""1ZygntHC1J6IxzKbTidmOyf5nUyW4GCLurHCjexrLm_o"",
      ""HTMLキャッシュ!A:F""
    ),
    5,
    FALSE
  ),
  0
)
"),"日本の気候と農業｜なぜその作物がそこで作られるのか - 受験社会専門塾「令和」")</f>
        <v>日本の気候と農業｜なぜその作物がそこで作られるのか - 受験社会専門塾「令和」</v>
      </c>
      <c r="D75" s="1" t="str">
        <f>IFERROR(__xludf.DUMMYFUNCTION("IFERROR(
  VLOOKUP(
    A75,
    IMPORTRANGE(
      ""1ZygntHC1J6IxzKbTidmOyf5nUyW4GCLurHCjexrLm_o        "",
      ""HTMLキャッシュ!A:F""
    ),
    6,
    FALSE
  ),
  0
)
"),"社会の悩み一覧（ハブ）へ 作物名は覚えたのに、根拠が出てこない状態をほどく 「気候→作物→理由」をつなぎ直すと")</f>
        <v>社会の悩み一覧（ハブ）へ 作物名は覚えたのに、根拠が出てこない状態をほどく 「気候→作物→理由」をつなぎ直すと</v>
      </c>
      <c r="E75" s="32">
        <f>IFERROR(__xludf.DUMMYFUNCTION("IFERROR(
  VLOOKUP(
    A75,
    IMPORTRANGE(
      ""1ZygntHC1J6IxzKbTidmOyf5nUyW4GCLurHCjexrLm_o        "",
      ""HTMLキャッシュ!A:F""
    ),
    3,
    FALSE
  ),
  0
)
"),46080.07795138889)</f>
        <v>46080.07795</v>
      </c>
      <c r="F75" s="49">
        <f>IFERROR(__xludf.DUMMYFUNCTION("IFERROR(
  VLOOKUP(
    A75,
    IMPORTRANGE(
      ""1ZHMy3vVUd_0MrSduXTe1etBb1HNpAlGwQr006ljwMiM"",
      ""GSC最新!A:F""
    ),
    2,
    FALSE
  ),
  0
)
"),0.0)</f>
        <v>0</v>
      </c>
      <c r="G75" s="49">
        <f>IFERROR(__xludf.DUMMYFUNCTION("IFERROR(
  VLOOKUP(
    A75,
    IMPORTRANGE(
      ""1ZHMy3vVUd_0MrSduXTe1etBb1HNpAlGwQr006ljwMiM"",
      ""GSC最新!A:F""
    ),
    3,
    FALSE
  ),
  0
)
"),0.0)</f>
        <v>0</v>
      </c>
      <c r="H75" s="49">
        <f>IFERROR(__xludf.DUMMYFUNCTION("IFERROR(
  VLOOKUP(
    A75,
    IMPORTRANGE(
      ""1ZHMy3vVUd_0MrSduXTe1etBb1HNpAlGwQr006ljwMiM"",
      ""GSC最新!A:F""
    ),
    4,
    FALSE
  ),
  0
)
"),0.0)</f>
        <v>0</v>
      </c>
      <c r="I75" s="49">
        <f>IFERROR(__xludf.DUMMYFUNCTION("IFERROR(
  VLOOKUP(
    A75,
    IMPORTRANGE(
      ""1ZHMy3vVUd_0MrSduXTe1etBb1HNpAlGwQr006ljwMiM"",
      ""GSC最新!A:F""
    ),
    5,
    FALSE
  ),
  0
)
"),0.0)</f>
        <v>0</v>
      </c>
      <c r="J75" s="50" t="str">
        <f t="shared" ref="J75:K75" si="366">IFERROR(F75/H75,"-")</f>
        <v>-</v>
      </c>
      <c r="K75" s="50" t="str">
        <f t="shared" si="366"/>
        <v>-</v>
      </c>
      <c r="L75" s="6">
        <f>IFERROR(__xludf.DUMMYFUNCTION("IFERROR(
  VLOOKUP(
    A75,
    IMPORTRANGE(
      ""1ZHMy3vVUd_0MrSduXTe1etBb1HNpAlGwQr006ljwMiM"",
      ""GSC最新!A:R""
    ),
    7,
    FALSE
  ),
  0
)
"),0.0)</f>
        <v>0</v>
      </c>
      <c r="M75" s="6">
        <f>IFERROR(__xludf.DUMMYFUNCTION("IFERROR(
  VLOOKUP(
    A75,
    IMPORTRANGE(
      ""1ZHMy3vVUd_0MrSduXTe1etBb1HNpAlGwQr006ljwMiM"",
      ""GSC最新!A:R""
    ),
    10,
    FALSE
  ),
  0
)
"),0.0)</f>
        <v>0</v>
      </c>
      <c r="N75" s="6">
        <f>IFERROR(__xludf.DUMMYFUNCTION("IFERROR(
  VLOOKUP(
    A75,
    IMPORTRANGE(
      ""1ZHMy3vVUd_0MrSduXTe1etBb1HNpAlGwQr006ljwMiM"",
      ""GSC最新!A:R""
    ),
    13,
    FALSE
  ),
  0
)
"),0.0)</f>
        <v>0</v>
      </c>
      <c r="O75" s="6">
        <f>IFERROR(__xludf.DUMMYFUNCTION("IFERROR(
  VLOOKUP(
    A75,
    IMPORTRANGE(
      ""1ZHMy3vVUd_0MrSduXTe1etBb1HNpAlGwQr006ljwMiM"",
      ""GSC最新!A:R""
    ),
    16,
    FALSE
  ),
  0
)
"),0.0)</f>
        <v>0</v>
      </c>
      <c r="P75" s="51" t="str">
        <f t="shared" ref="P75:Q75" si="367">IFERROR(L75/N75,"-")</f>
        <v>-</v>
      </c>
      <c r="Q75" s="51" t="str">
        <f t="shared" si="367"/>
        <v>-</v>
      </c>
      <c r="R75" s="9">
        <f>IFERROR(__xludf.DUMMYFUNCTION("IFERROR(
  VLOOKUP(
    A75,
    IMPORTRANGE(
      ""1ZHMy3vVUd_0MrSduXTe1etBb1HNpAlGwQr006ljwMiM"",
      ""GSC最新!A:R""
    ),
    8,
    FALSE
  ),
  0
)
"),0.0)</f>
        <v>0</v>
      </c>
      <c r="S75" s="9">
        <f>IFERROR(__xludf.DUMMYFUNCTION("IFERROR(
  VLOOKUP(
    A75,
    IMPORTRANGE(
      ""1ZHMy3vVUd_0MrSduXTe1etBb1HNpAlGwQr006ljwMiM"",
      ""GSC最新!A:R""
    ),
    11,
    FALSE
  ),
  0
)
"),0.0)</f>
        <v>0</v>
      </c>
      <c r="T75" s="9">
        <f>IFERROR(__xludf.DUMMYFUNCTION("IFERROR(
  VLOOKUP(
    A75,
    IMPORTRANGE(
      ""1ZHMy3vVUd_0MrSduXTe1etBb1HNpAlGwQr006ljwMiM"",
      ""GSC最新!A:R""
    ),
    14,
    FALSE
  ),
  0
)
"),0.0)</f>
        <v>0</v>
      </c>
      <c r="U75" s="9">
        <f>IFERROR(__xludf.DUMMYFUNCTION("IFERROR(
  VLOOKUP(
    A75,
    IMPORTRANGE(
      ""1ZHMy3vVUd_0MrSduXTe1etBb1HNpAlGwQr006ljwMiM"",
      ""GSC最新!A:R""
    ),
    17,
    FALSE
  ),
  0
)
"),0.0)</f>
        <v>0</v>
      </c>
      <c r="V75" s="9">
        <f t="shared" ref="V75:W75" si="368">IFERROR(R75-T75,"-")</f>
        <v>0</v>
      </c>
      <c r="W75" s="9">
        <f t="shared" si="368"/>
        <v>0</v>
      </c>
      <c r="X75" s="65" t="str">
        <f>IFERROR(__xludf.DUMMYFUNCTION("IFERROR(
  VLOOKUP(
    A75,
    IMPORTRANGE(
      ""1ZHMy3vVUd_0MrSduXTe1etBb1HNpAlGwQr006ljwMiM"",
      ""GSC最新!A:R""
    ),
    9,
    FALSE
  ),
  0
)
"),"")</f>
        <v/>
      </c>
      <c r="Y75" s="65" t="str">
        <f>IFERROR(__xludf.DUMMYFUNCTION("IFERROR(
  VLOOKUP(
    A75,
    IMPORTRANGE(
      ""1ZHMy3vVUd_0MrSduXTe1etBb1HNpAlGwQr006ljwMiM"",
      ""GSC最新!A:R""
    ),
    12,
    FALSE
  ),
  0
)
"),"")</f>
        <v/>
      </c>
      <c r="Z75" s="65" t="str">
        <f>IFERROR(__xludf.DUMMYFUNCTION("IFERROR(
  VLOOKUP(
    A75,
    IMPORTRANGE(
      ""1ZHMy3vVUd_0MrSduXTe1etBb1HNpAlGwQr006ljwMiM"",
      ""GSC最新!A:R""
    ),
    15,
    FALSE
  ),
  0
)
"),"")</f>
        <v/>
      </c>
      <c r="AA75" s="65" t="str">
        <f>IFERROR(__xludf.DUMMYFUNCTION("IFERROR(
  VLOOKUP(
    A75,
    IMPORTRANGE(
      ""1ZHMy3vVUd_0MrSduXTe1etBb1HNpAlGwQr006ljwMiM"",
      ""GSC最新!A:R""
    ),
    18,
    FALSE
  ),
  0
)
"),"")</f>
        <v/>
      </c>
      <c r="AB75" s="65">
        <f t="shared" ref="AB75:AC75" si="369">X75-Z75</f>
        <v>0</v>
      </c>
      <c r="AC75" s="65">
        <f t="shared" si="369"/>
        <v>0</v>
      </c>
      <c r="AD75" s="53">
        <f>IFERROR(__xludf.DUMMYFUNCTION("IFERROR(
  VLOOKUP(
    A75,
    IMPORTRANGE(
      ""1ZHMy3vVUd_0MrSduXTe1etBb1HNpAlGwQr006ljwMiM"",
      ""GSC最新!A:F""
    ),
    6,
    FALSE
  ),
  0
)
"),46081.0)</f>
        <v>46081</v>
      </c>
      <c r="AE75" s="54">
        <f>IFERROR(__xludf.DUMMYFUNCTION("IFERROR(
  VLOOKUP(
    A75,
    IMPORTRANGE(
      ""1SCYQd7_cobOYqT0r_F0IqD4tE4rYn5y8Eup4PJTH8es"",
      ""Snapshot!A:M""
    ),
    5,
    FALSE
  ),
  ""-""
)
"),8.0)</f>
        <v>8</v>
      </c>
      <c r="AF75" s="54">
        <f>IFERROR(__xludf.DUMMYFUNCTION("IFERROR(
  VLOOKUP(
    A75,
    IMPORTRANGE(
      ""1SCYQd7_cobOYqT0r_F0IqD4tE4rYn5y8Eup4PJTH8es"",
      ""Snapshot!A:M""
    ),
    6,
    FALSE
  ),
  0
)
"),2.0)</f>
        <v>2</v>
      </c>
      <c r="AG75" s="54">
        <f>IFERROR(__xludf.DUMMYFUNCTION("IFERROR(
  VLOOKUP(
    A75,
    IMPORTRANGE(
      ""1SCYQd7_cobOYqT0r_F0IqD4tE4rYn5y8Eup4PJTH8es"",
      ""Snapshot!A:M""
    ),
    7,
    FALSE
  ),
  0
)
"),3043.0)</f>
        <v>3043</v>
      </c>
      <c r="AH75" s="54">
        <f>IFERROR(__xludf.DUMMYFUNCTION("IFERROR(
  VLOOKUP(
    A75,
    IMPORTRANGE(
      ""1SCYQd7_cobOYqT0r_F0IqD4tE4rYn5y8Eup4PJTH8es"",
      ""Snapshot!A:M""
    ),
    8,
    FALSE
  ),
  0
)
"),5.0)</f>
        <v>5</v>
      </c>
      <c r="AI75" s="54">
        <f>IFERROR(__xludf.DUMMYFUNCTION("IFERROR(
  VLOOKUP(
    A75,
    IMPORTRANGE(
      ""1SCYQd7_cobOYqT0r_F0IqD4tE4rYn5y8Eup4PJTH8es"",
      ""Snapshot!A:M""
    ),
    9,
    FALSE
  ),
  0
)
"),3.0)</f>
        <v>3</v>
      </c>
      <c r="AJ75" s="54">
        <f>IFERROR(__xludf.DUMMYFUNCTION("IFERROR(
  VLOOKUP(
    A75,
    IMPORTRANGE(
      ""1SCYQd7_cobOYqT0r_F0IqD4tE4rYn5y8Eup4PJTH8es"",
      ""Snapshot!A:M""
    ),
    13,
    FALSE
  ),
  0
)
"),2.0)</f>
        <v>2</v>
      </c>
      <c r="AK75" s="49">
        <f t="shared" ref="AK75:AL75" si="370">LEN(C75)</f>
        <v>39</v>
      </c>
      <c r="AL75" s="49">
        <f t="shared" si="370"/>
        <v>55</v>
      </c>
    </row>
    <row r="76">
      <c r="A76" s="3" t="s">
        <v>889</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"),"歴史の学習カリキュラムと学習指針 - 受験社会専門塾「令和」")</f>
        <v>歴史の学習カリキュラムと学習指針 - 受験社会専門塾「令和」</v>
      </c>
      <c r="D76" s="1" t="str">
        <f>IFERROR(__xludf.DUMMYFUNCTION("IFERROR(
  VLOOKUP(
    A76,
    IMPORTRANGE(
      ""1ZygntHC1J6IxzKbTidmOyf5nUyW4GCLurHCjexrLm_o        "",
      ""HTMLキャッシュ!A:F""
    ),
    6,
    FALSE
  ),
  0
)
"),"「受験社会専門塾『令和』」の歴史カリキュラムは、律令国家から近代までを網羅。完全1対1の個別指導で効率よく学び、試験対策を強化！オンライン受講も可能です。")</f>
        <v>「受験社会専門塾『令和』」の歴史カリキュラムは、律令国家から近代までを網羅。完全1対1の個別指導で効率よく学び、試験対策を強化！オンライン受講も可能です。</v>
      </c>
      <c r="E76" s="32">
        <f>IFERROR(__xludf.DUMMYFUNCTION("IFERROR(
  VLOOKUP(
    A76,
    IMPORTRANGE(
      ""1ZygntHC1J6IxzKbTidmOyf5nUyW4GCLurHCjexrLm_o        "",
      ""HTMLキャッシュ!A:F""
    ),
    3,
    FALSE
  ),
  0
)
"),46080.66207175926)</f>
        <v>46080.66207</v>
      </c>
      <c r="F76" s="49">
        <f>IFERROR(__xludf.DUMMYFUNCTION("IFERROR(
  VLOOKUP(
    A76,
    IMPORTRANGE(
      ""1ZHMy3vVUd_0MrSduXTe1etBb1HNpAlGwQr006ljwMiM"",
      ""GSC最新!A:F""
    ),
    2,
    FALSE
  ),
  0
)
"),0.0)</f>
        <v>0</v>
      </c>
      <c r="G76" s="49">
        <f>IFERROR(__xludf.DUMMYFUNCTION("IFERROR(
  VLOOKUP(
    A76,
    IMPORTRANGE(
      ""1ZHMy3vVUd_0MrSduXTe1etBb1HNpAlGwQr006ljwMiM"",
      ""GSC最新!A:F""
    ),
    3,
    FALSE
  ),
  0
)
"),0.0)</f>
        <v>0</v>
      </c>
      <c r="H76" s="49">
        <f>IFERROR(__xludf.DUMMYFUNCTION("IFERROR(
  VLOOKUP(
    A76,
    IMPORTRANGE(
      ""1ZHMy3vVUd_0MrSduXTe1etBb1HNpAlGwQr006ljwMiM"",
      ""GSC最新!A:F""
    ),
    4,
    FALSE
  ),
  0
)
"),0.0)</f>
        <v>0</v>
      </c>
      <c r="I76" s="49">
        <f>IFERROR(__xludf.DUMMYFUNCTION("IFERROR(
  VLOOKUP(
    A76,
    IMPORTRANGE(
      ""1ZHMy3vVUd_0MrSduXTe1etBb1HNpAlGwQr006ljwMiM"",
      ""GSC最新!A:F""
    ),
    5,
    FALSE
  ),
  0
)
"),0.0)</f>
        <v>0</v>
      </c>
      <c r="J76" s="50" t="str">
        <f t="shared" ref="J76:K76" si="371">IFERROR(F76/H76,"-")</f>
        <v>-</v>
      </c>
      <c r="K76" s="50" t="str">
        <f t="shared" si="371"/>
        <v>-</v>
      </c>
      <c r="L76" s="6">
        <f>IFERROR(__xludf.DUMMYFUNCTION("IFERROR(
  VLOOKUP(
    A76,
    IMPORTRANGE(
      ""1ZHMy3vVUd_0MrSduXTe1etBb1HNpAlGwQr006ljwMiM"",
      ""GSC最新!A:R""
    ),
    7,
    FALSE
  ),
  0
)
"),0.0)</f>
        <v>0</v>
      </c>
      <c r="M76" s="6">
        <f>IFERROR(__xludf.DUMMYFUNCTION("IFERROR(
  VLOOKUP(
    A76,
    IMPORTRANGE(
      ""1ZHMy3vVUd_0MrSduXTe1etBb1HNpAlGwQr006ljwMiM"",
      ""GSC最新!A:R""
    ),
    10,
    FALSE
  ),
  0
)
"),0.0)</f>
        <v>0</v>
      </c>
      <c r="N76" s="6">
        <f>IFERROR(__xludf.DUMMYFUNCTION("IFERROR(
  VLOOKUP(
    A76,
    IMPORTRANGE(
      ""1ZHMy3vVUd_0MrSduXTe1etBb1HNpAlGwQr006ljwMiM"",
      ""GSC最新!A:R""
    ),
    13,
    FALSE
  ),
  0
)
"),0.0)</f>
        <v>0</v>
      </c>
      <c r="O76" s="6">
        <f>IFERROR(__xludf.DUMMYFUNCTION("IFERROR(
  VLOOKUP(
    A76,
    IMPORTRANGE(
      ""1ZHMy3vVUd_0MrSduXTe1etBb1HNpAlGwQr006ljwMiM"",
      ""GSC最新!A:R""
    ),
    16,
    FALSE
  ),
  0
)
"),4.0)</f>
        <v>4</v>
      </c>
      <c r="P76" s="51" t="str">
        <f t="shared" ref="P76:Q76" si="372">IFERROR(L76/N76,"-")</f>
        <v>-</v>
      </c>
      <c r="Q76" s="51">
        <f t="shared" si="372"/>
        <v>0</v>
      </c>
      <c r="R76" s="9">
        <f>IFERROR(__xludf.DUMMYFUNCTION("IFERROR(
  VLOOKUP(
    A76,
    IMPORTRANGE(
      ""1ZHMy3vVUd_0MrSduXTe1etBb1HNpAlGwQr006ljwMiM"",
      ""GSC最新!A:R""
    ),
    8,
    FALSE
  ),
  0
)
"),0.0)</f>
        <v>0</v>
      </c>
      <c r="S76" s="9">
        <f>IFERROR(__xludf.DUMMYFUNCTION("IFERROR(
  VLOOKUP(
    A76,
    IMPORTRANGE(
      ""1ZHMy3vVUd_0MrSduXTe1etBb1HNpAlGwQr006ljwMiM"",
      ""GSC最新!A:R""
    ),
    11,
    FALSE
  ),
  0
)
"),0.0)</f>
        <v>0</v>
      </c>
      <c r="T76" s="9">
        <f>IFERROR(__xludf.DUMMYFUNCTION("IFERROR(
  VLOOKUP(
    A76,
    IMPORTRANGE(
      ""1ZHMy3vVUd_0MrSduXTe1etBb1HNpAlGwQr006ljwMiM"",
      ""GSC最新!A:R""
    ),
    14,
    FALSE
  ),
  0
)
"),0.0)</f>
        <v>0</v>
      </c>
      <c r="U76" s="9">
        <f>IFERROR(__xludf.DUMMYFUNCTION("IFERROR(
  VLOOKUP(
    A76,
    IMPORTRANGE(
      ""1ZHMy3vVUd_0MrSduXTe1etBb1HNpAlGwQr006ljwMiM"",
      ""GSC最新!A:R""
    ),
    17,
    FALSE
  ),
  0
)
"),0.0)</f>
        <v>0</v>
      </c>
      <c r="V76" s="9">
        <f t="shared" ref="V76:W76" si="373">IFERROR(R76-T76,"-")</f>
        <v>0</v>
      </c>
      <c r="W76" s="9">
        <f t="shared" si="373"/>
        <v>0</v>
      </c>
      <c r="X76" s="65" t="str">
        <f>IFERROR(__xludf.DUMMYFUNCTION("IFERROR(
  VLOOKUP(
    A76,
    IMPORTRANGE(
      ""1ZHMy3vVUd_0MrSduXTe1etBb1HNpAlGwQr006ljwMiM"",
      ""GSC最新!A:R""
    ),
    9,
    FALSE
  ),
  0
)
"),"")</f>
        <v/>
      </c>
      <c r="Y76" s="65" t="str">
        <f>IFERROR(__xludf.DUMMYFUNCTION("IFERROR(
  VLOOKUP(
    A76,
    IMPORTRANGE(
      ""1ZHMy3vVUd_0MrSduXTe1etBb1HNpAlGwQr006ljwMiM"",
      ""GSC最新!A:R""
    ),
    12,
    FALSE
  ),
  0
)
"),"")</f>
        <v/>
      </c>
      <c r="Z76" s="65" t="str">
        <f>IFERROR(__xludf.DUMMYFUNCTION("IFERROR(
  VLOOKUP(
    A76,
    IMPORTRANGE(
      ""1ZHMy3vVUd_0MrSduXTe1etBb1HNpAlGwQr006ljwMiM"",
      ""GSC最新!A:R""
    ),
    15,
    FALSE
  ),
  0
)
"),"")</f>
        <v/>
      </c>
      <c r="AA76" s="65">
        <f>IFERROR(__xludf.DUMMYFUNCTION("IFERROR(
  VLOOKUP(
    A76,
    IMPORTRANGE(
      ""1ZHMy3vVUd_0MrSduXTe1etBb1HNpAlGwQr006ljwMiM"",
      ""GSC最新!A:R""
    ),
    18,
    FALSE
  ),
  0
)
"),9.25)</f>
        <v>9.25</v>
      </c>
      <c r="AB76" s="65">
        <f t="shared" ref="AB76:AC76" si="374">X76-Z76</f>
        <v>0</v>
      </c>
      <c r="AC76" s="65">
        <f t="shared" si="374"/>
        <v>-9.25</v>
      </c>
      <c r="AD76" s="53">
        <f>IFERROR(__xludf.DUMMYFUNCTION("IFERROR(
  VLOOKUP(
    A76,
    IMPORTRANGE(
      ""1ZHMy3vVUd_0MrSduXTe1etBb1HNpAlGwQr006ljwMiM"",
      ""GSC最新!A:F""
    ),
    6,
    FALSE
  ),
  0
)
"),46081.0)</f>
        <v>46081</v>
      </c>
      <c r="AE76" s="54">
        <f>IFERROR(__xludf.DUMMYFUNCTION("IFERROR(
  VLOOKUP(
    A76,
    IMPORTRANGE(
      ""1SCYQd7_cobOYqT0r_F0IqD4tE4rYn5y8Eup4PJTH8es"",
      ""Snapshot!A:M""
    ),
    5,
    FALSE
  ),
  ""-""
)
"),9.0)</f>
        <v>9</v>
      </c>
      <c r="AF76" s="54">
        <f>IFERROR(__xludf.DUMMYFUNCTION("IFERROR(
  VLOOKUP(
    A76,
    IMPORTRANGE(
      ""1SCYQd7_cobOYqT0r_F0IqD4tE4rYn5y8Eup4PJTH8es"",
      ""Snapshot!A:M""
    ),
    6,
    FALSE
  ),
  0
)
"),13.0)</f>
        <v>13</v>
      </c>
      <c r="AG76" s="54">
        <f>IFERROR(__xludf.DUMMYFUNCTION("IFERROR(
  VLOOKUP(
    A76,
    IMPORTRANGE(
      ""1SCYQd7_cobOYqT0r_F0IqD4tE4rYn5y8Eup4PJTH8es"",
      ""Snapshot!A:M""
    ),
    7,
    FALSE
  ),
  0
)
"),4144.0)</f>
        <v>4144</v>
      </c>
      <c r="AH76" s="54">
        <f>IFERROR(__xludf.DUMMYFUNCTION("IFERROR(
  VLOOKUP(
    A76,
    IMPORTRANGE(
      ""1SCYQd7_cobOYqT0r_F0IqD4tE4rYn5y8Eup4PJTH8es"",
      ""Snapshot!A:M""
    ),
    8,
    FALSE
  ),
  0
)
"),3.0)</f>
        <v>3</v>
      </c>
      <c r="AI76" s="54">
        <f>IFERROR(__xludf.DUMMYFUNCTION("IFERROR(
  VLOOKUP(
    A76,
    IMPORTRANGE(
      ""1SCYQd7_cobOYqT0r_F0IqD4tE4rYn5y8Eup4PJTH8es"",
      ""Snapshot!A:M""
    ),
    9,
    FALSE
  ),
  0
)
"),2.0)</f>
        <v>2</v>
      </c>
      <c r="AJ76" s="54">
        <f>IFERROR(__xludf.DUMMYFUNCTION("IFERROR(
  VLOOKUP(
    A76,
    IMPORTRANGE(
      ""1SCYQd7_cobOYqT0r_F0IqD4tE4rYn5y8Eup4PJTH8es"",
      ""Snapshot!A:M""
    ),
    13,
    FALSE
  ),
  0
)
"),2.0)</f>
        <v>2</v>
      </c>
      <c r="AK76" s="49">
        <f t="shared" ref="AK76:AL76" si="375">LEN(C76)</f>
        <v>30</v>
      </c>
      <c r="AL76" s="49">
        <f t="shared" si="375"/>
        <v>77</v>
      </c>
    </row>
    <row r="77">
      <c r="A77" s="3" t="s">
        <v>890</v>
      </c>
      <c r="B77" s="1" t="str">
        <f>IFERROR(__xludf.DUMMYFUNCTION("IFERROR(
  VLOOKUP(
    A77,
    IMPORTRANGE(
      ""1ZygntHC1J6IxzKbTidmOyf5nUyW4GCLurHCjexrLm_o"",
      ""HTMLキャッシュ!A:F""
    ),
    2,
    FALSE
  ),
  0
)
"),"MC")</f>
        <v>MC</v>
      </c>
      <c r="C77" s="1" t="str">
        <f>IFERROR(__xludf.DUMMYFUNCTION("IFERROR(
  VLOOKUP(
    A77,
    IMPORTRANGE(
      ""1ZygntHC1J6IxzKbTidmOyf5nUyW4GCLurHCjexrLm_o"",
      ""HTMLキャッシュ!A:F""
    ),
    5,
    FALSE
  ),
  0
)
"),"地理の学習カリキュラムと学習指針 - 受験社会専門塾「令和」")</f>
        <v>地理の学習カリキュラムと学習指針 - 受験社会専門塾「令和」</v>
      </c>
      <c r="D77" s="1" t="str">
        <f>IFERROR(__xludf.DUMMYFUNCTION("IFERROR(
  VLOOKUP(
    A77,
    IMPORTRANGE(
      ""1ZygntHC1J6IxzKbTidmOyf5nUyW4GCLurHCjexrLm_o        "",
      ""HTMLキャッシュ!A:F""
    ),
    6,
    FALSE
  ),
  0
)
"),"「受験社会専門塾『令和』」の「地理の完成」講座は、地形・気候から工業地帯までを網羅。完全個別指導で地理の要点を効率よく学び、受験対策を強化！オンライン受講可能です。")</f>
        <v>「受験社会専門塾『令和』」の「地理の完成」講座は、地形・気候から工業地帯までを網羅。完全個別指導で地理の要点を効率よく学び、受験対策を強化！オンライン受講可能です。</v>
      </c>
      <c r="E77" s="32">
        <f>IFERROR(__xludf.DUMMYFUNCTION("IFERROR(
  VLOOKUP(
    A77,
    IMPORTRANGE(
      ""1ZygntHC1J6IxzKbTidmOyf5nUyW4GCLurHCjexrLm_o        "",
      ""HTMLキャッシュ!A:F""
    ),
    3,
    FALSE
  ),
  0
)
"),46079.857511574075)</f>
        <v>46079.85751</v>
      </c>
      <c r="F77" s="49">
        <f>IFERROR(__xludf.DUMMYFUNCTION("IFERROR(
  VLOOKUP(
    A77,
    IMPORTRANGE(
      ""1ZHMy3vVUd_0MrSduXTe1etBb1HNpAlGwQr006ljwMiM"",
      ""GSC最新!A:F""
    ),
    2,
    FALSE
  ),
  0
)
"),0.0)</f>
        <v>0</v>
      </c>
      <c r="G77" s="49">
        <f>IFERROR(__xludf.DUMMYFUNCTION("IFERROR(
  VLOOKUP(
    A77,
    IMPORTRANGE(
      ""1ZHMy3vVUd_0MrSduXTe1etBb1HNpAlGwQr006ljwMiM"",
      ""GSC最新!A:F""
    ),
    3,
    FALSE
  ),
  0
)
"),0.0)</f>
        <v>0</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"),0.0)</f>
        <v>0</v>
      </c>
      <c r="J77" s="50" t="str">
        <f t="shared" ref="J77:K77" si="376">IFERROR(F77/H77,"-")</f>
        <v>-</v>
      </c>
      <c r="K77" s="50" t="str">
        <f t="shared" si="376"/>
        <v>-</v>
      </c>
      <c r="L77" s="6">
        <f>IFERROR(__xludf.DUMMYFUNCTION("IFERROR(
  VLOOKUP(
    A77,
    IMPORTRANGE(
      ""1ZHMy3vVUd_0MrSduXTe1etBb1HNpAlGwQr006ljwMiM"",
      ""GSC最新!A:R""
    ),
    7,
    FALSE
  ),
  0
)
"),0.0)</f>
        <v>0</v>
      </c>
      <c r="M77" s="6">
        <f>IFERROR(__xludf.DUMMYFUNCTION("IFERROR(
  VLOOKUP(
    A77,
    IMPORTRANGE(
      ""1ZHMy3vVUd_0MrSduXTe1etBb1HNpAlGwQr006ljwMiM"",
      ""GSC最新!A:R""
    ),
    10,
    FALSE
  ),
  0
)
"),0.0)</f>
        <v>0</v>
      </c>
      <c r="N77" s="6">
        <f>IFERROR(__xludf.DUMMYFUNCTION("IFERROR(
  VLOOKUP(
    A77,
    IMPORTRANGE(
      ""1ZHMy3vVUd_0MrSduXTe1etBb1HNpAlGwQr006ljwMiM"",
      ""GSC最新!A:R""
    ),
    13,
    FALSE
  ),
  0
)
"),2.0)</f>
        <v>2</v>
      </c>
      <c r="O77" s="6">
        <f>IFERROR(__xludf.DUMMYFUNCTION("IFERROR(
  VLOOKUP(
    A77,
    IMPORTRANGE(
      ""1ZHMy3vVUd_0MrSduXTe1etBb1HNpAlGwQr006ljwMiM"",
      ""GSC最新!A:R""
    ),
    16,
    FALSE
  ),
  0
)
"),10.0)</f>
        <v>10</v>
      </c>
      <c r="P77" s="51">
        <f t="shared" ref="P77:Q77" si="377">IFERROR(L77/N77,"-")</f>
        <v>0</v>
      </c>
      <c r="Q77" s="51">
        <f t="shared" si="377"/>
        <v>0</v>
      </c>
      <c r="R77" s="9">
        <f>IFERROR(__xludf.DUMMYFUNCTION("IFERROR(
  VLOOKUP(
    A77,
    IMPORTRANGE(
      ""1ZHMy3vVUd_0MrSduXTe1etBb1HNpAlGwQr006ljwMiM"",
      ""GSC最新!A:R""
    ),
    8,
    FALSE
  ),
  0
)
"),0.0)</f>
        <v>0</v>
      </c>
      <c r="S77" s="9">
        <f>IFERROR(__xludf.DUMMYFUNCTION("IFERROR(
  VLOOKUP(
    A77,
    IMPORTRANGE(
      ""1ZHMy3vVUd_0MrSduXTe1etBb1HNpAlGwQr006ljwMiM"",
      ""GSC最新!A:R""
    ),
    11,
    FALSE
  ),
  0
)
"),0.0)</f>
        <v>0</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f>
        <v>0</v>
      </c>
      <c r="V77" s="9">
        <f t="shared" ref="V77:W77" si="378">IFERROR(R77-T77,"-")</f>
        <v>0</v>
      </c>
      <c r="W77" s="9">
        <f t="shared" si="378"/>
        <v>0</v>
      </c>
      <c r="X77" s="65" t="str">
        <f>IFERROR(__xludf.DUMMYFUNCTION("IFERROR(
  VLOOKUP(
    A77,
    IMPORTRANGE(
      ""1ZHMy3vVUd_0MrSduXTe1etBb1HNpAlGwQr006ljwMiM"",
      ""GSC最新!A:R""
    ),
    9,
    FALSE
  ),
  0
)
"),"")</f>
        <v/>
      </c>
      <c r="Y77" s="65" t="str">
        <f>IFERROR(__xludf.DUMMYFUNCTION("IFERROR(
  VLOOKUP(
    A77,
    IMPORTRANGE(
      ""1ZHMy3vVUd_0MrSduXTe1etBb1HNpAlGwQr006ljwMiM"",
      ""GSC最新!A:R""
    ),
    12,
    FALSE
  ),
  0
)
"),"")</f>
        <v/>
      </c>
      <c r="Z77" s="65">
        <f>IFERROR(__xludf.DUMMYFUNCTION("IFERROR(
  VLOOKUP(
    A77,
    IMPORTRANGE(
      ""1ZHMy3vVUd_0MrSduXTe1etBb1HNpAlGwQr006ljwMiM"",
      ""GSC最新!A:R""
    ),
    15,
    FALSE
  ),
  0
)
"),6.5)</f>
        <v>6.5</v>
      </c>
      <c r="AA77" s="65">
        <f>IFERROR(__xludf.DUMMYFUNCTION("IFERROR(
  VLOOKUP(
    A77,
    IMPORTRANGE(
      ""1ZHMy3vVUd_0MrSduXTe1etBb1HNpAlGwQr006ljwMiM"",
      ""GSC最新!A:R""
    ),
    18,
    FALSE
  ),
  0
)
"),8.6)</f>
        <v>8.6</v>
      </c>
      <c r="AB77" s="65">
        <f t="shared" ref="AB77:AC77" si="379">X77-Z77</f>
        <v>-6.5</v>
      </c>
      <c r="AC77" s="65">
        <f t="shared" si="379"/>
        <v>-8.6</v>
      </c>
      <c r="AD77" s="53">
        <f>IFERROR(__xludf.DUMMYFUNCTION("IFERROR(
  VLOOKUP(
    A77,
    IMPORTRANGE(
      ""1ZHMy3vVUd_0MrSduXTe1etBb1HNpAlGwQr006ljwMiM"",
      ""GSC最新!A:F""
    ),
    6,
    FALSE
  ),
  0
)
"),46081.0)</f>
        <v>46081</v>
      </c>
      <c r="AE77" s="54">
        <f>IFERROR(__xludf.DUMMYFUNCTION("IFERROR(
  VLOOKUP(
    A77,
    IMPORTRANGE(
      ""1SCYQd7_cobOYqT0r_F0IqD4tE4rYn5y8Eup4PJTH8es"",
      ""Snapshot!A:M""
    ),
    5,
    FALSE
  ),
  ""-""
)
"),12.0)</f>
        <v>12</v>
      </c>
      <c r="AF77" s="54">
        <f>IFERROR(__xludf.DUMMYFUNCTION("IFERROR(
  VLOOKUP(
    A77,
    IMPORTRANGE(
      ""1SCYQd7_cobOYqT0r_F0IqD4tE4rYn5y8Eup4PJTH8es"",
      ""Snapshot!A:M""
    ),
    6,
    FALSE
  ),
  0
)
"),0.0)</f>
        <v>0</v>
      </c>
      <c r="AG77" s="54">
        <f>IFERROR(__xludf.DUMMYFUNCTION("IFERROR(
  VLOOKUP(
    A77,
    IMPORTRANGE(
      ""1SCYQd7_cobOYqT0r_F0IqD4tE4rYn5y8Eup4PJTH8es"",
      ""Snapshot!A:M""
    ),
    7,
    FALSE
  ),
  0
)
"),6458.0)</f>
        <v>6458</v>
      </c>
      <c r="AH77" s="54">
        <f>IFERROR(__xludf.DUMMYFUNCTION("IFERROR(
  VLOOKUP(
    A77,
    IMPORTRANGE(
      ""1SCYQd7_cobOYqT0r_F0IqD4tE4rYn5y8Eup4PJTH8es"",
      ""Snapshot!A:M""
    ),
    8,
    FALSE
  ),
  0
)
"),2.0)</f>
        <v>2</v>
      </c>
      <c r="AI77" s="54">
        <f>IFERROR(__xludf.DUMMYFUNCTION("IFERROR(
  VLOOKUP(
    A77,
    IMPORTRANGE(
      ""1SCYQd7_cobOYqT0r_F0IqD4tE4rYn5y8Eup4PJTH8es"",
      ""Snapshot!A:M""
    ),
    9,
    FALSE
  ),
  0
)
"),2.0)</f>
        <v>2</v>
      </c>
      <c r="AJ77" s="54">
        <f>IFERROR(__xludf.DUMMYFUNCTION("IFERROR(
  VLOOKUP(
    A77,
    IMPORTRANGE(
      ""1SCYQd7_cobOYqT0r_F0IqD4tE4rYn5y8Eup4PJTH8es"",
      ""Snapshot!A:M""
    ),
    13,
    FALSE
  ),
  0
)
"),2.0)</f>
        <v>2</v>
      </c>
      <c r="AK77" s="49">
        <f t="shared" ref="AK77:AL77" si="380">LEN(C77)</f>
        <v>30</v>
      </c>
      <c r="AL77" s="49">
        <f t="shared" si="380"/>
        <v>82</v>
      </c>
    </row>
    <row r="78">
      <c r="D78" s="55"/>
    </row>
    <row r="79">
      <c r="D79" s="55"/>
    </row>
    <row r="80">
      <c r="D80" s="55"/>
    </row>
    <row r="81">
      <c r="D81" s="55"/>
    </row>
    <row r="82">
      <c r="D82" s="55"/>
    </row>
    <row r="83">
      <c r="D83" s="55"/>
    </row>
    <row r="84">
      <c r="D84" s="55"/>
    </row>
    <row r="85">
      <c r="D85" s="55"/>
    </row>
    <row r="86">
      <c r="D86" s="55"/>
    </row>
    <row r="87">
      <c r="D87" s="55"/>
    </row>
    <row r="88">
      <c r="D88" s="55"/>
    </row>
    <row r="89">
      <c r="D89" s="55"/>
    </row>
    <row r="90">
      <c r="D90" s="55"/>
    </row>
    <row r="91">
      <c r="D91" s="55"/>
    </row>
    <row r="92">
      <c r="D92" s="55"/>
    </row>
    <row r="93">
      <c r="D93" s="55"/>
    </row>
    <row r="94">
      <c r="D94" s="55"/>
    </row>
    <row r="95">
      <c r="D95" s="55"/>
    </row>
    <row r="96">
      <c r="D96" s="55"/>
    </row>
    <row r="97">
      <c r="D97" s="55"/>
    </row>
    <row r="98">
      <c r="D98" s="55"/>
    </row>
    <row r="99">
      <c r="D99" s="55"/>
    </row>
    <row r="100">
      <c r="D100" s="55"/>
    </row>
    <row r="101">
      <c r="D101" s="55"/>
    </row>
    <row r="102">
      <c r="D102" s="55"/>
    </row>
    <row r="103">
      <c r="D103" s="55"/>
    </row>
    <row r="104">
      <c r="D104" s="55"/>
    </row>
    <row r="105">
      <c r="D105" s="55"/>
    </row>
    <row r="106">
      <c r="D106" s="55"/>
    </row>
    <row r="107">
      <c r="D107" s="55"/>
    </row>
    <row r="108">
      <c r="D108" s="55"/>
    </row>
    <row r="109">
      <c r="D109" s="55"/>
    </row>
    <row r="110">
      <c r="D110" s="55"/>
    </row>
    <row r="111">
      <c r="D111" s="55"/>
    </row>
    <row r="112">
      <c r="D112" s="55"/>
    </row>
    <row r="113">
      <c r="D113" s="55"/>
    </row>
    <row r="114">
      <c r="D114" s="55"/>
    </row>
    <row r="115">
      <c r="D115" s="55"/>
    </row>
    <row r="116">
      <c r="D116" s="55"/>
    </row>
    <row r="117">
      <c r="D117" s="55"/>
    </row>
    <row r="118">
      <c r="D118" s="55"/>
    </row>
    <row r="119">
      <c r="D119" s="55"/>
    </row>
    <row r="120">
      <c r="D120" s="55"/>
    </row>
    <row r="121">
      <c r="D121" s="55"/>
    </row>
    <row r="122">
      <c r="D122" s="55"/>
    </row>
    <row r="123">
      <c r="D123" s="55"/>
    </row>
    <row r="124">
      <c r="D124" s="55"/>
    </row>
    <row r="125">
      <c r="D125" s="55"/>
    </row>
    <row r="126">
      <c r="D126" s="55"/>
    </row>
    <row r="127">
      <c r="D127" s="55"/>
    </row>
    <row r="128">
      <c r="D128" s="55"/>
    </row>
    <row r="129">
      <c r="D129" s="55"/>
    </row>
    <row r="130">
      <c r="D130" s="55"/>
    </row>
    <row r="131">
      <c r="D131" s="55"/>
    </row>
    <row r="132">
      <c r="D132" s="55"/>
    </row>
    <row r="133">
      <c r="D133" s="55"/>
    </row>
    <row r="134">
      <c r="D134" s="55"/>
    </row>
    <row r="135">
      <c r="D135" s="55"/>
    </row>
    <row r="136">
      <c r="D136" s="55"/>
    </row>
    <row r="137">
      <c r="D137" s="55"/>
    </row>
    <row r="138">
      <c r="D138" s="55"/>
    </row>
    <row r="139">
      <c r="D139" s="55"/>
    </row>
    <row r="140">
      <c r="D140" s="55"/>
    </row>
    <row r="141">
      <c r="D141" s="55"/>
    </row>
    <row r="142">
      <c r="D142" s="55"/>
    </row>
    <row r="143">
      <c r="D143" s="55"/>
    </row>
    <row r="144">
      <c r="D144" s="55"/>
    </row>
    <row r="145">
      <c r="D145" s="55"/>
    </row>
    <row r="146">
      <c r="D146" s="55"/>
    </row>
    <row r="147">
      <c r="D147" s="55"/>
    </row>
    <row r="148">
      <c r="D148" s="55"/>
    </row>
    <row r="149">
      <c r="D149" s="55"/>
    </row>
    <row r="150">
      <c r="D150" s="55"/>
    </row>
    <row r="151">
      <c r="D151" s="55"/>
    </row>
    <row r="152">
      <c r="D152" s="55"/>
    </row>
    <row r="153">
      <c r="D153" s="55"/>
    </row>
    <row r="154">
      <c r="D154" s="55"/>
    </row>
    <row r="155">
      <c r="D155" s="55"/>
    </row>
    <row r="156">
      <c r="D156" s="55"/>
    </row>
    <row r="157">
      <c r="D157" s="55"/>
    </row>
    <row r="158">
      <c r="D158" s="55"/>
    </row>
    <row r="159">
      <c r="D159" s="55"/>
    </row>
    <row r="160">
      <c r="D160" s="55"/>
    </row>
    <row r="161">
      <c r="D161" s="55"/>
    </row>
    <row r="162">
      <c r="D162" s="55"/>
    </row>
    <row r="163">
      <c r="D163" s="55"/>
    </row>
    <row r="164">
      <c r="D164" s="55"/>
    </row>
    <row r="165">
      <c r="D165" s="55"/>
    </row>
    <row r="166">
      <c r="D166" s="55"/>
    </row>
    <row r="167">
      <c r="D167" s="55"/>
    </row>
    <row r="168">
      <c r="D168" s="55"/>
    </row>
    <row r="169">
      <c r="D169" s="55"/>
    </row>
    <row r="170">
      <c r="D170" s="55"/>
    </row>
    <row r="171">
      <c r="D171" s="55"/>
    </row>
    <row r="172">
      <c r="D172" s="55"/>
    </row>
    <row r="173">
      <c r="D173" s="55"/>
    </row>
    <row r="174">
      <c r="D174" s="55"/>
    </row>
    <row r="175">
      <c r="D175" s="55"/>
    </row>
    <row r="176">
      <c r="D176" s="55"/>
    </row>
    <row r="177">
      <c r="D177" s="55"/>
    </row>
    <row r="178">
      <c r="D178" s="55"/>
    </row>
    <row r="179">
      <c r="D179" s="55"/>
    </row>
    <row r="180">
      <c r="D180" s="55"/>
    </row>
    <row r="181">
      <c r="D181" s="55"/>
    </row>
    <row r="182">
      <c r="D182" s="55"/>
    </row>
    <row r="183">
      <c r="D183" s="55"/>
    </row>
    <row r="184">
      <c r="D184" s="55"/>
    </row>
    <row r="185">
      <c r="D185" s="55"/>
    </row>
    <row r="186">
      <c r="D186" s="55"/>
    </row>
    <row r="187">
      <c r="D187" s="55"/>
    </row>
    <row r="188">
      <c r="D188" s="55"/>
    </row>
    <row r="189">
      <c r="D189" s="55"/>
    </row>
    <row r="190">
      <c r="D190" s="55"/>
    </row>
    <row r="191">
      <c r="D191" s="55"/>
    </row>
    <row r="192">
      <c r="D192" s="55"/>
    </row>
    <row r="193">
      <c r="D193" s="55"/>
    </row>
    <row r="194">
      <c r="D194" s="55"/>
    </row>
    <row r="195">
      <c r="D195" s="55"/>
    </row>
    <row r="196">
      <c r="D196" s="55"/>
    </row>
    <row r="197">
      <c r="D197" s="55"/>
    </row>
    <row r="198">
      <c r="D198" s="55"/>
    </row>
    <row r="199">
      <c r="D199" s="55"/>
    </row>
    <row r="200">
      <c r="D200" s="55"/>
    </row>
    <row r="201">
      <c r="D201" s="55"/>
    </row>
    <row r="202">
      <c r="D202" s="55"/>
    </row>
    <row r="203">
      <c r="D203" s="55"/>
    </row>
    <row r="204">
      <c r="D204" s="55"/>
    </row>
    <row r="205">
      <c r="D205" s="55"/>
    </row>
    <row r="206">
      <c r="D206" s="55"/>
    </row>
    <row r="207">
      <c r="D207" s="55"/>
    </row>
    <row r="208">
      <c r="D208" s="55"/>
    </row>
    <row r="209">
      <c r="D209" s="55"/>
    </row>
    <row r="210">
      <c r="D210" s="55"/>
    </row>
    <row r="211">
      <c r="D211" s="55"/>
    </row>
    <row r="212">
      <c r="D212" s="55"/>
    </row>
    <row r="213">
      <c r="D213" s="55"/>
    </row>
    <row r="214">
      <c r="D214" s="55"/>
    </row>
    <row r="215">
      <c r="D215" s="55"/>
    </row>
    <row r="216">
      <c r="D216" s="55"/>
    </row>
    <row r="217">
      <c r="D217" s="55"/>
    </row>
    <row r="218">
      <c r="D218" s="55"/>
    </row>
    <row r="219">
      <c r="D219" s="55"/>
    </row>
    <row r="220">
      <c r="D220" s="55"/>
    </row>
    <row r="221">
      <c r="D221" s="55"/>
    </row>
    <row r="222">
      <c r="D222" s="55"/>
    </row>
    <row r="223">
      <c r="D223" s="55"/>
    </row>
    <row r="224">
      <c r="D224" s="55"/>
    </row>
    <row r="225">
      <c r="D225" s="55"/>
    </row>
    <row r="226">
      <c r="D226" s="55"/>
    </row>
    <row r="227">
      <c r="D227" s="55"/>
    </row>
    <row r="228">
      <c r="D228" s="55"/>
    </row>
    <row r="229">
      <c r="D229" s="55"/>
    </row>
    <row r="230">
      <c r="D230" s="55"/>
    </row>
    <row r="231">
      <c r="D231" s="55"/>
    </row>
    <row r="232">
      <c r="D232" s="55"/>
    </row>
    <row r="233">
      <c r="D233" s="55"/>
    </row>
    <row r="234">
      <c r="D234" s="55"/>
    </row>
    <row r="235">
      <c r="D235" s="55"/>
    </row>
    <row r="236">
      <c r="D236" s="55"/>
    </row>
    <row r="237">
      <c r="D237" s="55"/>
    </row>
    <row r="238">
      <c r="D238" s="55"/>
    </row>
    <row r="239">
      <c r="D239" s="55"/>
    </row>
    <row r="240">
      <c r="D240" s="55"/>
    </row>
    <row r="241">
      <c r="D241" s="55"/>
    </row>
    <row r="242">
      <c r="D242" s="55"/>
    </row>
    <row r="243">
      <c r="D243" s="55"/>
    </row>
    <row r="244">
      <c r="D244" s="55"/>
    </row>
    <row r="245">
      <c r="D245" s="55"/>
    </row>
    <row r="246">
      <c r="D246" s="55"/>
    </row>
    <row r="247">
      <c r="D247" s="55"/>
    </row>
    <row r="248">
      <c r="D248" s="55"/>
    </row>
    <row r="249">
      <c r="D249" s="55"/>
    </row>
    <row r="250">
      <c r="D250" s="55"/>
    </row>
    <row r="251">
      <c r="D251" s="55"/>
    </row>
    <row r="252">
      <c r="D252" s="55"/>
    </row>
    <row r="253">
      <c r="D253" s="55"/>
    </row>
    <row r="254">
      <c r="D254" s="55"/>
    </row>
    <row r="255">
      <c r="D255" s="55"/>
    </row>
    <row r="256">
      <c r="D256" s="55"/>
    </row>
    <row r="257">
      <c r="D257" s="55"/>
    </row>
    <row r="258">
      <c r="D258" s="55"/>
    </row>
    <row r="259">
      <c r="D259" s="55"/>
    </row>
    <row r="260">
      <c r="D260" s="55"/>
    </row>
    <row r="261">
      <c r="D261" s="55"/>
    </row>
    <row r="262">
      <c r="D262" s="55"/>
    </row>
    <row r="263">
      <c r="D263" s="55"/>
    </row>
    <row r="264">
      <c r="D264" s="55"/>
    </row>
    <row r="265">
      <c r="D265" s="55"/>
    </row>
    <row r="266">
      <c r="D266" s="55"/>
    </row>
    <row r="267">
      <c r="D267" s="55"/>
    </row>
    <row r="268">
      <c r="D268" s="55"/>
    </row>
    <row r="269">
      <c r="D269" s="55"/>
    </row>
    <row r="270">
      <c r="D270" s="55"/>
    </row>
    <row r="271">
      <c r="D271" s="55"/>
    </row>
    <row r="272">
      <c r="D272" s="55"/>
    </row>
    <row r="273">
      <c r="D273" s="55"/>
    </row>
    <row r="274">
      <c r="D274" s="55"/>
    </row>
    <row r="275">
      <c r="D275" s="55"/>
    </row>
    <row r="276">
      <c r="D276" s="55"/>
    </row>
    <row r="277">
      <c r="D277" s="55"/>
    </row>
    <row r="278">
      <c r="D278" s="55"/>
    </row>
    <row r="279">
      <c r="D279" s="55"/>
    </row>
    <row r="280">
      <c r="D280" s="55"/>
    </row>
    <row r="281">
      <c r="D281" s="55"/>
    </row>
    <row r="282">
      <c r="D282" s="55"/>
    </row>
    <row r="283">
      <c r="D283" s="55"/>
    </row>
    <row r="284">
      <c r="D284" s="55"/>
    </row>
    <row r="285">
      <c r="D285" s="55"/>
    </row>
    <row r="286">
      <c r="D286" s="55"/>
    </row>
    <row r="287">
      <c r="D287" s="55"/>
    </row>
    <row r="288">
      <c r="D288" s="55"/>
    </row>
    <row r="289">
      <c r="D289" s="55"/>
    </row>
    <row r="290">
      <c r="D290" s="55"/>
    </row>
    <row r="291">
      <c r="D291" s="55"/>
    </row>
    <row r="292">
      <c r="D292" s="55"/>
    </row>
    <row r="293">
      <c r="D293" s="55"/>
    </row>
    <row r="294">
      <c r="D294" s="55"/>
    </row>
    <row r="295">
      <c r="D295" s="55"/>
    </row>
    <row r="296">
      <c r="D296" s="55"/>
    </row>
    <row r="297">
      <c r="D297" s="55"/>
    </row>
    <row r="298">
      <c r="D298" s="55"/>
    </row>
    <row r="299">
      <c r="D299" s="55"/>
    </row>
    <row r="300">
      <c r="D300" s="55"/>
    </row>
    <row r="301">
      <c r="D301" s="55"/>
    </row>
    <row r="302">
      <c r="D302" s="55"/>
    </row>
    <row r="303">
      <c r="D303" s="55"/>
    </row>
    <row r="304">
      <c r="D304" s="55"/>
    </row>
    <row r="305">
      <c r="D305" s="55"/>
    </row>
    <row r="306">
      <c r="D306" s="55"/>
    </row>
    <row r="307">
      <c r="D307" s="55"/>
    </row>
    <row r="308">
      <c r="D308" s="55"/>
    </row>
    <row r="309">
      <c r="D309" s="55"/>
    </row>
    <row r="310">
      <c r="D310" s="55"/>
    </row>
    <row r="311">
      <c r="D311" s="55"/>
    </row>
    <row r="312">
      <c r="D312" s="55"/>
    </row>
    <row r="313">
      <c r="D313" s="55"/>
    </row>
    <row r="314">
      <c r="D314" s="55"/>
    </row>
    <row r="315">
      <c r="D315" s="55"/>
    </row>
    <row r="316">
      <c r="D316" s="55"/>
    </row>
    <row r="317">
      <c r="D317" s="55"/>
    </row>
    <row r="318">
      <c r="D318" s="55"/>
    </row>
    <row r="319">
      <c r="D319" s="55"/>
    </row>
    <row r="320">
      <c r="D320" s="55"/>
    </row>
    <row r="321">
      <c r="D321" s="55"/>
    </row>
    <row r="322">
      <c r="D322" s="55"/>
    </row>
    <row r="323">
      <c r="D323" s="55"/>
    </row>
    <row r="324">
      <c r="D324" s="55"/>
    </row>
    <row r="325">
      <c r="D325" s="55"/>
    </row>
    <row r="326">
      <c r="D326" s="55"/>
    </row>
    <row r="327">
      <c r="D327" s="55"/>
    </row>
    <row r="328">
      <c r="D328" s="55"/>
    </row>
    <row r="329">
      <c r="D329" s="55"/>
    </row>
    <row r="330">
      <c r="D330" s="55"/>
    </row>
    <row r="331">
      <c r="D331" s="55"/>
    </row>
    <row r="332">
      <c r="D332" s="55"/>
    </row>
    <row r="333">
      <c r="D333" s="55"/>
    </row>
    <row r="334">
      <c r="D334" s="55"/>
    </row>
    <row r="335">
      <c r="D335" s="55"/>
    </row>
    <row r="336">
      <c r="D336" s="55"/>
    </row>
    <row r="337">
      <c r="D337" s="55"/>
    </row>
    <row r="338">
      <c r="D338" s="55"/>
    </row>
    <row r="339">
      <c r="D339" s="55"/>
    </row>
    <row r="340">
      <c r="D340" s="55"/>
    </row>
    <row r="341">
      <c r="D341" s="55"/>
    </row>
    <row r="342">
      <c r="D342" s="55"/>
    </row>
    <row r="343">
      <c r="D343" s="55"/>
    </row>
    <row r="344">
      <c r="D344" s="55"/>
    </row>
    <row r="345">
      <c r="D345" s="55"/>
    </row>
    <row r="346">
      <c r="D346" s="55"/>
    </row>
    <row r="347">
      <c r="D347" s="55"/>
    </row>
    <row r="348">
      <c r="D348" s="55"/>
    </row>
    <row r="349">
      <c r="D349" s="55"/>
    </row>
    <row r="350">
      <c r="D350" s="55"/>
    </row>
    <row r="351">
      <c r="D351" s="55"/>
    </row>
    <row r="352">
      <c r="D352" s="55"/>
    </row>
    <row r="353">
      <c r="D353" s="55"/>
    </row>
    <row r="354">
      <c r="D354" s="55"/>
    </row>
    <row r="355">
      <c r="D355" s="55"/>
    </row>
    <row r="356">
      <c r="D356" s="55"/>
    </row>
    <row r="357">
      <c r="D357" s="55"/>
    </row>
    <row r="358">
      <c r="D358" s="55"/>
    </row>
    <row r="359">
      <c r="D359" s="55"/>
    </row>
    <row r="360">
      <c r="D360" s="55"/>
    </row>
    <row r="361">
      <c r="D361" s="55"/>
    </row>
    <row r="362">
      <c r="D362" s="55"/>
    </row>
    <row r="363">
      <c r="D363" s="55"/>
    </row>
    <row r="364">
      <c r="D364" s="55"/>
    </row>
    <row r="365">
      <c r="D365" s="55"/>
    </row>
    <row r="366">
      <c r="D366" s="55"/>
    </row>
    <row r="367">
      <c r="D367" s="55"/>
    </row>
    <row r="368">
      <c r="D368" s="55"/>
    </row>
    <row r="369">
      <c r="D369" s="55"/>
    </row>
    <row r="370">
      <c r="D370" s="55"/>
    </row>
    <row r="371">
      <c r="D371" s="55"/>
    </row>
    <row r="372">
      <c r="D372" s="55"/>
    </row>
    <row r="373">
      <c r="D373" s="55"/>
    </row>
    <row r="374">
      <c r="D374" s="55"/>
    </row>
    <row r="375">
      <c r="D375" s="55"/>
    </row>
    <row r="376">
      <c r="D376" s="55"/>
    </row>
    <row r="377">
      <c r="D377" s="55"/>
    </row>
    <row r="378">
      <c r="D378" s="55"/>
    </row>
    <row r="379">
      <c r="D379" s="55"/>
    </row>
    <row r="380">
      <c r="D380" s="55"/>
    </row>
    <row r="381">
      <c r="D381" s="55"/>
    </row>
    <row r="382">
      <c r="D382" s="55"/>
    </row>
    <row r="383">
      <c r="D383" s="55"/>
    </row>
    <row r="384">
      <c r="D384" s="55"/>
    </row>
    <row r="385">
      <c r="D385" s="55"/>
    </row>
    <row r="386">
      <c r="D386" s="55"/>
    </row>
    <row r="387">
      <c r="D387" s="55"/>
    </row>
    <row r="388">
      <c r="D388" s="55"/>
    </row>
    <row r="389">
      <c r="D389" s="55"/>
    </row>
    <row r="390">
      <c r="D390" s="55"/>
    </row>
    <row r="391">
      <c r="D391" s="55"/>
    </row>
    <row r="392">
      <c r="D392" s="55"/>
    </row>
    <row r="393">
      <c r="D393" s="55"/>
    </row>
    <row r="394">
      <c r="D394" s="55"/>
    </row>
    <row r="395">
      <c r="D395" s="55"/>
    </row>
    <row r="396">
      <c r="D396" s="55"/>
    </row>
    <row r="397">
      <c r="D397" s="55"/>
    </row>
    <row r="398">
      <c r="D398" s="55"/>
    </row>
    <row r="399">
      <c r="D399" s="55"/>
    </row>
    <row r="400">
      <c r="D400" s="55"/>
    </row>
    <row r="401">
      <c r="D401" s="55"/>
    </row>
    <row r="402">
      <c r="D402" s="55"/>
    </row>
    <row r="403">
      <c r="D403" s="55"/>
    </row>
    <row r="404">
      <c r="D404" s="55"/>
    </row>
    <row r="405">
      <c r="D405" s="55"/>
    </row>
    <row r="406">
      <c r="D406" s="55"/>
    </row>
    <row r="407">
      <c r="D407" s="55"/>
    </row>
    <row r="408">
      <c r="D408" s="55"/>
    </row>
    <row r="409">
      <c r="D409" s="55"/>
    </row>
    <row r="410">
      <c r="D410" s="55"/>
    </row>
    <row r="411">
      <c r="D411" s="55"/>
    </row>
    <row r="412">
      <c r="D412" s="55"/>
    </row>
    <row r="413">
      <c r="D413" s="55"/>
    </row>
    <row r="414">
      <c r="D414" s="55"/>
    </row>
    <row r="415">
      <c r="D415" s="55"/>
    </row>
    <row r="416">
      <c r="D416" s="55"/>
    </row>
    <row r="417">
      <c r="D417" s="55"/>
    </row>
    <row r="418">
      <c r="D418" s="55"/>
    </row>
    <row r="419">
      <c r="D419" s="55"/>
    </row>
    <row r="420">
      <c r="D420" s="55"/>
    </row>
    <row r="421">
      <c r="D421" s="55"/>
    </row>
    <row r="422">
      <c r="D422" s="55"/>
    </row>
    <row r="423">
      <c r="D423" s="55"/>
    </row>
    <row r="424">
      <c r="D424" s="55"/>
    </row>
    <row r="425">
      <c r="D425" s="55"/>
    </row>
    <row r="426">
      <c r="D426" s="55"/>
    </row>
    <row r="427">
      <c r="D427" s="55"/>
    </row>
    <row r="428">
      <c r="D428" s="55"/>
    </row>
    <row r="429">
      <c r="D429" s="55"/>
    </row>
    <row r="430">
      <c r="D430" s="55"/>
    </row>
    <row r="431">
      <c r="D431" s="55"/>
    </row>
    <row r="432">
      <c r="D432" s="55"/>
    </row>
    <row r="433">
      <c r="D433" s="55"/>
    </row>
    <row r="434">
      <c r="D434" s="55"/>
    </row>
    <row r="435">
      <c r="D435" s="55"/>
    </row>
    <row r="436">
      <c r="D436" s="55"/>
    </row>
    <row r="437">
      <c r="D437" s="55"/>
    </row>
    <row r="438">
      <c r="D438" s="55"/>
    </row>
    <row r="439">
      <c r="D439" s="55"/>
    </row>
    <row r="440">
      <c r="D440" s="55"/>
    </row>
    <row r="441">
      <c r="D441" s="55"/>
    </row>
    <row r="442">
      <c r="D442" s="55"/>
    </row>
    <row r="443">
      <c r="D443" s="55"/>
    </row>
    <row r="444">
      <c r="D444" s="55"/>
    </row>
    <row r="445">
      <c r="D445" s="55"/>
    </row>
    <row r="446">
      <c r="D446" s="55"/>
    </row>
    <row r="447">
      <c r="D447" s="55"/>
    </row>
    <row r="448">
      <c r="D448" s="55"/>
    </row>
    <row r="449">
      <c r="D449" s="55"/>
    </row>
    <row r="450">
      <c r="D450" s="55"/>
    </row>
    <row r="451">
      <c r="D451" s="55"/>
    </row>
    <row r="452">
      <c r="D452" s="55"/>
    </row>
    <row r="453">
      <c r="D453" s="55"/>
    </row>
    <row r="454">
      <c r="D454" s="55"/>
    </row>
    <row r="455">
      <c r="D455" s="55"/>
    </row>
    <row r="456">
      <c r="D456" s="55"/>
    </row>
    <row r="457">
      <c r="D457" s="55"/>
    </row>
    <row r="458">
      <c r="D458" s="55"/>
    </row>
    <row r="459">
      <c r="D459" s="55"/>
    </row>
    <row r="460">
      <c r="D460" s="55"/>
    </row>
    <row r="461">
      <c r="D461" s="55"/>
    </row>
    <row r="462">
      <c r="D462" s="55"/>
    </row>
    <row r="463">
      <c r="D463" s="55"/>
    </row>
    <row r="464">
      <c r="D464" s="55"/>
    </row>
    <row r="465">
      <c r="D465" s="55"/>
    </row>
    <row r="466">
      <c r="D466" s="55"/>
    </row>
    <row r="467">
      <c r="D467" s="55"/>
    </row>
    <row r="468">
      <c r="D468" s="55"/>
    </row>
    <row r="469">
      <c r="D469" s="55"/>
    </row>
    <row r="470">
      <c r="D470" s="55"/>
    </row>
    <row r="471">
      <c r="D471" s="55"/>
    </row>
    <row r="472">
      <c r="D472" s="55"/>
    </row>
    <row r="473">
      <c r="D473" s="55"/>
    </row>
    <row r="474">
      <c r="D474" s="55"/>
    </row>
    <row r="475">
      <c r="D475" s="55"/>
    </row>
    <row r="476">
      <c r="D476" s="55"/>
    </row>
    <row r="477">
      <c r="D477" s="55"/>
    </row>
    <row r="478">
      <c r="D478" s="55"/>
    </row>
    <row r="479">
      <c r="D479" s="55"/>
    </row>
    <row r="480">
      <c r="D480" s="55"/>
    </row>
    <row r="481">
      <c r="D481" s="55"/>
    </row>
    <row r="482">
      <c r="D482" s="55"/>
    </row>
    <row r="483">
      <c r="D483" s="55"/>
    </row>
    <row r="484">
      <c r="D484" s="55"/>
    </row>
    <row r="485">
      <c r="D485" s="55"/>
    </row>
    <row r="486">
      <c r="D486" s="55"/>
    </row>
    <row r="487">
      <c r="D487" s="55"/>
    </row>
    <row r="488">
      <c r="D488" s="55"/>
    </row>
    <row r="489">
      <c r="D489" s="55"/>
    </row>
    <row r="490">
      <c r="D490" s="55"/>
    </row>
    <row r="491">
      <c r="D491" s="55"/>
    </row>
    <row r="492">
      <c r="D492" s="55"/>
    </row>
    <row r="493">
      <c r="D493" s="55"/>
    </row>
    <row r="494">
      <c r="D494" s="55"/>
    </row>
    <row r="495">
      <c r="D495" s="55"/>
    </row>
    <row r="496">
      <c r="D496" s="55"/>
    </row>
    <row r="497">
      <c r="D497" s="55"/>
    </row>
    <row r="498">
      <c r="D498" s="55"/>
    </row>
    <row r="499">
      <c r="D499" s="55"/>
    </row>
    <row r="500">
      <c r="D500" s="55"/>
    </row>
    <row r="501">
      <c r="D501" s="55"/>
    </row>
    <row r="502">
      <c r="D502" s="55"/>
    </row>
    <row r="503">
      <c r="D503" s="55"/>
    </row>
    <row r="504">
      <c r="D504" s="55"/>
    </row>
    <row r="505">
      <c r="D505" s="55"/>
    </row>
    <row r="506">
      <c r="D506" s="55"/>
    </row>
    <row r="507">
      <c r="D507" s="55"/>
    </row>
    <row r="508">
      <c r="D508" s="55"/>
    </row>
    <row r="509">
      <c r="D509" s="55"/>
    </row>
    <row r="510">
      <c r="D510" s="55"/>
    </row>
    <row r="511">
      <c r="D511" s="55"/>
    </row>
    <row r="512">
      <c r="D512" s="55"/>
    </row>
    <row r="513">
      <c r="D513" s="55"/>
    </row>
    <row r="514">
      <c r="D514" s="55"/>
    </row>
    <row r="515">
      <c r="D515" s="55"/>
    </row>
    <row r="516">
      <c r="D516" s="55"/>
    </row>
    <row r="517">
      <c r="D517" s="55"/>
    </row>
    <row r="518">
      <c r="D518" s="55"/>
    </row>
    <row r="519">
      <c r="D519" s="55"/>
    </row>
    <row r="520">
      <c r="D520" s="55"/>
    </row>
    <row r="521">
      <c r="D521" s="55"/>
    </row>
    <row r="522">
      <c r="D522" s="55"/>
    </row>
    <row r="523">
      <c r="D523" s="55"/>
    </row>
    <row r="524">
      <c r="D524" s="55"/>
    </row>
    <row r="525">
      <c r="D525" s="55"/>
    </row>
    <row r="526">
      <c r="D526" s="55"/>
    </row>
    <row r="527">
      <c r="D527" s="55"/>
    </row>
    <row r="528">
      <c r="D528" s="55"/>
    </row>
    <row r="529">
      <c r="D529" s="55"/>
    </row>
    <row r="530">
      <c r="D530" s="55"/>
    </row>
    <row r="531">
      <c r="D531" s="55"/>
    </row>
    <row r="532">
      <c r="D532" s="55"/>
    </row>
    <row r="533">
      <c r="D533" s="55"/>
    </row>
    <row r="534">
      <c r="D534" s="55"/>
    </row>
    <row r="535">
      <c r="D535" s="55"/>
    </row>
    <row r="536">
      <c r="D536" s="55"/>
    </row>
    <row r="537">
      <c r="D537" s="55"/>
    </row>
    <row r="538">
      <c r="D538" s="55"/>
    </row>
    <row r="539">
      <c r="D539" s="55"/>
    </row>
    <row r="540">
      <c r="D540" s="55"/>
    </row>
    <row r="541">
      <c r="D541" s="55"/>
    </row>
    <row r="542">
      <c r="D542" s="55"/>
    </row>
    <row r="543">
      <c r="D543" s="55"/>
    </row>
    <row r="544">
      <c r="D544" s="55"/>
    </row>
    <row r="545">
      <c r="D545" s="55"/>
    </row>
    <row r="546">
      <c r="D546" s="55"/>
    </row>
    <row r="547">
      <c r="D547" s="55"/>
    </row>
    <row r="548">
      <c r="D548" s="55"/>
    </row>
    <row r="549">
      <c r="D549" s="55"/>
    </row>
    <row r="550">
      <c r="D550" s="55"/>
    </row>
    <row r="551">
      <c r="D551" s="55"/>
    </row>
    <row r="552">
      <c r="D552" s="55"/>
    </row>
    <row r="553">
      <c r="D553" s="55"/>
    </row>
    <row r="554">
      <c r="D554" s="55"/>
    </row>
    <row r="555">
      <c r="D555" s="55"/>
    </row>
    <row r="556">
      <c r="D556" s="55"/>
    </row>
    <row r="557">
      <c r="D557" s="55"/>
    </row>
    <row r="558">
      <c r="D558" s="55"/>
    </row>
    <row r="559">
      <c r="D559" s="55"/>
    </row>
    <row r="560">
      <c r="D560" s="55"/>
    </row>
    <row r="561">
      <c r="D561" s="55"/>
    </row>
    <row r="562">
      <c r="D562" s="55"/>
    </row>
    <row r="563">
      <c r="D563" s="55"/>
    </row>
    <row r="564">
      <c r="D564" s="55"/>
    </row>
    <row r="565">
      <c r="D565" s="55"/>
    </row>
    <row r="566">
      <c r="D566" s="55"/>
    </row>
    <row r="567">
      <c r="D567" s="55"/>
    </row>
    <row r="568">
      <c r="D568" s="55"/>
    </row>
    <row r="569">
      <c r="D569" s="55"/>
    </row>
    <row r="570">
      <c r="D570" s="55"/>
    </row>
    <row r="571">
      <c r="D571" s="55"/>
    </row>
    <row r="572">
      <c r="D572" s="55"/>
    </row>
    <row r="573">
      <c r="D573" s="55"/>
    </row>
    <row r="574">
      <c r="D574" s="55"/>
    </row>
    <row r="575">
      <c r="D575" s="55"/>
    </row>
    <row r="576">
      <c r="D576" s="55"/>
    </row>
    <row r="577">
      <c r="D577" s="55"/>
    </row>
    <row r="578">
      <c r="D578" s="55"/>
    </row>
    <row r="579">
      <c r="D579" s="55"/>
    </row>
    <row r="580">
      <c r="D580" s="55"/>
    </row>
    <row r="581">
      <c r="D581" s="55"/>
    </row>
    <row r="582">
      <c r="D582" s="55"/>
    </row>
    <row r="583">
      <c r="D583" s="55"/>
    </row>
    <row r="584">
      <c r="D584" s="55"/>
    </row>
    <row r="585">
      <c r="D585" s="55"/>
    </row>
    <row r="586">
      <c r="D586" s="55"/>
    </row>
    <row r="587">
      <c r="D587" s="55"/>
    </row>
    <row r="588">
      <c r="D588" s="55"/>
    </row>
    <row r="589">
      <c r="D589" s="55"/>
    </row>
    <row r="590">
      <c r="D590" s="55"/>
    </row>
    <row r="591">
      <c r="D591" s="55"/>
    </row>
    <row r="592">
      <c r="D592" s="55"/>
    </row>
    <row r="593">
      <c r="D593" s="55"/>
    </row>
    <row r="594">
      <c r="D594" s="55"/>
    </row>
    <row r="595">
      <c r="D595" s="55"/>
    </row>
    <row r="596">
      <c r="D596" s="55"/>
    </row>
    <row r="597">
      <c r="D597" s="55"/>
    </row>
    <row r="598">
      <c r="D598" s="55"/>
    </row>
    <row r="599">
      <c r="D599" s="55"/>
    </row>
    <row r="600">
      <c r="D600" s="55"/>
    </row>
    <row r="601">
      <c r="D601" s="55"/>
    </row>
    <row r="602">
      <c r="D602" s="55"/>
    </row>
    <row r="603">
      <c r="D603" s="55"/>
    </row>
    <row r="604">
      <c r="D604" s="55"/>
    </row>
    <row r="605">
      <c r="D605" s="55"/>
    </row>
    <row r="606">
      <c r="D606" s="55"/>
    </row>
    <row r="607">
      <c r="D607" s="55"/>
    </row>
    <row r="608">
      <c r="D608" s="55"/>
    </row>
    <row r="609">
      <c r="D609" s="55"/>
    </row>
    <row r="610">
      <c r="D610" s="55"/>
    </row>
    <row r="611">
      <c r="D611" s="55"/>
    </row>
    <row r="612">
      <c r="D612" s="55"/>
    </row>
    <row r="613">
      <c r="D613" s="55"/>
    </row>
    <row r="614">
      <c r="D614" s="55"/>
    </row>
    <row r="615">
      <c r="D615" s="55"/>
    </row>
    <row r="616">
      <c r="D616" s="55"/>
    </row>
    <row r="617">
      <c r="D617" s="55"/>
    </row>
    <row r="618">
      <c r="D618" s="55"/>
    </row>
    <row r="619">
      <c r="D619" s="55"/>
    </row>
    <row r="620">
      <c r="D620" s="55"/>
    </row>
    <row r="621">
      <c r="D621" s="55"/>
    </row>
    <row r="622">
      <c r="D622" s="55"/>
    </row>
    <row r="623">
      <c r="D623" s="55"/>
    </row>
    <row r="624">
      <c r="D624" s="55"/>
    </row>
    <row r="625">
      <c r="D625" s="55"/>
    </row>
    <row r="626">
      <c r="D626" s="55"/>
    </row>
    <row r="627">
      <c r="D627" s="55"/>
    </row>
    <row r="628">
      <c r="D628" s="55"/>
    </row>
    <row r="629">
      <c r="D629" s="55"/>
    </row>
    <row r="630">
      <c r="D630" s="55"/>
    </row>
    <row r="631">
      <c r="D631" s="55"/>
    </row>
    <row r="632">
      <c r="D632" s="55"/>
    </row>
    <row r="633">
      <c r="D633" s="55"/>
    </row>
    <row r="634">
      <c r="D634" s="55"/>
    </row>
    <row r="635">
      <c r="D635" s="55"/>
    </row>
    <row r="636">
      <c r="D636" s="55"/>
    </row>
    <row r="637">
      <c r="D637" s="55"/>
    </row>
    <row r="638">
      <c r="D638" s="55"/>
    </row>
    <row r="639">
      <c r="D639" s="55"/>
    </row>
    <row r="640">
      <c r="D640" s="55"/>
    </row>
    <row r="641">
      <c r="D641" s="55"/>
    </row>
    <row r="642">
      <c r="D642" s="55"/>
    </row>
    <row r="643">
      <c r="D643" s="55"/>
    </row>
    <row r="644">
      <c r="D644" s="55"/>
    </row>
    <row r="645">
      <c r="D645" s="55"/>
    </row>
    <row r="646">
      <c r="D646" s="55"/>
    </row>
    <row r="647">
      <c r="D647" s="55"/>
    </row>
    <row r="648">
      <c r="D648" s="55"/>
    </row>
    <row r="649">
      <c r="D649" s="55"/>
    </row>
    <row r="650">
      <c r="D650" s="55"/>
    </row>
    <row r="651">
      <c r="D651" s="55"/>
    </row>
    <row r="652">
      <c r="D652" s="55"/>
    </row>
    <row r="653">
      <c r="D653" s="55"/>
    </row>
    <row r="654">
      <c r="D654" s="55"/>
    </row>
    <row r="655">
      <c r="D655" s="55"/>
    </row>
    <row r="656">
      <c r="D656" s="55"/>
    </row>
    <row r="657">
      <c r="D657" s="55"/>
    </row>
    <row r="658">
      <c r="D658" s="55"/>
    </row>
    <row r="659">
      <c r="D659" s="55"/>
    </row>
    <row r="660">
      <c r="D660" s="55"/>
    </row>
    <row r="661">
      <c r="D661" s="55"/>
    </row>
    <row r="662">
      <c r="D662" s="55"/>
    </row>
    <row r="663">
      <c r="D663" s="55"/>
    </row>
    <row r="664">
      <c r="D664" s="55"/>
    </row>
    <row r="665">
      <c r="D665" s="55"/>
    </row>
    <row r="666">
      <c r="D666" s="55"/>
    </row>
    <row r="667">
      <c r="D667" s="55"/>
    </row>
    <row r="668">
      <c r="D668" s="55"/>
    </row>
    <row r="669">
      <c r="D669" s="55"/>
    </row>
    <row r="670">
      <c r="D670" s="55"/>
    </row>
    <row r="671">
      <c r="D671" s="55"/>
    </row>
    <row r="672">
      <c r="D672" s="55"/>
    </row>
    <row r="673">
      <c r="D673" s="55"/>
    </row>
    <row r="674">
      <c r="D674" s="55"/>
    </row>
    <row r="675">
      <c r="D675" s="55"/>
    </row>
    <row r="676">
      <c r="D676" s="55"/>
    </row>
    <row r="677">
      <c r="D677" s="55"/>
    </row>
    <row r="678">
      <c r="D678" s="55"/>
    </row>
    <row r="679">
      <c r="D679" s="55"/>
    </row>
    <row r="680">
      <c r="D680" s="55"/>
    </row>
    <row r="681">
      <c r="D681" s="55"/>
    </row>
    <row r="682">
      <c r="D682" s="55"/>
    </row>
    <row r="683">
      <c r="D683" s="55"/>
    </row>
    <row r="684">
      <c r="D684" s="55"/>
    </row>
    <row r="685">
      <c r="D685" s="55"/>
    </row>
    <row r="686">
      <c r="D686" s="55"/>
    </row>
    <row r="687">
      <c r="D687" s="55"/>
    </row>
    <row r="688">
      <c r="D688" s="55"/>
    </row>
    <row r="689">
      <c r="D689" s="55"/>
    </row>
    <row r="690">
      <c r="D690" s="55"/>
    </row>
    <row r="691">
      <c r="D691" s="55"/>
    </row>
    <row r="692">
      <c r="D692" s="55"/>
    </row>
    <row r="693">
      <c r="D693" s="55"/>
    </row>
    <row r="694">
      <c r="D694" s="55"/>
    </row>
    <row r="695">
      <c r="D695" s="55"/>
    </row>
    <row r="696">
      <c r="D696" s="55"/>
    </row>
    <row r="697">
      <c r="D697" s="55"/>
    </row>
    <row r="698">
      <c r="D698" s="55"/>
    </row>
    <row r="699">
      <c r="D699" s="55"/>
    </row>
    <row r="700">
      <c r="D700" s="55"/>
    </row>
    <row r="701">
      <c r="D701" s="55"/>
    </row>
    <row r="702">
      <c r="D702" s="55"/>
    </row>
    <row r="703">
      <c r="D703" s="55"/>
    </row>
    <row r="704">
      <c r="D704" s="55"/>
    </row>
    <row r="705">
      <c r="D705" s="55"/>
    </row>
    <row r="706">
      <c r="D706" s="55"/>
    </row>
    <row r="707">
      <c r="D707" s="55"/>
    </row>
    <row r="708">
      <c r="D708" s="55"/>
    </row>
    <row r="709">
      <c r="D709" s="55"/>
    </row>
    <row r="710">
      <c r="D710" s="55"/>
    </row>
    <row r="711">
      <c r="D711" s="55"/>
    </row>
    <row r="712">
      <c r="D712" s="55"/>
    </row>
    <row r="713">
      <c r="D713" s="55"/>
    </row>
    <row r="714">
      <c r="D714" s="55"/>
    </row>
    <row r="715">
      <c r="D715" s="55"/>
    </row>
    <row r="716">
      <c r="D716" s="55"/>
    </row>
    <row r="717">
      <c r="D717" s="55"/>
    </row>
    <row r="718">
      <c r="D718" s="55"/>
    </row>
    <row r="719">
      <c r="D719" s="55"/>
    </row>
    <row r="720">
      <c r="D720" s="55"/>
    </row>
    <row r="721">
      <c r="D721" s="55"/>
    </row>
    <row r="722">
      <c r="D722" s="55"/>
    </row>
    <row r="723">
      <c r="D723" s="55"/>
    </row>
    <row r="724">
      <c r="D724" s="55"/>
    </row>
    <row r="725">
      <c r="D725" s="55"/>
    </row>
    <row r="726">
      <c r="D726" s="55"/>
    </row>
    <row r="727">
      <c r="D727" s="55"/>
    </row>
    <row r="728">
      <c r="D728" s="55"/>
    </row>
    <row r="729">
      <c r="D729" s="55"/>
    </row>
    <row r="730">
      <c r="D730" s="55"/>
    </row>
    <row r="731">
      <c r="D731" s="55"/>
    </row>
    <row r="732">
      <c r="D732" s="55"/>
    </row>
    <row r="733">
      <c r="D733" s="55"/>
    </row>
    <row r="734">
      <c r="D734" s="55"/>
    </row>
    <row r="735">
      <c r="D735" s="55"/>
    </row>
    <row r="736">
      <c r="D736" s="55"/>
    </row>
    <row r="737">
      <c r="D737" s="55"/>
    </row>
    <row r="738">
      <c r="D738" s="55"/>
    </row>
    <row r="739">
      <c r="D739" s="55"/>
    </row>
    <row r="740">
      <c r="D740" s="55"/>
    </row>
    <row r="741">
      <c r="D741" s="55"/>
    </row>
    <row r="742">
      <c r="D742" s="55"/>
    </row>
    <row r="743">
      <c r="D743" s="55"/>
    </row>
    <row r="744">
      <c r="D744" s="55"/>
    </row>
    <row r="745">
      <c r="D745" s="55"/>
    </row>
    <row r="746">
      <c r="D746" s="55"/>
    </row>
    <row r="747">
      <c r="D747" s="55"/>
    </row>
    <row r="748">
      <c r="D748" s="55"/>
    </row>
    <row r="749">
      <c r="D749" s="55"/>
    </row>
    <row r="750">
      <c r="D750" s="55"/>
    </row>
    <row r="751">
      <c r="D751" s="55"/>
    </row>
    <row r="752">
      <c r="D752" s="55"/>
    </row>
    <row r="753">
      <c r="D753" s="55"/>
    </row>
    <row r="754">
      <c r="D754" s="55"/>
    </row>
    <row r="755">
      <c r="D755" s="55"/>
    </row>
    <row r="756">
      <c r="D756" s="55"/>
    </row>
    <row r="757">
      <c r="D757" s="55"/>
    </row>
    <row r="758">
      <c r="D758" s="55"/>
    </row>
    <row r="759">
      <c r="D759" s="55"/>
    </row>
    <row r="760">
      <c r="D760" s="55"/>
    </row>
    <row r="761">
      <c r="D761" s="55"/>
    </row>
    <row r="762">
      <c r="D762" s="55"/>
    </row>
    <row r="763">
      <c r="D763" s="55"/>
    </row>
    <row r="764">
      <c r="D764" s="55"/>
    </row>
    <row r="765">
      <c r="D765" s="55"/>
    </row>
    <row r="766">
      <c r="D766" s="55"/>
    </row>
    <row r="767">
      <c r="D767" s="55"/>
    </row>
    <row r="768">
      <c r="D768" s="55"/>
    </row>
    <row r="769">
      <c r="D769" s="55"/>
    </row>
    <row r="770">
      <c r="D770" s="55"/>
    </row>
    <row r="771">
      <c r="D771" s="55"/>
    </row>
    <row r="772">
      <c r="D772" s="55"/>
    </row>
    <row r="773">
      <c r="D773" s="55"/>
    </row>
    <row r="774">
      <c r="D774" s="55"/>
    </row>
    <row r="775">
      <c r="D775" s="55"/>
    </row>
    <row r="776">
      <c r="D776" s="55"/>
    </row>
    <row r="777">
      <c r="D777" s="55"/>
    </row>
    <row r="778">
      <c r="D778" s="55"/>
    </row>
    <row r="779">
      <c r="D779" s="55"/>
    </row>
    <row r="780">
      <c r="D780" s="55"/>
    </row>
    <row r="781">
      <c r="D781" s="55"/>
    </row>
    <row r="782">
      <c r="D782" s="55"/>
    </row>
    <row r="783">
      <c r="D783" s="55"/>
    </row>
    <row r="784">
      <c r="D784" s="55"/>
    </row>
    <row r="785">
      <c r="D785" s="55"/>
    </row>
    <row r="786">
      <c r="D786" s="55"/>
    </row>
    <row r="787">
      <c r="D787" s="55"/>
    </row>
    <row r="788">
      <c r="D788" s="55"/>
    </row>
    <row r="789">
      <c r="D789" s="55"/>
    </row>
    <row r="790">
      <c r="D790" s="55"/>
    </row>
    <row r="791">
      <c r="D791" s="55"/>
    </row>
    <row r="792">
      <c r="D792" s="55"/>
    </row>
    <row r="793">
      <c r="D793" s="55"/>
    </row>
    <row r="794">
      <c r="D794" s="55"/>
    </row>
    <row r="795">
      <c r="D795" s="55"/>
    </row>
    <row r="796">
      <c r="D796" s="55"/>
    </row>
    <row r="797">
      <c r="D797" s="55"/>
    </row>
    <row r="798">
      <c r="D798" s="55"/>
    </row>
    <row r="799">
      <c r="D799" s="55"/>
    </row>
    <row r="800">
      <c r="D800" s="55"/>
    </row>
    <row r="801">
      <c r="D801" s="55"/>
    </row>
    <row r="802">
      <c r="D802" s="55"/>
    </row>
    <row r="803">
      <c r="D803" s="55"/>
    </row>
    <row r="804">
      <c r="D804" s="55"/>
    </row>
    <row r="805">
      <c r="D805" s="55"/>
    </row>
    <row r="806">
      <c r="D806" s="55"/>
    </row>
    <row r="807">
      <c r="D807" s="55"/>
    </row>
    <row r="808">
      <c r="D808" s="55"/>
    </row>
    <row r="809">
      <c r="D809" s="55"/>
    </row>
    <row r="810">
      <c r="D810" s="55"/>
    </row>
    <row r="811">
      <c r="D811" s="55"/>
    </row>
    <row r="812">
      <c r="D812" s="55"/>
    </row>
    <row r="813">
      <c r="D813" s="55"/>
    </row>
    <row r="814">
      <c r="D814" s="55"/>
    </row>
    <row r="815">
      <c r="D815" s="55"/>
    </row>
    <row r="816">
      <c r="D816" s="55"/>
    </row>
    <row r="817">
      <c r="D817" s="55"/>
    </row>
    <row r="818">
      <c r="D818" s="55"/>
    </row>
    <row r="819">
      <c r="D819" s="55"/>
    </row>
    <row r="820">
      <c r="D820" s="55"/>
    </row>
    <row r="821">
      <c r="D821" s="55"/>
    </row>
    <row r="822">
      <c r="D822" s="55"/>
    </row>
    <row r="823">
      <c r="D823" s="55"/>
    </row>
    <row r="824">
      <c r="D824" s="55"/>
    </row>
    <row r="825">
      <c r="D825" s="55"/>
    </row>
    <row r="826">
      <c r="D826" s="55"/>
    </row>
    <row r="827">
      <c r="D827" s="55"/>
    </row>
    <row r="828">
      <c r="D828" s="55"/>
    </row>
    <row r="829">
      <c r="D829" s="55"/>
    </row>
    <row r="830">
      <c r="D830" s="55"/>
    </row>
    <row r="831">
      <c r="D831" s="55"/>
    </row>
    <row r="832">
      <c r="D832" s="55"/>
    </row>
    <row r="833">
      <c r="D833" s="55"/>
    </row>
    <row r="834">
      <c r="D834" s="55"/>
    </row>
    <row r="835">
      <c r="D835" s="55"/>
    </row>
    <row r="836">
      <c r="D836" s="55"/>
    </row>
    <row r="837">
      <c r="D837" s="55"/>
    </row>
    <row r="838">
      <c r="D838" s="55"/>
    </row>
    <row r="839">
      <c r="D839" s="55"/>
    </row>
    <row r="840">
      <c r="D840" s="55"/>
    </row>
    <row r="841">
      <c r="D841" s="55"/>
    </row>
    <row r="842">
      <c r="D842" s="55"/>
    </row>
    <row r="843">
      <c r="D843" s="55"/>
    </row>
    <row r="844">
      <c r="D844" s="55"/>
    </row>
    <row r="845">
      <c r="D845" s="55"/>
    </row>
    <row r="846">
      <c r="D846" s="55"/>
    </row>
    <row r="847">
      <c r="D847" s="55"/>
    </row>
    <row r="848">
      <c r="D848" s="55"/>
    </row>
    <row r="849">
      <c r="D849" s="55"/>
    </row>
    <row r="850">
      <c r="D850" s="55"/>
    </row>
    <row r="851">
      <c r="D851" s="55"/>
    </row>
    <row r="852">
      <c r="D852" s="55"/>
    </row>
    <row r="853">
      <c r="D853" s="55"/>
    </row>
    <row r="854">
      <c r="D854" s="55"/>
    </row>
    <row r="855">
      <c r="D855" s="55"/>
    </row>
    <row r="856">
      <c r="D856" s="55"/>
    </row>
    <row r="857">
      <c r="D857" s="55"/>
    </row>
    <row r="858">
      <c r="D858" s="55"/>
    </row>
    <row r="859">
      <c r="D859" s="55"/>
    </row>
    <row r="860">
      <c r="D860" s="55"/>
    </row>
    <row r="861">
      <c r="D861" s="55"/>
    </row>
    <row r="862">
      <c r="D862" s="55"/>
    </row>
    <row r="863">
      <c r="D863" s="55"/>
    </row>
    <row r="864">
      <c r="D864" s="55"/>
    </row>
    <row r="865">
      <c r="D865" s="55"/>
    </row>
    <row r="866">
      <c r="D866" s="55"/>
    </row>
    <row r="867">
      <c r="D867" s="55"/>
    </row>
    <row r="868">
      <c r="D868" s="55"/>
    </row>
    <row r="869">
      <c r="D869" s="55"/>
    </row>
    <row r="870">
      <c r="D870" s="55"/>
    </row>
    <row r="871">
      <c r="D871" s="55"/>
    </row>
    <row r="872">
      <c r="D872" s="55"/>
    </row>
    <row r="873">
      <c r="D873" s="55"/>
    </row>
    <row r="874">
      <c r="D874" s="55"/>
    </row>
    <row r="875">
      <c r="D875" s="55"/>
    </row>
    <row r="876">
      <c r="D876" s="55"/>
    </row>
    <row r="877">
      <c r="D877" s="55"/>
    </row>
    <row r="878">
      <c r="D878" s="55"/>
    </row>
    <row r="879">
      <c r="D879" s="55"/>
    </row>
    <row r="880">
      <c r="D880" s="55"/>
    </row>
    <row r="881">
      <c r="D881" s="55"/>
    </row>
    <row r="882">
      <c r="D882" s="55"/>
    </row>
    <row r="883">
      <c r="D883" s="55"/>
    </row>
    <row r="884">
      <c r="D884" s="55"/>
    </row>
    <row r="885">
      <c r="D885" s="55"/>
    </row>
    <row r="886">
      <c r="D886" s="55"/>
    </row>
    <row r="887">
      <c r="D887" s="55"/>
    </row>
    <row r="888">
      <c r="D888" s="55"/>
    </row>
    <row r="889">
      <c r="D889" s="55"/>
    </row>
    <row r="890">
      <c r="D890" s="55"/>
    </row>
    <row r="891">
      <c r="D891" s="55"/>
    </row>
    <row r="892">
      <c r="D892" s="55"/>
    </row>
    <row r="893">
      <c r="D893" s="55"/>
    </row>
    <row r="894">
      <c r="D894" s="55"/>
    </row>
    <row r="895">
      <c r="D895" s="55"/>
    </row>
    <row r="896">
      <c r="D896" s="55"/>
    </row>
    <row r="897">
      <c r="D897" s="55"/>
    </row>
    <row r="898">
      <c r="D898" s="55"/>
    </row>
    <row r="899">
      <c r="D899" s="55"/>
    </row>
    <row r="900">
      <c r="D900" s="55"/>
    </row>
    <row r="901">
      <c r="D901" s="55"/>
    </row>
    <row r="902">
      <c r="D902" s="55"/>
    </row>
    <row r="903">
      <c r="D903" s="55"/>
    </row>
    <row r="904">
      <c r="D904" s="55"/>
    </row>
    <row r="905">
      <c r="D905" s="55"/>
    </row>
    <row r="906">
      <c r="D906" s="55"/>
    </row>
    <row r="907">
      <c r="D907" s="55"/>
    </row>
    <row r="908">
      <c r="D908" s="55"/>
    </row>
    <row r="909">
      <c r="D909" s="55"/>
    </row>
    <row r="910">
      <c r="D910" s="55"/>
    </row>
    <row r="911">
      <c r="D911" s="55"/>
    </row>
    <row r="912">
      <c r="D912" s="55"/>
    </row>
    <row r="913">
      <c r="D913" s="55"/>
    </row>
    <row r="914">
      <c r="D914" s="55"/>
    </row>
    <row r="915">
      <c r="D915" s="55"/>
    </row>
    <row r="916">
      <c r="D916" s="55"/>
    </row>
    <row r="917">
      <c r="D917" s="55"/>
    </row>
    <row r="918">
      <c r="D918" s="55"/>
    </row>
    <row r="919">
      <c r="D919" s="55"/>
    </row>
    <row r="920">
      <c r="D920" s="55"/>
    </row>
    <row r="921">
      <c r="D921" s="55"/>
    </row>
    <row r="922">
      <c r="D922" s="55"/>
    </row>
    <row r="923">
      <c r="D923" s="55"/>
    </row>
    <row r="924">
      <c r="D924" s="55"/>
    </row>
    <row r="925">
      <c r="D925" s="55"/>
    </row>
    <row r="926">
      <c r="D926" s="55"/>
    </row>
    <row r="927">
      <c r="D927" s="55"/>
    </row>
    <row r="928">
      <c r="D928" s="55"/>
    </row>
    <row r="929">
      <c r="D929" s="55"/>
    </row>
    <row r="930">
      <c r="D930" s="55"/>
    </row>
    <row r="931">
      <c r="D931" s="55"/>
    </row>
    <row r="932">
      <c r="D932" s="55"/>
    </row>
    <row r="933">
      <c r="D933" s="55"/>
    </row>
    <row r="934">
      <c r="D934" s="55"/>
    </row>
    <row r="935">
      <c r="D935" s="55"/>
    </row>
    <row r="936">
      <c r="D936" s="55"/>
    </row>
    <row r="937">
      <c r="D937" s="55"/>
    </row>
    <row r="938">
      <c r="D938" s="55"/>
    </row>
    <row r="939">
      <c r="D939" s="55"/>
    </row>
    <row r="940">
      <c r="D940" s="55"/>
    </row>
    <row r="941">
      <c r="D941" s="55"/>
    </row>
    <row r="942">
      <c r="D942" s="55"/>
    </row>
    <row r="943">
      <c r="D943" s="55"/>
    </row>
    <row r="944">
      <c r="D944" s="55"/>
    </row>
    <row r="945">
      <c r="D945" s="55"/>
    </row>
    <row r="946">
      <c r="D946" s="55"/>
    </row>
    <row r="947">
      <c r="D947" s="55"/>
    </row>
    <row r="948">
      <c r="D948" s="55"/>
    </row>
    <row r="949">
      <c r="D949" s="55"/>
    </row>
    <row r="950">
      <c r="D950" s="55"/>
    </row>
    <row r="951">
      <c r="D951" s="55"/>
    </row>
    <row r="952">
      <c r="D952" s="55"/>
    </row>
    <row r="953">
      <c r="D953" s="55"/>
    </row>
    <row r="954">
      <c r="D954" s="55"/>
    </row>
    <row r="955">
      <c r="D955" s="55"/>
    </row>
    <row r="956">
      <c r="D956" s="55"/>
    </row>
    <row r="957">
      <c r="D957" s="55"/>
    </row>
    <row r="958">
      <c r="D958" s="55"/>
    </row>
    <row r="959">
      <c r="D959" s="55"/>
    </row>
    <row r="960">
      <c r="D960" s="55"/>
    </row>
    <row r="961">
      <c r="D961" s="55"/>
    </row>
    <row r="962">
      <c r="D962" s="55"/>
    </row>
    <row r="963">
      <c r="D963" s="55"/>
    </row>
    <row r="964">
      <c r="D964" s="55"/>
    </row>
    <row r="965">
      <c r="D965" s="55"/>
    </row>
    <row r="966">
      <c r="D966" s="55"/>
    </row>
    <row r="967">
      <c r="D967" s="55"/>
    </row>
    <row r="968">
      <c r="D968" s="55"/>
    </row>
    <row r="969">
      <c r="D969" s="55"/>
    </row>
    <row r="970">
      <c r="D970" s="55"/>
    </row>
    <row r="971">
      <c r="D971" s="55"/>
    </row>
    <row r="972">
      <c r="D972" s="55"/>
    </row>
    <row r="973">
      <c r="D973" s="55"/>
    </row>
    <row r="974">
      <c r="D974" s="55"/>
    </row>
    <row r="975">
      <c r="D975" s="55"/>
    </row>
    <row r="976">
      <c r="D976" s="55"/>
    </row>
    <row r="977">
      <c r="D977" s="55"/>
    </row>
    <row r="978">
      <c r="D978" s="55"/>
    </row>
    <row r="979">
      <c r="D979" s="55"/>
    </row>
    <row r="980">
      <c r="D980" s="55"/>
    </row>
    <row r="981">
      <c r="D981" s="55"/>
    </row>
    <row r="982">
      <c r="D982" s="55"/>
    </row>
    <row r="983">
      <c r="D983" s="55"/>
    </row>
    <row r="984">
      <c r="D984" s="55"/>
    </row>
    <row r="985">
      <c r="D985" s="55"/>
    </row>
    <row r="986">
      <c r="D986" s="55"/>
    </row>
    <row r="987">
      <c r="D987" s="55"/>
    </row>
    <row r="988">
      <c r="D988" s="55"/>
    </row>
    <row r="989">
      <c r="D989" s="55"/>
    </row>
    <row r="990">
      <c r="D990" s="55"/>
    </row>
    <row r="991">
      <c r="D991" s="55"/>
    </row>
    <row r="992">
      <c r="D992" s="55"/>
    </row>
    <row r="993">
      <c r="D993" s="55"/>
    </row>
    <row r="994">
      <c r="D994" s="55"/>
    </row>
    <row r="995">
      <c r="D995" s="55"/>
    </row>
    <row r="996">
      <c r="D996" s="55"/>
    </row>
    <row r="997">
      <c r="D997" s="55"/>
    </row>
    <row r="998">
      <c r="D998" s="55"/>
    </row>
    <row r="999">
      <c r="D999" s="55"/>
    </row>
  </sheetData>
  <autoFilter ref="$A$1:$AL$77">
    <sortState ref="A1:AL77">
      <sortCondition descending="1" ref="G1:G77"/>
      <sortCondition descending="1" ref="M1:M77"/>
      <sortCondition ref="AG1:AG77"/>
    </sortState>
  </autoFilter>
  <conditionalFormatting sqref="J1:K77 P1:Q77">
    <cfRule type="colorScale" priority="1">
      <colorScale>
        <cfvo type="formula" val="0"/>
        <cfvo type="formula" val="1"/>
        <cfvo type="formula" val="2"/>
        <color rgb="FFE67C73"/>
        <color rgb="FFFFFFFF"/>
        <color rgb="FF57BB8A"/>
      </colorScale>
    </cfRule>
  </conditionalFormatting>
  <conditionalFormatting sqref="AG1:AG77">
    <cfRule type="colorScale" priority="2">
      <colorScale>
        <cfvo type="min"/>
        <cfvo type="formula" val="3000"/>
        <cfvo type="formula" val="6000"/>
        <color rgb="FFE67C73"/>
        <color rgb="FFFFFFFF"/>
        <color rgb="FF57BB8A"/>
      </colorScale>
    </cfRule>
  </conditionalFormatting>
  <conditionalFormatting sqref="G1:G77 I1:I77">
    <cfRule type="colorScale" priority="3">
      <colorScale>
        <cfvo type="min"/>
        <cfvo type="formula" val="10"/>
        <cfvo type="max"/>
        <color rgb="FFE67C73"/>
        <color rgb="FFFFFFFF"/>
        <color rgb="FF57BB8A"/>
      </colorScale>
    </cfRule>
  </conditionalFormatting>
  <conditionalFormatting sqref="AK1:AK77 AL1">
    <cfRule type="colorScale" priority="4">
      <colorScale>
        <cfvo type="min"/>
        <cfvo type="percentile" val="50"/>
        <cfvo type="max"/>
        <color rgb="FFE67C73"/>
        <color rgb="FFFFFFFF"/>
        <color rgb="FF57BB8A"/>
      </colorScale>
    </cfRule>
  </conditionalFormatting>
  <conditionalFormatting sqref="AL1:AL77">
    <cfRule type="colorScale" priority="5">
      <colorScale>
        <cfvo type="min"/>
        <cfvo type="percentile" val="50"/>
        <cfvo type="max"/>
        <color rgb="FFE67C73"/>
        <color rgb="FFFFFFFF"/>
        <color rgb="FF57BB8A"/>
      </colorScale>
    </cfRule>
  </conditionalFormatting>
  <conditionalFormatting sqref="E1:E77">
    <cfRule type="colorScale" priority="6">
      <colorScale>
        <cfvo type="formula" val="45500"/>
        <cfvo type="percentile" val="50"/>
        <cfvo type="max"/>
        <color rgb="FFE67C73"/>
        <color rgb="FFFFFFFF"/>
        <color rgb="FF57BB8A"/>
      </colorScale>
    </cfRule>
  </conditionalFormatting>
  <conditionalFormatting sqref="V1:W77 AB1:AC1">
    <cfRule type="colorScale" priority="7">
      <colorScale>
        <cfvo type="formula" val="-0.1"/>
        <cfvo type="formula" val="0"/>
        <cfvo type="formula" val="0.1"/>
        <color rgb="FFE67C73"/>
        <color rgb="FFFFFFFF"/>
        <color rgb="FF57BB8A"/>
      </colorScale>
    </cfRule>
  </conditionalFormatting>
  <conditionalFormatting sqref="M1:M77 O1:O77">
    <cfRule type="colorScale" priority="8">
      <colorScale>
        <cfvo type="min"/>
        <cfvo type="percentile" val="80"/>
        <cfvo type="max"/>
        <color rgb="FFE67C73"/>
        <color rgb="FFFFFFFF"/>
        <color rgb="FF57BB8A"/>
      </colorScale>
    </cfRule>
  </conditionalFormatting>
  <conditionalFormatting sqref="AB1:AC77">
    <cfRule type="colorScale" priority="9">
      <colorScale>
        <cfvo type="min"/>
        <cfvo type="percentile" val="50"/>
        <cfvo type="max"/>
        <color rgb="FF57BB8A"/>
        <color rgb="FFFFFFFF"/>
        <color rgb="FFE67C73"/>
      </colorScale>
    </cfRule>
  </conditionalFormatting>
  <conditionalFormatting sqref="A2:A199">
    <cfRule type="expression" dxfId="0" priority="10">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32"/>
    <hyperlink r:id="rId28" ref="A34"/>
    <hyperlink r:id="rId29" ref="A38"/>
    <hyperlink r:id="rId30" ref="A42"/>
    <hyperlink r:id="rId31" ref="A44"/>
    <hyperlink r:id="rId32" ref="A49"/>
    <hyperlink r:id="rId33" ref="A53"/>
    <hyperlink r:id="rId34" ref="A55"/>
    <hyperlink r:id="rId35" ref="A56"/>
    <hyperlink r:id="rId36" ref="A57"/>
    <hyperlink r:id="rId37" ref="A58"/>
    <hyperlink r:id="rId38" ref="A59"/>
    <hyperlink r:id="rId39" ref="A60"/>
    <hyperlink r:id="rId40" ref="A61"/>
    <hyperlink r:id="rId41" ref="A62"/>
    <hyperlink r:id="rId42" ref="A63"/>
    <hyperlink r:id="rId43" ref="A64"/>
    <hyperlink r:id="rId44" ref="A65"/>
    <hyperlink r:id="rId45" ref="A66"/>
    <hyperlink r:id="rId46" ref="A67"/>
    <hyperlink r:id="rId47" ref="A68"/>
    <hyperlink r:id="rId48" ref="A69"/>
    <hyperlink r:id="rId49" ref="A70"/>
    <hyperlink r:id="rId50" ref="A71"/>
    <hyperlink r:id="rId51" ref="A72"/>
    <hyperlink r:id="rId52" ref="A73"/>
    <hyperlink r:id="rId53" ref="A74"/>
    <hyperlink r:id="rId54" ref="A75"/>
    <hyperlink r:id="rId55" ref="A76"/>
    <hyperlink r:id="rId56" ref="A77"/>
  </hyperlinks>
  <drawing r:id="rId5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5"/>
    <col customWidth="1" min="2" max="2" width="4.38"/>
    <col customWidth="1" min="3" max="4" width="4.63"/>
    <col customWidth="1" min="5" max="5" width="19.0"/>
    <col customWidth="1" min="6" max="6" width="9.38"/>
    <col customWidth="1" min="7" max="7" width="15.88"/>
    <col customWidth="1" min="8" max="8" width="4.75"/>
    <col customWidth="1" min="9" max="9" width="5.38"/>
    <col customWidth="1" min="10" max="10" width="6.0"/>
    <col customWidth="1" min="11" max="11" width="6.13"/>
    <col customWidth="1" min="12" max="13" width="5.25"/>
    <col customWidth="1" min="14" max="14" width="5.88"/>
    <col customWidth="1" min="15" max="15" width="6.88"/>
    <col customWidth="1" min="16" max="16" width="4.13"/>
    <col customWidth="1" min="17" max="17" width="7.38"/>
    <col customWidth="1" min="18" max="19" width="5.5"/>
    <col customWidth="1" min="20" max="22" width="4.5"/>
    <col customWidth="1" min="23" max="38" width="4.63"/>
  </cols>
  <sheetData>
    <row r="1">
      <c r="A1" s="1" t="s">
        <v>61</v>
      </c>
      <c r="B1" s="1" t="s">
        <v>29</v>
      </c>
      <c r="C1" s="1" t="s">
        <v>244</v>
      </c>
      <c r="D1" s="1" t="s">
        <v>245</v>
      </c>
      <c r="E1" s="1" t="s">
        <v>63</v>
      </c>
      <c r="F1" s="1" t="s">
        <v>243</v>
      </c>
      <c r="G1" s="32" t="s">
        <v>246</v>
      </c>
      <c r="H1" s="62" t="s">
        <v>65</v>
      </c>
      <c r="I1" s="62" t="s">
        <v>247</v>
      </c>
      <c r="J1" s="62" t="s">
        <v>248</v>
      </c>
      <c r="K1" s="62" t="s">
        <v>249</v>
      </c>
      <c r="L1" s="63" t="s">
        <v>250</v>
      </c>
      <c r="M1" s="63" t="s">
        <v>251</v>
      </c>
      <c r="N1" s="64" t="s">
        <v>64</v>
      </c>
      <c r="O1" s="62" t="s">
        <v>252</v>
      </c>
      <c r="P1" s="62" t="s">
        <v>253</v>
      </c>
      <c r="Q1" s="62" t="s">
        <v>254</v>
      </c>
      <c r="R1" s="63" t="s">
        <v>255</v>
      </c>
      <c r="S1" s="63" t="s">
        <v>256</v>
      </c>
      <c r="T1" s="64" t="s">
        <v>257</v>
      </c>
      <c r="U1" s="62" t="s">
        <v>258</v>
      </c>
      <c r="V1" s="62" t="s">
        <v>259</v>
      </c>
      <c r="W1" s="62" t="s">
        <v>260</v>
      </c>
      <c r="X1" s="63" t="s">
        <v>261</v>
      </c>
      <c r="Y1" s="63" t="s">
        <v>262</v>
      </c>
      <c r="Z1" s="64" t="s">
        <v>263</v>
      </c>
      <c r="AA1" s="62" t="s">
        <v>264</v>
      </c>
      <c r="AB1" s="62" t="s">
        <v>265</v>
      </c>
      <c r="AC1" s="62" t="s">
        <v>266</v>
      </c>
      <c r="AD1" s="63" t="s">
        <v>267</v>
      </c>
      <c r="AE1" s="63" t="s">
        <v>268</v>
      </c>
      <c r="AF1" s="46" t="s">
        <v>269</v>
      </c>
      <c r="AG1" s="47" t="s">
        <v>270</v>
      </c>
      <c r="AH1" s="47" t="s">
        <v>271</v>
      </c>
      <c r="AI1" s="47" t="s">
        <v>272</v>
      </c>
      <c r="AJ1" s="47" t="s">
        <v>273</v>
      </c>
      <c r="AK1" s="47" t="s">
        <v>274</v>
      </c>
      <c r="AL1" s="1" t="s">
        <v>275</v>
      </c>
    </row>
    <row r="2">
      <c r="A2" s="3" t="s">
        <v>891</v>
      </c>
      <c r="B2" s="1" t="str">
        <f>IFERROR(__xludf.DUMMYFUNCTION("IFERROR(
  VLOOKUP(
    A2,
    IMPORTRANGE(
      ""1ZygntHC1J6IxzKbTidmOyf5nUyW4GCLurHCjexrLm_o"",
      ""HTMLキャッシュ!A:F""
    ),
    2,
    FALSE
  ),
  0
)
"),"MC")</f>
        <v>MC</v>
      </c>
      <c r="C2" s="49">
        <f t="shared" ref="C2:D2" si="1">LEN(E2)</f>
        <v>28</v>
      </c>
      <c r="D2" s="49">
        <f t="shared" si="1"/>
        <v>81</v>
      </c>
      <c r="E2" s="1" t="str">
        <f>IFERROR(__xludf.DUMMYFUNCTION("IFERROR(
  VLOOKUP(
    A2,
    IMPORTRANGE(
      ""1ZygntHC1J6IxzKbTidmOyf5nUyW4GCLurHCjexrLm_o"",
      ""HTMLキャッシュ!A:F""
    ),
    5,
    FALSE
  ),
  0
)
"),"古文 助動詞の接続 覚え方｜歌で暗記＋接続一覧｜高校古文")</f>
        <v>古文 助動詞の接続 覚え方｜歌で暗記＋接続一覧｜高校古文</v>
      </c>
      <c r="F2" s="1" t="str">
        <f>IFERROR(__xludf.DUMMYFUNCTION("IFERROR(
  VLOOKUP(
    A2,
    IMPORTRANGE(
      ""1ZygntHC1J6IxzKbTidmOyf5nUyW4GCLurHCjexrLm_o        "",
      ""HTMLキャッシュ!A:F""
    ),
    6,
    FALSE
  ),
  0
)
"),"助動詞の接続を「もしもしかめよ」の替え歌で整理。未然・連用・終止・体言/連体・り（サ未已）を一覧で確認し、本文での判定3ステップまでつなげて取り違えを減らします。")</f>
        <v>助動詞の接続を「もしもしかめよ」の替え歌で整理。未然・連用・終止・体言/連体・り（サ未已）を一覧で確認し、本文での判定3ステップまでつなげて取り違えを減らします。</v>
      </c>
      <c r="G2" s="32">
        <f>IFERROR(__xludf.DUMMYFUNCTION("IFERROR(
  VLOOKUP(
    A2,
    IMPORTRANGE(
      ""1ZygntHC1J6IxzKbTidmOyf5nUyW4GCLurHCjexrLm_o        "",
      ""HTMLキャッシュ!A:F""
    ),
    3,
    FALSE
  ),
  0
)
"),46069.604629629626)</f>
        <v>46069.60463</v>
      </c>
      <c r="H2" s="49">
        <f>IFERROR(__xludf.DUMMYFUNCTION("IFERROR(
  VLOOKUP(
    A2,
    IMPORTRANGE(
      ""1ZHMy3vVUd_0MrSduXTe1etBb1HNpAlGwQr006ljwMiM"",
      ""GSC最新!A:F""
    ),
    2,
    FALSE
  ),
  0
)
"),1297.0)</f>
        <v>1297</v>
      </c>
      <c r="I2" s="49">
        <f>IFERROR(__xludf.DUMMYFUNCTION("IFERROR(
  VLOOKUP(
    A2,
    IMPORTRANGE(
      ""1ZHMy3vVUd_0MrSduXTe1etBb1HNpAlGwQr006ljwMiM"",
      ""GSC最新!A:F""
    ),
    3,
    FALSE
  ),
  0
)
"),3562.0)</f>
        <v>3562</v>
      </c>
      <c r="J2" s="49">
        <f>IFERROR(__xludf.DUMMYFUNCTION("IFERROR(
  VLOOKUP(
    A2,
    IMPORTRANGE(
      ""1ZHMy3vVUd_0MrSduXTe1etBb1HNpAlGwQr006ljwMiM"",
      ""GSC最新!A:F""
    ),
    4,
    FALSE
  ),
  0
)
"),1273.0)</f>
        <v>1273</v>
      </c>
      <c r="K2" s="49">
        <f>IFERROR(__xludf.DUMMYFUNCTION("IFERROR(
  VLOOKUP(
    A2,
    IMPORTRANGE(
      ""1ZHMy3vVUd_0MrSduXTe1etBb1HNpAlGwQr006ljwMiM"",
      ""GSC最新!A:F""
    ),
    5,
    FALSE
  ),
  0
)
"),3642.0)</f>
        <v>3642</v>
      </c>
      <c r="L2" s="50">
        <f t="shared" ref="L2:M2" si="2">IFERROR(H2/J2,"-")</f>
        <v>1.018853103</v>
      </c>
      <c r="M2" s="50">
        <f t="shared" si="2"/>
        <v>0.9780340472</v>
      </c>
      <c r="N2" s="6">
        <f>IFERROR(__xludf.DUMMYFUNCTION("IFERROR(
  VLOOKUP(
    A2,
    IMPORTRANGE(
      ""1ZHMy3vVUd_0MrSduXTe1etBb1HNpAlGwQr006ljwMiM"",
      ""GSC最新!A:R""
    ),
    7,
    FALSE
  ),
  0
)
"),44974.0)</f>
        <v>44974</v>
      </c>
      <c r="O2" s="6">
        <f>IFERROR(__xludf.DUMMYFUNCTION("IFERROR(
  VLOOKUP(
    A2,
    IMPORTRANGE(
      ""1ZHMy3vVUd_0MrSduXTe1etBb1HNpAlGwQr006ljwMiM"",
      ""GSC最新!A:R""
    ),
    10,
    FALSE
  ),
  0
)
"),94827.0)</f>
        <v>94827</v>
      </c>
      <c r="P2" s="6">
        <f>IFERROR(__xludf.DUMMYFUNCTION("IFERROR(
  VLOOKUP(
    A2,
    IMPORTRANGE(
      ""1ZHMy3vVUd_0MrSduXTe1etBb1HNpAlGwQr006ljwMiM"",
      ""GSC最新!A:R""
    ),
    13,
    FALSE
  ),
  0
)
"),10911.0)</f>
        <v>10911</v>
      </c>
      <c r="Q2" s="6">
        <f>IFERROR(__xludf.DUMMYFUNCTION("IFERROR(
  VLOOKUP(
    A2,
    IMPORTRANGE(
      ""1ZHMy3vVUd_0MrSduXTe1etBb1HNpAlGwQr006ljwMiM"",
      ""GSC最新!A:R""
    ),
    16,
    FALSE
  ),
  0
)
"),36534.0)</f>
        <v>36534</v>
      </c>
      <c r="R2" s="51">
        <f t="shared" ref="R2:S2" si="3">IFERROR(N2/P2,"-")</f>
        <v>4.121895335</v>
      </c>
      <c r="S2" s="51">
        <f t="shared" si="3"/>
        <v>2.595582197</v>
      </c>
      <c r="T2" s="9">
        <f>IFERROR(__xludf.DUMMYFUNCTION("IFERROR(
  VLOOKUP(
    A2,
    IMPORTRANGE(
      ""1ZHMy3vVUd_0MrSduXTe1etBb1HNpAlGwQr006ljwMiM"",
      ""GSC最新!A:R""
    ),
    8,
    FALSE
  ),
  0
)
"),0.028838884688931383)</f>
        <v>0.02883888469</v>
      </c>
      <c r="U2" s="9">
        <f>IFERROR(__xludf.DUMMYFUNCTION("IFERROR(
  VLOOKUP(
    A2,
    IMPORTRANGE(
      ""1ZHMy3vVUd_0MrSduXTe1etBb1HNpAlGwQr006ljwMiM"",
      ""GSC最新!A:R""
    ),
    11,
    FALSE
  ),
  0
)
"),0.03756314129941894)</f>
        <v>0.0375631413</v>
      </c>
      <c r="V2" s="9">
        <f>IFERROR(__xludf.DUMMYFUNCTION("IFERROR(
  VLOOKUP(
    A2,
    IMPORTRANGE(
      ""1ZHMy3vVUd_0MrSduXTe1etBb1HNpAlGwQr006ljwMiM"",
      ""GSC最新!A:R""
    ),
    14,
    FALSE
  ),
  0
)
"),0.116671249198057)</f>
        <v>0.1166712492</v>
      </c>
      <c r="W2" s="9">
        <f>IFERROR(__xludf.DUMMYFUNCTION("IFERROR(
  VLOOKUP(
    A2,
    IMPORTRANGE(
      ""1ZHMy3vVUd_0MrSduXTe1etBb1HNpAlGwQr006ljwMiM"",
      ""GSC最新!A:R""
    ),
    17,
    FALSE
  ),
  0
)
"),0.0996879618985055)</f>
        <v>0.0996879619</v>
      </c>
      <c r="X2" s="9">
        <f t="shared" ref="X2:Y2" si="4">IFERROR(T2-V2,"-")</f>
        <v>-0.08783236451</v>
      </c>
      <c r="Y2" s="9">
        <f t="shared" si="4"/>
        <v>-0.0621248206</v>
      </c>
      <c r="Z2" s="65">
        <f>IFERROR(__xludf.DUMMYFUNCTION("IFERROR(
  VLOOKUP(
    A2,
    IMPORTRANGE(
      ""1ZHMy3vVUd_0MrSduXTe1etBb1HNpAlGwQr006ljwMiM"",
      ""GSC最新!A:R""
    ),
    9,
    FALSE
  ),
  0
)
"),5.022368479565971)</f>
        <v>5.02236848</v>
      </c>
      <c r="AA2" s="65">
        <f>IFERROR(__xludf.DUMMYFUNCTION("IFERROR(
  VLOOKUP(
    A2,
    IMPORTRANGE(
      ""1ZHMy3vVUd_0MrSduXTe1etBb1HNpAlGwQr006ljwMiM"",
      ""GSC最新!A:R""
    ),
    12,
    FALSE
  ),
  0
)
"),5.590570196252123)</f>
        <v>5.590570196</v>
      </c>
      <c r="AB2" s="65">
        <f>IFERROR(__xludf.DUMMYFUNCTION("IFERROR(
  VLOOKUP(
    A2,
    IMPORTRANGE(
      ""1ZHMy3vVUd_0MrSduXTe1etBb1HNpAlGwQr006ljwMiM"",
      ""GSC最新!A:R""
    ),
    15,
    FALSE
  ),
  0
)
"),6.907157914031711)</f>
        <v>6.907157914</v>
      </c>
      <c r="AC2" s="65">
        <f>IFERROR(__xludf.DUMMYFUNCTION("IFERROR(
  VLOOKUP(
    A2,
    IMPORTRANGE(
      ""1ZHMy3vVUd_0MrSduXTe1etBb1HNpAlGwQr006ljwMiM"",
      ""GSC最新!A:R""
    ),
    18,
    FALSE
  ),
  0
)
"),7.950785569606394)</f>
        <v>7.95078557</v>
      </c>
      <c r="AD2" s="65">
        <f t="shared" ref="AD2:AE2" si="5">Z2-AB2</f>
        <v>-1.884789434</v>
      </c>
      <c r="AE2" s="65">
        <f t="shared" si="5"/>
        <v>-2.360215373</v>
      </c>
      <c r="AF2" s="53">
        <f>IFERROR(__xludf.DUMMYFUNCTION("IFERROR(
  VLOOKUP(
    A2,
    IMPORTRANGE(
      ""1ZHMy3vVUd_0MrSduXTe1etBb1HNpAlGwQr006ljwMiM"",
      ""GSC最新!A:F""
    ),
    6,
    FALSE
  ),
  0
)
"),46081.0)</f>
        <v>46081</v>
      </c>
      <c r="AG2" s="54">
        <f>IFERROR(__xludf.DUMMYFUNCTION("IFERROR(
  VLOOKUP(
    A2,
    IMPORTRANGE(
      ""1SCYQd7_cobOYqT0r_F0IqD4tE4rYn5y8Eup4PJTH8es"",
      ""Snapshot!A:M""
    ),
    5,
    FALSE
  ),
  ""-""
)
"),7.0)</f>
        <v>7</v>
      </c>
      <c r="AH2" s="54">
        <f>IFERROR(__xludf.DUMMYFUNCTION("IFERROR(
  VLOOKUP(
    A2,
    IMPORTRANGE(
      ""1SCYQd7_cobOYqT0r_F0IqD4tE4rYn5y8Eup4PJTH8es"",
      ""Snapshot!A:M""
    ),
    6,
    FALSE
  ),
  0
)
"),11.0)</f>
        <v>11</v>
      </c>
      <c r="AI2" s="54">
        <f>IFERROR(__xludf.DUMMYFUNCTION("IFERROR(
  VLOOKUP(
    A2,
    IMPORTRANGE(
      ""1SCYQd7_cobOYqT0r_F0IqD4tE4rYn5y8Eup4PJTH8es"",
      ""Snapshot!A:M""
    ),
    7,
    FALSE
  ),
  0
)
"),3880.0)</f>
        <v>3880</v>
      </c>
      <c r="AJ2" s="54">
        <f>IFERROR(__xludf.DUMMYFUNCTION("IFERROR(
  VLOOKUP(
    A2,
    IMPORTRANGE(
      ""1SCYQd7_cobOYqT0r_F0IqD4tE4rYn5y8Eup4PJTH8es"",
      ""Snapshot!A:M""
    ),
    8,
    FALSE
  ),
  0
)
"),6.0)</f>
        <v>6</v>
      </c>
      <c r="AK2" s="54">
        <f>IFERROR(__xludf.DUMMYFUNCTION("IFERROR(
  VLOOKUP(
    A2,
    IMPORTRANGE(
      ""1SCYQd7_cobOYqT0r_F0IqD4tE4rYn5y8Eup4PJTH8es"",
      ""Snapshot!A:M""
    ),
    9,
    FALSE
  ),
  0
)
"),3.0)</f>
        <v>3</v>
      </c>
      <c r="AL2" s="54">
        <f>IFERROR(__xludf.DUMMYFUNCTION("IFERROR(
  VLOOKUP(
    A2,
    IMPORTRANGE(
      ""1SCYQd7_cobOYqT0r_F0IqD4tE4rYn5y8Eup4PJTH8es"",
      ""Snapshot!A:M""
    ),
    13,
    FALSE
  ),
  0
)
"),2.0)</f>
        <v>2</v>
      </c>
    </row>
    <row r="3">
      <c r="A3" s="3" t="s">
        <v>892</v>
      </c>
      <c r="B3" s="1" t="str">
        <f>IFERROR(__xludf.DUMMYFUNCTION("IFERROR(
  VLOOKUP(
    A3,
    IMPORTRANGE(
      ""1ZygntHC1J6IxzKbTidmOyf5nUyW4GCLurHCjexrLm_o"",
      ""HTMLキャッシュ!A:F""
    ),
    2,
    FALSE
  ),
  0
)
"),"MC")</f>
        <v>MC</v>
      </c>
      <c r="C3" s="49">
        <f t="shared" ref="C3:D3" si="6">LEN(E3)</f>
        <v>26</v>
      </c>
      <c r="D3" s="49">
        <f t="shared" si="6"/>
        <v>69</v>
      </c>
      <c r="E3" s="1" t="str">
        <f>IFERROR(__xludf.DUMMYFUNCTION("IFERROR(
  VLOOKUP(
    A3,
    IMPORTRANGE(
      ""1ZygntHC1J6IxzKbTidmOyf5nUyW4GCLurHCjexrLm_o"",
      ""HTMLキャッシュ!A:F""
    ),
    5,
    FALSE
  ),
  0
)
"),"古文の時間帯表現｜時刻ごとの言い方と例文で基本を整理")</f>
        <v>古文の時間帯表現｜時刻ごとの言い方と例文で基本を整理</v>
      </c>
      <c r="F3" s="1" t="str">
        <f>IFERROR(__xludf.DUMMYFUNCTION("IFERROR(
  VLOOKUP(
    A3,
    IMPORTRANGE(
      ""1ZygntHC1J6IxzKbTidmOyf5nUyW4GCLurHCjexrLm_o        "",
      ""HTMLキャッシュ!A:F""
    ),
    6,
    FALSE
  ),
  0
)
"),"丑三つ時とは何時かを即答（午前2時〜2時半ごろ）。丑の刻・午の刻など十二支の時刻を現代時間の早見表で整理し、古文の場面理解に直結させます。")</f>
        <v>丑三つ時とは何時かを即答（午前2時〜2時半ごろ）。丑の刻・午の刻など十二支の時刻を現代時間の早見表で整理し、古文の場面理解に直結させます。</v>
      </c>
      <c r="G3" s="32">
        <f>IFERROR(__xludf.DUMMYFUNCTION("IFERROR(
  VLOOKUP(
    A3,
    IMPORTRANGE(
      ""1ZygntHC1J6IxzKbTidmOyf5nUyW4GCLurHCjexrLm_o        "",
      ""HTMLキャッシュ!A:F""
    ),
    3,
    FALSE
  ),
  0
)
"),46077.74162037037)</f>
        <v>46077.74162</v>
      </c>
      <c r="H3" s="49">
        <f>IFERROR(__xludf.DUMMYFUNCTION("IFERROR(
  VLOOKUP(
    A3,
    IMPORTRANGE(
      ""1ZHMy3vVUd_0MrSduXTe1etBb1HNpAlGwQr006ljwMiM"",
      ""GSC最新!A:F""
    ),
    2,
    FALSE
  ),
  0
)
"),786.0)</f>
        <v>786</v>
      </c>
      <c r="I3" s="49">
        <f>IFERROR(__xludf.DUMMYFUNCTION("IFERROR(
  VLOOKUP(
    A3,
    IMPORTRANGE(
      ""1ZHMy3vVUd_0MrSduXTe1etBb1HNpAlGwQr006ljwMiM"",
      ""GSC最新!A:F""
    ),
    3,
    FALSE
  ),
  0
)
"),2879.0)</f>
        <v>2879</v>
      </c>
      <c r="J3" s="49">
        <f>IFERROR(__xludf.DUMMYFUNCTION("IFERROR(
  VLOOKUP(
    A3,
    IMPORTRANGE(
      ""1ZHMy3vVUd_0MrSduXTe1etBb1HNpAlGwQr006ljwMiM"",
      ""GSC最新!A:F""
    ),
    4,
    FALSE
  ),
  0
)
"),439.0)</f>
        <v>439</v>
      </c>
      <c r="K3" s="49">
        <f>IFERROR(__xludf.DUMMYFUNCTION("IFERROR(
  VLOOKUP(
    A3,
    IMPORTRANGE(
      ""1ZHMy3vVUd_0MrSduXTe1etBb1HNpAlGwQr006ljwMiM"",
      ""GSC最新!A:F""
    ),
    5,
    FALSE
  ),
  0
)
"),1235.0)</f>
        <v>1235</v>
      </c>
      <c r="L3" s="50">
        <f t="shared" ref="L3:M3" si="7">IFERROR(H3/J3,"-")</f>
        <v>1.790432802</v>
      </c>
      <c r="M3" s="50">
        <f t="shared" si="7"/>
        <v>2.331174089</v>
      </c>
      <c r="N3" s="6">
        <f>IFERROR(__xludf.DUMMYFUNCTION("IFERROR(
  VLOOKUP(
    A3,
    IMPORTRANGE(
      ""1ZHMy3vVUd_0MrSduXTe1etBb1HNpAlGwQr006ljwMiM"",
      ""GSC最新!A:R""
    ),
    7,
    FALSE
  ),
  0
)
"),85569.0)</f>
        <v>85569</v>
      </c>
      <c r="O3" s="6">
        <f>IFERROR(__xludf.DUMMYFUNCTION("IFERROR(
  VLOOKUP(
    A3,
    IMPORTRANGE(
      ""1ZHMy3vVUd_0MrSduXTe1etBb1HNpAlGwQr006ljwMiM"",
      ""GSC最新!A:R""
    ),
    10,
    FALSE
  ),
  0
)
"),288526.0)</f>
        <v>288526</v>
      </c>
      <c r="P3" s="6">
        <f>IFERROR(__xludf.DUMMYFUNCTION("IFERROR(
  VLOOKUP(
    A3,
    IMPORTRANGE(
      ""1ZHMy3vVUd_0MrSduXTe1etBb1HNpAlGwQr006ljwMiM"",
      ""GSC最新!A:R""
    ),
    13,
    FALSE
  ),
  0
)
"),10207.0)</f>
        <v>10207</v>
      </c>
      <c r="Q3" s="6">
        <f>IFERROR(__xludf.DUMMYFUNCTION("IFERROR(
  VLOOKUP(
    A3,
    IMPORTRANGE(
      ""1ZHMy3vVUd_0MrSduXTe1etBb1HNpAlGwQr006ljwMiM"",
      ""GSC最新!A:R""
    ),
    16,
    FALSE
  ),
  0
)
"),26248.0)</f>
        <v>26248</v>
      </c>
      <c r="R3" s="51">
        <f t="shared" ref="R3:S3" si="8">IFERROR(N3/P3,"-")</f>
        <v>8.383364358</v>
      </c>
      <c r="S3" s="51">
        <f t="shared" si="8"/>
        <v>10.99230418</v>
      </c>
      <c r="T3" s="9">
        <f>IFERROR(__xludf.DUMMYFUNCTION("IFERROR(
  VLOOKUP(
    A3,
    IMPORTRANGE(
      ""1ZHMy3vVUd_0MrSduXTe1etBb1HNpAlGwQr006ljwMiM"",
      ""GSC最新!A:R""
    ),
    8,
    FALSE
  ),
  0
)
"),0.009185569540370928)</f>
        <v>0.00918556954</v>
      </c>
      <c r="U3" s="9">
        <f>IFERROR(__xludf.DUMMYFUNCTION("IFERROR(
  VLOOKUP(
    A3,
    IMPORTRANGE(
      ""1ZHMy3vVUd_0MrSduXTe1etBb1HNpAlGwQr006ljwMiM"",
      ""GSC最新!A:R""
    ),
    11,
    FALSE
  ),
  0
)
"),0.009978303515107824)</f>
        <v>0.009978303515</v>
      </c>
      <c r="V3" s="9">
        <f>IFERROR(__xludf.DUMMYFUNCTION("IFERROR(
  VLOOKUP(
    A3,
    IMPORTRANGE(
      ""1ZHMy3vVUd_0MrSduXTe1etBb1HNpAlGwQr006ljwMiM"",
      ""GSC最新!A:R""
    ),
    14,
    FALSE
  ),
  0
)
"),0.04300969922602136)</f>
        <v>0.04300969923</v>
      </c>
      <c r="W3" s="9">
        <f>IFERROR(__xludf.DUMMYFUNCTION("IFERROR(
  VLOOKUP(
    A3,
    IMPORTRANGE(
      ""1ZHMy3vVUd_0MrSduXTe1etBb1HNpAlGwQr006ljwMiM"",
      ""GSC最新!A:R""
    ),
    17,
    FALSE
  ),
  0
)
"),0.047051203901249616)</f>
        <v>0.0470512039</v>
      </c>
      <c r="X3" s="9">
        <f t="shared" ref="X3:Y3" si="9">IFERROR(T3-V3,"-")</f>
        <v>-0.03382412969</v>
      </c>
      <c r="Y3" s="9">
        <f t="shared" si="9"/>
        <v>-0.03707290039</v>
      </c>
      <c r="Z3" s="65">
        <f>IFERROR(__xludf.DUMMYFUNCTION("IFERROR(
  VLOOKUP(
    A3,
    IMPORTRANGE(
      ""1ZHMy3vVUd_0MrSduXTe1etBb1HNpAlGwQr006ljwMiM"",
      ""GSC最新!A:R""
    ),
    9,
    FALSE
  ),
  0
)
"),3.688485315943858)</f>
        <v>3.688485316</v>
      </c>
      <c r="AA3" s="65">
        <f>IFERROR(__xludf.DUMMYFUNCTION("IFERROR(
  VLOOKUP(
    A3,
    IMPORTRANGE(
      ""1ZHMy3vVUd_0MrSduXTe1etBb1HNpAlGwQr006ljwMiM"",
      ""GSC最新!A:R""
    ),
    12,
    FALSE
  ),
  0
)
"),3.7705336780740732)</f>
        <v>3.770533678</v>
      </c>
      <c r="AB3" s="65">
        <f>IFERROR(__xludf.DUMMYFUNCTION("IFERROR(
  VLOOKUP(
    A3,
    IMPORTRANGE(
      ""1ZHMy3vVUd_0MrSduXTe1etBb1HNpAlGwQr006ljwMiM"",
      ""GSC最新!A:R""
    ),
    15,
    FALSE
  ),
  0
)
"),7.4657587929852065)</f>
        <v>7.465758793</v>
      </c>
      <c r="AC3" s="65">
        <f>IFERROR(__xludf.DUMMYFUNCTION("IFERROR(
  VLOOKUP(
    A3,
    IMPORTRANGE(
      ""1ZHMy3vVUd_0MrSduXTe1etBb1HNpAlGwQr006ljwMiM"",
      ""GSC最新!A:R""
    ),
    18,
    FALSE
  ),
  0
)
"),7.3812099969521485)</f>
        <v>7.381209997</v>
      </c>
      <c r="AD3" s="65">
        <f t="shared" ref="AD3:AE3" si="10">Z3-AB3</f>
        <v>-3.777273477</v>
      </c>
      <c r="AE3" s="65">
        <f t="shared" si="10"/>
        <v>-3.610676319</v>
      </c>
      <c r="AF3" s="53">
        <f>IFERROR(__xludf.DUMMYFUNCTION("IFERROR(
  VLOOKUP(
    A3,
    IMPORTRANGE(
      ""1ZHMy3vVUd_0MrSduXTe1etBb1HNpAlGwQr006ljwMiM"",
      ""GSC最新!A:F""
    ),
    6,
    FALSE
  ),
  0
)
"),46081.0)</f>
        <v>46081</v>
      </c>
      <c r="AG3" s="54">
        <f>IFERROR(__xludf.DUMMYFUNCTION("IFERROR(
  VLOOKUP(
    A3,
    IMPORTRANGE(
      ""1SCYQd7_cobOYqT0r_F0IqD4tE4rYn5y8Eup4PJTH8es"",
      ""Snapshot!A:M""
    ),
    5,
    FALSE
  ),
  ""-""
)
"),6.0)</f>
        <v>6</v>
      </c>
      <c r="AH3" s="54">
        <f>IFERROR(__xludf.DUMMYFUNCTION("IFERROR(
  VLOOKUP(
    A3,
    IMPORTRANGE(
      ""1SCYQd7_cobOYqT0r_F0IqD4tE4rYn5y8Eup4PJTH8es"",
      ""Snapshot!A:M""
    ),
    6,
    FALSE
  ),
  0
)
"),1.0)</f>
        <v>1</v>
      </c>
      <c r="AI3" s="54">
        <f>IFERROR(__xludf.DUMMYFUNCTION("IFERROR(
  VLOOKUP(
    A3,
    IMPORTRANGE(
      ""1SCYQd7_cobOYqT0r_F0IqD4tE4rYn5y8Eup4PJTH8es"",
      ""Snapshot!A:M""
    ),
    7,
    FALSE
  ),
  0
)
"),2651.0)</f>
        <v>2651</v>
      </c>
      <c r="AJ3" s="54">
        <f>IFERROR(__xludf.DUMMYFUNCTION("IFERROR(
  VLOOKUP(
    A3,
    IMPORTRANGE(
      ""1SCYQd7_cobOYqT0r_F0IqD4tE4rYn5y8Eup4PJTH8es"",
      ""Snapshot!A:M""
    ),
    8,
    FALSE
  ),
  0
)
"),6.0)</f>
        <v>6</v>
      </c>
      <c r="AK3" s="54">
        <f>IFERROR(__xludf.DUMMYFUNCTION("IFERROR(
  VLOOKUP(
    A3,
    IMPORTRANGE(
      ""1SCYQd7_cobOYqT0r_F0IqD4tE4rYn5y8Eup4PJTH8es"",
      ""Snapshot!A:M""
    ),
    9,
    FALSE
  ),
  0
)
"),2.0)</f>
        <v>2</v>
      </c>
      <c r="AL3" s="54">
        <f>IFERROR(__xludf.DUMMYFUNCTION("IFERROR(
  VLOOKUP(
    A3,
    IMPORTRANGE(
      ""1SCYQd7_cobOYqT0r_F0IqD4tE4rYn5y8Eup4PJTH8es"",
      ""Snapshot!A:M""
    ),
    13,
    FALSE
  ),
  0
)
"),2.0)</f>
        <v>2</v>
      </c>
    </row>
    <row r="4">
      <c r="A4" s="3" t="s">
        <v>893</v>
      </c>
      <c r="B4" s="1" t="str">
        <f>IFERROR(__xludf.DUMMYFUNCTION("IFERROR(
  VLOOKUP(
    A4,
    IMPORTRANGE(
      ""1ZygntHC1J6IxzKbTidmOyf5nUyW4GCLurHCjexrLm_o"",
      ""HTMLキャッシュ!A:F""
    ),
    2,
    FALSE
  ),
  0
)
"),"MC")</f>
        <v>MC</v>
      </c>
      <c r="C4" s="49">
        <f t="shared" ref="C4:D4" si="11">LEN(E4)</f>
        <v>42</v>
      </c>
      <c r="D4" s="49">
        <f t="shared" si="11"/>
        <v>86</v>
      </c>
      <c r="E4" s="1" t="str">
        <f>IFERROR(__xludf.DUMMYFUNCTION("IFERROR(
  VLOOKUP(
    A4,
    IMPORTRANGE(
      ""1ZygntHC1J6IxzKbTidmOyf5nUyW4GCLurHCjexrLm_o"",
      ""HTMLキャッシュ!A:F""
    ),
    5,
    FALSE
  ),
  0
)
"),"十二支（干支）の方角一覧｜子=北・卯=東・午=南・酉=西／艮（丑寅）ほか図解【古文】")</f>
        <v>十二支（干支）の方角一覧｜子=北・卯=東・午=南・酉=西／艮（丑寅）ほか図解【古文】</v>
      </c>
      <c r="F4" s="1" t="str">
        <f>IFERROR(__xludf.DUMMYFUNCTION("IFERROR(
  VLOOKUP(
    A4,
    IMPORTRANGE(
      ""1ZygntHC1J6IxzKbTidmOyf5nUyW4GCLurHCjexrLm_o        "",
      ""HTMLキャッシュ!A:F""
    ),
    6,
    FALSE
  ),
  0
)
"),"十二支の方角は、子=北・卯=東・午=南・酉=西。中間は艮（丑寅）=北東、巽（辰巳）=南東、坤（未申）=南西、乾（戌亥）=北西。鬼門・裏鬼門まで一覧＋図で一気に整理できます。")</f>
        <v>十二支の方角は、子=北・卯=東・午=南・酉=西。中間は艮（丑寅）=北東、巽（辰巳）=南東、坤（未申）=南西、乾（戌亥）=北西。鬼門・裏鬼門まで一覧＋図で一気に整理できます。</v>
      </c>
      <c r="G4" s="32">
        <f>IFERROR(__xludf.DUMMYFUNCTION("IFERROR(
  VLOOKUP(
    A4,
    IMPORTRANGE(
      ""1ZygntHC1J6IxzKbTidmOyf5nUyW4GCLurHCjexrLm_o        "",
      ""HTMLキャッシュ!A:F""
    ),
    3,
    FALSE
  ),
  0
)
"),46017.811875)</f>
        <v>46017.81188</v>
      </c>
      <c r="H4" s="49">
        <f>IFERROR(__xludf.DUMMYFUNCTION("IFERROR(
  VLOOKUP(
    A4,
    IMPORTRANGE(
      ""1ZHMy3vVUd_0MrSduXTe1etBb1HNpAlGwQr006ljwMiM"",
      ""GSC最新!A:F""
    ),
    2,
    FALSE
  ),
  0
)
"),424.0)</f>
        <v>424</v>
      </c>
      <c r="I4" s="49">
        <f>IFERROR(__xludf.DUMMYFUNCTION("IFERROR(
  VLOOKUP(
    A4,
    IMPORTRANGE(
      ""1ZHMy3vVUd_0MrSduXTe1etBb1HNpAlGwQr006ljwMiM"",
      ""GSC最新!A:F""
    ),
    3,
    FALSE
  ),
  0
)
"),1264.0)</f>
        <v>1264</v>
      </c>
      <c r="J4" s="49">
        <f>IFERROR(__xludf.DUMMYFUNCTION("IFERROR(
  VLOOKUP(
    A4,
    IMPORTRANGE(
      ""1ZHMy3vVUd_0MrSduXTe1etBb1HNpAlGwQr006ljwMiM"",
      ""GSC最新!A:F""
    ),
    4,
    FALSE
  ),
  0
)
"),125.0)</f>
        <v>125</v>
      </c>
      <c r="K4" s="49">
        <f>IFERROR(__xludf.DUMMYFUNCTION("IFERROR(
  VLOOKUP(
    A4,
    IMPORTRANGE(
      ""1ZHMy3vVUd_0MrSduXTe1etBb1HNpAlGwQr006ljwMiM"",
      ""GSC最新!A:F""
    ),
    5,
    FALSE
  ),
  0
)
"),456.0)</f>
        <v>456</v>
      </c>
      <c r="L4" s="50">
        <f t="shared" ref="L4:M4" si="12">IFERROR(H4/J4,"-")</f>
        <v>3.392</v>
      </c>
      <c r="M4" s="50">
        <f t="shared" si="12"/>
        <v>2.771929825</v>
      </c>
      <c r="N4" s="6">
        <f>IFERROR(__xludf.DUMMYFUNCTION("IFERROR(
  VLOOKUP(
    A4,
    IMPORTRANGE(
      ""1ZHMy3vVUd_0MrSduXTe1etBb1HNpAlGwQr006ljwMiM"",
      ""GSC最新!A:R""
    ),
    7,
    FALSE
  ),
  0
)
"),46526.0)</f>
        <v>46526</v>
      </c>
      <c r="O4" s="6">
        <f>IFERROR(__xludf.DUMMYFUNCTION("IFERROR(
  VLOOKUP(
    A4,
    IMPORTRANGE(
      ""1ZHMy3vVUd_0MrSduXTe1etBb1HNpAlGwQr006ljwMiM"",
      ""GSC最新!A:R""
    ),
    10,
    FALSE
  ),
  0
)
"),141296.0)</f>
        <v>141296</v>
      </c>
      <c r="P4" s="6">
        <f>IFERROR(__xludf.DUMMYFUNCTION("IFERROR(
  VLOOKUP(
    A4,
    IMPORTRANGE(
      ""1ZHMy3vVUd_0MrSduXTe1etBb1HNpAlGwQr006ljwMiM"",
      ""GSC最新!A:R""
    ),
    13,
    FALSE
  ),
  0
)
"),83869.0)</f>
        <v>83869</v>
      </c>
      <c r="Q4" s="6">
        <f>IFERROR(__xludf.DUMMYFUNCTION("IFERROR(
  VLOOKUP(
    A4,
    IMPORTRANGE(
      ""1ZHMy3vVUd_0MrSduXTe1etBb1HNpAlGwQr006ljwMiM"",
      ""GSC最新!A:R""
    ),
    16,
    FALSE
  ),
  0
)
"),184140.0)</f>
        <v>184140</v>
      </c>
      <c r="R4" s="51">
        <f t="shared" ref="R4:S4" si="13">IFERROR(N4/P4,"-")</f>
        <v>0.5547460921</v>
      </c>
      <c r="S4" s="51">
        <f t="shared" si="13"/>
        <v>0.767329206</v>
      </c>
      <c r="T4" s="9">
        <f>IFERROR(__xludf.DUMMYFUNCTION("IFERROR(
  VLOOKUP(
    A4,
    IMPORTRANGE(
      ""1ZHMy3vVUd_0MrSduXTe1etBb1HNpAlGwQr006ljwMiM"",
      ""GSC最新!A:R""
    ),
    8,
    FALSE
  ),
  0
)
"),0.009113184026135923)</f>
        <v>0.009113184026</v>
      </c>
      <c r="U4" s="9">
        <f>IFERROR(__xludf.DUMMYFUNCTION("IFERROR(
  VLOOKUP(
    A4,
    IMPORTRANGE(
      ""1ZHMy3vVUd_0MrSduXTe1etBb1HNpAlGwQr006ljwMiM"",
      ""GSC最新!A:R""
    ),
    11,
    FALSE
  ),
  0
)
"),0.00894575925716227)</f>
        <v>0.008945759257</v>
      </c>
      <c r="V4" s="9">
        <f>IFERROR(__xludf.DUMMYFUNCTION("IFERROR(
  VLOOKUP(
    A4,
    IMPORTRANGE(
      ""1ZHMy3vVUd_0MrSduXTe1etBb1HNpAlGwQr006ljwMiM"",
      ""GSC最新!A:R""
    ),
    14,
    FALSE
  ),
  0
)
"),0.0014904195829209838)</f>
        <v>0.001490419583</v>
      </c>
      <c r="W4" s="9">
        <f>IFERROR(__xludf.DUMMYFUNCTION("IFERROR(
  VLOOKUP(
    A4,
    IMPORTRANGE(
      ""1ZHMy3vVUd_0MrSduXTe1etBb1HNpAlGwQr006ljwMiM"",
      ""GSC最新!A:R""
    ),
    17,
    FALSE
  ),
  0
)
"),0.002476376669925057)</f>
        <v>0.00247637667</v>
      </c>
      <c r="X4" s="9">
        <f t="shared" ref="X4:Y4" si="14">IFERROR(T4-V4,"-")</f>
        <v>0.007622764443</v>
      </c>
      <c r="Y4" s="9">
        <f t="shared" si="14"/>
        <v>0.006469382587</v>
      </c>
      <c r="Z4" s="65">
        <f>IFERROR(__xludf.DUMMYFUNCTION("IFERROR(
  VLOOKUP(
    A4,
    IMPORTRANGE(
      ""1ZHMy3vVUd_0MrSduXTe1etBb1HNpAlGwQr006ljwMiM"",
      ""GSC最新!A:R""
    ),
    9,
    FALSE
  ),
  0
)
"),3.0207625843614325)</f>
        <v>3.020762584</v>
      </c>
      <c r="AA4" s="65">
        <f>IFERROR(__xludf.DUMMYFUNCTION("IFERROR(
  VLOOKUP(
    A4,
    IMPORTRANGE(
      ""1ZHMy3vVUd_0MrSduXTe1etBb1HNpAlGwQr006ljwMiM"",
      ""GSC最新!A:R""
    ),
    12,
    FALSE
  ),
  0
)
"),3.2015272902276073)</f>
        <v>3.20152729</v>
      </c>
      <c r="AB4" s="65">
        <f>IFERROR(__xludf.DUMMYFUNCTION("IFERROR(
  VLOOKUP(
    A4,
    IMPORTRANGE(
      ""1ZHMy3vVUd_0MrSduXTe1etBb1HNpAlGwQr006ljwMiM"",
      ""GSC最新!A:R""
    ),
    15,
    FALSE
  ),
  0
)
"),5.668363757765086)</f>
        <v>5.668363758</v>
      </c>
      <c r="AC4" s="65">
        <f>IFERROR(__xludf.DUMMYFUNCTION("IFERROR(
  VLOOKUP(
    A4,
    IMPORTRANGE(
      ""1ZHMy3vVUd_0MrSduXTe1etBb1HNpAlGwQr006ljwMiM"",
      ""GSC最新!A:R""
    ),
    18,
    FALSE
  ),
  0
)
"),5.0215270989464535)</f>
        <v>5.021527099</v>
      </c>
      <c r="AD4" s="65">
        <f t="shared" ref="AD4:AE4" si="15">Z4-AB4</f>
        <v>-2.647601173</v>
      </c>
      <c r="AE4" s="65">
        <f t="shared" si="15"/>
        <v>-1.819999809</v>
      </c>
      <c r="AF4" s="53">
        <f>IFERROR(__xludf.DUMMYFUNCTION("IFERROR(
  VLOOKUP(
    A4,
    IMPORTRANGE(
      ""1ZHMy3vVUd_0MrSduXTe1etBb1HNpAlGwQr006ljwMiM"",
      ""GSC最新!A:F""
    ),
    6,
    FALSE
  ),
  0
)
"),46081.0)</f>
        <v>46081</v>
      </c>
      <c r="AG4" s="54">
        <f>IFERROR(__xludf.DUMMYFUNCTION("IFERROR(
  VLOOKUP(
    A4,
    IMPORTRANGE(
      ""1SCYQd7_cobOYqT0r_F0IqD4tE4rYn5y8Eup4PJTH8es"",
      ""Snapshot!A:M""
    ),
    5,
    FALSE
  ),
  ""-""
)
"),7.0)</f>
        <v>7</v>
      </c>
      <c r="AH4" s="54">
        <f>IFERROR(__xludf.DUMMYFUNCTION("IFERROR(
  VLOOKUP(
    A4,
    IMPORTRANGE(
      ""1SCYQd7_cobOYqT0r_F0IqD4tE4rYn5y8Eup4PJTH8es"",
      ""Snapshot!A:M""
    ),
    6,
    FALSE
  ),
  0
)
"),10.0)</f>
        <v>10</v>
      </c>
      <c r="AI4" s="54">
        <f>IFERROR(__xludf.DUMMYFUNCTION("IFERROR(
  VLOOKUP(
    A4,
    IMPORTRANGE(
      ""1SCYQd7_cobOYqT0r_F0IqD4tE4rYn5y8Eup4PJTH8es"",
      ""Snapshot!A:M""
    ),
    7,
    FALSE
  ),
  0
)
"),3179.0)</f>
        <v>3179</v>
      </c>
      <c r="AJ4" s="54">
        <f>IFERROR(__xludf.DUMMYFUNCTION("IFERROR(
  VLOOKUP(
    A4,
    IMPORTRANGE(
      ""1SCYQd7_cobOYqT0r_F0IqD4tE4rYn5y8Eup4PJTH8es"",
      ""Snapshot!A:M""
    ),
    8,
    FALSE
  ),
  0
)
"),2.0)</f>
        <v>2</v>
      </c>
      <c r="AK4" s="54">
        <f>IFERROR(__xludf.DUMMYFUNCTION("IFERROR(
  VLOOKUP(
    A4,
    IMPORTRANGE(
      ""1SCYQd7_cobOYqT0r_F0IqD4tE4rYn5y8Eup4PJTH8es"",
      ""Snapshot!A:M""
    ),
    9,
    FALSE
  ),
  0
)
"),2.0)</f>
        <v>2</v>
      </c>
      <c r="AL4" s="54">
        <f>IFERROR(__xludf.DUMMYFUNCTION("IFERROR(
  VLOOKUP(
    A4,
    IMPORTRANGE(
      ""1SCYQd7_cobOYqT0r_F0IqD4tE4rYn5y8Eup4PJTH8es"",
      ""Snapshot!A:M""
    ),
    13,
    FALSE
  ),
  0
)
"),2.0)</f>
        <v>2</v>
      </c>
    </row>
    <row r="5">
      <c r="A5" s="1" t="s">
        <v>894</v>
      </c>
      <c r="B5" s="1" t="str">
        <f>IFERROR(__xludf.DUMMYFUNCTION("IFERROR(
  VLOOKUP(
    A5,
    IMPORTRANGE(
      ""1ZygntHC1J6IxzKbTidmOyf5nUyW4GCLurHCjexrLm_o"",
      ""HTMLキャッシュ!A:F""
    ),
    2,
    FALSE
  ),
  0
)
"),"MC")</f>
        <v>MC</v>
      </c>
      <c r="C5" s="49">
        <f t="shared" ref="C5:D5" si="16">LEN(E5)</f>
        <v>29</v>
      </c>
      <c r="D5" s="49">
        <f t="shared" si="16"/>
        <v>80</v>
      </c>
      <c r="E5" s="1" t="str">
        <f>IFERROR(__xludf.DUMMYFUNCTION("IFERROR(
  VLOOKUP(
    A5,
    IMPORTRANGE(
      ""1ZygntHC1J6IxzKbTidmOyf5nUyW4GCLurHCjexrLm_o"",
      ""HTMLキャッシュ!A:F""
    ),
    5,
    FALSE
  ),
  0
)
"),"増鏡・とはずがたり現代語訳全文｜語句の意味｜共通テスト古文")</f>
        <v>増鏡・とはずがたり現代語訳全文｜語句の意味｜共通テスト古文</v>
      </c>
      <c r="F5" s="1" t="str">
        <f>IFERROR(__xludf.DUMMYFUNCTION("IFERROR(
  VLOOKUP(
    A5,
    IMPORTRANGE(
      ""1ZygntHC1J6IxzKbTidmOyf5nUyW4GCLurHCjexrLm_o        "",
      ""HTMLキャッシュ!A:F""
    ),
    6,
    FALSE
  ),
  0
)
"),"共通テスト2022古文第3問『増鏡』『とはずがたり』本文・現代語訳。おほかた・ねびととのひたる・まどろまれずの意味、敬語・助動詞、読み比べの要点を確認できます。")</f>
        <v>共通テスト2022古文第3問『増鏡』『とはずがたり』本文・現代語訳。おほかた・ねびととのひたる・まどろまれずの意味、敬語・助動詞、読み比べの要点を確認できます。</v>
      </c>
      <c r="G5" s="32">
        <f>IFERROR(__xludf.DUMMYFUNCTION("IFERROR(
  VLOOKUP(
    A5,
    IMPORTRANGE(
      ""1ZygntHC1J6IxzKbTidmOyf5nUyW4GCLurHCjexrLm_o        "",
      ""HTMLキャッシュ!A:F""
    ),
    3,
    FALSE
  ),
  0
)
"),46078.66296296296)</f>
        <v>46078.66296</v>
      </c>
      <c r="H5" s="49">
        <f>IFERROR(__xludf.DUMMYFUNCTION("IFERROR(
  VLOOKUP(
    A5,
    IMPORTRANGE(
      ""1ZHMy3vVUd_0MrSduXTe1etBb1HNpAlGwQr006ljwMiM"",
      ""GSC最新!A:F""
    ),
    2,
    FALSE
  ),
  0
)
"),220.0)</f>
        <v>220</v>
      </c>
      <c r="I5" s="49">
        <f>IFERROR(__xludf.DUMMYFUNCTION("IFERROR(
  VLOOKUP(
    A5,
    IMPORTRANGE(
      ""1ZHMy3vVUd_0MrSduXTe1etBb1HNpAlGwQr006ljwMiM"",
      ""GSC最新!A:F""
    ),
    3,
    FALSE
  ),
  0
)
"),1155.0)</f>
        <v>1155</v>
      </c>
      <c r="J5" s="49">
        <f>IFERROR(__xludf.DUMMYFUNCTION("IFERROR(
  VLOOKUP(
    A5,
    IMPORTRANGE(
      ""1ZHMy3vVUd_0MrSduXTe1etBb1HNpAlGwQr006ljwMiM"",
      ""GSC最新!A:F""
    ),
    4,
    FALSE
  ),
  0
)
"),387.0)</f>
        <v>387</v>
      </c>
      <c r="K5" s="49">
        <f>IFERROR(__xludf.DUMMYFUNCTION("IFERROR(
  VLOOKUP(
    A5,
    IMPORTRANGE(
      ""1ZHMy3vVUd_0MrSduXTe1etBb1HNpAlGwQr006ljwMiM"",
      ""GSC最新!A:F""
    ),
    5,
    FALSE
  ),
  0
)
"),1253.0)</f>
        <v>1253</v>
      </c>
      <c r="L5" s="50">
        <f t="shared" ref="L5:M5" si="17">IFERROR(H5/J5,"-")</f>
        <v>0.5684754522</v>
      </c>
      <c r="M5" s="50">
        <f t="shared" si="17"/>
        <v>0.9217877095</v>
      </c>
      <c r="N5" s="6">
        <f>IFERROR(__xludf.DUMMYFUNCTION("IFERROR(
  VLOOKUP(
    A5,
    IMPORTRANGE(
      ""1ZHMy3vVUd_0MrSduXTe1etBb1HNpAlGwQr006ljwMiM"",
      ""GSC最新!A:R""
    ),
    7,
    FALSE
  ),
  0
)
"),5272.0)</f>
        <v>5272</v>
      </c>
      <c r="O5" s="6">
        <f>IFERROR(__xludf.DUMMYFUNCTION("IFERROR(
  VLOOKUP(
    A5,
    IMPORTRANGE(
      ""1ZHMy3vVUd_0MrSduXTe1etBb1HNpAlGwQr006ljwMiM"",
      ""GSC最新!A:R""
    ),
    10,
    FALSE
  ),
  0
)
"),27798.0)</f>
        <v>27798</v>
      </c>
      <c r="P5" s="6">
        <f>IFERROR(__xludf.DUMMYFUNCTION("IFERROR(
  VLOOKUP(
    A5,
    IMPORTRANGE(
      ""1ZHMy3vVUd_0MrSduXTe1etBb1HNpAlGwQr006ljwMiM"",
      ""GSC最新!A:R""
    ),
    13,
    FALSE
  ),
  0
)
"),5813.0)</f>
        <v>5813</v>
      </c>
      <c r="Q5" s="6">
        <f>IFERROR(__xludf.DUMMYFUNCTION("IFERROR(
  VLOOKUP(
    A5,
    IMPORTRANGE(
      ""1ZHMy3vVUd_0MrSduXTe1etBb1HNpAlGwQr006ljwMiM"",
      ""GSC最新!A:R""
    ),
    16,
    FALSE
  ),
  0
)
"),22164.0)</f>
        <v>22164</v>
      </c>
      <c r="R5" s="51">
        <f t="shared" ref="R5:S5" si="18">IFERROR(N5/P5,"-")</f>
        <v>0.906932737</v>
      </c>
      <c r="S5" s="51">
        <f t="shared" si="18"/>
        <v>1.254195994</v>
      </c>
      <c r="T5" s="9">
        <f>IFERROR(__xludf.DUMMYFUNCTION("IFERROR(
  VLOOKUP(
    A5,
    IMPORTRANGE(
      ""1ZHMy3vVUd_0MrSduXTe1etBb1HNpAlGwQr006ljwMiM"",
      ""GSC最新!A:R""
    ),
    8,
    FALSE
  ),
  0
)
"),0.0417298937784522)</f>
        <v>0.04172989378</v>
      </c>
      <c r="U5" s="9">
        <f>IFERROR(__xludf.DUMMYFUNCTION("IFERROR(
  VLOOKUP(
    A5,
    IMPORTRANGE(
      ""1ZHMy3vVUd_0MrSduXTe1etBb1HNpAlGwQr006ljwMiM"",
      ""GSC最新!A:R""
    ),
    11,
    FALSE
  ),
  0
)
"),0.04154975178070365)</f>
        <v>0.04154975178</v>
      </c>
      <c r="V5" s="9">
        <f>IFERROR(__xludf.DUMMYFUNCTION("IFERROR(
  VLOOKUP(
    A5,
    IMPORTRANGE(
      ""1ZHMy3vVUd_0MrSduXTe1etBb1HNpAlGwQr006ljwMiM"",
      ""GSC最新!A:R""
    ),
    14,
    FALSE
  ),
  0
)
"),0.066574918286599)</f>
        <v>0.06657491829</v>
      </c>
      <c r="W5" s="9">
        <f>IFERROR(__xludf.DUMMYFUNCTION("IFERROR(
  VLOOKUP(
    A5,
    IMPORTRANGE(
      ""1ZHMy3vVUd_0MrSduXTe1etBb1HNpAlGwQr006ljwMiM"",
      ""GSC最新!A:R""
    ),
    17,
    FALSE
  ),
  0
)
"),0.056533116765926726)</f>
        <v>0.05653311677</v>
      </c>
      <c r="X5" s="9">
        <f t="shared" ref="X5:Y5" si="19">IFERROR(T5-V5,"-")</f>
        <v>-0.02484502451</v>
      </c>
      <c r="Y5" s="9">
        <f t="shared" si="19"/>
        <v>-0.01498336499</v>
      </c>
      <c r="Z5" s="65">
        <f>IFERROR(__xludf.DUMMYFUNCTION("IFERROR(
  VLOOKUP(
    A5,
    IMPORTRANGE(
      ""1ZHMy3vVUd_0MrSduXTe1etBb1HNpAlGwQr006ljwMiM"",
      ""GSC最新!A:R""
    ),
    9,
    FALSE
  ),
  0
)
"),4.658573596358119)</f>
        <v>4.658573596</v>
      </c>
      <c r="AA5" s="65">
        <f>IFERROR(__xludf.DUMMYFUNCTION("IFERROR(
  VLOOKUP(
    A5,
    IMPORTRANGE(
      ""1ZHMy3vVUd_0MrSduXTe1etBb1HNpAlGwQr006ljwMiM"",
      ""GSC最新!A:R""
    ),
    12,
    FALSE
  ),
  0
)
"),4.642852003741276)</f>
        <v>4.642852004</v>
      </c>
      <c r="AB5" s="65">
        <f>IFERROR(__xludf.DUMMYFUNCTION("IFERROR(
  VLOOKUP(
    A5,
    IMPORTRANGE(
      ""1ZHMy3vVUd_0MrSduXTe1etBb1HNpAlGwQr006ljwMiM"",
      ""GSC最新!A:R""
    ),
    15,
    FALSE
  ),
  0
)
"),6.878548081885429)</f>
        <v>6.878548082</v>
      </c>
      <c r="AC5" s="65">
        <f>IFERROR(__xludf.DUMMYFUNCTION("IFERROR(
  VLOOKUP(
    A5,
    IMPORTRANGE(
      ""1ZHMy3vVUd_0MrSduXTe1etBb1HNpAlGwQr006ljwMiM"",
      ""GSC最新!A:R""
    ),
    18,
    FALSE
  ),
  0
)
"),7.777702580761596)</f>
        <v>7.777702581</v>
      </c>
      <c r="AD5" s="65">
        <f t="shared" ref="AD5:AE5" si="20">Z5-AB5</f>
        <v>-2.219974486</v>
      </c>
      <c r="AE5" s="65">
        <f t="shared" si="20"/>
        <v>-3.134850577</v>
      </c>
      <c r="AF5" s="53">
        <f>IFERROR(__xludf.DUMMYFUNCTION("IFERROR(
  VLOOKUP(
    A5,
    IMPORTRANGE(
      ""1ZHMy3vVUd_0MrSduXTe1etBb1HNpAlGwQr006ljwMiM"",
      ""GSC最新!A:F""
    ),
    6,
    FALSE
  ),
  0
)
"),46081.0)</f>
        <v>46081</v>
      </c>
      <c r="AG5" s="54">
        <f>IFERROR(__xludf.DUMMYFUNCTION("IFERROR(
  VLOOKUP(
    A5,
    IMPORTRANGE(
      ""1SCYQd7_cobOYqT0r_F0IqD4tE4rYn5y8Eup4PJTH8es"",
      ""Snapshot!A:M""
    ),
    5,
    FALSE
  ),
  ""-""
)
"),10.0)</f>
        <v>10</v>
      </c>
      <c r="AH5" s="54">
        <f>IFERROR(__xludf.DUMMYFUNCTION("IFERROR(
  VLOOKUP(
    A5,
    IMPORTRANGE(
      ""1SCYQd7_cobOYqT0r_F0IqD4tE4rYn5y8Eup4PJTH8es"",
      ""Snapshot!A:M""
    ),
    6,
    FALSE
  ),
  0
)
"),10.0)</f>
        <v>10</v>
      </c>
      <c r="AI5" s="54">
        <f>IFERROR(__xludf.DUMMYFUNCTION("IFERROR(
  VLOOKUP(
    A5,
    IMPORTRANGE(
      ""1SCYQd7_cobOYqT0r_F0IqD4tE4rYn5y8Eup4PJTH8es"",
      ""Snapshot!A:M""
    ),
    7,
    FALSE
  ),
  0
)
"),8446.0)</f>
        <v>8446</v>
      </c>
      <c r="AJ5" s="54">
        <f>IFERROR(__xludf.DUMMYFUNCTION("IFERROR(
  VLOOKUP(
    A5,
    IMPORTRANGE(
      ""1SCYQd7_cobOYqT0r_F0IqD4tE4rYn5y8Eup4PJTH8es"",
      ""Snapshot!A:M""
    ),
    8,
    FALSE
  ),
  0
)
"),6.0)</f>
        <v>6</v>
      </c>
      <c r="AK5" s="54">
        <f>IFERROR(__xludf.DUMMYFUNCTION("IFERROR(
  VLOOKUP(
    A5,
    IMPORTRANGE(
      ""1SCYQd7_cobOYqT0r_F0IqD4tE4rYn5y8Eup4PJTH8es"",
      ""Snapshot!A:M""
    ),
    9,
    FALSE
  ),
  0
)
"),8.0)</f>
        <v>8</v>
      </c>
      <c r="AL5" s="54">
        <f>IFERROR(__xludf.DUMMYFUNCTION("IFERROR(
  VLOOKUP(
    A5,
    IMPORTRANGE(
      ""1SCYQd7_cobOYqT0r_F0IqD4tE4rYn5y8Eup4PJTH8es"",
      ""Snapshot!A:M""
    ),
    13,
    FALSE
  ),
  0
)
"),2.0)</f>
        <v>2</v>
      </c>
    </row>
    <row r="6">
      <c r="A6" s="3" t="s">
        <v>895</v>
      </c>
      <c r="B6" s="1" t="str">
        <f>IFERROR(__xludf.DUMMYFUNCTION("IFERROR(
  VLOOKUP(
    A6,
    IMPORTRANGE(
      ""1ZygntHC1J6IxzKbTidmOyf5nUyW4GCLurHCjexrLm_o"",
      ""HTMLキャッシュ!A:F""
    ),
    2,
    FALSE
  ),
  0
)
"),"MC")</f>
        <v>MC</v>
      </c>
      <c r="C6" s="49">
        <f t="shared" ref="C6:D6" si="21">LEN(E6)</f>
        <v>33</v>
      </c>
      <c r="D6" s="49">
        <f t="shared" si="21"/>
        <v>99</v>
      </c>
      <c r="E6" s="1" t="str">
        <f>IFERROR(__xludf.DUMMYFUNCTION("IFERROR(
  VLOOKUP(
    A6,
    IMPORTRANGE(
      ""1ZygntHC1J6IxzKbTidmOyf5nUyW4GCLurHCjexrLm_o"",
      ""HTMLキャッシュ!A:F""
    ),
    5,
    FALSE
  ),
  0
)
"),"古典「助動詞の活用」をマスターしよう！ - 古典専門塾 かきつばた")</f>
        <v>古典「助動詞の活用」をマスターしよう！ - 古典専門塾 かきつばた</v>
      </c>
      <c r="F6" s="1" t="str">
        <f>IFERROR(__xludf.DUMMYFUNCTION("IFERROR(
  VLOOKUP(
    A6,
    IMPORTRANGE(
      ""1ZygntHC1J6IxzKbTidmOyf5nUyW4GCLurHCjexrLm_o        "",
      ""HTMLキャッシュ!A:F""
    ),
    6,
    FALSE
  ),
  0
)
"),"古典文法の最大の難所「助動詞」を、接続→意味→活用の3ステップで整理。27種をマクロ視点でグループ化し、活用表PDFや空欄プリント、歌学習を活用して、高校〜大学受験の読解力アップを目指す解説ページ。")</f>
        <v>古典文法の最大の難所「助動詞」を、接続→意味→活用の3ステップで整理。27種をマクロ視点でグループ化し、活用表PDFや空欄プリント、歌学習を活用して、高校〜大学受験の読解力アップを目指す解説ページ。</v>
      </c>
      <c r="G6" s="32">
        <f>IFERROR(__xludf.DUMMYFUNCTION("IFERROR(
  VLOOKUP(
    A6,
    IMPORTRANGE(
      ""1ZygntHC1J6IxzKbTidmOyf5nUyW4GCLurHCjexrLm_o        "",
      ""HTMLキャッシュ!A:F""
    ),
    3,
    FALSE
  ),
  0
)
"),46052.716828703706)</f>
        <v>46052.71683</v>
      </c>
      <c r="H6" s="49">
        <f>IFERROR(__xludf.DUMMYFUNCTION("IFERROR(
  VLOOKUP(
    A6,
    IMPORTRANGE(
      ""1ZHMy3vVUd_0MrSduXTe1etBb1HNpAlGwQr006ljwMiM"",
      ""GSC最新!A:F""
    ),
    2,
    FALSE
  ),
  0
)
"),418.0)</f>
        <v>418</v>
      </c>
      <c r="I6" s="49">
        <f>IFERROR(__xludf.DUMMYFUNCTION("IFERROR(
  VLOOKUP(
    A6,
    IMPORTRANGE(
      ""1ZHMy3vVUd_0MrSduXTe1etBb1HNpAlGwQr006ljwMiM"",
      ""GSC最新!A:F""
    ),
    3,
    FALSE
  ),
  0
)
"),1223.0)</f>
        <v>1223</v>
      </c>
      <c r="J6" s="49">
        <f>IFERROR(__xludf.DUMMYFUNCTION("IFERROR(
  VLOOKUP(
    A6,
    IMPORTRANGE(
      ""1ZHMy3vVUd_0MrSduXTe1etBb1HNpAlGwQr006ljwMiM"",
      ""GSC最新!A:F""
    ),
    4,
    FALSE
  ),
  0
)
"),188.0)</f>
        <v>188</v>
      </c>
      <c r="K6" s="49">
        <f>IFERROR(__xludf.DUMMYFUNCTION("IFERROR(
  VLOOKUP(
    A6,
    IMPORTRANGE(
      ""1ZHMy3vVUd_0MrSduXTe1etBb1HNpAlGwQr006ljwMiM"",
      ""GSC最新!A:F""
    ),
    5,
    FALSE
  ),
  0
)
"),710.0)</f>
        <v>710</v>
      </c>
      <c r="L6" s="50">
        <f t="shared" ref="L6:M6" si="22">IFERROR(H6/J6,"-")</f>
        <v>2.223404255</v>
      </c>
      <c r="M6" s="50">
        <f t="shared" si="22"/>
        <v>1.722535211</v>
      </c>
      <c r="N6" s="6">
        <f>IFERROR(__xludf.DUMMYFUNCTION("IFERROR(
  VLOOKUP(
    A6,
    IMPORTRANGE(
      ""1ZHMy3vVUd_0MrSduXTe1etBb1HNpAlGwQr006ljwMiM"",
      ""GSC最新!A:R""
    ),
    7,
    FALSE
  ),
  0
)
"),73473.0)</f>
        <v>73473</v>
      </c>
      <c r="O6" s="6">
        <f>IFERROR(__xludf.DUMMYFUNCTION("IFERROR(
  VLOOKUP(
    A6,
    IMPORTRANGE(
      ""1ZHMy3vVUd_0MrSduXTe1etBb1HNpAlGwQr006ljwMiM"",
      ""GSC最新!A:R""
    ),
    10,
    FALSE
  ),
  0
)
"),223159.0)</f>
        <v>223159</v>
      </c>
      <c r="P6" s="6">
        <f>IFERROR(__xludf.DUMMYFUNCTION("IFERROR(
  VLOOKUP(
    A6,
    IMPORTRANGE(
      ""1ZHMy3vVUd_0MrSduXTe1etBb1HNpAlGwQr006ljwMiM"",
      ""GSC最新!A:R""
    ),
    13,
    FALSE
  ),
  0
)
"),60552.0)</f>
        <v>60552</v>
      </c>
      <c r="Q6" s="6">
        <f>IFERROR(__xludf.DUMMYFUNCTION("IFERROR(
  VLOOKUP(
    A6,
    IMPORTRANGE(
      ""1ZHMy3vVUd_0MrSduXTe1etBb1HNpAlGwQr006ljwMiM"",
      ""GSC最新!A:R""
    ),
    16,
    FALSE
  ),
  0
)
"),194204.0)</f>
        <v>194204</v>
      </c>
      <c r="R6" s="51">
        <f t="shared" ref="R6:S6" si="23">IFERROR(N6/P6,"-")</f>
        <v>1.213386841</v>
      </c>
      <c r="S6" s="51">
        <f t="shared" si="23"/>
        <v>1.149095796</v>
      </c>
      <c r="T6" s="9">
        <f>IFERROR(__xludf.DUMMYFUNCTION("IFERROR(
  VLOOKUP(
    A6,
    IMPORTRANGE(
      ""1ZHMy3vVUd_0MrSduXTe1etBb1HNpAlGwQr006ljwMiM"",
      ""GSC最新!A:R""
    ),
    8,
    FALSE
  ),
  0
)
"),0.005689164727178691)</f>
        <v>0.005689164727</v>
      </c>
      <c r="U6" s="9">
        <f>IFERROR(__xludf.DUMMYFUNCTION("IFERROR(
  VLOOKUP(
    A6,
    IMPORTRANGE(
      ""1ZHMy3vVUd_0MrSduXTe1etBb1HNpAlGwQr006ljwMiM"",
      ""GSC最新!A:R""
    ),
    11,
    FALSE
  ),
  0
)
"),0.005480397384824274)</f>
        <v>0.005480397385</v>
      </c>
      <c r="V6" s="9">
        <f>IFERROR(__xludf.DUMMYFUNCTION("IFERROR(
  VLOOKUP(
    A6,
    IMPORTRANGE(
      ""1ZHMy3vVUd_0MrSduXTe1etBb1HNpAlGwQr006ljwMiM"",
      ""GSC最新!A:R""
    ),
    14,
    FALSE
  ),
  0
)
"),0.003104769454353283)</f>
        <v>0.003104769454</v>
      </c>
      <c r="W6" s="9">
        <f>IFERROR(__xludf.DUMMYFUNCTION("IFERROR(
  VLOOKUP(
    A6,
    IMPORTRANGE(
      ""1ZHMy3vVUd_0MrSduXTe1etBb1HNpAlGwQr006ljwMiM"",
      ""GSC最新!A:R""
    ),
    17,
    FALSE
  ),
  0
)
"),0.003655949414018249)</f>
        <v>0.003655949414</v>
      </c>
      <c r="X6" s="9">
        <f t="shared" ref="X6:Y6" si="24">IFERROR(T6-V6,"-")</f>
        <v>0.002584395273</v>
      </c>
      <c r="Y6" s="9">
        <f t="shared" si="24"/>
        <v>0.001824447971</v>
      </c>
      <c r="Z6" s="65">
        <f>IFERROR(__xludf.DUMMYFUNCTION("IFERROR(
  VLOOKUP(
    A6,
    IMPORTRANGE(
      ""1ZHMy3vVUd_0MrSduXTe1etBb1HNpAlGwQr006ljwMiM"",
      ""GSC最新!A:R""
    ),
    9,
    FALSE
  ),
  0
)
"),3.4650415799000993)</f>
        <v>3.46504158</v>
      </c>
      <c r="AA6" s="65">
        <f>IFERROR(__xludf.DUMMYFUNCTION("IFERROR(
  VLOOKUP(
    A6,
    IMPORTRANGE(
      ""1ZHMy3vVUd_0MrSduXTe1etBb1HNpAlGwQr006ljwMiM"",
      ""GSC最新!A:R""
    ),
    12,
    FALSE
  ),
  0
)
"),3.3317276022925357)</f>
        <v>3.331727602</v>
      </c>
      <c r="AB6" s="65">
        <f>IFERROR(__xludf.DUMMYFUNCTION("IFERROR(
  VLOOKUP(
    A6,
    IMPORTRANGE(
      ""1ZHMy3vVUd_0MrSduXTe1etBb1HNpAlGwQr006ljwMiM"",
      ""GSC最新!A:R""
    ),
    15,
    FALSE
  ),
  0
)
"),5.067016778966838)</f>
        <v>5.067016779</v>
      </c>
      <c r="AC6" s="65">
        <f>IFERROR(__xludf.DUMMYFUNCTION("IFERROR(
  VLOOKUP(
    A6,
    IMPORTRANGE(
      ""1ZHMy3vVUd_0MrSduXTe1etBb1HNpAlGwQr006ljwMiM"",
      ""GSC最新!A:R""
    ),
    18,
    FALSE
  ),
  0
)
"),5.358535354575601)</f>
        <v>5.358535355</v>
      </c>
      <c r="AD6" s="65">
        <f t="shared" ref="AD6:AE6" si="25">Z6-AB6</f>
        <v>-1.601975199</v>
      </c>
      <c r="AE6" s="65">
        <f t="shared" si="25"/>
        <v>-2.026807752</v>
      </c>
      <c r="AF6" s="53">
        <f>IFERROR(__xludf.DUMMYFUNCTION("IFERROR(
  VLOOKUP(
    A6,
    IMPORTRANGE(
      ""1ZHMy3vVUd_0MrSduXTe1etBb1HNpAlGwQr006ljwMiM"",
      ""GSC最新!A:F""
    ),
    6,
    FALSE
  ),
  0
)
"),46081.0)</f>
        <v>46081</v>
      </c>
      <c r="AG6" s="54">
        <f>IFERROR(__xludf.DUMMYFUNCTION("IFERROR(
  VLOOKUP(
    A6,
    IMPORTRANGE(
      ""1SCYQd7_cobOYqT0r_F0IqD4tE4rYn5y8Eup4PJTH8es"",
      ""Snapshot!A:M""
    ),
    5,
    FALSE
  ),
  ""-""
)
"),10.0)</f>
        <v>10</v>
      </c>
      <c r="AH6" s="54">
        <f>IFERROR(__xludf.DUMMYFUNCTION("IFERROR(
  VLOOKUP(
    A6,
    IMPORTRANGE(
      ""1SCYQd7_cobOYqT0r_F0IqD4tE4rYn5y8Eup4PJTH8es"",
      ""Snapshot!A:M""
    ),
    6,
    FALSE
  ),
  0
)
"),12.0)</f>
        <v>12</v>
      </c>
      <c r="AI6" s="54">
        <f>IFERROR(__xludf.DUMMYFUNCTION("IFERROR(
  VLOOKUP(
    A6,
    IMPORTRANGE(
      ""1SCYQd7_cobOYqT0r_F0IqD4tE4rYn5y8Eup4PJTH8es"",
      ""Snapshot!A:M""
    ),
    7,
    FALSE
  ),
  0
)
"),5290.0)</f>
        <v>5290</v>
      </c>
      <c r="AJ6" s="54">
        <f>IFERROR(__xludf.DUMMYFUNCTION("IFERROR(
  VLOOKUP(
    A6,
    IMPORTRANGE(
      ""1SCYQd7_cobOYqT0r_F0IqD4tE4rYn5y8Eup4PJTH8es"",
      ""Snapshot!A:M""
    ),
    8,
    FALSE
  ),
  0
)
"),7.0)</f>
        <v>7</v>
      </c>
      <c r="AK6" s="54">
        <f>IFERROR(__xludf.DUMMYFUNCTION("IFERROR(
  VLOOKUP(
    A6,
    IMPORTRANGE(
      ""1SCYQd7_cobOYqT0r_F0IqD4tE4rYn5y8Eup4PJTH8es"",
      ""Snapshot!A:M""
    ),
    9,
    FALSE
  ),
  0
)
"),1.0)</f>
        <v>1</v>
      </c>
      <c r="AL6" s="54">
        <f>IFERROR(__xludf.DUMMYFUNCTION("IFERROR(
  VLOOKUP(
    A6,
    IMPORTRANGE(
      ""1SCYQd7_cobOYqT0r_F0IqD4tE4rYn5y8Eup4PJTH8es"",
      ""Snapshot!A:M""
    ),
    13,
    FALSE
  ),
  0
)
"),2.0)</f>
        <v>2</v>
      </c>
    </row>
    <row r="7">
      <c r="A7" s="1" t="s">
        <v>896</v>
      </c>
      <c r="B7" s="1" t="str">
        <f>IFERROR(__xludf.DUMMYFUNCTION("IFERROR(
  VLOOKUP(
    A7,
    IMPORTRANGE(
      ""1ZygntHC1J6IxzKbTidmOyf5nUyW4GCLurHCjexrLm_o"",
      ""HTMLキャッシュ!A:F""
    ),
    2,
    FALSE
  ),
  0
)
"),"MC")</f>
        <v>MC</v>
      </c>
      <c r="C7" s="49">
        <f t="shared" ref="C7:D7" si="26">LEN(E7)</f>
        <v>25</v>
      </c>
      <c r="D7" s="49">
        <f t="shared" si="26"/>
        <v>66</v>
      </c>
      <c r="E7" s="1" t="str">
        <f>IFERROR(__xludf.DUMMYFUNCTION("IFERROR(
  VLOOKUP(
    A7,
    IMPORTRANGE(
      ""1ZygntHC1J6IxzKbTidmOyf5nUyW4GCLurHCjexrLm_o"",
      ""HTMLキャッシュ!A:F""
    ),
    5,
    FALSE
  ),
  0
)
"),"有明の月の意味・十六夜｜古文の月名と時刻｜高校古文")</f>
        <v>有明の月の意味・十六夜｜古文の月名と時刻｜高校古文</v>
      </c>
      <c r="F7" s="1" t="str">
        <f>IFERROR(__xludf.DUMMYFUNCTION("IFERROR(
  VLOOKUP(
    A7,
    IMPORTRANGE(
      ""1ZygntHC1J6IxzKbTidmOyf5nUyW4GCLurHCjexrLm_o        "",
      ""HTMLキャッシュ!A:F""
    ),
    6,
    FALSE
  ),
  0
)
"),"有明の月の意味・時間帯、望月・十六夜・立待月・有明月など古文の月名を一覧で整理。旧暦と満ち欠け、東西の描写から時刻を読む要点を確認。")</f>
        <v>有明の月の意味・時間帯、望月・十六夜・立待月・有明月など古文の月名を一覧で整理。旧暦と満ち欠け、東西の描写から時刻を読む要点を確認。</v>
      </c>
      <c r="G7" s="32">
        <f>IFERROR(__xludf.DUMMYFUNCTION("IFERROR(
  VLOOKUP(
    A7,
    IMPORTRANGE(
      ""1ZygntHC1J6IxzKbTidmOyf5nUyW4GCLurHCjexrLm_o        "",
      ""HTMLキャッシュ!A:F""
    ),
    3,
    FALSE
  ),
  0
)
"),46078.662453703706)</f>
        <v>46078.66245</v>
      </c>
      <c r="H7" s="49">
        <f>IFERROR(__xludf.DUMMYFUNCTION("IFERROR(
  VLOOKUP(
    A7,
    IMPORTRANGE(
      ""1ZHMy3vVUd_0MrSduXTe1etBb1HNpAlGwQr006ljwMiM"",
      ""GSC最新!A:F""
    ),
    2,
    FALSE
  ),
  0
)
"),220.0)</f>
        <v>220</v>
      </c>
      <c r="I7" s="49">
        <f>IFERROR(__xludf.DUMMYFUNCTION("IFERROR(
  VLOOKUP(
    A7,
    IMPORTRANGE(
      ""1ZHMy3vVUd_0MrSduXTe1etBb1HNpAlGwQr006ljwMiM"",
      ""GSC最新!A:F""
    ),
    3,
    FALSE
  ),
  0
)
"),1113.0)</f>
        <v>1113</v>
      </c>
      <c r="J7" s="49">
        <f>IFERROR(__xludf.DUMMYFUNCTION("IFERROR(
  VLOOKUP(
    A7,
    IMPORTRANGE(
      ""1ZHMy3vVUd_0MrSduXTe1etBb1HNpAlGwQr006ljwMiM"",
      ""GSC最新!A:F""
    ),
    4,
    FALSE
  ),
  0
)
"),295.0)</f>
        <v>295</v>
      </c>
      <c r="K7" s="49">
        <f>IFERROR(__xludf.DUMMYFUNCTION("IFERROR(
  VLOOKUP(
    A7,
    IMPORTRANGE(
      ""1ZHMy3vVUd_0MrSduXTe1etBb1HNpAlGwQr006ljwMiM"",
      ""GSC最新!A:F""
    ),
    5,
    FALSE
  ),
  0
)
"),1057.0)</f>
        <v>1057</v>
      </c>
      <c r="L7" s="50">
        <f t="shared" ref="L7:M7" si="27">IFERROR(H7/J7,"-")</f>
        <v>0.7457627119</v>
      </c>
      <c r="M7" s="50">
        <f t="shared" si="27"/>
        <v>1.052980132</v>
      </c>
      <c r="N7" s="6">
        <f>IFERROR(__xludf.DUMMYFUNCTION("IFERROR(
  VLOOKUP(
    A7,
    IMPORTRANGE(
      ""1ZHMy3vVUd_0MrSduXTe1etBb1HNpAlGwQr006ljwMiM"",
      ""GSC最新!A:R""
    ),
    7,
    FALSE
  ),
  0
)
"),30654.0)</f>
        <v>30654</v>
      </c>
      <c r="O7" s="6">
        <f>IFERROR(__xludf.DUMMYFUNCTION("IFERROR(
  VLOOKUP(
    A7,
    IMPORTRANGE(
      ""1ZHMy3vVUd_0MrSduXTe1etBb1HNpAlGwQr006ljwMiM"",
      ""GSC最新!A:R""
    ),
    10,
    FALSE
  ),
  0
)
"),92958.0)</f>
        <v>92958</v>
      </c>
      <c r="P7" s="6">
        <f>IFERROR(__xludf.DUMMYFUNCTION("IFERROR(
  VLOOKUP(
    A7,
    IMPORTRANGE(
      ""1ZHMy3vVUd_0MrSduXTe1etBb1HNpAlGwQr006ljwMiM"",
      ""GSC最新!A:R""
    ),
    13,
    FALSE
  ),
  0
)
"),12573.0)</f>
        <v>12573</v>
      </c>
      <c r="Q7" s="6">
        <f>IFERROR(__xludf.DUMMYFUNCTION("IFERROR(
  VLOOKUP(
    A7,
    IMPORTRANGE(
      ""1ZHMy3vVUd_0MrSduXTe1etBb1HNpAlGwQr006ljwMiM"",
      ""GSC最新!A:R""
    ),
    16,
    FALSE
  ),
  0
)
"),39989.0)</f>
        <v>39989</v>
      </c>
      <c r="R7" s="51">
        <f t="shared" ref="R7:S7" si="28">IFERROR(N7/P7,"-")</f>
        <v>2.438081603</v>
      </c>
      <c r="S7" s="51">
        <f t="shared" si="28"/>
        <v>2.324589262</v>
      </c>
      <c r="T7" s="9">
        <f>IFERROR(__xludf.DUMMYFUNCTION("IFERROR(
  VLOOKUP(
    A7,
    IMPORTRANGE(
      ""1ZHMy3vVUd_0MrSduXTe1etBb1HNpAlGwQr006ljwMiM"",
      ""GSC最新!A:R""
    ),
    8,
    FALSE
  ),
  0
)
"),0.00717687740588504)</f>
        <v>0.007176877406</v>
      </c>
      <c r="U7" s="9">
        <f>IFERROR(__xludf.DUMMYFUNCTION("IFERROR(
  VLOOKUP(
    A7,
    IMPORTRANGE(
      ""1ZHMy3vVUd_0MrSduXTe1etBb1HNpAlGwQr006ljwMiM"",
      ""GSC最新!A:R""
    ),
    11,
    FALSE
  ),
  0
)
"),0.011973149164138643)</f>
        <v>0.01197314916</v>
      </c>
      <c r="V7" s="9">
        <f>IFERROR(__xludf.DUMMYFUNCTION("IFERROR(
  VLOOKUP(
    A7,
    IMPORTRANGE(
      ""1ZHMy3vVUd_0MrSduXTe1etBb1HNpAlGwQr006ljwMiM"",
      ""GSC最新!A:R""
    ),
    14,
    FALSE
  ),
  0
)
"),0.023462976218881732)</f>
        <v>0.02346297622</v>
      </c>
      <c r="W7" s="9">
        <f>IFERROR(__xludf.DUMMYFUNCTION("IFERROR(
  VLOOKUP(
    A7,
    IMPORTRANGE(
      ""1ZHMy3vVUd_0MrSduXTe1etBb1HNpAlGwQr006ljwMiM"",
      ""GSC最新!A:R""
    ),
    17,
    FALSE
  ),
  0
)
"),0.026432268873940335)</f>
        <v>0.02643226887</v>
      </c>
      <c r="X7" s="9">
        <f t="shared" ref="X7:Y7" si="29">IFERROR(T7-V7,"-")</f>
        <v>-0.01628609881</v>
      </c>
      <c r="Y7" s="9">
        <f t="shared" si="29"/>
        <v>-0.01445911971</v>
      </c>
      <c r="Z7" s="65">
        <f>IFERROR(__xludf.DUMMYFUNCTION("IFERROR(
  VLOOKUP(
    A7,
    IMPORTRANGE(
      ""1ZHMy3vVUd_0MrSduXTe1etBb1HNpAlGwQr006ljwMiM"",
      ""GSC最新!A:R""
    ),
    9,
    FALSE
  ),
  0
)
"),4.8343446206041625)</f>
        <v>4.834344621</v>
      </c>
      <c r="AA7" s="65">
        <f>IFERROR(__xludf.DUMMYFUNCTION("IFERROR(
  VLOOKUP(
    A7,
    IMPORTRANGE(
      ""1ZHMy3vVUd_0MrSduXTe1etBb1HNpAlGwQr006ljwMiM"",
      ""GSC最新!A:R""
    ),
    12,
    FALSE
  ),
  0
)
"),4.961799952666796)</f>
        <v>4.961799953</v>
      </c>
      <c r="AB7" s="65">
        <f>IFERROR(__xludf.DUMMYFUNCTION("IFERROR(
  VLOOKUP(
    A7,
    IMPORTRANGE(
      ""1ZHMy3vVUd_0MrSduXTe1etBb1HNpAlGwQr006ljwMiM"",
      ""GSC最新!A:R""
    ),
    15,
    FALSE
  ),
  0
)
"),7.452318460192476)</f>
        <v>7.45231846</v>
      </c>
      <c r="AC7" s="65">
        <f>IFERROR(__xludf.DUMMYFUNCTION("IFERROR(
  VLOOKUP(
    A7,
    IMPORTRANGE(
      ""1ZHMy3vVUd_0MrSduXTe1etBb1HNpAlGwQr006ljwMiM"",
      ""GSC最新!A:R""
    ),
    18,
    FALSE
  ),
  0
)
"),7.901622946310235)</f>
        <v>7.901622946</v>
      </c>
      <c r="AD7" s="65">
        <f t="shared" ref="AD7:AE7" si="30">Z7-AB7</f>
        <v>-2.61797384</v>
      </c>
      <c r="AE7" s="65">
        <f t="shared" si="30"/>
        <v>-2.939822994</v>
      </c>
      <c r="AF7" s="53">
        <f>IFERROR(__xludf.DUMMYFUNCTION("IFERROR(
  VLOOKUP(
    A7,
    IMPORTRANGE(
      ""1ZHMy3vVUd_0MrSduXTe1etBb1HNpAlGwQr006ljwMiM"",
      ""GSC最新!A:F""
    ),
    6,
    FALSE
  ),
  0
)
"),46081.0)</f>
        <v>46081</v>
      </c>
      <c r="AG7" s="54">
        <f>IFERROR(__xludf.DUMMYFUNCTION("IFERROR(
  VLOOKUP(
    A7,
    IMPORTRANGE(
      ""1SCYQd7_cobOYqT0r_F0IqD4tE4rYn5y8Eup4PJTH8es"",
      ""Snapshot!A:M""
    ),
    5,
    FALSE
  ),
  ""-""
)
"),1.0)</f>
        <v>1</v>
      </c>
      <c r="AH7" s="54">
        <f>IFERROR(__xludf.DUMMYFUNCTION("IFERROR(
  VLOOKUP(
    A7,
    IMPORTRANGE(
      ""1SCYQd7_cobOYqT0r_F0IqD4tE4rYn5y8Eup4PJTH8es"",
      ""Snapshot!A:M""
    ),
    6,
    FALSE
  ),
  0
)
"),0.0)</f>
        <v>0</v>
      </c>
      <c r="AI7" s="54">
        <f>IFERROR(__xludf.DUMMYFUNCTION("IFERROR(
  VLOOKUP(
    A7,
    IMPORTRANGE(
      ""1SCYQd7_cobOYqT0r_F0IqD4tE4rYn5y8Eup4PJTH8es"",
      ""Snapshot!A:M""
    ),
    7,
    FALSE
  ),
  0
)
"),4794.0)</f>
        <v>4794</v>
      </c>
      <c r="AJ7" s="54">
        <f>IFERROR(__xludf.DUMMYFUNCTION("IFERROR(
  VLOOKUP(
    A7,
    IMPORTRANGE(
      ""1SCYQd7_cobOYqT0r_F0IqD4tE4rYn5y8Eup4PJTH8es"",
      ""Snapshot!A:M""
    ),
    8,
    FALSE
  ),
  0
)
"),2.0)</f>
        <v>2</v>
      </c>
      <c r="AK7" s="54">
        <f>IFERROR(__xludf.DUMMYFUNCTION("IFERROR(
  VLOOKUP(
    A7,
    IMPORTRANGE(
      ""1SCYQd7_cobOYqT0r_F0IqD4tE4rYn5y8Eup4PJTH8es"",
      ""Snapshot!A:M""
    ),
    9,
    FALSE
  ),
  0
)
"),2.0)</f>
        <v>2</v>
      </c>
      <c r="AL7" s="54">
        <f>IFERROR(__xludf.DUMMYFUNCTION("IFERROR(
  VLOOKUP(
    A7,
    IMPORTRANGE(
      ""1SCYQd7_cobOYqT0r_F0IqD4tE4rYn5y8Eup4PJTH8es"",
      ""Snapshot!A:M""
    ),
    13,
    FALSE
  ),
  0
)
"),2.0)</f>
        <v>2</v>
      </c>
    </row>
    <row r="8">
      <c r="A8" s="3" t="s">
        <v>897</v>
      </c>
      <c r="B8" s="1" t="str">
        <f>IFERROR(__xludf.DUMMYFUNCTION("IFERROR(
  VLOOKUP(
    A8,
    IMPORTRANGE(
      ""1ZygntHC1J6IxzKbTidmOyf5nUyW4GCLurHCjexrLm_o"",
      ""HTMLキャッシュ!A:F""
    ),
    2,
    FALSE
  ),
  0
)
"),"MC")</f>
        <v>MC</v>
      </c>
      <c r="C8" s="49">
        <f t="shared" ref="C8:D8" si="31">LEN(E8)</f>
        <v>29</v>
      </c>
      <c r="D8" s="49">
        <f t="shared" si="31"/>
        <v>80</v>
      </c>
      <c r="E8" s="1" t="str">
        <f>IFERROR(__xludf.DUMMYFUNCTION("IFERROR(
  VLOOKUP(
    A8,
    IMPORTRANGE(
      ""1ZygntHC1J6IxzKbTidmOyf5nUyW4GCLurHCjexrLm_o"",
      ""HTMLキャッシュ!A:F""
    ),
    5,
    FALSE
  ),
  0
)
"),"伊勢物語 東下り 現代語訳・品詞分解｜あらじ・えうなき意味")</f>
        <v>伊勢物語 東下り 現代語訳・品詞分解｜あらじ・えうなき意味</v>
      </c>
      <c r="F8" s="1" t="str">
        <f>IFERROR(__xludf.DUMMYFUNCTION("IFERROR(
  VLOOKUP(
    A8,
    IMPORTRANGE(
      ""1ZygntHC1J6IxzKbTidmOyf5nUyW4GCLurHCjexrLm_o        "",
      ""HTMLキャッシュ!A:F""
    ),
    6,
    FALSE
  ),
  0
)
"),"伊勢物語『東下り』現代語訳と品詞分解を解説。あらじ（打消意志）やえうなきの意味、八橋の情景など定期テスト・共通テストの重要点を整理。古典専門塾による正確な解説。")</f>
        <v>伊勢物語『東下り』現代語訳と品詞分解を解説。あらじ（打消意志）やえうなきの意味、八橋の情景など定期テスト・共通テストの重要点を整理。古典専門塾による正確な解説。</v>
      </c>
      <c r="G8" s="32">
        <f>IFERROR(__xludf.DUMMYFUNCTION("IFERROR(
  VLOOKUP(
    A8,
    IMPORTRANGE(
      ""1ZygntHC1J6IxzKbTidmOyf5nUyW4GCLurHCjexrLm_o        "",
      ""HTMLキャッシュ!A:F""
    ),
    3,
    FALSE
  ),
  0
)
"),46076.71653935185)</f>
        <v>46076.71654</v>
      </c>
      <c r="H8" s="49">
        <f>IFERROR(__xludf.DUMMYFUNCTION("IFERROR(
  VLOOKUP(
    A8,
    IMPORTRANGE(
      ""1ZHMy3vVUd_0MrSduXTe1etBb1HNpAlGwQr006ljwMiM"",
      ""GSC最新!A:F""
    ),
    2,
    FALSE
  ),
  0
)
"),354.0)</f>
        <v>354</v>
      </c>
      <c r="I8" s="49">
        <f>IFERROR(__xludf.DUMMYFUNCTION("IFERROR(
  VLOOKUP(
    A8,
    IMPORTRANGE(
      ""1ZHMy3vVUd_0MrSduXTe1etBb1HNpAlGwQr006ljwMiM"",
      ""GSC最新!A:F""
    ),
    3,
    FALSE
  ),
  0
)
"),897.0)</f>
        <v>897</v>
      </c>
      <c r="J8" s="49">
        <f>IFERROR(__xludf.DUMMYFUNCTION("IFERROR(
  VLOOKUP(
    A8,
    IMPORTRANGE(
      ""1ZHMy3vVUd_0MrSduXTe1etBb1HNpAlGwQr006ljwMiM"",
      ""GSC最新!A:F""
    ),
    4,
    FALSE
  ),
  0
)
"),110.0)</f>
        <v>110</v>
      </c>
      <c r="K8" s="49">
        <f>IFERROR(__xludf.DUMMYFUNCTION("IFERROR(
  VLOOKUP(
    A8,
    IMPORTRANGE(
      ""1ZHMy3vVUd_0MrSduXTe1etBb1HNpAlGwQr006ljwMiM"",
      ""GSC最新!A:F""
    ),
    5,
    FALSE
  ),
  0
)
"),422.0)</f>
        <v>422</v>
      </c>
      <c r="L8" s="50">
        <f t="shared" ref="L8:M8" si="32">IFERROR(H8/J8,"-")</f>
        <v>3.218181818</v>
      </c>
      <c r="M8" s="50">
        <f t="shared" si="32"/>
        <v>2.125592417</v>
      </c>
      <c r="N8" s="6">
        <f>IFERROR(__xludf.DUMMYFUNCTION("IFERROR(
  VLOOKUP(
    A8,
    IMPORTRANGE(
      ""1ZHMy3vVUd_0MrSduXTe1etBb1HNpAlGwQr006ljwMiM"",
      ""GSC最新!A:R""
    ),
    7,
    FALSE
  ),
  0
)
"),29606.0)</f>
        <v>29606</v>
      </c>
      <c r="O8" s="6">
        <f>IFERROR(__xludf.DUMMYFUNCTION("IFERROR(
  VLOOKUP(
    A8,
    IMPORTRANGE(
      ""1ZHMy3vVUd_0MrSduXTe1etBb1HNpAlGwQr006ljwMiM"",
      ""GSC最新!A:R""
    ),
    10,
    FALSE
  ),
  0
)
"),69770.0)</f>
        <v>69770</v>
      </c>
      <c r="P8" s="6">
        <f>IFERROR(__xludf.DUMMYFUNCTION("IFERROR(
  VLOOKUP(
    A8,
    IMPORTRANGE(
      ""1ZHMy3vVUd_0MrSduXTe1etBb1HNpAlGwQr006ljwMiM"",
      ""GSC最新!A:R""
    ),
    13,
    FALSE
  ),
  0
)
"),5541.0)</f>
        <v>5541</v>
      </c>
      <c r="Q8" s="6">
        <f>IFERROR(__xludf.DUMMYFUNCTION("IFERROR(
  VLOOKUP(
    A8,
    IMPORTRANGE(
      ""1ZHMy3vVUd_0MrSduXTe1etBb1HNpAlGwQr006ljwMiM"",
      ""GSC最新!A:R""
    ),
    16,
    FALSE
  ),
  0
)
"),18850.0)</f>
        <v>18850</v>
      </c>
      <c r="R8" s="51">
        <f t="shared" ref="R8:S8" si="33">IFERROR(N8/P8,"-")</f>
        <v>5.343078867</v>
      </c>
      <c r="S8" s="51">
        <f t="shared" si="33"/>
        <v>3.70132626</v>
      </c>
      <c r="T8" s="9">
        <f>IFERROR(__xludf.DUMMYFUNCTION("IFERROR(
  VLOOKUP(
    A8,
    IMPORTRANGE(
      ""1ZHMy3vVUd_0MrSduXTe1etBb1HNpAlGwQr006ljwMiM"",
      ""GSC最新!A:R""
    ),
    8,
    FALSE
  ),
  0
)
"),0.011957035735999459)</f>
        <v>0.01195703574</v>
      </c>
      <c r="U8" s="9">
        <f>IFERROR(__xludf.DUMMYFUNCTION("IFERROR(
  VLOOKUP(
    A8,
    IMPORTRANGE(
      ""1ZHMy3vVUd_0MrSduXTe1etBb1HNpAlGwQr006ljwMiM"",
      ""GSC最新!A:R""
    ),
    11,
    FALSE
  ),
  0
)
"),0.012856528593951555)</f>
        <v>0.01285652859</v>
      </c>
      <c r="V8" s="9">
        <f>IFERROR(__xludf.DUMMYFUNCTION("IFERROR(
  VLOOKUP(
    A8,
    IMPORTRANGE(
      ""1ZHMy3vVUd_0MrSduXTe1etBb1HNpAlGwQr006ljwMiM"",
      ""GSC最新!A:R""
    ),
    14,
    FALSE
  ),
  0
)
"),0.019852012272153042)</f>
        <v>0.01985201227</v>
      </c>
      <c r="W8" s="9">
        <f>IFERROR(__xludf.DUMMYFUNCTION("IFERROR(
  VLOOKUP(
    A8,
    IMPORTRANGE(
      ""1ZHMy3vVUd_0MrSduXTe1etBb1HNpAlGwQr006ljwMiM"",
      ""GSC最新!A:R""
    ),
    17,
    FALSE
  ),
  0
)
"),0.022387267904509282)</f>
        <v>0.0223872679</v>
      </c>
      <c r="X8" s="9">
        <f t="shared" ref="X8:Y8" si="34">IFERROR(T8-V8,"-")</f>
        <v>-0.007894976536</v>
      </c>
      <c r="Y8" s="9">
        <f t="shared" si="34"/>
        <v>-0.009530739311</v>
      </c>
      <c r="Z8" s="65">
        <f>IFERROR(__xludf.DUMMYFUNCTION("IFERROR(
  VLOOKUP(
    A8,
    IMPORTRANGE(
      ""1ZHMy3vVUd_0MrSduXTe1etBb1HNpAlGwQr006ljwMiM"",
      ""GSC最新!A:R""
    ),
    9,
    FALSE
  ),
  0
)
"),5.119671688171317)</f>
        <v>5.119671688</v>
      </c>
      <c r="AA8" s="65">
        <f>IFERROR(__xludf.DUMMYFUNCTION("IFERROR(
  VLOOKUP(
    A8,
    IMPORTRANGE(
      ""1ZHMy3vVUd_0MrSduXTe1etBb1HNpAlGwQr006ljwMiM"",
      ""GSC最新!A:R""
    ),
    12,
    FALSE
  ),
  0
)
"),5.114691127991974)</f>
        <v>5.114691128</v>
      </c>
      <c r="AB8" s="65">
        <f>IFERROR(__xludf.DUMMYFUNCTION("IFERROR(
  VLOOKUP(
    A8,
    IMPORTRANGE(
      ""1ZHMy3vVUd_0MrSduXTe1etBb1HNpAlGwQr006ljwMiM"",
      ""GSC最新!A:R""
    ),
    15,
    FALSE
  ),
  0
)
"),7.656379714852915)</f>
        <v>7.656379715</v>
      </c>
      <c r="AC8" s="65">
        <f>IFERROR(__xludf.DUMMYFUNCTION("IFERROR(
  VLOOKUP(
    A8,
    IMPORTRANGE(
      ""1ZHMy3vVUd_0MrSduXTe1etBb1HNpAlGwQr006ljwMiM"",
      ""GSC最新!A:R""
    ),
    18,
    FALSE
  ),
  0
)
"),7.713262599469496)</f>
        <v>7.713262599</v>
      </c>
      <c r="AD8" s="65">
        <f t="shared" ref="AD8:AE8" si="35">Z8-AB8</f>
        <v>-2.536708027</v>
      </c>
      <c r="AE8" s="65">
        <f t="shared" si="35"/>
        <v>-2.598571471</v>
      </c>
      <c r="AF8" s="53">
        <f>IFERROR(__xludf.DUMMYFUNCTION("IFERROR(
  VLOOKUP(
    A8,
    IMPORTRANGE(
      ""1ZHMy3vVUd_0MrSduXTe1etBb1HNpAlGwQr006ljwMiM"",
      ""GSC最新!A:F""
    ),
    6,
    FALSE
  ),
  0
)
"),46081.0)</f>
        <v>46081</v>
      </c>
      <c r="AG8" s="54">
        <f>IFERROR(__xludf.DUMMYFUNCTION("IFERROR(
  VLOOKUP(
    A8,
    IMPORTRANGE(
      ""1SCYQd7_cobOYqT0r_F0IqD4tE4rYn5y8Eup4PJTH8es"",
      ""Snapshot!A:M""
    ),
    5,
    FALSE
  ),
  ""-""
)
"),9.0)</f>
        <v>9</v>
      </c>
      <c r="AH8" s="54">
        <f>IFERROR(__xludf.DUMMYFUNCTION("IFERROR(
  VLOOKUP(
    A8,
    IMPORTRANGE(
      ""1SCYQd7_cobOYqT0r_F0IqD4tE4rYn5y8Eup4PJTH8es"",
      ""Snapshot!A:M""
    ),
    6,
    FALSE
  ),
  0
)
"),9.0)</f>
        <v>9</v>
      </c>
      <c r="AI8" s="54">
        <f>IFERROR(__xludf.DUMMYFUNCTION("IFERROR(
  VLOOKUP(
    A8,
    IMPORTRANGE(
      ""1SCYQd7_cobOYqT0r_F0IqD4tE4rYn5y8Eup4PJTH8es"",
      ""Snapshot!A:M""
    ),
    7,
    FALSE
  ),
  0
)
"),4752.0)</f>
        <v>4752</v>
      </c>
      <c r="AJ8" s="54">
        <f>IFERROR(__xludf.DUMMYFUNCTION("IFERROR(
  VLOOKUP(
    A8,
    IMPORTRANGE(
      ""1SCYQd7_cobOYqT0r_F0IqD4tE4rYn5y8Eup4PJTH8es"",
      ""Snapshot!A:M""
    ),
    8,
    FALSE
  ),
  0
)
"),3.0)</f>
        <v>3</v>
      </c>
      <c r="AK8" s="54">
        <f>IFERROR(__xludf.DUMMYFUNCTION("IFERROR(
  VLOOKUP(
    A8,
    IMPORTRANGE(
      ""1SCYQd7_cobOYqT0r_F0IqD4tE4rYn5y8Eup4PJTH8es"",
      ""Snapshot!A:M""
    ),
    9,
    FALSE
  ),
  0
)
"),6.0)</f>
        <v>6</v>
      </c>
      <c r="AL8" s="54">
        <f>IFERROR(__xludf.DUMMYFUNCTION("IFERROR(
  VLOOKUP(
    A8,
    IMPORTRANGE(
      ""1SCYQd7_cobOYqT0r_F0IqD4tE4rYn5y8Eup4PJTH8es"",
      ""Snapshot!A:M""
    ),
    13,
    FALSE
  ),
  0
)
"),2.0)</f>
        <v>2</v>
      </c>
    </row>
    <row r="9">
      <c r="A9" s="1" t="s">
        <v>898</v>
      </c>
      <c r="B9" s="1" t="str">
        <f>IFERROR(__xludf.DUMMYFUNCTION("IFERROR(
  VLOOKUP(
    A9,
    IMPORTRANGE(
      ""1ZygntHC1J6IxzKbTidmOyf5nUyW4GCLurHCjexrLm_o"",
      ""HTMLキャッシュ!A:F""
    ),
    2,
    FALSE
  ),
  0
)
"),"MC")</f>
        <v>MC</v>
      </c>
      <c r="C9" s="49">
        <f t="shared" ref="C9:D9" si="36">LEN(E9)</f>
        <v>20</v>
      </c>
      <c r="D9" s="49">
        <f t="shared" si="36"/>
        <v>60</v>
      </c>
      <c r="E9" s="1" t="str">
        <f>IFERROR(__xludf.DUMMYFUNCTION("IFERROR(
  VLOOKUP(
    A9,
    IMPORTRANGE(
      ""1ZygntHC1J6IxzKbTidmOyf5nUyW4GCLurHCjexrLm_o"",
      ""HTMLキャッシュ!A:F""
    ),
    5,
    FALSE
  ),
  0
)
"),"古典読解に役立つ暦の基本と旧暦新暦の違い")</f>
        <v>古典読解に役立つ暦の基本と旧暦新暦の違い</v>
      </c>
      <c r="F9" s="1" t="str">
        <f>IFERROR(__xludf.DUMMYFUNCTION("IFERROR(
  VLOOKUP(
    A9,
    IMPORTRANGE(
      ""1ZygntHC1J6IxzKbTidmOyf5nUyW4GCLurHCjexrLm_o        "",
      ""HTMLキャッシュ!A:F""
    ),
    6,
    FALSE
  ),
  0
)
"),"旧暦とは太陰太陽暦。太陰暦とは月の満ち欠け基準で新暦とずれる。閏月・大小の月、春夏秋冬早見、五月雨・七夕の季節感を整理。")</f>
        <v>旧暦とは太陰太陽暦。太陰暦とは月の満ち欠け基準で新暦とずれる。閏月・大小の月、春夏秋冬早見、五月雨・七夕の季節感を整理。</v>
      </c>
      <c r="G9" s="32">
        <f>IFERROR(__xludf.DUMMYFUNCTION("IFERROR(
  VLOOKUP(
    A9,
    IMPORTRANGE(
      ""1ZygntHC1J6IxzKbTidmOyf5nUyW4GCLurHCjexrLm_o        "",
      ""HTMLキャッシュ!A:F""
    ),
    3,
    FALSE
  ),
  0
)
"),46073.60896990741)</f>
        <v>46073.60897</v>
      </c>
      <c r="H9" s="49">
        <f>IFERROR(__xludf.DUMMYFUNCTION("IFERROR(
  VLOOKUP(
    A9,
    IMPORTRANGE(
      ""1ZHMy3vVUd_0MrSduXTe1etBb1HNpAlGwQr006ljwMiM"",
      ""GSC最新!A:F""
    ),
    2,
    FALSE
  ),
  0
)
"),232.0)</f>
        <v>232</v>
      </c>
      <c r="I9" s="49">
        <f>IFERROR(__xludf.DUMMYFUNCTION("IFERROR(
  VLOOKUP(
    A9,
    IMPORTRANGE(
      ""1ZHMy3vVUd_0MrSduXTe1etBb1HNpAlGwQr006ljwMiM"",
      ""GSC最新!A:F""
    ),
    3,
    FALSE
  ),
  0
)
"),654.0)</f>
        <v>654</v>
      </c>
      <c r="J9" s="49">
        <f>IFERROR(__xludf.DUMMYFUNCTION("IFERROR(
  VLOOKUP(
    A9,
    IMPORTRANGE(
      ""1ZHMy3vVUd_0MrSduXTe1etBb1HNpAlGwQr006ljwMiM"",
      ""GSC最新!A:F""
    ),
    4,
    FALSE
  ),
  0
)
"),100.0)</f>
        <v>100</v>
      </c>
      <c r="K9" s="49">
        <f>IFERROR(__xludf.DUMMYFUNCTION("IFERROR(
  VLOOKUP(
    A9,
    IMPORTRANGE(
      ""1ZHMy3vVUd_0MrSduXTe1etBb1HNpAlGwQr006ljwMiM"",
      ""GSC最新!A:F""
    ),
    5,
    FALSE
  ),
  0
)
"),419.0)</f>
        <v>419</v>
      </c>
      <c r="L9" s="50">
        <f t="shared" ref="L9:M9" si="37">IFERROR(H9/J9,"-")</f>
        <v>2.32</v>
      </c>
      <c r="M9" s="50">
        <f t="shared" si="37"/>
        <v>1.560859189</v>
      </c>
      <c r="N9" s="6">
        <f>IFERROR(__xludf.DUMMYFUNCTION("IFERROR(
  VLOOKUP(
    A9,
    IMPORTRANGE(
      ""1ZHMy3vVUd_0MrSduXTe1etBb1HNpAlGwQr006ljwMiM"",
      ""GSC最新!A:R""
    ),
    7,
    FALSE
  ),
  0
)
"),31276.0)</f>
        <v>31276</v>
      </c>
      <c r="O9" s="6">
        <f>IFERROR(__xludf.DUMMYFUNCTION("IFERROR(
  VLOOKUP(
    A9,
    IMPORTRANGE(
      ""1ZHMy3vVUd_0MrSduXTe1etBb1HNpAlGwQr006ljwMiM"",
      ""GSC最新!A:R""
    ),
    10,
    FALSE
  ),
  0
)
"),71079.0)</f>
        <v>71079</v>
      </c>
      <c r="P9" s="6">
        <f>IFERROR(__xludf.DUMMYFUNCTION("IFERROR(
  VLOOKUP(
    A9,
    IMPORTRANGE(
      ""1ZHMy3vVUd_0MrSduXTe1etBb1HNpAlGwQr006ljwMiM"",
      ""GSC最新!A:R""
    ),
    13,
    FALSE
  ),
  0
)
"),4053.0)</f>
        <v>4053</v>
      </c>
      <c r="Q9" s="6">
        <f>IFERROR(__xludf.DUMMYFUNCTION("IFERROR(
  VLOOKUP(
    A9,
    IMPORTRANGE(
      ""1ZHMy3vVUd_0MrSduXTe1etBb1HNpAlGwQr006ljwMiM"",
      ""GSC最新!A:R""
    ),
    16,
    FALSE
  ),
  0
)
"),13485.0)</f>
        <v>13485</v>
      </c>
      <c r="R9" s="51">
        <f t="shared" ref="R9:S9" si="38">IFERROR(N9/P9,"-")</f>
        <v>7.716753022</v>
      </c>
      <c r="S9" s="51">
        <f t="shared" si="38"/>
        <v>5.270967742</v>
      </c>
      <c r="T9" s="9">
        <f>IFERROR(__xludf.DUMMYFUNCTION("IFERROR(
  VLOOKUP(
    A9,
    IMPORTRANGE(
      ""1ZHMy3vVUd_0MrSduXTe1etBb1HNpAlGwQr006ljwMiM"",
      ""GSC最新!A:R""
    ),
    8,
    FALSE
  ),
  0
)
"),0.0074178283667988235)</f>
        <v>0.007417828367</v>
      </c>
      <c r="U9" s="9">
        <f>IFERROR(__xludf.DUMMYFUNCTION("IFERROR(
  VLOOKUP(
    A9,
    IMPORTRANGE(
      ""1ZHMy3vVUd_0MrSduXTe1etBb1HNpAlGwQr006ljwMiM"",
      ""GSC最新!A:R""
    ),
    11,
    FALSE
  ),
  0
)
"),0.009201029840037142)</f>
        <v>0.00920102984</v>
      </c>
      <c r="V9" s="9">
        <f>IFERROR(__xludf.DUMMYFUNCTION("IFERROR(
  VLOOKUP(
    A9,
    IMPORTRANGE(
      ""1ZHMy3vVUd_0MrSduXTe1etBb1HNpAlGwQr006ljwMiM"",
      ""GSC最新!A:R""
    ),
    14,
    FALSE
  ),
  0
)
"),0.02467308166790032)</f>
        <v>0.02467308167</v>
      </c>
      <c r="W9" s="9">
        <f>IFERROR(__xludf.DUMMYFUNCTION("IFERROR(
  VLOOKUP(
    A9,
    IMPORTRANGE(
      ""1ZHMy3vVUd_0MrSduXTe1etBb1HNpAlGwQr006ljwMiM"",
      ""GSC最新!A:R""
    ),
    17,
    FALSE
  ),
  0
)
"),0.0310715609936967)</f>
        <v>0.03107156099</v>
      </c>
      <c r="X9" s="9">
        <f t="shared" ref="X9:Y9" si="39">IFERROR(T9-V9,"-")</f>
        <v>-0.0172552533</v>
      </c>
      <c r="Y9" s="9">
        <f t="shared" si="39"/>
        <v>-0.02187053115</v>
      </c>
      <c r="Z9" s="65">
        <f>IFERROR(__xludf.DUMMYFUNCTION("IFERROR(
  VLOOKUP(
    A9,
    IMPORTRANGE(
      ""1ZHMy3vVUd_0MrSduXTe1etBb1HNpAlGwQr006ljwMiM"",
      ""GSC最新!A:R""
    ),
    9,
    FALSE
  ),
  0
)
"),6.4480112546361426)</f>
        <v>6.448011255</v>
      </c>
      <c r="AA9" s="65">
        <f>IFERROR(__xludf.DUMMYFUNCTION("IFERROR(
  VLOOKUP(
    A9,
    IMPORTRANGE(
      ""1ZHMy3vVUd_0MrSduXTe1etBb1HNpAlGwQr006ljwMiM"",
      ""GSC最新!A:R""
    ),
    12,
    FALSE
  ),
  0
)
"),6.810379999718623)</f>
        <v>6.81038</v>
      </c>
      <c r="AB9" s="65">
        <f>IFERROR(__xludf.DUMMYFUNCTION("IFERROR(
  VLOOKUP(
    A9,
    IMPORTRANGE(
      ""1ZHMy3vVUd_0MrSduXTe1etBb1HNpAlGwQr006ljwMiM"",
      ""GSC最新!A:R""
    ),
    15,
    FALSE
  ),
  0
)
"),8.311127559832222)</f>
        <v>8.31112756</v>
      </c>
      <c r="AC9" s="65">
        <f>IFERROR(__xludf.DUMMYFUNCTION("IFERROR(
  VLOOKUP(
    A9,
    IMPORTRANGE(
      ""1ZHMy3vVUd_0MrSduXTe1etBb1HNpAlGwQr006ljwMiM"",
      ""GSC最新!A:R""
    ),
    18,
    FALSE
  ),
  0
)
"),8.441305153874676)</f>
        <v>8.441305154</v>
      </c>
      <c r="AD9" s="65">
        <f t="shared" ref="AD9:AE9" si="40">Z9-AB9</f>
        <v>-1.863116305</v>
      </c>
      <c r="AE9" s="65">
        <f t="shared" si="40"/>
        <v>-1.630925154</v>
      </c>
      <c r="AF9" s="53">
        <f>IFERROR(__xludf.DUMMYFUNCTION("IFERROR(
  VLOOKUP(
    A9,
    IMPORTRANGE(
      ""1ZHMy3vVUd_0MrSduXTe1etBb1HNpAlGwQr006ljwMiM"",
      ""GSC最新!A:F""
    ),
    6,
    FALSE
  ),
  0
)
"),46081.0)</f>
        <v>46081</v>
      </c>
      <c r="AG9" s="54">
        <f>IFERROR(__xludf.DUMMYFUNCTION("IFERROR(
  VLOOKUP(
    A9,
    IMPORTRANGE(
      ""1SCYQd7_cobOYqT0r_F0IqD4tE4rYn5y8Eup4PJTH8es"",
      ""Snapshot!A:M""
    ),
    5,
    FALSE
  ),
  ""-""
)
"),1.0)</f>
        <v>1</v>
      </c>
      <c r="AH9" s="54">
        <f>IFERROR(__xludf.DUMMYFUNCTION("IFERROR(
  VLOOKUP(
    A9,
    IMPORTRANGE(
      ""1SCYQd7_cobOYqT0r_F0IqD4tE4rYn5y8Eup4PJTH8es"",
      ""Snapshot!A:M""
    ),
    6,
    FALSE
  ),
  0
)
"),3.0)</f>
        <v>3</v>
      </c>
      <c r="AI9" s="54">
        <f>IFERROR(__xludf.DUMMYFUNCTION("IFERROR(
  VLOOKUP(
    A9,
    IMPORTRANGE(
      ""1SCYQd7_cobOYqT0r_F0IqD4tE4rYn5y8Eup4PJTH8es"",
      ""Snapshot!A:M""
    ),
    7,
    FALSE
  ),
  0
)
"),5679.0)</f>
        <v>5679</v>
      </c>
      <c r="AJ9" s="54">
        <f>IFERROR(__xludf.DUMMYFUNCTION("IFERROR(
  VLOOKUP(
    A9,
    IMPORTRANGE(
      ""1SCYQd7_cobOYqT0r_F0IqD4tE4rYn5y8Eup4PJTH8es"",
      ""Snapshot!A:M""
    ),
    8,
    FALSE
  ),
  0
)
"),2.0)</f>
        <v>2</v>
      </c>
      <c r="AK9" s="54">
        <f>IFERROR(__xludf.DUMMYFUNCTION("IFERROR(
  VLOOKUP(
    A9,
    IMPORTRANGE(
      ""1SCYQd7_cobOYqT0r_F0IqD4tE4rYn5y8Eup4PJTH8es"",
      ""Snapshot!A:M""
    ),
    9,
    FALSE
  ),
  0
)
"),2.0)</f>
        <v>2</v>
      </c>
      <c r="AL9" s="54">
        <f>IFERROR(__xludf.DUMMYFUNCTION("IFERROR(
  VLOOKUP(
    A9,
    IMPORTRANGE(
      ""1SCYQd7_cobOYqT0r_F0IqD4tE4rYn5y8Eup4PJTH8es"",
      ""Snapshot!A:M""
    ),
    13,
    FALSE
  ),
  0
)
"),2.0)</f>
        <v>2</v>
      </c>
    </row>
    <row r="10">
      <c r="A10" s="1" t="s">
        <v>899</v>
      </c>
      <c r="B10" s="1" t="str">
        <f>IFERROR(__xludf.DUMMYFUNCTION("IFERROR(
  VLOOKUP(
    A10,
    IMPORTRANGE(
      ""1ZygntHC1J6IxzKbTidmOyf5nUyW4GCLurHCjexrLm_o"",
      ""HTMLキャッシュ!A:F""
    ),
    2,
    FALSE
  ),
  0
)
"),"MC")</f>
        <v>MC</v>
      </c>
      <c r="C10" s="49">
        <f t="shared" ref="C10:D10" si="41">LEN(E10)</f>
        <v>28</v>
      </c>
      <c r="D10" s="49">
        <f t="shared" si="41"/>
        <v>71</v>
      </c>
      <c r="E10" s="1" t="str">
        <f>IFERROR(__xludf.DUMMYFUNCTION("IFERROR(
  VLOOKUP(
    A10,
    IMPORTRANGE(
      ""1ZygntHC1J6IxzKbTidmOyf5nUyW4GCLurHCjexrLm_o"",
      ""HTMLキャッシュ!A:F""
    ),
    5,
    FALSE
  ),
  0
)
"),"浜松中納言物語現代語訳全文｜和歌・反語｜東大古文2022")</f>
        <v>浜松中納言物語現代語訳全文｜和歌・反語｜東大古文2022</v>
      </c>
      <c r="F10" s="1" t="str">
        <f>IFERROR(__xludf.DUMMYFUNCTION("IFERROR(
  VLOOKUP(
    A10,
    IMPORTRANGE(
      ""1ZygntHC1J6IxzKbTidmOyf5nUyW4GCLurHCjexrLm_o        "",
      ""HTMLキャッシュ!A:F""
    ),
    6,
    FALSE
  ),
  0
)
"),"浜松中納言物語（東大古文2022）本文全文を原文・現代語訳で対照。和歌の大意、反語「かは」、語句文法・敬語、人物関係、読解要点をまとめて確認。")</f>
        <v>浜松中納言物語（東大古文2022）本文全文を原文・現代語訳で対照。和歌の大意、反語「かは」、語句文法・敬語、人物関係、読解要点をまとめて確認。</v>
      </c>
      <c r="G10" s="32">
        <f>IFERROR(__xludf.DUMMYFUNCTION("IFERROR(
  VLOOKUP(
    A10,
    IMPORTRANGE(
      ""1ZygntHC1J6IxzKbTidmOyf5nUyW4GCLurHCjexrLm_o        "",
      ""HTMLキャッシュ!A:F""
    ),
    3,
    FALSE
  ),
  0
)
"),46078.667025462964)</f>
        <v>46078.66703</v>
      </c>
      <c r="H10" s="49">
        <f>IFERROR(__xludf.DUMMYFUNCTION("IFERROR(
  VLOOKUP(
    A10,
    IMPORTRANGE(
      ""1ZHMy3vVUd_0MrSduXTe1etBb1HNpAlGwQr006ljwMiM"",
      ""GSC最新!A:F""
    ),
    2,
    FALSE
  ),
  0
)
"),158.0)</f>
        <v>158</v>
      </c>
      <c r="I10" s="49">
        <f>IFERROR(__xludf.DUMMYFUNCTION("IFERROR(
  VLOOKUP(
    A10,
    IMPORTRANGE(
      ""1ZHMy3vVUd_0MrSduXTe1etBb1HNpAlGwQr006ljwMiM"",
      ""GSC最新!A:F""
    ),
    3,
    FALSE
  ),
  0
)
"),464.0)</f>
        <v>464</v>
      </c>
      <c r="J10" s="49">
        <f>IFERROR(__xludf.DUMMYFUNCTION("IFERROR(
  VLOOKUP(
    A10,
    IMPORTRANGE(
      ""1ZHMy3vVUd_0MrSduXTe1etBb1HNpAlGwQr006ljwMiM"",
      ""GSC最新!A:F""
    ),
    4,
    FALSE
  ),
  0
)
"),476.0)</f>
        <v>476</v>
      </c>
      <c r="K10" s="49">
        <f>IFERROR(__xludf.DUMMYFUNCTION("IFERROR(
  VLOOKUP(
    A10,
    IMPORTRANGE(
      ""1ZHMy3vVUd_0MrSduXTe1etBb1HNpAlGwQr006ljwMiM"",
      ""GSC最新!A:F""
    ),
    5,
    FALSE
  ),
  0
)
"),1002.0)</f>
        <v>1002</v>
      </c>
      <c r="L10" s="50">
        <f t="shared" ref="L10:M10" si="42">IFERROR(H10/J10,"-")</f>
        <v>0.3319327731</v>
      </c>
      <c r="M10" s="50">
        <f t="shared" si="42"/>
        <v>0.4630738523</v>
      </c>
      <c r="N10" s="6">
        <f>IFERROR(__xludf.DUMMYFUNCTION("IFERROR(
  VLOOKUP(
    A10,
    IMPORTRANGE(
      ""1ZHMy3vVUd_0MrSduXTe1etBb1HNpAlGwQr006ljwMiM"",
      ""GSC最新!A:R""
    ),
    7,
    FALSE
  ),
  0
)
"),865.0)</f>
        <v>865</v>
      </c>
      <c r="O10" s="6">
        <f>IFERROR(__xludf.DUMMYFUNCTION("IFERROR(
  VLOOKUP(
    A10,
    IMPORTRANGE(
      ""1ZHMy3vVUd_0MrSduXTe1etBb1HNpAlGwQr006ljwMiM"",
      ""GSC最新!A:R""
    ),
    10,
    FALSE
  ),
  0
)
"),2795.0)</f>
        <v>2795</v>
      </c>
      <c r="P10" s="6">
        <f>IFERROR(__xludf.DUMMYFUNCTION("IFERROR(
  VLOOKUP(
    A10,
    IMPORTRANGE(
      ""1ZHMy3vVUd_0MrSduXTe1etBb1HNpAlGwQr006ljwMiM"",
      ""GSC最新!A:R""
    ),
    13,
    FALSE
  ),
  0
)
"),2238.0)</f>
        <v>2238</v>
      </c>
      <c r="Q10" s="6">
        <f>IFERROR(__xludf.DUMMYFUNCTION("IFERROR(
  VLOOKUP(
    A10,
    IMPORTRANGE(
      ""1ZHMy3vVUd_0MrSduXTe1etBb1HNpAlGwQr006ljwMiM"",
      ""GSC最新!A:R""
    ),
    16,
    FALSE
  ),
  0
)
"),5193.0)</f>
        <v>5193</v>
      </c>
      <c r="R10" s="51">
        <f t="shared" ref="R10:S10" si="43">IFERROR(N10/P10,"-")</f>
        <v>0.3865058088</v>
      </c>
      <c r="S10" s="51">
        <f t="shared" si="43"/>
        <v>0.538224533</v>
      </c>
      <c r="T10" s="9">
        <f>IFERROR(__xludf.DUMMYFUNCTION("IFERROR(
  VLOOKUP(
    A10,
    IMPORTRANGE(
      ""1ZHMy3vVUd_0MrSduXTe1etBb1HNpAlGwQr006ljwMiM"",
      ""GSC最新!A:R""
    ),
    8,
    FALSE
  ),
  0
)
"),0.18265895953757225)</f>
        <v>0.1826589595</v>
      </c>
      <c r="U10" s="9">
        <f>IFERROR(__xludf.DUMMYFUNCTION("IFERROR(
  VLOOKUP(
    A10,
    IMPORTRANGE(
      ""1ZHMy3vVUd_0MrSduXTe1etBb1HNpAlGwQr006ljwMiM"",
      ""GSC最新!A:R""
    ),
    11,
    FALSE
  ),
  0
)
"),0.16601073345259393)</f>
        <v>0.1660107335</v>
      </c>
      <c r="V10" s="9">
        <f>IFERROR(__xludf.DUMMYFUNCTION("IFERROR(
  VLOOKUP(
    A10,
    IMPORTRANGE(
      ""1ZHMy3vVUd_0MrSduXTe1etBb1HNpAlGwQr006ljwMiM"",
      ""GSC最新!A:R""
    ),
    14,
    FALSE
  ),
  0
)
"),0.2126899016979446)</f>
        <v>0.2126899017</v>
      </c>
      <c r="W10" s="9">
        <f>IFERROR(__xludf.DUMMYFUNCTION("IFERROR(
  VLOOKUP(
    A10,
    IMPORTRANGE(
      ""1ZHMy3vVUd_0MrSduXTe1etBb1HNpAlGwQr006ljwMiM"",
      ""GSC最新!A:R""
    ),
    17,
    FALSE
  ),
  0
)
"),0.1929520508376661)</f>
        <v>0.1929520508</v>
      </c>
      <c r="X10" s="9">
        <f t="shared" ref="X10:Y10" si="44">IFERROR(T10-V10,"-")</f>
        <v>-0.03003094216</v>
      </c>
      <c r="Y10" s="9">
        <f t="shared" si="44"/>
        <v>-0.02694131739</v>
      </c>
      <c r="Z10" s="65">
        <f>IFERROR(__xludf.DUMMYFUNCTION("IFERROR(
  VLOOKUP(
    A10,
    IMPORTRANGE(
      ""1ZHMy3vVUd_0MrSduXTe1etBb1HNpAlGwQr006ljwMiM"",
      ""GSC最新!A:R""
    ),
    9,
    FALSE
  ),
  0
)
"),3.871676300578035)</f>
        <v>3.871676301</v>
      </c>
      <c r="AA10" s="65">
        <f>IFERROR(__xludf.DUMMYFUNCTION("IFERROR(
  VLOOKUP(
    A10,
    IMPORTRANGE(
      ""1ZHMy3vVUd_0MrSduXTe1etBb1HNpAlGwQr006ljwMiM"",
      ""GSC最新!A:R""
    ),
    12,
    FALSE
  ),
  0
)
"),4.0304114490161)</f>
        <v>4.030411449</v>
      </c>
      <c r="AB10" s="65">
        <f>IFERROR(__xludf.DUMMYFUNCTION("IFERROR(
  VLOOKUP(
    A10,
    IMPORTRANGE(
      ""1ZHMy3vVUd_0MrSduXTe1etBb1HNpAlGwQr006ljwMiM"",
      ""GSC最新!A:R""
    ),
    15,
    FALSE
  ),
  0
)
"),5.234584450402145)</f>
        <v>5.23458445</v>
      </c>
      <c r="AC10" s="65">
        <f>IFERROR(__xludf.DUMMYFUNCTION("IFERROR(
  VLOOKUP(
    A10,
    IMPORTRANGE(
      ""1ZHMy3vVUd_0MrSduXTe1etBb1HNpAlGwQr006ljwMiM"",
      ""GSC最新!A:R""
    ),
    18,
    FALSE
  ),
  0
)
"),5.712690159830541)</f>
        <v>5.71269016</v>
      </c>
      <c r="AD10" s="65">
        <f t="shared" ref="AD10:AE10" si="45">Z10-AB10</f>
        <v>-1.36290815</v>
      </c>
      <c r="AE10" s="65">
        <f t="shared" si="45"/>
        <v>-1.682278711</v>
      </c>
      <c r="AF10" s="53">
        <f>IFERROR(__xludf.DUMMYFUNCTION("IFERROR(
  VLOOKUP(
    A10,
    IMPORTRANGE(
      ""1ZHMy3vVUd_0MrSduXTe1etBb1HNpAlGwQr006ljwMiM"",
      ""GSC最新!A:F""
    ),
    6,
    FALSE
  ),
  0
)
"),46081.0)</f>
        <v>46081</v>
      </c>
      <c r="AG10" s="54">
        <f>IFERROR(__xludf.DUMMYFUNCTION("IFERROR(
  VLOOKUP(
    A10,
    IMPORTRANGE(
      ""1SCYQd7_cobOYqT0r_F0IqD4tE4rYn5y8Eup4PJTH8es"",
      ""Snapshot!A:M""
    ),
    5,
    FALSE
  ),
  ""-""
)
"),7.0)</f>
        <v>7</v>
      </c>
      <c r="AH10" s="54">
        <f>IFERROR(__xludf.DUMMYFUNCTION("IFERROR(
  VLOOKUP(
    A10,
    IMPORTRANGE(
      ""1SCYQd7_cobOYqT0r_F0IqD4tE4rYn5y8Eup4PJTH8es"",
      ""Snapshot!A:M""
    ),
    6,
    FALSE
  ),
  0
)
"),14.0)</f>
        <v>14</v>
      </c>
      <c r="AI10" s="54">
        <f>IFERROR(__xludf.DUMMYFUNCTION("IFERROR(
  VLOOKUP(
    A10,
    IMPORTRANGE(
      ""1SCYQd7_cobOYqT0r_F0IqD4tE4rYn5y8Eup4PJTH8es"",
      ""Snapshot!A:M""
    ),
    7,
    FALSE
  ),
  0
)
"),5291.0)</f>
        <v>5291</v>
      </c>
      <c r="AJ10" s="54">
        <f>IFERROR(__xludf.DUMMYFUNCTION("IFERROR(
  VLOOKUP(
    A10,
    IMPORTRANGE(
      ""1SCYQd7_cobOYqT0r_F0IqD4tE4rYn5y8Eup4PJTH8es"",
      ""Snapshot!A:M""
    ),
    8,
    FALSE
  ),
  0
)
"),3.0)</f>
        <v>3</v>
      </c>
      <c r="AK10" s="54">
        <f>IFERROR(__xludf.DUMMYFUNCTION("IFERROR(
  VLOOKUP(
    A10,
    IMPORTRANGE(
      ""1SCYQd7_cobOYqT0r_F0IqD4tE4rYn5y8Eup4PJTH8es"",
      ""Snapshot!A:M""
    ),
    9,
    FALSE
  ),
  0
)
"),5.0)</f>
        <v>5</v>
      </c>
      <c r="AL10" s="54">
        <f>IFERROR(__xludf.DUMMYFUNCTION("IFERROR(
  VLOOKUP(
    A10,
    IMPORTRANGE(
      ""1SCYQd7_cobOYqT0r_F0IqD4tE4rYn5y8Eup4PJTH8es"",
      ""Snapshot!A:M""
    ),
    13,
    FALSE
  ),
  0
)
"),2.0)</f>
        <v>2</v>
      </c>
    </row>
    <row r="11">
      <c r="A11" s="3" t="s">
        <v>900</v>
      </c>
      <c r="B11" s="1" t="str">
        <f>IFERROR(__xludf.DUMMYFUNCTION("IFERROR(
  VLOOKUP(
    A11,
    IMPORTRANGE(
      ""1ZygntHC1J6IxzKbTidmOyf5nUyW4GCLurHCjexrLm_o"",
      ""HTMLキャッシュ!A:F""
    ),
    2,
    FALSE
  ),
  0
)
"),"MC")</f>
        <v>MC</v>
      </c>
      <c r="C11" s="49">
        <f t="shared" ref="C11:D11" si="46">LEN(E11)</f>
        <v>29</v>
      </c>
      <c r="D11" s="49">
        <f t="shared" si="46"/>
        <v>55</v>
      </c>
      <c r="E11" s="1" t="str">
        <f>IFERROR(__xludf.DUMMYFUNCTION("IFERROR(
  VLOOKUP(
    A11,
    IMPORTRANGE(
      ""1ZygntHC1J6IxzKbTidmOyf5nUyW4GCLurHCjexrLm_o"",
      ""HTMLキャッシュ!A:F""
    ),
    5,
    FALSE
  ),
  0
)
"),"『竹取物語』本文・現代語訳・語句解説付き入試古典総合ガイド")</f>
        <v>『竹取物語』本文・現代語訳・語句解説付き入試古典総合ガイド</v>
      </c>
      <c r="F11" s="1" t="str">
        <f>IFERROR(__xludf.DUMMYFUNCTION("IFERROR(
  VLOOKUP(
    A11,
    IMPORTRANGE(
      ""1ZygntHC1J6IxzKbTidmOyf5nUyW4GCLurHCjexrLm_o        "",
      ""HTMLキャッシュ!A:F""
    ),
    6,
    FALSE
  ),
  0
)
"),"竹取物語「翁、竹を取ること、久しくなりぬ」本文と現代語訳。なよ竹・なりぬ・ぞ〜ける等を表でチェック。高校古文。")</f>
        <v>竹取物語「翁、竹を取ること、久しくなりぬ」本文と現代語訳。なよ竹・なりぬ・ぞ〜ける等を表でチェック。高校古文。</v>
      </c>
      <c r="G11" s="32">
        <f>IFERROR(__xludf.DUMMYFUNCTION("IFERROR(
  VLOOKUP(
    A11,
    IMPORTRANGE(
      ""1ZygntHC1J6IxzKbTidmOyf5nUyW4GCLurHCjexrLm_o        "",
      ""HTMLキャッシュ!A:F""
    ),
    3,
    FALSE
  ),
  0
)
"),46074.5859375)</f>
        <v>46074.58594</v>
      </c>
      <c r="H11" s="49">
        <f>IFERROR(__xludf.DUMMYFUNCTION("IFERROR(
  VLOOKUP(
    A11,
    IMPORTRANGE(
      ""1ZHMy3vVUd_0MrSduXTe1etBb1HNpAlGwQr006ljwMiM"",
      ""GSC最新!A:F""
    ),
    2,
    FALSE
  ),
  0
)
"),137.0)</f>
        <v>137</v>
      </c>
      <c r="I11" s="49">
        <f>IFERROR(__xludf.DUMMYFUNCTION("IFERROR(
  VLOOKUP(
    A11,
    IMPORTRANGE(
      ""1ZHMy3vVUd_0MrSduXTe1etBb1HNpAlGwQr006ljwMiM"",
      ""GSC最新!A:F""
    ),
    3,
    FALSE
  ),
  0
)
"),446.0)</f>
        <v>446</v>
      </c>
      <c r="J11" s="49">
        <f>IFERROR(__xludf.DUMMYFUNCTION("IFERROR(
  VLOOKUP(
    A11,
    IMPORTRANGE(
      ""1ZHMy3vVUd_0MrSduXTe1etBb1HNpAlGwQr006ljwMiM"",
      ""GSC最新!A:F""
    ),
    4,
    FALSE
  ),
  0
)
"),116.0)</f>
        <v>116</v>
      </c>
      <c r="K11" s="49">
        <f>IFERROR(__xludf.DUMMYFUNCTION("IFERROR(
  VLOOKUP(
    A11,
    IMPORTRANGE(
      ""1ZHMy3vVUd_0MrSduXTe1etBb1HNpAlGwQr006ljwMiM"",
      ""GSC最新!A:F""
    ),
    5,
    FALSE
  ),
  0
)
"),387.0)</f>
        <v>387</v>
      </c>
      <c r="L11" s="50">
        <f t="shared" ref="L11:M11" si="47">IFERROR(H11/J11,"-")</f>
        <v>1.181034483</v>
      </c>
      <c r="M11" s="50">
        <f t="shared" si="47"/>
        <v>1.15245478</v>
      </c>
      <c r="N11" s="6">
        <f>IFERROR(__xludf.DUMMYFUNCTION("IFERROR(
  VLOOKUP(
    A11,
    IMPORTRANGE(
      ""1ZHMy3vVUd_0MrSduXTe1etBb1HNpAlGwQr006ljwMiM"",
      ""GSC最新!A:R""
    ),
    7,
    FALSE
  ),
  0
)
"),13777.0)</f>
        <v>13777</v>
      </c>
      <c r="O11" s="6">
        <f>IFERROR(__xludf.DUMMYFUNCTION("IFERROR(
  VLOOKUP(
    A11,
    IMPORTRANGE(
      ""1ZHMy3vVUd_0MrSduXTe1etBb1HNpAlGwQr006ljwMiM"",
      ""GSC最新!A:R""
    ),
    10,
    FALSE
  ),
  0
)
"),48616.0)</f>
        <v>48616</v>
      </c>
      <c r="P11" s="6">
        <f>IFERROR(__xludf.DUMMYFUNCTION("IFERROR(
  VLOOKUP(
    A11,
    IMPORTRANGE(
      ""1ZHMy3vVUd_0MrSduXTe1etBb1HNpAlGwQr006ljwMiM"",
      ""GSC最新!A:R""
    ),
    13,
    FALSE
  ),
  0
)
"),4019.0)</f>
        <v>4019</v>
      </c>
      <c r="Q11" s="6">
        <f>IFERROR(__xludf.DUMMYFUNCTION("IFERROR(
  VLOOKUP(
    A11,
    IMPORTRANGE(
      ""1ZHMy3vVUd_0MrSduXTe1etBb1HNpAlGwQr006ljwMiM"",
      ""GSC最新!A:R""
    ),
    16,
    FALSE
  ),
  0
)
"),16461.0)</f>
        <v>16461</v>
      </c>
      <c r="R11" s="51">
        <f t="shared" ref="R11:S11" si="48">IFERROR(N11/P11,"-")</f>
        <v>3.427967156</v>
      </c>
      <c r="S11" s="51">
        <f t="shared" si="48"/>
        <v>2.953405018</v>
      </c>
      <c r="T11" s="9">
        <f>IFERROR(__xludf.DUMMYFUNCTION("IFERROR(
  VLOOKUP(
    A11,
    IMPORTRANGE(
      ""1ZHMy3vVUd_0MrSduXTe1etBb1HNpAlGwQr006ljwMiM"",
      ""GSC最新!A:R""
    ),
    8,
    FALSE
  ),
  0
)
"),0.009944109748130942)</f>
        <v>0.009944109748</v>
      </c>
      <c r="U11" s="9">
        <f>IFERROR(__xludf.DUMMYFUNCTION("IFERROR(
  VLOOKUP(
    A11,
    IMPORTRANGE(
      ""1ZHMy3vVUd_0MrSduXTe1etBb1HNpAlGwQr006ljwMiM"",
      ""GSC最新!A:R""
    ),
    11,
    FALSE
  ),
  0
)
"),0.009173934507158137)</f>
        <v>0.009173934507</v>
      </c>
      <c r="V11" s="9">
        <f>IFERROR(__xludf.DUMMYFUNCTION("IFERROR(
  VLOOKUP(
    A11,
    IMPORTRANGE(
      ""1ZHMy3vVUd_0MrSduXTe1etBb1HNpAlGwQr006ljwMiM"",
      ""GSC最新!A:R""
    ),
    14,
    FALSE
  ),
  0
)
"),0.02886290121920876)</f>
        <v>0.02886290122</v>
      </c>
      <c r="W11" s="9">
        <f>IFERROR(__xludf.DUMMYFUNCTION("IFERROR(
  VLOOKUP(
    A11,
    IMPORTRANGE(
      ""1ZHMy3vVUd_0MrSduXTe1etBb1HNpAlGwQr006ljwMiM"",
      ""GSC最新!A:R""
    ),
    17,
    FALSE
  ),
  0
)
"),0.023510114816839803)</f>
        <v>0.02351011482</v>
      </c>
      <c r="X11" s="9">
        <f t="shared" ref="X11:Y11" si="49">IFERROR(T11-V11,"-")</f>
        <v>-0.01891879147</v>
      </c>
      <c r="Y11" s="9">
        <f t="shared" si="49"/>
        <v>-0.01433618031</v>
      </c>
      <c r="Z11" s="65">
        <f>IFERROR(__xludf.DUMMYFUNCTION("IFERROR(
  VLOOKUP(
    A11,
    IMPORTRANGE(
      ""1ZHMy3vVUd_0MrSduXTe1etBb1HNpAlGwQr006ljwMiM"",
      ""GSC最新!A:R""
    ),
    9,
    FALSE
  ),
  0
)
"),5.265369819263991)</f>
        <v>5.265369819</v>
      </c>
      <c r="AA11" s="65">
        <f>IFERROR(__xludf.DUMMYFUNCTION("IFERROR(
  VLOOKUP(
    A11,
    IMPORTRANGE(
      ""1ZHMy3vVUd_0MrSduXTe1etBb1HNpAlGwQr006ljwMiM"",
      ""GSC最新!A:R""
    ),
    12,
    FALSE
  ),
  0
)
"),5.431894849432286)</f>
        <v>5.431894849</v>
      </c>
      <c r="AB11" s="65">
        <f>IFERROR(__xludf.DUMMYFUNCTION("IFERROR(
  VLOOKUP(
    A11,
    IMPORTRANGE(
      ""1ZHMy3vVUd_0MrSduXTe1etBb1HNpAlGwQr006ljwMiM"",
      ""GSC最新!A:R""
    ),
    15,
    FALSE
  ),
  0
)
"),7.437422244339388)</f>
        <v>7.437422244</v>
      </c>
      <c r="AC11" s="65">
        <f>IFERROR(__xludf.DUMMYFUNCTION("IFERROR(
  VLOOKUP(
    A11,
    IMPORTRANGE(
      ""1ZHMy3vVUd_0MrSduXTe1etBb1HNpAlGwQr006ljwMiM"",
      ""GSC最新!A:R""
    ),
    18,
    FALSE
  ),
  0
)
"),8.287102849158618)</f>
        <v>8.287102849</v>
      </c>
      <c r="AD11" s="65">
        <f t="shared" ref="AD11:AE11" si="50">Z11-AB11</f>
        <v>-2.172052425</v>
      </c>
      <c r="AE11" s="65">
        <f t="shared" si="50"/>
        <v>-2.855208</v>
      </c>
      <c r="AF11" s="53">
        <f>IFERROR(__xludf.DUMMYFUNCTION("IFERROR(
  VLOOKUP(
    A11,
    IMPORTRANGE(
      ""1ZHMy3vVUd_0MrSduXTe1etBb1HNpAlGwQr006ljwMiM"",
      ""GSC最新!A:F""
    ),
    6,
    FALSE
  ),
  0
)
"),46081.0)</f>
        <v>46081</v>
      </c>
      <c r="AG11" s="54">
        <f>IFERROR(__xludf.DUMMYFUNCTION("IFERROR(
  VLOOKUP(
    A11,
    IMPORTRANGE(
      ""1SCYQd7_cobOYqT0r_F0IqD4tE4rYn5y8Eup4PJTH8es"",
      ""Snapshot!A:M""
    ),
    5,
    FALSE
  ),
  ""-""
)
"),6.0)</f>
        <v>6</v>
      </c>
      <c r="AH11" s="54">
        <f>IFERROR(__xludf.DUMMYFUNCTION("IFERROR(
  VLOOKUP(
    A11,
    IMPORTRANGE(
      ""1SCYQd7_cobOYqT0r_F0IqD4tE4rYn5y8Eup4PJTH8es"",
      ""Snapshot!A:M""
    ),
    6,
    FALSE
  ),
  0
)
"),11.0)</f>
        <v>11</v>
      </c>
      <c r="AI11" s="54">
        <f>IFERROR(__xludf.DUMMYFUNCTION("IFERROR(
  VLOOKUP(
    A11,
    IMPORTRANGE(
      ""1SCYQd7_cobOYqT0r_F0IqD4tE4rYn5y8Eup4PJTH8es"",
      ""Snapshot!A:M""
    ),
    7,
    FALSE
  ),
  0
)
"),3962.0)</f>
        <v>3962</v>
      </c>
      <c r="AJ11" s="54">
        <f>IFERROR(__xludf.DUMMYFUNCTION("IFERROR(
  VLOOKUP(
    A11,
    IMPORTRANGE(
      ""1SCYQd7_cobOYqT0r_F0IqD4tE4rYn5y8Eup4PJTH8es"",
      ""Snapshot!A:M""
    ),
    8,
    FALSE
  ),
  0
)
"),2.0)</f>
        <v>2</v>
      </c>
      <c r="AK11" s="54">
        <f>IFERROR(__xludf.DUMMYFUNCTION("IFERROR(
  VLOOKUP(
    A11,
    IMPORTRANGE(
      ""1SCYQd7_cobOYqT0r_F0IqD4tE4rYn5y8Eup4PJTH8es"",
      ""Snapshot!A:M""
    ),
    9,
    FALSE
  ),
  0
)
"),2.0)</f>
        <v>2</v>
      </c>
      <c r="AL11" s="54">
        <f>IFERROR(__xludf.DUMMYFUNCTION("IFERROR(
  VLOOKUP(
    A11,
    IMPORTRANGE(
      ""1SCYQd7_cobOYqT0r_F0IqD4tE4rYn5y8Eup4PJTH8es"",
      ""Snapshot!A:M""
    ),
    13,
    FALSE
  ),
  0
)
"),2.0)</f>
        <v>2</v>
      </c>
    </row>
    <row r="12">
      <c r="A12" s="3" t="s">
        <v>901</v>
      </c>
      <c r="B12" s="1" t="str">
        <f>IFERROR(__xludf.DUMMYFUNCTION("IFERROR(
  VLOOKUP(
    A12,
    IMPORTRANGE(
      ""1ZygntHC1J6IxzKbTidmOyf5nUyW4GCLurHCjexrLm_o"",
      ""HTMLキャッシュ!A:F""
    ),
    2,
    FALSE
  ),
  0
)
"),"MC")</f>
        <v>MC</v>
      </c>
      <c r="C12" s="49">
        <f t="shared" ref="C12:D12" si="51">LEN(E12)</f>
        <v>26</v>
      </c>
      <c r="D12" s="49">
        <f t="shared" si="51"/>
        <v>68</v>
      </c>
      <c r="E12" s="1" t="str">
        <f>IFERROR(__xludf.DUMMYFUNCTION("IFERROR(
  VLOOKUP(
    A12,
    IMPORTRANGE(
      ""1ZygntHC1J6IxzKbTidmOyf5nUyW4GCLurHCjexrLm_o"",
      ""HTMLキャッシュ!A:F""
    ),
    5,
    FALSE
  ),
  0
)
"),"言語文化の古文定期テスト勉強法｜1週間の進め方｜高校")</f>
        <v>言語文化の古文定期テスト勉強法｜1週間の進め方｜高校</v>
      </c>
      <c r="F12" s="1" t="str">
        <f>IFERROR(__xludf.DUMMYFUNCTION("IFERROR(
  VLOOKUP(
    A12,
    IMPORTRANGE(
      ""1ZygntHC1J6IxzKbTidmOyf5nUyW4GCLurHCjexrLm_o        "",
      ""HTMLキャッシュ!A:F""
    ),
    6,
    FALSE
  ),
  0
)
"),"言語文化（古文）の定期テスト勉強法。授業ノートを起点に、音読→単語→助動詞→主語判定→演習の順で、1週間の勉強を進める要点をまとめます。")</f>
        <v>言語文化（古文）の定期テスト勉強法。授業ノートを起点に、音読→単語→助動詞→主語判定→演習の順で、1週間の勉強を進める要点をまとめます。</v>
      </c>
      <c r="G12" s="32">
        <f>IFERROR(__xludf.DUMMYFUNCTION("IFERROR(
  VLOOKUP(
    A12,
    IMPORTRANGE(
      ""1ZygntHC1J6IxzKbTidmOyf5nUyW4GCLurHCjexrLm_o        "",
      ""HTMLキャッシュ!A:F""
    ),
    3,
    FALSE
  ),
  0
)
"),46078.66664351852)</f>
        <v>46078.66664</v>
      </c>
      <c r="H12" s="49">
        <f>IFERROR(__xludf.DUMMYFUNCTION("IFERROR(
  VLOOKUP(
    A12,
    IMPORTRANGE(
      ""1ZHMy3vVUd_0MrSduXTe1etBb1HNpAlGwQr006ljwMiM"",
      ""GSC最新!A:F""
    ),
    2,
    FALSE
  ),
  0
)
"),241.0)</f>
        <v>241</v>
      </c>
      <c r="I12" s="49">
        <f>IFERROR(__xludf.DUMMYFUNCTION("IFERROR(
  VLOOKUP(
    A12,
    IMPORTRANGE(
      ""1ZHMy3vVUd_0MrSduXTe1etBb1HNpAlGwQr006ljwMiM"",
      ""GSC最新!A:F""
    ),
    3,
    FALSE
  ),
  0
)
"),381.0)</f>
        <v>381</v>
      </c>
      <c r="J12" s="49">
        <f>IFERROR(__xludf.DUMMYFUNCTION("IFERROR(
  VLOOKUP(
    A12,
    IMPORTRANGE(
      ""1ZHMy3vVUd_0MrSduXTe1etBb1HNpAlGwQr006ljwMiM"",
      ""GSC最新!A:F""
    ),
    4,
    FALSE
  ),
  0
)
"),518.0)</f>
        <v>518</v>
      </c>
      <c r="K12" s="49">
        <f>IFERROR(__xludf.DUMMYFUNCTION("IFERROR(
  VLOOKUP(
    A12,
    IMPORTRANGE(
      ""1ZHMy3vVUd_0MrSduXTe1etBb1HNpAlGwQr006ljwMiM"",
      ""GSC最新!A:F""
    ),
    5,
    FALSE
  ),
  0
)
"),957.0)</f>
        <v>957</v>
      </c>
      <c r="L12" s="50">
        <f t="shared" ref="L12:M12" si="52">IFERROR(H12/J12,"-")</f>
        <v>0.4652509653</v>
      </c>
      <c r="M12" s="50">
        <f t="shared" si="52"/>
        <v>0.3981191223</v>
      </c>
      <c r="N12" s="6">
        <f>IFERROR(__xludf.DUMMYFUNCTION("IFERROR(
  VLOOKUP(
    A12,
    IMPORTRANGE(
      ""1ZHMy3vVUd_0MrSduXTe1etBb1HNpAlGwQr006ljwMiM"",
      ""GSC最新!A:R""
    ),
    7,
    FALSE
  ),
  0
)
"),5445.0)</f>
        <v>5445</v>
      </c>
      <c r="O12" s="6">
        <f>IFERROR(__xludf.DUMMYFUNCTION("IFERROR(
  VLOOKUP(
    A12,
    IMPORTRANGE(
      ""1ZHMy3vVUd_0MrSduXTe1etBb1HNpAlGwQr006ljwMiM"",
      ""GSC最新!A:R""
    ),
    10,
    FALSE
  ),
  0
)
"),11850.0)</f>
        <v>11850</v>
      </c>
      <c r="P12" s="6">
        <f>IFERROR(__xludf.DUMMYFUNCTION("IFERROR(
  VLOOKUP(
    A12,
    IMPORTRANGE(
      ""1ZHMy3vVUd_0MrSduXTe1etBb1HNpAlGwQr006ljwMiM"",
      ""GSC最新!A:R""
    ),
    13,
    FALSE
  ),
  0
)
"),4785.0)</f>
        <v>4785</v>
      </c>
      <c r="Q12" s="6">
        <f>IFERROR(__xludf.DUMMYFUNCTION("IFERROR(
  VLOOKUP(
    A12,
    IMPORTRANGE(
      ""1ZHMy3vVUd_0MrSduXTe1etBb1HNpAlGwQr006ljwMiM"",
      ""GSC最新!A:R""
    ),
    16,
    FALSE
  ),
  0
)
"),12149.0)</f>
        <v>12149</v>
      </c>
      <c r="R12" s="51">
        <f t="shared" ref="R12:S12" si="53">IFERROR(N12/P12,"-")</f>
        <v>1.137931034</v>
      </c>
      <c r="S12" s="51">
        <f t="shared" si="53"/>
        <v>0.9753889209</v>
      </c>
      <c r="T12" s="9">
        <f>IFERROR(__xludf.DUMMYFUNCTION("IFERROR(
  VLOOKUP(
    A12,
    IMPORTRANGE(
      ""1ZHMy3vVUd_0MrSduXTe1etBb1HNpAlGwQr006ljwMiM"",
      ""GSC最新!A:R""
    ),
    8,
    FALSE
  ),
  0
)
"),0.04426078971533517)</f>
        <v>0.04426078972</v>
      </c>
      <c r="U12" s="9">
        <f>IFERROR(__xludf.DUMMYFUNCTION("IFERROR(
  VLOOKUP(
    A12,
    IMPORTRANGE(
      ""1ZHMy3vVUd_0MrSduXTe1etBb1HNpAlGwQr006ljwMiM"",
      ""GSC最新!A:R""
    ),
    11,
    FALSE
  ),
  0
)
"),0.03215189873417722)</f>
        <v>0.03215189873</v>
      </c>
      <c r="V12" s="9">
        <f>IFERROR(__xludf.DUMMYFUNCTION("IFERROR(
  VLOOKUP(
    A12,
    IMPORTRANGE(
      ""1ZHMy3vVUd_0MrSduXTe1etBb1HNpAlGwQr006ljwMiM"",
      ""GSC最新!A:R""
    ),
    14,
    FALSE
  ),
  0
)
"),0.10825496342737723)</f>
        <v>0.1082549634</v>
      </c>
      <c r="W12" s="9">
        <f>IFERROR(__xludf.DUMMYFUNCTION("IFERROR(
  VLOOKUP(
    A12,
    IMPORTRANGE(
      ""1ZHMy3vVUd_0MrSduXTe1etBb1HNpAlGwQr006ljwMiM"",
      ""GSC最新!A:R""
    ),
    17,
    FALSE
  ),
  0
)
"),0.07877191538398222)</f>
        <v>0.07877191538</v>
      </c>
      <c r="X12" s="9">
        <f t="shared" ref="X12:Y12" si="54">IFERROR(T12-V12,"-")</f>
        <v>-0.06399417371</v>
      </c>
      <c r="Y12" s="9">
        <f t="shared" si="54"/>
        <v>-0.04662001665</v>
      </c>
      <c r="Z12" s="65">
        <f>IFERROR(__xludf.DUMMYFUNCTION("IFERROR(
  VLOOKUP(
    A12,
    IMPORTRANGE(
      ""1ZHMy3vVUd_0MrSduXTe1etBb1HNpAlGwQr006ljwMiM"",
      ""GSC最新!A:R""
    ),
    9,
    FALSE
  ),
  0
)
"),5.101377410468319)</f>
        <v>5.10137741</v>
      </c>
      <c r="AA12" s="65">
        <f>IFERROR(__xludf.DUMMYFUNCTION("IFERROR(
  VLOOKUP(
    A12,
    IMPORTRANGE(
      ""1ZHMy3vVUd_0MrSduXTe1etBb1HNpAlGwQr006ljwMiM"",
      ""GSC最新!A:R""
    ),
    12,
    FALSE
  ),
  0
)
"),5.868438818565401)</f>
        <v>5.868438819</v>
      </c>
      <c r="AB12" s="65">
        <f>IFERROR(__xludf.DUMMYFUNCTION("IFERROR(
  VLOOKUP(
    A12,
    IMPORTRANGE(
      ""1ZHMy3vVUd_0MrSduXTe1etBb1HNpAlGwQr006ljwMiM"",
      ""GSC最新!A:R""
    ),
    15,
    FALSE
  ),
  0
)
"),11.062068965517241)</f>
        <v>11.06206897</v>
      </c>
      <c r="AC12" s="65">
        <f>IFERROR(__xludf.DUMMYFUNCTION("IFERROR(
  VLOOKUP(
    A12,
    IMPORTRANGE(
      ""1ZHMy3vVUd_0MrSduXTe1etBb1HNpAlGwQr006ljwMiM"",
      ""GSC最新!A:R""
    ),
    18,
    FALSE
  ),
  0
)
"),14.076549510247757)</f>
        <v>14.07654951</v>
      </c>
      <c r="AD12" s="65">
        <f t="shared" ref="AD12:AE12" si="55">Z12-AB12</f>
        <v>-5.960691555</v>
      </c>
      <c r="AE12" s="65">
        <f t="shared" si="55"/>
        <v>-8.208110692</v>
      </c>
      <c r="AF12" s="53">
        <f>IFERROR(__xludf.DUMMYFUNCTION("IFERROR(
  VLOOKUP(
    A12,
    IMPORTRANGE(
      ""1ZHMy3vVUd_0MrSduXTe1etBb1HNpAlGwQr006ljwMiM"",
      ""GSC最新!A:F""
    ),
    6,
    FALSE
  ),
  0
)
"),46081.0)</f>
        <v>46081</v>
      </c>
      <c r="AG12" s="54">
        <f>IFERROR(__xludf.DUMMYFUNCTION("IFERROR(
  VLOOKUP(
    A12,
    IMPORTRANGE(
      ""1SCYQd7_cobOYqT0r_F0IqD4tE4rYn5y8Eup4PJTH8es"",
      ""Snapshot!A:M""
    ),
    5,
    FALSE
  ),
  ""-""
)
"),7.0)</f>
        <v>7</v>
      </c>
      <c r="AH12" s="54">
        <f>IFERROR(__xludf.DUMMYFUNCTION("IFERROR(
  VLOOKUP(
    A12,
    IMPORTRANGE(
      ""1SCYQd7_cobOYqT0r_F0IqD4tE4rYn5y8Eup4PJTH8es"",
      ""Snapshot!A:M""
    ),
    6,
    FALSE
  ),
  0
)
"),15.0)</f>
        <v>15</v>
      </c>
      <c r="AI12" s="54">
        <f>IFERROR(__xludf.DUMMYFUNCTION("IFERROR(
  VLOOKUP(
    A12,
    IMPORTRANGE(
      ""1SCYQd7_cobOYqT0r_F0IqD4tE4rYn5y8Eup4PJTH8es"",
      ""Snapshot!A:M""
    ),
    7,
    FALSE
  ),
  0
)
"),4612.0)</f>
        <v>4612</v>
      </c>
      <c r="AJ12" s="54">
        <f>IFERROR(__xludf.DUMMYFUNCTION("IFERROR(
  VLOOKUP(
    A12,
    IMPORTRANGE(
      ""1SCYQd7_cobOYqT0r_F0IqD4tE4rYn5y8Eup4PJTH8es"",
      ""Snapshot!A:M""
    ),
    8,
    FALSE
  ),
  0
)
"),5.0)</f>
        <v>5</v>
      </c>
      <c r="AK12" s="54">
        <f>IFERROR(__xludf.DUMMYFUNCTION("IFERROR(
  VLOOKUP(
    A12,
    IMPORTRANGE(
      ""1SCYQd7_cobOYqT0r_F0IqD4tE4rYn5y8Eup4PJTH8es"",
      ""Snapshot!A:M""
    ),
    9,
    FALSE
  ),
  0
)
"),2.0)</f>
        <v>2</v>
      </c>
      <c r="AL12" s="54">
        <f>IFERROR(__xludf.DUMMYFUNCTION("IFERROR(
  VLOOKUP(
    A12,
    IMPORTRANGE(
      ""1SCYQd7_cobOYqT0r_F0IqD4tE4rYn5y8Eup4PJTH8es"",
      ""Snapshot!A:M""
    ),
    13,
    FALSE
  ),
  0
)
"),2.0)</f>
        <v>2</v>
      </c>
    </row>
    <row r="13">
      <c r="A13" s="1" t="s">
        <v>902</v>
      </c>
      <c r="B13" s="1" t="str">
        <f>IFERROR(__xludf.DUMMYFUNCTION("IFERROR(
  VLOOKUP(
    A13,
    IMPORTRANGE(
      ""1ZygntHC1J6IxzKbTidmOyf5nUyW4GCLurHCjexrLm_o"",
      ""HTMLキャッシュ!A:F""
    ),
    2,
    FALSE
  ),
  0
)
"),"MC")</f>
        <v>MC</v>
      </c>
      <c r="C13" s="49">
        <f t="shared" ref="C13:D13" si="56">LEN(E13)</f>
        <v>30</v>
      </c>
      <c r="D13" s="49">
        <f t="shared" si="56"/>
        <v>67</v>
      </c>
      <c r="E13" s="1" t="str">
        <f>IFERROR(__xludf.DUMMYFUNCTION("IFERROR(
  VLOOKUP(
    A13,
    IMPORTRANGE(
      ""1ZygntHC1J6IxzKbTidmOyf5nUyW4GCLurHCjexrLm_o"",
      ""HTMLキャッシュ!A:F""
    ),
    5,
    FALSE
  ),
  0
)
"),"2022國學院大学A日程『源氏物語・浮舟』本文と現代語訳解説")</f>
        <v>2022國學院大学A日程『源氏物語・浮舟』本文と現代語訳解説</v>
      </c>
      <c r="F13" s="1" t="str">
        <f>IFERROR(__xludf.DUMMYFUNCTION("IFERROR(
  VLOOKUP(
    A13,
    IMPORTRANGE(
      ""1ZygntHC1J6IxzKbTidmOyf5nUyW4GCLurHCjexrLm_o        "",
      ""HTMLキャッシュ!A:F""
    ),
    6,
    FALSE
  ),
  0
)
"),"源氏物語「浮舟」出題本文（國學院大A2022）を全文掲載。現代語訳と語注で場面・人物（宮／かの人／女君）を整理し、読解の要点まで確認。")</f>
        <v>源氏物語「浮舟」出題本文（國學院大A2022）を全文掲載。現代語訳と語注で場面・人物（宮／かの人／女君）を整理し、読解の要点まで確認。</v>
      </c>
      <c r="G13" s="32">
        <f>IFERROR(__xludf.DUMMYFUNCTION("IFERROR(
  VLOOKUP(
    A13,
    IMPORTRANGE(
      ""1ZygntHC1J6IxzKbTidmOyf5nUyW4GCLurHCjexrLm_o        "",
      ""HTMLキャッシュ!A:F""
    ),
    3,
    FALSE
  ),
  0
)
"),46083.712858796294)</f>
        <v>46083.71286</v>
      </c>
      <c r="H13" s="49">
        <f>IFERROR(__xludf.DUMMYFUNCTION("IFERROR(
  VLOOKUP(
    A13,
    IMPORTRANGE(
      ""1ZHMy3vVUd_0MrSduXTe1etBb1HNpAlGwQr006ljwMiM"",
      ""GSC最新!A:F""
    ),
    2,
    FALSE
  ),
  0
)
"),112.0)</f>
        <v>112</v>
      </c>
      <c r="I13" s="49">
        <f>IFERROR(__xludf.DUMMYFUNCTION("IFERROR(
  VLOOKUP(
    A13,
    IMPORTRANGE(
      ""1ZHMy3vVUd_0MrSduXTe1etBb1HNpAlGwQr006ljwMiM"",
      ""GSC最新!A:F""
    ),
    3,
    FALSE
  ),
  0
)
"),278.0)</f>
        <v>278</v>
      </c>
      <c r="J13" s="49">
        <f>IFERROR(__xludf.DUMMYFUNCTION("IFERROR(
  VLOOKUP(
    A13,
    IMPORTRANGE(
      ""1ZHMy3vVUd_0MrSduXTe1etBb1HNpAlGwQr006ljwMiM"",
      ""GSC最新!A:F""
    ),
    4,
    FALSE
  ),
  0
)
"),55.0)</f>
        <v>55</v>
      </c>
      <c r="K13" s="49">
        <f>IFERROR(__xludf.DUMMYFUNCTION("IFERROR(
  VLOOKUP(
    A13,
    IMPORTRANGE(
      ""1ZHMy3vVUd_0MrSduXTe1etBb1HNpAlGwQr006ljwMiM"",
      ""GSC最新!A:F""
    ),
    5,
    FALSE
  ),
  0
)
"),227.0)</f>
        <v>227</v>
      </c>
      <c r="L13" s="50">
        <f t="shared" ref="L13:M13" si="57">IFERROR(H13/J13,"-")</f>
        <v>2.036363636</v>
      </c>
      <c r="M13" s="50">
        <f t="shared" si="57"/>
        <v>1.224669604</v>
      </c>
      <c r="N13" s="6">
        <f>IFERROR(__xludf.DUMMYFUNCTION("IFERROR(
  VLOOKUP(
    A13,
    IMPORTRANGE(
      ""1ZHMy3vVUd_0MrSduXTe1etBb1HNpAlGwQr006ljwMiM"",
      ""GSC最新!A:R""
    ),
    7,
    FALSE
  ),
  0
)
"),1845.0)</f>
        <v>1845</v>
      </c>
      <c r="O13" s="6">
        <f>IFERROR(__xludf.DUMMYFUNCTION("IFERROR(
  VLOOKUP(
    A13,
    IMPORTRANGE(
      ""1ZHMy3vVUd_0MrSduXTe1etBb1HNpAlGwQr006ljwMiM"",
      ""GSC最新!A:R""
    ),
    10,
    FALSE
  ),
  0
)
"),3979.0)</f>
        <v>3979</v>
      </c>
      <c r="P13" s="6">
        <f>IFERROR(__xludf.DUMMYFUNCTION("IFERROR(
  VLOOKUP(
    A13,
    IMPORTRANGE(
      ""1ZHMy3vVUd_0MrSduXTe1etBb1HNpAlGwQr006ljwMiM"",
      ""GSC最新!A:R""
    ),
    13,
    FALSE
  ),
  0
)
"),1286.0)</f>
        <v>1286</v>
      </c>
      <c r="Q13" s="6">
        <f>IFERROR(__xludf.DUMMYFUNCTION("IFERROR(
  VLOOKUP(
    A13,
    IMPORTRANGE(
      ""1ZHMy3vVUd_0MrSduXTe1etBb1HNpAlGwQr006ljwMiM"",
      ""GSC最新!A:R""
    ),
    16,
    FALSE
  ),
  0
)
"),3799.0)</f>
        <v>3799</v>
      </c>
      <c r="R13" s="51">
        <f t="shared" ref="R13:S13" si="58">IFERROR(N13/P13,"-")</f>
        <v>1.434681182</v>
      </c>
      <c r="S13" s="51">
        <f t="shared" si="58"/>
        <v>1.04738089</v>
      </c>
      <c r="T13" s="9">
        <f>IFERROR(__xludf.DUMMYFUNCTION("IFERROR(
  VLOOKUP(
    A13,
    IMPORTRANGE(
      ""1ZHMy3vVUd_0MrSduXTe1etBb1HNpAlGwQr006ljwMiM"",
      ""GSC最新!A:R""
    ),
    8,
    FALSE
  ),
  0
)
"),0.06070460704607046)</f>
        <v>0.06070460705</v>
      </c>
      <c r="U13" s="9">
        <f>IFERROR(__xludf.DUMMYFUNCTION("IFERROR(
  VLOOKUP(
    A13,
    IMPORTRANGE(
      ""1ZHMy3vVUd_0MrSduXTe1etBb1HNpAlGwQr006ljwMiM"",
      ""GSC最新!A:R""
    ),
    11,
    FALSE
  ),
  0
)
"),0.0698668007036944)</f>
        <v>0.0698668007</v>
      </c>
      <c r="V13" s="9">
        <f>IFERROR(__xludf.DUMMYFUNCTION("IFERROR(
  VLOOKUP(
    A13,
    IMPORTRANGE(
      ""1ZHMy3vVUd_0MrSduXTe1etBb1HNpAlGwQr006ljwMiM"",
      ""GSC最新!A:R""
    ),
    14,
    FALSE
  ),
  0
)
"),0.042768273716951785)</f>
        <v>0.04276827372</v>
      </c>
      <c r="W13" s="9">
        <f>IFERROR(__xludf.DUMMYFUNCTION("IFERROR(
  VLOOKUP(
    A13,
    IMPORTRANGE(
      ""1ZHMy3vVUd_0MrSduXTe1etBb1HNpAlGwQr006ljwMiM"",
      ""GSC最新!A:R""
    ),
    17,
    FALSE
  ),
  0
)
"),0.05975256646485917)</f>
        <v>0.05975256646</v>
      </c>
      <c r="X13" s="9">
        <f t="shared" ref="X13:Y13" si="59">IFERROR(T13-V13,"-")</f>
        <v>0.01793633333</v>
      </c>
      <c r="Y13" s="9">
        <f t="shared" si="59"/>
        <v>0.01011423424</v>
      </c>
      <c r="Z13" s="65">
        <f>IFERROR(__xludf.DUMMYFUNCTION("IFERROR(
  VLOOKUP(
    A13,
    IMPORTRANGE(
      ""1ZHMy3vVUd_0MrSduXTe1etBb1HNpAlGwQr006ljwMiM"",
      ""GSC最新!A:R""
    ),
    9,
    FALSE
  ),
  0
)
"),5.939295392953929)</f>
        <v>5.939295393</v>
      </c>
      <c r="AA13" s="65">
        <f>IFERROR(__xludf.DUMMYFUNCTION("IFERROR(
  VLOOKUP(
    A13,
    IMPORTRANGE(
      ""1ZHMy3vVUd_0MrSduXTe1etBb1HNpAlGwQr006ljwMiM"",
      ""GSC最新!A:R""
    ),
    12,
    FALSE
  ),
  0
)
"),5.897712993214375)</f>
        <v>5.897712993</v>
      </c>
      <c r="AB13" s="65">
        <f>IFERROR(__xludf.DUMMYFUNCTION("IFERROR(
  VLOOKUP(
    A13,
    IMPORTRANGE(
      ""1ZHMy3vVUd_0MrSduXTe1etBb1HNpAlGwQr006ljwMiM"",
      ""GSC最新!A:R""
    ),
    15,
    FALSE
  ),
  0
)
"),7.892690513219285)</f>
        <v>7.892690513</v>
      </c>
      <c r="AC13" s="65">
        <f>IFERROR(__xludf.DUMMYFUNCTION("IFERROR(
  VLOOKUP(
    A13,
    IMPORTRANGE(
      ""1ZHMy3vVUd_0MrSduXTe1etBb1HNpAlGwQr006ljwMiM"",
      ""GSC最新!A:R""
    ),
    18,
    FALSE
  ),
  0
)
"),8.025269807844168)</f>
        <v>8.025269808</v>
      </c>
      <c r="AD13" s="65">
        <f t="shared" ref="AD13:AE13" si="60">Z13-AB13</f>
        <v>-1.95339512</v>
      </c>
      <c r="AE13" s="65">
        <f t="shared" si="60"/>
        <v>-2.127556815</v>
      </c>
      <c r="AF13" s="53">
        <f>IFERROR(__xludf.DUMMYFUNCTION("IFERROR(
  VLOOKUP(
    A13,
    IMPORTRANGE(
      ""1ZHMy3vVUd_0MrSduXTe1etBb1HNpAlGwQr006ljwMiM"",
      ""GSC最新!A:F""
    ),
    6,
    FALSE
  ),
  0
)
"),46081.0)</f>
        <v>46081</v>
      </c>
      <c r="AG13" s="54">
        <f>IFERROR(__xludf.DUMMYFUNCTION("IFERROR(
  VLOOKUP(
    A13,
    IMPORTRANGE(
      ""1SCYQd7_cobOYqT0r_F0IqD4tE4rYn5y8Eup4PJTH8es"",
      ""Snapshot!A:M""
    ),
    5,
    FALSE
  ),
  ""-""
)
"),10.0)</f>
        <v>10</v>
      </c>
      <c r="AH13" s="54">
        <f>IFERROR(__xludf.DUMMYFUNCTION("IFERROR(
  VLOOKUP(
    A13,
    IMPORTRANGE(
      ""1SCYQd7_cobOYqT0r_F0IqD4tE4rYn5y8Eup4PJTH8es"",
      ""Snapshot!A:M""
    ),
    6,
    FALSE
  ),
  0
)
"),15.0)</f>
        <v>15</v>
      </c>
      <c r="AI13" s="54">
        <f>IFERROR(__xludf.DUMMYFUNCTION("IFERROR(
  VLOOKUP(
    A13,
    IMPORTRANGE(
      ""1SCYQd7_cobOYqT0r_F0IqD4tE4rYn5y8Eup4PJTH8es"",
      ""Snapshot!A:M""
    ),
    7,
    FALSE
  ),
  0
)
"),5975.0)</f>
        <v>5975</v>
      </c>
      <c r="AJ13" s="54">
        <f>IFERROR(__xludf.DUMMYFUNCTION("IFERROR(
  VLOOKUP(
    A13,
    IMPORTRANGE(
      ""1SCYQd7_cobOYqT0r_F0IqD4tE4rYn5y8Eup4PJTH8es"",
      ""Snapshot!A:M""
    ),
    8,
    FALSE
  ),
  0
)
"),8.0)</f>
        <v>8</v>
      </c>
      <c r="AK13" s="54">
        <f>IFERROR(__xludf.DUMMYFUNCTION("IFERROR(
  VLOOKUP(
    A13,
    IMPORTRANGE(
      ""1SCYQd7_cobOYqT0r_F0IqD4tE4rYn5y8Eup4PJTH8es"",
      ""Snapshot!A:M""
    ),
    9,
    FALSE
  ),
  0
)
"),7.0)</f>
        <v>7</v>
      </c>
      <c r="AL13" s="54">
        <f>IFERROR(__xludf.DUMMYFUNCTION("IFERROR(
  VLOOKUP(
    A13,
    IMPORTRANGE(
      ""1SCYQd7_cobOYqT0r_F0IqD4tE4rYn5y8Eup4PJTH8es"",
      ""Snapshot!A:M""
    ),
    13,
    FALSE
  ),
  0
)
"),2.0)</f>
        <v>2</v>
      </c>
    </row>
    <row r="14">
      <c r="A14" s="3" t="s">
        <v>278</v>
      </c>
      <c r="B14" s="1" t="str">
        <f>IFERROR(__xludf.DUMMYFUNCTION("IFERROR(
  VLOOKUP(
    A14,
    IMPORTRANGE(
      ""1ZygntHC1J6IxzKbTidmOyf5nUyW4GCLurHCjexrLm_o"",
      ""HTMLキャッシュ!A:F""
    ),
    2,
    FALSE
  ),
  0
)
"),"TP")</f>
        <v>TP</v>
      </c>
      <c r="C14" s="49">
        <f t="shared" ref="C14:D14" si="61">LEN(E14)</f>
        <v>30</v>
      </c>
      <c r="D14" s="49">
        <f t="shared" si="61"/>
        <v>74</v>
      </c>
      <c r="E14" s="1" t="str">
        <f>IFERROR(__xludf.DUMMYFUNCTION("IFERROR(
  VLOOKUP(
    A14,
    IMPORTRANGE(
      ""1ZygntHC1J6IxzKbTidmOyf5nUyW4GCLurHCjexrLm_o"",
      ""HTMLキャッシュ!A:F""
    ),
    5,
    FALSE
  ),
  0
)
"),"古典専門塾かきつばた｜古文・漢文の個別指導｜教室・オンライン")</f>
        <v>古典専門塾かきつばた｜古文・漢文の個別指導｜教室・オンライン</v>
      </c>
      <c r="F14" s="1" t="str">
        <f>IFERROR(__xludf.DUMMYFUNCTION("IFERROR(
  VLOOKUP(
    A14,
    IMPORTRANGE(
      ""1ZygntHC1J6IxzKbTidmOyf5nUyW4GCLurHCjexrLm_o        "",
      ""HTMLキャッシュ!A:F""
    ),
    6,
    FALSE
  ),
  0
)
"),"古典専門塾かきつばた。古文・漢文の完全1対1個別指導。定期試験から大学受験まで、教室・オンラインで現状に合わせて学習を進めます。トライアル相談対応。")</f>
        <v>古典専門塾かきつばた。古文・漢文の完全1対1個別指導。定期試験から大学受験まで、教室・オンラインで現状に合わせて学習を進めます。トライアル相談対応。</v>
      </c>
      <c r="G14" s="32">
        <f>IFERROR(__xludf.DUMMYFUNCTION("IFERROR(
  VLOOKUP(
    A14,
    IMPORTRANGE(
      ""1ZygntHC1J6IxzKbTidmOyf5nUyW4GCLurHCjexrLm_o        "",
      ""HTMLキャッシュ!A:F""
    ),
    3,
    FALSE
  ),
  0
)
"),46078.67386574074)</f>
        <v>46078.67387</v>
      </c>
      <c r="H14" s="49">
        <f>IFERROR(__xludf.DUMMYFUNCTION("IFERROR(
  VLOOKUP(
    A14,
    IMPORTRANGE(
      ""1ZHMy3vVUd_0MrSduXTe1etBb1HNpAlGwQr006ljwMiM"",
      ""GSC最新!A:F""
    ),
    2,
    FALSE
  ),
  0
)
"),61.0)</f>
        <v>61</v>
      </c>
      <c r="I14" s="49">
        <f>IFERROR(__xludf.DUMMYFUNCTION("IFERROR(
  VLOOKUP(
    A14,
    IMPORTRANGE(
      ""1ZHMy3vVUd_0MrSduXTe1etBb1HNpAlGwQr006ljwMiM"",
      ""GSC最新!A:F""
    ),
    3,
    FALSE
  ),
  0
)
"),231.0)</f>
        <v>231</v>
      </c>
      <c r="J14" s="49">
        <f>IFERROR(__xludf.DUMMYFUNCTION("IFERROR(
  VLOOKUP(
    A14,
    IMPORTRANGE(
      ""1ZHMy3vVUd_0MrSduXTe1etBb1HNpAlGwQr006ljwMiM"",
      ""GSC最新!A:F""
    ),
    4,
    FALSE
  ),
  0
)
"),67.0)</f>
        <v>67</v>
      </c>
      <c r="K14" s="49">
        <f>IFERROR(__xludf.DUMMYFUNCTION("IFERROR(
  VLOOKUP(
    A14,
    IMPORTRANGE(
      ""1ZHMy3vVUd_0MrSduXTe1etBb1HNpAlGwQr006ljwMiM"",
      ""GSC最新!A:F""
    ),
    5,
    FALSE
  ),
  0
)
"),179.0)</f>
        <v>179</v>
      </c>
      <c r="L14" s="50">
        <f t="shared" ref="L14:M14" si="62">IFERROR(H14/J14,"-")</f>
        <v>0.9104477612</v>
      </c>
      <c r="M14" s="50">
        <f t="shared" si="62"/>
        <v>1.290502793</v>
      </c>
      <c r="N14" s="6">
        <f>IFERROR(__xludf.DUMMYFUNCTION("IFERROR(
  VLOOKUP(
    A14,
    IMPORTRANGE(
      ""1ZHMy3vVUd_0MrSduXTe1etBb1HNpAlGwQr006ljwMiM"",
      ""GSC最新!A:R""
    ),
    7,
    FALSE
  ),
  0
)
"),959.0)</f>
        <v>959</v>
      </c>
      <c r="O14" s="6">
        <f>IFERROR(__xludf.DUMMYFUNCTION("IFERROR(
  VLOOKUP(
    A14,
    IMPORTRANGE(
      ""1ZHMy3vVUd_0MrSduXTe1etBb1HNpAlGwQr006ljwMiM"",
      ""GSC最新!A:R""
    ),
    10,
    FALSE
  ),
  0
)
"),2677.0)</f>
        <v>2677</v>
      </c>
      <c r="P14" s="6">
        <f>IFERROR(__xludf.DUMMYFUNCTION("IFERROR(
  VLOOKUP(
    A14,
    IMPORTRANGE(
      ""1ZHMy3vVUd_0MrSduXTe1etBb1HNpAlGwQr006ljwMiM"",
      ""GSC最新!A:R""
    ),
    13,
    FALSE
  ),
  0
)
"),808.0)</f>
        <v>808</v>
      </c>
      <c r="Q14" s="6">
        <f>IFERROR(__xludf.DUMMYFUNCTION("IFERROR(
  VLOOKUP(
    A14,
    IMPORTRANGE(
      ""1ZHMy3vVUd_0MrSduXTe1etBb1HNpAlGwQr006ljwMiM"",
      ""GSC最新!A:R""
    ),
    16,
    FALSE
  ),
  0
)
"),2669.0)</f>
        <v>2669</v>
      </c>
      <c r="R14" s="51">
        <f t="shared" ref="R14:S14" si="63">IFERROR(N14/P14,"-")</f>
        <v>1.186881188</v>
      </c>
      <c r="S14" s="51">
        <f t="shared" si="63"/>
        <v>1.002997377</v>
      </c>
      <c r="T14" s="9">
        <f>IFERROR(__xludf.DUMMYFUNCTION("IFERROR(
  VLOOKUP(
    A14,
    IMPORTRANGE(
      ""1ZHMy3vVUd_0MrSduXTe1etBb1HNpAlGwQr006ljwMiM"",
      ""GSC最新!A:R""
    ),
    8,
    FALSE
  ),
  0
)
"),0.06360792492179354)</f>
        <v>0.06360792492</v>
      </c>
      <c r="U14" s="9">
        <f>IFERROR(__xludf.DUMMYFUNCTION("IFERROR(
  VLOOKUP(
    A14,
    IMPORTRANGE(
      ""1ZHMy3vVUd_0MrSduXTe1etBb1HNpAlGwQr006ljwMiM"",
      ""GSC最新!A:R""
    ),
    11,
    FALSE
  ),
  0
)
"),0.08629062383264849)</f>
        <v>0.08629062383</v>
      </c>
      <c r="V14" s="9">
        <f>IFERROR(__xludf.DUMMYFUNCTION("IFERROR(
  VLOOKUP(
    A14,
    IMPORTRANGE(
      ""1ZHMy3vVUd_0MrSduXTe1etBb1HNpAlGwQr006ljwMiM"",
      ""GSC最新!A:R""
    ),
    14,
    FALSE
  ),
  0
)
"),0.08292079207920793)</f>
        <v>0.08292079208</v>
      </c>
      <c r="W14" s="9">
        <f>IFERROR(__xludf.DUMMYFUNCTION("IFERROR(
  VLOOKUP(
    A14,
    IMPORTRANGE(
      ""1ZHMy3vVUd_0MrSduXTe1etBb1HNpAlGwQr006ljwMiM"",
      ""GSC最新!A:R""
    ),
    17,
    FALSE
  ),
  0
)
"),0.06706631697264893)</f>
        <v>0.06706631697</v>
      </c>
      <c r="X14" s="9">
        <f t="shared" ref="X14:Y14" si="64">IFERROR(T14-V14,"-")</f>
        <v>-0.01931286716</v>
      </c>
      <c r="Y14" s="9">
        <f t="shared" si="64"/>
        <v>0.01922430686</v>
      </c>
      <c r="Z14" s="65">
        <f>IFERROR(__xludf.DUMMYFUNCTION("IFERROR(
  VLOOKUP(
    A14,
    IMPORTRANGE(
      ""1ZHMy3vVUd_0MrSduXTe1etBb1HNpAlGwQr006ljwMiM"",
      ""GSC最新!A:R""
    ),
    9,
    FALSE
  ),
  0
)
"),6.122002085505735)</f>
        <v>6.122002086</v>
      </c>
      <c r="AA14" s="65">
        <f>IFERROR(__xludf.DUMMYFUNCTION("IFERROR(
  VLOOKUP(
    A14,
    IMPORTRANGE(
      ""1ZHMy3vVUd_0MrSduXTe1etBb1HNpAlGwQr006ljwMiM"",
      ""GSC最新!A:R""
    ),
    12,
    FALSE
  ),
  0
)
"),5.264475158759805)</f>
        <v>5.264475159</v>
      </c>
      <c r="AB14" s="65">
        <f>IFERROR(__xludf.DUMMYFUNCTION("IFERROR(
  VLOOKUP(
    A14,
    IMPORTRANGE(
      ""1ZHMy3vVUd_0MrSduXTe1etBb1HNpAlGwQr006ljwMiM"",
      ""GSC最新!A:R""
    ),
    15,
    FALSE
  ),
  0
)
"),5.301980198019802)</f>
        <v>5.301980198</v>
      </c>
      <c r="AC14" s="65">
        <f>IFERROR(__xludf.DUMMYFUNCTION("IFERROR(
  VLOOKUP(
    A14,
    IMPORTRANGE(
      ""1ZHMy3vVUd_0MrSduXTe1etBb1HNpAlGwQr006ljwMiM"",
      ""GSC最新!A:R""
    ),
    18,
    FALSE
  ),
  0
)
"),7.1225177969276885)</f>
        <v>7.122517797</v>
      </c>
      <c r="AD14" s="65">
        <f t="shared" ref="AD14:AE14" si="65">Z14-AB14</f>
        <v>0.8200218875</v>
      </c>
      <c r="AE14" s="65">
        <f t="shared" si="65"/>
        <v>-1.858042638</v>
      </c>
      <c r="AF14" s="53">
        <f>IFERROR(__xludf.DUMMYFUNCTION("IFERROR(
  VLOOKUP(
    A14,
    IMPORTRANGE(
      ""1ZHMy3vVUd_0MrSduXTe1etBb1HNpAlGwQr006ljwMiM"",
      ""GSC最新!A:F""
    ),
    6,
    FALSE
  ),
  0
)
"),46081.0)</f>
        <v>46081</v>
      </c>
      <c r="AG14" s="54">
        <f>IFERROR(__xludf.DUMMYFUNCTION("IFERROR(
  VLOOKUP(
    A14,
    IMPORTRANGE(
      ""1SCYQd7_cobOYqT0r_F0IqD4tE4rYn5y8Eup4PJTH8es"",
      ""Snapshot!A:M""
    ),
    5,
    FALSE
  ),
  ""-""
)
"),9.0)</f>
        <v>9</v>
      </c>
      <c r="AH14" s="54">
        <f>IFERROR(__xludf.DUMMYFUNCTION("IFERROR(
  VLOOKUP(
    A14,
    IMPORTRANGE(
      ""1SCYQd7_cobOYqT0r_F0IqD4tE4rYn5y8Eup4PJTH8es"",
      ""Snapshot!A:M""
    ),
    6,
    FALSE
  ),
  0
)
"),3.0)</f>
        <v>3</v>
      </c>
      <c r="AI14" s="54">
        <f>IFERROR(__xludf.DUMMYFUNCTION("IFERROR(
  VLOOKUP(
    A14,
    IMPORTRANGE(
      ""1SCYQd7_cobOYqT0r_F0IqD4tE4rYn5y8Eup4PJTH8es"",
      ""Snapshot!A:M""
    ),
    7,
    FALSE
  ),
  0
)
"),2356.0)</f>
        <v>2356</v>
      </c>
      <c r="AJ14" s="54">
        <f>IFERROR(__xludf.DUMMYFUNCTION("IFERROR(
  VLOOKUP(
    A14,
    IMPORTRANGE(
      ""1SCYQd7_cobOYqT0r_F0IqD4tE4rYn5y8Eup4PJTH8es"",
      ""Snapshot!A:M""
    ),
    8,
    FALSE
  ),
  0
)
"),12.0)</f>
        <v>12</v>
      </c>
      <c r="AK14" s="54">
        <f>IFERROR(__xludf.DUMMYFUNCTION("IFERROR(
  VLOOKUP(
    A14,
    IMPORTRANGE(
      ""1SCYQd7_cobOYqT0r_F0IqD4tE4rYn5y8Eup4PJTH8es"",
      ""Snapshot!A:M""
    ),
    9,
    FALSE
  ),
  0
)
"),4.0)</f>
        <v>4</v>
      </c>
      <c r="AL14" s="54">
        <f>IFERROR(__xludf.DUMMYFUNCTION("IFERROR(
  VLOOKUP(
    A14,
    IMPORTRANGE(
      ""1SCYQd7_cobOYqT0r_F0IqD4tE4rYn5y8Eup4PJTH8es"",
      ""Snapshot!A:M""
    ),
    13,
    FALSE
  ),
  0
)
"),1.0)</f>
        <v>1</v>
      </c>
    </row>
    <row r="15">
      <c r="A15" s="3" t="s">
        <v>903</v>
      </c>
      <c r="B15" s="1" t="str">
        <f>IFERROR(__xludf.DUMMYFUNCTION("IFERROR(
  VLOOKUP(
    A15,
    IMPORTRANGE(
      ""1ZygntHC1J6IxzKbTidmOyf5nUyW4GCLurHCjexrLm_o"",
      ""HTMLキャッシュ!A:F""
    ),
    2,
    FALSE
  ),
  0
)
"),"MC")</f>
        <v>MC</v>
      </c>
      <c r="C15" s="49">
        <f t="shared" ref="C15:D15" si="66">LEN(E15)</f>
        <v>29</v>
      </c>
      <c r="D15" s="49">
        <f t="shared" si="66"/>
        <v>77</v>
      </c>
      <c r="E15" s="1" t="str">
        <f>IFERROR(__xludf.DUMMYFUNCTION("IFERROR(
  VLOOKUP(
    A15,
    IMPORTRANGE(
      ""1ZygntHC1J6IxzKbTidmOyf5nUyW4GCLurHCjexrLm_o"",
      ""HTMLキャッシュ!A:F""
    ),
    5,
    FALSE
  ),
  0
)
"),"内裏とは｜読み方・意味・大内裏との違いを図で理解｜高校古文")</f>
        <v>内裏とは｜読み方・意味・大内裏との違いを図で理解｜高校古文</v>
      </c>
      <c r="F15" s="1" t="str">
        <f>IFERROR(__xludf.DUMMYFUNCTION("IFERROR(
  VLOOKUP(
    A15,
    IMPORTRANGE(
      ""1ZygntHC1J6IxzKbTidmOyf5nUyW4GCLurHCjexrLm_o        "",
      ""HTMLキャッシュ!A:F""
    ),
    6,
    FALSE
  ),
  0
)
"),"内裏（だいり）と大内裏（だいだいり）の違いを、読み方・意味・位置関係で整理。紫宸殿・清涼殿・後宮、左近の桜右近の橘まで図と動画で学べる高校古文の古典常識。")</f>
        <v>内裏（だいり）と大内裏（だいだいり）の違いを、読み方・意味・位置関係で整理。紫宸殿・清涼殿・後宮、左近の桜右近の橘まで図と動画で学べる高校古文の古典常識。</v>
      </c>
      <c r="G15" s="32">
        <f>IFERROR(__xludf.DUMMYFUNCTION("IFERROR(
  VLOOKUP(
    A15,
    IMPORTRANGE(
      ""1ZygntHC1J6IxzKbTidmOyf5nUyW4GCLurHCjexrLm_o        "",
      ""HTMLキャッシュ!A:F""
    ),
    3,
    FALSE
  ),
  0
)
"),46078.67748842593)</f>
        <v>46078.67749</v>
      </c>
      <c r="H15" s="49">
        <f>IFERROR(__xludf.DUMMYFUNCTION("IFERROR(
  VLOOKUP(
    A15,
    IMPORTRANGE(
      ""1ZHMy3vVUd_0MrSduXTe1etBb1HNpAlGwQr006ljwMiM"",
      ""GSC最新!A:F""
    ),
    2,
    FALSE
  ),
  0
)
"),58.0)</f>
        <v>58</v>
      </c>
      <c r="I15" s="49">
        <f>IFERROR(__xludf.DUMMYFUNCTION("IFERROR(
  VLOOKUP(
    A15,
    IMPORTRANGE(
      ""1ZHMy3vVUd_0MrSduXTe1etBb1HNpAlGwQr006ljwMiM"",
      ""GSC最新!A:F""
    ),
    3,
    FALSE
  ),
  0
)
"),224.0)</f>
        <v>224</v>
      </c>
      <c r="J15" s="49">
        <f>IFERROR(__xludf.DUMMYFUNCTION("IFERROR(
  VLOOKUP(
    A15,
    IMPORTRANGE(
      ""1ZHMy3vVUd_0MrSduXTe1etBb1HNpAlGwQr006ljwMiM"",
      ""GSC最新!A:F""
    ),
    4,
    FALSE
  ),
  0
)
"),50.0)</f>
        <v>50</v>
      </c>
      <c r="K15" s="49">
        <f>IFERROR(__xludf.DUMMYFUNCTION("IFERROR(
  VLOOKUP(
    A15,
    IMPORTRANGE(
      ""1ZHMy3vVUd_0MrSduXTe1etBb1HNpAlGwQr006ljwMiM"",
      ""GSC最新!A:F""
    ),
    5,
    FALSE
  ),
  0
)
"),240.0)</f>
        <v>240</v>
      </c>
      <c r="L15" s="50">
        <f t="shared" ref="L15:M15" si="67">IFERROR(H15/J15,"-")</f>
        <v>1.16</v>
      </c>
      <c r="M15" s="50">
        <f t="shared" si="67"/>
        <v>0.9333333333</v>
      </c>
      <c r="N15" s="6">
        <f>IFERROR(__xludf.DUMMYFUNCTION("IFERROR(
  VLOOKUP(
    A15,
    IMPORTRANGE(
      ""1ZHMy3vVUd_0MrSduXTe1etBb1HNpAlGwQr006ljwMiM"",
      ""GSC最新!A:R""
    ),
    7,
    FALSE
  ),
  0
)
"),11251.0)</f>
        <v>11251</v>
      </c>
      <c r="O15" s="6">
        <f>IFERROR(__xludf.DUMMYFUNCTION("IFERROR(
  VLOOKUP(
    A15,
    IMPORTRANGE(
      ""1ZHMy3vVUd_0MrSduXTe1etBb1HNpAlGwQr006ljwMiM"",
      ""GSC最新!A:R""
    ),
    10,
    FALSE
  ),
  0
)
"),33497.0)</f>
        <v>33497</v>
      </c>
      <c r="P15" s="6">
        <f>IFERROR(__xludf.DUMMYFUNCTION("IFERROR(
  VLOOKUP(
    A15,
    IMPORTRANGE(
      ""1ZHMy3vVUd_0MrSduXTe1etBb1HNpAlGwQr006ljwMiM"",
      ""GSC最新!A:R""
    ),
    13,
    FALSE
  ),
  0
)
"),6886.0)</f>
        <v>6886</v>
      </c>
      <c r="Q15" s="6">
        <f>IFERROR(__xludf.DUMMYFUNCTION("IFERROR(
  VLOOKUP(
    A15,
    IMPORTRANGE(
      ""1ZHMy3vVUd_0MrSduXTe1etBb1HNpAlGwQr006ljwMiM"",
      ""GSC最新!A:R""
    ),
    16,
    FALSE
  ),
  0
)
"),22100.0)</f>
        <v>22100</v>
      </c>
      <c r="R15" s="51">
        <f t="shared" ref="R15:S15" si="68">IFERROR(N15/P15,"-")</f>
        <v>1.633894859</v>
      </c>
      <c r="S15" s="51">
        <f t="shared" si="68"/>
        <v>1.515701357</v>
      </c>
      <c r="T15" s="9">
        <f>IFERROR(__xludf.DUMMYFUNCTION("IFERROR(
  VLOOKUP(
    A15,
    IMPORTRANGE(
      ""1ZHMy3vVUd_0MrSduXTe1etBb1HNpAlGwQr006ljwMiM"",
      ""GSC最新!A:R""
    ),
    8,
    FALSE
  ),
  0
)
"),0.005155097324682251)</f>
        <v>0.005155097325</v>
      </c>
      <c r="U15" s="9">
        <f>IFERROR(__xludf.DUMMYFUNCTION("IFERROR(
  VLOOKUP(
    A15,
    IMPORTRANGE(
      ""1ZHMy3vVUd_0MrSduXTe1etBb1HNpAlGwQr006ljwMiM"",
      ""GSC最新!A:R""
    ),
    11,
    FALSE
  ),
  0
)
"),0.006687166014867003)</f>
        <v>0.006687166015</v>
      </c>
      <c r="V15" s="9">
        <f>IFERROR(__xludf.DUMMYFUNCTION("IFERROR(
  VLOOKUP(
    A15,
    IMPORTRANGE(
      ""1ZHMy3vVUd_0MrSduXTe1etBb1HNpAlGwQr006ljwMiM"",
      ""GSC最新!A:R""
    ),
    14,
    FALSE
  ),
  0
)
"),0.007261109497531223)</f>
        <v>0.007261109498</v>
      </c>
      <c r="W15" s="9">
        <f>IFERROR(__xludf.DUMMYFUNCTION("IFERROR(
  VLOOKUP(
    A15,
    IMPORTRANGE(
      ""1ZHMy3vVUd_0MrSduXTe1etBb1HNpAlGwQr006ljwMiM"",
      ""GSC最新!A:R""
    ),
    17,
    FALSE
  ),
  0
)
"),0.01085972850678733)</f>
        <v>0.01085972851</v>
      </c>
      <c r="X15" s="9">
        <f t="shared" ref="X15:Y15" si="69">IFERROR(T15-V15,"-")</f>
        <v>-0.002106012173</v>
      </c>
      <c r="Y15" s="9">
        <f t="shared" si="69"/>
        <v>-0.004172562492</v>
      </c>
      <c r="Z15" s="65">
        <f>IFERROR(__xludf.DUMMYFUNCTION("IFERROR(
  VLOOKUP(
    A15,
    IMPORTRANGE(
      ""1ZHMy3vVUd_0MrSduXTe1etBb1HNpAlGwQr006ljwMiM"",
      ""GSC最新!A:R""
    ),
    9,
    FALSE
  ),
  0
)
"),3.319260510176873)</f>
        <v>3.31926051</v>
      </c>
      <c r="AA15" s="65">
        <f>IFERROR(__xludf.DUMMYFUNCTION("IFERROR(
  VLOOKUP(
    A15,
    IMPORTRANGE(
      ""1ZHMy3vVUd_0MrSduXTe1etBb1HNpAlGwQr006ljwMiM"",
      ""GSC最新!A:R""
    ),
    12,
    FALSE
  ),
  0
)
"),3.893811386094277)</f>
        <v>3.893811386</v>
      </c>
      <c r="AB15" s="65">
        <f>IFERROR(__xludf.DUMMYFUNCTION("IFERROR(
  VLOOKUP(
    A15,
    IMPORTRANGE(
      ""1ZHMy3vVUd_0MrSduXTe1etBb1HNpAlGwQr006ljwMiM"",
      ""GSC最新!A:R""
    ),
    15,
    FALSE
  ),
  0
)
"),7.799302933488237)</f>
        <v>7.799302933</v>
      </c>
      <c r="AC15" s="65">
        <f>IFERROR(__xludf.DUMMYFUNCTION("IFERROR(
  VLOOKUP(
    A15,
    IMPORTRANGE(
      ""1ZHMy3vVUd_0MrSduXTe1etBb1HNpAlGwQr006ljwMiM"",
      ""GSC最新!A:R""
    ),
    18,
    FALSE
  ),
  0
)
"),7.379321266968326)</f>
        <v>7.379321267</v>
      </c>
      <c r="AD15" s="65">
        <f t="shared" ref="AD15:AE15" si="70">Z15-AB15</f>
        <v>-4.480042423</v>
      </c>
      <c r="AE15" s="65">
        <f t="shared" si="70"/>
        <v>-3.485509881</v>
      </c>
      <c r="AF15" s="53">
        <f>IFERROR(__xludf.DUMMYFUNCTION("IFERROR(
  VLOOKUP(
    A15,
    IMPORTRANGE(
      ""1ZHMy3vVUd_0MrSduXTe1etBb1HNpAlGwQr006ljwMiM"",
      ""GSC最新!A:F""
    ),
    6,
    FALSE
  ),
  0
)
"),46081.0)</f>
        <v>46081</v>
      </c>
      <c r="AG15" s="54">
        <f>IFERROR(__xludf.DUMMYFUNCTION("IFERROR(
  VLOOKUP(
    A15,
    IMPORTRANGE(
      ""1SCYQd7_cobOYqT0r_F0IqD4tE4rYn5y8Eup4PJTH8es"",
      ""Snapshot!A:M""
    ),
    5,
    FALSE
  ),
  ""-""
)
"),10.0)</f>
        <v>10</v>
      </c>
      <c r="AH15" s="54">
        <f>IFERROR(__xludf.DUMMYFUNCTION("IFERROR(
  VLOOKUP(
    A15,
    IMPORTRANGE(
      ""1SCYQd7_cobOYqT0r_F0IqD4tE4rYn5y8Eup4PJTH8es"",
      ""Snapshot!A:M""
    ),
    6,
    FALSE
  ),
  0
)
"),2.0)</f>
        <v>2</v>
      </c>
      <c r="AI15" s="54">
        <f>IFERROR(__xludf.DUMMYFUNCTION("IFERROR(
  VLOOKUP(
    A15,
    IMPORTRANGE(
      ""1SCYQd7_cobOYqT0r_F0IqD4tE4rYn5y8Eup4PJTH8es"",
      ""Snapshot!A:M""
    ),
    7,
    FALSE
  ),
  0
)
"),3665.0)</f>
        <v>3665</v>
      </c>
      <c r="AJ15" s="54">
        <f>IFERROR(__xludf.DUMMYFUNCTION("IFERROR(
  VLOOKUP(
    A15,
    IMPORTRANGE(
      ""1SCYQd7_cobOYqT0r_F0IqD4tE4rYn5y8Eup4PJTH8es"",
      ""Snapshot!A:M""
    ),
    8,
    FALSE
  ),
  0
)
"),2.0)</f>
        <v>2</v>
      </c>
      <c r="AK15" s="54">
        <f>IFERROR(__xludf.DUMMYFUNCTION("IFERROR(
  VLOOKUP(
    A15,
    IMPORTRANGE(
      ""1SCYQd7_cobOYqT0r_F0IqD4tE4rYn5y8Eup4PJTH8es"",
      ""Snapshot!A:M""
    ),
    9,
    FALSE
  ),
  0
)
"),2.0)</f>
        <v>2</v>
      </c>
      <c r="AL15" s="54">
        <f>IFERROR(__xludf.DUMMYFUNCTION("IFERROR(
  VLOOKUP(
    A15,
    IMPORTRANGE(
      ""1SCYQd7_cobOYqT0r_F0IqD4tE4rYn5y8Eup4PJTH8es"",
      ""Snapshot!A:M""
    ),
    13,
    FALSE
  ),
  0
)
"),2.0)</f>
        <v>2</v>
      </c>
    </row>
    <row r="16">
      <c r="A16" s="3" t="s">
        <v>904</v>
      </c>
      <c r="B16" s="1" t="str">
        <f>IFERROR(__xludf.DUMMYFUNCTION("IFERROR(
  VLOOKUP(
    A16,
    IMPORTRANGE(
      ""1ZygntHC1J6IxzKbTidmOyf5nUyW4GCLurHCjexrLm_o"",
      ""HTMLキャッシュ!A:F""
    ),
    2,
    FALSE
  ),
  0
)
"),"MC")</f>
        <v>MC</v>
      </c>
      <c r="C16" s="49">
        <f t="shared" ref="C16:D16" si="71">LEN(E16)</f>
        <v>27</v>
      </c>
      <c r="D16" s="49">
        <f t="shared" si="71"/>
        <v>69</v>
      </c>
      <c r="E16" s="1" t="str">
        <f>IFERROR(__xludf.DUMMYFUNCTION("IFERROR(
  VLOOKUP(
    A16,
    IMPORTRANGE(
      ""1ZygntHC1J6IxzKbTidmOyf5nUyW4GCLurHCjexrLm_o"",
      ""HTMLキャッシュ!A:F""
    ),
    5,
    FALSE
  ),
  0
)
"),"古文・漢文の現代語訳手順｜主語と指示語の確定｜東大国語")</f>
        <v>古文・漢文の現代語訳手順｜主語と指示語の確定｜東大国語</v>
      </c>
      <c r="F16" s="1" t="str">
        <f>IFERROR(__xludf.DUMMYFUNCTION("IFERROR(
  VLOOKUP(
    A16,
    IMPORTRANGE(
      ""1ZygntHC1J6IxzKbTidmOyf5nUyW4GCLurHCjexrLm_o        "",
      ""HTMLキャッシュ!A:F""
    ),
    6,
    FALSE
  ),
  0
)
"),"東大古文・漢文の現代語訳と記述で失点しやすい主語・指示語の確定手順を整理。逐語訳ベースで固め、条件付き現代語訳の条件を落とさず点に変える。")</f>
        <v>東大古文・漢文の現代語訳と記述で失点しやすい主語・指示語の確定手順を整理。逐語訳ベースで固め、条件付き現代語訳の条件を落とさず点に変える。</v>
      </c>
      <c r="G16" s="32">
        <f>IFERROR(__xludf.DUMMYFUNCTION("IFERROR(
  VLOOKUP(
    A16,
    IMPORTRANGE(
      ""1ZygntHC1J6IxzKbTidmOyf5nUyW4GCLurHCjexrLm_o        "",
      ""HTMLキャッシュ!A:F""
    ),
    3,
    FALSE
  ),
  0
)
"),46059.83840277778)</f>
        <v>46059.8384</v>
      </c>
      <c r="H16" s="49">
        <f>IFERROR(__xludf.DUMMYFUNCTION("IFERROR(
  VLOOKUP(
    A16,
    IMPORTRANGE(
      ""1ZHMy3vVUd_0MrSduXTe1etBb1HNpAlGwQr006ljwMiM"",
      ""GSC最新!A:F""
    ),
    2,
    FALSE
  ),
  0
)
"),115.0)</f>
        <v>115</v>
      </c>
      <c r="I16" s="49">
        <f>IFERROR(__xludf.DUMMYFUNCTION("IFERROR(
  VLOOKUP(
    A16,
    IMPORTRANGE(
      ""1ZHMy3vVUd_0MrSduXTe1etBb1HNpAlGwQr006ljwMiM"",
      ""GSC最新!A:F""
    ),
    3,
    FALSE
  ),
  0
)
"),236.0)</f>
        <v>236</v>
      </c>
      <c r="J16" s="49">
        <f>IFERROR(__xludf.DUMMYFUNCTION("IFERROR(
  VLOOKUP(
    A16,
    IMPORTRANGE(
      ""1ZHMy3vVUd_0MrSduXTe1etBb1HNpAlGwQr006ljwMiM"",
      ""GSC最新!A:F""
    ),
    4,
    FALSE
  ),
  0
)
"),41.0)</f>
        <v>41</v>
      </c>
      <c r="K16" s="49">
        <f>IFERROR(__xludf.DUMMYFUNCTION("IFERROR(
  VLOOKUP(
    A16,
    IMPORTRANGE(
      ""1ZHMy3vVUd_0MrSduXTe1etBb1HNpAlGwQr006ljwMiM"",
      ""GSC最新!A:F""
    ),
    5,
    FALSE
  ),
  0
)
"),81.0)</f>
        <v>81</v>
      </c>
      <c r="L16" s="50">
        <f t="shared" ref="L16:M16" si="72">IFERROR(H16/J16,"-")</f>
        <v>2.804878049</v>
      </c>
      <c r="M16" s="50">
        <f t="shared" si="72"/>
        <v>2.913580247</v>
      </c>
      <c r="N16" s="6">
        <f>IFERROR(__xludf.DUMMYFUNCTION("IFERROR(
  VLOOKUP(
    A16,
    IMPORTRANGE(
      ""1ZHMy3vVUd_0MrSduXTe1etBb1HNpAlGwQr006ljwMiM"",
      ""GSC最新!A:R""
    ),
    7,
    FALSE
  ),
  0
)
"),5884.0)</f>
        <v>5884</v>
      </c>
      <c r="O16" s="6">
        <f>IFERROR(__xludf.DUMMYFUNCTION("IFERROR(
  VLOOKUP(
    A16,
    IMPORTRANGE(
      ""1ZHMy3vVUd_0MrSduXTe1etBb1HNpAlGwQr006ljwMiM"",
      ""GSC最新!A:R""
    ),
    10,
    FALSE
  ),
  0
)
"),12331.0)</f>
        <v>12331</v>
      </c>
      <c r="P16" s="6">
        <f>IFERROR(__xludf.DUMMYFUNCTION("IFERROR(
  VLOOKUP(
    A16,
    IMPORTRANGE(
      ""1ZHMy3vVUd_0MrSduXTe1etBb1HNpAlGwQr006ljwMiM"",
      ""GSC最新!A:R""
    ),
    13,
    FALSE
  ),
  0
)
"),838.0)</f>
        <v>838</v>
      </c>
      <c r="Q16" s="6">
        <f>IFERROR(__xludf.DUMMYFUNCTION("IFERROR(
  VLOOKUP(
    A16,
    IMPORTRANGE(
      ""1ZHMy3vVUd_0MrSduXTe1etBb1HNpAlGwQr006ljwMiM"",
      ""GSC最新!A:R""
    ),
    16,
    FALSE
  ),
  0
)
"),2058.0)</f>
        <v>2058</v>
      </c>
      <c r="R16" s="51">
        <f t="shared" ref="R16:S16" si="73">IFERROR(N16/P16,"-")</f>
        <v>7.021479714</v>
      </c>
      <c r="S16" s="51">
        <f t="shared" si="73"/>
        <v>5.991739553</v>
      </c>
      <c r="T16" s="9">
        <f>IFERROR(__xludf.DUMMYFUNCTION("IFERROR(
  VLOOKUP(
    A16,
    IMPORTRANGE(
      ""1ZHMy3vVUd_0MrSduXTe1etBb1HNpAlGwQr006ljwMiM"",
      ""GSC最新!A:R""
    ),
    8,
    FALSE
  ),
  0
)
"),0.019544527532290957)</f>
        <v>0.01954452753</v>
      </c>
      <c r="U16" s="9">
        <f>IFERROR(__xludf.DUMMYFUNCTION("IFERROR(
  VLOOKUP(
    A16,
    IMPORTRANGE(
      ""1ZHMy3vVUd_0MrSduXTe1etBb1HNpAlGwQr006ljwMiM"",
      ""GSC最新!A:R""
    ),
    11,
    FALSE
  ),
  0
)
"),0.019138755980861243)</f>
        <v>0.01913875598</v>
      </c>
      <c r="V16" s="9">
        <f>IFERROR(__xludf.DUMMYFUNCTION("IFERROR(
  VLOOKUP(
    A16,
    IMPORTRANGE(
      ""1ZHMy3vVUd_0MrSduXTe1etBb1HNpAlGwQr006ljwMiM"",
      ""GSC最新!A:R""
    ),
    14,
    FALSE
  ),
  0
)
"),0.04892601431980907)</f>
        <v>0.04892601432</v>
      </c>
      <c r="W16" s="9">
        <f>IFERROR(__xludf.DUMMYFUNCTION("IFERROR(
  VLOOKUP(
    A16,
    IMPORTRANGE(
      ""1ZHMy3vVUd_0MrSduXTe1etBb1HNpAlGwQr006ljwMiM"",
      ""GSC最新!A:R""
    ),
    17,
    FALSE
  ),
  0
)
"),0.03935860058309038)</f>
        <v>0.03935860058</v>
      </c>
      <c r="X16" s="9">
        <f t="shared" ref="X16:Y16" si="74">IFERROR(T16-V16,"-")</f>
        <v>-0.02938148679</v>
      </c>
      <c r="Y16" s="9">
        <f t="shared" si="74"/>
        <v>-0.0202198446</v>
      </c>
      <c r="Z16" s="65">
        <f>IFERROR(__xludf.DUMMYFUNCTION("IFERROR(
  VLOOKUP(
    A16,
    IMPORTRANGE(
      ""1ZHMy3vVUd_0MrSduXTe1etBb1HNpAlGwQr006ljwMiM"",
      ""GSC最新!A:R""
    ),
    9,
    FALSE
  ),
  0
)
"),6.513426240652617)</f>
        <v>6.513426241</v>
      </c>
      <c r="AA16" s="65">
        <f>IFERROR(__xludf.DUMMYFUNCTION("IFERROR(
  VLOOKUP(
    A16,
    IMPORTRANGE(
      ""1ZHMy3vVUd_0MrSduXTe1etBb1HNpAlGwQr006ljwMiM"",
      ""GSC最新!A:R""
    ),
    12,
    FALSE
  ),
  0
)
"),6.432892709431514)</f>
        <v>6.432892709</v>
      </c>
      <c r="AB16" s="65">
        <f>IFERROR(__xludf.DUMMYFUNCTION("IFERROR(
  VLOOKUP(
    A16,
    IMPORTRANGE(
      ""1ZHMy3vVUd_0MrSduXTe1etBb1HNpAlGwQr006ljwMiM"",
      ""GSC最新!A:R""
    ),
    15,
    FALSE
  ),
  0
)
"),9.236276849642005)</f>
        <v>9.23627685</v>
      </c>
      <c r="AC16" s="65">
        <f>IFERROR(__xludf.DUMMYFUNCTION("IFERROR(
  VLOOKUP(
    A16,
    IMPORTRANGE(
      ""1ZHMy3vVUd_0MrSduXTe1etBb1HNpAlGwQr006ljwMiM"",
      ""GSC最新!A:R""
    ),
    18,
    FALSE
  ),
  0
)
"),12.1977648202138)</f>
        <v>12.19776482</v>
      </c>
      <c r="AD16" s="65">
        <f t="shared" ref="AD16:AE16" si="75">Z16-AB16</f>
        <v>-2.722850609</v>
      </c>
      <c r="AE16" s="65">
        <f t="shared" si="75"/>
        <v>-5.764872111</v>
      </c>
      <c r="AF16" s="53">
        <f>IFERROR(__xludf.DUMMYFUNCTION("IFERROR(
  VLOOKUP(
    A16,
    IMPORTRANGE(
      ""1ZHMy3vVUd_0MrSduXTe1etBb1HNpAlGwQr006ljwMiM"",
      ""GSC最新!A:F""
    ),
    6,
    FALSE
  ),
  0
)
"),46081.0)</f>
        <v>46081</v>
      </c>
      <c r="AG16" s="54">
        <f>IFERROR(__xludf.DUMMYFUNCTION("IFERROR(
  VLOOKUP(
    A16,
    IMPORTRANGE(
      ""1SCYQd7_cobOYqT0r_F0IqD4tE4rYn5y8Eup4PJTH8es"",
      ""Snapshot!A:M""
    ),
    5,
    FALSE
  ),
  ""-""
)
"),9.0)</f>
        <v>9</v>
      </c>
      <c r="AH16" s="54">
        <f>IFERROR(__xludf.DUMMYFUNCTION("IFERROR(
  VLOOKUP(
    A16,
    IMPORTRANGE(
      ""1SCYQd7_cobOYqT0r_F0IqD4tE4rYn5y8Eup4PJTH8es"",
      ""Snapshot!A:M""
    ),
    6,
    FALSE
  ),
  0
)
"),4.0)</f>
        <v>4</v>
      </c>
      <c r="AI16" s="54">
        <f>IFERROR(__xludf.DUMMYFUNCTION("IFERROR(
  VLOOKUP(
    A16,
    IMPORTRANGE(
      ""1SCYQd7_cobOYqT0r_F0IqD4tE4rYn5y8Eup4PJTH8es"",
      ""Snapshot!A:M""
    ),
    7,
    FALSE
  ),
  0
)
"),4799.0)</f>
        <v>4799</v>
      </c>
      <c r="AJ16" s="54">
        <f>IFERROR(__xludf.DUMMYFUNCTION("IFERROR(
  VLOOKUP(
    A16,
    IMPORTRANGE(
      ""1SCYQd7_cobOYqT0r_F0IqD4tE4rYn5y8Eup4PJTH8es"",
      ""Snapshot!A:M""
    ),
    8,
    FALSE
  ),
  0
)
"),3.0)</f>
        <v>3</v>
      </c>
      <c r="AK16" s="54">
        <f>IFERROR(__xludf.DUMMYFUNCTION("IFERROR(
  VLOOKUP(
    A16,
    IMPORTRANGE(
      ""1SCYQd7_cobOYqT0r_F0IqD4tE4rYn5y8Eup4PJTH8es"",
      ""Snapshot!A:M""
    ),
    9,
    FALSE
  ),
  0
)
"),0.0)</f>
        <v>0</v>
      </c>
      <c r="AL16" s="54">
        <f>IFERROR(__xludf.DUMMYFUNCTION("IFERROR(
  VLOOKUP(
    A16,
    IMPORTRANGE(
      ""1SCYQd7_cobOYqT0r_F0IqD4tE4rYn5y8Eup4PJTH8es"",
      ""Snapshot!A:M""
    ),
    13,
    FALSE
  ),
  0
)
"),2.0)</f>
        <v>2</v>
      </c>
    </row>
    <row r="17">
      <c r="A17" s="3" t="s">
        <v>905</v>
      </c>
      <c r="B17" s="1" t="str">
        <f>IFERROR(__xludf.DUMMYFUNCTION("IFERROR(
  VLOOKUP(
    A17,
    IMPORTRANGE(
      ""1ZygntHC1J6IxzKbTidmOyf5nUyW4GCLurHCjexrLm_o"",
      ""HTMLキャッシュ!A:F""
    ),
    2,
    FALSE
  ),
  0
)
"),"MC")</f>
        <v>MC</v>
      </c>
      <c r="C17" s="49">
        <f t="shared" ref="C17:D17" si="76">LEN(E17)</f>
        <v>29</v>
      </c>
      <c r="D17" s="49">
        <f t="shared" si="76"/>
        <v>70</v>
      </c>
      <c r="E17" s="1" t="str">
        <f>IFERROR(__xludf.DUMMYFUNCTION("IFERROR(
  VLOOKUP(
    A17,
    IMPORTRANGE(
      ""1ZygntHC1J6IxzKbTidmOyf5nUyW4GCLurHCjexrLm_o"",
      ""HTMLキャッシュ!A:F""
    ),
    5,
    FALSE
  ),
  0
)
"),"漢文の勉強法｜返り点・句法で止まりにくい読み方｜高校生向け")</f>
        <v>漢文の勉強法｜返り点・句法で止まりにくい読み方｜高校生向け</v>
      </c>
      <c r="F17" s="1" t="str">
        <f>IFERROR(__xludf.DUMMYFUNCTION("IFERROR(
  VLOOKUP(
    A17,
    IMPORTRANGE(
      ""1ZygntHC1J6IxzKbTidmOyf5nUyW4GCLurHCjexrLm_o        "",
      ""HTMLキャッシュ!A:F""
    ),
    6,
    FALSE
  ),
  0
)
"),"漢文の勉強法を高校生向けに解説。書き下し・音読・句法・単語・主語・現代語訳の6項目で、返り点で止まりやすい人の読み方のコツをまとめています。")</f>
        <v>漢文の勉強法を高校生向けに解説。書き下し・音読・句法・単語・主語・現代語訳の6項目で、返り点で止まりやすい人の読み方のコツをまとめています。</v>
      </c>
      <c r="G17" s="32">
        <f>IFERROR(__xludf.DUMMYFUNCTION("IFERROR(
  VLOOKUP(
    A17,
    IMPORTRANGE(
      ""1ZygntHC1J6IxzKbTidmOyf5nUyW4GCLurHCjexrLm_o        "",
      ""HTMLキャッシュ!A:F""
    ),
    3,
    FALSE
  ),
  0
)
"),46078.67332175926)</f>
        <v>46078.67332</v>
      </c>
      <c r="H17" s="49">
        <f>IFERROR(__xludf.DUMMYFUNCTION("IFERROR(
  VLOOKUP(
    A17,
    IMPORTRANGE(
      ""1ZHMy3vVUd_0MrSduXTe1etBb1HNpAlGwQr006ljwMiM"",
      ""GSC最新!A:F""
    ),
    2,
    FALSE
  ),
  0
)
"),62.0)</f>
        <v>62</v>
      </c>
      <c r="I17" s="49">
        <f>IFERROR(__xludf.DUMMYFUNCTION("IFERROR(
  VLOOKUP(
    A17,
    IMPORTRANGE(
      ""1ZHMy3vVUd_0MrSduXTe1etBb1HNpAlGwQr006ljwMiM"",
      ""GSC最新!A:F""
    ),
    3,
    FALSE
  ),
  0
)
"),201.0)</f>
        <v>201</v>
      </c>
      <c r="J17" s="49">
        <f>IFERROR(__xludf.DUMMYFUNCTION("IFERROR(
  VLOOKUP(
    A17,
    IMPORTRANGE(
      ""1ZHMy3vVUd_0MrSduXTe1etBb1HNpAlGwQr006ljwMiM"",
      ""GSC最新!A:F""
    ),
    4,
    FALSE
  ),
  0
)
"),92.0)</f>
        <v>92</v>
      </c>
      <c r="K17" s="49">
        <f>IFERROR(__xludf.DUMMYFUNCTION("IFERROR(
  VLOOKUP(
    A17,
    IMPORTRANGE(
      ""1ZHMy3vVUd_0MrSduXTe1etBb1HNpAlGwQr006ljwMiM"",
      ""GSC最新!A:F""
    ),
    5,
    FALSE
  ),
  0
)
"),349.0)</f>
        <v>349</v>
      </c>
      <c r="L17" s="50">
        <f t="shared" ref="L17:M17" si="77">IFERROR(H17/J17,"-")</f>
        <v>0.6739130435</v>
      </c>
      <c r="M17" s="50">
        <f t="shared" si="77"/>
        <v>0.5759312321</v>
      </c>
      <c r="N17" s="6">
        <f>IFERROR(__xludf.DUMMYFUNCTION("IFERROR(
  VLOOKUP(
    A17,
    IMPORTRANGE(
      ""1ZHMy3vVUd_0MrSduXTe1etBb1HNpAlGwQr006ljwMiM"",
      ""GSC最新!A:R""
    ),
    7,
    FALSE
  ),
  0
)
"),9587.0)</f>
        <v>9587</v>
      </c>
      <c r="O17" s="6">
        <f>IFERROR(__xludf.DUMMYFUNCTION("IFERROR(
  VLOOKUP(
    A17,
    IMPORTRANGE(
      ""1ZHMy3vVUd_0MrSduXTe1etBb1HNpAlGwQr006ljwMiM"",
      ""GSC最新!A:R""
    ),
    10,
    FALSE
  ),
  0
)
"),27308.0)</f>
        <v>27308</v>
      </c>
      <c r="P17" s="6">
        <f>IFERROR(__xludf.DUMMYFUNCTION("IFERROR(
  VLOOKUP(
    A17,
    IMPORTRANGE(
      ""1ZHMy3vVUd_0MrSduXTe1etBb1HNpAlGwQr006ljwMiM"",
      ""GSC最新!A:R""
    ),
    13,
    FALSE
  ),
  0
)
"),1960.0)</f>
        <v>1960</v>
      </c>
      <c r="Q17" s="6">
        <f>IFERROR(__xludf.DUMMYFUNCTION("IFERROR(
  VLOOKUP(
    A17,
    IMPORTRANGE(
      ""1ZHMy3vVUd_0MrSduXTe1etBb1HNpAlGwQr006ljwMiM"",
      ""GSC最新!A:R""
    ),
    16,
    FALSE
  ),
  0
)
"),5972.0)</f>
        <v>5972</v>
      </c>
      <c r="R17" s="51">
        <f t="shared" ref="R17:S17" si="78">IFERROR(N17/P17,"-")</f>
        <v>4.891326531</v>
      </c>
      <c r="S17" s="51">
        <f t="shared" si="78"/>
        <v>4.572672472</v>
      </c>
      <c r="T17" s="9">
        <f>IFERROR(__xludf.DUMMYFUNCTION("IFERROR(
  VLOOKUP(
    A17,
    IMPORTRANGE(
      ""1ZHMy3vVUd_0MrSduXTe1etBb1HNpAlGwQr006ljwMiM"",
      ""GSC最新!A:R""
    ),
    8,
    FALSE
  ),
  0
)
"),0.006467090852195682)</f>
        <v>0.006467090852</v>
      </c>
      <c r="U17" s="9">
        <f>IFERROR(__xludf.DUMMYFUNCTION("IFERROR(
  VLOOKUP(
    A17,
    IMPORTRANGE(
      ""1ZHMy3vVUd_0MrSduXTe1etBb1HNpAlGwQr006ljwMiM"",
      ""GSC最新!A:R""
    ),
    11,
    FALSE
  ),
  0
)
"),0.007360480445290757)</f>
        <v>0.007360480445</v>
      </c>
      <c r="V17" s="9">
        <f>IFERROR(__xludf.DUMMYFUNCTION("IFERROR(
  VLOOKUP(
    A17,
    IMPORTRANGE(
      ""1ZHMy3vVUd_0MrSduXTe1etBb1HNpAlGwQr006ljwMiM"",
      ""GSC最新!A:R""
    ),
    14,
    FALSE
  ),
  0
)
"),0.04693877551020408)</f>
        <v>0.04693877551</v>
      </c>
      <c r="W17" s="9">
        <f>IFERROR(__xludf.DUMMYFUNCTION("IFERROR(
  VLOOKUP(
    A17,
    IMPORTRANGE(
      ""1ZHMy3vVUd_0MrSduXTe1etBb1HNpAlGwQr006ljwMiM"",
      ""GSC最新!A:R""
    ),
    17,
    FALSE
  ),
  0
)
"),0.058439383791024785)</f>
        <v>0.05843938379</v>
      </c>
      <c r="X17" s="9">
        <f t="shared" ref="X17:Y17" si="79">IFERROR(T17-V17,"-")</f>
        <v>-0.04047168466</v>
      </c>
      <c r="Y17" s="9">
        <f t="shared" si="79"/>
        <v>-0.05107890335</v>
      </c>
      <c r="Z17" s="65">
        <f>IFERROR(__xludf.DUMMYFUNCTION("IFERROR(
  VLOOKUP(
    A17,
    IMPORTRANGE(
      ""1ZHMy3vVUd_0MrSduXTe1etBb1HNpAlGwQr006ljwMiM"",
      ""GSC最新!A:R""
    ),
    9,
    FALSE
  ),
  0
)
"),6.051632418900595)</f>
        <v>6.051632419</v>
      </c>
      <c r="AA17" s="65">
        <f>IFERROR(__xludf.DUMMYFUNCTION("IFERROR(
  VLOOKUP(
    A17,
    IMPORTRANGE(
      ""1ZHMy3vVUd_0MrSduXTe1etBb1HNpAlGwQr006ljwMiM"",
      ""GSC最新!A:R""
    ),
    12,
    FALSE
  ),
  0
)
"),5.977991797275524)</f>
        <v>5.977991797</v>
      </c>
      <c r="AB17" s="65">
        <f>IFERROR(__xludf.DUMMYFUNCTION("IFERROR(
  VLOOKUP(
    A17,
    IMPORTRANGE(
      ""1ZHMy3vVUd_0MrSduXTe1etBb1HNpAlGwQr006ljwMiM"",
      ""GSC最新!A:R""
    ),
    15,
    FALSE
  ),
  0
)
"),8.816836734693878)</f>
        <v>8.816836735</v>
      </c>
      <c r="AC17" s="65">
        <f>IFERROR(__xludf.DUMMYFUNCTION("IFERROR(
  VLOOKUP(
    A17,
    IMPORTRANGE(
      ""1ZHMy3vVUd_0MrSduXTe1etBb1HNpAlGwQr006ljwMiM"",
      ""GSC最新!A:R""
    ),
    18,
    FALSE
  ),
  0
)
"),8.388479571332887)</f>
        <v>8.388479571</v>
      </c>
      <c r="AD17" s="65">
        <f t="shared" ref="AD17:AE17" si="80">Z17-AB17</f>
        <v>-2.765204316</v>
      </c>
      <c r="AE17" s="65">
        <f t="shared" si="80"/>
        <v>-2.410487774</v>
      </c>
      <c r="AF17" s="53">
        <f>IFERROR(__xludf.DUMMYFUNCTION("IFERROR(
  VLOOKUP(
    A17,
    IMPORTRANGE(
      ""1ZHMy3vVUd_0MrSduXTe1etBb1HNpAlGwQr006ljwMiM"",
      ""GSC最新!A:F""
    ),
    6,
    FALSE
  ),
  0
)
"),46081.0)</f>
        <v>46081</v>
      </c>
      <c r="AG17" s="54">
        <f>IFERROR(__xludf.DUMMYFUNCTION("IFERROR(
  VLOOKUP(
    A17,
    IMPORTRANGE(
      ""1SCYQd7_cobOYqT0r_F0IqD4tE4rYn5y8Eup4PJTH8es"",
      ""Snapshot!A:M""
    ),
    5,
    FALSE
  ),
  ""-""
)
"),11.0)</f>
        <v>11</v>
      </c>
      <c r="AH17" s="54">
        <f>IFERROR(__xludf.DUMMYFUNCTION("IFERROR(
  VLOOKUP(
    A17,
    IMPORTRANGE(
      ""1SCYQd7_cobOYqT0r_F0IqD4tE4rYn5y8Eup4PJTH8es"",
      ""Snapshot!A:M""
    ),
    6,
    FALSE
  ),
  0
)
"),8.0)</f>
        <v>8</v>
      </c>
      <c r="AI17" s="54">
        <f>IFERROR(__xludf.DUMMYFUNCTION("IFERROR(
  VLOOKUP(
    A17,
    IMPORTRANGE(
      ""1SCYQd7_cobOYqT0r_F0IqD4tE4rYn5y8Eup4PJTH8es"",
      ""Snapshot!A:M""
    ),
    7,
    FALSE
  ),
  0
)
"),4477.0)</f>
        <v>4477</v>
      </c>
      <c r="AJ17" s="54">
        <f>IFERROR(__xludf.DUMMYFUNCTION("IFERROR(
  VLOOKUP(
    A17,
    IMPORTRANGE(
      ""1SCYQd7_cobOYqT0r_F0IqD4tE4rYn5y8Eup4PJTH8es"",
      ""Snapshot!A:M""
    ),
    8,
    FALSE
  ),
  0
)
"),3.0)</f>
        <v>3</v>
      </c>
      <c r="AK17" s="54">
        <f>IFERROR(__xludf.DUMMYFUNCTION("IFERROR(
  VLOOKUP(
    A17,
    IMPORTRANGE(
      ""1SCYQd7_cobOYqT0r_F0IqD4tE4rYn5y8Eup4PJTH8es"",
      ""Snapshot!A:M""
    ),
    9,
    FALSE
  ),
  0
)
"),2.0)</f>
        <v>2</v>
      </c>
      <c r="AL17" s="54">
        <f>IFERROR(__xludf.DUMMYFUNCTION("IFERROR(
  VLOOKUP(
    A17,
    IMPORTRANGE(
      ""1SCYQd7_cobOYqT0r_F0IqD4tE4rYn5y8Eup4PJTH8es"",
      ""Snapshot!A:M""
    ),
    13,
    FALSE
  ),
  0
)
"),2.0)</f>
        <v>2</v>
      </c>
    </row>
    <row r="18">
      <c r="A18" s="3" t="s">
        <v>906</v>
      </c>
      <c r="B18" s="1" t="str">
        <f>IFERROR(__xludf.DUMMYFUNCTION("IFERROR(
  VLOOKUP(
    A18,
    IMPORTRANGE(
      ""1ZygntHC1J6IxzKbTidmOyf5nUyW4GCLurHCjexrLm_o"",
      ""HTMLキャッシュ!A:F""
    ),
    2,
    FALSE
  ),
  0
)
"),"MC")</f>
        <v>MC</v>
      </c>
      <c r="C18" s="49">
        <f t="shared" ref="C18:D18" si="81">LEN(E18)</f>
        <v>31</v>
      </c>
      <c r="D18" s="49">
        <f t="shared" si="81"/>
        <v>111</v>
      </c>
      <c r="E18" s="1" t="str">
        <f>IFERROR(__xludf.DUMMYFUNCTION("IFERROR(
  VLOOKUP(
    A18,
    IMPORTRANGE(
      ""1ZygntHC1J6IxzKbTidmOyf5nUyW4GCLurHCjexrLm_o"",
      ""HTMLキャッシュ!A:F""
    ),
    5,
    FALSE
  ),
  0
)
"),"清涼殿の位置と間取り図解｜殿上の間・昼御座・上の御局｜古典常識")</f>
        <v>清涼殿の位置と間取り図解｜殿上の間・昼御座・上の御局｜古典常識</v>
      </c>
      <c r="F18" s="1" t="str">
        <f>IFERROR(__xludf.DUMMYFUNCTION("IFERROR(
  VLOOKUP(
    A18,
    IMPORTRANGE(
      ""1ZygntHC1J6IxzKbTidmOyf5nUyW4GCLurHCjexrLm_o        "",
      ""HTMLキャッシュ!A:F""
    ),
    6,
    FALSE
  ),
  0
)
"),"清涼殿の位置と間取りを図解で整理し、殿上の間がどこか、昼御座（ひのおまし）で何をするか、上の御局・夜御殿・台盤所がどのエリアかをまとめます。殿上人の控えや出勤簿・のぞき窓、萩の戸の逸話まで押さえ、古文の場面が立体化します。")</f>
        <v>清涼殿の位置と間取りを図解で整理し、殿上の間がどこか、昼御座（ひのおまし）で何をするか、上の御局・夜御殿・台盤所がどのエリアかをまとめます。殿上人の控えや出勤簿・のぞき窓、萩の戸の逸話まで押さえ、古文の場面が立体化します。</v>
      </c>
      <c r="G18" s="32">
        <f>IFERROR(__xludf.DUMMYFUNCTION("IFERROR(
  VLOOKUP(
    A18,
    IMPORTRANGE(
      ""1ZygntHC1J6IxzKbTidmOyf5nUyW4GCLurHCjexrLm_o        "",
      ""HTMLキャッシュ!A:F""
    ),
    3,
    FALSE
  ),
  0
)
"),46039.67637731481)</f>
        <v>46039.67638</v>
      </c>
      <c r="H18" s="49">
        <f>IFERROR(__xludf.DUMMYFUNCTION("IFERROR(
  VLOOKUP(
    A18,
    IMPORTRANGE(
      ""1ZHMy3vVUd_0MrSduXTe1etBb1HNpAlGwQr006ljwMiM"",
      ""GSC最新!A:F""
    ),
    2,
    FALSE
  ),
  0
)
"),68.0)</f>
        <v>68</v>
      </c>
      <c r="I18" s="49">
        <f>IFERROR(__xludf.DUMMYFUNCTION("IFERROR(
  VLOOKUP(
    A18,
    IMPORTRANGE(
      ""1ZHMy3vVUd_0MrSduXTe1etBb1HNpAlGwQr006ljwMiM"",
      ""GSC最新!A:F""
    ),
    3,
    FALSE
  ),
  0
)
"),212.0)</f>
        <v>212</v>
      </c>
      <c r="J18" s="49">
        <f>IFERROR(__xludf.DUMMYFUNCTION("IFERROR(
  VLOOKUP(
    A18,
    IMPORTRANGE(
      ""1ZHMy3vVUd_0MrSduXTe1etBb1HNpAlGwQr006ljwMiM"",
      ""GSC最新!A:F""
    ),
    4,
    FALSE
  ),
  0
)
"),36.0)</f>
        <v>36</v>
      </c>
      <c r="K18" s="49">
        <f>IFERROR(__xludf.DUMMYFUNCTION("IFERROR(
  VLOOKUP(
    A18,
    IMPORTRANGE(
      ""1ZHMy3vVUd_0MrSduXTe1etBb1HNpAlGwQr006ljwMiM"",
      ""GSC最新!A:F""
    ),
    5,
    FALSE
  ),
  0
)
"),114.0)</f>
        <v>114</v>
      </c>
      <c r="L18" s="50">
        <f t="shared" ref="L18:M18" si="82">IFERROR(H18/J18,"-")</f>
        <v>1.888888889</v>
      </c>
      <c r="M18" s="50">
        <f t="shared" si="82"/>
        <v>1.859649123</v>
      </c>
      <c r="N18" s="6">
        <f>IFERROR(__xludf.DUMMYFUNCTION("IFERROR(
  VLOOKUP(
    A18,
    IMPORTRANGE(
      ""1ZHMy3vVUd_0MrSduXTe1etBb1HNpAlGwQr006ljwMiM"",
      ""GSC最新!A:R""
    ),
    7,
    FALSE
  ),
  0
)
"),4637.0)</f>
        <v>4637</v>
      </c>
      <c r="O18" s="6">
        <f>IFERROR(__xludf.DUMMYFUNCTION("IFERROR(
  VLOOKUP(
    A18,
    IMPORTRANGE(
      ""1ZHMy3vVUd_0MrSduXTe1etBb1HNpAlGwQr006ljwMiM"",
      ""GSC最新!A:R""
    ),
    10,
    FALSE
  ),
  0
)
"),15220.0)</f>
        <v>15220</v>
      </c>
      <c r="P18" s="6">
        <f>IFERROR(__xludf.DUMMYFUNCTION("IFERROR(
  VLOOKUP(
    A18,
    IMPORTRANGE(
      ""1ZHMy3vVUd_0MrSduXTe1etBb1HNpAlGwQr006ljwMiM"",
      ""GSC最新!A:R""
    ),
    13,
    FALSE
  ),
  0
)
"),1823.0)</f>
        <v>1823</v>
      </c>
      <c r="Q18" s="6">
        <f>IFERROR(__xludf.DUMMYFUNCTION("IFERROR(
  VLOOKUP(
    A18,
    IMPORTRANGE(
      ""1ZHMy3vVUd_0MrSduXTe1etBb1HNpAlGwQr006ljwMiM"",
      ""GSC最新!A:R""
    ),
    16,
    FALSE
  ),
  0
)
"),5877.0)</f>
        <v>5877</v>
      </c>
      <c r="R18" s="51">
        <f t="shared" ref="R18:S18" si="83">IFERROR(N18/P18,"-")</f>
        <v>2.543609435</v>
      </c>
      <c r="S18" s="51">
        <f t="shared" si="83"/>
        <v>2.589756679</v>
      </c>
      <c r="T18" s="9">
        <f>IFERROR(__xludf.DUMMYFUNCTION("IFERROR(
  VLOOKUP(
    A18,
    IMPORTRANGE(
      ""1ZHMy3vVUd_0MrSduXTe1etBb1HNpAlGwQr006ljwMiM"",
      ""GSC最新!A:R""
    ),
    8,
    FALSE
  ),
  0
)
"),0.014664653871037308)</f>
        <v>0.01466465387</v>
      </c>
      <c r="U18" s="9">
        <f>IFERROR(__xludf.DUMMYFUNCTION("IFERROR(
  VLOOKUP(
    A18,
    IMPORTRANGE(
      ""1ZHMy3vVUd_0MrSduXTe1etBb1HNpAlGwQr006ljwMiM"",
      ""GSC最新!A:R""
    ),
    11,
    FALSE
  ),
  0
)
"),0.01392904073587385)</f>
        <v>0.01392904074</v>
      </c>
      <c r="V18" s="9">
        <f>IFERROR(__xludf.DUMMYFUNCTION("IFERROR(
  VLOOKUP(
    A18,
    IMPORTRANGE(
      ""1ZHMy3vVUd_0MrSduXTe1etBb1HNpAlGwQr006ljwMiM"",
      ""GSC最新!A:R""
    ),
    14,
    FALSE
  ),
  0
)
"),0.019747668678003292)</f>
        <v>0.01974766868</v>
      </c>
      <c r="W18" s="9">
        <f>IFERROR(__xludf.DUMMYFUNCTION("IFERROR(
  VLOOKUP(
    A18,
    IMPORTRANGE(
      ""1ZHMy3vVUd_0MrSduXTe1etBb1HNpAlGwQr006ljwMiM"",
      ""GSC最新!A:R""
    ),
    17,
    FALSE
  ),
  0
)
"),0.019397651863195507)</f>
        <v>0.01939765186</v>
      </c>
      <c r="X18" s="9">
        <f t="shared" ref="X18:Y18" si="84">IFERROR(T18-V18,"-")</f>
        <v>-0.005083014807</v>
      </c>
      <c r="Y18" s="9">
        <f t="shared" si="84"/>
        <v>-0.005468611127</v>
      </c>
      <c r="Z18" s="65">
        <f>IFERROR(__xludf.DUMMYFUNCTION("IFERROR(
  VLOOKUP(
    A18,
    IMPORTRANGE(
      ""1ZHMy3vVUd_0MrSduXTe1etBb1HNpAlGwQr006ljwMiM"",
      ""GSC最新!A:R""
    ),
    9,
    FALSE
  ),
  0
)
"),4.6907483286607725)</f>
        <v>4.690748329</v>
      </c>
      <c r="AA18" s="65">
        <f>IFERROR(__xludf.DUMMYFUNCTION("IFERROR(
  VLOOKUP(
    A18,
    IMPORTRANGE(
      ""1ZHMy3vVUd_0MrSduXTe1etBb1HNpAlGwQr006ljwMiM"",
      ""GSC最新!A:R""
    ),
    12,
    FALSE
  ),
  0
)
"),4.888764783180026)</f>
        <v>4.888764783</v>
      </c>
      <c r="AB18" s="65">
        <f>IFERROR(__xludf.DUMMYFUNCTION("IFERROR(
  VLOOKUP(
    A18,
    IMPORTRANGE(
      ""1ZHMy3vVUd_0MrSduXTe1etBb1HNpAlGwQr006ljwMiM"",
      ""GSC最新!A:R""
    ),
    15,
    FALSE
  ),
  0
)
"),8.498080087767416)</f>
        <v>8.498080088</v>
      </c>
      <c r="AC18" s="65">
        <f>IFERROR(__xludf.DUMMYFUNCTION("IFERROR(
  VLOOKUP(
    A18,
    IMPORTRANGE(
      ""1ZHMy3vVUd_0MrSduXTe1etBb1HNpAlGwQr006ljwMiM"",
      ""GSC最新!A:R""
    ),
    18,
    FALSE
  ),
  0
)
"),8.439169644376381)</f>
        <v>8.439169644</v>
      </c>
      <c r="AD18" s="65">
        <f t="shared" ref="AD18:AE18" si="85">Z18-AB18</f>
        <v>-3.807331759</v>
      </c>
      <c r="AE18" s="65">
        <f t="shared" si="85"/>
        <v>-3.550404861</v>
      </c>
      <c r="AF18" s="53">
        <f>IFERROR(__xludf.DUMMYFUNCTION("IFERROR(
  VLOOKUP(
    A18,
    IMPORTRANGE(
      ""1ZHMy3vVUd_0MrSduXTe1etBb1HNpAlGwQr006ljwMiM"",
      ""GSC最新!A:F""
    ),
    6,
    FALSE
  ),
  0
)
"),46081.0)</f>
        <v>46081</v>
      </c>
      <c r="AG18" s="54">
        <f>IFERROR(__xludf.DUMMYFUNCTION("IFERROR(
  VLOOKUP(
    A18,
    IMPORTRANGE(
      ""1SCYQd7_cobOYqT0r_F0IqD4tE4rYn5y8Eup4PJTH8es"",
      ""Snapshot!A:M""
    ),
    5,
    FALSE
  ),
  ""-""
)
"),10.0)</f>
        <v>10</v>
      </c>
      <c r="AH18" s="54">
        <f>IFERROR(__xludf.DUMMYFUNCTION("IFERROR(
  VLOOKUP(
    A18,
    IMPORTRANGE(
      ""1SCYQd7_cobOYqT0r_F0IqD4tE4rYn5y8Eup4PJTH8es"",
      ""Snapshot!A:M""
    ),
    6,
    FALSE
  ),
  0
)
"),8.0)</f>
        <v>8</v>
      </c>
      <c r="AI18" s="54">
        <f>IFERROR(__xludf.DUMMYFUNCTION("IFERROR(
  VLOOKUP(
    A18,
    IMPORTRANGE(
      ""1SCYQd7_cobOYqT0r_F0IqD4tE4rYn5y8Eup4PJTH8es"",
      ""Snapshot!A:M""
    ),
    7,
    FALSE
  ),
  0
)
"),3939.0)</f>
        <v>3939</v>
      </c>
      <c r="AJ18" s="54">
        <f>IFERROR(__xludf.DUMMYFUNCTION("IFERROR(
  VLOOKUP(
    A18,
    IMPORTRANGE(
      ""1SCYQd7_cobOYqT0r_F0IqD4tE4rYn5y8Eup4PJTH8es"",
      ""Snapshot!A:M""
    ),
    8,
    FALSE
  ),
  0
)
"),3.0)</f>
        <v>3</v>
      </c>
      <c r="AK18" s="54">
        <f>IFERROR(__xludf.DUMMYFUNCTION("IFERROR(
  VLOOKUP(
    A18,
    IMPORTRANGE(
      ""1SCYQd7_cobOYqT0r_F0IqD4tE4rYn5y8Eup4PJTH8es"",
      ""Snapshot!A:M""
    ),
    9,
    FALSE
  ),
  0
)
"),0.0)</f>
        <v>0</v>
      </c>
      <c r="AL18" s="54">
        <f>IFERROR(__xludf.DUMMYFUNCTION("IFERROR(
  VLOOKUP(
    A18,
    IMPORTRANGE(
      ""1SCYQd7_cobOYqT0r_F0IqD4tE4rYn5y8Eup4PJTH8es"",
      ""Snapshot!A:M""
    ),
    13,
    FALSE
  ),
  0
)
"),2.0)</f>
        <v>2</v>
      </c>
    </row>
    <row r="19">
      <c r="A19" s="3" t="s">
        <v>907</v>
      </c>
      <c r="B19" s="1" t="str">
        <f>IFERROR(__xludf.DUMMYFUNCTION("IFERROR(
  VLOOKUP(
    A19,
    IMPORTRANGE(
      ""1ZygntHC1J6IxzKbTidmOyf5nUyW4GCLurHCjexrLm_o"",
      ""HTMLキャッシュ!A:F""
    ),
    2,
    FALSE
  ),
  0
)
"),"MC")</f>
        <v>MC</v>
      </c>
      <c r="C19" s="49">
        <f t="shared" ref="C19:D19" si="86">LEN(E19)</f>
        <v>27</v>
      </c>
      <c r="D19" s="49">
        <f t="shared" si="86"/>
        <v>53</v>
      </c>
      <c r="E19" s="1" t="str">
        <f>IFERROR(__xludf.DUMMYFUNCTION("IFERROR(
  VLOOKUP(
    A19,
    IMPORTRANGE(
      ""1ZygntHC1J6IxzKbTidmOyf5nUyW4GCLurHCjexrLm_o"",
      ""HTMLキャッシュ!A:F""
    ),
    5,
    FALSE
  ),
  0
)
"),"漢文の基礎勉強法｜共通テスト・大学入試で満点を狙う攻略")</f>
        <v>漢文の基礎勉強法｜共通テスト・大学入試で満点を狙う攻略</v>
      </c>
      <c r="F19" s="1" t="str">
        <f>IFERROR(__xludf.DUMMYFUNCTION("IFERROR(
  VLOOKUP(
    A19,
    IMPORTRANGE(
      ""1ZygntHC1J6IxzKbTidmOyf5nUyW4GCLurHCjexrLm_o        "",
      ""HTMLキャッシュ!A:F""
    ),
    6,
    FALSE
  ),
  0
)
"),"共通テスト〜大学入試の漢文を整理。返り点・句法・音読・重要語を優先順でまとめ、朕・妾・孤など一人称も確認。")</f>
        <v>共通テスト〜大学入試の漢文を整理。返り点・句法・音読・重要語を優先順でまとめ、朕・妾・孤など一人称も確認。</v>
      </c>
      <c r="G19" s="32">
        <f>IFERROR(__xludf.DUMMYFUNCTION("IFERROR(
  VLOOKUP(
    A19,
    IMPORTRANGE(
      ""1ZygntHC1J6IxzKbTidmOyf5nUyW4GCLurHCjexrLm_o        "",
      ""HTMLキャッシュ!A:F""
    ),
    3,
    FALSE
  ),
  0
)
"),46072.88731481481)</f>
        <v>46072.88731</v>
      </c>
      <c r="H19" s="49">
        <f>IFERROR(__xludf.DUMMYFUNCTION("IFERROR(
  VLOOKUP(
    A19,
    IMPORTRANGE(
      ""1ZHMy3vVUd_0MrSduXTe1etBb1HNpAlGwQr006ljwMiM"",
      ""GSC最新!A:F""
    ),
    2,
    FALSE
  ),
  0
)
"),23.0)</f>
        <v>23</v>
      </c>
      <c r="I19" s="49">
        <f>IFERROR(__xludf.DUMMYFUNCTION("IFERROR(
  VLOOKUP(
    A19,
    IMPORTRANGE(
      ""1ZHMy3vVUd_0MrSduXTe1etBb1HNpAlGwQr006ljwMiM"",
      ""GSC最新!A:F""
    ),
    3,
    FALSE
  ),
  0
)
"),140.0)</f>
        <v>140</v>
      </c>
      <c r="J19" s="49">
        <f>IFERROR(__xludf.DUMMYFUNCTION("IFERROR(
  VLOOKUP(
    A19,
    IMPORTRANGE(
      ""1ZHMy3vVUd_0MrSduXTe1etBb1HNpAlGwQr006ljwMiM"",
      ""GSC最新!A:F""
    ),
    4,
    FALSE
  ),
  0
)
"),7.0)</f>
        <v>7</v>
      </c>
      <c r="K19" s="49">
        <f>IFERROR(__xludf.DUMMYFUNCTION("IFERROR(
  VLOOKUP(
    A19,
    IMPORTRANGE(
      ""1ZHMy3vVUd_0MrSduXTe1etBb1HNpAlGwQr006ljwMiM"",
      ""GSC最新!A:F""
    ),
    5,
    FALSE
  ),
  0
)
"),36.0)</f>
        <v>36</v>
      </c>
      <c r="L19" s="50">
        <f t="shared" ref="L19:M19" si="87">IFERROR(H19/J19,"-")</f>
        <v>3.285714286</v>
      </c>
      <c r="M19" s="50">
        <f t="shared" si="87"/>
        <v>3.888888889</v>
      </c>
      <c r="N19" s="6">
        <f>IFERROR(__xludf.DUMMYFUNCTION("IFERROR(
  VLOOKUP(
    A19,
    IMPORTRANGE(
      ""1ZHMy3vVUd_0MrSduXTe1etBb1HNpAlGwQr006ljwMiM"",
      ""GSC最新!A:R""
    ),
    7,
    FALSE
  ),
  0
)
"),5558.0)</f>
        <v>5558</v>
      </c>
      <c r="O19" s="6">
        <f>IFERROR(__xludf.DUMMYFUNCTION("IFERROR(
  VLOOKUP(
    A19,
    IMPORTRANGE(
      ""1ZHMy3vVUd_0MrSduXTe1etBb1HNpAlGwQr006ljwMiM"",
      ""GSC最新!A:R""
    ),
    10,
    FALSE
  ),
  0
)
"),15916.0)</f>
        <v>15916</v>
      </c>
      <c r="P19" s="6">
        <f>IFERROR(__xludf.DUMMYFUNCTION("IFERROR(
  VLOOKUP(
    A19,
    IMPORTRANGE(
      ""1ZHMy3vVUd_0MrSduXTe1etBb1HNpAlGwQr006ljwMiM"",
      ""GSC最新!A:R""
    ),
    13,
    FALSE
  ),
  0
)
"),539.0)</f>
        <v>539</v>
      </c>
      <c r="Q19" s="6">
        <f>IFERROR(__xludf.DUMMYFUNCTION("IFERROR(
  VLOOKUP(
    A19,
    IMPORTRANGE(
      ""1ZHMy3vVUd_0MrSduXTe1etBb1HNpAlGwQr006ljwMiM"",
      ""GSC最新!A:R""
    ),
    16,
    FALSE
  ),
  0
)
"),1588.0)</f>
        <v>1588</v>
      </c>
      <c r="R19" s="51">
        <f t="shared" ref="R19:S19" si="88">IFERROR(N19/P19,"-")</f>
        <v>10.31168831</v>
      </c>
      <c r="S19" s="51">
        <f t="shared" si="88"/>
        <v>10.02267003</v>
      </c>
      <c r="T19" s="9">
        <f>IFERROR(__xludf.DUMMYFUNCTION("IFERROR(
  VLOOKUP(
    A19,
    IMPORTRANGE(
      ""1ZHMy3vVUd_0MrSduXTe1etBb1HNpAlGwQr006ljwMiM"",
      ""GSC最新!A:R""
    ),
    8,
    FALSE
  ),
  0
)
"),0.0041381792011514935)</f>
        <v>0.004138179201</v>
      </c>
      <c r="U19" s="9">
        <f>IFERROR(__xludf.DUMMYFUNCTION("IFERROR(
  VLOOKUP(
    A19,
    IMPORTRANGE(
      ""1ZHMy3vVUd_0MrSduXTe1etBb1HNpAlGwQr006ljwMiM"",
      ""GSC最新!A:R""
    ),
    11,
    FALSE
  ),
  0
)
"),0.008796179944709727)</f>
        <v>0.008796179945</v>
      </c>
      <c r="V19" s="9">
        <f>IFERROR(__xludf.DUMMYFUNCTION("IFERROR(
  VLOOKUP(
    A19,
    IMPORTRANGE(
      ""1ZHMy3vVUd_0MrSduXTe1etBb1HNpAlGwQr006ljwMiM"",
      ""GSC最新!A:R""
    ),
    14,
    FALSE
  ),
  0
)
"),0.012987012987012988)</f>
        <v>0.01298701299</v>
      </c>
      <c r="W19" s="9">
        <f>IFERROR(__xludf.DUMMYFUNCTION("IFERROR(
  VLOOKUP(
    A19,
    IMPORTRANGE(
      ""1ZHMy3vVUd_0MrSduXTe1etBb1HNpAlGwQr006ljwMiM"",
      ""GSC最新!A:R""
    ),
    17,
    FALSE
  ),
  0
)
"),0.022670025188916875)</f>
        <v>0.02267002519</v>
      </c>
      <c r="X19" s="9">
        <f t="shared" ref="X19:Y19" si="89">IFERROR(T19-V19,"-")</f>
        <v>-0.008848833786</v>
      </c>
      <c r="Y19" s="9">
        <f t="shared" si="89"/>
        <v>-0.01387384524</v>
      </c>
      <c r="Z19" s="65">
        <f>IFERROR(__xludf.DUMMYFUNCTION("IFERROR(
  VLOOKUP(
    A19,
    IMPORTRANGE(
      ""1ZHMy3vVUd_0MrSduXTe1etBb1HNpAlGwQr006ljwMiM"",
      ""GSC最新!A:R""
    ),
    9,
    FALSE
  ),
  0
)
"),3.5230298668585824)</f>
        <v>3.523029867</v>
      </c>
      <c r="AA19" s="65">
        <f>IFERROR(__xludf.DUMMYFUNCTION("IFERROR(
  VLOOKUP(
    A19,
    IMPORTRANGE(
      ""1ZHMy3vVUd_0MrSduXTe1etBb1HNpAlGwQr006ljwMiM"",
      ""GSC最新!A:R""
    ),
    12,
    FALSE
  ),
  0
)
"),5.220784116612214)</f>
        <v>5.220784117</v>
      </c>
      <c r="AB19" s="65">
        <f>IFERROR(__xludf.DUMMYFUNCTION("IFERROR(
  VLOOKUP(
    A19,
    IMPORTRANGE(
      ""1ZHMy3vVUd_0MrSduXTe1etBb1HNpAlGwQr006ljwMiM"",
      ""GSC最新!A:R""
    ),
    15,
    FALSE
  ),
  0
)
"),11.371057513914657)</f>
        <v>11.37105751</v>
      </c>
      <c r="AC19" s="65">
        <f>IFERROR(__xludf.DUMMYFUNCTION("IFERROR(
  VLOOKUP(
    A19,
    IMPORTRANGE(
      ""1ZHMy3vVUd_0MrSduXTe1etBb1HNpAlGwQr006ljwMiM"",
      ""GSC最新!A:R""
    ),
    18,
    FALSE
  ),
  0
)
"),12.591939546599496)</f>
        <v>12.59193955</v>
      </c>
      <c r="AD19" s="65">
        <f t="shared" ref="AD19:AE19" si="90">Z19-AB19</f>
        <v>-7.848027647</v>
      </c>
      <c r="AE19" s="65">
        <f t="shared" si="90"/>
        <v>-7.37115543</v>
      </c>
      <c r="AF19" s="53">
        <f>IFERROR(__xludf.DUMMYFUNCTION("IFERROR(
  VLOOKUP(
    A19,
    IMPORTRANGE(
      ""1ZHMy3vVUd_0MrSduXTe1etBb1HNpAlGwQr006ljwMiM"",
      ""GSC最新!A:F""
    ),
    6,
    FALSE
  ),
  0
)
"),46081.0)</f>
        <v>46081</v>
      </c>
      <c r="AG19" s="54">
        <f>IFERROR(__xludf.DUMMYFUNCTION("IFERROR(
  VLOOKUP(
    A19,
    IMPORTRANGE(
      ""1SCYQd7_cobOYqT0r_F0IqD4tE4rYn5y8Eup4PJTH8es"",
      ""Snapshot!A:M""
    ),
    5,
    FALSE
  ),
  ""-""
)
"),9.0)</f>
        <v>9</v>
      </c>
      <c r="AH19" s="54">
        <f>IFERROR(__xludf.DUMMYFUNCTION("IFERROR(
  VLOOKUP(
    A19,
    IMPORTRANGE(
      ""1SCYQd7_cobOYqT0r_F0IqD4tE4rYn5y8Eup4PJTH8es"",
      ""Snapshot!A:M""
    ),
    6,
    FALSE
  ),
  0
)
"),9.0)</f>
        <v>9</v>
      </c>
      <c r="AI19" s="54">
        <f>IFERROR(__xludf.DUMMYFUNCTION("IFERROR(
  VLOOKUP(
    A19,
    IMPORTRANGE(
      ""1SCYQd7_cobOYqT0r_F0IqD4tE4rYn5y8Eup4PJTH8es"",
      ""Snapshot!A:M""
    ),
    7,
    FALSE
  ),
  0
)
"),4680.0)</f>
        <v>4680</v>
      </c>
      <c r="AJ19" s="54">
        <f>IFERROR(__xludf.DUMMYFUNCTION("IFERROR(
  VLOOKUP(
    A19,
    IMPORTRANGE(
      ""1SCYQd7_cobOYqT0r_F0IqD4tE4rYn5y8Eup4PJTH8es"",
      ""Snapshot!A:M""
    ),
    8,
    FALSE
  ),
  0
)
"),3.0)</f>
        <v>3</v>
      </c>
      <c r="AK19" s="54">
        <f>IFERROR(__xludf.DUMMYFUNCTION("IFERROR(
  VLOOKUP(
    A19,
    IMPORTRANGE(
      ""1SCYQd7_cobOYqT0r_F0IqD4tE4rYn5y8Eup4PJTH8es"",
      ""Snapshot!A:M""
    ),
    9,
    FALSE
  ),
  0
)
"),1.0)</f>
        <v>1</v>
      </c>
      <c r="AL19" s="54">
        <f>IFERROR(__xludf.DUMMYFUNCTION("IFERROR(
  VLOOKUP(
    A19,
    IMPORTRANGE(
      ""1SCYQd7_cobOYqT0r_F0IqD4tE4rYn5y8Eup4PJTH8es"",
      ""Snapshot!A:M""
    ),
    13,
    FALSE
  ),
  0
)
"),2.0)</f>
        <v>2</v>
      </c>
    </row>
    <row r="20">
      <c r="A20" s="3" t="s">
        <v>908</v>
      </c>
      <c r="B20" s="1" t="str">
        <f>IFERROR(__xludf.DUMMYFUNCTION("IFERROR(
  VLOOKUP(
    A20,
    IMPORTRANGE(
      ""1ZygntHC1J6IxzKbTidmOyf5nUyW4GCLurHCjexrLm_o"",
      ""HTMLキャッシュ!A:F""
    ),
    2,
    FALSE
  ),
  0
)
"),"MC")</f>
        <v>MC</v>
      </c>
      <c r="C20" s="49">
        <f t="shared" ref="C20:D20" si="91">LEN(E20)</f>
        <v>26</v>
      </c>
      <c r="D20" s="49">
        <f t="shared" si="91"/>
        <v>70</v>
      </c>
      <c r="E20" s="1" t="str">
        <f>IFERROR(__xludf.DUMMYFUNCTION("IFERROR(
  VLOOKUP(
    A20,
    IMPORTRANGE(
      ""1ZygntHC1J6IxzKbTidmOyf5nUyW4GCLurHCjexrLm_o"",
      ""HTMLキャッシュ!A:F""
    ),
    5,
    FALSE
  ),
  0
)
"),"2020年関西学院大学『蜻蛉日記』現代語訳と語句解説")</f>
        <v>2020年関西学院大学『蜻蛉日記』現代語訳と語句解説</v>
      </c>
      <c r="F20" s="1" t="str">
        <f>IFERROR(__xludf.DUMMYFUNCTION("IFERROR(
  VLOOKUP(
    A20,
    IMPORTRANGE(
      ""1ZygntHC1J6IxzKbTidmOyf5nUyW4GCLurHCjexrLm_o        "",
      ""HTMLキャッシュ!A:F""
    ),
    6,
    FALSE
  ),
  0
)
"),"蜻蛉日記『人心うぢの網代』の本文・現代語訳を全文掲載。敬語（尊敬・謙譲・丁寧）を一覧で整理し、敬意の方向や語注も確認（関西学院大２０２０）。")</f>
        <v>蜻蛉日記『人心うぢの網代』の本文・現代語訳を全文掲載。敬語（尊敬・謙譲・丁寧）を一覧で整理し、敬意の方向や語注も確認（関西学院大２０２０）。</v>
      </c>
      <c r="G20" s="32">
        <f>IFERROR(__xludf.DUMMYFUNCTION("IFERROR(
  VLOOKUP(
    A20,
    IMPORTRANGE(
      ""1ZygntHC1J6IxzKbTidmOyf5nUyW4GCLurHCjexrLm_o        "",
      ""HTMLキャッシュ!A:F""
    ),
    3,
    FALSE
  ),
  0
)
"),46074.56798611111)</f>
        <v>46074.56799</v>
      </c>
      <c r="H20" s="49">
        <f>IFERROR(__xludf.DUMMYFUNCTION("IFERROR(
  VLOOKUP(
    A20,
    IMPORTRANGE(
      ""1ZHMy3vVUd_0MrSduXTe1etBb1HNpAlGwQr006ljwMiM"",
      ""GSC最新!A:F""
    ),
    2,
    FALSE
  ),
  0
)
"),47.0)</f>
        <v>47</v>
      </c>
      <c r="I20" s="49">
        <f>IFERROR(__xludf.DUMMYFUNCTION("IFERROR(
  VLOOKUP(
    A20,
    IMPORTRANGE(
      ""1ZHMy3vVUd_0MrSduXTe1etBb1HNpAlGwQr006ljwMiM"",
      ""GSC最新!A:F""
    ),
    3,
    FALSE
  ),
  0
)
"),141.0)</f>
        <v>141</v>
      </c>
      <c r="J20" s="49">
        <f>IFERROR(__xludf.DUMMYFUNCTION("IFERROR(
  VLOOKUP(
    A20,
    IMPORTRANGE(
      ""1ZHMy3vVUd_0MrSduXTe1etBb1HNpAlGwQr006ljwMiM"",
      ""GSC最新!A:F""
    ),
    4,
    FALSE
  ),
  0
)
"),3.0)</f>
        <v>3</v>
      </c>
      <c r="K20" s="49">
        <f>IFERROR(__xludf.DUMMYFUNCTION("IFERROR(
  VLOOKUP(
    A20,
    IMPORTRANGE(
      ""1ZHMy3vVUd_0MrSduXTe1etBb1HNpAlGwQr006ljwMiM"",
      ""GSC最新!A:F""
    ),
    5,
    FALSE
  ),
  0
)
"),30.0)</f>
        <v>30</v>
      </c>
      <c r="L20" s="50">
        <f t="shared" ref="L20:M20" si="92">IFERROR(H20/J20,"-")</f>
        <v>15.66666667</v>
      </c>
      <c r="M20" s="50">
        <f t="shared" si="92"/>
        <v>4.7</v>
      </c>
      <c r="N20" s="6">
        <f>IFERROR(__xludf.DUMMYFUNCTION("IFERROR(
  VLOOKUP(
    A20,
    IMPORTRANGE(
      ""1ZHMy3vVUd_0MrSduXTe1etBb1HNpAlGwQr006ljwMiM"",
      ""GSC最新!A:R""
    ),
    7,
    FALSE
  ),
  0
)
"),2375.0)</f>
        <v>2375</v>
      </c>
      <c r="O20" s="6">
        <f>IFERROR(__xludf.DUMMYFUNCTION("IFERROR(
  VLOOKUP(
    A20,
    IMPORTRANGE(
      ""1ZHMy3vVUd_0MrSduXTe1etBb1HNpAlGwQr006ljwMiM"",
      ""GSC最新!A:R""
    ),
    10,
    FALSE
  ),
  0
)
"),3505.0)</f>
        <v>3505</v>
      </c>
      <c r="P20" s="6">
        <f>IFERROR(__xludf.DUMMYFUNCTION("IFERROR(
  VLOOKUP(
    A20,
    IMPORTRANGE(
      ""1ZHMy3vVUd_0MrSduXTe1etBb1HNpAlGwQr006ljwMiM"",
      ""GSC最新!A:R""
    ),
    13,
    FALSE
  ),
  0
)
"),38.0)</f>
        <v>38</v>
      </c>
      <c r="Q20" s="6">
        <f>IFERROR(__xludf.DUMMYFUNCTION("IFERROR(
  VLOOKUP(
    A20,
    IMPORTRANGE(
      ""1ZHMy3vVUd_0MrSduXTe1etBb1HNpAlGwQr006ljwMiM"",
      ""GSC最新!A:R""
    ),
    16,
    FALSE
  ),
  0
)
"),285.0)</f>
        <v>285</v>
      </c>
      <c r="R20" s="51">
        <f t="shared" ref="R20:S20" si="93">IFERROR(N20/P20,"-")</f>
        <v>62.5</v>
      </c>
      <c r="S20" s="51">
        <f t="shared" si="93"/>
        <v>12.29824561</v>
      </c>
      <c r="T20" s="9">
        <f>IFERROR(__xludf.DUMMYFUNCTION("IFERROR(
  VLOOKUP(
    A20,
    IMPORTRANGE(
      ""1ZHMy3vVUd_0MrSduXTe1etBb1HNpAlGwQr006ljwMiM"",
      ""GSC最新!A:R""
    ),
    8,
    FALSE
  ),
  0
)
"),0.019789473684210527)</f>
        <v>0.01978947368</v>
      </c>
      <c r="U20" s="9">
        <f>IFERROR(__xludf.DUMMYFUNCTION("IFERROR(
  VLOOKUP(
    A20,
    IMPORTRANGE(
      ""1ZHMy3vVUd_0MrSduXTe1etBb1HNpAlGwQr006ljwMiM"",
      ""GSC最新!A:R""
    ),
    11,
    FALSE
  ),
  0
)
"),0.04022824536376605)</f>
        <v>0.04022824536</v>
      </c>
      <c r="V20" s="9">
        <f>IFERROR(__xludf.DUMMYFUNCTION("IFERROR(
  VLOOKUP(
    A20,
    IMPORTRANGE(
      ""1ZHMy3vVUd_0MrSduXTe1etBb1HNpAlGwQr006ljwMiM"",
      ""GSC最新!A:R""
    ),
    14,
    FALSE
  ),
  0
)
"),0.07894736842105263)</f>
        <v>0.07894736842</v>
      </c>
      <c r="W20" s="9">
        <f>IFERROR(__xludf.DUMMYFUNCTION("IFERROR(
  VLOOKUP(
    A20,
    IMPORTRANGE(
      ""1ZHMy3vVUd_0MrSduXTe1etBb1HNpAlGwQr006ljwMiM"",
      ""GSC最新!A:R""
    ),
    17,
    FALSE
  ),
  0
)
"),0.10526315789473684)</f>
        <v>0.1052631579</v>
      </c>
      <c r="X20" s="9">
        <f t="shared" ref="X20:Y20" si="94">IFERROR(T20-V20,"-")</f>
        <v>-0.05915789474</v>
      </c>
      <c r="Y20" s="9">
        <f t="shared" si="94"/>
        <v>-0.06503491253</v>
      </c>
      <c r="Z20" s="65">
        <f>IFERROR(__xludf.DUMMYFUNCTION("IFERROR(
  VLOOKUP(
    A20,
    IMPORTRANGE(
      ""1ZHMy3vVUd_0MrSduXTe1etBb1HNpAlGwQr006ljwMiM"",
      ""GSC最新!A:R""
    ),
    9,
    FALSE
  ),
  0
)
"),7.2425263157894735)</f>
        <v>7.242526316</v>
      </c>
      <c r="AA20" s="65">
        <f>IFERROR(__xludf.DUMMYFUNCTION("IFERROR(
  VLOOKUP(
    A20,
    IMPORTRANGE(
      ""1ZHMy3vVUd_0MrSduXTe1etBb1HNpAlGwQr006ljwMiM"",
      ""GSC最新!A:R""
    ),
    12,
    FALSE
  ),
  0
)
"),7.086733238231099)</f>
        <v>7.086733238</v>
      </c>
      <c r="AB20" s="65">
        <f>IFERROR(__xludf.DUMMYFUNCTION("IFERROR(
  VLOOKUP(
    A20,
    IMPORTRANGE(
      ""1ZHMy3vVUd_0MrSduXTe1etBb1HNpAlGwQr006ljwMiM"",
      ""GSC最新!A:R""
    ),
    15,
    FALSE
  ),
  0
)
"),9.210526315789474)</f>
        <v>9.210526316</v>
      </c>
      <c r="AC20" s="65">
        <f>IFERROR(__xludf.DUMMYFUNCTION("IFERROR(
  VLOOKUP(
    A20,
    IMPORTRANGE(
      ""1ZHMy3vVUd_0MrSduXTe1etBb1HNpAlGwQr006ljwMiM"",
      ""GSC最新!A:R""
    ),
    18,
    FALSE
  ),
  0
)
"),6.978947368421053)</f>
        <v>6.978947368</v>
      </c>
      <c r="AD20" s="65">
        <f t="shared" ref="AD20:AE20" si="95">Z20-AB20</f>
        <v>-1.968</v>
      </c>
      <c r="AE20" s="65">
        <f t="shared" si="95"/>
        <v>0.1077858698</v>
      </c>
      <c r="AF20" s="53">
        <f>IFERROR(__xludf.DUMMYFUNCTION("IFERROR(
  VLOOKUP(
    A20,
    IMPORTRANGE(
      ""1ZHMy3vVUd_0MrSduXTe1etBb1HNpAlGwQr006ljwMiM"",
      ""GSC最新!A:F""
    ),
    6,
    FALSE
  ),
  0
)
"),46081.0)</f>
        <v>46081</v>
      </c>
      <c r="AG20" s="54">
        <f>IFERROR(__xludf.DUMMYFUNCTION("IFERROR(
  VLOOKUP(
    A20,
    IMPORTRANGE(
      ""1SCYQd7_cobOYqT0r_F0IqD4tE4rYn5y8Eup4PJTH8es"",
      ""Snapshot!A:M""
    ),
    5,
    FALSE
  ),
  ""-""
)
"),9.0)</f>
        <v>9</v>
      </c>
      <c r="AH20" s="54">
        <f>IFERROR(__xludf.DUMMYFUNCTION("IFERROR(
  VLOOKUP(
    A20,
    IMPORTRANGE(
      ""1SCYQd7_cobOYqT0r_F0IqD4tE4rYn5y8Eup4PJTH8es"",
      ""Snapshot!A:M""
    ),
    6,
    FALSE
  ),
  0
)
"),9.0)</f>
        <v>9</v>
      </c>
      <c r="AI20" s="54">
        <f>IFERROR(__xludf.DUMMYFUNCTION("IFERROR(
  VLOOKUP(
    A20,
    IMPORTRANGE(
      ""1SCYQd7_cobOYqT0r_F0IqD4tE4rYn5y8Eup4PJTH8es"",
      ""Snapshot!A:M""
    ),
    7,
    FALSE
  ),
  0
)
"),6169.0)</f>
        <v>6169</v>
      </c>
      <c r="AJ20" s="54">
        <f>IFERROR(__xludf.DUMMYFUNCTION("IFERROR(
  VLOOKUP(
    A20,
    IMPORTRANGE(
      ""1SCYQd7_cobOYqT0r_F0IqD4tE4rYn5y8Eup4PJTH8es"",
      ""Snapshot!A:M""
    ),
    8,
    FALSE
  ),
  0
)
"),1.0)</f>
        <v>1</v>
      </c>
      <c r="AK20" s="54">
        <f>IFERROR(__xludf.DUMMYFUNCTION("IFERROR(
  VLOOKUP(
    A20,
    IMPORTRANGE(
      ""1SCYQd7_cobOYqT0r_F0IqD4tE4rYn5y8Eup4PJTH8es"",
      ""Snapshot!A:M""
    ),
    9,
    FALSE
  ),
  0
)
"),1.0)</f>
        <v>1</v>
      </c>
      <c r="AL20" s="54">
        <f>IFERROR(__xludf.DUMMYFUNCTION("IFERROR(
  VLOOKUP(
    A20,
    IMPORTRANGE(
      ""1SCYQd7_cobOYqT0r_F0IqD4tE4rYn5y8Eup4PJTH8es"",
      ""Snapshot!A:M""
    ),
    13,
    FALSE
  ),
  0
)
"),2.0)</f>
        <v>2</v>
      </c>
    </row>
    <row r="21">
      <c r="A21" s="3" t="s">
        <v>909</v>
      </c>
      <c r="B21" s="1" t="str">
        <f>IFERROR(__xludf.DUMMYFUNCTION("IFERROR(
  VLOOKUP(
    A21,
    IMPORTRANGE(
      ""1ZygntHC1J6IxzKbTidmOyf5nUyW4GCLurHCjexrLm_o"",
      ""HTMLキャッシュ!A:F""
    ),
    2,
    FALSE
  ),
  0
)
"),"MC")</f>
        <v>MC</v>
      </c>
      <c r="C21" s="49">
        <f t="shared" ref="C21:D21" si="96">LEN(E21)</f>
        <v>44</v>
      </c>
      <c r="D21" s="49">
        <f t="shared" si="96"/>
        <v>70</v>
      </c>
      <c r="E21" s="1" t="str">
        <f>IFERROR(__xludf.DUMMYFUNCTION("IFERROR(
  VLOOKUP(
    A21,
    IMPORTRANGE(
      ""1ZygntHC1J6IxzKbTidmOyf5nUyW4GCLurHCjexrLm_o"",
      ""HTMLキャッシュ!A:F""
    ),
    5,
    FALSE
  ),
  0
)
"),"古典常識「大内裏」とは？平安京の官庁街の場所と構造を図で解説 - 古典専門塾 かきつばた")</f>
        <v>古典常識「大内裏」とは？平安京の官庁街の場所と構造を図で解説 - 古典専門塾 かきつばた</v>
      </c>
      <c r="F21" s="1" t="str">
        <f>IFERROR(__xludf.DUMMYFUNCTION("IFERROR(
  VLOOKUP(
    A21,
    IMPORTRANGE(
      ""1ZygntHC1J6IxzKbTidmOyf5nUyW4GCLurHCjexrLm_o        "",
      ""HTMLキャッシュ!A:F""
    ),
    6,
    FALSE
  ),
  0
)
"),"大内裏は平安京のどこにあり、何をする場所か？朱雀大路・羅城門との位置関係や官庁の並び、大きさまで、大内裏図を使って高校古典向けに整理します。")</f>
        <v>大内裏は平安京のどこにあり、何をする場所か？朱雀大路・羅城門との位置関係や官庁の並び、大きさまで、大内裏図を使って高校古典向けに整理します。</v>
      </c>
      <c r="G21" s="32">
        <f>IFERROR(__xludf.DUMMYFUNCTION("IFERROR(
  VLOOKUP(
    A21,
    IMPORTRANGE(
      ""1ZygntHC1J6IxzKbTidmOyf5nUyW4GCLurHCjexrLm_o        "",
      ""HTMLキャッシュ!A:F""
    ),
    3,
    FALSE
  ),
  0
)
"),45990.65891203703)</f>
        <v>45990.65891</v>
      </c>
      <c r="H21" s="49">
        <f>IFERROR(__xludf.DUMMYFUNCTION("IFERROR(
  VLOOKUP(
    A21,
    IMPORTRANGE(
      ""1ZHMy3vVUd_0MrSduXTe1etBb1HNpAlGwQr006ljwMiM"",
      ""GSC最新!A:F""
    ),
    2,
    FALSE
  ),
  0
)
"),31.0)</f>
        <v>31</v>
      </c>
      <c r="I21" s="49">
        <f>IFERROR(__xludf.DUMMYFUNCTION("IFERROR(
  VLOOKUP(
    A21,
    IMPORTRANGE(
      ""1ZHMy3vVUd_0MrSduXTe1etBb1HNpAlGwQr006ljwMiM"",
      ""GSC最新!A:F""
    ),
    3,
    FALSE
  ),
  0
)
"),70.0)</f>
        <v>70</v>
      </c>
      <c r="J21" s="49">
        <f>IFERROR(__xludf.DUMMYFUNCTION("IFERROR(
  VLOOKUP(
    A21,
    IMPORTRANGE(
      ""1ZHMy3vVUd_0MrSduXTe1etBb1HNpAlGwQr006ljwMiM"",
      ""GSC最新!A:F""
    ),
    4,
    FALSE
  ),
  0
)
"),3.0)</f>
        <v>3</v>
      </c>
      <c r="K21" s="49">
        <f>IFERROR(__xludf.DUMMYFUNCTION("IFERROR(
  VLOOKUP(
    A21,
    IMPORTRANGE(
      ""1ZHMy3vVUd_0MrSduXTe1etBb1HNpAlGwQr006ljwMiM"",
      ""GSC最新!A:F""
    ),
    5,
    FALSE
  ),
  0
)
"),15.0)</f>
        <v>15</v>
      </c>
      <c r="L21" s="50">
        <f t="shared" ref="L21:M21" si="97">IFERROR(H21/J21,"-")</f>
        <v>10.33333333</v>
      </c>
      <c r="M21" s="50">
        <f t="shared" si="97"/>
        <v>4.666666667</v>
      </c>
      <c r="N21" s="6">
        <f>IFERROR(__xludf.DUMMYFUNCTION("IFERROR(
  VLOOKUP(
    A21,
    IMPORTRANGE(
      ""1ZHMy3vVUd_0MrSduXTe1etBb1HNpAlGwQr006ljwMiM"",
      ""GSC最新!A:R""
    ),
    7,
    FALSE
  ),
  0
)
"),4473.0)</f>
        <v>4473</v>
      </c>
      <c r="O21" s="6">
        <f>IFERROR(__xludf.DUMMYFUNCTION("IFERROR(
  VLOOKUP(
    A21,
    IMPORTRANGE(
      ""1ZHMy3vVUd_0MrSduXTe1etBb1HNpAlGwQr006ljwMiM"",
      ""GSC最新!A:R""
    ),
    10,
    FALSE
  ),
  0
)
"),10991.0)</f>
        <v>10991</v>
      </c>
      <c r="P21" s="6">
        <f>IFERROR(__xludf.DUMMYFUNCTION("IFERROR(
  VLOOKUP(
    A21,
    IMPORTRANGE(
      ""1ZHMy3vVUd_0MrSduXTe1etBb1HNpAlGwQr006ljwMiM"",
      ""GSC最新!A:R""
    ),
    13,
    FALSE
  ),
  0
)
"),770.0)</f>
        <v>770</v>
      </c>
      <c r="Q21" s="6">
        <f>IFERROR(__xludf.DUMMYFUNCTION("IFERROR(
  VLOOKUP(
    A21,
    IMPORTRANGE(
      ""1ZHMy3vVUd_0MrSduXTe1etBb1HNpAlGwQr006ljwMiM"",
      ""GSC最新!A:R""
    ),
    16,
    FALSE
  ),
  0
)
"),2596.0)</f>
        <v>2596</v>
      </c>
      <c r="R21" s="51">
        <f t="shared" ref="R21:S21" si="98">IFERROR(N21/P21,"-")</f>
        <v>5.809090909</v>
      </c>
      <c r="S21" s="51">
        <f t="shared" si="98"/>
        <v>4.233821263</v>
      </c>
      <c r="T21" s="9">
        <f>IFERROR(__xludf.DUMMYFUNCTION("IFERROR(
  VLOOKUP(
    A21,
    IMPORTRANGE(
      ""1ZHMy3vVUd_0MrSduXTe1etBb1HNpAlGwQr006ljwMiM"",
      ""GSC最新!A:R""
    ),
    8,
    FALSE
  ),
  0
)
"),0.0069304717192041135)</f>
        <v>0.006930471719</v>
      </c>
      <c r="U21" s="9">
        <f>IFERROR(__xludf.DUMMYFUNCTION("IFERROR(
  VLOOKUP(
    A21,
    IMPORTRANGE(
      ""1ZHMy3vVUd_0MrSduXTe1etBb1HNpAlGwQr006ljwMiM"",
      ""GSC最新!A:R""
    ),
    11,
    FALSE
  ),
  0
)
"),0.006368847238649804)</f>
        <v>0.006368847239</v>
      </c>
      <c r="V21" s="9">
        <f>IFERROR(__xludf.DUMMYFUNCTION("IFERROR(
  VLOOKUP(
    A21,
    IMPORTRANGE(
      ""1ZHMy3vVUd_0MrSduXTe1etBb1HNpAlGwQr006ljwMiM"",
      ""GSC最新!A:R""
    ),
    14,
    FALSE
  ),
  0
)
"),0.003896103896103896)</f>
        <v>0.003896103896</v>
      </c>
      <c r="W21" s="9">
        <f>IFERROR(__xludf.DUMMYFUNCTION("IFERROR(
  VLOOKUP(
    A21,
    IMPORTRANGE(
      ""1ZHMy3vVUd_0MrSduXTe1etBb1HNpAlGwQr006ljwMiM"",
      ""GSC最新!A:R""
    ),
    17,
    FALSE
  ),
  0
)
"),0.005778120184899846)</f>
        <v>0.005778120185</v>
      </c>
      <c r="X21" s="9">
        <f t="shared" ref="X21:Y21" si="99">IFERROR(T21-V21,"-")</f>
        <v>0.003034367823</v>
      </c>
      <c r="Y21" s="9">
        <f t="shared" si="99"/>
        <v>0.0005907270537</v>
      </c>
      <c r="Z21" s="65">
        <f>IFERROR(__xludf.DUMMYFUNCTION("IFERROR(
  VLOOKUP(
    A21,
    IMPORTRANGE(
      ""1ZHMy3vVUd_0MrSduXTe1etBb1HNpAlGwQr006ljwMiM"",
      ""GSC最新!A:R""
    ),
    9,
    FALSE
  ),
  0
)
"),4.705343170131902)</f>
        <v>4.70534317</v>
      </c>
      <c r="AA21" s="65">
        <f>IFERROR(__xludf.DUMMYFUNCTION("IFERROR(
  VLOOKUP(
    A21,
    IMPORTRANGE(
      ""1ZHMy3vVUd_0MrSduXTe1etBb1HNpAlGwQr006ljwMiM"",
      ""GSC最新!A:R""
    ),
    12,
    FALSE
  ),
  0
)
"),4.634792102629424)</f>
        <v>4.634792103</v>
      </c>
      <c r="AB21" s="65">
        <f>IFERROR(__xludf.DUMMYFUNCTION("IFERROR(
  VLOOKUP(
    A21,
    IMPORTRANGE(
      ""1ZHMy3vVUd_0MrSduXTe1etBb1HNpAlGwQr006ljwMiM"",
      ""GSC最新!A:R""
    ),
    15,
    FALSE
  ),
  0
)
"),11.814285714285715)</f>
        <v>11.81428571</v>
      </c>
      <c r="AC21" s="65">
        <f>IFERROR(__xludf.DUMMYFUNCTION("IFERROR(
  VLOOKUP(
    A21,
    IMPORTRANGE(
      ""1ZHMy3vVUd_0MrSduXTe1etBb1HNpAlGwQr006ljwMiM"",
      ""GSC最新!A:R""
    ),
    18,
    FALSE
  ),
  0
)
"),11.390986132511557)</f>
        <v>11.39098613</v>
      </c>
      <c r="AD21" s="65">
        <f t="shared" ref="AD21:AE21" si="100">Z21-AB21</f>
        <v>-7.108942544</v>
      </c>
      <c r="AE21" s="65">
        <f t="shared" si="100"/>
        <v>-6.75619403</v>
      </c>
      <c r="AF21" s="53">
        <f>IFERROR(__xludf.DUMMYFUNCTION("IFERROR(
  VLOOKUP(
    A21,
    IMPORTRANGE(
      ""1ZHMy3vVUd_0MrSduXTe1etBb1HNpAlGwQr006ljwMiM"",
      ""GSC最新!A:F""
    ),
    6,
    FALSE
  ),
  0
)
"),46081.0)</f>
        <v>46081</v>
      </c>
      <c r="AG21" s="54">
        <f>IFERROR(__xludf.DUMMYFUNCTION("IFERROR(
  VLOOKUP(
    A21,
    IMPORTRANGE(
      ""1SCYQd7_cobOYqT0r_F0IqD4tE4rYn5y8Eup4PJTH8es"",
      ""Snapshot!A:M""
    ),
    5,
    FALSE
  ),
  ""-""
)
"),8.0)</f>
        <v>8</v>
      </c>
      <c r="AH21" s="54">
        <f>IFERROR(__xludf.DUMMYFUNCTION("IFERROR(
  VLOOKUP(
    A21,
    IMPORTRANGE(
      ""1SCYQd7_cobOYqT0r_F0IqD4tE4rYn5y8Eup4PJTH8es"",
      ""Snapshot!A:M""
    ),
    6,
    FALSE
  ),
  0
)
"),0.0)</f>
        <v>0</v>
      </c>
      <c r="AI21" s="54">
        <f>IFERROR(__xludf.DUMMYFUNCTION("IFERROR(
  VLOOKUP(
    A21,
    IMPORTRANGE(
      ""1SCYQd7_cobOYqT0r_F0IqD4tE4rYn5y8Eup4PJTH8es"",
      ""Snapshot!A:M""
    ),
    7,
    FALSE
  ),
  0
)
"),2658.0)</f>
        <v>2658</v>
      </c>
      <c r="AJ21" s="54">
        <f>IFERROR(__xludf.DUMMYFUNCTION("IFERROR(
  VLOOKUP(
    A21,
    IMPORTRANGE(
      ""1SCYQd7_cobOYqT0r_F0IqD4tE4rYn5y8Eup4PJTH8es"",
      ""Snapshot!A:M""
    ),
    8,
    FALSE
  ),
  0
)
"),4.0)</f>
        <v>4</v>
      </c>
      <c r="AK21" s="54">
        <f>IFERROR(__xludf.DUMMYFUNCTION("IFERROR(
  VLOOKUP(
    A21,
    IMPORTRANGE(
      ""1SCYQd7_cobOYqT0r_F0IqD4tE4rYn5y8Eup4PJTH8es"",
      ""Snapshot!A:M""
    ),
    9,
    FALSE
  ),
  0
)
"),0.0)</f>
        <v>0</v>
      </c>
      <c r="AL21" s="54">
        <f>IFERROR(__xludf.DUMMYFUNCTION("IFERROR(
  VLOOKUP(
    A21,
    IMPORTRANGE(
      ""1SCYQd7_cobOYqT0r_F0IqD4tE4rYn5y8Eup4PJTH8es"",
      ""Snapshot!A:M""
    ),
    13,
    FALSE
  ),
  0
)
"),2.0)</f>
        <v>2</v>
      </c>
    </row>
    <row r="22">
      <c r="A22" s="1" t="s">
        <v>910</v>
      </c>
      <c r="B22" s="1" t="str">
        <f>IFERROR(__xludf.DUMMYFUNCTION("IFERROR(
  VLOOKUP(
    A22,
    IMPORTRANGE(
      ""1ZygntHC1J6IxzKbTidmOyf5nUyW4GCLurHCjexrLm_o"",
      ""HTMLキャッシュ!A:F""
    ),
    2,
    FALSE
  ),
  0
)
"),"MC")</f>
        <v>MC</v>
      </c>
      <c r="C22" s="49">
        <f t="shared" ref="C22:D22" si="101">LEN(E22)</f>
        <v>28</v>
      </c>
      <c r="D22" s="49">
        <f t="shared" si="101"/>
        <v>73</v>
      </c>
      <c r="E22" s="1" t="str">
        <f>IFERROR(__xludf.DUMMYFUNCTION("IFERROR(
  VLOOKUP(
    A22,
    IMPORTRANGE(
      ""1ZygntHC1J6IxzKbTidmOyf5nUyW4GCLurHCjexrLm_o"",
      ""HTMLキャッシュ!A:F""
    ),
    5,
    FALSE
  ),
  0
)
"),"眠れる分度器も話題｜共通テスト古文漢文の選択肢処理と精読")</f>
        <v>眠れる分度器も話題｜共通テスト古文漢文の選択肢処理と精読</v>
      </c>
      <c r="F22" s="1" t="str">
        <f>IFERROR(__xludf.DUMMYFUNCTION("IFERROR(
  VLOOKUP(
    A22,
    IMPORTRANGE(
      ""1ZygntHC1J6IxzKbTidmOyf5nUyW4GCLurHCjexrLm_o        "",
      ""HTMLキャッシュ!A:F""
    ),
    6,
    FALSE
  ),
  0
)
"),"眠れる分度器（1999年センター）にも触れつつ、共通テスト国語の古文漢文を対談で整理。長い選択肢の切り方、二択後の確認、戻り読みの精読をまとめる。")</f>
        <v>眠れる分度器（1999年センター）にも触れつつ、共通テスト国語の古文漢文を対談で整理。長い選択肢の切り方、二択後の確認、戻り読みの精読をまとめる。</v>
      </c>
      <c r="G22" s="32">
        <f>IFERROR(__xludf.DUMMYFUNCTION("IFERROR(
  VLOOKUP(
    A22,
    IMPORTRANGE(
      ""1ZygntHC1J6IxzKbTidmOyf5nUyW4GCLurHCjexrLm_o        "",
      ""HTMLキャッシュ!A:F""
    ),
    3,
    FALSE
  ),
  0
)
"),46078.614953703705)</f>
        <v>46078.61495</v>
      </c>
      <c r="H22" s="49">
        <f>IFERROR(__xludf.DUMMYFUNCTION("IFERROR(
  VLOOKUP(
    A22,
    IMPORTRANGE(
      ""1ZHMy3vVUd_0MrSduXTe1etBb1HNpAlGwQr006ljwMiM"",
      ""GSC最新!A:F""
    ),
    2,
    FALSE
  ),
  0
)
"),6.0)</f>
        <v>6</v>
      </c>
      <c r="I22" s="49">
        <f>IFERROR(__xludf.DUMMYFUNCTION("IFERROR(
  VLOOKUP(
    A22,
    IMPORTRANGE(
      ""1ZHMy3vVUd_0MrSduXTe1etBb1HNpAlGwQr006ljwMiM"",
      ""GSC最新!A:F""
    ),
    3,
    FALSE
  ),
  0
)
"),41.0)</f>
        <v>41</v>
      </c>
      <c r="J22" s="49">
        <f>IFERROR(__xludf.DUMMYFUNCTION("IFERROR(
  VLOOKUP(
    A22,
    IMPORTRANGE(
      ""1ZHMy3vVUd_0MrSduXTe1etBb1HNpAlGwQr006ljwMiM"",
      ""GSC最新!A:F""
    ),
    4,
    FALSE
  ),
  0
)
"),9.0)</f>
        <v>9</v>
      </c>
      <c r="K22" s="49">
        <f>IFERROR(__xludf.DUMMYFUNCTION("IFERROR(
  VLOOKUP(
    A22,
    IMPORTRANGE(
      ""1ZHMy3vVUd_0MrSduXTe1etBb1HNpAlGwQr006ljwMiM"",
      ""GSC最新!A:F""
    ),
    5,
    FALSE
  ),
  0
)
"),43.0)</f>
        <v>43</v>
      </c>
      <c r="L22" s="50">
        <f t="shared" ref="L22:M22" si="102">IFERROR(H22/J22,"-")</f>
        <v>0.6666666667</v>
      </c>
      <c r="M22" s="50">
        <f t="shared" si="102"/>
        <v>0.9534883721</v>
      </c>
      <c r="N22" s="6">
        <f>IFERROR(__xludf.DUMMYFUNCTION("IFERROR(
  VLOOKUP(
    A22,
    IMPORTRANGE(
      ""1ZHMy3vVUd_0MrSduXTe1etBb1HNpAlGwQr006ljwMiM"",
      ""GSC最新!A:R""
    ),
    7,
    FALSE
  ),
  0
)
"),182.0)</f>
        <v>182</v>
      </c>
      <c r="O22" s="6">
        <f>IFERROR(__xludf.DUMMYFUNCTION("IFERROR(
  VLOOKUP(
    A22,
    IMPORTRANGE(
      ""1ZHMy3vVUd_0MrSduXTe1etBb1HNpAlGwQr006ljwMiM"",
      ""GSC最新!A:R""
    ),
    10,
    FALSE
  ),
  0
)
"),785.0)</f>
        <v>785</v>
      </c>
      <c r="P22" s="6">
        <f>IFERROR(__xludf.DUMMYFUNCTION("IFERROR(
  VLOOKUP(
    A22,
    IMPORTRANGE(
      ""1ZHMy3vVUd_0MrSduXTe1etBb1HNpAlGwQr006ljwMiM"",
      ""GSC最新!A:R""
    ),
    13,
    FALSE
  ),
  0
)
"),129.0)</f>
        <v>129</v>
      </c>
      <c r="Q22" s="6">
        <f>IFERROR(__xludf.DUMMYFUNCTION("IFERROR(
  VLOOKUP(
    A22,
    IMPORTRANGE(
      ""1ZHMy3vVUd_0MrSduXTe1etBb1HNpAlGwQr006ljwMiM"",
      ""GSC最新!A:R""
    ),
    16,
    FALSE
  ),
  0
)
"),1557.0)</f>
        <v>1557</v>
      </c>
      <c r="R22" s="51">
        <f t="shared" ref="R22:S22" si="103">IFERROR(N22/P22,"-")</f>
        <v>1.410852713</v>
      </c>
      <c r="S22" s="51">
        <f t="shared" si="103"/>
        <v>0.5041746949</v>
      </c>
      <c r="T22" s="9">
        <f>IFERROR(__xludf.DUMMYFUNCTION("IFERROR(
  VLOOKUP(
    A22,
    IMPORTRANGE(
      ""1ZHMy3vVUd_0MrSduXTe1etBb1HNpAlGwQr006ljwMiM"",
      ""GSC最新!A:R""
    ),
    8,
    FALSE
  ),
  0
)
"),0.03296703296703297)</f>
        <v>0.03296703297</v>
      </c>
      <c r="U22" s="9">
        <f>IFERROR(__xludf.DUMMYFUNCTION("IFERROR(
  VLOOKUP(
    A22,
    IMPORTRANGE(
      ""1ZHMy3vVUd_0MrSduXTe1etBb1HNpAlGwQr006ljwMiM"",
      ""GSC最新!A:R""
    ),
    11,
    FALSE
  ),
  0
)
"),0.05222929936305733)</f>
        <v>0.05222929936</v>
      </c>
      <c r="V22" s="9">
        <f>IFERROR(__xludf.DUMMYFUNCTION("IFERROR(
  VLOOKUP(
    A22,
    IMPORTRANGE(
      ""1ZHMy3vVUd_0MrSduXTe1etBb1HNpAlGwQr006ljwMiM"",
      ""GSC最新!A:R""
    ),
    14,
    FALSE
  ),
  0
)
"),0.06976744186046512)</f>
        <v>0.06976744186</v>
      </c>
      <c r="W22" s="9">
        <f>IFERROR(__xludf.DUMMYFUNCTION("IFERROR(
  VLOOKUP(
    A22,
    IMPORTRANGE(
      ""1ZHMy3vVUd_0MrSduXTe1etBb1HNpAlGwQr006ljwMiM"",
      ""GSC最新!A:R""
    ),
    17,
    FALSE
  ),
  0
)
"),0.027617212588310854)</f>
        <v>0.02761721259</v>
      </c>
      <c r="X22" s="9">
        <f t="shared" ref="X22:Y22" si="104">IFERROR(T22-V22,"-")</f>
        <v>-0.03680040889</v>
      </c>
      <c r="Y22" s="9">
        <f t="shared" si="104"/>
        <v>0.02461208677</v>
      </c>
      <c r="Z22" s="65">
        <f>IFERROR(__xludf.DUMMYFUNCTION("IFERROR(
  VLOOKUP(
    A22,
    IMPORTRANGE(
      ""1ZHMy3vVUd_0MrSduXTe1etBb1HNpAlGwQr006ljwMiM"",
      ""GSC最新!A:R""
    ),
    9,
    FALSE
  ),
  0
)
"),7.104395604395604)</f>
        <v>7.104395604</v>
      </c>
      <c r="AA22" s="65">
        <f>IFERROR(__xludf.DUMMYFUNCTION("IFERROR(
  VLOOKUP(
    A22,
    IMPORTRANGE(
      ""1ZHMy3vVUd_0MrSduXTe1etBb1HNpAlGwQr006ljwMiM"",
      ""GSC最新!A:R""
    ),
    12,
    FALSE
  ),
  0
)
"),8.601273885350318)</f>
        <v>8.601273885</v>
      </c>
      <c r="AB22" s="65">
        <f>IFERROR(__xludf.DUMMYFUNCTION("IFERROR(
  VLOOKUP(
    A22,
    IMPORTRANGE(
      ""1ZHMy3vVUd_0MrSduXTe1etBb1HNpAlGwQr006ljwMiM"",
      ""GSC最新!A:R""
    ),
    15,
    FALSE
  ),
  0
)
"),15.930232558139535)</f>
        <v>15.93023256</v>
      </c>
      <c r="AC22" s="65">
        <f>IFERROR(__xludf.DUMMYFUNCTION("IFERROR(
  VLOOKUP(
    A22,
    IMPORTRANGE(
      ""1ZHMy3vVUd_0MrSduXTe1etBb1HNpAlGwQr006ljwMiM"",
      ""GSC最新!A:R""
    ),
    18,
    FALSE
  ),
  0
)
"),15.327552986512524)</f>
        <v>15.32755299</v>
      </c>
      <c r="AD22" s="65">
        <f t="shared" ref="AD22:AE22" si="105">Z22-AB22</f>
        <v>-8.825836954</v>
      </c>
      <c r="AE22" s="65">
        <f t="shared" si="105"/>
        <v>-6.726279101</v>
      </c>
      <c r="AF22" s="53">
        <f>IFERROR(__xludf.DUMMYFUNCTION("IFERROR(
  VLOOKUP(
    A22,
    IMPORTRANGE(
      ""1ZHMy3vVUd_0MrSduXTe1etBb1HNpAlGwQr006ljwMiM"",
      ""GSC最新!A:F""
    ),
    6,
    FALSE
  ),
  0
)
"),46081.0)</f>
        <v>46081</v>
      </c>
      <c r="AG22" s="54">
        <f>IFERROR(__xludf.DUMMYFUNCTION("IFERROR(
  VLOOKUP(
    A22,
    IMPORTRANGE(
      ""1SCYQd7_cobOYqT0r_F0IqD4tE4rYn5y8Eup4PJTH8es"",
      ""Snapshot!A:M""
    ),
    5,
    FALSE
  ),
  ""-""
)
"),4.0)</f>
        <v>4</v>
      </c>
      <c r="AH22" s="54">
        <f>IFERROR(__xludf.DUMMYFUNCTION("IFERROR(
  VLOOKUP(
    A22,
    IMPORTRANGE(
      ""1SCYQd7_cobOYqT0r_F0IqD4tE4rYn5y8Eup4PJTH8es"",
      ""Snapshot!A:M""
    ),
    6,
    FALSE
  ),
  0
)
"),1.0)</f>
        <v>1</v>
      </c>
      <c r="AI22" s="54">
        <f>IFERROR(__xludf.DUMMYFUNCTION("IFERROR(
  VLOOKUP(
    A22,
    IMPORTRANGE(
      ""1SCYQd7_cobOYqT0r_F0IqD4tE4rYn5y8Eup4PJTH8es"",
      ""Snapshot!A:M""
    ),
    7,
    FALSE
  ),
  0
)
"),6912.0)</f>
        <v>6912</v>
      </c>
      <c r="AJ22" s="54">
        <f>IFERROR(__xludf.DUMMYFUNCTION("IFERROR(
  VLOOKUP(
    A22,
    IMPORTRANGE(
      ""1SCYQd7_cobOYqT0r_F0IqD4tE4rYn5y8Eup4PJTH8es"",
      ""Snapshot!A:M""
    ),
    8,
    FALSE
  ),
  0
)
"),1.0)</f>
        <v>1</v>
      </c>
      <c r="AK22" s="54">
        <f>IFERROR(__xludf.DUMMYFUNCTION("IFERROR(
  VLOOKUP(
    A22,
    IMPORTRANGE(
      ""1SCYQd7_cobOYqT0r_F0IqD4tE4rYn5y8Eup4PJTH8es"",
      ""Snapshot!A:M""
    ),
    9,
    FALSE
  ),
  0
)
"),0.0)</f>
        <v>0</v>
      </c>
      <c r="AL22" s="54">
        <f>IFERROR(__xludf.DUMMYFUNCTION("IFERROR(
  VLOOKUP(
    A22,
    IMPORTRANGE(
      ""1SCYQd7_cobOYqT0r_F0IqD4tE4rYn5y8Eup4PJTH8es"",
      ""Snapshot!A:M""
    ),
    13,
    FALSE
  ),
  0
)
"),2.0)</f>
        <v>2</v>
      </c>
    </row>
    <row r="23">
      <c r="A23" s="1" t="s">
        <v>911</v>
      </c>
      <c r="B23" s="1" t="str">
        <f>IFERROR(__xludf.DUMMYFUNCTION("IFERROR(
  VLOOKUP(
    A23,
    IMPORTRANGE(
      ""1ZygntHC1J6IxzKbTidmOyf5nUyW4GCLurHCjexrLm_o"",
      ""HTMLキャッシュ!A:F""
    ),
    2,
    FALSE
  ),
  0
)
"),"MC")</f>
        <v>MC</v>
      </c>
      <c r="C23" s="49">
        <f t="shared" ref="C23:D23" si="106">LEN(E23)</f>
        <v>29</v>
      </c>
      <c r="D23" s="49">
        <f t="shared" si="106"/>
        <v>78</v>
      </c>
      <c r="E23" s="1" t="str">
        <f>IFERROR(__xludf.DUMMYFUNCTION("IFERROR(
  VLOOKUP(
    A23,
    IMPORTRANGE(
      ""1ZygntHC1J6IxzKbTidmOyf5nUyW4GCLurHCjexrLm_o"",
      ""HTMLキャッシュ!A:F""
    ),
    5,
    FALSE
  ),
  0
)
"),"古文の読み方｜初見・特殊な文章に強くなる勉強法｜高校生向け")</f>
        <v>古文の読み方｜初見・特殊な文章に強くなる勉強法｜高校生向け</v>
      </c>
      <c r="F23" s="1" t="str">
        <f>IFERROR(__xludf.DUMMYFUNCTION("IFERROR(
  VLOOKUP(
    A23,
    IMPORTRANGE(
      ""1ZygntHC1J6IxzKbTidmOyf5nUyW4GCLurHCjexrLm_o        "",
      ""HTMLキャッシュ!A:F""
    ),
    6,
    FALSE
  ),
  0
)
"),"古文の読み方を、初見や特殊な文章で読みづらい高校生・受験生向けに解説。文法・品詞分解・演習量・古典常識の学び方と、国語便覧・源氏物語の活用法を具体的に紹介。")</f>
        <v>古文の読み方を、初見や特殊な文章で読みづらい高校生・受験生向けに解説。文法・品詞分解・演習量・古典常識の学び方と、国語便覧・源氏物語の活用法を具体的に紹介。</v>
      </c>
      <c r="G23" s="32">
        <f>IFERROR(__xludf.DUMMYFUNCTION("IFERROR(
  VLOOKUP(
    A23,
    IMPORTRANGE(
      ""1ZygntHC1J6IxzKbTidmOyf5nUyW4GCLurHCjexrLm_o        "",
      ""HTMLキャッシュ!A:F""
    ),
    3,
    FALSE
  ),
  0
)
"),46078.67854166667)</f>
        <v>46078.67854</v>
      </c>
      <c r="H23" s="49">
        <f>IFERROR(__xludf.DUMMYFUNCTION("IFERROR(
  VLOOKUP(
    A23,
    IMPORTRANGE(
      ""1ZHMy3vVUd_0MrSduXTe1etBb1HNpAlGwQr006ljwMiM"",
      ""GSC最新!A:F""
    ),
    2,
    FALSE
  ),
  0
)
"),20.0)</f>
        <v>20</v>
      </c>
      <c r="I23" s="49">
        <f>IFERROR(__xludf.DUMMYFUNCTION("IFERROR(
  VLOOKUP(
    A23,
    IMPORTRANGE(
      ""1ZHMy3vVUd_0MrSduXTe1etBb1HNpAlGwQr006ljwMiM"",
      ""GSC最新!A:F""
    ),
    3,
    FALSE
  ),
  0
)
"),50.0)</f>
        <v>50</v>
      </c>
      <c r="J23" s="49">
        <f>IFERROR(__xludf.DUMMYFUNCTION("IFERROR(
  VLOOKUP(
    A23,
    IMPORTRANGE(
      ""1ZHMy3vVUd_0MrSduXTe1etBb1HNpAlGwQr006ljwMiM"",
      ""GSC最新!A:F""
    ),
    4,
    FALSE
  ),
  0
)
"),18.0)</f>
        <v>18</v>
      </c>
      <c r="K23" s="49">
        <f>IFERROR(__xludf.DUMMYFUNCTION("IFERROR(
  VLOOKUP(
    A23,
    IMPORTRANGE(
      ""1ZHMy3vVUd_0MrSduXTe1etBb1HNpAlGwQr006ljwMiM"",
      ""GSC最新!A:F""
    ),
    5,
    FALSE
  ),
  0
)
"),39.0)</f>
        <v>39</v>
      </c>
      <c r="L23" s="50">
        <f t="shared" ref="L23:M23" si="107">IFERROR(H23/J23,"-")</f>
        <v>1.111111111</v>
      </c>
      <c r="M23" s="50">
        <f t="shared" si="107"/>
        <v>1.282051282</v>
      </c>
      <c r="N23" s="6">
        <f>IFERROR(__xludf.DUMMYFUNCTION("IFERROR(
  VLOOKUP(
    A23,
    IMPORTRANGE(
      ""1ZHMy3vVUd_0MrSduXTe1etBb1HNpAlGwQr006ljwMiM"",
      ""GSC最新!A:R""
    ),
    7,
    FALSE
  ),
  0
)
"),1053.0)</f>
        <v>1053</v>
      </c>
      <c r="O23" s="6">
        <f>IFERROR(__xludf.DUMMYFUNCTION("IFERROR(
  VLOOKUP(
    A23,
    IMPORTRANGE(
      ""1ZHMy3vVUd_0MrSduXTe1etBb1HNpAlGwQr006ljwMiM"",
      ""GSC最新!A:R""
    ),
    10,
    FALSE
  ),
  0
)
"),2089.0)</f>
        <v>2089</v>
      </c>
      <c r="P23" s="6">
        <f>IFERROR(__xludf.DUMMYFUNCTION("IFERROR(
  VLOOKUP(
    A23,
    IMPORTRANGE(
      ""1ZHMy3vVUd_0MrSduXTe1etBb1HNpAlGwQr006ljwMiM"",
      ""GSC最新!A:R""
    ),
    13,
    FALSE
  ),
  0
)
"),198.0)</f>
        <v>198</v>
      </c>
      <c r="Q23" s="6">
        <f>IFERROR(__xludf.DUMMYFUNCTION("IFERROR(
  VLOOKUP(
    A23,
    IMPORTRANGE(
      ""1ZHMy3vVUd_0MrSduXTe1etBb1HNpAlGwQr006ljwMiM"",
      ""GSC最新!A:R""
    ),
    16,
    FALSE
  ),
  0
)
"),573.0)</f>
        <v>573</v>
      </c>
      <c r="R23" s="51">
        <f t="shared" ref="R23:S23" si="108">IFERROR(N23/P23,"-")</f>
        <v>5.318181818</v>
      </c>
      <c r="S23" s="51">
        <f t="shared" si="108"/>
        <v>3.645724258</v>
      </c>
      <c r="T23" s="9">
        <f>IFERROR(__xludf.DUMMYFUNCTION("IFERROR(
  VLOOKUP(
    A23,
    IMPORTRANGE(
      ""1ZHMy3vVUd_0MrSduXTe1etBb1HNpAlGwQr006ljwMiM"",
      ""GSC最新!A:R""
    ),
    8,
    FALSE
  ),
  0
)
"),0.01899335232668566)</f>
        <v>0.01899335233</v>
      </c>
      <c r="U23" s="9">
        <f>IFERROR(__xludf.DUMMYFUNCTION("IFERROR(
  VLOOKUP(
    A23,
    IMPORTRANGE(
      ""1ZHMy3vVUd_0MrSduXTe1etBb1HNpAlGwQr006ljwMiM"",
      ""GSC最新!A:R""
    ),
    11,
    FALSE
  ),
  0
)
"),0.023934897079942556)</f>
        <v>0.02393489708</v>
      </c>
      <c r="V23" s="9">
        <f>IFERROR(__xludf.DUMMYFUNCTION("IFERROR(
  VLOOKUP(
    A23,
    IMPORTRANGE(
      ""1ZHMy3vVUd_0MrSduXTe1etBb1HNpAlGwQr006ljwMiM"",
      ""GSC最新!A:R""
    ),
    14,
    FALSE
  ),
  0
)
"),0.09090909090909091)</f>
        <v>0.09090909091</v>
      </c>
      <c r="W23" s="9">
        <f>IFERROR(__xludf.DUMMYFUNCTION("IFERROR(
  VLOOKUP(
    A23,
    IMPORTRANGE(
      ""1ZHMy3vVUd_0MrSduXTe1etBb1HNpAlGwQr006ljwMiM"",
      ""GSC最新!A:R""
    ),
    17,
    FALSE
  ),
  0
)
"),0.06806282722513089)</f>
        <v>0.06806282723</v>
      </c>
      <c r="X23" s="9">
        <f t="shared" ref="X23:Y23" si="109">IFERROR(T23-V23,"-")</f>
        <v>-0.07191573858</v>
      </c>
      <c r="Y23" s="9">
        <f t="shared" si="109"/>
        <v>-0.04412793015</v>
      </c>
      <c r="Z23" s="65">
        <f>IFERROR(__xludf.DUMMYFUNCTION("IFERROR(
  VLOOKUP(
    A23,
    IMPORTRANGE(
      ""1ZHMy3vVUd_0MrSduXTe1etBb1HNpAlGwQr006ljwMiM"",
      ""GSC最新!A:R""
    ),
    9,
    FALSE
  ),
  0
)
"),7.47008547008547)</f>
        <v>7.47008547</v>
      </c>
      <c r="AA23" s="65">
        <f>IFERROR(__xludf.DUMMYFUNCTION("IFERROR(
  VLOOKUP(
    A23,
    IMPORTRANGE(
      ""1ZHMy3vVUd_0MrSduXTe1etBb1HNpAlGwQr006ljwMiM"",
      ""GSC最新!A:R""
    ),
    12,
    FALSE
  ),
  0
)
"),7.2202010531354714)</f>
        <v>7.220201053</v>
      </c>
      <c r="AB23" s="65">
        <f>IFERROR(__xludf.DUMMYFUNCTION("IFERROR(
  VLOOKUP(
    A23,
    IMPORTRANGE(
      ""1ZHMy3vVUd_0MrSduXTe1etBb1HNpAlGwQr006ljwMiM"",
      ""GSC最新!A:R""
    ),
    15,
    FALSE
  ),
  0
)
"),6.762626262626263)</f>
        <v>6.762626263</v>
      </c>
      <c r="AC23" s="65">
        <f>IFERROR(__xludf.DUMMYFUNCTION("IFERROR(
  VLOOKUP(
    A23,
    IMPORTRANGE(
      ""1ZHMy3vVUd_0MrSduXTe1etBb1HNpAlGwQr006ljwMiM"",
      ""GSC最新!A:R""
    ),
    18,
    FALSE
  ),
  0
)
"),9.397905759162304)</f>
        <v>9.397905759</v>
      </c>
      <c r="AD23" s="65">
        <f t="shared" ref="AD23:AE23" si="110">Z23-AB23</f>
        <v>0.7074592075</v>
      </c>
      <c r="AE23" s="65">
        <f t="shared" si="110"/>
        <v>-2.177704706</v>
      </c>
      <c r="AF23" s="53">
        <f>IFERROR(__xludf.DUMMYFUNCTION("IFERROR(
  VLOOKUP(
    A23,
    IMPORTRANGE(
      ""1ZHMy3vVUd_0MrSduXTe1etBb1HNpAlGwQr006ljwMiM"",
      ""GSC最新!A:F""
    ),
    6,
    FALSE
  ),
  0
)
"),46081.0)</f>
        <v>46081</v>
      </c>
      <c r="AG23" s="54">
        <f>IFERROR(__xludf.DUMMYFUNCTION("IFERROR(
  VLOOKUP(
    A23,
    IMPORTRANGE(
      ""1SCYQd7_cobOYqT0r_F0IqD4tE4rYn5y8Eup4PJTH8es"",
      ""Snapshot!A:M""
    ),
    5,
    FALSE
  ),
  ""-""
)
"),2.0)</f>
        <v>2</v>
      </c>
      <c r="AH23" s="54">
        <f>IFERROR(__xludf.DUMMYFUNCTION("IFERROR(
  VLOOKUP(
    A23,
    IMPORTRANGE(
      ""1SCYQd7_cobOYqT0r_F0IqD4tE4rYn5y8Eup4PJTH8es"",
      ""Snapshot!A:M""
    ),
    6,
    FALSE
  ),
  0
)
"),0.0)</f>
        <v>0</v>
      </c>
      <c r="AI23" s="54">
        <f>IFERROR(__xludf.DUMMYFUNCTION("IFERROR(
  VLOOKUP(
    A23,
    IMPORTRANGE(
      ""1SCYQd7_cobOYqT0r_F0IqD4tE4rYn5y8Eup4PJTH8es"",
      ""Snapshot!A:M""
    ),
    7,
    FALSE
  ),
  0
)
"),2702.0)</f>
        <v>2702</v>
      </c>
      <c r="AJ23" s="54">
        <f>IFERROR(__xludf.DUMMYFUNCTION("IFERROR(
  VLOOKUP(
    A23,
    IMPORTRANGE(
      ""1SCYQd7_cobOYqT0r_F0IqD4tE4rYn5y8Eup4PJTH8es"",
      ""Snapshot!A:M""
    ),
    8,
    FALSE
  ),
  0
)
"),1.0)</f>
        <v>1</v>
      </c>
      <c r="AK23" s="54">
        <f>IFERROR(__xludf.DUMMYFUNCTION("IFERROR(
  VLOOKUP(
    A23,
    IMPORTRANGE(
      ""1SCYQd7_cobOYqT0r_F0IqD4tE4rYn5y8Eup4PJTH8es"",
      ""Snapshot!A:M""
    ),
    9,
    FALSE
  ),
  0
)
"),0.0)</f>
        <v>0</v>
      </c>
      <c r="AL23" s="54">
        <f>IFERROR(__xludf.DUMMYFUNCTION("IFERROR(
  VLOOKUP(
    A23,
    IMPORTRANGE(
      ""1SCYQd7_cobOYqT0r_F0IqD4tE4rYn5y8Eup4PJTH8es"",
      ""Snapshot!A:M""
    ),
    13,
    FALSE
  ),
  0
)
"),2.0)</f>
        <v>2</v>
      </c>
    </row>
    <row r="24">
      <c r="A24" s="3" t="s">
        <v>912</v>
      </c>
      <c r="B24" s="1" t="str">
        <f>IFERROR(__xludf.DUMMYFUNCTION("IFERROR(
  VLOOKUP(
    A24,
    IMPORTRANGE(
      ""1ZygntHC1J6IxzKbTidmOyf5nUyW4GCLurHCjexrLm_o"",
      ""HTMLキャッシュ!A:F""
    ),
    2,
    FALSE
  ),
  0
)
"),"MC")</f>
        <v>MC</v>
      </c>
      <c r="C24" s="49">
        <f t="shared" ref="C24:D24" si="111">LEN(E24)</f>
        <v>28</v>
      </c>
      <c r="D24" s="49">
        <f t="shared" si="111"/>
        <v>64</v>
      </c>
      <c r="E24" s="1" t="str">
        <f>IFERROR(__xludf.DUMMYFUNCTION("IFERROR(
  VLOOKUP(
    A24,
    IMPORTRANGE(
      ""1ZygntHC1J6IxzKbTidmOyf5nUyW4GCLurHCjexrLm_o"",
      ""HTMLキャッシュ!A:F""
    ),
    5,
    FALSE
  ),
  0
)
"),"古典を得意にする勉強法｜助動詞・単語・演習で土台を鍛える")</f>
        <v>古典を得意にする勉強法｜助動詞・単語・演習で土台を鍛える</v>
      </c>
      <c r="F24" s="1" t="str">
        <f>IFERROR(__xludf.DUMMYFUNCTION("IFERROR(
  VLOOKUP(
    A24,
    IMPORTRANGE(
      ""1ZygntHC1J6IxzKbTidmOyf5nUyW4GCLurHCjexrLm_o        "",
      ""HTMLキャッシュ!A:F""
    ),
    6,
    FALSE
  ),
  0
)
"),"助動詞が覚えられない中高生へ。活用表PDFと歌で活用・接続・意味を整理。古文常識→単語→助動詞→演習、現代語訳で読み違いを直す。")</f>
        <v>助動詞が覚えられない中高生へ。活用表PDFと歌で活用・接続・意味を整理。古文常識→単語→助動詞→演習、現代語訳で読み違いを直す。</v>
      </c>
      <c r="G24" s="32">
        <f>IFERROR(__xludf.DUMMYFUNCTION("IFERROR(
  VLOOKUP(
    A24,
    IMPORTRANGE(
      ""1ZygntHC1J6IxzKbTidmOyf5nUyW4GCLurHCjexrLm_o        "",
      ""HTMLキャッシュ!A:F""
    ),
    3,
    FALSE
  ),
  0
)
"),46073.85403935185)</f>
        <v>46073.85404</v>
      </c>
      <c r="H24" s="49">
        <f>IFERROR(__xludf.DUMMYFUNCTION("IFERROR(
  VLOOKUP(
    A24,
    IMPORTRANGE(
      ""1ZHMy3vVUd_0MrSduXTe1etBb1HNpAlGwQr006ljwMiM"",
      ""GSC最新!A:F""
    ),
    2,
    FALSE
  ),
  0
)
"),45.0)</f>
        <v>45</v>
      </c>
      <c r="I24" s="49">
        <f>IFERROR(__xludf.DUMMYFUNCTION("IFERROR(
  VLOOKUP(
    A24,
    IMPORTRANGE(
      ""1ZHMy3vVUd_0MrSduXTe1etBb1HNpAlGwQr006ljwMiM"",
      ""GSC最新!A:F""
    ),
    3,
    FALSE
  ),
  0
)
"),54.0)</f>
        <v>54</v>
      </c>
      <c r="J24" s="49">
        <f>IFERROR(__xludf.DUMMYFUNCTION("IFERROR(
  VLOOKUP(
    A24,
    IMPORTRANGE(
      ""1ZHMy3vVUd_0MrSduXTe1etBb1HNpAlGwQr006ljwMiM"",
      ""GSC最新!A:F""
    ),
    4,
    FALSE
  ),
  0
)
"),6.0)</f>
        <v>6</v>
      </c>
      <c r="K24" s="49">
        <f>IFERROR(__xludf.DUMMYFUNCTION("IFERROR(
  VLOOKUP(
    A24,
    IMPORTRANGE(
      ""1ZHMy3vVUd_0MrSduXTe1etBb1HNpAlGwQr006ljwMiM"",
      ""GSC最新!A:F""
    ),
    5,
    FALSE
  ),
  0
)
"),24.0)</f>
        <v>24</v>
      </c>
      <c r="L24" s="50">
        <f t="shared" ref="L24:M24" si="112">IFERROR(H24/J24,"-")</f>
        <v>7.5</v>
      </c>
      <c r="M24" s="50">
        <f t="shared" si="112"/>
        <v>2.25</v>
      </c>
      <c r="N24" s="6">
        <f>IFERROR(__xludf.DUMMYFUNCTION("IFERROR(
  VLOOKUP(
    A24,
    IMPORTRANGE(
      ""1ZHMy3vVUd_0MrSduXTe1etBb1HNpAlGwQr006ljwMiM"",
      ""GSC最新!A:R""
    ),
    7,
    FALSE
  ),
  0
)
"),4792.0)</f>
        <v>4792</v>
      </c>
      <c r="O24" s="6">
        <f>IFERROR(__xludf.DUMMYFUNCTION("IFERROR(
  VLOOKUP(
    A24,
    IMPORTRANGE(
      ""1ZHMy3vVUd_0MrSduXTe1etBb1HNpAlGwQr006ljwMiM"",
      ""GSC最新!A:R""
    ),
    10,
    FALSE
  ),
  0
)
"),5823.0)</f>
        <v>5823</v>
      </c>
      <c r="P24" s="6">
        <f>IFERROR(__xludf.DUMMYFUNCTION("IFERROR(
  VLOOKUP(
    A24,
    IMPORTRANGE(
      ""1ZHMy3vVUd_0MrSduXTe1etBb1HNpAlGwQr006ljwMiM"",
      ""GSC最新!A:R""
    ),
    13,
    FALSE
  ),
  0
)
"),356.0)</f>
        <v>356</v>
      </c>
      <c r="Q24" s="6">
        <f>IFERROR(__xludf.DUMMYFUNCTION("IFERROR(
  VLOOKUP(
    A24,
    IMPORTRANGE(
      ""1ZHMy3vVUd_0MrSduXTe1etBb1HNpAlGwQr006ljwMiM"",
      ""GSC最新!A:R""
    ),
    16,
    FALSE
  ),
  0
)
"),1557.0)</f>
        <v>1557</v>
      </c>
      <c r="R24" s="51">
        <f t="shared" ref="R24:S24" si="113">IFERROR(N24/P24,"-")</f>
        <v>13.46067416</v>
      </c>
      <c r="S24" s="51">
        <f t="shared" si="113"/>
        <v>3.739884393</v>
      </c>
      <c r="T24" s="9">
        <f>IFERROR(__xludf.DUMMYFUNCTION("IFERROR(
  VLOOKUP(
    A24,
    IMPORTRANGE(
      ""1ZHMy3vVUd_0MrSduXTe1etBb1HNpAlGwQr006ljwMiM"",
      ""GSC最新!A:R""
    ),
    8,
    FALSE
  ),
  0
)
"),0.009390651085141904)</f>
        <v>0.009390651085</v>
      </c>
      <c r="U24" s="9">
        <f>IFERROR(__xludf.DUMMYFUNCTION("IFERROR(
  VLOOKUP(
    A24,
    IMPORTRANGE(
      ""1ZHMy3vVUd_0MrSduXTe1etBb1HNpAlGwQr006ljwMiM"",
      ""GSC最新!A:R""
    ),
    11,
    FALSE
  ),
  0
)
"),0.00927357032457496)</f>
        <v>0.009273570325</v>
      </c>
      <c r="V24" s="9">
        <f>IFERROR(__xludf.DUMMYFUNCTION("IFERROR(
  VLOOKUP(
    A24,
    IMPORTRANGE(
      ""1ZHMy3vVUd_0MrSduXTe1etBb1HNpAlGwQr006ljwMiM"",
      ""GSC最新!A:R""
    ),
    14,
    FALSE
  ),
  0
)
"),0.016853932584269662)</f>
        <v>0.01685393258</v>
      </c>
      <c r="W24" s="9">
        <f>IFERROR(__xludf.DUMMYFUNCTION("IFERROR(
  VLOOKUP(
    A24,
    IMPORTRANGE(
      ""1ZHMy3vVUd_0MrSduXTe1etBb1HNpAlGwQr006ljwMiM"",
      ""GSC最新!A:R""
    ),
    17,
    FALSE
  ),
  0
)
"),0.015414258188824663)</f>
        <v>0.01541425819</v>
      </c>
      <c r="X24" s="9">
        <f t="shared" ref="X24:Y24" si="114">IFERROR(T24-V24,"-")</f>
        <v>-0.007463281499</v>
      </c>
      <c r="Y24" s="9">
        <f t="shared" si="114"/>
        <v>-0.006140687864</v>
      </c>
      <c r="Z24" s="65">
        <f>IFERROR(__xludf.DUMMYFUNCTION("IFERROR(
  VLOOKUP(
    A24,
    IMPORTRANGE(
      ""1ZHMy3vVUd_0MrSduXTe1etBb1HNpAlGwQr006ljwMiM"",
      ""GSC最新!A:R""
    ),
    9,
    FALSE
  ),
  0
)
"),6.623956594323873)</f>
        <v>6.623956594</v>
      </c>
      <c r="AA24" s="65">
        <f>IFERROR(__xludf.DUMMYFUNCTION("IFERROR(
  VLOOKUP(
    A24,
    IMPORTRANGE(
      ""1ZHMy3vVUd_0MrSduXTe1etBb1HNpAlGwQr006ljwMiM"",
      ""GSC最新!A:R""
    ),
    12,
    FALSE
  ),
  0
)
"),6.673020779666839)</f>
        <v>6.67302078</v>
      </c>
      <c r="AB24" s="65">
        <f>IFERROR(__xludf.DUMMYFUNCTION("IFERROR(
  VLOOKUP(
    A24,
    IMPORTRANGE(
      ""1ZHMy3vVUd_0MrSduXTe1etBb1HNpAlGwQr006ljwMiM"",
      ""GSC最新!A:R""
    ),
    15,
    FALSE
  ),
  0
)
"),9.49438202247191)</f>
        <v>9.494382022</v>
      </c>
      <c r="AC24" s="65">
        <f>IFERROR(__xludf.DUMMYFUNCTION("IFERROR(
  VLOOKUP(
    A24,
    IMPORTRANGE(
      ""1ZHMy3vVUd_0MrSduXTe1etBb1HNpAlGwQr006ljwMiM"",
      ""GSC最新!A:R""
    ),
    18,
    FALSE
  ),
  0
)
"),15.011560693641618)</f>
        <v>15.01156069</v>
      </c>
      <c r="AD24" s="65">
        <f t="shared" ref="AD24:AE24" si="115">Z24-AB24</f>
        <v>-2.870425428</v>
      </c>
      <c r="AE24" s="65">
        <f t="shared" si="115"/>
        <v>-8.338539914</v>
      </c>
      <c r="AF24" s="53">
        <f>IFERROR(__xludf.DUMMYFUNCTION("IFERROR(
  VLOOKUP(
    A24,
    IMPORTRANGE(
      ""1ZHMy3vVUd_0MrSduXTe1etBb1HNpAlGwQr006ljwMiM"",
      ""GSC最新!A:F""
    ),
    6,
    FALSE
  ),
  0
)
"),46081.0)</f>
        <v>46081</v>
      </c>
      <c r="AG24" s="54">
        <f>IFERROR(__xludf.DUMMYFUNCTION("IFERROR(
  VLOOKUP(
    A24,
    IMPORTRANGE(
      ""1SCYQd7_cobOYqT0r_F0IqD4tE4rYn5y8Eup4PJTH8es"",
      ""Snapshot!A:M""
    ),
    5,
    FALSE
  ),
  ""-""
)
"),7.0)</f>
        <v>7</v>
      </c>
      <c r="AH24" s="54">
        <f>IFERROR(__xludf.DUMMYFUNCTION("IFERROR(
  VLOOKUP(
    A24,
    IMPORTRANGE(
      ""1SCYQd7_cobOYqT0r_F0IqD4tE4rYn5y8Eup4PJTH8es"",
      ""Snapshot!A:M""
    ),
    6,
    FALSE
  ),
  0
)
"),3.0)</f>
        <v>3</v>
      </c>
      <c r="AI24" s="54">
        <f>IFERROR(__xludf.DUMMYFUNCTION("IFERROR(
  VLOOKUP(
    A24,
    IMPORTRANGE(
      ""1SCYQd7_cobOYqT0r_F0IqD4tE4rYn5y8Eup4PJTH8es"",
      ""Snapshot!A:M""
    ),
    7,
    FALSE
  ),
  0
)
"),2756.0)</f>
        <v>2756</v>
      </c>
      <c r="AJ24" s="54">
        <f>IFERROR(__xludf.DUMMYFUNCTION("IFERROR(
  VLOOKUP(
    A24,
    IMPORTRANGE(
      ""1SCYQd7_cobOYqT0r_F0IqD4tE4rYn5y8Eup4PJTH8es"",
      ""Snapshot!A:M""
    ),
    8,
    FALSE
  ),
  0
)
"),6.0)</f>
        <v>6</v>
      </c>
      <c r="AK24" s="54">
        <f>IFERROR(__xludf.DUMMYFUNCTION("IFERROR(
  VLOOKUP(
    A24,
    IMPORTRANGE(
      ""1SCYQd7_cobOYqT0r_F0IqD4tE4rYn5y8Eup4PJTH8es"",
      ""Snapshot!A:M""
    ),
    9,
    FALSE
  ),
  0
)
"),1.0)</f>
        <v>1</v>
      </c>
      <c r="AL24" s="54">
        <f>IFERROR(__xludf.DUMMYFUNCTION("IFERROR(
  VLOOKUP(
    A24,
    IMPORTRANGE(
      ""1SCYQd7_cobOYqT0r_F0IqD4tE4rYn5y8Eup4PJTH8es"",
      ""Snapshot!A:M""
    ),
    13,
    FALSE
  ),
  0
)
"),2.0)</f>
        <v>2</v>
      </c>
    </row>
    <row r="25">
      <c r="A25" s="3" t="s">
        <v>913</v>
      </c>
      <c r="B25" s="1" t="str">
        <f>IFERROR(__xludf.DUMMYFUNCTION("IFERROR(
  VLOOKUP(
    A25,
    IMPORTRANGE(
      ""1ZygntHC1J6IxzKbTidmOyf5nUyW4GCLurHCjexrLm_o"",
      ""HTMLキャッシュ!A:F""
    ),
    2,
    FALSE
  ),
  0
)
"),"ST")</f>
        <v>ST</v>
      </c>
      <c r="C25" s="49">
        <f t="shared" ref="C25:D25" si="116">LEN(E25)</f>
        <v>24</v>
      </c>
      <c r="D25" s="49">
        <f t="shared" si="116"/>
        <v>74</v>
      </c>
      <c r="E25" s="1" t="str">
        <f>IFERROR(__xludf.DUMMYFUNCTION("IFERROR(
  VLOOKUP(
    A25,
    IMPORTRANGE(
      ""1ZygntHC1J6IxzKbTidmOyf5nUyW4GCLurHCjexrLm_o"",
      ""HTMLキャッシュ!A:F""
    ),
    5,
    FALSE
  ),
  0
)
"),"古典専門塾かきつばた アクセス案内と行き方ガイド")</f>
        <v>古典専門塾かきつばた アクセス案内と行き方ガイド</v>
      </c>
      <c r="F25" s="1" t="str">
        <f>IFERROR(__xludf.DUMMYFUNCTION("IFERROR(
  VLOOKUP(
    A25,
    IMPORTRANGE(
      ""1ZygntHC1J6IxzKbTidmOyf5nUyW4GCLurHCjexrLm_o        "",
      ""HTMLキャッシュ!A:F""
    ),
    6,
    FALSE
  ),
  0
)
"),"四ツ谷駅四ツ谷口から徒歩2分の好立地にある「装美ビル301」へのアクセス方法を詳しくご案内。地図や写真で迷わず到着できる！通いやすさ抜群の学習環境。")</f>
        <v>四ツ谷駅四ツ谷口から徒歩2分の好立地にある「装美ビル301」へのアクセス方法を詳しくご案内。地図や写真で迷わず到着できる！通いやすさ抜群の学習環境。</v>
      </c>
      <c r="G25" s="32">
        <f>IFERROR(__xludf.DUMMYFUNCTION("IFERROR(
  VLOOKUP(
    A25,
    IMPORTRANGE(
      ""1ZygntHC1J6IxzKbTidmOyf5nUyW4GCLurHCjexrLm_o        "",
      ""HTMLキャッシュ!A:F""
    ),
    3,
    FALSE
  ),
  0
)
"),46073.65261574074)</f>
        <v>46073.65262</v>
      </c>
      <c r="H25" s="49">
        <f>IFERROR(__xludf.DUMMYFUNCTION("IFERROR(
  VLOOKUP(
    A25,
    IMPORTRANGE(
      ""1ZHMy3vVUd_0MrSduXTe1etBb1HNpAlGwQr006ljwMiM"",
      ""GSC最新!A:F""
    ),
    2,
    FALSE
  ),
  0
)
"),1.0)</f>
        <v>1</v>
      </c>
      <c r="I25" s="49">
        <f>IFERROR(__xludf.DUMMYFUNCTION("IFERROR(
  VLOOKUP(
    A25,
    IMPORTRANGE(
      ""1ZHMy3vVUd_0MrSduXTe1etBb1HNpAlGwQr006ljwMiM"",
      ""GSC最新!A:F""
    ),
    3,
    FALSE
  ),
  0
)
"),9.0)</f>
        <v>9</v>
      </c>
      <c r="J25" s="49">
        <f>IFERROR(__xludf.DUMMYFUNCTION("IFERROR(
  VLOOKUP(
    A25,
    IMPORTRANGE(
      ""1ZHMy3vVUd_0MrSduXTe1etBb1HNpAlGwQr006ljwMiM"",
      ""GSC最新!A:F""
    ),
    4,
    FALSE
  ),
  0
)
"),0.0)</f>
        <v>0</v>
      </c>
      <c r="K25" s="49">
        <f>IFERROR(__xludf.DUMMYFUNCTION("IFERROR(
  VLOOKUP(
    A25,
    IMPORTRANGE(
      ""1ZHMy3vVUd_0MrSduXTe1etBb1HNpAlGwQr006ljwMiM"",
      ""GSC最新!A:F""
    ),
    5,
    FALSE
  ),
  0
)
"),6.0)</f>
        <v>6</v>
      </c>
      <c r="L25" s="50" t="str">
        <f t="shared" ref="L25:M25" si="117">IFERROR(H25/J25,"-")</f>
        <v>-</v>
      </c>
      <c r="M25" s="50">
        <f t="shared" si="117"/>
        <v>1.5</v>
      </c>
      <c r="N25" s="6">
        <f>IFERROR(__xludf.DUMMYFUNCTION("IFERROR(
  VLOOKUP(
    A25,
    IMPORTRANGE(
      ""1ZHMy3vVUd_0MrSduXTe1etBb1HNpAlGwQr006ljwMiM"",
      ""GSC最新!A:R""
    ),
    7,
    FALSE
  ),
  0
)
"),53.0)</f>
        <v>53</v>
      </c>
      <c r="O25" s="6">
        <f>IFERROR(__xludf.DUMMYFUNCTION("IFERROR(
  VLOOKUP(
    A25,
    IMPORTRANGE(
      ""1ZHMy3vVUd_0MrSduXTe1etBb1HNpAlGwQr006ljwMiM"",
      ""GSC最新!A:R""
    ),
    10,
    FALSE
  ),
  0
)
"),202.0)</f>
        <v>202</v>
      </c>
      <c r="P25" s="6">
        <f>IFERROR(__xludf.DUMMYFUNCTION("IFERROR(
  VLOOKUP(
    A25,
    IMPORTRANGE(
      ""1ZHMy3vVUd_0MrSduXTe1etBb1HNpAlGwQr006ljwMiM"",
      ""GSC最新!A:R""
    ),
    13,
    FALSE
  ),
  0
)
"),55.0)</f>
        <v>55</v>
      </c>
      <c r="Q25" s="6">
        <f>IFERROR(__xludf.DUMMYFUNCTION("IFERROR(
  VLOOKUP(
    A25,
    IMPORTRANGE(
      ""1ZHMy3vVUd_0MrSduXTe1etBb1HNpAlGwQr006ljwMiM"",
      ""GSC最新!A:R""
    ),
    16,
    FALSE
  ),
  0
)
"),261.0)</f>
        <v>261</v>
      </c>
      <c r="R25" s="51">
        <f t="shared" ref="R25:S25" si="118">IFERROR(N25/P25,"-")</f>
        <v>0.9636363636</v>
      </c>
      <c r="S25" s="51">
        <f t="shared" si="118"/>
        <v>0.7739463602</v>
      </c>
      <c r="T25" s="9">
        <f>IFERROR(__xludf.DUMMYFUNCTION("IFERROR(
  VLOOKUP(
    A25,
    IMPORTRANGE(
      ""1ZHMy3vVUd_0MrSduXTe1etBb1HNpAlGwQr006ljwMiM"",
      ""GSC最新!A:R""
    ),
    8,
    FALSE
  ),
  0
)
"),0.018867924528301886)</f>
        <v>0.01886792453</v>
      </c>
      <c r="U25" s="9">
        <f>IFERROR(__xludf.DUMMYFUNCTION("IFERROR(
  VLOOKUP(
    A25,
    IMPORTRANGE(
      ""1ZHMy3vVUd_0MrSduXTe1etBb1HNpAlGwQr006ljwMiM"",
      ""GSC最新!A:R""
    ),
    11,
    FALSE
  ),
  0
)
"),0.04455445544554455)</f>
        <v>0.04455445545</v>
      </c>
      <c r="V25" s="9">
        <f>IFERROR(__xludf.DUMMYFUNCTION("IFERROR(
  VLOOKUP(
    A25,
    IMPORTRANGE(
      ""1ZHMy3vVUd_0MrSduXTe1etBb1HNpAlGwQr006ljwMiM"",
      ""GSC最新!A:R""
    ),
    14,
    FALSE
  ),
  0
)
"),0.0)</f>
        <v>0</v>
      </c>
      <c r="W25" s="9">
        <f>IFERROR(__xludf.DUMMYFUNCTION("IFERROR(
  VLOOKUP(
    A25,
    IMPORTRANGE(
      ""1ZHMy3vVUd_0MrSduXTe1etBb1HNpAlGwQr006ljwMiM"",
      ""GSC最新!A:R""
    ),
    17,
    FALSE
  ),
  0
)
"),0.022988505747126436)</f>
        <v>0.02298850575</v>
      </c>
      <c r="X25" s="9">
        <f t="shared" ref="X25:Y25" si="119">IFERROR(T25-V25,"-")</f>
        <v>0.01886792453</v>
      </c>
      <c r="Y25" s="9">
        <f t="shared" si="119"/>
        <v>0.0215659497</v>
      </c>
      <c r="Z25" s="65">
        <f>IFERROR(__xludf.DUMMYFUNCTION("IFERROR(
  VLOOKUP(
    A25,
    IMPORTRANGE(
      ""1ZHMy3vVUd_0MrSduXTe1etBb1HNpAlGwQr006ljwMiM"",
      ""GSC最新!A:R""
    ),
    9,
    FALSE
  ),
  0
)
"),5.867924528301887)</f>
        <v>5.867924528</v>
      </c>
      <c r="AA25" s="65">
        <f>IFERROR(__xludf.DUMMYFUNCTION("IFERROR(
  VLOOKUP(
    A25,
    IMPORTRANGE(
      ""1ZHMy3vVUd_0MrSduXTe1etBb1HNpAlGwQr006ljwMiM"",
      ""GSC最新!A:R""
    ),
    12,
    FALSE
  ),
  0
)
"),4.321782178217822)</f>
        <v>4.321782178</v>
      </c>
      <c r="AB25" s="65">
        <f>IFERROR(__xludf.DUMMYFUNCTION("IFERROR(
  VLOOKUP(
    A25,
    IMPORTRANGE(
      ""1ZHMy3vVUd_0MrSduXTe1etBb1HNpAlGwQr006ljwMiM"",
      ""GSC最新!A:R""
    ),
    15,
    FALSE
  ),
  0
)
"),12.49090909090909)</f>
        <v>12.49090909</v>
      </c>
      <c r="AC25" s="65">
        <f>IFERROR(__xludf.DUMMYFUNCTION("IFERROR(
  VLOOKUP(
    A25,
    IMPORTRANGE(
      ""1ZHMy3vVUd_0MrSduXTe1etBb1HNpAlGwQr006ljwMiM"",
      ""GSC最新!A:R""
    ),
    18,
    FALSE
  ),
  0
)
"),39.298850574712645)</f>
        <v>39.29885057</v>
      </c>
      <c r="AD25" s="65">
        <f t="shared" ref="AD25:AE25" si="120">Z25-AB25</f>
        <v>-6.622984563</v>
      </c>
      <c r="AE25" s="65">
        <f t="shared" si="120"/>
        <v>-34.9770684</v>
      </c>
      <c r="AF25" s="53">
        <f>IFERROR(__xludf.DUMMYFUNCTION("IFERROR(
  VLOOKUP(
    A25,
    IMPORTRANGE(
      ""1ZHMy3vVUd_0MrSduXTe1etBb1HNpAlGwQr006ljwMiM"",
      ""GSC最新!A:F""
    ),
    6,
    FALSE
  ),
  0
)
"),46081.0)</f>
        <v>46081</v>
      </c>
      <c r="AG25" s="54">
        <f>IFERROR(__xludf.DUMMYFUNCTION("IFERROR(
  VLOOKUP(
    A25,
    IMPORTRANGE(
      ""1SCYQd7_cobOYqT0r_F0IqD4tE4rYn5y8Eup4PJTH8es"",
      ""Snapshot!A:M""
    ),
    5,
    FALSE
  ),
  ""-""
)
"),1.0)</f>
        <v>1</v>
      </c>
      <c r="AH25" s="54">
        <f>IFERROR(__xludf.DUMMYFUNCTION("IFERROR(
  VLOOKUP(
    A25,
    IMPORTRANGE(
      ""1SCYQd7_cobOYqT0r_F0IqD4tE4rYn5y8Eup4PJTH8es"",
      ""Snapshot!A:M""
    ),
    6,
    FALSE
  ),
  0
)
"),4.0)</f>
        <v>4</v>
      </c>
      <c r="AI25" s="54">
        <f>IFERROR(__xludf.DUMMYFUNCTION("IFERROR(
  VLOOKUP(
    A25,
    IMPORTRANGE(
      ""1SCYQd7_cobOYqT0r_F0IqD4tE4rYn5y8Eup4PJTH8es"",
      ""Snapshot!A:M""
    ),
    7,
    FALSE
  ),
  0
)
"),206.0)</f>
        <v>206</v>
      </c>
      <c r="AJ25" s="54">
        <f>IFERROR(__xludf.DUMMYFUNCTION("IFERROR(
  VLOOKUP(
    A25,
    IMPORTRANGE(
      ""1SCYQd7_cobOYqT0r_F0IqD4tE4rYn5y8Eup4PJTH8es"",
      ""Snapshot!A:M""
    ),
    8,
    FALSE
  ),
  0
)
"),0.0)</f>
        <v>0</v>
      </c>
      <c r="AK25" s="54">
        <f>IFERROR(__xludf.DUMMYFUNCTION("IFERROR(
  VLOOKUP(
    A25,
    IMPORTRANGE(
      ""1SCYQd7_cobOYqT0r_F0IqD4tE4rYn5y8Eup4PJTH8es"",
      ""Snapshot!A:M""
    ),
    9,
    FALSE
  ),
  0
)
"),1.0)</f>
        <v>1</v>
      </c>
      <c r="AL25" s="54">
        <f>IFERROR(__xludf.DUMMYFUNCTION("IFERROR(
  VLOOKUP(
    A25,
    IMPORTRANGE(
      ""1SCYQd7_cobOYqT0r_F0IqD4tE4rYn5y8Eup4PJTH8es"",
      ""Snapshot!A:M""
    ),
    13,
    FALSE
  ),
  0
)
"),1.0)</f>
        <v>1</v>
      </c>
    </row>
    <row r="26">
      <c r="A26" s="3" t="s">
        <v>295</v>
      </c>
      <c r="B26" s="1" t="str">
        <f>IFERROR(__xludf.DUMMYFUNCTION("IFERROR(
  VLOOKUP(
    A26,
    IMPORTRANGE(
      ""1ZygntHC1J6IxzKbTidmOyf5nUyW4GCLurHCjexrLm_o"",
      ""HTMLキャッシュ!A:F""
    ),
    2,
    FALSE
  ),
  0
)
"),"SP")</f>
        <v>SP</v>
      </c>
      <c r="C26" s="49">
        <f t="shared" ref="C26:D26" si="121">LEN(E26)</f>
        <v>42</v>
      </c>
      <c r="D26" s="49">
        <f t="shared" si="121"/>
        <v>110</v>
      </c>
      <c r="E26" s="1" t="str">
        <f>IFERROR(__xludf.DUMMYFUNCTION("IFERROR(
  VLOOKUP(
    A26,
    IMPORTRANGE(
      ""1ZygntHC1J6IxzKbTidmOyf5nUyW4GCLurHCjexrLm_o"",
      ""HTMLキャッシュ!A:F""
    ),
    5,
    FALSE
  ),
  0
)
"),"古文・漢文の個別指導｜苦手単元だけ2回完結で補強（文法・句法）｜古典専門塾かきつばた")</f>
        <v>古文・漢文の個別指導｜苦手単元だけ2回完結で補強（文法・句法）｜古典専門塾かきつばた</v>
      </c>
      <c r="F26" s="1" t="str">
        <f>IFERROR(__xludf.DUMMYFUNCTION("IFERROR(
  VLOOKUP(
    A26,
    IMPORTRANGE(
      ""1ZygntHC1J6IxzKbTidmOyf5nUyW4GCLurHCjexrLm_o        "",
      ""HTMLキャッシュ!A:F""
    ),
    6,
    FALSE
  ),
  0
)
"),"古文・漢文の苦手を「必要な単元だけ」個別で補強するワンポイント講座。古文文法（用言・助動詞・敬語）／漢文句法（否定・反語・使役受身など）をテーマ別に分割し、各パート2回完結で短期対策できます。受講までの流れ・料金も掲載。")</f>
        <v>古文・漢文の苦手を「必要な単元だけ」個別で補強するワンポイント講座。古文文法（用言・助動詞・敬語）／漢文句法（否定・反語・使役受身など）をテーマ別に分割し、各パート2回完結で短期対策できます。受講までの流れ・料金も掲載。</v>
      </c>
      <c r="G26" s="32">
        <f>IFERROR(__xludf.DUMMYFUNCTION("IFERROR(
  VLOOKUP(
    A26,
    IMPORTRANGE(
      ""1ZygntHC1J6IxzKbTidmOyf5nUyW4GCLurHCjexrLm_o        "",
      ""HTMLキャッシュ!A:F""
    ),
    3,
    FALSE
  ),
  0
)
"),46081.64204861111)</f>
        <v>46081.64205</v>
      </c>
      <c r="H26" s="49">
        <f>IFERROR(__xludf.DUMMYFUNCTION("IFERROR(
  VLOOKUP(
    A26,
    IMPORTRANGE(
      ""1ZHMy3vVUd_0MrSduXTe1etBb1HNpAlGwQr006ljwMiM"",
      ""GSC最新!A:F""
    ),
    2,
    FALSE
  ),
  0
)
"),4.0)</f>
        <v>4</v>
      </c>
      <c r="I26" s="49">
        <f>IFERROR(__xludf.DUMMYFUNCTION("IFERROR(
  VLOOKUP(
    A26,
    IMPORTRANGE(
      ""1ZHMy3vVUd_0MrSduXTe1etBb1HNpAlGwQr006ljwMiM"",
      ""GSC最新!A:F""
    ),
    3,
    FALSE
  ),
  0
)
"),9.0)</f>
        <v>9</v>
      </c>
      <c r="J26" s="49">
        <f>IFERROR(__xludf.DUMMYFUNCTION("IFERROR(
  VLOOKUP(
    A26,
    IMPORTRANGE(
      ""1ZHMy3vVUd_0MrSduXTe1etBb1HNpAlGwQr006ljwMiM"",
      ""GSC最新!A:F""
    ),
    4,
    FALSE
  ),
  0
)
"),2.0)</f>
        <v>2</v>
      </c>
      <c r="K26" s="49">
        <f>IFERROR(__xludf.DUMMYFUNCTION("IFERROR(
  VLOOKUP(
    A26,
    IMPORTRANGE(
      ""1ZHMy3vVUd_0MrSduXTe1etBb1HNpAlGwQr006ljwMiM"",
      ""GSC最新!A:F""
    ),
    5,
    FALSE
  ),
  0
)
"),2.0)</f>
        <v>2</v>
      </c>
      <c r="L26" s="50">
        <f t="shared" ref="L26:M26" si="122">IFERROR(H26/J26,"-")</f>
        <v>2</v>
      </c>
      <c r="M26" s="50">
        <f t="shared" si="122"/>
        <v>4.5</v>
      </c>
      <c r="N26" s="6">
        <f>IFERROR(__xludf.DUMMYFUNCTION("IFERROR(
  VLOOKUP(
    A26,
    IMPORTRANGE(
      ""1ZHMy3vVUd_0MrSduXTe1etBb1HNpAlGwQr006ljwMiM"",
      ""GSC最新!A:R""
    ),
    7,
    FALSE
  ),
  0
)
"),116.0)</f>
        <v>116</v>
      </c>
      <c r="O26" s="6">
        <f>IFERROR(__xludf.DUMMYFUNCTION("IFERROR(
  VLOOKUP(
    A26,
    IMPORTRANGE(
      ""1ZHMy3vVUd_0MrSduXTe1etBb1HNpAlGwQr006ljwMiM"",
      ""GSC最新!A:R""
    ),
    10,
    FALSE
  ),
  0
)
"),294.0)</f>
        <v>294</v>
      </c>
      <c r="P26" s="6">
        <f>IFERROR(__xludf.DUMMYFUNCTION("IFERROR(
  VLOOKUP(
    A26,
    IMPORTRANGE(
      ""1ZHMy3vVUd_0MrSduXTe1etBb1HNpAlGwQr006ljwMiM"",
      ""GSC最新!A:R""
    ),
    13,
    FALSE
  ),
  0
)
"),39.0)</f>
        <v>39</v>
      </c>
      <c r="Q26" s="6">
        <f>IFERROR(__xludf.DUMMYFUNCTION("IFERROR(
  VLOOKUP(
    A26,
    IMPORTRANGE(
      ""1ZHMy3vVUd_0MrSduXTe1etBb1HNpAlGwQr006ljwMiM"",
      ""GSC最新!A:R""
    ),
    16,
    FALSE
  ),
  0
)
"),160.0)</f>
        <v>160</v>
      </c>
      <c r="R26" s="51">
        <f t="shared" ref="R26:S26" si="123">IFERROR(N26/P26,"-")</f>
        <v>2.974358974</v>
      </c>
      <c r="S26" s="51">
        <f t="shared" si="123"/>
        <v>1.8375</v>
      </c>
      <c r="T26" s="9">
        <f>IFERROR(__xludf.DUMMYFUNCTION("IFERROR(
  VLOOKUP(
    A26,
    IMPORTRANGE(
      ""1ZHMy3vVUd_0MrSduXTe1etBb1HNpAlGwQr006ljwMiM"",
      ""GSC最新!A:R""
    ),
    8,
    FALSE
  ),
  0
)
"),0.034482758620689655)</f>
        <v>0.03448275862</v>
      </c>
      <c r="U26" s="9">
        <f>IFERROR(__xludf.DUMMYFUNCTION("IFERROR(
  VLOOKUP(
    A26,
    IMPORTRANGE(
      ""1ZHMy3vVUd_0MrSduXTe1etBb1HNpAlGwQr006ljwMiM"",
      ""GSC最新!A:R""
    ),
    11,
    FALSE
  ),
  0
)
"),0.030612244897959183)</f>
        <v>0.0306122449</v>
      </c>
      <c r="V26" s="9">
        <f>IFERROR(__xludf.DUMMYFUNCTION("IFERROR(
  VLOOKUP(
    A26,
    IMPORTRANGE(
      ""1ZHMy3vVUd_0MrSduXTe1etBb1HNpAlGwQr006ljwMiM"",
      ""GSC最新!A:R""
    ),
    14,
    FALSE
  ),
  0
)
"),0.05128205128205128)</f>
        <v>0.05128205128</v>
      </c>
      <c r="W26" s="9">
        <f>IFERROR(__xludf.DUMMYFUNCTION("IFERROR(
  VLOOKUP(
    A26,
    IMPORTRANGE(
      ""1ZHMy3vVUd_0MrSduXTe1etBb1HNpAlGwQr006ljwMiM"",
      ""GSC最新!A:R""
    ),
    17,
    FALSE
  ),
  0
)
"),0.0125)</f>
        <v>0.0125</v>
      </c>
      <c r="X26" s="9">
        <f t="shared" ref="X26:Y26" si="124">IFERROR(T26-V26,"-")</f>
        <v>-0.01679929266</v>
      </c>
      <c r="Y26" s="9">
        <f t="shared" si="124"/>
        <v>0.0181122449</v>
      </c>
      <c r="Z26" s="65">
        <f>IFERROR(__xludf.DUMMYFUNCTION("IFERROR(
  VLOOKUP(
    A26,
    IMPORTRANGE(
      ""1ZHMy3vVUd_0MrSduXTe1etBb1HNpAlGwQr006ljwMiM"",
      ""GSC最新!A:R""
    ),
    9,
    FALSE
  ),
  0
)
"),6.818965517241379)</f>
        <v>6.818965517</v>
      </c>
      <c r="AA26" s="65">
        <f>IFERROR(__xludf.DUMMYFUNCTION("IFERROR(
  VLOOKUP(
    A26,
    IMPORTRANGE(
      ""1ZHMy3vVUd_0MrSduXTe1etBb1HNpAlGwQr006ljwMiM"",
      ""GSC最新!A:R""
    ),
    12,
    FALSE
  ),
  0
)
"),6.428571428571429)</f>
        <v>6.428571429</v>
      </c>
      <c r="AB26" s="65">
        <f>IFERROR(__xludf.DUMMYFUNCTION("IFERROR(
  VLOOKUP(
    A26,
    IMPORTRANGE(
      ""1ZHMy3vVUd_0MrSduXTe1etBb1HNpAlGwQr006ljwMiM"",
      ""GSC最新!A:R""
    ),
    15,
    FALSE
  ),
  0
)
"),10.256410256410257)</f>
        <v>10.25641026</v>
      </c>
      <c r="AC26" s="65">
        <f>IFERROR(__xludf.DUMMYFUNCTION("IFERROR(
  VLOOKUP(
    A26,
    IMPORTRANGE(
      ""1ZHMy3vVUd_0MrSduXTe1etBb1HNpAlGwQr006ljwMiM"",
      ""GSC最新!A:R""
    ),
    18,
    FALSE
  ),
  0
)
"),10.58125)</f>
        <v>10.58125</v>
      </c>
      <c r="AD26" s="65">
        <f t="shared" ref="AD26:AE26" si="125">Z26-AB26</f>
        <v>-3.437444739</v>
      </c>
      <c r="AE26" s="65">
        <f t="shared" si="125"/>
        <v>-4.152678571</v>
      </c>
      <c r="AF26" s="53">
        <f>IFERROR(__xludf.DUMMYFUNCTION("IFERROR(
  VLOOKUP(
    A26,
    IMPORTRANGE(
      ""1ZHMy3vVUd_0MrSduXTe1etBb1HNpAlGwQr006ljwMiM"",
      ""GSC最新!A:F""
    ),
    6,
    FALSE
  ),
  0
)
"),46081.0)</f>
        <v>46081</v>
      </c>
      <c r="AG26" s="54">
        <f>IFERROR(__xludf.DUMMYFUNCTION("IFERROR(
  VLOOKUP(
    A26,
    IMPORTRANGE(
      ""1SCYQd7_cobOYqT0r_F0IqD4tE4rYn5y8Eup4PJTH8es"",
      ""Snapshot!A:M""
    ),
    5,
    FALSE
  ),
  ""-""
)
"),8.0)</f>
        <v>8</v>
      </c>
      <c r="AH26" s="54">
        <f>IFERROR(__xludf.DUMMYFUNCTION("IFERROR(
  VLOOKUP(
    A26,
    IMPORTRANGE(
      ""1SCYQd7_cobOYqT0r_F0IqD4tE4rYn5y8Eup4PJTH8es"",
      ""Snapshot!A:M""
    ),
    6,
    FALSE
  ),
  0
)
"),13.0)</f>
        <v>13</v>
      </c>
      <c r="AI26" s="54">
        <f>IFERROR(__xludf.DUMMYFUNCTION("IFERROR(
  VLOOKUP(
    A26,
    IMPORTRANGE(
      ""1SCYQd7_cobOYqT0r_F0IqD4tE4rYn5y8Eup4PJTH8es"",
      ""Snapshot!A:M""
    ),
    7,
    FALSE
  ),
  0
)
"),3216.0)</f>
        <v>3216</v>
      </c>
      <c r="AJ26" s="54">
        <f>IFERROR(__xludf.DUMMYFUNCTION("IFERROR(
  VLOOKUP(
    A26,
    IMPORTRANGE(
      ""1SCYQd7_cobOYqT0r_F0IqD4tE4rYn5y8Eup4PJTH8es"",
      ""Snapshot!A:M""
    ),
    8,
    FALSE
  ),
  0
)
"),1.0)</f>
        <v>1</v>
      </c>
      <c r="AK26" s="54">
        <f>IFERROR(__xludf.DUMMYFUNCTION("IFERROR(
  VLOOKUP(
    A26,
    IMPORTRANGE(
      ""1SCYQd7_cobOYqT0r_F0IqD4tE4rYn5y8Eup4PJTH8es"",
      ""Snapshot!A:M""
    ),
    9,
    FALSE
  ),
  0
)
"),2.0)</f>
        <v>2</v>
      </c>
      <c r="AL26" s="54">
        <f>IFERROR(__xludf.DUMMYFUNCTION("IFERROR(
  VLOOKUP(
    A26,
    IMPORTRANGE(
      ""1SCYQd7_cobOYqT0r_F0IqD4tE4rYn5y8Eup4PJTH8es"",
      ""Snapshot!A:M""
    ),
    13,
    FALSE
  ),
  0
)
"),1.0)</f>
        <v>1</v>
      </c>
    </row>
    <row r="27">
      <c r="A27" s="3" t="s">
        <v>914</v>
      </c>
      <c r="B27" s="1" t="str">
        <f>IFERROR(__xludf.DUMMYFUNCTION("IFERROR(
  VLOOKUP(
    A27,
    IMPORTRANGE(
      ""1ZygntHC1J6IxzKbTidmOyf5nUyW4GCLurHCjexrLm_o"",
      ""HTMLキャッシュ!A:F""
    ),
    2,
    FALSE
  ),
  0
)
"),"ST")</f>
        <v>ST</v>
      </c>
      <c r="C27" s="49">
        <f t="shared" ref="C27:D27" si="126">LEN(E27)</f>
        <v>22</v>
      </c>
      <c r="D27" s="49">
        <f t="shared" si="126"/>
        <v>70</v>
      </c>
      <c r="E27" s="1" t="str">
        <f>IFERROR(__xludf.DUMMYFUNCTION("IFERROR(
  VLOOKUP(
    A27,
    IMPORTRANGE(
      ""1ZygntHC1J6IxzKbTidmOyf5nUyW4GCLurHCjexrLm_o"",
      ""HTMLキャッシュ!A:F""
    ),
    5,
    FALSE
  ),
  0
)
"),"古典専門塾かきつばた 代表挨拶と教育への想い")</f>
        <v>古典専門塾かきつばた 代表挨拶と教育への想い</v>
      </c>
      <c r="F27" s="1" t="str">
        <f>IFERROR(__xludf.DUMMYFUNCTION("IFERROR(
  VLOOKUP(
    A27,
    IMPORTRANGE(
      ""1ZygntHC1J6IxzKbTidmOyf5nUyW4GCLurHCjexrLm_o        "",
      ""HTMLキャッシュ!A:F""
    ),
    6,
    FALSE
  ),
  0
)
"),"古典専門塾「かきつばた」は個別指導で古文・漢文の苦手克服と成績向上をサポート。語彙、文法、読解力をバランスよく鍛え、確実に得点につなげます！")</f>
        <v>古典専門塾「かきつばた」は個別指導で古文・漢文の苦手克服と成績向上をサポート。語彙、文法、読解力をバランスよく鍛え、確実に得点につなげます！</v>
      </c>
      <c r="G27" s="32">
        <f>IFERROR(__xludf.DUMMYFUNCTION("IFERROR(
  VLOOKUP(
    A27,
    IMPORTRANGE(
      ""1ZygntHC1J6IxzKbTidmOyf5nUyW4GCLurHCjexrLm_o        "",
      ""HTMLキャッシュ!A:F""
    ),
    3,
    FALSE
  ),
  0
)
"),46073.65546296296)</f>
        <v>46073.65546</v>
      </c>
      <c r="H27" s="49">
        <f>IFERROR(__xludf.DUMMYFUNCTION("IFERROR(
  VLOOKUP(
    A27,
    IMPORTRANGE(
      ""1ZHMy3vVUd_0MrSduXTe1etBb1HNpAlGwQr006ljwMiM"",
      ""GSC最新!A:F""
    ),
    2,
    FALSE
  ),
  0
)
"),1.0)</f>
        <v>1</v>
      </c>
      <c r="I27" s="49">
        <f>IFERROR(__xludf.DUMMYFUNCTION("IFERROR(
  VLOOKUP(
    A27,
    IMPORTRANGE(
      ""1ZHMy3vVUd_0MrSduXTe1etBb1HNpAlGwQr006ljwMiM"",
      ""GSC最新!A:F""
    ),
    3,
    FALSE
  ),
  0
)
"),6.0)</f>
        <v>6</v>
      </c>
      <c r="J27" s="49">
        <f>IFERROR(__xludf.DUMMYFUNCTION("IFERROR(
  VLOOKUP(
    A27,
    IMPORTRANGE(
      ""1ZHMy3vVUd_0MrSduXTe1etBb1HNpAlGwQr006ljwMiM"",
      ""GSC最新!A:F""
    ),
    4,
    FALSE
  ),
  0
)
"),2.0)</f>
        <v>2</v>
      </c>
      <c r="K27" s="49">
        <f>IFERROR(__xludf.DUMMYFUNCTION("IFERROR(
  VLOOKUP(
    A27,
    IMPORTRANGE(
      ""1ZHMy3vVUd_0MrSduXTe1etBb1HNpAlGwQr006ljwMiM"",
      ""GSC最新!A:F""
    ),
    5,
    FALSE
  ),
  0
)
"),3.0)</f>
        <v>3</v>
      </c>
      <c r="L27" s="50">
        <f t="shared" ref="L27:M27" si="127">IFERROR(H27/J27,"-")</f>
        <v>0.5</v>
      </c>
      <c r="M27" s="50">
        <f t="shared" si="127"/>
        <v>2</v>
      </c>
      <c r="N27" s="6">
        <f>IFERROR(__xludf.DUMMYFUNCTION("IFERROR(
  VLOOKUP(
    A27,
    IMPORTRANGE(
      ""1ZHMy3vVUd_0MrSduXTe1etBb1HNpAlGwQr006ljwMiM"",
      ""GSC最新!A:R""
    ),
    7,
    FALSE
  ),
  0
)
"),38.0)</f>
        <v>38</v>
      </c>
      <c r="O27" s="6">
        <f>IFERROR(__xludf.DUMMYFUNCTION("IFERROR(
  VLOOKUP(
    A27,
    IMPORTRANGE(
      ""1ZHMy3vVUd_0MrSduXTe1etBb1HNpAlGwQr006ljwMiM"",
      ""GSC最新!A:R""
    ),
    10,
    FALSE
  ),
  0
)
"),155.0)</f>
        <v>155</v>
      </c>
      <c r="P27" s="6">
        <f>IFERROR(__xludf.DUMMYFUNCTION("IFERROR(
  VLOOKUP(
    A27,
    IMPORTRANGE(
      ""1ZHMy3vVUd_0MrSduXTe1etBb1HNpAlGwQr006ljwMiM"",
      ""GSC最新!A:R""
    ),
    13,
    FALSE
  ),
  0
)
"),23.0)</f>
        <v>23</v>
      </c>
      <c r="Q27" s="6">
        <f>IFERROR(__xludf.DUMMYFUNCTION("IFERROR(
  VLOOKUP(
    A27,
    IMPORTRANGE(
      ""1ZHMy3vVUd_0MrSduXTe1etBb1HNpAlGwQr006ljwMiM"",
      ""GSC最新!A:R""
    ),
    16,
    FALSE
  ),
  0
)
"),79.0)</f>
        <v>79</v>
      </c>
      <c r="R27" s="51">
        <f t="shared" ref="R27:S27" si="128">IFERROR(N27/P27,"-")</f>
        <v>1.652173913</v>
      </c>
      <c r="S27" s="51">
        <f t="shared" si="128"/>
        <v>1.962025316</v>
      </c>
      <c r="T27" s="9">
        <f>IFERROR(__xludf.DUMMYFUNCTION("IFERROR(
  VLOOKUP(
    A27,
    IMPORTRANGE(
      ""1ZHMy3vVUd_0MrSduXTe1etBb1HNpAlGwQr006ljwMiM"",
      ""GSC最新!A:R""
    ),
    8,
    FALSE
  ),
  0
)
"),0.02631578947368421)</f>
        <v>0.02631578947</v>
      </c>
      <c r="U27" s="9">
        <f>IFERROR(__xludf.DUMMYFUNCTION("IFERROR(
  VLOOKUP(
    A27,
    IMPORTRANGE(
      ""1ZHMy3vVUd_0MrSduXTe1etBb1HNpAlGwQr006ljwMiM"",
      ""GSC最新!A:R""
    ),
    11,
    FALSE
  ),
  0
)
"),0.03870967741935484)</f>
        <v>0.03870967742</v>
      </c>
      <c r="V27" s="9">
        <f>IFERROR(__xludf.DUMMYFUNCTION("IFERROR(
  VLOOKUP(
    A27,
    IMPORTRANGE(
      ""1ZHMy3vVUd_0MrSduXTe1etBb1HNpAlGwQr006ljwMiM"",
      ""GSC最新!A:R""
    ),
    14,
    FALSE
  ),
  0
)
"),0.08695652173913043)</f>
        <v>0.08695652174</v>
      </c>
      <c r="W27" s="9">
        <f>IFERROR(__xludf.DUMMYFUNCTION("IFERROR(
  VLOOKUP(
    A27,
    IMPORTRANGE(
      ""1ZHMy3vVUd_0MrSduXTe1etBb1HNpAlGwQr006ljwMiM"",
      ""GSC最新!A:R""
    ),
    17,
    FALSE
  ),
  0
)
"),0.0379746835443038)</f>
        <v>0.03797468354</v>
      </c>
      <c r="X27" s="9">
        <f t="shared" ref="X27:Y27" si="129">IFERROR(T27-V27,"-")</f>
        <v>-0.06064073227</v>
      </c>
      <c r="Y27" s="9">
        <f t="shared" si="129"/>
        <v>0.0007349938751</v>
      </c>
      <c r="Z27" s="65">
        <f>IFERROR(__xludf.DUMMYFUNCTION("IFERROR(
  VLOOKUP(
    A27,
    IMPORTRANGE(
      ""1ZHMy3vVUd_0MrSduXTe1etBb1HNpAlGwQr006ljwMiM"",
      ""GSC最新!A:R""
    ),
    9,
    FALSE
  ),
  0
)
"),5.342105263157895)</f>
        <v>5.342105263</v>
      </c>
      <c r="AA27" s="65">
        <f>IFERROR(__xludf.DUMMYFUNCTION("IFERROR(
  VLOOKUP(
    A27,
    IMPORTRANGE(
      ""1ZHMy3vVUd_0MrSduXTe1etBb1HNpAlGwQr006ljwMiM"",
      ""GSC最新!A:R""
    ),
    12,
    FALSE
  ),
  0
)
"),7.52258064516129)</f>
        <v>7.522580645</v>
      </c>
      <c r="AB27" s="65">
        <f>IFERROR(__xludf.DUMMYFUNCTION("IFERROR(
  VLOOKUP(
    A27,
    IMPORTRANGE(
      ""1ZHMy3vVUd_0MrSduXTe1etBb1HNpAlGwQr006ljwMiM"",
      ""GSC最新!A:R""
    ),
    15,
    FALSE
  ),
  0
)
"),6.521739130434782)</f>
        <v>6.52173913</v>
      </c>
      <c r="AC27" s="65">
        <f>IFERROR(__xludf.DUMMYFUNCTION("IFERROR(
  VLOOKUP(
    A27,
    IMPORTRANGE(
      ""1ZHMy3vVUd_0MrSduXTe1etBb1HNpAlGwQr006ljwMiM"",
      ""GSC最新!A:R""
    ),
    18,
    FALSE
  ),
  0
)
"),10.645569620253164)</f>
        <v>10.64556962</v>
      </c>
      <c r="AD27" s="65">
        <f t="shared" ref="AD27:AE27" si="130">Z27-AB27</f>
        <v>-1.179633867</v>
      </c>
      <c r="AE27" s="65">
        <f t="shared" si="130"/>
        <v>-3.122988975</v>
      </c>
      <c r="AF27" s="53">
        <f>IFERROR(__xludf.DUMMYFUNCTION("IFERROR(
  VLOOKUP(
    A27,
    IMPORTRANGE(
      ""1ZHMy3vVUd_0MrSduXTe1etBb1HNpAlGwQr006ljwMiM"",
      ""GSC最新!A:F""
    ),
    6,
    FALSE
  ),
  0
)
"),46081.0)</f>
        <v>46081</v>
      </c>
      <c r="AG27" s="54">
        <f>IFERROR(__xludf.DUMMYFUNCTION("IFERROR(
  VLOOKUP(
    A27,
    IMPORTRANGE(
      ""1SCYQd7_cobOYqT0r_F0IqD4tE4rYn5y8Eup4PJTH8es"",
      ""Snapshot!A:M""
    ),
    5,
    FALSE
  ),
  ""-""
)
"),7.0)</f>
        <v>7</v>
      </c>
      <c r="AH27" s="54">
        <f>IFERROR(__xludf.DUMMYFUNCTION("IFERROR(
  VLOOKUP(
    A27,
    IMPORTRANGE(
      ""1SCYQd7_cobOYqT0r_F0IqD4tE4rYn5y8Eup4PJTH8es"",
      ""Snapshot!A:M""
    ),
    6,
    FALSE
  ),
  0
)
"),5.0)</f>
        <v>5</v>
      </c>
      <c r="AI27" s="54">
        <f>IFERROR(__xludf.DUMMYFUNCTION("IFERROR(
  VLOOKUP(
    A27,
    IMPORTRANGE(
      ""1SCYQd7_cobOYqT0r_F0IqD4tE4rYn5y8Eup4PJTH8es"",
      ""Snapshot!A:M""
    ),
    7,
    FALSE
  ),
  0
)
"),2571.0)</f>
        <v>2571</v>
      </c>
      <c r="AJ27" s="54">
        <f>IFERROR(__xludf.DUMMYFUNCTION("IFERROR(
  VLOOKUP(
    A27,
    IMPORTRANGE(
      ""1SCYQd7_cobOYqT0r_F0IqD4tE4rYn5y8Eup4PJTH8es"",
      ""Snapshot!A:M""
    ),
    8,
    FALSE
  ),
  0
)
"),0.0)</f>
        <v>0</v>
      </c>
      <c r="AK27" s="54">
        <f>IFERROR(__xludf.DUMMYFUNCTION("IFERROR(
  VLOOKUP(
    A27,
    IMPORTRANGE(
      ""1SCYQd7_cobOYqT0r_F0IqD4tE4rYn5y8Eup4PJTH8es"",
      ""Snapshot!A:M""
    ),
    9,
    FALSE
  ),
  0
)
"),1.0)</f>
        <v>1</v>
      </c>
      <c r="AL27" s="54">
        <f>IFERROR(__xludf.DUMMYFUNCTION("IFERROR(
  VLOOKUP(
    A27,
    IMPORTRANGE(
      ""1SCYQd7_cobOYqT0r_F0IqD4tE4rYn5y8Eup4PJTH8es"",
      ""Snapshot!A:M""
    ),
    13,
    FALSE
  ),
  0
)
"),1.0)</f>
        <v>1</v>
      </c>
    </row>
    <row r="28">
      <c r="A28" s="3" t="s">
        <v>215</v>
      </c>
      <c r="B28" s="1" t="str">
        <f>IFERROR(__xludf.DUMMYFUNCTION("IFERROR(
  VLOOKUP(
    A28,
    IMPORTRANGE(
      ""1ZygntHC1J6IxzKbTidmOyf5nUyW4GCLurHCjexrLm_o"",
      ""HTMLキャッシュ!A:F""
    ),
    2,
    FALSE
  ),
  0
)
"),"-")</f>
        <v>-</v>
      </c>
      <c r="C28" s="49">
        <f t="shared" ref="C28:D28" si="131">LEN(E28)</f>
        <v>19</v>
      </c>
      <c r="D28" s="49">
        <f t="shared" si="131"/>
        <v>95</v>
      </c>
      <c r="E28" s="1" t="str">
        <f>IFERROR(__xludf.DUMMYFUNCTION("IFERROR(
  VLOOKUP(
    A28,
    IMPORTRANGE(
      ""1ZygntHC1J6IxzKbTidmOyf5nUyW4GCLurHCjexrLm_o"",
      ""HTMLキャッシュ!A:F""
    ),
    5,
    FALSE
  ),
  0
)
"),"代表ブログ - 古典専門塾 かきつばた")</f>
        <v>代表ブログ - 古典専門塾 かきつばた</v>
      </c>
      <c r="F28" s="1" t="str">
        <f>IFERROR(__xludf.DUMMYFUNCTION("IFERROR(
  VLOOKUP(
    A28,
    IMPORTRANGE(
      ""1ZygntHC1J6IxzKbTidmOyf5nUyW4GCLurHCjexrLm_o        "",
      ""HTMLキャッシュ!A:F""
    ),
    6,
    FALSE
  ),
  0
)
"),"代表ブログ の記事 古典専門塾 かきつばた 古典に特化した完全１対１の個別指導塾。定期試験の範囲の対策から受験生の苦手範囲の克服まで、様々なニーズに合わせた講座で古典での高得点を目指します。")</f>
        <v>代表ブログ の記事 古典専門塾 かきつばた 古典に特化した完全１対１の個別指導塾。定期試験の範囲の対策から受験生の苦手範囲の克服まで、様々なニーズに合わせた講座で古典での高得点を目指します。</v>
      </c>
      <c r="G28" s="32">
        <f>IFERROR(__xludf.DUMMYFUNCTION("IFERROR(
  VLOOKUP(
    A28,
    IMPORTRANGE(
      ""1ZygntHC1J6IxzKbTidmOyf5nUyW4GCLurHCjexrLm_o        "",
      ""HTMLキャッシュ!A:F""
    ),
    3,
    FALSE
  ),
  0
)
"),46026.752604166664)</f>
        <v>46026.7526</v>
      </c>
      <c r="H28" s="49">
        <f>IFERROR(__xludf.DUMMYFUNCTION("IFERROR(
  VLOOKUP(
    A28,
    IMPORTRANGE(
      ""1ZHMy3vVUd_0MrSduXTe1etBb1HNpAlGwQr006ljwMiM"",
      ""GSC最新!A:F""
    ),
    2,
    FALSE
  ),
  0
)
"),0.0)</f>
        <v>0</v>
      </c>
      <c r="I28" s="49">
        <f>IFERROR(__xludf.DUMMYFUNCTION("IFERROR(
  VLOOKUP(
    A28,
    IMPORTRANGE(
      ""1ZHMy3vVUd_0MrSduXTe1etBb1HNpAlGwQr006ljwMiM"",
      ""GSC最新!A:F""
    ),
    3,
    FALSE
  ),
  0
)
"),4.0)</f>
        <v>4</v>
      </c>
      <c r="J28" s="49">
        <f>IFERROR(__xludf.DUMMYFUNCTION("IFERROR(
  VLOOKUP(
    A28,
    IMPORTRANGE(
      ""1ZHMy3vVUd_0MrSduXTe1etBb1HNpAlGwQr006ljwMiM"",
      ""GSC最新!A:F""
    ),
    4,
    FALSE
  ),
  0
)
"),0.0)</f>
        <v>0</v>
      </c>
      <c r="K28" s="49">
        <f>IFERROR(__xludf.DUMMYFUNCTION("IFERROR(
  VLOOKUP(
    A28,
    IMPORTRANGE(
      ""1ZHMy3vVUd_0MrSduXTe1etBb1HNpAlGwQr006ljwMiM"",
      ""GSC最新!A:F""
    ),
    5,
    FALSE
  ),
  0
)
"),3.0)</f>
        <v>3</v>
      </c>
      <c r="L28" s="50" t="str">
        <f t="shared" ref="L28:M28" si="132">IFERROR(H28/J28,"-")</f>
        <v>-</v>
      </c>
      <c r="M28" s="50">
        <f t="shared" si="132"/>
        <v>1.333333333</v>
      </c>
      <c r="N28" s="6">
        <f>IFERROR(__xludf.DUMMYFUNCTION("IFERROR(
  VLOOKUP(
    A28,
    IMPORTRANGE(
      ""1ZHMy3vVUd_0MrSduXTe1etBb1HNpAlGwQr006ljwMiM"",
      ""GSC最新!A:R""
    ),
    7,
    FALSE
  ),
  0
)
"),53.0)</f>
        <v>53</v>
      </c>
      <c r="O28" s="6">
        <f>IFERROR(__xludf.DUMMYFUNCTION("IFERROR(
  VLOOKUP(
    A28,
    IMPORTRANGE(
      ""1ZHMy3vVUd_0MrSduXTe1etBb1HNpAlGwQr006ljwMiM"",
      ""GSC最新!A:R""
    ),
    10,
    FALSE
  ),
  0
)
"),256.0)</f>
        <v>256</v>
      </c>
      <c r="P28" s="6">
        <f>IFERROR(__xludf.DUMMYFUNCTION("IFERROR(
  VLOOKUP(
    A28,
    IMPORTRANGE(
      ""1ZHMy3vVUd_0MrSduXTe1etBb1HNpAlGwQr006ljwMiM"",
      ""GSC最新!A:R""
    ),
    13,
    FALSE
  ),
  0
)
"),41.0)</f>
        <v>41</v>
      </c>
      <c r="Q28" s="6">
        <f>IFERROR(__xludf.DUMMYFUNCTION("IFERROR(
  VLOOKUP(
    A28,
    IMPORTRANGE(
      ""1ZHMy3vVUd_0MrSduXTe1etBb1HNpAlGwQr006ljwMiM"",
      ""GSC最新!A:R""
    ),
    16,
    FALSE
  ),
  0
)
"),137.0)</f>
        <v>137</v>
      </c>
      <c r="R28" s="51">
        <f t="shared" ref="R28:S28" si="133">IFERROR(N28/P28,"-")</f>
        <v>1.292682927</v>
      </c>
      <c r="S28" s="51">
        <f t="shared" si="133"/>
        <v>1.868613139</v>
      </c>
      <c r="T28" s="9">
        <f>IFERROR(__xludf.DUMMYFUNCTION("IFERROR(
  VLOOKUP(
    A28,
    IMPORTRANGE(
      ""1ZHMy3vVUd_0MrSduXTe1etBb1HNpAlGwQr006ljwMiM"",
      ""GSC最新!A:R""
    ),
    8,
    FALSE
  ),
  0
)
"),0.0)</f>
        <v>0</v>
      </c>
      <c r="U28" s="9">
        <f>IFERROR(__xludf.DUMMYFUNCTION("IFERROR(
  VLOOKUP(
    A28,
    IMPORTRANGE(
      ""1ZHMy3vVUd_0MrSduXTe1etBb1HNpAlGwQr006ljwMiM"",
      ""GSC最新!A:R""
    ),
    11,
    FALSE
  ),
  0
)
"),0.015625)</f>
        <v>0.015625</v>
      </c>
      <c r="V28" s="9">
        <f>IFERROR(__xludf.DUMMYFUNCTION("IFERROR(
  VLOOKUP(
    A28,
    IMPORTRANGE(
      ""1ZHMy3vVUd_0MrSduXTe1etBb1HNpAlGwQr006ljwMiM"",
      ""GSC最新!A:R""
    ),
    14,
    FALSE
  ),
  0
)
"),0.0)</f>
        <v>0</v>
      </c>
      <c r="W28" s="9">
        <f>IFERROR(__xludf.DUMMYFUNCTION("IFERROR(
  VLOOKUP(
    A28,
    IMPORTRANGE(
      ""1ZHMy3vVUd_0MrSduXTe1etBb1HNpAlGwQr006ljwMiM"",
      ""GSC最新!A:R""
    ),
    17,
    FALSE
  ),
  0
)
"),0.021897810218978103)</f>
        <v>0.02189781022</v>
      </c>
      <c r="X28" s="9">
        <f t="shared" ref="X28:Y28" si="134">IFERROR(T28-V28,"-")</f>
        <v>0</v>
      </c>
      <c r="Y28" s="9">
        <f t="shared" si="134"/>
        <v>-0.006272810219</v>
      </c>
      <c r="Z28" s="65">
        <f>IFERROR(__xludf.DUMMYFUNCTION("IFERROR(
  VLOOKUP(
    A28,
    IMPORTRANGE(
      ""1ZHMy3vVUd_0MrSduXTe1etBb1HNpAlGwQr006ljwMiM"",
      ""GSC最新!A:R""
    ),
    9,
    FALSE
  ),
  0
)
"),9.60377358490566)</f>
        <v>9.603773585</v>
      </c>
      <c r="AA28" s="65">
        <f>IFERROR(__xludf.DUMMYFUNCTION("IFERROR(
  VLOOKUP(
    A28,
    IMPORTRANGE(
      ""1ZHMy3vVUd_0MrSduXTe1etBb1HNpAlGwQr006ljwMiM"",
      ""GSC最新!A:R""
    ),
    12,
    FALSE
  ),
  0
)
"),6.44921875)</f>
        <v>6.44921875</v>
      </c>
      <c r="AB28" s="65">
        <f>IFERROR(__xludf.DUMMYFUNCTION("IFERROR(
  VLOOKUP(
    A28,
    IMPORTRANGE(
      ""1ZHMy3vVUd_0MrSduXTe1etBb1HNpAlGwQr006ljwMiM"",
      ""GSC最新!A:R""
    ),
    15,
    FALSE
  ),
  0
)
"),11.292682926829269)</f>
        <v>11.29268293</v>
      </c>
      <c r="AC28" s="65">
        <f>IFERROR(__xludf.DUMMYFUNCTION("IFERROR(
  VLOOKUP(
    A28,
    IMPORTRANGE(
      ""1ZHMy3vVUd_0MrSduXTe1etBb1HNpAlGwQr006ljwMiM"",
      ""GSC最新!A:R""
    ),
    18,
    FALSE
  ),
  0
)
"),12.846715328467154)</f>
        <v>12.84671533</v>
      </c>
      <c r="AD28" s="65">
        <f t="shared" ref="AD28:AE28" si="135">Z28-AB28</f>
        <v>-1.688909342</v>
      </c>
      <c r="AE28" s="65">
        <f t="shared" si="135"/>
        <v>-6.397496578</v>
      </c>
      <c r="AF28" s="53">
        <f>IFERROR(__xludf.DUMMYFUNCTION("IFERROR(
  VLOOKUP(
    A28,
    IMPORTRANGE(
      ""1ZHMy3vVUd_0MrSduXTe1etBb1HNpAlGwQr006ljwMiM"",
      ""GSC最新!A:F""
    ),
    6,
    FALSE
  ),
  0
)
"),46081.0)</f>
        <v>46081</v>
      </c>
      <c r="AG28" s="54">
        <f>IFERROR(__xludf.DUMMYFUNCTION("IFERROR(
  VLOOKUP(
    A28,
    IMPORTRANGE(
      ""1SCYQd7_cobOYqT0r_F0IqD4tE4rYn5y8Eup4PJTH8es"",
      ""Snapshot!A:M""
    ),
    5,
    FALSE
  ),
  ""-""
)
"),0.0)</f>
        <v>0</v>
      </c>
      <c r="AH28" s="54">
        <f>IFERROR(__xludf.DUMMYFUNCTION("IFERROR(
  VLOOKUP(
    A28,
    IMPORTRANGE(
      ""1SCYQd7_cobOYqT0r_F0IqD4tE4rYn5y8Eup4PJTH8es"",
      ""Snapshot!A:M""
    ),
    6,
    FALSE
  ),
  0
)
"),0.0)</f>
        <v>0</v>
      </c>
      <c r="AI28" s="54">
        <f>IFERROR(__xludf.DUMMYFUNCTION("IFERROR(
  VLOOKUP(
    A28,
    IMPORTRANGE(
      ""1SCYQd7_cobOYqT0r_F0IqD4tE4rYn5y8Eup4PJTH8es"",
      ""Snapshot!A:M""
    ),
    7,
    FALSE
  ),
  0
)
"),0.0)</f>
        <v>0</v>
      </c>
      <c r="AJ28" s="54">
        <f>IFERROR(__xludf.DUMMYFUNCTION("IFERROR(
  VLOOKUP(
    A28,
    IMPORTRANGE(
      ""1SCYQd7_cobOYqT0r_F0IqD4tE4rYn5y8Eup4PJTH8es"",
      ""Snapshot!A:M""
    ),
    8,
    FALSE
  ),
  0
)
"),0.0)</f>
        <v>0</v>
      </c>
      <c r="AK28" s="54">
        <f>IFERROR(__xludf.DUMMYFUNCTION("IFERROR(
  VLOOKUP(
    A28,
    IMPORTRANGE(
      ""1SCYQd7_cobOYqT0r_F0IqD4tE4rYn5y8Eup4PJTH8es"",
      ""Snapshot!A:M""
    ),
    9,
    FALSE
  ),
  0
)
"),0.0)</f>
        <v>0</v>
      </c>
      <c r="AL28" s="54">
        <f>IFERROR(__xludf.DUMMYFUNCTION("IFERROR(
  VLOOKUP(
    A28,
    IMPORTRANGE(
      ""1SCYQd7_cobOYqT0r_F0IqD4tE4rYn5y8Eup4PJTH8es"",
      ""Snapshot!A:M""
    ),
    13,
    FALSE
  ),
  0
)
"),1.0)</f>
        <v>1</v>
      </c>
    </row>
    <row r="29">
      <c r="A29" s="3" t="s">
        <v>303</v>
      </c>
      <c r="B29" s="1" t="str">
        <f>IFERROR(__xludf.DUMMYFUNCTION("IFERROR(
  VLOOKUP(
    A29,
    IMPORTRANGE(
      ""1ZygntHC1J6IxzKbTidmOyf5nUyW4GCLurHCjexrLm_o"",
      ""HTMLキャッシュ!A:F""
    ),
    2,
    FALSE
  ),
  0
)
"),"SP")</f>
        <v>SP</v>
      </c>
      <c r="C29" s="49">
        <f t="shared" ref="C29:D29" si="136">LEN(E29)</f>
        <v>30</v>
      </c>
      <c r="D29" s="49">
        <f t="shared" si="136"/>
        <v>62</v>
      </c>
      <c r="E29" s="1" t="str">
        <f>IFERROR(__xludf.DUMMYFUNCTION("IFERROR(
  VLOOKUP(
    A29,
    IMPORTRANGE(
      ""1ZygntHC1J6IxzKbTidmOyf5nUyW4GCLurHCjexrLm_o"",
      ""HTMLキャッシュ!A:F""
    ),
    5,
    FALSE
  ),
  0
)
"),"中高一貫古文定期テスト対策強化個別指導講座｜オンライン対応塾")</f>
        <v>中高一貫古文定期テスト対策強化個別指導講座｜オンライン対応塾</v>
      </c>
      <c r="F29" s="1" t="str">
        <f>IFERROR(__xludf.DUMMYFUNCTION("IFERROR(
  VLOOKUP(
    A29,
    IMPORTRANGE(
      ""1ZygntHC1J6IxzKbTidmOyf5nUyW4GCLurHCjexrLm_o        "",
      ""HTMLキャッシュ!A:F""
    ),
    6,
    FALSE
  ),
  0
)
"),"定期テストで古文漢文が伸びない中高一貫生向け。暗記に頼らず設問根拠から得点化する個別指導。今すぐオンライン相談受付中【無料】")</f>
        <v>定期テストで古文漢文が伸びない中高一貫生向け。暗記に頼らず設問根拠から得点化する個別指導。今すぐオンライン相談受付中【無料】</v>
      </c>
      <c r="G29" s="32">
        <f>IFERROR(__xludf.DUMMYFUNCTION("IFERROR(
  VLOOKUP(
    A29,
    IMPORTRANGE(
      ""1ZygntHC1J6IxzKbTidmOyf5nUyW4GCLurHCjexrLm_o        "",
      ""HTMLキャッシュ!A:F""
    ),
    3,
    FALSE
  ),
  0
)
"),46081.746296296296)</f>
        <v>46081.7463</v>
      </c>
      <c r="H29" s="49">
        <f>IFERROR(__xludf.DUMMYFUNCTION("IFERROR(
  VLOOKUP(
    A29,
    IMPORTRANGE(
      ""1ZHMy3vVUd_0MrSduXTe1etBb1HNpAlGwQr006ljwMiM"",
      ""GSC最新!A:F""
    ),
    2,
    FALSE
  ),
  0
)
"),0.0)</f>
        <v>0</v>
      </c>
      <c r="I29" s="49">
        <f>IFERROR(__xludf.DUMMYFUNCTION("IFERROR(
  VLOOKUP(
    A29,
    IMPORTRANGE(
      ""1ZHMy3vVUd_0MrSduXTe1etBb1HNpAlGwQr006ljwMiM"",
      ""GSC最新!A:F""
    ),
    3,
    FALSE
  ),
  0
)
"),3.0)</f>
        <v>3</v>
      </c>
      <c r="J29" s="49">
        <f>IFERROR(__xludf.DUMMYFUNCTION("IFERROR(
  VLOOKUP(
    A29,
    IMPORTRANGE(
      ""1ZHMy3vVUd_0MrSduXTe1etBb1HNpAlGwQr006ljwMiM"",
      ""GSC最新!A:F""
    ),
    4,
    FALSE
  ),
  0
)
"),0.0)</f>
        <v>0</v>
      </c>
      <c r="K29" s="49">
        <f>IFERROR(__xludf.DUMMYFUNCTION("IFERROR(
  VLOOKUP(
    A29,
    IMPORTRANGE(
      ""1ZHMy3vVUd_0MrSduXTe1etBb1HNpAlGwQr006ljwMiM"",
      ""GSC最新!A:F""
    ),
    5,
    FALSE
  ),
  0
)
"),0.0)</f>
        <v>0</v>
      </c>
      <c r="L29" s="50" t="str">
        <f t="shared" ref="L29:M29" si="137">IFERROR(H29/J29,"-")</f>
        <v>-</v>
      </c>
      <c r="M29" s="50" t="str">
        <f t="shared" si="137"/>
        <v>-</v>
      </c>
      <c r="N29" s="6">
        <f>IFERROR(__xludf.DUMMYFUNCTION("IFERROR(
  VLOOKUP(
    A29,
    IMPORTRANGE(
      ""1ZHMy3vVUd_0MrSduXTe1etBb1HNpAlGwQr006ljwMiM"",
      ""GSC最新!A:R""
    ),
    7,
    FALSE
  ),
  0
)
"),26.0)</f>
        <v>26</v>
      </c>
      <c r="O29" s="6">
        <f>IFERROR(__xludf.DUMMYFUNCTION("IFERROR(
  VLOOKUP(
    A29,
    IMPORTRANGE(
      ""1ZHMy3vVUd_0MrSduXTe1etBb1HNpAlGwQr006ljwMiM"",
      ""GSC最新!A:R""
    ),
    10,
    FALSE
  ),
  0
)
"),161.0)</f>
        <v>161</v>
      </c>
      <c r="P29" s="6">
        <f>IFERROR(__xludf.DUMMYFUNCTION("IFERROR(
  VLOOKUP(
    A29,
    IMPORTRANGE(
      ""1ZHMy3vVUd_0MrSduXTe1etBb1HNpAlGwQr006ljwMiM"",
      ""GSC最新!A:R""
    ),
    13,
    FALSE
  ),
  0
)
"),54.0)</f>
        <v>54</v>
      </c>
      <c r="Q29" s="6">
        <f>IFERROR(__xludf.DUMMYFUNCTION("IFERROR(
  VLOOKUP(
    A29,
    IMPORTRANGE(
      ""1ZHMy3vVUd_0MrSduXTe1etBb1HNpAlGwQr006ljwMiM"",
      ""GSC最新!A:R""
    ),
    16,
    FALSE
  ),
  0
)
"),152.0)</f>
        <v>152</v>
      </c>
      <c r="R29" s="51">
        <f t="shared" ref="R29:S29" si="138">IFERROR(N29/P29,"-")</f>
        <v>0.4814814815</v>
      </c>
      <c r="S29" s="51">
        <f t="shared" si="138"/>
        <v>1.059210526</v>
      </c>
      <c r="T29" s="9">
        <f>IFERROR(__xludf.DUMMYFUNCTION("IFERROR(
  VLOOKUP(
    A29,
    IMPORTRANGE(
      ""1ZHMy3vVUd_0MrSduXTe1etBb1HNpAlGwQr006ljwMiM"",
      ""GSC最新!A:R""
    ),
    8,
    FALSE
  ),
  0
)
"),0.0)</f>
        <v>0</v>
      </c>
      <c r="U29" s="9">
        <f>IFERROR(__xludf.DUMMYFUNCTION("IFERROR(
  VLOOKUP(
    A29,
    IMPORTRANGE(
      ""1ZHMy3vVUd_0MrSduXTe1etBb1HNpAlGwQr006ljwMiM"",
      ""GSC最新!A:R""
    ),
    11,
    FALSE
  ),
  0
)
"),0.018633540372670808)</f>
        <v>0.01863354037</v>
      </c>
      <c r="V29" s="9">
        <f>IFERROR(__xludf.DUMMYFUNCTION("IFERROR(
  VLOOKUP(
    A29,
    IMPORTRANGE(
      ""1ZHMy3vVUd_0MrSduXTe1etBb1HNpAlGwQr006ljwMiM"",
      ""GSC最新!A:R""
    ),
    14,
    FALSE
  ),
  0
)
"),0.0)</f>
        <v>0</v>
      </c>
      <c r="W29" s="9">
        <f>IFERROR(__xludf.DUMMYFUNCTION("IFERROR(
  VLOOKUP(
    A29,
    IMPORTRANGE(
      ""1ZHMy3vVUd_0MrSduXTe1etBb1HNpAlGwQr006ljwMiM"",
      ""GSC最新!A:R""
    ),
    17,
    FALSE
  ),
  0
)
"),0.0)</f>
        <v>0</v>
      </c>
      <c r="X29" s="9">
        <f t="shared" ref="X29:Y29" si="139">IFERROR(T29-V29,"-")</f>
        <v>0</v>
      </c>
      <c r="Y29" s="9">
        <f t="shared" si="139"/>
        <v>0.01863354037</v>
      </c>
      <c r="Z29" s="65">
        <f>IFERROR(__xludf.DUMMYFUNCTION("IFERROR(
  VLOOKUP(
    A29,
    IMPORTRANGE(
      ""1ZHMy3vVUd_0MrSduXTe1etBb1HNpAlGwQr006ljwMiM"",
      ""GSC最新!A:R""
    ),
    9,
    FALSE
  ),
  0
)
"),5.346153846153846)</f>
        <v>5.346153846</v>
      </c>
      <c r="AA29" s="65">
        <f>IFERROR(__xludf.DUMMYFUNCTION("IFERROR(
  VLOOKUP(
    A29,
    IMPORTRANGE(
      ""1ZHMy3vVUd_0MrSduXTe1etBb1HNpAlGwQr006ljwMiM"",
      ""GSC最新!A:R""
    ),
    12,
    FALSE
  ),
  0
)
"),4.944099378881988)</f>
        <v>4.944099379</v>
      </c>
      <c r="AB29" s="65">
        <f>IFERROR(__xludf.DUMMYFUNCTION("IFERROR(
  VLOOKUP(
    A29,
    IMPORTRANGE(
      ""1ZHMy3vVUd_0MrSduXTe1etBb1HNpAlGwQr006ljwMiM"",
      ""GSC最新!A:R""
    ),
    15,
    FALSE
  ),
  0
)
"),24.296296296296298)</f>
        <v>24.2962963</v>
      </c>
      <c r="AC29" s="65">
        <f>IFERROR(__xludf.DUMMYFUNCTION("IFERROR(
  VLOOKUP(
    A29,
    IMPORTRANGE(
      ""1ZHMy3vVUd_0MrSduXTe1etBb1HNpAlGwQr006ljwMiM"",
      ""GSC最新!A:R""
    ),
    18,
    FALSE
  ),
  0
)
"),33.91447368421053)</f>
        <v>33.91447368</v>
      </c>
      <c r="AD29" s="65">
        <f t="shared" ref="AD29:AE29" si="140">Z29-AB29</f>
        <v>-18.95014245</v>
      </c>
      <c r="AE29" s="65">
        <f t="shared" si="140"/>
        <v>-28.97037431</v>
      </c>
      <c r="AF29" s="53">
        <f>IFERROR(__xludf.DUMMYFUNCTION("IFERROR(
  VLOOKUP(
    A29,
    IMPORTRANGE(
      ""1ZHMy3vVUd_0MrSduXTe1etBb1HNpAlGwQr006ljwMiM"",
      ""GSC最新!A:F""
    ),
    6,
    FALSE
  ),
  0
)
"),46081.0)</f>
        <v>46081</v>
      </c>
      <c r="AG29" s="54">
        <f>IFERROR(__xludf.DUMMYFUNCTION("IFERROR(
  VLOOKUP(
    A29,
    IMPORTRANGE(
      ""1SCYQd7_cobOYqT0r_F0IqD4tE4rYn5y8Eup4PJTH8es"",
      ""Snapshot!A:M""
    ),
    5,
    FALSE
  ),
  ""-""
)
"),3.0)</f>
        <v>3</v>
      </c>
      <c r="AH29" s="54">
        <f>IFERROR(__xludf.DUMMYFUNCTION("IFERROR(
  VLOOKUP(
    A29,
    IMPORTRANGE(
      ""1SCYQd7_cobOYqT0r_F0IqD4tE4rYn5y8Eup4PJTH8es"",
      ""Snapshot!A:M""
    ),
    6,
    FALSE
  ),
  0
)
"),0.0)</f>
        <v>0</v>
      </c>
      <c r="AI29" s="54">
        <f>IFERROR(__xludf.DUMMYFUNCTION("IFERROR(
  VLOOKUP(
    A29,
    IMPORTRANGE(
      ""1SCYQd7_cobOYqT0r_F0IqD4tE4rYn5y8Eup4PJTH8es"",
      ""Snapshot!A:M""
    ),
    7,
    FALSE
  ),
  0
)
"),999.0)</f>
        <v>999</v>
      </c>
      <c r="AJ29" s="54">
        <f>IFERROR(__xludf.DUMMYFUNCTION("IFERROR(
  VLOOKUP(
    A29,
    IMPORTRANGE(
      ""1SCYQd7_cobOYqT0r_F0IqD4tE4rYn5y8Eup4PJTH8es"",
      ""Snapshot!A:M""
    ),
    8,
    FALSE
  ),
  0
)
"),1.0)</f>
        <v>1</v>
      </c>
      <c r="AK29" s="54">
        <f>IFERROR(__xludf.DUMMYFUNCTION("IFERROR(
  VLOOKUP(
    A29,
    IMPORTRANGE(
      ""1SCYQd7_cobOYqT0r_F0IqD4tE4rYn5y8Eup4PJTH8es"",
      ""Snapshot!A:M""
    ),
    9,
    FALSE
  ),
  0
)
"),1.0)</f>
        <v>1</v>
      </c>
      <c r="AL29" s="54">
        <f>IFERROR(__xludf.DUMMYFUNCTION("IFERROR(
  VLOOKUP(
    A29,
    IMPORTRANGE(
      ""1SCYQd7_cobOYqT0r_F0IqD4tE4rYn5y8Eup4PJTH8es"",
      ""Snapshot!A:M""
    ),
    13,
    FALSE
  ),
  0
)
"),1.0)</f>
        <v>1</v>
      </c>
    </row>
    <row r="30">
      <c r="A30" s="1" t="s">
        <v>915</v>
      </c>
      <c r="B30" s="1" t="str">
        <f>IFERROR(__xludf.DUMMYFUNCTION("IFERROR(
  VLOOKUP(
    A30,
    IMPORTRANGE(
      ""1ZygntHC1J6IxzKbTidmOyf5nUyW4GCLurHCjexrLm_o"",
      ""HTMLキャッシュ!A:F""
    ),
    2,
    FALSE
  ),
  0
)
"),"NW")</f>
        <v>NW</v>
      </c>
      <c r="C30" s="49">
        <f t="shared" ref="C30:D30" si="141">LEN(E30)</f>
        <v>30</v>
      </c>
      <c r="D30" s="49">
        <f t="shared" si="141"/>
        <v>55</v>
      </c>
      <c r="E30" s="1" t="str">
        <f>IFERROR(__xludf.DUMMYFUNCTION("IFERROR(
  VLOOKUP(
    A30,
    IMPORTRANGE(
      ""1ZygntHC1J6IxzKbTidmOyf5nUyW4GCLurHCjexrLm_o"",
      ""HTMLキャッシュ!A:F""
    ),
    5,
    FALSE
  ),
  0
)
"),"2025年度冬期講習会のお知らせ - 古典専門塾 かきつばた")</f>
        <v>2025年度冬期講習会のお知らせ - 古典専門塾 かきつばた</v>
      </c>
      <c r="F30" s="1" t="str">
        <f>IFERROR(__xludf.DUMMYFUNCTION("IFERROR(
  VLOOKUP(
    A30,
    IMPORTRANGE(
      ""1ZygntHC1J6IxzKbTidmOyf5nUyW4GCLurHCjexrLm_o        "",
      ""HTMLキャッシュ!A:F""
    ),
    6,
    FALSE
  ),
  0
)
"),"弊塾では2025年度冬期講習会を実施いたします。現在当塾に通う塾生の皆さんはもちろん、普段は他塾に通われている")</f>
        <v>弊塾では2025年度冬期講習会を実施いたします。現在当塾に通う塾生の皆さんはもちろん、普段は他塾に通われている</v>
      </c>
      <c r="G30" s="32">
        <f>IFERROR(__xludf.DUMMYFUNCTION("IFERROR(
  VLOOKUP(
    A30,
    IMPORTRANGE(
      ""1ZygntHC1J6IxzKbTidmOyf5nUyW4GCLurHCjexrLm_o        "",
      ""HTMLキャッシュ!A:F""
    ),
    3,
    FALSE
  ),
  0
)
"),45986.88681712963)</f>
        <v>45986.88682</v>
      </c>
      <c r="H30" s="49">
        <f>IFERROR(__xludf.DUMMYFUNCTION("IFERROR(
  VLOOKUP(
    A30,
    IMPORTRANGE(
      ""1ZHMy3vVUd_0MrSduXTe1etBb1HNpAlGwQr006ljwMiM"",
      ""GSC最新!A:F""
    ),
    2,
    FALSE
  ),
  0
)
"),0.0)</f>
        <v>0</v>
      </c>
      <c r="I30" s="49">
        <f>IFERROR(__xludf.DUMMYFUNCTION("IFERROR(
  VLOOKUP(
    A30,
    IMPORTRANGE(
      ""1ZHMy3vVUd_0MrSduXTe1etBb1HNpAlGwQr006ljwMiM"",
      ""GSC最新!A:F""
    ),
    3,
    FALSE
  ),
  0
)
"),2.0)</f>
        <v>2</v>
      </c>
      <c r="J30" s="49">
        <f>IFERROR(__xludf.DUMMYFUNCTION("IFERROR(
  VLOOKUP(
    A30,
    IMPORTRANGE(
      ""1ZHMy3vVUd_0MrSduXTe1etBb1HNpAlGwQr006ljwMiM"",
      ""GSC最新!A:F""
    ),
    4,
    FALSE
  ),
  0
)
"),0.0)</f>
        <v>0</v>
      </c>
      <c r="K30" s="49">
        <f>IFERROR(__xludf.DUMMYFUNCTION("IFERROR(
  VLOOKUP(
    A30,
    IMPORTRANGE(
      ""1ZHMy3vVUd_0MrSduXTe1etBb1HNpAlGwQr006ljwMiM"",
      ""GSC最新!A:F""
    ),
    5,
    FALSE
  ),
  0
)
"),0.0)</f>
        <v>0</v>
      </c>
      <c r="L30" s="50" t="str">
        <f t="shared" ref="L30:M30" si="142">IFERROR(H30/J30,"-")</f>
        <v>-</v>
      </c>
      <c r="M30" s="50" t="str">
        <f t="shared" si="142"/>
        <v>-</v>
      </c>
      <c r="N30" s="6">
        <f>IFERROR(__xludf.DUMMYFUNCTION("IFERROR(
  VLOOKUP(
    A30,
    IMPORTRANGE(
      ""1ZHMy3vVUd_0MrSduXTe1etBb1HNpAlGwQr006ljwMiM"",
      ""GSC最新!A:R""
    ),
    7,
    FALSE
  ),
  0
)
"),0.0)</f>
        <v>0</v>
      </c>
      <c r="O30" s="6">
        <f>IFERROR(__xludf.DUMMYFUNCTION("IFERROR(
  VLOOKUP(
    A30,
    IMPORTRANGE(
      ""1ZHMy3vVUd_0MrSduXTe1etBb1HNpAlGwQr006ljwMiM"",
      ""GSC最新!A:R""
    ),
    10,
    FALSE
  ),
  0
)
"),9.0)</f>
        <v>9</v>
      </c>
      <c r="P30" s="6">
        <f>IFERROR(__xludf.DUMMYFUNCTION("IFERROR(
  VLOOKUP(
    A30,
    IMPORTRANGE(
      ""1ZHMy3vVUd_0MrSduXTe1etBb1HNpAlGwQr006ljwMiM"",
      ""GSC最新!A:R""
    ),
    13,
    FALSE
  ),
  0
)
"),0.0)</f>
        <v>0</v>
      </c>
      <c r="Q30" s="6">
        <f>IFERROR(__xludf.DUMMYFUNCTION("IFERROR(
  VLOOKUP(
    A30,
    IMPORTRANGE(
      ""1ZHMy3vVUd_0MrSduXTe1etBb1HNpAlGwQr006ljwMiM"",
      ""GSC最新!A:R""
    ),
    16,
    FALSE
  ),
  0
)
"),0.0)</f>
        <v>0</v>
      </c>
      <c r="R30" s="51" t="str">
        <f t="shared" ref="R30:S30" si="143">IFERROR(N30/P30,"-")</f>
        <v>-</v>
      </c>
      <c r="S30" s="51" t="str">
        <f t="shared" si="143"/>
        <v>-</v>
      </c>
      <c r="T30" s="9">
        <f>IFERROR(__xludf.DUMMYFUNCTION("IFERROR(
  VLOOKUP(
    A30,
    IMPORTRANGE(
      ""1ZHMy3vVUd_0MrSduXTe1etBb1HNpAlGwQr006ljwMiM"",
      ""GSC最新!A:R""
    ),
    8,
    FALSE
  ),
  0
)
"),0.0)</f>
        <v>0</v>
      </c>
      <c r="U30" s="9">
        <f>IFERROR(__xludf.DUMMYFUNCTION("IFERROR(
  VLOOKUP(
    A30,
    IMPORTRANGE(
      ""1ZHMy3vVUd_0MrSduXTe1etBb1HNpAlGwQr006ljwMiM"",
      ""GSC最新!A:R""
    ),
    11,
    FALSE
  ),
  0
)
"),0.2222222222222222)</f>
        <v>0.2222222222</v>
      </c>
      <c r="V30" s="9">
        <f>IFERROR(__xludf.DUMMYFUNCTION("IFERROR(
  VLOOKUP(
    A30,
    IMPORTRANGE(
      ""1ZHMy3vVUd_0MrSduXTe1etBb1HNpAlGwQr006ljwMiM"",
      ""GSC最新!A:R""
    ),
    14,
    FALSE
  ),
  0
)
"),0.0)</f>
        <v>0</v>
      </c>
      <c r="W30" s="9">
        <f>IFERROR(__xludf.DUMMYFUNCTION("IFERROR(
  VLOOKUP(
    A30,
    IMPORTRANGE(
      ""1ZHMy3vVUd_0MrSduXTe1etBb1HNpAlGwQr006ljwMiM"",
      ""GSC最新!A:R""
    ),
    17,
    FALSE
  ),
  0
)
"),0.0)</f>
        <v>0</v>
      </c>
      <c r="X30" s="9">
        <f t="shared" ref="X30:Y30" si="144">IFERROR(T30-V30,"-")</f>
        <v>0</v>
      </c>
      <c r="Y30" s="9">
        <f t="shared" si="144"/>
        <v>0.2222222222</v>
      </c>
      <c r="Z30" s="65" t="str">
        <f>IFERROR(__xludf.DUMMYFUNCTION("IFERROR(
  VLOOKUP(
    A30,
    IMPORTRANGE(
      ""1ZHMy3vVUd_0MrSduXTe1etBb1HNpAlGwQr006ljwMiM"",
      ""GSC最新!A:R""
    ),
    9,
    FALSE
  ),
  0
)
"),"")</f>
        <v/>
      </c>
      <c r="AA30" s="65">
        <f>IFERROR(__xludf.DUMMYFUNCTION("IFERROR(
  VLOOKUP(
    A30,
    IMPORTRANGE(
      ""1ZHMy3vVUd_0MrSduXTe1etBb1HNpAlGwQr006ljwMiM"",
      ""GSC最新!A:R""
    ),
    12,
    FALSE
  ),
  0
)
"),29.333333333333332)</f>
        <v>29.33333333</v>
      </c>
      <c r="AB30" s="65" t="str">
        <f>IFERROR(__xludf.DUMMYFUNCTION("IFERROR(
  VLOOKUP(
    A30,
    IMPORTRANGE(
      ""1ZHMy3vVUd_0MrSduXTe1etBb1HNpAlGwQr006ljwMiM"",
      ""GSC最新!A:R""
    ),
    15,
    FALSE
  ),
  0
)
"),"")</f>
        <v/>
      </c>
      <c r="AC30" s="65" t="str">
        <f>IFERROR(__xludf.DUMMYFUNCTION("IFERROR(
  VLOOKUP(
    A30,
    IMPORTRANGE(
      ""1ZHMy3vVUd_0MrSduXTe1etBb1HNpAlGwQr006ljwMiM"",
      ""GSC最新!A:R""
    ),
    18,
    FALSE
  ),
  0
)
"),"")</f>
        <v/>
      </c>
      <c r="AD30" s="65">
        <f t="shared" ref="AD30:AE30" si="145">Z30-AB30</f>
        <v>0</v>
      </c>
      <c r="AE30" s="65">
        <f t="shared" si="145"/>
        <v>29.33333333</v>
      </c>
      <c r="AF30" s="53">
        <f>IFERROR(__xludf.DUMMYFUNCTION("IFERROR(
  VLOOKUP(
    A30,
    IMPORTRANGE(
      ""1ZHMy3vVUd_0MrSduXTe1etBb1HNpAlGwQr006ljwMiM"",
      ""GSC最新!A:F""
    ),
    6,
    FALSE
  ),
  0
)
"),46081.0)</f>
        <v>46081</v>
      </c>
      <c r="AG30" s="54">
        <f>IFERROR(__xludf.DUMMYFUNCTION("IFERROR(
  VLOOKUP(
    A30,
    IMPORTRANGE(
      ""1SCYQd7_cobOYqT0r_F0IqD4tE4rYn5y8Eup4PJTH8es"",
      ""Snapshot!A:M""
    ),
    5,
    FALSE
  ),
  ""-""
)
"),0.0)</f>
        <v>0</v>
      </c>
      <c r="AH30" s="54">
        <f>IFERROR(__xludf.DUMMYFUNCTION("IFERROR(
  VLOOKUP(
    A30,
    IMPORTRANGE(
      ""1SCYQd7_cobOYqT0r_F0IqD4tE4rYn5y8Eup4PJTH8es"",
      ""Snapshot!A:M""
    ),
    6,
    FALSE
  ),
  0
)
"),0.0)</f>
        <v>0</v>
      </c>
      <c r="AI30" s="54">
        <f>IFERROR(__xludf.DUMMYFUNCTION("IFERROR(
  VLOOKUP(
    A30,
    IMPORTRANGE(
      ""1SCYQd7_cobOYqT0r_F0IqD4tE4rYn5y8Eup4PJTH8es"",
      ""Snapshot!A:M""
    ),
    7,
    FALSE
  ),
  0
)
"),468.0)</f>
        <v>468</v>
      </c>
      <c r="AJ30" s="54">
        <f>IFERROR(__xludf.DUMMYFUNCTION("IFERROR(
  VLOOKUP(
    A30,
    IMPORTRANGE(
      ""1SCYQd7_cobOYqT0r_F0IqD4tE4rYn5y8Eup4PJTH8es"",
      ""Snapshot!A:M""
    ),
    8,
    FALSE
  ),
  0
)
"),1.0)</f>
        <v>1</v>
      </c>
      <c r="AK30" s="54">
        <f>IFERROR(__xludf.DUMMYFUNCTION("IFERROR(
  VLOOKUP(
    A30,
    IMPORTRANGE(
      ""1SCYQd7_cobOYqT0r_F0IqD4tE4rYn5y8Eup4PJTH8es"",
      ""Snapshot!A:M""
    ),
    9,
    FALSE
  ),
  0
)
"),0.0)</f>
        <v>0</v>
      </c>
      <c r="AL30" s="54">
        <f>IFERROR(__xludf.DUMMYFUNCTION("IFERROR(
  VLOOKUP(
    A30,
    IMPORTRANGE(
      ""1SCYQd7_cobOYqT0r_F0IqD4tE4rYn5y8Eup4PJTH8es"",
      ""Snapshot!A:M""
    ),
    13,
    FALSE
  ),
  0
)
"),2.0)</f>
        <v>2</v>
      </c>
    </row>
    <row r="31">
      <c r="A31" s="3" t="s">
        <v>916</v>
      </c>
      <c r="B31" s="1" t="str">
        <f>IFERROR(__xludf.DUMMYFUNCTION("IFERROR(
  VLOOKUP(
    A31,
    IMPORTRANGE(
      ""1ZygntHC1J6IxzKbTidmOyf5nUyW4GCLurHCjexrLm_o"",
      ""HTMLキャッシュ!A:F""
    ),
    2,
    FALSE
  ),
  0
)
"),"NW")</f>
        <v>NW</v>
      </c>
      <c r="C31" s="49">
        <f t="shared" ref="C31:D31" si="146">LEN(E31)</f>
        <v>54</v>
      </c>
      <c r="D31" s="49">
        <f t="shared" si="146"/>
        <v>104</v>
      </c>
      <c r="E31" s="1" t="str">
        <f>IFERROR(__xludf.DUMMYFUNCTION("IFERROR(
  VLOOKUP(
    A31,
    IMPORTRANGE(
      ""1ZygntHC1J6IxzKbTidmOyf5nUyW4GCLurHCjexrLm_o"",
      ""HTMLキャッシュ!A:F""
    ),
    5,
    FALSE
  ),
  0
)
"),"古典塾｜古文・漢文の完全1対1個別指導（定期テスト〜大学受験／教室・オンライン） - 古典専門塾 かきつばた")</f>
        <v>古典塾｜古文・漢文の完全1対1個別指導（定期テスト〜大学受験／教室・オンライン） - 古典専門塾 かきつばた</v>
      </c>
      <c r="F31" s="1" t="str">
        <f>IFERROR(__xludf.DUMMYFUNCTION("IFERROR(
  VLOOKUP(
    A31,
    IMPORTRANGE(
      ""1ZygntHC1J6IxzKbTidmOyf5nUyW4GCLurHCjexrLm_o        "",
      ""HTMLキャッシュ!A:F""
    ),
    6,
    FALSE
  ),
  0
)
"),"古典塾（古文・漢文）を探している方向けに、完全1対1で「苦手の発見→修正」を積み重ねる指導方針を整理。中高の定期試験〜大学受験まで、教室／オンライン対応の講座入口と、迷ったときの問い合わせ導線をまとめました。")</f>
        <v>古典塾（古文・漢文）を探している方向けに、完全1対1で「苦手の発見→修正」を積み重ねる指導方針を整理。中高の定期試験〜大学受験まで、教室／オンライン対応の講座入口と、迷ったときの問い合わせ導線をまとめました。</v>
      </c>
      <c r="G31" s="32">
        <f>IFERROR(__xludf.DUMMYFUNCTION("IFERROR(
  VLOOKUP(
    A31,
    IMPORTRANGE(
      ""1ZygntHC1J6IxzKbTidmOyf5nUyW4GCLurHCjexrLm_o        "",
      ""HTMLキャッシュ!A:F""
    ),
    3,
    FALSE
  ),
  0
)
"),46019.58201388889)</f>
        <v>46019.58201</v>
      </c>
      <c r="H31" s="49">
        <f>IFERROR(__xludf.DUMMYFUNCTION("IFERROR(
  VLOOKUP(
    A31,
    IMPORTRANGE(
      ""1ZHMy3vVUd_0MrSduXTe1etBb1HNpAlGwQr006ljwMiM"",
      ""GSC最新!A:F""
    ),
    2,
    FALSE
  ),
  0
)
"),0.0)</f>
        <v>0</v>
      </c>
      <c r="I31" s="49">
        <f>IFERROR(__xludf.DUMMYFUNCTION("IFERROR(
  VLOOKUP(
    A31,
    IMPORTRANGE(
      ""1ZHMy3vVUd_0MrSduXTe1etBb1HNpAlGwQr006ljwMiM"",
      ""GSC最新!A:F""
    ),
    3,
    FALSE
  ),
  0
)
"),2.0)</f>
        <v>2</v>
      </c>
      <c r="J31" s="49">
        <f>IFERROR(__xludf.DUMMYFUNCTION("IFERROR(
  VLOOKUP(
    A31,
    IMPORTRANGE(
      ""1ZHMy3vVUd_0MrSduXTe1etBb1HNpAlGwQr006ljwMiM"",
      ""GSC最新!A:F""
    ),
    4,
    FALSE
  ),
  0
)
"),10.0)</f>
        <v>10</v>
      </c>
      <c r="K31" s="49">
        <f>IFERROR(__xludf.DUMMYFUNCTION("IFERROR(
  VLOOKUP(
    A31,
    IMPORTRANGE(
      ""1ZHMy3vVUd_0MrSduXTe1etBb1HNpAlGwQr006ljwMiM"",
      ""GSC最新!A:F""
    ),
    5,
    FALSE
  ),
  0
)
"),27.0)</f>
        <v>27</v>
      </c>
      <c r="L31" s="50">
        <f t="shared" ref="L31:M31" si="147">IFERROR(H31/J31,"-")</f>
        <v>0</v>
      </c>
      <c r="M31" s="50">
        <f t="shared" si="147"/>
        <v>0.07407407407</v>
      </c>
      <c r="N31" s="6">
        <f>IFERROR(__xludf.DUMMYFUNCTION("IFERROR(
  VLOOKUP(
    A31,
    IMPORTRANGE(
      ""1ZHMy3vVUd_0MrSduXTe1etBb1HNpAlGwQr006ljwMiM"",
      ""GSC最新!A:R""
    ),
    7,
    FALSE
  ),
  0
)
"),23.0)</f>
        <v>23</v>
      </c>
      <c r="O31" s="6">
        <f>IFERROR(__xludf.DUMMYFUNCTION("IFERROR(
  VLOOKUP(
    A31,
    IMPORTRANGE(
      ""1ZHMy3vVUd_0MrSduXTe1etBb1HNpAlGwQr006ljwMiM"",
      ""GSC最新!A:R""
    ),
    10,
    FALSE
  ),
  0
)
"),62.0)</f>
        <v>62</v>
      </c>
      <c r="P31" s="6">
        <f>IFERROR(__xludf.DUMMYFUNCTION("IFERROR(
  VLOOKUP(
    A31,
    IMPORTRANGE(
      ""1ZHMy3vVUd_0MrSduXTe1etBb1HNpAlGwQr006ljwMiM"",
      ""GSC最新!A:R""
    ),
    13,
    FALSE
  ),
  0
)
"),119.0)</f>
        <v>119</v>
      </c>
      <c r="Q31" s="6">
        <f>IFERROR(__xludf.DUMMYFUNCTION("IFERROR(
  VLOOKUP(
    A31,
    IMPORTRANGE(
      ""1ZHMy3vVUd_0MrSduXTe1etBb1HNpAlGwQr006ljwMiM"",
      ""GSC最新!A:R""
    ),
    16,
    FALSE
  ),
  0
)
"),309.0)</f>
        <v>309</v>
      </c>
      <c r="R31" s="51">
        <f t="shared" ref="R31:S31" si="148">IFERROR(N31/P31,"-")</f>
        <v>0.1932773109</v>
      </c>
      <c r="S31" s="51">
        <f t="shared" si="148"/>
        <v>0.2006472492</v>
      </c>
      <c r="T31" s="9">
        <f>IFERROR(__xludf.DUMMYFUNCTION("IFERROR(
  VLOOKUP(
    A31,
    IMPORTRANGE(
      ""1ZHMy3vVUd_0MrSduXTe1etBb1HNpAlGwQr006ljwMiM"",
      ""GSC最新!A:R""
    ),
    8,
    FALSE
  ),
  0
)
"),0.0)</f>
        <v>0</v>
      </c>
      <c r="U31" s="9">
        <f>IFERROR(__xludf.DUMMYFUNCTION("IFERROR(
  VLOOKUP(
    A31,
    IMPORTRANGE(
      ""1ZHMy3vVUd_0MrSduXTe1etBb1HNpAlGwQr006ljwMiM"",
      ""GSC最新!A:R""
    ),
    11,
    FALSE
  ),
  0
)
"),0.03225806451612903)</f>
        <v>0.03225806452</v>
      </c>
      <c r="V31" s="9">
        <f>IFERROR(__xludf.DUMMYFUNCTION("IFERROR(
  VLOOKUP(
    A31,
    IMPORTRANGE(
      ""1ZHMy3vVUd_0MrSduXTe1etBb1HNpAlGwQr006ljwMiM"",
      ""GSC最新!A:R""
    ),
    14,
    FALSE
  ),
  0
)
"),0.08403361344537816)</f>
        <v>0.08403361345</v>
      </c>
      <c r="W31" s="9">
        <f>IFERROR(__xludf.DUMMYFUNCTION("IFERROR(
  VLOOKUP(
    A31,
    IMPORTRANGE(
      ""1ZHMy3vVUd_0MrSduXTe1etBb1HNpAlGwQr006ljwMiM"",
      ""GSC最新!A:R""
    ),
    17,
    FALSE
  ),
  0
)
"),0.08737864077669903)</f>
        <v>0.08737864078</v>
      </c>
      <c r="X31" s="9">
        <f t="shared" ref="X31:Y31" si="149">IFERROR(T31-V31,"-")</f>
        <v>-0.08403361345</v>
      </c>
      <c r="Y31" s="9">
        <f t="shared" si="149"/>
        <v>-0.05512057626</v>
      </c>
      <c r="Z31" s="65">
        <f>IFERROR(__xludf.DUMMYFUNCTION("IFERROR(
  VLOOKUP(
    A31,
    IMPORTRANGE(
      ""1ZHMy3vVUd_0MrSduXTe1etBb1HNpAlGwQr006ljwMiM"",
      ""GSC最新!A:R""
    ),
    9,
    FALSE
  ),
  0
)
"),9.782608695652174)</f>
        <v>9.782608696</v>
      </c>
      <c r="AA31" s="65">
        <f>IFERROR(__xludf.DUMMYFUNCTION("IFERROR(
  VLOOKUP(
    A31,
    IMPORTRANGE(
      ""1ZHMy3vVUd_0MrSduXTe1etBb1HNpAlGwQr006ljwMiM"",
      ""GSC最新!A:R""
    ),
    12,
    FALSE
  ),
  0
)
"),9.612903225806452)</f>
        <v>9.612903226</v>
      </c>
      <c r="AB31" s="65">
        <f>IFERROR(__xludf.DUMMYFUNCTION("IFERROR(
  VLOOKUP(
    A31,
    IMPORTRANGE(
      ""1ZHMy3vVUd_0MrSduXTe1etBb1HNpAlGwQr006ljwMiM"",
      ""GSC最新!A:R""
    ),
    15,
    FALSE
  ),
  0
)
"),23.45378151260504)</f>
        <v>23.45378151</v>
      </c>
      <c r="AC31" s="65">
        <f>IFERROR(__xludf.DUMMYFUNCTION("IFERROR(
  VLOOKUP(
    A31,
    IMPORTRANGE(
      ""1ZHMy3vVUd_0MrSduXTe1etBb1HNpAlGwQr006ljwMiM"",
      ""GSC最新!A:R""
    ),
    18,
    FALSE
  ),
  0
)
"),18.637540453074433)</f>
        <v>18.63754045</v>
      </c>
      <c r="AD31" s="65">
        <f t="shared" ref="AD31:AE31" si="150">Z31-AB31</f>
        <v>-13.67117282</v>
      </c>
      <c r="AE31" s="65">
        <f t="shared" si="150"/>
        <v>-9.024637227</v>
      </c>
      <c r="AF31" s="53">
        <f>IFERROR(__xludf.DUMMYFUNCTION("IFERROR(
  VLOOKUP(
    A31,
    IMPORTRANGE(
      ""1ZHMy3vVUd_0MrSduXTe1etBb1HNpAlGwQr006ljwMiM"",
      ""GSC最新!A:F""
    ),
    6,
    FALSE
  ),
  0
)
"),46081.0)</f>
        <v>46081</v>
      </c>
      <c r="AG31" s="54">
        <f>IFERROR(__xludf.DUMMYFUNCTION("IFERROR(
  VLOOKUP(
    A31,
    IMPORTRANGE(
      ""1SCYQd7_cobOYqT0r_F0IqD4tE4rYn5y8Eup4PJTH8es"",
      ""Snapshot!A:M""
    ),
    5,
    FALSE
  ),
  ""-""
)
"),4.0)</f>
        <v>4</v>
      </c>
      <c r="AH31" s="54">
        <f>IFERROR(__xludf.DUMMYFUNCTION("IFERROR(
  VLOOKUP(
    A31,
    IMPORTRANGE(
      ""1SCYQd7_cobOYqT0r_F0IqD4tE4rYn5y8Eup4PJTH8es"",
      ""Snapshot!A:M""
    ),
    6,
    FALSE
  ),
  0
)
"),3.0)</f>
        <v>3</v>
      </c>
      <c r="AI31" s="54">
        <f>IFERROR(__xludf.DUMMYFUNCTION("IFERROR(
  VLOOKUP(
    A31,
    IMPORTRANGE(
      ""1SCYQd7_cobOYqT0r_F0IqD4tE4rYn5y8Eup4PJTH8es"",
      ""Snapshot!A:M""
    ),
    7,
    FALSE
  ),
  0
)
"),742.0)</f>
        <v>742</v>
      </c>
      <c r="AJ31" s="54">
        <f>IFERROR(__xludf.DUMMYFUNCTION("IFERROR(
  VLOOKUP(
    A31,
    IMPORTRANGE(
      ""1SCYQd7_cobOYqT0r_F0IqD4tE4rYn5y8Eup4PJTH8es"",
      ""Snapshot!A:M""
    ),
    8,
    FALSE
  ),
  0
)
"),4.0)</f>
        <v>4</v>
      </c>
      <c r="AK31" s="54">
        <f>IFERROR(__xludf.DUMMYFUNCTION("IFERROR(
  VLOOKUP(
    A31,
    IMPORTRANGE(
      ""1SCYQd7_cobOYqT0r_F0IqD4tE4rYn5y8Eup4PJTH8es"",
      ""Snapshot!A:M""
    ),
    9,
    FALSE
  ),
  0
)
"),0.0)</f>
        <v>0</v>
      </c>
      <c r="AL31" s="54">
        <f>IFERROR(__xludf.DUMMYFUNCTION("IFERROR(
  VLOOKUP(
    A31,
    IMPORTRANGE(
      ""1SCYQd7_cobOYqT0r_F0IqD4tE4rYn5y8Eup4PJTH8es"",
      ""Snapshot!A:M""
    ),
    13,
    FALSE
  ),
  0
)
"),2.0)</f>
        <v>2</v>
      </c>
    </row>
    <row r="32">
      <c r="A32" s="3" t="s">
        <v>312</v>
      </c>
      <c r="B32" s="1" t="str">
        <f>IFERROR(__xludf.DUMMYFUNCTION("IFERROR(
  VLOOKUP(
    A32,
    IMPORTRANGE(
      ""1ZygntHC1J6IxzKbTidmOyf5nUyW4GCLurHCjexrLm_o"",
      ""HTMLキャッシュ!A:F""
    ),
    2,
    FALSE
  ),
  0
)
"),"SP")</f>
        <v>SP</v>
      </c>
      <c r="C32" s="49">
        <f t="shared" ref="C32:D32" si="151">LEN(E32)</f>
        <v>29</v>
      </c>
      <c r="D32" s="49">
        <f t="shared" si="151"/>
        <v>61</v>
      </c>
      <c r="E32" s="1" t="str">
        <f>IFERROR(__xludf.DUMMYFUNCTION("IFERROR(
  VLOOKUP(
    A32,
    IMPORTRANGE(
      ""1ZygntHC1J6IxzKbTidmOyf5nUyW4GCLurHCjexrLm_o"",
      ""HTMLキャッシュ!A:F""
    ),
    5,
    FALSE
  ),
  0
)
"),"中高生向け古文漢文完全個別指導講座｜定期試験大学受験対応塾")</f>
        <v>中高生向け古文漢文完全個別指導講座｜定期試験大学受験対応塾</v>
      </c>
      <c r="F32" s="1" t="str">
        <f>IFERROR(__xludf.DUMMYFUNCTION("IFERROR(
  VLOOKUP(
    A32,
    IMPORTRANGE(
      ""1ZygntHC1J6IxzKbTidmOyf5nUyW4GCLurHCjexrLm_o        "",
      ""HTMLキャッシュ!A:F""
    ),
    6,
    FALSE
  ),
  0
)
"),"古文漢文が伸びない中高生へ。完全1対1で基礎から記述まで強化し、定期試験・大学受験に直結。教室／オンライン相談受付中今すぐ")</f>
        <v>古文漢文が伸びない中高生へ。完全1対1で基礎から記述まで強化し、定期試験・大学受験に直結。教室／オンライン相談受付中今すぐ</v>
      </c>
      <c r="G32" s="32">
        <f>IFERROR(__xludf.DUMMYFUNCTION("IFERROR(
  VLOOKUP(
    A32,
    IMPORTRANGE(
      ""1ZygntHC1J6IxzKbTidmOyf5nUyW4GCLurHCjexrLm_o        "",
      ""HTMLキャッシュ!A:F""
    ),
    3,
    FALSE
  ),
  0
)
"),46081.80065972222)</f>
        <v>46081.80066</v>
      </c>
      <c r="H32" s="49">
        <f>IFERROR(__xludf.DUMMYFUNCTION("IFERROR(
  VLOOKUP(
    A32,
    IMPORTRANGE(
      ""1ZHMy3vVUd_0MrSduXTe1etBb1HNpAlGwQr006ljwMiM"",
      ""GSC最新!A:F""
    ),
    2,
    FALSE
  ),
  0
)
"),3.0)</f>
        <v>3</v>
      </c>
      <c r="I32" s="49">
        <f>IFERROR(__xludf.DUMMYFUNCTION("IFERROR(
  VLOOKUP(
    A32,
    IMPORTRANGE(
      ""1ZHMy3vVUd_0MrSduXTe1etBb1HNpAlGwQr006ljwMiM"",
      ""GSC最新!A:F""
    ),
    3,
    FALSE
  ),
  0
)
"),4.0)</f>
        <v>4</v>
      </c>
      <c r="J32" s="49">
        <f>IFERROR(__xludf.DUMMYFUNCTION("IFERROR(
  VLOOKUP(
    A32,
    IMPORTRANGE(
      ""1ZHMy3vVUd_0MrSduXTe1etBb1HNpAlGwQr006ljwMiM"",
      ""GSC最新!A:F""
    ),
    4,
    FALSE
  ),
  0
)
"),0.0)</f>
        <v>0</v>
      </c>
      <c r="K32" s="49">
        <f>IFERROR(__xludf.DUMMYFUNCTION("IFERROR(
  VLOOKUP(
    A32,
    IMPORTRANGE(
      ""1ZHMy3vVUd_0MrSduXTe1etBb1HNpAlGwQr006ljwMiM"",
      ""GSC最新!A:F""
    ),
    5,
    FALSE
  ),
  0
)
"),0.0)</f>
        <v>0</v>
      </c>
      <c r="L32" s="50" t="str">
        <f t="shared" ref="L32:M32" si="152">IFERROR(H32/J32,"-")</f>
        <v>-</v>
      </c>
      <c r="M32" s="50" t="str">
        <f t="shared" si="152"/>
        <v>-</v>
      </c>
      <c r="N32" s="6">
        <f>IFERROR(__xludf.DUMMYFUNCTION("IFERROR(
  VLOOKUP(
    A32,
    IMPORTRANGE(
      ""1ZHMy3vVUd_0MrSduXTe1etBb1HNpAlGwQr006ljwMiM"",
      ""GSC最新!A:R""
    ),
    7,
    FALSE
  ),
  0
)
"),48.0)</f>
        <v>48</v>
      </c>
      <c r="O32" s="6">
        <f>IFERROR(__xludf.DUMMYFUNCTION("IFERROR(
  VLOOKUP(
    A32,
    IMPORTRANGE(
      ""1ZHMy3vVUd_0MrSduXTe1etBb1HNpAlGwQr006ljwMiM"",
      ""GSC最新!A:R""
    ),
    10,
    FALSE
  ),
  0
)
"),105.0)</f>
        <v>105</v>
      </c>
      <c r="P32" s="6">
        <f>IFERROR(__xludf.DUMMYFUNCTION("IFERROR(
  VLOOKUP(
    A32,
    IMPORTRANGE(
      ""1ZHMy3vVUd_0MrSduXTe1etBb1HNpAlGwQr006ljwMiM"",
      ""GSC最新!A:R""
    ),
    13,
    FALSE
  ),
  0
)
"),18.0)</f>
        <v>18</v>
      </c>
      <c r="Q32" s="6">
        <f>IFERROR(__xludf.DUMMYFUNCTION("IFERROR(
  VLOOKUP(
    A32,
    IMPORTRANGE(
      ""1ZHMy3vVUd_0MrSduXTe1etBb1HNpAlGwQr006ljwMiM"",
      ""GSC最新!A:R""
    ),
    16,
    FALSE
  ),
  0
)
"),27.0)</f>
        <v>27</v>
      </c>
      <c r="R32" s="51">
        <f t="shared" ref="R32:S32" si="153">IFERROR(N32/P32,"-")</f>
        <v>2.666666667</v>
      </c>
      <c r="S32" s="51">
        <f t="shared" si="153"/>
        <v>3.888888889</v>
      </c>
      <c r="T32" s="9">
        <f>IFERROR(__xludf.DUMMYFUNCTION("IFERROR(
  VLOOKUP(
    A32,
    IMPORTRANGE(
      ""1ZHMy3vVUd_0MrSduXTe1etBb1HNpAlGwQr006ljwMiM"",
      ""GSC最新!A:R""
    ),
    8,
    FALSE
  ),
  0
)
"),0.0625)</f>
        <v>0.0625</v>
      </c>
      <c r="U32" s="9">
        <f>IFERROR(__xludf.DUMMYFUNCTION("IFERROR(
  VLOOKUP(
    A32,
    IMPORTRANGE(
      ""1ZHMy3vVUd_0MrSduXTe1etBb1HNpAlGwQr006ljwMiM"",
      ""GSC最新!A:R""
    ),
    11,
    FALSE
  ),
  0
)
"),0.0380952380952381)</f>
        <v>0.0380952381</v>
      </c>
      <c r="V32" s="9">
        <f>IFERROR(__xludf.DUMMYFUNCTION("IFERROR(
  VLOOKUP(
    A32,
    IMPORTRANGE(
      ""1ZHMy3vVUd_0MrSduXTe1etBb1HNpAlGwQr006ljwMiM"",
      ""GSC最新!A:R""
    ),
    14,
    FALSE
  ),
  0
)
"),0.0)</f>
        <v>0</v>
      </c>
      <c r="W32" s="9">
        <f>IFERROR(__xludf.DUMMYFUNCTION("IFERROR(
  VLOOKUP(
    A32,
    IMPORTRANGE(
      ""1ZHMy3vVUd_0MrSduXTe1etBb1HNpAlGwQr006ljwMiM"",
      ""GSC最新!A:R""
    ),
    17,
    FALSE
  ),
  0
)
"),0.0)</f>
        <v>0</v>
      </c>
      <c r="X32" s="9">
        <f t="shared" ref="X32:Y32" si="154">IFERROR(T32-V32,"-")</f>
        <v>0.0625</v>
      </c>
      <c r="Y32" s="9">
        <f t="shared" si="154"/>
        <v>0.0380952381</v>
      </c>
      <c r="Z32" s="65">
        <f>IFERROR(__xludf.DUMMYFUNCTION("IFERROR(
  VLOOKUP(
    A32,
    IMPORTRANGE(
      ""1ZHMy3vVUd_0MrSduXTe1etBb1HNpAlGwQr006ljwMiM"",
      ""GSC最新!A:R""
    ),
    9,
    FALSE
  ),
  0
)
"),4.833333333333334)</f>
        <v>4.833333333</v>
      </c>
      <c r="AA32" s="65">
        <f>IFERROR(__xludf.DUMMYFUNCTION("IFERROR(
  VLOOKUP(
    A32,
    IMPORTRANGE(
      ""1ZHMy3vVUd_0MrSduXTe1etBb1HNpAlGwQr006ljwMiM"",
      ""GSC最新!A:R""
    ),
    12,
    FALSE
  ),
  0
)
"),4.933333333333334)</f>
        <v>4.933333333</v>
      </c>
      <c r="AB32" s="65">
        <f>IFERROR(__xludf.DUMMYFUNCTION("IFERROR(
  VLOOKUP(
    A32,
    IMPORTRANGE(
      ""1ZHMy3vVUd_0MrSduXTe1etBb1HNpAlGwQr006ljwMiM"",
      ""GSC最新!A:R""
    ),
    15,
    FALSE
  ),
  0
)
"),6.555555555555555)</f>
        <v>6.555555556</v>
      </c>
      <c r="AC32" s="65">
        <f>IFERROR(__xludf.DUMMYFUNCTION("IFERROR(
  VLOOKUP(
    A32,
    IMPORTRANGE(
      ""1ZHMy3vVUd_0MrSduXTe1etBb1HNpAlGwQr006ljwMiM"",
      ""GSC最新!A:R""
    ),
    18,
    FALSE
  ),
  0
)
"),5.0)</f>
        <v>5</v>
      </c>
      <c r="AD32" s="65">
        <f t="shared" ref="AD32:AE32" si="155">Z32-AB32</f>
        <v>-1.722222222</v>
      </c>
      <c r="AE32" s="65">
        <f t="shared" si="155"/>
        <v>-0.06666666667</v>
      </c>
      <c r="AF32" s="53">
        <f>IFERROR(__xludf.DUMMYFUNCTION("IFERROR(
  VLOOKUP(
    A32,
    IMPORTRANGE(
      ""1ZHMy3vVUd_0MrSduXTe1etBb1HNpAlGwQr006ljwMiM"",
      ""GSC最新!A:F""
    ),
    6,
    FALSE
  ),
  0
)
"),46081.0)</f>
        <v>46081</v>
      </c>
      <c r="AG32" s="54">
        <f>IFERROR(__xludf.DUMMYFUNCTION("IFERROR(
  VLOOKUP(
    A32,
    IMPORTRANGE(
      ""1SCYQd7_cobOYqT0r_F0IqD4tE4rYn5y8Eup4PJTH8es"",
      ""Snapshot!A:M""
    ),
    5,
    FALSE
  ),
  ""-""
)
"),4.0)</f>
        <v>4</v>
      </c>
      <c r="AH32" s="54">
        <f>IFERROR(__xludf.DUMMYFUNCTION("IFERROR(
  VLOOKUP(
    A32,
    IMPORTRANGE(
      ""1SCYQd7_cobOYqT0r_F0IqD4tE4rYn5y8Eup4PJTH8es"",
      ""Snapshot!A:M""
    ),
    6,
    FALSE
  ),
  0
)
"),8.0)</f>
        <v>8</v>
      </c>
      <c r="AI32" s="54">
        <f>IFERROR(__xludf.DUMMYFUNCTION("IFERROR(
  VLOOKUP(
    A32,
    IMPORTRANGE(
      ""1SCYQd7_cobOYqT0r_F0IqD4tE4rYn5y8Eup4PJTH8es"",
      ""Snapshot!A:M""
    ),
    7,
    FALSE
  ),
  0
)
"),1953.0)</f>
        <v>1953</v>
      </c>
      <c r="AJ32" s="54">
        <f>IFERROR(__xludf.DUMMYFUNCTION("IFERROR(
  VLOOKUP(
    A32,
    IMPORTRANGE(
      ""1SCYQd7_cobOYqT0r_F0IqD4tE4rYn5y8Eup4PJTH8es"",
      ""Snapshot!A:M""
    ),
    8,
    FALSE
  ),
  0
)
"),7.0)</f>
        <v>7</v>
      </c>
      <c r="AK32" s="54">
        <f>IFERROR(__xludf.DUMMYFUNCTION("IFERROR(
  VLOOKUP(
    A32,
    IMPORTRANGE(
      ""1SCYQd7_cobOYqT0r_F0IqD4tE4rYn5y8Eup4PJTH8es"",
      ""Snapshot!A:M""
    ),
    9,
    FALSE
  ),
  0
)
"),5.0)</f>
        <v>5</v>
      </c>
      <c r="AL32" s="54">
        <f>IFERROR(__xludf.DUMMYFUNCTION("IFERROR(
  VLOOKUP(
    A32,
    IMPORTRANGE(
      ""1SCYQd7_cobOYqT0r_F0IqD4tE4rYn5y8Eup4PJTH8es"",
      ""Snapshot!A:M""
    ),
    13,
    FALSE
  ),
  0
)
"),1.0)</f>
        <v>1</v>
      </c>
    </row>
    <row r="33">
      <c r="A33" s="3" t="s">
        <v>304</v>
      </c>
      <c r="B33" s="1" t="str">
        <f>IFERROR(__xludf.DUMMYFUNCTION("IFERROR(
  VLOOKUP(
    A33,
    IMPORTRANGE(
      ""1ZygntHC1J6IxzKbTidmOyf5nUyW4GCLurHCjexrLm_o"",
      ""HTMLキャッシュ!A:F""
    ),
    2,
    FALSE
  ),
  0
)
"),"SP")</f>
        <v>SP</v>
      </c>
      <c r="C33" s="49">
        <f t="shared" ref="C33:D33" si="156">LEN(E33)</f>
        <v>28</v>
      </c>
      <c r="D33" s="49">
        <f t="shared" si="156"/>
        <v>54</v>
      </c>
      <c r="E33" s="1" t="str">
        <f>IFERROR(__xludf.DUMMYFUNCTION("IFERROR(
  VLOOKUP(
    A33,
    IMPORTRANGE(
      ""1ZygntHC1J6IxzKbTidmOyf5nUyW4GCLurHCjexrLm_o"",
      ""HTMLキャッシュ!A:F""
    ),
    5,
    FALSE
  ),
  0
)
"),"大学受験 古典対策講座｜現代文・古文・漢文対応の個別指導")</f>
        <v>大学受験 古典対策講座｜現代文・古文・漢文対応の個別指導</v>
      </c>
      <c r="F33" s="1" t="str">
        <f>IFERROR(__xludf.DUMMYFUNCTION("IFERROR(
  VLOOKUP(
    A33,
    IMPORTRANGE(
      ""1ZygntHC1J6IxzKbTidmOyf5nUyW4GCLurHCjexrLm_o        "",
      ""HTMLキャッシュ!A:F""
    ),
    6,
    FALSE
  ),
  0
)
"),"古典が伸びない受験生へ。志望校別に記述・選択・共通テストまで1対1で設計指導。教室・オンライン体験相談受付中")</f>
        <v>古典が伸びない受験生へ。志望校別に記述・選択・共通テストまで1対1で設計指導。教室・オンライン体験相談受付中</v>
      </c>
      <c r="G33" s="32">
        <f>IFERROR(__xludf.DUMMYFUNCTION("IFERROR(
  VLOOKUP(
    A33,
    IMPORTRANGE(
      ""1ZygntHC1J6IxzKbTidmOyf5nUyW4GCLurHCjexrLm_o        "",
      ""HTMLキャッシュ!A:F""
    ),
    3,
    FALSE
  ),
  0
)
"),46081.77716435185)</f>
        <v>46081.77716</v>
      </c>
      <c r="H33" s="49">
        <f>IFERROR(__xludf.DUMMYFUNCTION("IFERROR(
  VLOOKUP(
    A33,
    IMPORTRANGE(
      ""1ZHMy3vVUd_0MrSduXTe1etBb1HNpAlGwQr006ljwMiM"",
      ""GSC最新!A:F""
    ),
    2,
    FALSE
  ),
  0
)
"),1.0)</f>
        <v>1</v>
      </c>
      <c r="I33" s="49">
        <f>IFERROR(__xludf.DUMMYFUNCTION("IFERROR(
  VLOOKUP(
    A33,
    IMPORTRANGE(
      ""1ZHMy3vVUd_0MrSduXTe1etBb1HNpAlGwQr006ljwMiM"",
      ""GSC最新!A:F""
    ),
    3,
    FALSE
  ),
  0
)
"),1.0)</f>
        <v>1</v>
      </c>
      <c r="J33" s="49">
        <f>IFERROR(__xludf.DUMMYFUNCTION("IFERROR(
  VLOOKUP(
    A33,
    IMPORTRANGE(
      ""1ZHMy3vVUd_0MrSduXTe1etBb1HNpAlGwQr006ljwMiM"",
      ""GSC最新!A:F""
    ),
    4,
    FALSE
  ),
  0
)
"),2.0)</f>
        <v>2</v>
      </c>
      <c r="K33" s="49">
        <f>IFERROR(__xludf.DUMMYFUNCTION("IFERROR(
  VLOOKUP(
    A33,
    IMPORTRANGE(
      ""1ZHMy3vVUd_0MrSduXTe1etBb1HNpAlGwQr006ljwMiM"",
      ""GSC最新!A:F""
    ),
    5,
    FALSE
  ),
  0
)
"),10.0)</f>
        <v>10</v>
      </c>
      <c r="L33" s="50">
        <f t="shared" ref="L33:M33" si="157">IFERROR(H33/J33,"-")</f>
        <v>0.5</v>
      </c>
      <c r="M33" s="50">
        <f t="shared" si="157"/>
        <v>0.1</v>
      </c>
      <c r="N33" s="6">
        <f>IFERROR(__xludf.DUMMYFUNCTION("IFERROR(
  VLOOKUP(
    A33,
    IMPORTRANGE(
      ""1ZHMy3vVUd_0MrSduXTe1etBb1HNpAlGwQr006ljwMiM"",
      ""GSC最新!A:R""
    ),
    7,
    FALSE
  ),
  0
)
"),102.0)</f>
        <v>102</v>
      </c>
      <c r="O33" s="6">
        <f>IFERROR(__xludf.DUMMYFUNCTION("IFERROR(
  VLOOKUP(
    A33,
    IMPORTRANGE(
      ""1ZHMy3vVUd_0MrSduXTe1etBb1HNpAlGwQr006ljwMiM"",
      ""GSC最新!A:R""
    ),
    10,
    FALSE
  ),
  0
)
"),155.0)</f>
        <v>155</v>
      </c>
      <c r="P33" s="6">
        <f>IFERROR(__xludf.DUMMYFUNCTION("IFERROR(
  VLOOKUP(
    A33,
    IMPORTRANGE(
      ""1ZHMy3vVUd_0MrSduXTe1etBb1HNpAlGwQr006ljwMiM"",
      ""GSC最新!A:R""
    ),
    13,
    FALSE
  ),
  0
)
"),114.0)</f>
        <v>114</v>
      </c>
      <c r="Q33" s="6">
        <f>IFERROR(__xludf.DUMMYFUNCTION("IFERROR(
  VLOOKUP(
    A33,
    IMPORTRANGE(
      ""1ZHMy3vVUd_0MrSduXTe1etBb1HNpAlGwQr006ljwMiM"",
      ""GSC最新!A:R""
    ),
    16,
    FALSE
  ),
  0
)
"),482.0)</f>
        <v>482</v>
      </c>
      <c r="R33" s="51">
        <f t="shared" ref="R33:S33" si="158">IFERROR(N33/P33,"-")</f>
        <v>0.8947368421</v>
      </c>
      <c r="S33" s="51">
        <f t="shared" si="158"/>
        <v>0.3215767635</v>
      </c>
      <c r="T33" s="9">
        <f>IFERROR(__xludf.DUMMYFUNCTION("IFERROR(
  VLOOKUP(
    A33,
    IMPORTRANGE(
      ""1ZHMy3vVUd_0MrSduXTe1etBb1HNpAlGwQr006ljwMiM"",
      ""GSC最新!A:R""
    ),
    8,
    FALSE
  ),
  0
)
"),0.00980392156862745)</f>
        <v>0.009803921569</v>
      </c>
      <c r="U33" s="9">
        <f>IFERROR(__xludf.DUMMYFUNCTION("IFERROR(
  VLOOKUP(
    A33,
    IMPORTRANGE(
      ""1ZHMy3vVUd_0MrSduXTe1etBb1HNpAlGwQr006ljwMiM"",
      ""GSC最新!A:R""
    ),
    11,
    FALSE
  ),
  0
)
"),0.0064516129032258064)</f>
        <v>0.006451612903</v>
      </c>
      <c r="V33" s="9">
        <f>IFERROR(__xludf.DUMMYFUNCTION("IFERROR(
  VLOOKUP(
    A33,
    IMPORTRANGE(
      ""1ZHMy3vVUd_0MrSduXTe1etBb1HNpAlGwQr006ljwMiM"",
      ""GSC最新!A:R""
    ),
    14,
    FALSE
  ),
  0
)
"),0.017543859649122806)</f>
        <v>0.01754385965</v>
      </c>
      <c r="W33" s="9">
        <f>IFERROR(__xludf.DUMMYFUNCTION("IFERROR(
  VLOOKUP(
    A33,
    IMPORTRANGE(
      ""1ZHMy3vVUd_0MrSduXTe1etBb1HNpAlGwQr006ljwMiM"",
      ""GSC最新!A:R""
    ),
    17,
    FALSE
  ),
  0
)
"),0.02074688796680498)</f>
        <v>0.02074688797</v>
      </c>
      <c r="X33" s="9">
        <f t="shared" ref="X33:Y33" si="159">IFERROR(T33-V33,"-")</f>
        <v>-0.00773993808</v>
      </c>
      <c r="Y33" s="9">
        <f t="shared" si="159"/>
        <v>-0.01429527506</v>
      </c>
      <c r="Z33" s="65">
        <f>IFERROR(__xludf.DUMMYFUNCTION("IFERROR(
  VLOOKUP(
    A33,
    IMPORTRANGE(
      ""1ZHMy3vVUd_0MrSduXTe1etBb1HNpAlGwQr006ljwMiM"",
      ""GSC最新!A:R""
    ),
    9,
    FALSE
  ),
  0
)
"),9.72549019607843)</f>
        <v>9.725490196</v>
      </c>
      <c r="AA33" s="65">
        <f>IFERROR(__xludf.DUMMYFUNCTION("IFERROR(
  VLOOKUP(
    A33,
    IMPORTRANGE(
      ""1ZHMy3vVUd_0MrSduXTe1etBb1HNpAlGwQr006ljwMiM"",
      ""GSC最新!A:R""
    ),
    12,
    FALSE
  ),
  0
)
"),10.638709677419355)</f>
        <v>10.63870968</v>
      </c>
      <c r="AB33" s="65">
        <f>IFERROR(__xludf.DUMMYFUNCTION("IFERROR(
  VLOOKUP(
    A33,
    IMPORTRANGE(
      ""1ZHMy3vVUd_0MrSduXTe1etBb1HNpAlGwQr006ljwMiM"",
      ""GSC最新!A:R""
    ),
    15,
    FALSE
  ),
  0
)
"),14.552631578947368)</f>
        <v>14.55263158</v>
      </c>
      <c r="AC33" s="65">
        <f>IFERROR(__xludf.DUMMYFUNCTION("IFERROR(
  VLOOKUP(
    A33,
    IMPORTRANGE(
      ""1ZHMy3vVUd_0MrSduXTe1etBb1HNpAlGwQr006ljwMiM"",
      ""GSC最新!A:R""
    ),
    18,
    FALSE
  ),
  0
)
"),22.051867219917014)</f>
        <v>22.05186722</v>
      </c>
      <c r="AD33" s="65">
        <f t="shared" ref="AD33:AE33" si="160">Z33-AB33</f>
        <v>-4.827141383</v>
      </c>
      <c r="AE33" s="65">
        <f t="shared" si="160"/>
        <v>-11.41315754</v>
      </c>
      <c r="AF33" s="53">
        <f>IFERROR(__xludf.DUMMYFUNCTION("IFERROR(
  VLOOKUP(
    A33,
    IMPORTRANGE(
      ""1ZHMy3vVUd_0MrSduXTe1etBb1HNpAlGwQr006ljwMiM"",
      ""GSC最新!A:F""
    ),
    6,
    FALSE
  ),
  0
)
"),46081.0)</f>
        <v>46081</v>
      </c>
      <c r="AG33" s="54">
        <f>IFERROR(__xludf.DUMMYFUNCTION("IFERROR(
  VLOOKUP(
    A33,
    IMPORTRANGE(
      ""1SCYQd7_cobOYqT0r_F0IqD4tE4rYn5y8Eup4PJTH8es"",
      ""Snapshot!A:M""
    ),
    5,
    FALSE
  ),
  ""-""
)
"),10.0)</f>
        <v>10</v>
      </c>
      <c r="AH33" s="54">
        <f>IFERROR(__xludf.DUMMYFUNCTION("IFERROR(
  VLOOKUP(
    A33,
    IMPORTRANGE(
      ""1SCYQd7_cobOYqT0r_F0IqD4tE4rYn5y8Eup4PJTH8es"",
      ""Snapshot!A:M""
    ),
    6,
    FALSE
  ),
  0
)
"),7.0)</f>
        <v>7</v>
      </c>
      <c r="AI33" s="54">
        <f>IFERROR(__xludf.DUMMYFUNCTION("IFERROR(
  VLOOKUP(
    A33,
    IMPORTRANGE(
      ""1SCYQd7_cobOYqT0r_F0IqD4tE4rYn5y8Eup4PJTH8es"",
      ""Snapshot!A:M""
    ),
    7,
    FALSE
  ),
  0
)
"),4355.0)</f>
        <v>4355</v>
      </c>
      <c r="AJ33" s="54">
        <f>IFERROR(__xludf.DUMMYFUNCTION("IFERROR(
  VLOOKUP(
    A33,
    IMPORTRANGE(
      ""1SCYQd7_cobOYqT0r_F0IqD4tE4rYn5y8Eup4PJTH8es"",
      ""Snapshot!A:M""
    ),
    8,
    FALSE
  ),
  0
)
"),0.0)</f>
        <v>0</v>
      </c>
      <c r="AK33" s="54">
        <f>IFERROR(__xludf.DUMMYFUNCTION("IFERROR(
  VLOOKUP(
    A33,
    IMPORTRANGE(
      ""1SCYQd7_cobOYqT0r_F0IqD4tE4rYn5y8Eup4PJTH8es"",
      ""Snapshot!A:M""
    ),
    9,
    FALSE
  ),
  0
)
"),1.0)</f>
        <v>1</v>
      </c>
      <c r="AL33" s="54">
        <f>IFERROR(__xludf.DUMMYFUNCTION("IFERROR(
  VLOOKUP(
    A33,
    IMPORTRANGE(
      ""1SCYQd7_cobOYqT0r_F0IqD4tE4rYn5y8Eup4PJTH8es"",
      ""Snapshot!A:M""
    ),
    13,
    FALSE
  ),
  0
)
"),1.0)</f>
        <v>1</v>
      </c>
    </row>
    <row r="34">
      <c r="A34" s="3" t="s">
        <v>917</v>
      </c>
      <c r="B34" s="1" t="str">
        <f>IFERROR(__xludf.DUMMYFUNCTION("IFERROR(
  VLOOKUP(
    A34,
    IMPORTRANGE(
      ""1ZygntHC1J6IxzKbTidmOyf5nUyW4GCLurHCjexrLm_o"",
      ""HTMLキャッシュ!A:F""
    ),
    2,
    FALSE
  ),
  0
)
"),"ST")</f>
        <v>ST</v>
      </c>
      <c r="C34" s="49">
        <f t="shared" ref="C34:D34" si="161">LEN(E34)</f>
        <v>22</v>
      </c>
      <c r="D34" s="49">
        <f t="shared" si="161"/>
        <v>55</v>
      </c>
      <c r="E34" s="1" t="str">
        <f>IFERROR(__xludf.DUMMYFUNCTION("IFERROR(
  VLOOKUP(
    A34,
    IMPORTRANGE(
      ""1ZygntHC1J6IxzKbTidmOyf5nUyW4GCLurHCjexrLm_o"",
      ""HTMLキャッシュ!A:F""
    ),
    5,
    FALSE
  ),
  0
)
"),"古典専門塾かきつばた 運営会社概要と教育理念")</f>
        <v>古典専門塾かきつばた 運営会社概要と教育理念</v>
      </c>
      <c r="F34" s="1" t="str">
        <f>IFERROR(__xludf.DUMMYFUNCTION("IFERROR(
  VLOOKUP(
    A34,
    IMPORTRANGE(
      ""1ZygntHC1J6IxzKbTidmOyf5nUyW4GCLurHCjexrLm_o        "",
      ""HTMLキャッシュ!A:F""
    ),
    6,
    FALSE
  ),
  0
)
"),"「古典専門塾 かきつばた」は株式会社アリスメティカジャパンにより運営されております。 会社概要 社名 株式会社")</f>
        <v>「古典専門塾 かきつばた」は株式会社アリスメティカジャパンにより運営されております。 会社概要 社名 株式会社</v>
      </c>
      <c r="G34" s="32">
        <f>IFERROR(__xludf.DUMMYFUNCTION("IFERROR(
  VLOOKUP(
    A34,
    IMPORTRANGE(
      ""1ZygntHC1J6IxzKbTidmOyf5nUyW4GCLurHCjexrLm_o        "",
      ""HTMLキャッシュ!A:F""
    ),
    3,
    FALSE
  ),
  0
)
"),46073.654490740744)</f>
        <v>46073.65449</v>
      </c>
      <c r="H34" s="49">
        <f>IFERROR(__xludf.DUMMYFUNCTION("IFERROR(
  VLOOKUP(
    A34,
    IMPORTRANGE(
      ""1ZHMy3vVUd_0MrSduXTe1etBb1HNpAlGwQr006ljwMiM"",
      ""GSC最新!A:F""
    ),
    2,
    FALSE
  ),
  0
)
"),0.0)</f>
        <v>0</v>
      </c>
      <c r="I34" s="49">
        <f>IFERROR(__xludf.DUMMYFUNCTION("IFERROR(
  VLOOKUP(
    A34,
    IMPORTRANGE(
      ""1ZHMy3vVUd_0MrSduXTe1etBb1HNpAlGwQr006ljwMiM"",
      ""GSC最新!A:F""
    ),
    3,
    FALSE
  ),
  0
)
"),0.0)</f>
        <v>0</v>
      </c>
      <c r="J34" s="49">
        <f>IFERROR(__xludf.DUMMYFUNCTION("IFERROR(
  VLOOKUP(
    A34,
    IMPORTRANGE(
      ""1ZHMy3vVUd_0MrSduXTe1etBb1HNpAlGwQr006ljwMiM"",
      ""GSC最新!A:F""
    ),
    4,
    FALSE
  ),
  0
)
"),1.0)</f>
        <v>1</v>
      </c>
      <c r="K34" s="49">
        <f>IFERROR(__xludf.DUMMYFUNCTION("IFERROR(
  VLOOKUP(
    A34,
    IMPORTRANGE(
      ""1ZHMy3vVUd_0MrSduXTe1etBb1HNpAlGwQr006ljwMiM"",
      ""GSC最新!A:F""
    ),
    5,
    FALSE
  ),
  0
)
"),4.0)</f>
        <v>4</v>
      </c>
      <c r="L34" s="50">
        <f t="shared" ref="L34:M34" si="162">IFERROR(H34/J34,"-")</f>
        <v>0</v>
      </c>
      <c r="M34" s="50">
        <f t="shared" si="162"/>
        <v>0</v>
      </c>
      <c r="N34" s="6">
        <f>IFERROR(__xludf.DUMMYFUNCTION("IFERROR(
  VLOOKUP(
    A34,
    IMPORTRANGE(
      ""1ZHMy3vVUd_0MrSduXTe1etBb1HNpAlGwQr006ljwMiM"",
      ""GSC最新!A:R""
    ),
    7,
    FALSE
  ),
  0
)
"),41.0)</f>
        <v>41</v>
      </c>
      <c r="O34" s="6">
        <f>IFERROR(__xludf.DUMMYFUNCTION("IFERROR(
  VLOOKUP(
    A34,
    IMPORTRANGE(
      ""1ZHMy3vVUd_0MrSduXTe1etBb1HNpAlGwQr006ljwMiM"",
      ""GSC最新!A:R""
    ),
    10,
    FALSE
  ),
  0
)
"),115.0)</f>
        <v>115</v>
      </c>
      <c r="P34" s="6">
        <f>IFERROR(__xludf.DUMMYFUNCTION("IFERROR(
  VLOOKUP(
    A34,
    IMPORTRANGE(
      ""1ZHMy3vVUd_0MrSduXTe1etBb1HNpAlGwQr006ljwMiM"",
      ""GSC最新!A:R""
    ),
    13,
    FALSE
  ),
  0
)
"),164.0)</f>
        <v>164</v>
      </c>
      <c r="Q34" s="6">
        <f>IFERROR(__xludf.DUMMYFUNCTION("IFERROR(
  VLOOKUP(
    A34,
    IMPORTRANGE(
      ""1ZHMy3vVUd_0MrSduXTe1etBb1HNpAlGwQr006ljwMiM"",
      ""GSC最新!A:R""
    ),
    16,
    FALSE
  ),
  0
)
"),440.0)</f>
        <v>440</v>
      </c>
      <c r="R34" s="51">
        <f t="shared" ref="R34:S34" si="163">IFERROR(N34/P34,"-")</f>
        <v>0.25</v>
      </c>
      <c r="S34" s="51">
        <f t="shared" si="163"/>
        <v>0.2613636364</v>
      </c>
      <c r="T34" s="9">
        <f>IFERROR(__xludf.DUMMYFUNCTION("IFERROR(
  VLOOKUP(
    A34,
    IMPORTRANGE(
      ""1ZHMy3vVUd_0MrSduXTe1etBb1HNpAlGwQr006ljwMiM"",
      ""GSC最新!A:R""
    ),
    8,
    FALSE
  ),
  0
)
"),0.0)</f>
        <v>0</v>
      </c>
      <c r="U34" s="9">
        <f>IFERROR(__xludf.DUMMYFUNCTION("IFERROR(
  VLOOKUP(
    A34,
    IMPORTRANGE(
      ""1ZHMy3vVUd_0MrSduXTe1etBb1HNpAlGwQr006ljwMiM"",
      ""GSC最新!A:R""
    ),
    11,
    FALSE
  ),
  0
)
"),0.0)</f>
        <v>0</v>
      </c>
      <c r="V34" s="9">
        <f>IFERROR(__xludf.DUMMYFUNCTION("IFERROR(
  VLOOKUP(
    A34,
    IMPORTRANGE(
      ""1ZHMy3vVUd_0MrSduXTe1etBb1HNpAlGwQr006ljwMiM"",
      ""GSC最新!A:R""
    ),
    14,
    FALSE
  ),
  0
)
"),0.006097560975609756)</f>
        <v>0.006097560976</v>
      </c>
      <c r="W34" s="9">
        <f>IFERROR(__xludf.DUMMYFUNCTION("IFERROR(
  VLOOKUP(
    A34,
    IMPORTRANGE(
      ""1ZHMy3vVUd_0MrSduXTe1etBb1HNpAlGwQr006ljwMiM"",
      ""GSC最新!A:R""
    ),
    17,
    FALSE
  ),
  0
)
"),0.00909090909090909)</f>
        <v>0.009090909091</v>
      </c>
      <c r="X34" s="9">
        <f t="shared" ref="X34:Y34" si="164">IFERROR(T34-V34,"-")</f>
        <v>-0.006097560976</v>
      </c>
      <c r="Y34" s="9">
        <f t="shared" si="164"/>
        <v>-0.009090909091</v>
      </c>
      <c r="Z34" s="65">
        <f>IFERROR(__xludf.DUMMYFUNCTION("IFERROR(
  VLOOKUP(
    A34,
    IMPORTRANGE(
      ""1ZHMy3vVUd_0MrSduXTe1etBb1HNpAlGwQr006ljwMiM"",
      ""GSC最新!A:R""
    ),
    9,
    FALSE
  ),
  0
)
"),8.463414634146343)</f>
        <v>8.463414634</v>
      </c>
      <c r="AA34" s="65">
        <f>IFERROR(__xludf.DUMMYFUNCTION("IFERROR(
  VLOOKUP(
    A34,
    IMPORTRANGE(
      ""1ZHMy3vVUd_0MrSduXTe1etBb1HNpAlGwQr006ljwMiM"",
      ""GSC最新!A:R""
    ),
    12,
    FALSE
  ),
  0
)
"),6.060869565217391)</f>
        <v>6.060869565</v>
      </c>
      <c r="AB34" s="65">
        <f>IFERROR(__xludf.DUMMYFUNCTION("IFERROR(
  VLOOKUP(
    A34,
    IMPORTRANGE(
      ""1ZHMy3vVUd_0MrSduXTe1etBb1HNpAlGwQr006ljwMiM"",
      ""GSC最新!A:R""
    ),
    15,
    FALSE
  ),
  0
)
"),11.475609756097562)</f>
        <v>11.47560976</v>
      </c>
      <c r="AC34" s="65">
        <f>IFERROR(__xludf.DUMMYFUNCTION("IFERROR(
  VLOOKUP(
    A34,
    IMPORTRANGE(
      ""1ZHMy3vVUd_0MrSduXTe1etBb1HNpAlGwQr006ljwMiM"",
      ""GSC最新!A:R""
    ),
    18,
    FALSE
  ),
  0
)
"),11.86590909090909)</f>
        <v>11.86590909</v>
      </c>
      <c r="AD34" s="65">
        <f t="shared" ref="AD34:AE34" si="165">Z34-AB34</f>
        <v>-3.012195122</v>
      </c>
      <c r="AE34" s="65">
        <f t="shared" si="165"/>
        <v>-5.805039526</v>
      </c>
      <c r="AF34" s="53">
        <f>IFERROR(__xludf.DUMMYFUNCTION("IFERROR(
  VLOOKUP(
    A34,
    IMPORTRANGE(
      ""1ZHMy3vVUd_0MrSduXTe1etBb1HNpAlGwQr006ljwMiM"",
      ""GSC最新!A:F""
    ),
    6,
    FALSE
  ),
  0
)
"),46081.0)</f>
        <v>46081</v>
      </c>
      <c r="AG34" s="54">
        <f>IFERROR(__xludf.DUMMYFUNCTION("IFERROR(
  VLOOKUP(
    A34,
    IMPORTRANGE(
      ""1SCYQd7_cobOYqT0r_F0IqD4tE4rYn5y8Eup4PJTH8es"",
      ""Snapshot!A:M""
    ),
    5,
    FALSE
  ),
  ""-""
)
"),1.0)</f>
        <v>1</v>
      </c>
      <c r="AH34" s="54">
        <f>IFERROR(__xludf.DUMMYFUNCTION("IFERROR(
  VLOOKUP(
    A34,
    IMPORTRANGE(
      ""1SCYQd7_cobOYqT0r_F0IqD4tE4rYn5y8Eup4PJTH8es"",
      ""Snapshot!A:M""
    ),
    6,
    FALSE
  ),
  0
)
"),6.0)</f>
        <v>6</v>
      </c>
      <c r="AI34" s="54">
        <f>IFERROR(__xludf.DUMMYFUNCTION("IFERROR(
  VLOOKUP(
    A34,
    IMPORTRANGE(
      ""1SCYQd7_cobOYqT0r_F0IqD4tE4rYn5y8Eup4PJTH8es"",
      ""Snapshot!A:M""
    ),
    7,
    FALSE
  ),
  0
)
"),670.0)</f>
        <v>670</v>
      </c>
      <c r="AJ34" s="54">
        <f>IFERROR(__xludf.DUMMYFUNCTION("IFERROR(
  VLOOKUP(
    A34,
    IMPORTRANGE(
      ""1SCYQd7_cobOYqT0r_F0IqD4tE4rYn5y8Eup4PJTH8es"",
      ""Snapshot!A:M""
    ),
    8,
    FALSE
  ),
  0
)
"),1.0)</f>
        <v>1</v>
      </c>
      <c r="AK34" s="54">
        <f>IFERROR(__xludf.DUMMYFUNCTION("IFERROR(
  VLOOKUP(
    A34,
    IMPORTRANGE(
      ""1SCYQd7_cobOYqT0r_F0IqD4tE4rYn5y8Eup4PJTH8es"",
      ""Snapshot!A:M""
    ),
    9,
    FALSE
  ),
  0
)
"),1.0)</f>
        <v>1</v>
      </c>
      <c r="AL34" s="54">
        <f>IFERROR(__xludf.DUMMYFUNCTION("IFERROR(
  VLOOKUP(
    A34,
    IMPORTRANGE(
      ""1SCYQd7_cobOYqT0r_F0IqD4tE4rYn5y8Eup4PJTH8es"",
      ""Snapshot!A:M""
    ),
    13,
    FALSE
  ),
  0
)
"),1.0)</f>
        <v>1</v>
      </c>
    </row>
    <row r="35">
      <c r="A35" s="3" t="s">
        <v>918</v>
      </c>
      <c r="B35" s="1" t="str">
        <f>IFERROR(__xludf.DUMMYFUNCTION("IFERROR(
  VLOOKUP(
    A35,
    IMPORTRANGE(
      ""1ZygntHC1J6IxzKbTidmOyf5nUyW4GCLurHCjexrLm_o"",
      ""HTMLキャッシュ!A:F""
    ),
    2,
    FALSE
  ),
  0
)
"),"ST")</f>
        <v>ST</v>
      </c>
      <c r="C35" s="49">
        <f t="shared" ref="C35:D35" si="166">LEN(E35)</f>
        <v>29</v>
      </c>
      <c r="D35" s="49">
        <f t="shared" si="166"/>
        <v>6</v>
      </c>
      <c r="E35" s="1" t="str">
        <f>IFERROR(__xludf.DUMMYFUNCTION("IFERROR(
  VLOOKUP(
    A35,
    IMPORTRANGE(
      ""1ZygntHC1J6IxzKbTidmOyf5nUyW4GCLurHCjexrLm_o"",
      ""HTMLキャッシュ!A:F""
    ),
    5,
    FALSE
  ),
  0
)
"),"古典専門塾かきつばたへのお問い合わせ｜授業相談・資料請求等")</f>
        <v>古典専門塾かきつばたへのお問い合わせ｜授業相談・資料請求等</v>
      </c>
      <c r="F35" s="1" t="str">
        <f>IFERROR(__xludf.DUMMYFUNCTION("IFERROR(
  VLOOKUP(
    A35,
    IMPORTRANGE(
      ""1ZygntHC1J6IxzKbTidmOyf5nUyW4GCLurHCjexrLm_o        "",
      ""HTMLキャッシュ!A:F""
    ),
    6,
    FALSE
  ),
  0
)
"),"お問い合わせ")</f>
        <v>お問い合わせ</v>
      </c>
      <c r="G35" s="32">
        <f>IFERROR(__xludf.DUMMYFUNCTION("IFERROR(
  VLOOKUP(
    A35,
    IMPORTRANGE(
      ""1ZygntHC1J6IxzKbTidmOyf5nUyW4GCLurHCjexrLm_o        "",
      ""HTMLキャッシュ!A:F""
    ),
    3,
    FALSE
  ),
  0
)
"),46073.84092592593)</f>
        <v>46073.84093</v>
      </c>
      <c r="H35" s="49">
        <f>IFERROR(__xludf.DUMMYFUNCTION("IFERROR(
  VLOOKUP(
    A35,
    IMPORTRANGE(
      ""1ZHMy3vVUd_0MrSduXTe1etBb1HNpAlGwQr006ljwMiM"",
      ""GSC最新!A:F""
    ),
    2,
    FALSE
  ),
  0
)
"),0.0)</f>
        <v>0</v>
      </c>
      <c r="I35" s="49">
        <f>IFERROR(__xludf.DUMMYFUNCTION("IFERROR(
  VLOOKUP(
    A35,
    IMPORTRANGE(
      ""1ZHMy3vVUd_0MrSduXTe1etBb1HNpAlGwQr006ljwMiM"",
      ""GSC最新!A:F""
    ),
    3,
    FALSE
  ),
  0
)
"),0.0)</f>
        <v>0</v>
      </c>
      <c r="J35" s="49">
        <f>IFERROR(__xludf.DUMMYFUNCTION("IFERROR(
  VLOOKUP(
    A35,
    IMPORTRANGE(
      ""1ZHMy3vVUd_0MrSduXTe1etBb1HNpAlGwQr006ljwMiM"",
      ""GSC最新!A:F""
    ),
    4,
    FALSE
  ),
  0
)
"),0.0)</f>
        <v>0</v>
      </c>
      <c r="K35" s="49">
        <f>IFERROR(__xludf.DUMMYFUNCTION("IFERROR(
  VLOOKUP(
    A35,
    IMPORTRANGE(
      ""1ZHMy3vVUd_0MrSduXTe1etBb1HNpAlGwQr006ljwMiM"",
      ""GSC最新!A:F""
    ),
    5,
    FALSE
  ),
  0
)
"),0.0)</f>
        <v>0</v>
      </c>
      <c r="L35" s="50" t="str">
        <f t="shared" ref="L35:M35" si="167">IFERROR(H35/J35,"-")</f>
        <v>-</v>
      </c>
      <c r="M35" s="50" t="str">
        <f t="shared" si="167"/>
        <v>-</v>
      </c>
      <c r="N35" s="6">
        <f>IFERROR(__xludf.DUMMYFUNCTION("IFERROR(
  VLOOKUP(
    A35,
    IMPORTRANGE(
      ""1ZHMy3vVUd_0MrSduXTe1etBb1HNpAlGwQr006ljwMiM"",
      ""GSC最新!A:R""
    ),
    7,
    FALSE
  ),
  0
)
"),10.0)</f>
        <v>10</v>
      </c>
      <c r="O35" s="6">
        <f>IFERROR(__xludf.DUMMYFUNCTION("IFERROR(
  VLOOKUP(
    A35,
    IMPORTRANGE(
      ""1ZHMy3vVUd_0MrSduXTe1etBb1HNpAlGwQr006ljwMiM"",
      ""GSC最新!A:R""
    ),
    10,
    FALSE
  ),
  0
)
"),25.0)</f>
        <v>25</v>
      </c>
      <c r="P35" s="6">
        <f>IFERROR(__xludf.DUMMYFUNCTION("IFERROR(
  VLOOKUP(
    A35,
    IMPORTRANGE(
      ""1ZHMy3vVUd_0MrSduXTe1etBb1HNpAlGwQr006ljwMiM"",
      ""GSC最新!A:R""
    ),
    13,
    FALSE
  ),
  0
)
"),3.0)</f>
        <v>3</v>
      </c>
      <c r="Q35" s="6">
        <f>IFERROR(__xludf.DUMMYFUNCTION("IFERROR(
  VLOOKUP(
    A35,
    IMPORTRANGE(
      ""1ZHMy3vVUd_0MrSduXTe1etBb1HNpAlGwQr006ljwMiM"",
      ""GSC最新!A:R""
    ),
    16,
    FALSE
  ),
  0
)
"),7.0)</f>
        <v>7</v>
      </c>
      <c r="R35" s="51">
        <f t="shared" ref="R35:S35" si="168">IFERROR(N35/P35,"-")</f>
        <v>3.333333333</v>
      </c>
      <c r="S35" s="51">
        <f t="shared" si="168"/>
        <v>3.571428571</v>
      </c>
      <c r="T35" s="9">
        <f>IFERROR(__xludf.DUMMYFUNCTION("IFERROR(
  VLOOKUP(
    A35,
    IMPORTRANGE(
      ""1ZHMy3vVUd_0MrSduXTe1etBb1HNpAlGwQr006ljwMiM"",
      ""GSC最新!A:R""
    ),
    8,
    FALSE
  ),
  0
)
"),0.0)</f>
        <v>0</v>
      </c>
      <c r="U35" s="9">
        <f>IFERROR(__xludf.DUMMYFUNCTION("IFERROR(
  VLOOKUP(
    A35,
    IMPORTRANGE(
      ""1ZHMy3vVUd_0MrSduXTe1etBb1HNpAlGwQr006ljwMiM"",
      ""GSC最新!A:R""
    ),
    11,
    FALSE
  ),
  0
)
"),0.0)</f>
        <v>0</v>
      </c>
      <c r="V35" s="9">
        <f>IFERROR(__xludf.DUMMYFUNCTION("IFERROR(
  VLOOKUP(
    A35,
    IMPORTRANGE(
      ""1ZHMy3vVUd_0MrSduXTe1etBb1HNpAlGwQr006ljwMiM"",
      ""GSC最新!A:R""
    ),
    14,
    FALSE
  ),
  0
)
"),0.0)</f>
        <v>0</v>
      </c>
      <c r="W35" s="9">
        <f>IFERROR(__xludf.DUMMYFUNCTION("IFERROR(
  VLOOKUP(
    A35,
    IMPORTRANGE(
      ""1ZHMy3vVUd_0MrSduXTe1etBb1HNpAlGwQr006ljwMiM"",
      ""GSC最新!A:R""
    ),
    17,
    FALSE
  ),
  0
)
"),0.0)</f>
        <v>0</v>
      </c>
      <c r="X35" s="9">
        <f t="shared" ref="X35:Y35" si="169">IFERROR(T35-V35,"-")</f>
        <v>0</v>
      </c>
      <c r="Y35" s="9">
        <f t="shared" si="169"/>
        <v>0</v>
      </c>
      <c r="Z35" s="65">
        <f>IFERROR(__xludf.DUMMYFUNCTION("IFERROR(
  VLOOKUP(
    A35,
    IMPORTRANGE(
      ""1ZHMy3vVUd_0MrSduXTe1etBb1HNpAlGwQr006ljwMiM"",
      ""GSC最新!A:R""
    ),
    9,
    FALSE
  ),
  0
)
"),5.5)</f>
        <v>5.5</v>
      </c>
      <c r="AA35" s="65">
        <f>IFERROR(__xludf.DUMMYFUNCTION("IFERROR(
  VLOOKUP(
    A35,
    IMPORTRANGE(
      ""1ZHMy3vVUd_0MrSduXTe1etBb1HNpAlGwQr006ljwMiM"",
      ""GSC最新!A:R""
    ),
    12,
    FALSE
  ),
  0
)
"),11.2)</f>
        <v>11.2</v>
      </c>
      <c r="AB35" s="65">
        <f>IFERROR(__xludf.DUMMYFUNCTION("IFERROR(
  VLOOKUP(
    A35,
    IMPORTRANGE(
      ""1ZHMy3vVUd_0MrSduXTe1etBb1HNpAlGwQr006ljwMiM"",
      ""GSC最新!A:R""
    ),
    15,
    FALSE
  ),
  0
)
"),4.0)</f>
        <v>4</v>
      </c>
      <c r="AC35" s="65">
        <f>IFERROR(__xludf.DUMMYFUNCTION("IFERROR(
  VLOOKUP(
    A35,
    IMPORTRANGE(
      ""1ZHMy3vVUd_0MrSduXTe1etBb1HNpAlGwQr006ljwMiM"",
      ""GSC最新!A:R""
    ),
    18,
    FALSE
  ),
  0
)
"),3.4285714285714284)</f>
        <v>3.428571429</v>
      </c>
      <c r="AD35" s="65">
        <f t="shared" ref="AD35:AE35" si="170">Z35-AB35</f>
        <v>1.5</v>
      </c>
      <c r="AE35" s="65">
        <f t="shared" si="170"/>
        <v>7.771428571</v>
      </c>
      <c r="AF35" s="53">
        <f>IFERROR(__xludf.DUMMYFUNCTION("IFERROR(
  VLOOKUP(
    A35,
    IMPORTRANGE(
      ""1ZHMy3vVUd_0MrSduXTe1etBb1HNpAlGwQr006ljwMiM"",
      ""GSC最新!A:F""
    ),
    6,
    FALSE
  ),
  0
)
"),46081.0)</f>
        <v>46081</v>
      </c>
      <c r="AG35" s="54">
        <f>IFERROR(__xludf.DUMMYFUNCTION("IFERROR(
  VLOOKUP(
    A35,
    IMPORTRANGE(
      ""1SCYQd7_cobOYqT0r_F0IqD4tE4rYn5y8Eup4PJTH8es"",
      ""Snapshot!A:M""
    ),
    5,
    FALSE
  ),
  ""-""
)
"),1.0)</f>
        <v>1</v>
      </c>
      <c r="AH35" s="54">
        <f>IFERROR(__xludf.DUMMYFUNCTION("IFERROR(
  VLOOKUP(
    A35,
    IMPORTRANGE(
      ""1SCYQd7_cobOYqT0r_F0IqD4tE4rYn5y8Eup4PJTH8es"",
      ""Snapshot!A:M""
    ),
    6,
    FALSE
  ),
  0
)
"),0.0)</f>
        <v>0</v>
      </c>
      <c r="AI35" s="54">
        <f>IFERROR(__xludf.DUMMYFUNCTION("IFERROR(
  VLOOKUP(
    A35,
    IMPORTRANGE(
      ""1SCYQd7_cobOYqT0r_F0IqD4tE4rYn5y8Eup4PJTH8es"",
      ""Snapshot!A:M""
    ),
    7,
    FALSE
  ),
  0
)
"),80.0)</f>
        <v>80</v>
      </c>
      <c r="AJ35" s="54">
        <f>IFERROR(__xludf.DUMMYFUNCTION("IFERROR(
  VLOOKUP(
    A35,
    IMPORTRANGE(
      ""1SCYQd7_cobOYqT0r_F0IqD4tE4rYn5y8Eup4PJTH8es"",
      ""Snapshot!A:M""
    ),
    8,
    FALSE
  ),
  0
)
"),0.0)</f>
        <v>0</v>
      </c>
      <c r="AK35" s="54">
        <f>IFERROR(__xludf.DUMMYFUNCTION("IFERROR(
  VLOOKUP(
    A35,
    IMPORTRANGE(
      ""1SCYQd7_cobOYqT0r_F0IqD4tE4rYn5y8Eup4PJTH8es"",
      ""Snapshot!A:M""
    ),
    9,
    FALSE
  ),
  0
)
"),1.0)</f>
        <v>1</v>
      </c>
      <c r="AL35" s="54">
        <f>IFERROR(__xludf.DUMMYFUNCTION("IFERROR(
  VLOOKUP(
    A35,
    IMPORTRANGE(
      ""1SCYQd7_cobOYqT0r_F0IqD4tE4rYn5y8Eup4PJTH8es"",
      ""Snapshot!A:M""
    ),
    13,
    FALSE
  ),
  0
)
"),1.0)</f>
        <v>1</v>
      </c>
    </row>
    <row r="36">
      <c r="A36" s="3" t="s">
        <v>919</v>
      </c>
      <c r="B36" s="1" t="str">
        <f>IFERROR(__xludf.DUMMYFUNCTION("IFERROR(
  VLOOKUP(
    A36,
    IMPORTRANGE(
      ""1ZygntHC1J6IxzKbTidmOyf5nUyW4GCLurHCjexrLm_o"",
      ""HTMLキャッシュ!A:F""
    ),
    2,
    FALSE
  ),
  0
)
"),"NW")</f>
        <v>NW</v>
      </c>
      <c r="C36" s="49">
        <f t="shared" ref="C36:D36" si="171">LEN(E36)</f>
        <v>38</v>
      </c>
      <c r="D36" s="49">
        <f t="shared" si="171"/>
        <v>55</v>
      </c>
      <c r="E36" s="1" t="str">
        <f>IFERROR(__xludf.DUMMYFUNCTION("IFERROR(
  VLOOKUP(
    A36,
    IMPORTRANGE(
      ""1ZygntHC1J6IxzKbTidmOyf5nUyW4GCLurHCjexrLm_o"",
      ""HTMLキャッシュ!A:F""
    ),
    5,
    FALSE
  ),
  0
)
"),"受験理科専門塾「しゅん吉クエスト」開校のお知らせ - 古典専門塾 かきつばた")</f>
        <v>受験理科専門塾「しゅん吉クエスト」開校のお知らせ - 古典専門塾 かきつばた</v>
      </c>
      <c r="F36" s="1" t="str">
        <f>IFERROR(__xludf.DUMMYFUNCTION("IFERROR(
  VLOOKUP(
    A36,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G36" s="32">
        <f>IFERROR(__xludf.DUMMYFUNCTION("IFERROR(
  VLOOKUP(
    A36,
    IMPORTRANGE(
      ""1ZygntHC1J6IxzKbTidmOyf5nUyW4GCLurHCjexrLm_o        "",
      ""HTMLキャッシュ!A:F""
    ),
    3,
    FALSE
  ),
  0
)
"),44400.67883101852)</f>
        <v>44400.67883</v>
      </c>
      <c r="H36" s="49">
        <f>IFERROR(__xludf.DUMMYFUNCTION("IFERROR(
  VLOOKUP(
    A36,
    IMPORTRANGE(
      ""1ZHMy3vVUd_0MrSduXTe1etBb1HNpAlGwQr006ljwMiM"",
      ""GSC最新!A:F""
    ),
    2,
    FALSE
  ),
  0
)
"),0.0)</f>
        <v>0</v>
      </c>
      <c r="I36" s="49">
        <f>IFERROR(__xludf.DUMMYFUNCTION("IFERROR(
  VLOOKUP(
    A36,
    IMPORTRANGE(
      ""1ZHMy3vVUd_0MrSduXTe1etBb1HNpAlGwQr006ljwMiM"",
      ""GSC最新!A:F""
    ),
    3,
    FALSE
  ),
  0
)
"),1.0)</f>
        <v>1</v>
      </c>
      <c r="J36" s="49">
        <f>IFERROR(__xludf.DUMMYFUNCTION("IFERROR(
  VLOOKUP(
    A36,
    IMPORTRANGE(
      ""1ZHMy3vVUd_0MrSduXTe1etBb1HNpAlGwQr006ljwMiM"",
      ""GSC最新!A:F""
    ),
    4,
    FALSE
  ),
  0
)
"),0.0)</f>
        <v>0</v>
      </c>
      <c r="K36" s="49">
        <f>IFERROR(__xludf.DUMMYFUNCTION("IFERROR(
  VLOOKUP(
    A36,
    IMPORTRANGE(
      ""1ZHMy3vVUd_0MrSduXTe1etBb1HNpAlGwQr006ljwMiM"",
      ""GSC最新!A:F""
    ),
    5,
    FALSE
  ),
  0
)
"),0.0)</f>
        <v>0</v>
      </c>
      <c r="L36" s="50" t="str">
        <f t="shared" ref="L36:M36" si="172">IFERROR(H36/J36,"-")</f>
        <v>-</v>
      </c>
      <c r="M36" s="50" t="str">
        <f t="shared" si="172"/>
        <v>-</v>
      </c>
      <c r="N36" s="6">
        <f>IFERROR(__xludf.DUMMYFUNCTION("IFERROR(
  VLOOKUP(
    A36,
    IMPORTRANGE(
      ""1ZHMy3vVUd_0MrSduXTe1etBb1HNpAlGwQr006ljwMiM"",
      ""GSC最新!A:R""
    ),
    7,
    FALSE
  ),
  0
)
"),14.0)</f>
        <v>14</v>
      </c>
      <c r="O36" s="6">
        <f>IFERROR(__xludf.DUMMYFUNCTION("IFERROR(
  VLOOKUP(
    A36,
    IMPORTRANGE(
      ""1ZHMy3vVUd_0MrSduXTe1etBb1HNpAlGwQr006ljwMiM"",
      ""GSC最新!A:R""
    ),
    10,
    FALSE
  ),
  0
)
"),30.0)</f>
        <v>30</v>
      </c>
      <c r="P36" s="6">
        <f>IFERROR(__xludf.DUMMYFUNCTION("IFERROR(
  VLOOKUP(
    A36,
    IMPORTRANGE(
      ""1ZHMy3vVUd_0MrSduXTe1etBb1HNpAlGwQr006ljwMiM"",
      ""GSC最新!A:R""
    ),
    13,
    FALSE
  ),
  0
)
"),2.0)</f>
        <v>2</v>
      </c>
      <c r="Q36" s="6">
        <f>IFERROR(__xludf.DUMMYFUNCTION("IFERROR(
  VLOOKUP(
    A36,
    IMPORTRANGE(
      ""1ZHMy3vVUd_0MrSduXTe1etBb1HNpAlGwQr006ljwMiM"",
      ""GSC最新!A:R""
    ),
    16,
    FALSE
  ),
  0
)
"),19.0)</f>
        <v>19</v>
      </c>
      <c r="R36" s="51">
        <f t="shared" ref="R36:S36" si="173">IFERROR(N36/P36,"-")</f>
        <v>7</v>
      </c>
      <c r="S36" s="51">
        <f t="shared" si="173"/>
        <v>1.578947368</v>
      </c>
      <c r="T36" s="9">
        <f>IFERROR(__xludf.DUMMYFUNCTION("IFERROR(
  VLOOKUP(
    A36,
    IMPORTRANGE(
      ""1ZHMy3vVUd_0MrSduXTe1etBb1HNpAlGwQr006ljwMiM"",
      ""GSC最新!A:R""
    ),
    8,
    FALSE
  ),
  0
)
"),0.0)</f>
        <v>0</v>
      </c>
      <c r="U36" s="9">
        <f>IFERROR(__xludf.DUMMYFUNCTION("IFERROR(
  VLOOKUP(
    A36,
    IMPORTRANGE(
      ""1ZHMy3vVUd_0MrSduXTe1etBb1HNpAlGwQr006ljwMiM"",
      ""GSC最新!A:R""
    ),
    11,
    FALSE
  ),
  0
)
"),0.03333333333333333)</f>
        <v>0.03333333333</v>
      </c>
      <c r="V36" s="9">
        <f>IFERROR(__xludf.DUMMYFUNCTION("IFERROR(
  VLOOKUP(
    A36,
    IMPORTRANGE(
      ""1ZHMy3vVUd_0MrSduXTe1etBb1HNpAlGwQr006ljwMiM"",
      ""GSC最新!A:R""
    ),
    14,
    FALSE
  ),
  0
)
"),0.0)</f>
        <v>0</v>
      </c>
      <c r="W36" s="9">
        <f>IFERROR(__xludf.DUMMYFUNCTION("IFERROR(
  VLOOKUP(
    A36,
    IMPORTRANGE(
      ""1ZHMy3vVUd_0MrSduXTe1etBb1HNpAlGwQr006ljwMiM"",
      ""GSC最新!A:R""
    ),
    17,
    FALSE
  ),
  0
)
"),0.0)</f>
        <v>0</v>
      </c>
      <c r="X36" s="9">
        <f t="shared" ref="X36:Y36" si="174">IFERROR(T36-V36,"-")</f>
        <v>0</v>
      </c>
      <c r="Y36" s="9">
        <f t="shared" si="174"/>
        <v>0.03333333333</v>
      </c>
      <c r="Z36" s="65">
        <f>IFERROR(__xludf.DUMMYFUNCTION("IFERROR(
  VLOOKUP(
    A36,
    IMPORTRANGE(
      ""1ZHMy3vVUd_0MrSduXTe1etBb1HNpAlGwQr006ljwMiM"",
      ""GSC最新!A:R""
    ),
    9,
    FALSE
  ),
  0
)
"),8.785714285714285)</f>
        <v>8.785714286</v>
      </c>
      <c r="AA36" s="65">
        <f>IFERROR(__xludf.DUMMYFUNCTION("IFERROR(
  VLOOKUP(
    A36,
    IMPORTRANGE(
      ""1ZHMy3vVUd_0MrSduXTe1etBb1HNpAlGwQr006ljwMiM"",
      ""GSC最新!A:R""
    ),
    12,
    FALSE
  ),
  0
)
"),9.033333333333333)</f>
        <v>9.033333333</v>
      </c>
      <c r="AB36" s="65">
        <f>IFERROR(__xludf.DUMMYFUNCTION("IFERROR(
  VLOOKUP(
    A36,
    IMPORTRANGE(
      ""1ZHMy3vVUd_0MrSduXTe1etBb1HNpAlGwQr006ljwMiM"",
      ""GSC最新!A:R""
    ),
    15,
    FALSE
  ),
  0
)
"),33.5)</f>
        <v>33.5</v>
      </c>
      <c r="AC36" s="65">
        <f>IFERROR(__xludf.DUMMYFUNCTION("IFERROR(
  VLOOKUP(
    A36,
    IMPORTRANGE(
      ""1ZHMy3vVUd_0MrSduXTe1etBb1HNpAlGwQr006ljwMiM"",
      ""GSC最新!A:R""
    ),
    18,
    FALSE
  ),
  0
)
"),25.31578947368421)</f>
        <v>25.31578947</v>
      </c>
      <c r="AD36" s="65">
        <f t="shared" ref="AD36:AE36" si="175">Z36-AB36</f>
        <v>-24.71428571</v>
      </c>
      <c r="AE36" s="65">
        <f t="shared" si="175"/>
        <v>-16.28245614</v>
      </c>
      <c r="AF36" s="53">
        <f>IFERROR(__xludf.DUMMYFUNCTION("IFERROR(
  VLOOKUP(
    A36,
    IMPORTRANGE(
      ""1ZHMy3vVUd_0MrSduXTe1etBb1HNpAlGwQr006ljwMiM"",
      ""GSC最新!A:F""
    ),
    6,
    FALSE
  ),
  0
)
"),46081.0)</f>
        <v>46081</v>
      </c>
      <c r="AG36" s="54">
        <f>IFERROR(__xludf.DUMMYFUNCTION("IFERROR(
  VLOOKUP(
    A36,
    IMPORTRANGE(
      ""1SCYQd7_cobOYqT0r_F0IqD4tE4rYn5y8Eup4PJTH8es"",
      ""Snapshot!A:M""
    ),
    5,
    FALSE
  ),
  ""-""
)
"),0.0)</f>
        <v>0</v>
      </c>
      <c r="AH36" s="54">
        <f>IFERROR(__xludf.DUMMYFUNCTION("IFERROR(
  VLOOKUP(
    A36,
    IMPORTRANGE(
      ""1SCYQd7_cobOYqT0r_F0IqD4tE4rYn5y8Eup4PJTH8es"",
      ""Snapshot!A:M""
    ),
    6,
    FALSE
  ),
  0
)
"),0.0)</f>
        <v>0</v>
      </c>
      <c r="AI36" s="54">
        <f>IFERROR(__xludf.DUMMYFUNCTION("IFERROR(
  VLOOKUP(
    A36,
    IMPORTRANGE(
      ""1SCYQd7_cobOYqT0r_F0IqD4tE4rYn5y8Eup4PJTH8es"",
      ""Snapshot!A:M""
    ),
    7,
    FALSE
  ),
  0
)
"),127.0)</f>
        <v>127</v>
      </c>
      <c r="AJ36" s="54">
        <f>IFERROR(__xludf.DUMMYFUNCTION("IFERROR(
  VLOOKUP(
    A36,
    IMPORTRANGE(
      ""1SCYQd7_cobOYqT0r_F0IqD4tE4rYn5y8Eup4PJTH8es"",
      ""Snapshot!A:M""
    ),
    8,
    FALSE
  ),
  0
)
"),0.0)</f>
        <v>0</v>
      </c>
      <c r="AK36" s="54">
        <f>IFERROR(__xludf.DUMMYFUNCTION("IFERROR(
  VLOOKUP(
    A36,
    IMPORTRANGE(
      ""1SCYQd7_cobOYqT0r_F0IqD4tE4rYn5y8Eup4PJTH8es"",
      ""Snapshot!A:M""
    ),
    9,
    FALSE
  ),
  0
)
"),0.0)</f>
        <v>0</v>
      </c>
      <c r="AL36" s="54">
        <f>IFERROR(__xludf.DUMMYFUNCTION("IFERROR(
  VLOOKUP(
    A36,
    IMPORTRANGE(
      ""1SCYQd7_cobOYqT0r_F0IqD4tE4rYn5y8Eup4PJTH8es"",
      ""Snapshot!A:M""
    ),
    13,
    FALSE
  ),
  0
)
"),2.0)</f>
        <v>2</v>
      </c>
    </row>
    <row r="37">
      <c r="A37" s="3" t="s">
        <v>920</v>
      </c>
      <c r="B37" s="1" t="str">
        <f>IFERROR(__xludf.DUMMYFUNCTION("IFERROR(
  VLOOKUP(
    A37,
    IMPORTRANGE(
      ""1ZygntHC1J6IxzKbTidmOyf5nUyW4GCLurHCjexrLm_o"",
      ""HTMLキャッシュ!A:F""
    ),
    2,
    FALSE
  ),
  0
)
"),"NW")</f>
        <v>NW</v>
      </c>
      <c r="C37" s="49">
        <f t="shared" ref="C37:D37" si="176">LEN(E37)</f>
        <v>41</v>
      </c>
      <c r="D37" s="49">
        <f t="shared" si="176"/>
        <v>55</v>
      </c>
      <c r="E37" s="1" t="str">
        <f>IFERROR(__xludf.DUMMYFUNCTION("IFERROR(
  VLOOKUP(
    A37,
    IMPORTRANGE(
      ""1ZygntHC1J6IxzKbTidmOyf5nUyW4GCLurHCjexrLm_o"",
      ""HTMLキャッシュ!A:F""
    ),
    5,
    FALSE
  ),
  0
)
"),"「基礎力Stadium 国語のトリガー」開校のお知らせ - 古典専門塾 かきつばた")</f>
        <v>「基礎力Stadium 国語のトリガー」開校のお知らせ - 古典専門塾 かきつばた</v>
      </c>
      <c r="F37" s="1" t="str">
        <f>IFERROR(__xludf.DUMMYFUNCTION("IFERROR(
  VLOOKUP(
    A37,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G37" s="32">
        <f>IFERROR(__xludf.DUMMYFUNCTION("IFERROR(
  VLOOKUP(
    A37,
    IMPORTRANGE(
      ""1ZygntHC1J6IxzKbTidmOyf5nUyW4GCLurHCjexrLm_o        "",
      ""HTMLキャッシュ!A:F""
    ),
    3,
    FALSE
  ),
  0
)
"),44292.465046296296)</f>
        <v>44292.46505</v>
      </c>
      <c r="H37" s="49">
        <f>IFERROR(__xludf.DUMMYFUNCTION("IFERROR(
  VLOOKUP(
    A37,
    IMPORTRANGE(
      ""1ZHMy3vVUd_0MrSduXTe1etBb1HNpAlGwQr006ljwMiM"",
      ""GSC最新!A:F""
    ),
    2,
    FALSE
  ),
  0
)
"),0.0)</f>
        <v>0</v>
      </c>
      <c r="I37" s="49">
        <f>IFERROR(__xludf.DUMMYFUNCTION("IFERROR(
  VLOOKUP(
    A37,
    IMPORTRANGE(
      ""1ZHMy3vVUd_0MrSduXTe1etBb1HNpAlGwQr006ljwMiM"",
      ""GSC最新!A:F""
    ),
    3,
    FALSE
  ),
  0
)
"),0.0)</f>
        <v>0</v>
      </c>
      <c r="J37" s="49">
        <f>IFERROR(__xludf.DUMMYFUNCTION("IFERROR(
  VLOOKUP(
    A37,
    IMPORTRANGE(
      ""1ZHMy3vVUd_0MrSduXTe1etBb1HNpAlGwQr006ljwMiM"",
      ""GSC最新!A:F""
    ),
    4,
    FALSE
  ),
  0
)
"),0.0)</f>
        <v>0</v>
      </c>
      <c r="K37" s="49">
        <f>IFERROR(__xludf.DUMMYFUNCTION("IFERROR(
  VLOOKUP(
    A37,
    IMPORTRANGE(
      ""1ZHMy3vVUd_0MrSduXTe1etBb1HNpAlGwQr006ljwMiM"",
      ""GSC最新!A:F""
    ),
    5,
    FALSE
  ),
  0
)
"),0.0)</f>
        <v>0</v>
      </c>
      <c r="L37" s="50" t="str">
        <f t="shared" ref="L37:M37" si="177">IFERROR(H37/J37,"-")</f>
        <v>-</v>
      </c>
      <c r="M37" s="50" t="str">
        <f t="shared" si="177"/>
        <v>-</v>
      </c>
      <c r="N37" s="6">
        <f>IFERROR(__xludf.DUMMYFUNCTION("IFERROR(
  VLOOKUP(
    A37,
    IMPORTRANGE(
      ""1ZHMy3vVUd_0MrSduXTe1etBb1HNpAlGwQr006ljwMiM"",
      ""GSC最新!A:R""
    ),
    7,
    FALSE
  ),
  0
)
"),4.0)</f>
        <v>4</v>
      </c>
      <c r="O37" s="6">
        <f>IFERROR(__xludf.DUMMYFUNCTION("IFERROR(
  VLOOKUP(
    A37,
    IMPORTRANGE(
      ""1ZHMy3vVUd_0MrSduXTe1etBb1HNpAlGwQr006ljwMiM"",
      ""GSC最新!A:R""
    ),
    10,
    FALSE
  ),
  0
)
"),15.0)</f>
        <v>15</v>
      </c>
      <c r="P37" s="6">
        <f>IFERROR(__xludf.DUMMYFUNCTION("IFERROR(
  VLOOKUP(
    A37,
    IMPORTRANGE(
      ""1ZHMy3vVUd_0MrSduXTe1etBb1HNpAlGwQr006ljwMiM"",
      ""GSC最新!A:R""
    ),
    13,
    FALSE
  ),
  0
)
"),6.0)</f>
        <v>6</v>
      </c>
      <c r="Q37" s="6">
        <f>IFERROR(__xludf.DUMMYFUNCTION("IFERROR(
  VLOOKUP(
    A37,
    IMPORTRANGE(
      ""1ZHMy3vVUd_0MrSduXTe1etBb1HNpAlGwQr006ljwMiM"",
      ""GSC最新!A:R""
    ),
    16,
    FALSE
  ),
  0
)
"),14.0)</f>
        <v>14</v>
      </c>
      <c r="R37" s="51">
        <f t="shared" ref="R37:S37" si="178">IFERROR(N37/P37,"-")</f>
        <v>0.6666666667</v>
      </c>
      <c r="S37" s="51">
        <f t="shared" si="178"/>
        <v>1.071428571</v>
      </c>
      <c r="T37" s="9">
        <f>IFERROR(__xludf.DUMMYFUNCTION("IFERROR(
  VLOOKUP(
    A37,
    IMPORTRANGE(
      ""1ZHMy3vVUd_0MrSduXTe1etBb1HNpAlGwQr006ljwMiM"",
      ""GSC最新!A:R""
    ),
    8,
    FALSE
  ),
  0
)
"),0.0)</f>
        <v>0</v>
      </c>
      <c r="U37" s="9">
        <f>IFERROR(__xludf.DUMMYFUNCTION("IFERROR(
  VLOOKUP(
    A37,
    IMPORTRANGE(
      ""1ZHMy3vVUd_0MrSduXTe1etBb1HNpAlGwQr006ljwMiM"",
      ""GSC最新!A:R""
    ),
    11,
    FALSE
  ),
  0
)
"),0.0)</f>
        <v>0</v>
      </c>
      <c r="V37" s="9">
        <f>IFERROR(__xludf.DUMMYFUNCTION("IFERROR(
  VLOOKUP(
    A37,
    IMPORTRANGE(
      ""1ZHMy3vVUd_0MrSduXTe1etBb1HNpAlGwQr006ljwMiM"",
      ""GSC最新!A:R""
    ),
    14,
    FALSE
  ),
  0
)
"),0.0)</f>
        <v>0</v>
      </c>
      <c r="W37" s="9">
        <f>IFERROR(__xludf.DUMMYFUNCTION("IFERROR(
  VLOOKUP(
    A37,
    IMPORTRANGE(
      ""1ZHMy3vVUd_0MrSduXTe1etBb1HNpAlGwQr006ljwMiM"",
      ""GSC最新!A:R""
    ),
    17,
    FALSE
  ),
  0
)
"),0.0)</f>
        <v>0</v>
      </c>
      <c r="X37" s="9">
        <f t="shared" ref="X37:Y37" si="179">IFERROR(T37-V37,"-")</f>
        <v>0</v>
      </c>
      <c r="Y37" s="9">
        <f t="shared" si="179"/>
        <v>0</v>
      </c>
      <c r="Z37" s="65">
        <f>IFERROR(__xludf.DUMMYFUNCTION("IFERROR(
  VLOOKUP(
    A37,
    IMPORTRANGE(
      ""1ZHMy3vVUd_0MrSduXTe1etBb1HNpAlGwQr006ljwMiM"",
      ""GSC最新!A:R""
    ),
    9,
    FALSE
  ),
  0
)
"),8.25)</f>
        <v>8.25</v>
      </c>
      <c r="AA37" s="65">
        <f>IFERROR(__xludf.DUMMYFUNCTION("IFERROR(
  VLOOKUP(
    A37,
    IMPORTRANGE(
      ""1ZHMy3vVUd_0MrSduXTe1etBb1HNpAlGwQr006ljwMiM"",
      ""GSC最新!A:R""
    ),
    12,
    FALSE
  ),
  0
)
"),7.333333333333333)</f>
        <v>7.333333333</v>
      </c>
      <c r="AB37" s="65">
        <f>IFERROR(__xludf.DUMMYFUNCTION("IFERROR(
  VLOOKUP(
    A37,
    IMPORTRANGE(
      ""1ZHMy3vVUd_0MrSduXTe1etBb1HNpAlGwQr006ljwMiM"",
      ""GSC最新!A:R""
    ),
    15,
    FALSE
  ),
  0
)
"),7.0)</f>
        <v>7</v>
      </c>
      <c r="AC37" s="65">
        <f>IFERROR(__xludf.DUMMYFUNCTION("IFERROR(
  VLOOKUP(
    A37,
    IMPORTRANGE(
      ""1ZHMy3vVUd_0MrSduXTe1etBb1HNpAlGwQr006ljwMiM"",
      ""GSC最新!A:R""
    ),
    18,
    FALSE
  ),
  0
)
"),8.357142857142858)</f>
        <v>8.357142857</v>
      </c>
      <c r="AD37" s="65">
        <f t="shared" ref="AD37:AE37" si="180">Z37-AB37</f>
        <v>1.25</v>
      </c>
      <c r="AE37" s="65">
        <f t="shared" si="180"/>
        <v>-1.023809524</v>
      </c>
      <c r="AF37" s="53">
        <f>IFERROR(__xludf.DUMMYFUNCTION("IFERROR(
  VLOOKUP(
    A37,
    IMPORTRANGE(
      ""1ZHMy3vVUd_0MrSduXTe1etBb1HNpAlGwQr006ljwMiM"",
      ""GSC最新!A:F""
    ),
    6,
    FALSE
  ),
  0
)
"),46081.0)</f>
        <v>46081</v>
      </c>
      <c r="AG37" s="54">
        <f>IFERROR(__xludf.DUMMYFUNCTION("IFERROR(
  VLOOKUP(
    A37,
    IMPORTRANGE(
      ""1SCYQd7_cobOYqT0r_F0IqD4tE4rYn5y8Eup4PJTH8es"",
      ""Snapshot!A:M""
    ),
    5,
    FALSE
  ),
  ""-""
)
"),0.0)</f>
        <v>0</v>
      </c>
      <c r="AH37" s="54">
        <f>IFERROR(__xludf.DUMMYFUNCTION("IFERROR(
  VLOOKUP(
    A37,
    IMPORTRANGE(
      ""1SCYQd7_cobOYqT0r_F0IqD4tE4rYn5y8Eup4PJTH8es"",
      ""Snapshot!A:M""
    ),
    6,
    FALSE
  ),
  0
)
"),0.0)</f>
        <v>0</v>
      </c>
      <c r="AI37" s="54">
        <f>IFERROR(__xludf.DUMMYFUNCTION("IFERROR(
  VLOOKUP(
    A37,
    IMPORTRANGE(
      ""1SCYQd7_cobOYqT0r_F0IqD4tE4rYn5y8Eup4PJTH8es"",
      ""Snapshot!A:M""
    ),
    7,
    FALSE
  ),
  0
)
"),139.0)</f>
        <v>139</v>
      </c>
      <c r="AJ37" s="54">
        <f>IFERROR(__xludf.DUMMYFUNCTION("IFERROR(
  VLOOKUP(
    A37,
    IMPORTRANGE(
      ""1SCYQd7_cobOYqT0r_F0IqD4tE4rYn5y8Eup4PJTH8es"",
      ""Snapshot!A:M""
    ),
    8,
    FALSE
  ),
  0
)
"),0.0)</f>
        <v>0</v>
      </c>
      <c r="AK37" s="54">
        <f>IFERROR(__xludf.DUMMYFUNCTION("IFERROR(
  VLOOKUP(
    A37,
    IMPORTRANGE(
      ""1SCYQd7_cobOYqT0r_F0IqD4tE4rYn5y8Eup4PJTH8es"",
      ""Snapshot!A:M""
    ),
    9,
    FALSE
  ),
  0
)
"),0.0)</f>
        <v>0</v>
      </c>
      <c r="AL37" s="54">
        <f>IFERROR(__xludf.DUMMYFUNCTION("IFERROR(
  VLOOKUP(
    A37,
    IMPORTRANGE(
      ""1SCYQd7_cobOYqT0r_F0IqD4tE4rYn5y8Eup4PJTH8es"",
      ""Snapshot!A:M""
    ),
    13,
    FALSE
  ),
  0
)
"),2.0)</f>
        <v>2</v>
      </c>
    </row>
    <row r="38">
      <c r="A38" s="3" t="s">
        <v>921</v>
      </c>
      <c r="B38" s="1" t="str">
        <f>IFERROR(__xludf.DUMMYFUNCTION("IFERROR(
  VLOOKUP(
    A38,
    IMPORTRANGE(
      ""1ZygntHC1J6IxzKbTidmOyf5nUyW4GCLurHCjexrLm_o"",
      ""HTMLキャッシュ!A:F""
    ),
    2,
    FALSE
  ),
  0
)
"),"NW")</f>
        <v>NW</v>
      </c>
      <c r="C38" s="49">
        <f t="shared" ref="C38:D38" si="181">LEN(E38)</f>
        <v>55</v>
      </c>
      <c r="D38" s="49">
        <f t="shared" si="181"/>
        <v>55</v>
      </c>
      <c r="E38" s="1" t="str">
        <f>IFERROR(__xludf.DUMMYFUNCTION("IFERROR(
  VLOOKUP(
    A38,
    IMPORTRANGE(
      ""1ZygntHC1J6IxzKbTidmOyf5nUyW4GCLurHCjexrLm_o"",
      ""HTMLキャッシュ!A:F""
    ),
    5,
    FALSE
  ),
  0
)
"),"オンライン１対１個別指導サービス「With You（ウィズ・ユー）」開始のお知らせ - 古典専門塾 かきつばた")</f>
        <v>オンライン１対１個別指導サービス「With You（ウィズ・ユー）」開始のお知らせ - 古典専門塾 かきつばた</v>
      </c>
      <c r="F38" s="1" t="str">
        <f>IFERROR(__xludf.DUMMYFUNCTION("IFERROR(
  VLOOKUP(
    A38,
    IMPORTRANGE(
      ""1ZygntHC1J6IxzKbTidmOyf5nUyW4GCLurHCjexrLm_o        "",
      ""HTMLキャッシュ!A:F""
    ),
    6,
    FALSE
  ),
  0
)
"),"当塾では、オンライン１対１個別指導サービス「With You（ウィズ・ユー）」を2020年4月9日より開始致し")</f>
        <v>当塾では、オンライン１対１個別指導サービス「With You（ウィズ・ユー）」を2020年4月9日より開始致し</v>
      </c>
      <c r="G38" s="32">
        <f>IFERROR(__xludf.DUMMYFUNCTION("IFERROR(
  VLOOKUP(
    A38,
    IMPORTRANGE(
      ""1ZygntHC1J6IxzKbTidmOyf5nUyW4GCLurHCjexrLm_o        "",
      ""HTMLキャッシュ!A:F""
    ),
    3,
    FALSE
  ),
  0
)
"),43932.57886574074)</f>
        <v>43932.57887</v>
      </c>
      <c r="H38" s="49">
        <f>IFERROR(__xludf.DUMMYFUNCTION("IFERROR(
  VLOOKUP(
    A38,
    IMPORTRANGE(
      ""1ZHMy3vVUd_0MrSduXTe1etBb1HNpAlGwQr006ljwMiM"",
      ""GSC最新!A:F""
    ),
    2,
    FALSE
  ),
  0
)
"),0.0)</f>
        <v>0</v>
      </c>
      <c r="I38" s="49">
        <f>IFERROR(__xludf.DUMMYFUNCTION("IFERROR(
  VLOOKUP(
    A38,
    IMPORTRANGE(
      ""1ZHMy3vVUd_0MrSduXTe1etBb1HNpAlGwQr006ljwMiM"",
      ""GSC最新!A:F""
    ),
    3,
    FALSE
  ),
  0
)
"),0.0)</f>
        <v>0</v>
      </c>
      <c r="J38" s="49">
        <f>IFERROR(__xludf.DUMMYFUNCTION("IFERROR(
  VLOOKUP(
    A38,
    IMPORTRANGE(
      ""1ZHMy3vVUd_0MrSduXTe1etBb1HNpAlGwQr006ljwMiM"",
      ""GSC最新!A:F""
    ),
    4,
    FALSE
  ),
  0
)
"),0.0)</f>
        <v>0</v>
      </c>
      <c r="K38" s="49">
        <f>IFERROR(__xludf.DUMMYFUNCTION("IFERROR(
  VLOOKUP(
    A38,
    IMPORTRANGE(
      ""1ZHMy3vVUd_0MrSduXTe1etBb1HNpAlGwQr006ljwMiM"",
      ""GSC最新!A:F""
    ),
    5,
    FALSE
  ),
  0
)
"),0.0)</f>
        <v>0</v>
      </c>
      <c r="L38" s="50" t="str">
        <f t="shared" ref="L38:M38" si="182">IFERROR(H38/J38,"-")</f>
        <v>-</v>
      </c>
      <c r="M38" s="50" t="str">
        <f t="shared" si="182"/>
        <v>-</v>
      </c>
      <c r="N38" s="6">
        <f>IFERROR(__xludf.DUMMYFUNCTION("IFERROR(
  VLOOKUP(
    A38,
    IMPORTRANGE(
      ""1ZHMy3vVUd_0MrSduXTe1etBb1HNpAlGwQr006ljwMiM"",
      ""GSC最新!A:R""
    ),
    7,
    FALSE
  ),
  0
)
"),6.0)</f>
        <v>6</v>
      </c>
      <c r="O38" s="6">
        <f>IFERROR(__xludf.DUMMYFUNCTION("IFERROR(
  VLOOKUP(
    A38,
    IMPORTRANGE(
      ""1ZHMy3vVUd_0MrSduXTe1etBb1HNpAlGwQr006ljwMiM"",
      ""GSC最新!A:R""
    ),
    10,
    FALSE
  ),
  0
)
"),15.0)</f>
        <v>15</v>
      </c>
      <c r="P38" s="6">
        <f>IFERROR(__xludf.DUMMYFUNCTION("IFERROR(
  VLOOKUP(
    A38,
    IMPORTRANGE(
      ""1ZHMy3vVUd_0MrSduXTe1etBb1HNpAlGwQr006ljwMiM"",
      ""GSC最新!A:R""
    ),
    13,
    FALSE
  ),
  0
)
"),21.0)</f>
        <v>21</v>
      </c>
      <c r="Q38" s="6">
        <f>IFERROR(__xludf.DUMMYFUNCTION("IFERROR(
  VLOOKUP(
    A38,
    IMPORTRANGE(
      ""1ZHMy3vVUd_0MrSduXTe1etBb1HNpAlGwQr006ljwMiM"",
      ""GSC最新!A:R""
    ),
    16,
    FALSE
  ),
  0
)
"),120.0)</f>
        <v>120</v>
      </c>
      <c r="R38" s="51">
        <f t="shared" ref="R38:S38" si="183">IFERROR(N38/P38,"-")</f>
        <v>0.2857142857</v>
      </c>
      <c r="S38" s="51">
        <f t="shared" si="183"/>
        <v>0.125</v>
      </c>
      <c r="T38" s="9">
        <f>IFERROR(__xludf.DUMMYFUNCTION("IFERROR(
  VLOOKUP(
    A38,
    IMPORTRANGE(
      ""1ZHMy3vVUd_0MrSduXTe1etBb1HNpAlGwQr006ljwMiM"",
      ""GSC最新!A:R""
    ),
    8,
    FALSE
  ),
  0
)
"),0.0)</f>
        <v>0</v>
      </c>
      <c r="U38" s="9">
        <f>IFERROR(__xludf.DUMMYFUNCTION("IFERROR(
  VLOOKUP(
    A38,
    IMPORTRANGE(
      ""1ZHMy3vVUd_0MrSduXTe1etBb1HNpAlGwQr006ljwMiM"",
      ""GSC最新!A:R""
    ),
    11,
    FALSE
  ),
  0
)
"),0.0)</f>
        <v>0</v>
      </c>
      <c r="V38" s="9">
        <f>IFERROR(__xludf.DUMMYFUNCTION("IFERROR(
  VLOOKUP(
    A38,
    IMPORTRANGE(
      ""1ZHMy3vVUd_0MrSduXTe1etBb1HNpAlGwQr006ljwMiM"",
      ""GSC最新!A:R""
    ),
    14,
    FALSE
  ),
  0
)
"),0.0)</f>
        <v>0</v>
      </c>
      <c r="W38" s="9">
        <f>IFERROR(__xludf.DUMMYFUNCTION("IFERROR(
  VLOOKUP(
    A38,
    IMPORTRANGE(
      ""1ZHMy3vVUd_0MrSduXTe1etBb1HNpAlGwQr006ljwMiM"",
      ""GSC最新!A:R""
    ),
    17,
    FALSE
  ),
  0
)
"),0.0)</f>
        <v>0</v>
      </c>
      <c r="X38" s="9">
        <f t="shared" ref="X38:Y38" si="184">IFERROR(T38-V38,"-")</f>
        <v>0</v>
      </c>
      <c r="Y38" s="9">
        <f t="shared" si="184"/>
        <v>0</v>
      </c>
      <c r="Z38" s="65">
        <f>IFERROR(__xludf.DUMMYFUNCTION("IFERROR(
  VLOOKUP(
    A38,
    IMPORTRANGE(
      ""1ZHMy3vVUd_0MrSduXTe1etBb1HNpAlGwQr006ljwMiM"",
      ""GSC最新!A:R""
    ),
    9,
    FALSE
  ),
  0
)
"),8.833333333333332)</f>
        <v>8.833333333</v>
      </c>
      <c r="AA38" s="65">
        <f>IFERROR(__xludf.DUMMYFUNCTION("IFERROR(
  VLOOKUP(
    A38,
    IMPORTRANGE(
      ""1ZHMy3vVUd_0MrSduXTe1etBb1HNpAlGwQr006ljwMiM"",
      ""GSC最新!A:R""
    ),
    12,
    FALSE
  ),
  0
)
"),8.6)</f>
        <v>8.6</v>
      </c>
      <c r="AB38" s="65">
        <f>IFERROR(__xludf.DUMMYFUNCTION("IFERROR(
  VLOOKUP(
    A38,
    IMPORTRANGE(
      ""1ZHMy3vVUd_0MrSduXTe1etBb1HNpAlGwQr006ljwMiM"",
      ""GSC最新!A:R""
    ),
    15,
    FALSE
  ),
  0
)
"),11.952380952380953)</f>
        <v>11.95238095</v>
      </c>
      <c r="AC38" s="65">
        <f>IFERROR(__xludf.DUMMYFUNCTION("IFERROR(
  VLOOKUP(
    A38,
    IMPORTRANGE(
      ""1ZHMy3vVUd_0MrSduXTe1etBb1HNpAlGwQr006ljwMiM"",
      ""GSC最新!A:R""
    ),
    18,
    FALSE
  ),
  0
)
"),41.31666666666667)</f>
        <v>41.31666667</v>
      </c>
      <c r="AD38" s="65">
        <f t="shared" ref="AD38:AE38" si="185">Z38-AB38</f>
        <v>-3.119047619</v>
      </c>
      <c r="AE38" s="65">
        <f t="shared" si="185"/>
        <v>-32.71666667</v>
      </c>
      <c r="AF38" s="53">
        <f>IFERROR(__xludf.DUMMYFUNCTION("IFERROR(
  VLOOKUP(
    A38,
    IMPORTRANGE(
      ""1ZHMy3vVUd_0MrSduXTe1etBb1HNpAlGwQr006ljwMiM"",
      ""GSC最新!A:F""
    ),
    6,
    FALSE
  ),
  0
)
"),46081.0)</f>
        <v>46081</v>
      </c>
      <c r="AG38" s="54">
        <f>IFERROR(__xludf.DUMMYFUNCTION("IFERROR(
  VLOOKUP(
    A38,
    IMPORTRANGE(
      ""1SCYQd7_cobOYqT0r_F0IqD4tE4rYn5y8Eup4PJTH8es"",
      ""Snapshot!A:M""
    ),
    5,
    FALSE
  ),
  ""-""
)
"),1.0)</f>
        <v>1</v>
      </c>
      <c r="AH38" s="54">
        <f>IFERROR(__xludf.DUMMYFUNCTION("IFERROR(
  VLOOKUP(
    A38,
    IMPORTRANGE(
      ""1SCYQd7_cobOYqT0r_F0IqD4tE4rYn5y8Eup4PJTH8es"",
      ""Snapshot!A:M""
    ),
    6,
    FALSE
  ),
  0
)
"),0.0)</f>
        <v>0</v>
      </c>
      <c r="AI38" s="54">
        <f>IFERROR(__xludf.DUMMYFUNCTION("IFERROR(
  VLOOKUP(
    A38,
    IMPORTRANGE(
      ""1SCYQd7_cobOYqT0r_F0IqD4tE4rYn5y8Eup4PJTH8es"",
      ""Snapshot!A:M""
    ),
    7,
    FALSE
  ),
  0
)
"),749.0)</f>
        <v>749</v>
      </c>
      <c r="AJ38" s="54">
        <f>IFERROR(__xludf.DUMMYFUNCTION("IFERROR(
  VLOOKUP(
    A38,
    IMPORTRANGE(
      ""1SCYQd7_cobOYqT0r_F0IqD4tE4rYn5y8Eup4PJTH8es"",
      ""Snapshot!A:M""
    ),
    8,
    FALSE
  ),
  0
)
"),0.0)</f>
        <v>0</v>
      </c>
      <c r="AK38" s="54">
        <f>IFERROR(__xludf.DUMMYFUNCTION("IFERROR(
  VLOOKUP(
    A38,
    IMPORTRANGE(
      ""1SCYQd7_cobOYqT0r_F0IqD4tE4rYn5y8Eup4PJTH8es"",
      ""Snapshot!A:M""
    ),
    9,
    FALSE
  ),
  0
)
"),0.0)</f>
        <v>0</v>
      </c>
      <c r="AL38" s="54">
        <f>IFERROR(__xludf.DUMMYFUNCTION("IFERROR(
  VLOOKUP(
    A38,
    IMPORTRANGE(
      ""1SCYQd7_cobOYqT0r_F0IqD4tE4rYn5y8Eup4PJTH8es"",
      ""Snapshot!A:M""
    ),
    13,
    FALSE
  ),
  0
)
"),2.0)</f>
        <v>2</v>
      </c>
    </row>
    <row r="39">
      <c r="A39" s="3" t="s">
        <v>922</v>
      </c>
      <c r="B39" s="1" t="str">
        <f>IFERROR(__xludf.DUMMYFUNCTION("IFERROR(
  VLOOKUP(
    A39,
    IMPORTRANGE(
      ""1ZygntHC1J6IxzKbTidmOyf5nUyW4GCLurHCjexrLm_o"",
      ""HTMLキャッシュ!A:F""
    ),
    2,
    FALSE
  ),
  0
)
"),"NW")</f>
        <v>NW</v>
      </c>
      <c r="C39" s="49">
        <f t="shared" ref="C39:D39" si="186">LEN(E39)</f>
        <v>29</v>
      </c>
      <c r="D39" s="49">
        <f t="shared" si="186"/>
        <v>55</v>
      </c>
      <c r="E39" s="1" t="str">
        <f>IFERROR(__xludf.DUMMYFUNCTION("IFERROR(
  VLOOKUP(
    A39,
    IMPORTRANGE(
      ""1ZygntHC1J6IxzKbTidmOyf5nUyW4GCLurHCjexrLm_o"",
      ""HTMLキャッシュ!A:F""
    ),
    5,
    FALSE
  ),
  0
)
"),"2021年度春期講習のお知らせ - 古典専門塾 かきつばた")</f>
        <v>2021年度春期講習のお知らせ - 古典専門塾 かきつばた</v>
      </c>
      <c r="F39" s="1" t="str">
        <f>IFERROR(__xludf.DUMMYFUNCTION("IFERROR(
  VLOOKUP(
    A39,
    IMPORTRANGE(
      ""1ZygntHC1J6IxzKbTidmOyf5nUyW4GCLurHCjexrLm_o        "",
      ""HTMLキャッシュ!A:F""
    ),
    6,
    FALSE
  ),
  0
)
"),"弊塾では春期講習会を実施させて頂く運びとなりました。 現在当塾に通塾されている塾生の皆さんは勿論のこと、 普段")</f>
        <v>弊塾では春期講習会を実施させて頂く運びとなりました。 現在当塾に通塾されている塾生の皆さんは勿論のこと、 普段</v>
      </c>
      <c r="G39" s="32">
        <f>IFERROR(__xludf.DUMMYFUNCTION("IFERROR(
  VLOOKUP(
    A39,
    IMPORTRANGE(
      ""1ZygntHC1J6IxzKbTidmOyf5nUyW4GCLurHCjexrLm_o        "",
      ""HTMLキャッシュ!A:F""
    ),
    3,
    FALSE
  ),
  0
)
"),44263.67296296296)</f>
        <v>44263.67296</v>
      </c>
      <c r="H39" s="49">
        <f>IFERROR(__xludf.DUMMYFUNCTION("IFERROR(
  VLOOKUP(
    A39,
    IMPORTRANGE(
      ""1ZHMy3vVUd_0MrSduXTe1etBb1HNpAlGwQr006ljwMiM"",
      ""GSC最新!A:F""
    ),
    2,
    FALSE
  ),
  0
)
"),0.0)</f>
        <v>0</v>
      </c>
      <c r="I39" s="49">
        <f>IFERROR(__xludf.DUMMYFUNCTION("IFERROR(
  VLOOKUP(
    A39,
    IMPORTRANGE(
      ""1ZHMy3vVUd_0MrSduXTe1etBb1HNpAlGwQr006ljwMiM"",
      ""GSC最新!A:F""
    ),
    3,
    FALSE
  ),
  0
)
"),0.0)</f>
        <v>0</v>
      </c>
      <c r="J39" s="49">
        <f>IFERROR(__xludf.DUMMYFUNCTION("IFERROR(
  VLOOKUP(
    A39,
    IMPORTRANGE(
      ""1ZHMy3vVUd_0MrSduXTe1etBb1HNpAlGwQr006ljwMiM"",
      ""GSC最新!A:F""
    ),
    4,
    FALSE
  ),
  0
)
"),0.0)</f>
        <v>0</v>
      </c>
      <c r="K39" s="49">
        <f>IFERROR(__xludf.DUMMYFUNCTION("IFERROR(
  VLOOKUP(
    A39,
    IMPORTRANGE(
      ""1ZHMy3vVUd_0MrSduXTe1etBb1HNpAlGwQr006ljwMiM"",
      ""GSC最新!A:F""
    ),
    5,
    FALSE
  ),
  0
)
"),0.0)</f>
        <v>0</v>
      </c>
      <c r="L39" s="50" t="str">
        <f t="shared" ref="L39:M39" si="187">IFERROR(H39/J39,"-")</f>
        <v>-</v>
      </c>
      <c r="M39" s="50" t="str">
        <f t="shared" si="187"/>
        <v>-</v>
      </c>
      <c r="N39" s="6">
        <f>IFERROR(__xludf.DUMMYFUNCTION("IFERROR(
  VLOOKUP(
    A39,
    IMPORTRANGE(
      ""1ZHMy3vVUd_0MrSduXTe1etBb1HNpAlGwQr006ljwMiM"",
      ""GSC最新!A:R""
    ),
    7,
    FALSE
  ),
  0
)
"),0.0)</f>
        <v>0</v>
      </c>
      <c r="O39" s="6">
        <f>IFERROR(__xludf.DUMMYFUNCTION("IFERROR(
  VLOOKUP(
    A39,
    IMPORTRANGE(
      ""1ZHMy3vVUd_0MrSduXTe1etBb1HNpAlGwQr006ljwMiM"",
      ""GSC最新!A:R""
    ),
    10,
    FALSE
  ),
  0
)
"),0.0)</f>
        <v>0</v>
      </c>
      <c r="P39" s="6">
        <f>IFERROR(__xludf.DUMMYFUNCTION("IFERROR(
  VLOOKUP(
    A39,
    IMPORTRANGE(
      ""1ZHMy3vVUd_0MrSduXTe1etBb1HNpAlGwQr006ljwMiM"",
      ""GSC最新!A:R""
    ),
    13,
    FALSE
  ),
  0
)
"),13.0)</f>
        <v>13</v>
      </c>
      <c r="Q39" s="6">
        <f>IFERROR(__xludf.DUMMYFUNCTION("IFERROR(
  VLOOKUP(
    A39,
    IMPORTRANGE(
      ""1ZHMy3vVUd_0MrSduXTe1etBb1HNpAlGwQr006ljwMiM"",
      ""GSC最新!A:R""
    ),
    16,
    FALSE
  ),
  0
)
"),77.0)</f>
        <v>77</v>
      </c>
      <c r="R39" s="51">
        <f t="shared" ref="R39:S39" si="188">IFERROR(N39/P39,"-")</f>
        <v>0</v>
      </c>
      <c r="S39" s="51">
        <f t="shared" si="188"/>
        <v>0</v>
      </c>
      <c r="T39" s="9">
        <f>IFERROR(__xludf.DUMMYFUNCTION("IFERROR(
  VLOOKUP(
    A39,
    IMPORTRANGE(
      ""1ZHMy3vVUd_0MrSduXTe1etBb1HNpAlGwQr006ljwMiM"",
      ""GSC最新!A:R""
    ),
    8,
    FALSE
  ),
  0
)
"),0.0)</f>
        <v>0</v>
      </c>
      <c r="U39" s="9">
        <f>IFERROR(__xludf.DUMMYFUNCTION("IFERROR(
  VLOOKUP(
    A39,
    IMPORTRANGE(
      ""1ZHMy3vVUd_0MrSduXTe1etBb1HNpAlGwQr006ljwMiM"",
      ""GSC最新!A:R""
    ),
    11,
    FALSE
  ),
  0
)
"),0.0)</f>
        <v>0</v>
      </c>
      <c r="V39" s="9">
        <f>IFERROR(__xludf.DUMMYFUNCTION("IFERROR(
  VLOOKUP(
    A39,
    IMPORTRANGE(
      ""1ZHMy3vVUd_0MrSduXTe1etBb1HNpAlGwQr006ljwMiM"",
      ""GSC最新!A:R""
    ),
    14,
    FALSE
  ),
  0
)
"),0.0)</f>
        <v>0</v>
      </c>
      <c r="W39" s="9">
        <f>IFERROR(__xludf.DUMMYFUNCTION("IFERROR(
  VLOOKUP(
    A39,
    IMPORTRANGE(
      ""1ZHMy3vVUd_0MrSduXTe1etBb1HNpAlGwQr006ljwMiM"",
      ""GSC最新!A:R""
    ),
    17,
    FALSE
  ),
  0
)
"),0.0)</f>
        <v>0</v>
      </c>
      <c r="X39" s="9">
        <f t="shared" ref="X39:Y39" si="189">IFERROR(T39-V39,"-")</f>
        <v>0</v>
      </c>
      <c r="Y39" s="9">
        <f t="shared" si="189"/>
        <v>0</v>
      </c>
      <c r="Z39" s="65" t="str">
        <f>IFERROR(__xludf.DUMMYFUNCTION("IFERROR(
  VLOOKUP(
    A39,
    IMPORTRANGE(
      ""1ZHMy3vVUd_0MrSduXTe1etBb1HNpAlGwQr006ljwMiM"",
      ""GSC最新!A:R""
    ),
    9,
    FALSE
  ),
  0
)
"),"")</f>
        <v/>
      </c>
      <c r="AA39" s="65" t="str">
        <f>IFERROR(__xludf.DUMMYFUNCTION("IFERROR(
  VLOOKUP(
    A39,
    IMPORTRANGE(
      ""1ZHMy3vVUd_0MrSduXTe1etBb1HNpAlGwQr006ljwMiM"",
      ""GSC最新!A:R""
    ),
    12,
    FALSE
  ),
  0
)
"),"")</f>
        <v/>
      </c>
      <c r="AB39" s="65">
        <f>IFERROR(__xludf.DUMMYFUNCTION("IFERROR(
  VLOOKUP(
    A39,
    IMPORTRANGE(
      ""1ZHMy3vVUd_0MrSduXTe1etBb1HNpAlGwQr006ljwMiM"",
      ""GSC最新!A:R""
    ),
    15,
    FALSE
  ),
  0
)
"),25.46153846153846)</f>
        <v>25.46153846</v>
      </c>
      <c r="AC39" s="65">
        <f>IFERROR(__xludf.DUMMYFUNCTION("IFERROR(
  VLOOKUP(
    A39,
    IMPORTRANGE(
      ""1ZHMy3vVUd_0MrSduXTe1etBb1HNpAlGwQr006ljwMiM"",
      ""GSC最新!A:R""
    ),
    18,
    FALSE
  ),
  0
)
"),17.649350649350648)</f>
        <v>17.64935065</v>
      </c>
      <c r="AD39" s="65">
        <f t="shared" ref="AD39:AE39" si="190">Z39-AB39</f>
        <v>-25.46153846</v>
      </c>
      <c r="AE39" s="65">
        <f t="shared" si="190"/>
        <v>-17.64935065</v>
      </c>
      <c r="AF39" s="53">
        <f>IFERROR(__xludf.DUMMYFUNCTION("IFERROR(
  VLOOKUP(
    A39,
    IMPORTRANGE(
      ""1ZHMy3vVUd_0MrSduXTe1etBb1HNpAlGwQr006ljwMiM"",
      ""GSC最新!A:F""
    ),
    6,
    FALSE
  ),
  0
)
"),46081.0)</f>
        <v>46081</v>
      </c>
      <c r="AG39" s="54">
        <f>IFERROR(__xludf.DUMMYFUNCTION("IFERROR(
  VLOOKUP(
    A39,
    IMPORTRANGE(
      ""1SCYQd7_cobOYqT0r_F0IqD4tE4rYn5y8Eup4PJTH8es"",
      ""Snapshot!A:M""
    ),
    5,
    FALSE
  ),
  ""-""
)
"),0.0)</f>
        <v>0</v>
      </c>
      <c r="AH39" s="54">
        <f>IFERROR(__xludf.DUMMYFUNCTION("IFERROR(
  VLOOKUP(
    A39,
    IMPORTRANGE(
      ""1SCYQd7_cobOYqT0r_F0IqD4tE4rYn5y8Eup4PJTH8es"",
      ""Snapshot!A:M""
    ),
    6,
    FALSE
  ),
  0
)
"),0.0)</f>
        <v>0</v>
      </c>
      <c r="AI39" s="54">
        <f>IFERROR(__xludf.DUMMYFUNCTION("IFERROR(
  VLOOKUP(
    A39,
    IMPORTRANGE(
      ""1SCYQd7_cobOYqT0r_F0IqD4tE4rYn5y8Eup4PJTH8es"",
      ""Snapshot!A:M""
    ),
    7,
    FALSE
  ),
  0
)
"),674.0)</f>
        <v>674</v>
      </c>
      <c r="AJ39" s="54">
        <f>IFERROR(__xludf.DUMMYFUNCTION("IFERROR(
  VLOOKUP(
    A39,
    IMPORTRANGE(
      ""1SCYQd7_cobOYqT0r_F0IqD4tE4rYn5y8Eup4PJTH8es"",
      ""Snapshot!A:M""
    ),
    8,
    FALSE
  ),
  0
)
"),1.0)</f>
        <v>1</v>
      </c>
      <c r="AK39" s="54">
        <f>IFERROR(__xludf.DUMMYFUNCTION("IFERROR(
  VLOOKUP(
    A39,
    IMPORTRANGE(
      ""1SCYQd7_cobOYqT0r_F0IqD4tE4rYn5y8Eup4PJTH8es"",
      ""Snapshot!A:M""
    ),
    9,
    FALSE
  ),
  0
)
"),0.0)</f>
        <v>0</v>
      </c>
      <c r="AL39" s="54">
        <f>IFERROR(__xludf.DUMMYFUNCTION("IFERROR(
  VLOOKUP(
    A39,
    IMPORTRANGE(
      ""1SCYQd7_cobOYqT0r_F0IqD4tE4rYn5y8Eup4PJTH8es"",
      ""Snapshot!A:M""
    ),
    13,
    FALSE
  ),
  0
)
"),2.0)</f>
        <v>2</v>
      </c>
    </row>
    <row r="40">
      <c r="A40" s="1" t="s">
        <v>923</v>
      </c>
      <c r="B40" s="1" t="str">
        <f>IFERROR(__xludf.DUMMYFUNCTION("IFERROR(
  VLOOKUP(
    A40,
    IMPORTRANGE(
      ""1ZygntHC1J6IxzKbTidmOyf5nUyW4GCLurHCjexrLm_o"",
      ""HTMLキャッシュ!A:F""
    ),
    2,
    FALSE
  ),
  0
)
"),"NW")</f>
        <v>NW</v>
      </c>
      <c r="C40" s="49">
        <f t="shared" ref="C40:D40" si="191">LEN(E40)</f>
        <v>29</v>
      </c>
      <c r="D40" s="49">
        <f t="shared" si="191"/>
        <v>55</v>
      </c>
      <c r="E40" s="1" t="str">
        <f>IFERROR(__xludf.DUMMYFUNCTION("IFERROR(
  VLOOKUP(
    A40,
    IMPORTRANGE(
      ""1ZygntHC1J6IxzKbTidmOyf5nUyW4GCLurHCjexrLm_o"",
      ""HTMLキャッシュ!A:F""
    ),
    5,
    FALSE
  ),
  0
)
"),"2024年度春期講習のお知らせ - 古典専門塾 かきつばた")</f>
        <v>2024年度春期講習のお知らせ - 古典専門塾 かきつばた</v>
      </c>
      <c r="F40" s="1" t="str">
        <f>IFERROR(__xludf.DUMMYFUNCTION("IFERROR(
  VLOOKUP(
    A40,
    IMPORTRANGE(
      ""1ZygntHC1J6IxzKbTidmOyf5nUyW4GCLurHCjexrLm_o        "",
      ""HTMLキャッシュ!A:F""
    ),
    6,
    FALSE
  ),
  0
)
"),"弊塾では2024年度春期講習会を実施いたします。現在当塾に通う塾生の皆さんはもちろん、普段は他塾に通われている")</f>
        <v>弊塾では2024年度春期講習会を実施いたします。現在当塾に通う塾生の皆さんはもちろん、普段は他塾に通われている</v>
      </c>
      <c r="G40" s="32">
        <f>IFERROR(__xludf.DUMMYFUNCTION("IFERROR(
  VLOOKUP(
    A40,
    IMPORTRANGE(
      ""1ZygntHC1J6IxzKbTidmOyf5nUyW4GCLurHCjexrLm_o        "",
      ""HTMLキャッシュ!A:F""
    ),
    3,
    FALSE
  ),
  0
)
"),45592.861284722225)</f>
        <v>45592.86128</v>
      </c>
      <c r="H40" s="49">
        <f>IFERROR(__xludf.DUMMYFUNCTION("IFERROR(
  VLOOKUP(
    A40,
    IMPORTRANGE(
      ""1ZHMy3vVUd_0MrSduXTe1etBb1HNpAlGwQr006ljwMiM"",
      ""GSC最新!A:F""
    ),
    2,
    FALSE
  ),
  0
)
"),0.0)</f>
        <v>0</v>
      </c>
      <c r="I40" s="49">
        <f>IFERROR(__xludf.DUMMYFUNCTION("IFERROR(
  VLOOKUP(
    A40,
    IMPORTRANGE(
      ""1ZHMy3vVUd_0MrSduXTe1etBb1HNpAlGwQr006ljwMiM"",
      ""GSC最新!A:F""
    ),
    3,
    FALSE
  ),
  0
)
"),0.0)</f>
        <v>0</v>
      </c>
      <c r="J40" s="49">
        <f>IFERROR(__xludf.DUMMYFUNCTION("IFERROR(
  VLOOKUP(
    A40,
    IMPORTRANGE(
      ""1ZHMy3vVUd_0MrSduXTe1etBb1HNpAlGwQr006ljwMiM"",
      ""GSC最新!A:F""
    ),
    4,
    FALSE
  ),
  0
)
"),0.0)</f>
        <v>0</v>
      </c>
      <c r="K40" s="49">
        <f>IFERROR(__xludf.DUMMYFUNCTION("IFERROR(
  VLOOKUP(
    A40,
    IMPORTRANGE(
      ""1ZHMy3vVUd_0MrSduXTe1etBb1HNpAlGwQr006ljwMiM"",
      ""GSC最新!A:F""
    ),
    5,
    FALSE
  ),
  0
)
"),0.0)</f>
        <v>0</v>
      </c>
      <c r="L40" s="50" t="str">
        <f t="shared" ref="L40:M40" si="192">IFERROR(H40/J40,"-")</f>
        <v>-</v>
      </c>
      <c r="M40" s="50" t="str">
        <f t="shared" si="192"/>
        <v>-</v>
      </c>
      <c r="N40" s="6">
        <f>IFERROR(__xludf.DUMMYFUNCTION("IFERROR(
  VLOOKUP(
    A40,
    IMPORTRANGE(
      ""1ZHMy3vVUd_0MrSduXTe1etBb1HNpAlGwQr006ljwMiM"",
      ""GSC最新!A:R""
    ),
    7,
    FALSE
  ),
  0
)
"),0.0)</f>
        <v>0</v>
      </c>
      <c r="O40" s="6">
        <f>IFERROR(__xludf.DUMMYFUNCTION("IFERROR(
  VLOOKUP(
    A40,
    IMPORTRANGE(
      ""1ZHMy3vVUd_0MrSduXTe1etBb1HNpAlGwQr006ljwMiM"",
      ""GSC最新!A:R""
    ),
    10,
    FALSE
  ),
  0
)
"),0.0)</f>
        <v>0</v>
      </c>
      <c r="P40" s="6">
        <f>IFERROR(__xludf.DUMMYFUNCTION("IFERROR(
  VLOOKUP(
    A40,
    IMPORTRANGE(
      ""1ZHMy3vVUd_0MrSduXTe1etBb1HNpAlGwQr006ljwMiM"",
      ""GSC最新!A:R""
    ),
    13,
    FALSE
  ),
  0
)
"),13.0)</f>
        <v>13</v>
      </c>
      <c r="Q40" s="6">
        <f>IFERROR(__xludf.DUMMYFUNCTION("IFERROR(
  VLOOKUP(
    A40,
    IMPORTRANGE(
      ""1ZHMy3vVUd_0MrSduXTe1etBb1HNpAlGwQr006ljwMiM"",
      ""GSC最新!A:R""
    ),
    16,
    FALSE
  ),
  0
)
"),41.0)</f>
        <v>41</v>
      </c>
      <c r="R40" s="51">
        <f t="shared" ref="R40:S40" si="193">IFERROR(N40/P40,"-")</f>
        <v>0</v>
      </c>
      <c r="S40" s="51">
        <f t="shared" si="193"/>
        <v>0</v>
      </c>
      <c r="T40" s="9">
        <f>IFERROR(__xludf.DUMMYFUNCTION("IFERROR(
  VLOOKUP(
    A40,
    IMPORTRANGE(
      ""1ZHMy3vVUd_0MrSduXTe1etBb1HNpAlGwQr006ljwMiM"",
      ""GSC最新!A:R""
    ),
    8,
    FALSE
  ),
  0
)
"),0.0)</f>
        <v>0</v>
      </c>
      <c r="U40" s="9">
        <f>IFERROR(__xludf.DUMMYFUNCTION("IFERROR(
  VLOOKUP(
    A40,
    IMPORTRANGE(
      ""1ZHMy3vVUd_0MrSduXTe1etBb1HNpAlGwQr006ljwMiM"",
      ""GSC最新!A:R""
    ),
    11,
    FALSE
  ),
  0
)
"),0.0)</f>
        <v>0</v>
      </c>
      <c r="V40" s="9">
        <f>IFERROR(__xludf.DUMMYFUNCTION("IFERROR(
  VLOOKUP(
    A40,
    IMPORTRANGE(
      ""1ZHMy3vVUd_0MrSduXTe1etBb1HNpAlGwQr006ljwMiM"",
      ""GSC最新!A:R""
    ),
    14,
    FALSE
  ),
  0
)
"),0.0)</f>
        <v>0</v>
      </c>
      <c r="W40" s="9">
        <f>IFERROR(__xludf.DUMMYFUNCTION("IFERROR(
  VLOOKUP(
    A40,
    IMPORTRANGE(
      ""1ZHMy3vVUd_0MrSduXTe1etBb1HNpAlGwQr006ljwMiM"",
      ""GSC最新!A:R""
    ),
    17,
    FALSE
  ),
  0
)
"),0.0)</f>
        <v>0</v>
      </c>
      <c r="X40" s="9">
        <f t="shared" ref="X40:Y40" si="194">IFERROR(T40-V40,"-")</f>
        <v>0</v>
      </c>
      <c r="Y40" s="9">
        <f t="shared" si="194"/>
        <v>0</v>
      </c>
      <c r="Z40" s="65" t="str">
        <f>IFERROR(__xludf.DUMMYFUNCTION("IFERROR(
  VLOOKUP(
    A40,
    IMPORTRANGE(
      ""1ZHMy3vVUd_0MrSduXTe1etBb1HNpAlGwQr006ljwMiM"",
      ""GSC最新!A:R""
    ),
    9,
    FALSE
  ),
  0
)
"),"")</f>
        <v/>
      </c>
      <c r="AA40" s="65" t="str">
        <f>IFERROR(__xludf.DUMMYFUNCTION("IFERROR(
  VLOOKUP(
    A40,
    IMPORTRANGE(
      ""1ZHMy3vVUd_0MrSduXTe1etBb1HNpAlGwQr006ljwMiM"",
      ""GSC最新!A:R""
    ),
    12,
    FALSE
  ),
  0
)
"),"")</f>
        <v/>
      </c>
      <c r="AB40" s="65">
        <f>IFERROR(__xludf.DUMMYFUNCTION("IFERROR(
  VLOOKUP(
    A40,
    IMPORTRANGE(
      ""1ZHMy3vVUd_0MrSduXTe1etBb1HNpAlGwQr006ljwMiM"",
      ""GSC最新!A:R""
    ),
    15,
    FALSE
  ),
  0
)
"),8.384615384615385)</f>
        <v>8.384615385</v>
      </c>
      <c r="AC40" s="65">
        <f>IFERROR(__xludf.DUMMYFUNCTION("IFERROR(
  VLOOKUP(
    A40,
    IMPORTRANGE(
      ""1ZHMy3vVUd_0MrSduXTe1etBb1HNpAlGwQr006ljwMiM"",
      ""GSC最新!A:R""
    ),
    18,
    FALSE
  ),
  0
)
"),8.560975609756097)</f>
        <v>8.56097561</v>
      </c>
      <c r="AD40" s="65">
        <f t="shared" ref="AD40:AE40" si="195">Z40-AB40</f>
        <v>-8.384615385</v>
      </c>
      <c r="AE40" s="65">
        <f t="shared" si="195"/>
        <v>-8.56097561</v>
      </c>
      <c r="AF40" s="53">
        <f>IFERROR(__xludf.DUMMYFUNCTION("IFERROR(
  VLOOKUP(
    A40,
    IMPORTRANGE(
      ""1ZHMy3vVUd_0MrSduXTe1etBb1HNpAlGwQr006ljwMiM"",
      ""GSC最新!A:F""
    ),
    6,
    FALSE
  ),
  0
)
"),46081.0)</f>
        <v>46081</v>
      </c>
      <c r="AG40" s="54">
        <f>IFERROR(__xludf.DUMMYFUNCTION("IFERROR(
  VLOOKUP(
    A40,
    IMPORTRANGE(
      ""1SCYQd7_cobOYqT0r_F0IqD4tE4rYn5y8Eup4PJTH8es"",
      ""Snapshot!A:M""
    ),
    5,
    FALSE
  ),
  ""-""
)
"),0.0)</f>
        <v>0</v>
      </c>
      <c r="AH40" s="54">
        <f>IFERROR(__xludf.DUMMYFUNCTION("IFERROR(
  VLOOKUP(
    A40,
    IMPORTRANGE(
      ""1SCYQd7_cobOYqT0r_F0IqD4tE4rYn5y8Eup4PJTH8es"",
      ""Snapshot!A:M""
    ),
    6,
    FALSE
  ),
  0
)
"),0.0)</f>
        <v>0</v>
      </c>
      <c r="AI40" s="54">
        <f>IFERROR(__xludf.DUMMYFUNCTION("IFERROR(
  VLOOKUP(
    A40,
    IMPORTRANGE(
      ""1SCYQd7_cobOYqT0r_F0IqD4tE4rYn5y8Eup4PJTH8es"",
      ""Snapshot!A:M""
    ),
    7,
    FALSE
  ),
  0
)
"),461.0)</f>
        <v>461</v>
      </c>
      <c r="AJ40" s="54">
        <f>IFERROR(__xludf.DUMMYFUNCTION("IFERROR(
  VLOOKUP(
    A40,
    IMPORTRANGE(
      ""1SCYQd7_cobOYqT0r_F0IqD4tE4rYn5y8Eup4PJTH8es"",
      ""Snapshot!A:M""
    ),
    8,
    FALSE
  ),
  0
)
"),1.0)</f>
        <v>1</v>
      </c>
      <c r="AK40" s="54">
        <f>IFERROR(__xludf.DUMMYFUNCTION("IFERROR(
  VLOOKUP(
    A40,
    IMPORTRANGE(
      ""1SCYQd7_cobOYqT0r_F0IqD4tE4rYn5y8Eup4PJTH8es"",
      ""Snapshot!A:M""
    ),
    9,
    FALSE
  ),
  0
)
"),0.0)</f>
        <v>0</v>
      </c>
      <c r="AL40" s="54">
        <f>IFERROR(__xludf.DUMMYFUNCTION("IFERROR(
  VLOOKUP(
    A40,
    IMPORTRANGE(
      ""1SCYQd7_cobOYqT0r_F0IqD4tE4rYn5y8Eup4PJTH8es"",
      ""Snapshot!A:M""
    ),
    13,
    FALSE
  ),
  0
)
"),2.0)</f>
        <v>2</v>
      </c>
    </row>
    <row r="41">
      <c r="A41" s="1" t="s">
        <v>924</v>
      </c>
      <c r="B41" s="1" t="str">
        <f>IFERROR(__xludf.DUMMYFUNCTION("IFERROR(
  VLOOKUP(
    A41,
    IMPORTRANGE(
      ""1ZygntHC1J6IxzKbTidmOyf5nUyW4GCLurHCjexrLm_o"",
      ""HTMLキャッシュ!A:F""
    ),
    2,
    FALSE
  ),
  0
)
"),"NW")</f>
        <v>NW</v>
      </c>
      <c r="C41" s="49">
        <f t="shared" ref="C41:D41" si="196">LEN(E41)</f>
        <v>31</v>
      </c>
      <c r="D41" s="49">
        <f t="shared" si="196"/>
        <v>55</v>
      </c>
      <c r="E41" s="1" t="str">
        <f>IFERROR(__xludf.DUMMYFUNCTION("IFERROR(
  VLOOKUP(
    A41,
    IMPORTRANGE(
      ""1ZygntHC1J6IxzKbTidmOyf5nUyW4GCLurHCjexrLm_o"",
      ""HTMLキャッシュ!A:F""
    ),
    5,
    FALSE
  ),
  0
)
"),"2024年度夏期講習開催のお知らせ - 古典専門塾 かきつばた")</f>
        <v>2024年度夏期講習開催のお知らせ - 古典専門塾 かきつばた</v>
      </c>
      <c r="F41" s="1" t="str">
        <f>IFERROR(__xludf.DUMMYFUNCTION("IFERROR(
  VLOOKUP(
    A41,
    IMPORTRANGE(
      ""1ZygntHC1J6IxzKbTidmOyf5nUyW4GCLurHCjexrLm_o        "",
      ""HTMLキャッシュ!A:F""
    ),
    6,
    FALSE
  ),
  0
)
"),"夏休みは、受験生にとってはまさに天王山、また、受験を1年以上先に控えるお子様にとっても、普段は忙しくて取り組め")</f>
        <v>夏休みは、受験生にとってはまさに天王山、また、受験を1年以上先に控えるお子様にとっても、普段は忙しくて取り組め</v>
      </c>
      <c r="G41" s="32">
        <f>IFERROR(__xludf.DUMMYFUNCTION("IFERROR(
  VLOOKUP(
    A41,
    IMPORTRANGE(
      ""1ZygntHC1J6IxzKbTidmOyf5nUyW4GCLurHCjexrLm_o        "",
      ""HTMLキャッシュ!A:F""
    ),
    3,
    FALSE
  ),
  0
)
"),45597.73086805556)</f>
        <v>45597.73087</v>
      </c>
      <c r="H41" s="49">
        <f>IFERROR(__xludf.DUMMYFUNCTION("IFERROR(
  VLOOKUP(
    A41,
    IMPORTRANGE(
      ""1ZHMy3vVUd_0MrSduXTe1etBb1HNpAlGwQr006ljwMiM"",
      ""GSC最新!A:F""
    ),
    2,
    FALSE
  ),
  0
)
"),0.0)</f>
        <v>0</v>
      </c>
      <c r="I41" s="49">
        <f>IFERROR(__xludf.DUMMYFUNCTION("IFERROR(
  VLOOKUP(
    A41,
    IMPORTRANGE(
      ""1ZHMy3vVUd_0MrSduXTe1etBb1HNpAlGwQr006ljwMiM"",
      ""GSC最新!A:F""
    ),
    3,
    FALSE
  ),
  0
)
"),0.0)</f>
        <v>0</v>
      </c>
      <c r="J41" s="49">
        <f>IFERROR(__xludf.DUMMYFUNCTION("IFERROR(
  VLOOKUP(
    A41,
    IMPORTRANGE(
      ""1ZHMy3vVUd_0MrSduXTe1etBb1HNpAlGwQr006ljwMiM"",
      ""GSC最新!A:F""
    ),
    4,
    FALSE
  ),
  0
)
"),0.0)</f>
        <v>0</v>
      </c>
      <c r="K41" s="49">
        <f>IFERROR(__xludf.DUMMYFUNCTION("IFERROR(
  VLOOKUP(
    A41,
    IMPORTRANGE(
      ""1ZHMy3vVUd_0MrSduXTe1etBb1HNpAlGwQr006ljwMiM"",
      ""GSC最新!A:F""
    ),
    5,
    FALSE
  ),
  0
)
"),0.0)</f>
        <v>0</v>
      </c>
      <c r="L41" s="50" t="str">
        <f t="shared" ref="L41:M41" si="197">IFERROR(H41/J41,"-")</f>
        <v>-</v>
      </c>
      <c r="M41" s="50" t="str">
        <f t="shared" si="197"/>
        <v>-</v>
      </c>
      <c r="N41" s="6">
        <f>IFERROR(__xludf.DUMMYFUNCTION("IFERROR(
  VLOOKUP(
    A41,
    IMPORTRANGE(
      ""1ZHMy3vVUd_0MrSduXTe1etBb1HNpAlGwQr006ljwMiM"",
      ""GSC最新!A:R""
    ),
    7,
    FALSE
  ),
  0
)
"),0.0)</f>
        <v>0</v>
      </c>
      <c r="O41" s="6">
        <f>IFERROR(__xludf.DUMMYFUNCTION("IFERROR(
  VLOOKUP(
    A41,
    IMPORTRANGE(
      ""1ZHMy3vVUd_0MrSduXTe1etBb1HNpAlGwQr006ljwMiM"",
      ""GSC最新!A:R""
    ),
    10,
    FALSE
  ),
  0
)
"),1.0)</f>
        <v>1</v>
      </c>
      <c r="P41" s="6">
        <f>IFERROR(__xludf.DUMMYFUNCTION("IFERROR(
  VLOOKUP(
    A41,
    IMPORTRANGE(
      ""1ZHMy3vVUd_0MrSduXTe1etBb1HNpAlGwQr006ljwMiM"",
      ""GSC最新!A:R""
    ),
    13,
    FALSE
  ),
  0
)
"),4.0)</f>
        <v>4</v>
      </c>
      <c r="Q41" s="6">
        <f>IFERROR(__xludf.DUMMYFUNCTION("IFERROR(
  VLOOKUP(
    A41,
    IMPORTRANGE(
      ""1ZHMy3vVUd_0MrSduXTe1etBb1HNpAlGwQr006ljwMiM"",
      ""GSC最新!A:R""
    ),
    16,
    FALSE
  ),
  0
)
"),43.0)</f>
        <v>43</v>
      </c>
      <c r="R41" s="51">
        <f t="shared" ref="R41:S41" si="198">IFERROR(N41/P41,"-")</f>
        <v>0</v>
      </c>
      <c r="S41" s="51">
        <f t="shared" si="198"/>
        <v>0.02325581395</v>
      </c>
      <c r="T41" s="9">
        <f>IFERROR(__xludf.DUMMYFUNCTION("IFERROR(
  VLOOKUP(
    A41,
    IMPORTRANGE(
      ""1ZHMy3vVUd_0MrSduXTe1etBb1HNpAlGwQr006ljwMiM"",
      ""GSC最新!A:R""
    ),
    8,
    FALSE
  ),
  0
)
"),0.0)</f>
        <v>0</v>
      </c>
      <c r="U41" s="9">
        <f>IFERROR(__xludf.DUMMYFUNCTION("IFERROR(
  VLOOKUP(
    A41,
    IMPORTRANGE(
      ""1ZHMy3vVUd_0MrSduXTe1etBb1HNpAlGwQr006ljwMiM"",
      ""GSC最新!A:R""
    ),
    11,
    FALSE
  ),
  0
)
"),0.0)</f>
        <v>0</v>
      </c>
      <c r="V41" s="9">
        <f>IFERROR(__xludf.DUMMYFUNCTION("IFERROR(
  VLOOKUP(
    A41,
    IMPORTRANGE(
      ""1ZHMy3vVUd_0MrSduXTe1etBb1HNpAlGwQr006ljwMiM"",
      ""GSC最新!A:R""
    ),
    14,
    FALSE
  ),
  0
)
"),0.0)</f>
        <v>0</v>
      </c>
      <c r="W41" s="9">
        <f>IFERROR(__xludf.DUMMYFUNCTION("IFERROR(
  VLOOKUP(
    A41,
    IMPORTRANGE(
      ""1ZHMy3vVUd_0MrSduXTe1etBb1HNpAlGwQr006ljwMiM"",
      ""GSC最新!A:R""
    ),
    17,
    FALSE
  ),
  0
)
"),0.0)</f>
        <v>0</v>
      </c>
      <c r="X41" s="9">
        <f t="shared" ref="X41:Y41" si="199">IFERROR(T41-V41,"-")</f>
        <v>0</v>
      </c>
      <c r="Y41" s="9">
        <f t="shared" si="199"/>
        <v>0</v>
      </c>
      <c r="Z41" s="65" t="str">
        <f>IFERROR(__xludf.DUMMYFUNCTION("IFERROR(
  VLOOKUP(
    A41,
    IMPORTRANGE(
      ""1ZHMy3vVUd_0MrSduXTe1etBb1HNpAlGwQr006ljwMiM"",
      ""GSC最新!A:R""
    ),
    9,
    FALSE
  ),
  0
)
"),"")</f>
        <v/>
      </c>
      <c r="AA41" s="65">
        <f>IFERROR(__xludf.DUMMYFUNCTION("IFERROR(
  VLOOKUP(
    A41,
    IMPORTRANGE(
      ""1ZHMy3vVUd_0MrSduXTe1etBb1HNpAlGwQr006ljwMiM"",
      ""GSC最新!A:R""
    ),
    12,
    FALSE
  ),
  0
)
"),53.0)</f>
        <v>53</v>
      </c>
      <c r="AB41" s="65">
        <f>IFERROR(__xludf.DUMMYFUNCTION("IFERROR(
  VLOOKUP(
    A41,
    IMPORTRANGE(
      ""1ZHMy3vVUd_0MrSduXTe1etBb1HNpAlGwQr006ljwMiM"",
      ""GSC最新!A:R""
    ),
    15,
    FALSE
  ),
  0
)
"),12.25)</f>
        <v>12.25</v>
      </c>
      <c r="AC41" s="65">
        <f>IFERROR(__xludf.DUMMYFUNCTION("IFERROR(
  VLOOKUP(
    A41,
    IMPORTRANGE(
      ""1ZHMy3vVUd_0MrSduXTe1etBb1HNpAlGwQr006ljwMiM"",
      ""GSC最新!A:R""
    ),
    18,
    FALSE
  ),
  0
)
"),15.720930232558139)</f>
        <v>15.72093023</v>
      </c>
      <c r="AD41" s="65">
        <f t="shared" ref="AD41:AE41" si="200">Z41-AB41</f>
        <v>-12.25</v>
      </c>
      <c r="AE41" s="65">
        <f t="shared" si="200"/>
        <v>37.27906977</v>
      </c>
      <c r="AF41" s="53">
        <f>IFERROR(__xludf.DUMMYFUNCTION("IFERROR(
  VLOOKUP(
    A41,
    IMPORTRANGE(
      ""1ZHMy3vVUd_0MrSduXTe1etBb1HNpAlGwQr006ljwMiM"",
      ""GSC最新!A:F""
    ),
    6,
    FALSE
  ),
  0
)
"),46081.0)</f>
        <v>46081</v>
      </c>
      <c r="AG41" s="54">
        <f>IFERROR(__xludf.DUMMYFUNCTION("IFERROR(
  VLOOKUP(
    A41,
    IMPORTRANGE(
      ""1SCYQd7_cobOYqT0r_F0IqD4tE4rYn5y8Eup4PJTH8es"",
      ""Snapshot!A:M""
    ),
    5,
    FALSE
  ),
  ""-""
)
"),0.0)</f>
        <v>0</v>
      </c>
      <c r="AH41" s="54">
        <f>IFERROR(__xludf.DUMMYFUNCTION("IFERROR(
  VLOOKUP(
    A41,
    IMPORTRANGE(
      ""1SCYQd7_cobOYqT0r_F0IqD4tE4rYn5y8Eup4PJTH8es"",
      ""Snapshot!A:M""
    ),
    6,
    FALSE
  ),
  0
)
"),0.0)</f>
        <v>0</v>
      </c>
      <c r="AI41" s="54">
        <f>IFERROR(__xludf.DUMMYFUNCTION("IFERROR(
  VLOOKUP(
    A41,
    IMPORTRANGE(
      ""1SCYQd7_cobOYqT0r_F0IqD4tE4rYn5y8Eup4PJTH8es"",
      ""Snapshot!A:M""
    ),
    7,
    FALSE
  ),
  0
)
"),601.0)</f>
        <v>601</v>
      </c>
      <c r="AJ41" s="54">
        <f>IFERROR(__xludf.DUMMYFUNCTION("IFERROR(
  VLOOKUP(
    A41,
    IMPORTRANGE(
      ""1SCYQd7_cobOYqT0r_F0IqD4tE4rYn5y8Eup4PJTH8es"",
      ""Snapshot!A:M""
    ),
    8,
    FALSE
  ),
  0
)
"),1.0)</f>
        <v>1</v>
      </c>
      <c r="AK41" s="54">
        <f>IFERROR(__xludf.DUMMYFUNCTION("IFERROR(
  VLOOKUP(
    A41,
    IMPORTRANGE(
      ""1SCYQd7_cobOYqT0r_F0IqD4tE4rYn5y8Eup4PJTH8es"",
      ""Snapshot!A:M""
    ),
    9,
    FALSE
  ),
  0
)
"),0.0)</f>
        <v>0</v>
      </c>
      <c r="AL41" s="54">
        <f>IFERROR(__xludf.DUMMYFUNCTION("IFERROR(
  VLOOKUP(
    A41,
    IMPORTRANGE(
      ""1SCYQd7_cobOYqT0r_F0IqD4tE4rYn5y8Eup4PJTH8es"",
      ""Snapshot!A:M""
    ),
    13,
    FALSE
  ),
  0
)
"),2.0)</f>
        <v>2</v>
      </c>
    </row>
    <row r="42">
      <c r="A42" s="1" t="s">
        <v>925</v>
      </c>
      <c r="B42" s="1" t="str">
        <f>IFERROR(__xludf.DUMMYFUNCTION("IFERROR(
  VLOOKUP(
    A42,
    IMPORTRANGE(
      ""1ZygntHC1J6IxzKbTidmOyf5nUyW4GCLurHCjexrLm_o"",
      ""HTMLキャッシュ!A:F""
    ),
    2,
    FALSE
  ),
  0
)
"),"NW")</f>
        <v>NW</v>
      </c>
      <c r="C42" s="49">
        <f t="shared" ref="C42:D42" si="201">LEN(E42)</f>
        <v>29</v>
      </c>
      <c r="D42" s="49">
        <f t="shared" si="201"/>
        <v>55</v>
      </c>
      <c r="E42" s="1" t="str">
        <f>IFERROR(__xludf.DUMMYFUNCTION("IFERROR(
  VLOOKUP(
    A42,
    IMPORTRANGE(
      ""1ZygntHC1J6IxzKbTidmOyf5nUyW4GCLurHCjexrLm_o"",
      ""HTMLキャッシュ!A:F""
    ),
    5,
    FALSE
  ),
  0
)
"),"2023年度春期講習のお知らせ - 古典専門塾 かきつばた")</f>
        <v>2023年度春期講習のお知らせ - 古典専門塾 かきつばた</v>
      </c>
      <c r="F42" s="1" t="str">
        <f>IFERROR(__xludf.DUMMYFUNCTION("IFERROR(
  VLOOKUP(
    A42,
    IMPORTRANGE(
      ""1ZygntHC1J6IxzKbTidmOyf5nUyW4GCLurHCjexrLm_o        "",
      ""HTMLキャッシュ!A:F""
    ),
    6,
    FALSE
  ),
  0
)
"),"弊塾では2023年度春期講習会を実施いたします。現在当塾に通う塾生の皆さんはもちろん、普段は他塾に通われている")</f>
        <v>弊塾では2023年度春期講習会を実施いたします。現在当塾に通う塾生の皆さんはもちろん、普段は他塾に通われている</v>
      </c>
      <c r="G42" s="32">
        <f>IFERROR(__xludf.DUMMYFUNCTION("IFERROR(
  VLOOKUP(
    A42,
    IMPORTRANGE(
      ""1ZygntHC1J6IxzKbTidmOyf5nUyW4GCLurHCjexrLm_o        "",
      ""HTMLキャッシュ!A:F""
    ),
    3,
    FALSE
  ),
  0
)
"),45592.85461805556)</f>
        <v>45592.85462</v>
      </c>
      <c r="H42" s="49">
        <f>IFERROR(__xludf.DUMMYFUNCTION("IFERROR(
  VLOOKUP(
    A42,
    IMPORTRANGE(
      ""1ZHMy3vVUd_0MrSduXTe1etBb1HNpAlGwQr006ljwMiM"",
      ""GSC最新!A:F""
    ),
    2,
    FALSE
  ),
  0
)
"),0.0)</f>
        <v>0</v>
      </c>
      <c r="I42" s="49">
        <f>IFERROR(__xludf.DUMMYFUNCTION("IFERROR(
  VLOOKUP(
    A42,
    IMPORTRANGE(
      ""1ZHMy3vVUd_0MrSduXTe1etBb1HNpAlGwQr006ljwMiM"",
      ""GSC最新!A:F""
    ),
    3,
    FALSE
  ),
  0
)
"),0.0)</f>
        <v>0</v>
      </c>
      <c r="J42" s="49">
        <f>IFERROR(__xludf.DUMMYFUNCTION("IFERROR(
  VLOOKUP(
    A42,
    IMPORTRANGE(
      ""1ZHMy3vVUd_0MrSduXTe1etBb1HNpAlGwQr006ljwMiM"",
      ""GSC最新!A:F""
    ),
    4,
    FALSE
  ),
  0
)
"),0.0)</f>
        <v>0</v>
      </c>
      <c r="K42" s="49">
        <f>IFERROR(__xludf.DUMMYFUNCTION("IFERROR(
  VLOOKUP(
    A42,
    IMPORTRANGE(
      ""1ZHMy3vVUd_0MrSduXTe1etBb1HNpAlGwQr006ljwMiM"",
      ""GSC最新!A:F""
    ),
    5,
    FALSE
  ),
  0
)
"),0.0)</f>
        <v>0</v>
      </c>
      <c r="L42" s="50" t="str">
        <f t="shared" ref="L42:M42" si="202">IFERROR(H42/J42,"-")</f>
        <v>-</v>
      </c>
      <c r="M42" s="50" t="str">
        <f t="shared" si="202"/>
        <v>-</v>
      </c>
      <c r="N42" s="6">
        <f>IFERROR(__xludf.DUMMYFUNCTION("IFERROR(
  VLOOKUP(
    A42,
    IMPORTRANGE(
      ""1ZHMy3vVUd_0MrSduXTe1etBb1HNpAlGwQr006ljwMiM"",
      ""GSC最新!A:R""
    ),
    7,
    FALSE
  ),
  0
)
"),0.0)</f>
        <v>0</v>
      </c>
      <c r="O42" s="6">
        <f>IFERROR(__xludf.DUMMYFUNCTION("IFERROR(
  VLOOKUP(
    A42,
    IMPORTRANGE(
      ""1ZHMy3vVUd_0MrSduXTe1etBb1HNpAlGwQr006ljwMiM"",
      ""GSC最新!A:R""
    ),
    10,
    FALSE
  ),
  0
)
"),0.0)</f>
        <v>0</v>
      </c>
      <c r="P42" s="6">
        <f>IFERROR(__xludf.DUMMYFUNCTION("IFERROR(
  VLOOKUP(
    A42,
    IMPORTRANGE(
      ""1ZHMy3vVUd_0MrSduXTe1etBb1HNpAlGwQr006ljwMiM"",
      ""GSC最新!A:R""
    ),
    13,
    FALSE
  ),
  0
)
"),0.0)</f>
        <v>0</v>
      </c>
      <c r="Q42" s="6">
        <f>IFERROR(__xludf.DUMMYFUNCTION("IFERROR(
  VLOOKUP(
    A42,
    IMPORTRANGE(
      ""1ZHMy3vVUd_0MrSduXTe1etBb1HNpAlGwQr006ljwMiM"",
      ""GSC最新!A:R""
    ),
    16,
    FALSE
  ),
  0
)
"),7.0)</f>
        <v>7</v>
      </c>
      <c r="R42" s="51" t="str">
        <f t="shared" ref="R42:S42" si="203">IFERROR(N42/P42,"-")</f>
        <v>-</v>
      </c>
      <c r="S42" s="51">
        <f t="shared" si="203"/>
        <v>0</v>
      </c>
      <c r="T42" s="9">
        <f>IFERROR(__xludf.DUMMYFUNCTION("IFERROR(
  VLOOKUP(
    A42,
    IMPORTRANGE(
      ""1ZHMy3vVUd_0MrSduXTe1etBb1HNpAlGwQr006ljwMiM"",
      ""GSC最新!A:R""
    ),
    8,
    FALSE
  ),
  0
)
"),0.0)</f>
        <v>0</v>
      </c>
      <c r="U42" s="9">
        <f>IFERROR(__xludf.DUMMYFUNCTION("IFERROR(
  VLOOKUP(
    A42,
    IMPORTRANGE(
      ""1ZHMy3vVUd_0MrSduXTe1etBb1HNpAlGwQr006ljwMiM"",
      ""GSC最新!A:R""
    ),
    11,
    FALSE
  ),
  0
)
"),0.0)</f>
        <v>0</v>
      </c>
      <c r="V42" s="9">
        <f>IFERROR(__xludf.DUMMYFUNCTION("IFERROR(
  VLOOKUP(
    A42,
    IMPORTRANGE(
      ""1ZHMy3vVUd_0MrSduXTe1etBb1HNpAlGwQr006ljwMiM"",
      ""GSC最新!A:R""
    ),
    14,
    FALSE
  ),
  0
)
"),0.0)</f>
        <v>0</v>
      </c>
      <c r="W42" s="9">
        <f>IFERROR(__xludf.DUMMYFUNCTION("IFERROR(
  VLOOKUP(
    A42,
    IMPORTRANGE(
      ""1ZHMy3vVUd_0MrSduXTe1etBb1HNpAlGwQr006ljwMiM"",
      ""GSC最新!A:R""
    ),
    17,
    FALSE
  ),
  0
)
"),0.0)</f>
        <v>0</v>
      </c>
      <c r="X42" s="9">
        <f t="shared" ref="X42:Y42" si="204">IFERROR(T42-V42,"-")</f>
        <v>0</v>
      </c>
      <c r="Y42" s="9">
        <f t="shared" si="204"/>
        <v>0</v>
      </c>
      <c r="Z42" s="65" t="str">
        <f>IFERROR(__xludf.DUMMYFUNCTION("IFERROR(
  VLOOKUP(
    A42,
    IMPORTRANGE(
      ""1ZHMy3vVUd_0MrSduXTe1etBb1HNpAlGwQr006ljwMiM"",
      ""GSC最新!A:R""
    ),
    9,
    FALSE
  ),
  0
)
"),"")</f>
        <v/>
      </c>
      <c r="AA42" s="65" t="str">
        <f>IFERROR(__xludf.DUMMYFUNCTION("IFERROR(
  VLOOKUP(
    A42,
    IMPORTRANGE(
      ""1ZHMy3vVUd_0MrSduXTe1etBb1HNpAlGwQr006ljwMiM"",
      ""GSC最新!A:R""
    ),
    12,
    FALSE
  ),
  0
)
"),"")</f>
        <v/>
      </c>
      <c r="AB42" s="65" t="str">
        <f>IFERROR(__xludf.DUMMYFUNCTION("IFERROR(
  VLOOKUP(
    A42,
    IMPORTRANGE(
      ""1ZHMy3vVUd_0MrSduXTe1etBb1HNpAlGwQr006ljwMiM"",
      ""GSC最新!A:R""
    ),
    15,
    FALSE
  ),
  0
)
"),"")</f>
        <v/>
      </c>
      <c r="AC42" s="65">
        <f>IFERROR(__xludf.DUMMYFUNCTION("IFERROR(
  VLOOKUP(
    A42,
    IMPORTRANGE(
      ""1ZHMy3vVUd_0MrSduXTe1etBb1HNpAlGwQr006ljwMiM"",
      ""GSC最新!A:R""
    ),
    18,
    FALSE
  ),
  0
)
"),9.0)</f>
        <v>9</v>
      </c>
      <c r="AD42" s="65">
        <f t="shared" ref="AD42:AE42" si="205">Z42-AB42</f>
        <v>0</v>
      </c>
      <c r="AE42" s="65">
        <f t="shared" si="205"/>
        <v>-9</v>
      </c>
      <c r="AF42" s="53">
        <f>IFERROR(__xludf.DUMMYFUNCTION("IFERROR(
  VLOOKUP(
    A42,
    IMPORTRANGE(
      ""1ZHMy3vVUd_0MrSduXTe1etBb1HNpAlGwQr006ljwMiM"",
      ""GSC最新!A:F""
    ),
    6,
    FALSE
  ),
  0
)
"),46081.0)</f>
        <v>46081</v>
      </c>
      <c r="AG42" s="54">
        <f>IFERROR(__xludf.DUMMYFUNCTION("IFERROR(
  VLOOKUP(
    A42,
    IMPORTRANGE(
      ""1SCYQd7_cobOYqT0r_F0IqD4tE4rYn5y8Eup4PJTH8es"",
      ""Snapshot!A:M""
    ),
    5,
    FALSE
  ),
  ""-""
)
"),0.0)</f>
        <v>0</v>
      </c>
      <c r="AH42" s="54">
        <f>IFERROR(__xludf.DUMMYFUNCTION("IFERROR(
  VLOOKUP(
    A42,
    IMPORTRANGE(
      ""1SCYQd7_cobOYqT0r_F0IqD4tE4rYn5y8Eup4PJTH8es"",
      ""Snapshot!A:M""
    ),
    6,
    FALSE
  ),
  0
)
"),0.0)</f>
        <v>0</v>
      </c>
      <c r="AI42" s="54">
        <f>IFERROR(__xludf.DUMMYFUNCTION("IFERROR(
  VLOOKUP(
    A42,
    IMPORTRANGE(
      ""1SCYQd7_cobOYqT0r_F0IqD4tE4rYn5y8Eup4PJTH8es"",
      ""Snapshot!A:M""
    ),
    7,
    FALSE
  ),
  0
)
"),461.0)</f>
        <v>461</v>
      </c>
      <c r="AJ42" s="54">
        <f>IFERROR(__xludf.DUMMYFUNCTION("IFERROR(
  VLOOKUP(
    A42,
    IMPORTRANGE(
      ""1SCYQd7_cobOYqT0r_F0IqD4tE4rYn5y8Eup4PJTH8es"",
      ""Snapshot!A:M""
    ),
    8,
    FALSE
  ),
  0
)
"),1.0)</f>
        <v>1</v>
      </c>
      <c r="AK42" s="54">
        <f>IFERROR(__xludf.DUMMYFUNCTION("IFERROR(
  VLOOKUP(
    A42,
    IMPORTRANGE(
      ""1SCYQd7_cobOYqT0r_F0IqD4tE4rYn5y8Eup4PJTH8es"",
      ""Snapshot!A:M""
    ),
    9,
    FALSE
  ),
  0
)
"),0.0)</f>
        <v>0</v>
      </c>
      <c r="AL42" s="54">
        <f>IFERROR(__xludf.DUMMYFUNCTION("IFERROR(
  VLOOKUP(
    A42,
    IMPORTRANGE(
      ""1SCYQd7_cobOYqT0r_F0IqD4tE4rYn5y8Eup4PJTH8es"",
      ""Snapshot!A:M""
    ),
    13,
    FALSE
  ),
  0
)
"),2.0)</f>
        <v>2</v>
      </c>
    </row>
    <row r="43">
      <c r="A43" s="3" t="s">
        <v>926</v>
      </c>
      <c r="B43" s="1" t="str">
        <f>IFERROR(__xludf.DUMMYFUNCTION("IFERROR(
  VLOOKUP(
    A43,
    IMPORTRANGE(
      ""1ZygntHC1J6IxzKbTidmOyf5nUyW4GCLurHCjexrLm_o"",
      ""HTMLキャッシュ!A:F""
    ),
    2,
    FALSE
  ),
  0
)
"),"ST")</f>
        <v>ST</v>
      </c>
      <c r="C43" s="49">
        <f t="shared" ref="C43:D43" si="206">LEN(E43)</f>
        <v>27</v>
      </c>
      <c r="D43" s="49">
        <f t="shared" si="206"/>
        <v>3</v>
      </c>
      <c r="E43" s="1" t="str">
        <f>IFERROR(__xludf.DUMMYFUNCTION("IFERROR(
  VLOOKUP(
    A43,
    IMPORTRANGE(
      ""1ZygntHC1J6IxzKbTidmOyf5nUyW4GCLurHCjexrLm_o"",
      ""HTMLキャッシュ!A:F""
    ),
    5,
    FALSE
  ),
  0
)
"),"古典専門塾かきつばた 授業時間割と学習スケジュール案内")</f>
        <v>古典専門塾かきつばた 授業時間割と学習スケジュール案内</v>
      </c>
      <c r="F43" s="1" t="str">
        <f>IFERROR(__xludf.DUMMYFUNCTION("IFERROR(
  VLOOKUP(
    A43,
    IMPORTRANGE(
      ""1ZygntHC1J6IxzKbTidmOyf5nUyW4GCLurHCjexrLm_o        "",
      ""HTMLキャッシュ!A:F""
    ),
    6,
    FALSE
  ),
  0
)
"),"時間割")</f>
        <v>時間割</v>
      </c>
      <c r="G43" s="32">
        <f>IFERROR(__xludf.DUMMYFUNCTION("IFERROR(
  VLOOKUP(
    A43,
    IMPORTRANGE(
      ""1ZygntHC1J6IxzKbTidmOyf5nUyW4GCLurHCjexrLm_o        "",
      ""HTMLキャッシュ!A:F""
    ),
    3,
    FALSE
  ),
  0
)
"),46073.60996527778)</f>
        <v>46073.60997</v>
      </c>
      <c r="H43" s="49">
        <f>IFERROR(__xludf.DUMMYFUNCTION("IFERROR(
  VLOOKUP(
    A43,
    IMPORTRANGE(
      ""1ZHMy3vVUd_0MrSduXTe1etBb1HNpAlGwQr006ljwMiM"",
      ""GSC最新!A:F""
    ),
    2,
    FALSE
  ),
  0
)
"),0.0)</f>
        <v>0</v>
      </c>
      <c r="I43" s="49">
        <f>IFERROR(__xludf.DUMMYFUNCTION("IFERROR(
  VLOOKUP(
    A43,
    IMPORTRANGE(
      ""1ZHMy3vVUd_0MrSduXTe1etBb1HNpAlGwQr006ljwMiM"",
      ""GSC最新!A:F""
    ),
    3,
    FALSE
  ),
  0
)
"),0.0)</f>
        <v>0</v>
      </c>
      <c r="J43" s="49">
        <f>IFERROR(__xludf.DUMMYFUNCTION("IFERROR(
  VLOOKUP(
    A43,
    IMPORTRANGE(
      ""1ZHMy3vVUd_0MrSduXTe1etBb1HNpAlGwQr006ljwMiM"",
      ""GSC最新!A:F""
    ),
    4,
    FALSE
  ),
  0
)
"),0.0)</f>
        <v>0</v>
      </c>
      <c r="K43" s="49">
        <f>IFERROR(__xludf.DUMMYFUNCTION("IFERROR(
  VLOOKUP(
    A43,
    IMPORTRANGE(
      ""1ZHMy3vVUd_0MrSduXTe1etBb1HNpAlGwQr006ljwMiM"",
      ""GSC最新!A:F""
    ),
    5,
    FALSE
  ),
  0
)
"),0.0)</f>
        <v>0</v>
      </c>
      <c r="L43" s="50" t="str">
        <f t="shared" ref="L43:M43" si="207">IFERROR(H43/J43,"-")</f>
        <v>-</v>
      </c>
      <c r="M43" s="50" t="str">
        <f t="shared" si="207"/>
        <v>-</v>
      </c>
      <c r="N43" s="6">
        <f>IFERROR(__xludf.DUMMYFUNCTION("IFERROR(
  VLOOKUP(
    A43,
    IMPORTRANGE(
      ""1ZHMy3vVUd_0MrSduXTe1etBb1HNpAlGwQr006ljwMiM"",
      ""GSC最新!A:R""
    ),
    7,
    FALSE
  ),
  0
)
"),10.0)</f>
        <v>10</v>
      </c>
      <c r="O43" s="6">
        <f>IFERROR(__xludf.DUMMYFUNCTION("IFERROR(
  VLOOKUP(
    A43,
    IMPORTRANGE(
      ""1ZHMy3vVUd_0MrSduXTe1etBb1HNpAlGwQr006ljwMiM"",
      ""GSC最新!A:R""
    ),
    10,
    FALSE
  ),
  0
)
"),20.0)</f>
        <v>20</v>
      </c>
      <c r="P43" s="6">
        <f>IFERROR(__xludf.DUMMYFUNCTION("IFERROR(
  VLOOKUP(
    A43,
    IMPORTRANGE(
      ""1ZHMy3vVUd_0MrSduXTe1etBb1HNpAlGwQr006ljwMiM"",
      ""GSC最新!A:R""
    ),
    13,
    FALSE
  ),
  0
)
"),2.0)</f>
        <v>2</v>
      </c>
      <c r="Q43" s="6">
        <f>IFERROR(__xludf.DUMMYFUNCTION("IFERROR(
  VLOOKUP(
    A43,
    IMPORTRANGE(
      ""1ZHMy3vVUd_0MrSduXTe1etBb1HNpAlGwQr006ljwMiM"",
      ""GSC最新!A:R""
    ),
    16,
    FALSE
  ),
  0
)
"),9.0)</f>
        <v>9</v>
      </c>
      <c r="R43" s="51">
        <f t="shared" ref="R43:S43" si="208">IFERROR(N43/P43,"-")</f>
        <v>5</v>
      </c>
      <c r="S43" s="51">
        <f t="shared" si="208"/>
        <v>2.222222222</v>
      </c>
      <c r="T43" s="9">
        <f>IFERROR(__xludf.DUMMYFUNCTION("IFERROR(
  VLOOKUP(
    A43,
    IMPORTRANGE(
      ""1ZHMy3vVUd_0MrSduXTe1etBb1HNpAlGwQr006ljwMiM"",
      ""GSC最新!A:R""
    ),
    8,
    FALSE
  ),
  0
)
"),0.0)</f>
        <v>0</v>
      </c>
      <c r="U43" s="9">
        <f>IFERROR(__xludf.DUMMYFUNCTION("IFERROR(
  VLOOKUP(
    A43,
    IMPORTRANGE(
      ""1ZHMy3vVUd_0MrSduXTe1etBb1HNpAlGwQr006ljwMiM"",
      ""GSC最新!A:R""
    ),
    11,
    FALSE
  ),
  0
)
"),0.0)</f>
        <v>0</v>
      </c>
      <c r="V43" s="9">
        <f>IFERROR(__xludf.DUMMYFUNCTION("IFERROR(
  VLOOKUP(
    A43,
    IMPORTRANGE(
      ""1ZHMy3vVUd_0MrSduXTe1etBb1HNpAlGwQr006ljwMiM"",
      ""GSC最新!A:R""
    ),
    14,
    FALSE
  ),
  0
)
"),0.0)</f>
        <v>0</v>
      </c>
      <c r="W43" s="9">
        <f>IFERROR(__xludf.DUMMYFUNCTION("IFERROR(
  VLOOKUP(
    A43,
    IMPORTRANGE(
      ""1ZHMy3vVUd_0MrSduXTe1etBb1HNpAlGwQr006ljwMiM"",
      ""GSC最新!A:R""
    ),
    17,
    FALSE
  ),
  0
)
"),0.0)</f>
        <v>0</v>
      </c>
      <c r="X43" s="9">
        <f t="shared" ref="X43:Y43" si="209">IFERROR(T43-V43,"-")</f>
        <v>0</v>
      </c>
      <c r="Y43" s="9">
        <f t="shared" si="209"/>
        <v>0</v>
      </c>
      <c r="Z43" s="65">
        <f>IFERROR(__xludf.DUMMYFUNCTION("IFERROR(
  VLOOKUP(
    A43,
    IMPORTRANGE(
      ""1ZHMy3vVUd_0MrSduXTe1etBb1HNpAlGwQr006ljwMiM"",
      ""GSC最新!A:R""
    ),
    9,
    FALSE
  ),
  0
)
"),11.8)</f>
        <v>11.8</v>
      </c>
      <c r="AA43" s="65">
        <f>IFERROR(__xludf.DUMMYFUNCTION("IFERROR(
  VLOOKUP(
    A43,
    IMPORTRANGE(
      ""1ZHMy3vVUd_0MrSduXTe1etBb1HNpAlGwQr006ljwMiM"",
      ""GSC最新!A:R""
    ),
    12,
    FALSE
  ),
  0
)
"),13.45)</f>
        <v>13.45</v>
      </c>
      <c r="AB43" s="65">
        <f>IFERROR(__xludf.DUMMYFUNCTION("IFERROR(
  VLOOKUP(
    A43,
    IMPORTRANGE(
      ""1ZHMy3vVUd_0MrSduXTe1etBb1HNpAlGwQr006ljwMiM"",
      ""GSC最新!A:R""
    ),
    15,
    FALSE
  ),
  0
)
"),5.5)</f>
        <v>5.5</v>
      </c>
      <c r="AC43" s="65">
        <f>IFERROR(__xludf.DUMMYFUNCTION("IFERROR(
  VLOOKUP(
    A43,
    IMPORTRANGE(
      ""1ZHMy3vVUd_0MrSduXTe1etBb1HNpAlGwQr006ljwMiM"",
      ""GSC最新!A:R""
    ),
    18,
    FALSE
  ),
  0
)
"),6.888888888888889)</f>
        <v>6.888888889</v>
      </c>
      <c r="AD43" s="65">
        <f t="shared" ref="AD43:AE43" si="210">Z43-AB43</f>
        <v>6.3</v>
      </c>
      <c r="AE43" s="65">
        <f t="shared" si="210"/>
        <v>6.561111111</v>
      </c>
      <c r="AF43" s="53">
        <f>IFERROR(__xludf.DUMMYFUNCTION("IFERROR(
  VLOOKUP(
    A43,
    IMPORTRANGE(
      ""1ZHMy3vVUd_0MrSduXTe1etBb1HNpAlGwQr006ljwMiM"",
      ""GSC最新!A:F""
    ),
    6,
    FALSE
  ),
  0
)
"),46081.0)</f>
        <v>46081</v>
      </c>
      <c r="AG43" s="54">
        <f>IFERROR(__xludf.DUMMYFUNCTION("IFERROR(
  VLOOKUP(
    A43,
    IMPORTRANGE(
      ""1SCYQd7_cobOYqT0r_F0IqD4tE4rYn5y8Eup4PJTH8es"",
      ""Snapshot!A:M""
    ),
    5,
    FALSE
  ),
  ""-""
)
"),1.0)</f>
        <v>1</v>
      </c>
      <c r="AH43" s="54">
        <f>IFERROR(__xludf.DUMMYFUNCTION("IFERROR(
  VLOOKUP(
    A43,
    IMPORTRANGE(
      ""1SCYQd7_cobOYqT0r_F0IqD4tE4rYn5y8Eup4PJTH8es"",
      ""Snapshot!A:M""
    ),
    6,
    FALSE
  ),
  0
)
"),0.0)</f>
        <v>0</v>
      </c>
      <c r="AI43" s="54">
        <f>IFERROR(__xludf.DUMMYFUNCTION("IFERROR(
  VLOOKUP(
    A43,
    IMPORTRANGE(
      ""1SCYQd7_cobOYqT0r_F0IqD4tE4rYn5y8Eup4PJTH8es"",
      ""Snapshot!A:M""
    ),
    7,
    FALSE
  ),
  0
)
"),3.0)</f>
        <v>3</v>
      </c>
      <c r="AJ43" s="54">
        <f>IFERROR(__xludf.DUMMYFUNCTION("IFERROR(
  VLOOKUP(
    A43,
    IMPORTRANGE(
      ""1SCYQd7_cobOYqT0r_F0IqD4tE4rYn5y8Eup4PJTH8es"",
      ""Snapshot!A:M""
    ),
    8,
    FALSE
  ),
  0
)
"),0.0)</f>
        <v>0</v>
      </c>
      <c r="AK43" s="54">
        <f>IFERROR(__xludf.DUMMYFUNCTION("IFERROR(
  VLOOKUP(
    A43,
    IMPORTRANGE(
      ""1SCYQd7_cobOYqT0r_F0IqD4tE4rYn5y8Eup4PJTH8es"",
      ""Snapshot!A:M""
    ),
    9,
    FALSE
  ),
  0
)
"),1.0)</f>
        <v>1</v>
      </c>
      <c r="AL43" s="54">
        <f>IFERROR(__xludf.DUMMYFUNCTION("IFERROR(
  VLOOKUP(
    A43,
    IMPORTRANGE(
      ""1SCYQd7_cobOYqT0r_F0IqD4tE4rYn5y8Eup4PJTH8es"",
      ""Snapshot!A:M""
    ),
    13,
    FALSE
  ),
  0
)
"),1.0)</f>
        <v>1</v>
      </c>
    </row>
    <row r="44">
      <c r="A44" s="1" t="s">
        <v>927</v>
      </c>
      <c r="B44" s="1" t="str">
        <f>IFERROR(__xludf.DUMMYFUNCTION("IFERROR(
  VLOOKUP(
    A44,
    IMPORTRANGE(
      ""1ZygntHC1J6IxzKbTidmOyf5nUyW4GCLurHCjexrLm_o"",
      ""HTMLキャッシュ!A:F""
    ),
    2,
    FALSE
  ),
  0
)
"),"NW")</f>
        <v>NW</v>
      </c>
      <c r="C44" s="49">
        <f t="shared" ref="C44:D44" si="211">LEN(E44)</f>
        <v>31</v>
      </c>
      <c r="D44" s="49">
        <f t="shared" si="211"/>
        <v>55</v>
      </c>
      <c r="E44" s="1" t="str">
        <f>IFERROR(__xludf.DUMMYFUNCTION("IFERROR(
  VLOOKUP(
    A44,
    IMPORTRANGE(
      ""1ZygntHC1J6IxzKbTidmOyf5nUyW4GCLurHCjexrLm_o"",
      ""HTMLキャッシュ!A:F""
    ),
    5,
    FALSE
  ),
  0
)
"),"2023年度冬期講習開講のお知らせ - 古典専門塾 かきつばた")</f>
        <v>2023年度冬期講習開講のお知らせ - 古典専門塾 かきつばた</v>
      </c>
      <c r="F44" s="1" t="str">
        <f>IFERROR(__xludf.DUMMYFUNCTION("IFERROR(
  VLOOKUP(
    A44,
    IMPORTRANGE(
      ""1ZygntHC1J6IxzKbTidmOyf5nUyW4GCLurHCjexrLm_o        "",
      ""HTMLキャッシュ!A:F""
    ),
    6,
    FALSE
  ),
  0
)
"),"弊塾では2023年度冬期講習会を実施いたします。現在当塾に通う塾生の皆さんはもちろん、普段は他塾に通われている")</f>
        <v>弊塾では2023年度冬期講習会を実施いたします。現在当塾に通う塾生の皆さんはもちろん、普段は他塾に通われている</v>
      </c>
      <c r="G44" s="32">
        <f>IFERROR(__xludf.DUMMYFUNCTION("IFERROR(
  VLOOKUP(
    A44,
    IMPORTRANGE(
      ""1ZygntHC1J6IxzKbTidmOyf5nUyW4GCLurHCjexrLm_o        "",
      ""HTMLキャッシュ!A:F""
    ),
    3,
    FALSE
  ),
  0
)
"),45592.85949074074)</f>
        <v>45592.85949</v>
      </c>
      <c r="H44" s="49">
        <f>IFERROR(__xludf.DUMMYFUNCTION("IFERROR(
  VLOOKUP(
    A44,
    IMPORTRANGE(
      ""1ZHMy3vVUd_0MrSduXTe1etBb1HNpAlGwQr006ljwMiM"",
      ""GSC最新!A:F""
    ),
    2,
    FALSE
  ),
  0
)
"),0.0)</f>
        <v>0</v>
      </c>
      <c r="I44" s="49">
        <f>IFERROR(__xludf.DUMMYFUNCTION("IFERROR(
  VLOOKUP(
    A44,
    IMPORTRANGE(
      ""1ZHMy3vVUd_0MrSduXTe1etBb1HNpAlGwQr006ljwMiM"",
      ""GSC最新!A:F""
    ),
    3,
    FALSE
  ),
  0
)
"),0.0)</f>
        <v>0</v>
      </c>
      <c r="J44" s="49">
        <f>IFERROR(__xludf.DUMMYFUNCTION("IFERROR(
  VLOOKUP(
    A44,
    IMPORTRANGE(
      ""1ZHMy3vVUd_0MrSduXTe1etBb1HNpAlGwQr006ljwMiM"",
      ""GSC最新!A:F""
    ),
    4,
    FALSE
  ),
  0
)
"),0.0)</f>
        <v>0</v>
      </c>
      <c r="K44" s="49">
        <f>IFERROR(__xludf.DUMMYFUNCTION("IFERROR(
  VLOOKUP(
    A44,
    IMPORTRANGE(
      ""1ZHMy3vVUd_0MrSduXTe1etBb1HNpAlGwQr006ljwMiM"",
      ""GSC最新!A:F""
    ),
    5,
    FALSE
  ),
  0
)
"),0.0)</f>
        <v>0</v>
      </c>
      <c r="L44" s="50" t="str">
        <f t="shared" ref="L44:M44" si="212">IFERROR(H44/J44,"-")</f>
        <v>-</v>
      </c>
      <c r="M44" s="50" t="str">
        <f t="shared" si="212"/>
        <v>-</v>
      </c>
      <c r="N44" s="6">
        <f>IFERROR(__xludf.DUMMYFUNCTION("IFERROR(
  VLOOKUP(
    A44,
    IMPORTRANGE(
      ""1ZHMy3vVUd_0MrSduXTe1etBb1HNpAlGwQr006ljwMiM"",
      ""GSC最新!A:R""
    ),
    7,
    FALSE
  ),
  0
)
"),0.0)</f>
        <v>0</v>
      </c>
      <c r="O44" s="6">
        <f>IFERROR(__xludf.DUMMYFUNCTION("IFERROR(
  VLOOKUP(
    A44,
    IMPORTRANGE(
      ""1ZHMy3vVUd_0MrSduXTe1etBb1HNpAlGwQr006ljwMiM"",
      ""GSC最新!A:R""
    ),
    10,
    FALSE
  ),
  0
)
"),0.0)</f>
        <v>0</v>
      </c>
      <c r="P44" s="6">
        <f>IFERROR(__xludf.DUMMYFUNCTION("IFERROR(
  VLOOKUP(
    A44,
    IMPORTRANGE(
      ""1ZHMy3vVUd_0MrSduXTe1etBb1HNpAlGwQr006ljwMiM"",
      ""GSC最新!A:R""
    ),
    13,
    FALSE
  ),
  0
)
"),0.0)</f>
        <v>0</v>
      </c>
      <c r="Q44" s="6">
        <f>IFERROR(__xludf.DUMMYFUNCTION("IFERROR(
  VLOOKUP(
    A44,
    IMPORTRANGE(
      ""1ZHMy3vVUd_0MrSduXTe1etBb1HNpAlGwQr006ljwMiM"",
      ""GSC最新!A:R""
    ),
    16,
    FALSE
  ),
  0
)
"),0.0)</f>
        <v>0</v>
      </c>
      <c r="R44" s="51" t="str">
        <f t="shared" ref="R44:S44" si="213">IFERROR(N44/P44,"-")</f>
        <v>-</v>
      </c>
      <c r="S44" s="51" t="str">
        <f t="shared" si="213"/>
        <v>-</v>
      </c>
      <c r="T44" s="9">
        <f>IFERROR(__xludf.DUMMYFUNCTION("IFERROR(
  VLOOKUP(
    A44,
    IMPORTRANGE(
      ""1ZHMy3vVUd_0MrSduXTe1etBb1HNpAlGwQr006ljwMiM"",
      ""GSC最新!A:R""
    ),
    8,
    FALSE
  ),
  0
)
"),0.0)</f>
        <v>0</v>
      </c>
      <c r="U44" s="9">
        <f>IFERROR(__xludf.DUMMYFUNCTION("IFERROR(
  VLOOKUP(
    A44,
    IMPORTRANGE(
      ""1ZHMy3vVUd_0MrSduXTe1etBb1HNpAlGwQr006ljwMiM"",
      ""GSC最新!A:R""
    ),
    11,
    FALSE
  ),
  0
)
"),0.0)</f>
        <v>0</v>
      </c>
      <c r="V44" s="9">
        <f>IFERROR(__xludf.DUMMYFUNCTION("IFERROR(
  VLOOKUP(
    A44,
    IMPORTRANGE(
      ""1ZHMy3vVUd_0MrSduXTe1etBb1HNpAlGwQr006ljwMiM"",
      ""GSC最新!A:R""
    ),
    14,
    FALSE
  ),
  0
)
"),0.0)</f>
        <v>0</v>
      </c>
      <c r="W44" s="9">
        <f>IFERROR(__xludf.DUMMYFUNCTION("IFERROR(
  VLOOKUP(
    A44,
    IMPORTRANGE(
      ""1ZHMy3vVUd_0MrSduXTe1etBb1HNpAlGwQr006ljwMiM"",
      ""GSC最新!A:R""
    ),
    17,
    FALSE
  ),
  0
)
"),0.0)</f>
        <v>0</v>
      </c>
      <c r="X44" s="9">
        <f t="shared" ref="X44:Y44" si="214">IFERROR(T44-V44,"-")</f>
        <v>0</v>
      </c>
      <c r="Y44" s="9">
        <f t="shared" si="214"/>
        <v>0</v>
      </c>
      <c r="Z44" s="65" t="str">
        <f>IFERROR(__xludf.DUMMYFUNCTION("IFERROR(
  VLOOKUP(
    A44,
    IMPORTRANGE(
      ""1ZHMy3vVUd_0MrSduXTe1etBb1HNpAlGwQr006ljwMiM"",
      ""GSC最新!A:R""
    ),
    9,
    FALSE
  ),
  0
)
"),"")</f>
        <v/>
      </c>
      <c r="AA44" s="65" t="str">
        <f>IFERROR(__xludf.DUMMYFUNCTION("IFERROR(
  VLOOKUP(
    A44,
    IMPORTRANGE(
      ""1ZHMy3vVUd_0MrSduXTe1etBb1HNpAlGwQr006ljwMiM"",
      ""GSC最新!A:R""
    ),
    12,
    FALSE
  ),
  0
)
"),"")</f>
        <v/>
      </c>
      <c r="AB44" s="65" t="str">
        <f>IFERROR(__xludf.DUMMYFUNCTION("IFERROR(
  VLOOKUP(
    A44,
    IMPORTRANGE(
      ""1ZHMy3vVUd_0MrSduXTe1etBb1HNpAlGwQr006ljwMiM"",
      ""GSC最新!A:R""
    ),
    15,
    FALSE
  ),
  0
)
"),"")</f>
        <v/>
      </c>
      <c r="AC44" s="65" t="str">
        <f>IFERROR(__xludf.DUMMYFUNCTION("IFERROR(
  VLOOKUP(
    A44,
    IMPORTRANGE(
      ""1ZHMy3vVUd_0MrSduXTe1etBb1HNpAlGwQr006ljwMiM"",
      ""GSC最新!A:R""
    ),
    18,
    FALSE
  ),
  0
)
"),"")</f>
        <v/>
      </c>
      <c r="AD44" s="65">
        <f t="shared" ref="AD44:AE44" si="215">Z44-AB44</f>
        <v>0</v>
      </c>
      <c r="AE44" s="65">
        <f t="shared" si="215"/>
        <v>0</v>
      </c>
      <c r="AF44" s="53">
        <f>IFERROR(__xludf.DUMMYFUNCTION("IFERROR(
  VLOOKUP(
    A44,
    IMPORTRANGE(
      ""1ZHMy3vVUd_0MrSduXTe1etBb1HNpAlGwQr006ljwMiM"",
      ""GSC最新!A:F""
    ),
    6,
    FALSE
  ),
  0
)
"),46081.0)</f>
        <v>46081</v>
      </c>
      <c r="AG44" s="54">
        <f>IFERROR(__xludf.DUMMYFUNCTION("IFERROR(
  VLOOKUP(
    A44,
    IMPORTRANGE(
      ""1SCYQd7_cobOYqT0r_F0IqD4tE4rYn5y8Eup4PJTH8es"",
      ""Snapshot!A:M""
    ),
    5,
    FALSE
  ),
  ""-""
)
"),0.0)</f>
        <v>0</v>
      </c>
      <c r="AH44" s="54">
        <f>IFERROR(__xludf.DUMMYFUNCTION("IFERROR(
  VLOOKUP(
    A44,
    IMPORTRANGE(
      ""1SCYQd7_cobOYqT0r_F0IqD4tE4rYn5y8Eup4PJTH8es"",
      ""Snapshot!A:M""
    ),
    6,
    FALSE
  ),
  0
)
"),0.0)</f>
        <v>0</v>
      </c>
      <c r="AI44" s="54">
        <f>IFERROR(__xludf.DUMMYFUNCTION("IFERROR(
  VLOOKUP(
    A44,
    IMPORTRANGE(
      ""1SCYQd7_cobOYqT0r_F0IqD4tE4rYn5y8Eup4PJTH8es"",
      ""Snapshot!A:M""
    ),
    7,
    FALSE
  ),
  0
)
"),482.0)</f>
        <v>482</v>
      </c>
      <c r="AJ44" s="54">
        <f>IFERROR(__xludf.DUMMYFUNCTION("IFERROR(
  VLOOKUP(
    A44,
    IMPORTRANGE(
      ""1SCYQd7_cobOYqT0r_F0IqD4tE4rYn5y8Eup4PJTH8es"",
      ""Snapshot!A:M""
    ),
    8,
    FALSE
  ),
  0
)
"),1.0)</f>
        <v>1</v>
      </c>
      <c r="AK44" s="54">
        <f>IFERROR(__xludf.DUMMYFUNCTION("IFERROR(
  VLOOKUP(
    A44,
    IMPORTRANGE(
      ""1SCYQd7_cobOYqT0r_F0IqD4tE4rYn5y8Eup4PJTH8es"",
      ""Snapshot!A:M""
    ),
    9,
    FALSE
  ),
  0
)
"),0.0)</f>
        <v>0</v>
      </c>
      <c r="AL44" s="54">
        <f>IFERROR(__xludf.DUMMYFUNCTION("IFERROR(
  VLOOKUP(
    A44,
    IMPORTRANGE(
      ""1SCYQd7_cobOYqT0r_F0IqD4tE4rYn5y8Eup4PJTH8es"",
      ""Snapshot!A:M""
    ),
    13,
    FALSE
  ),
  0
)
"),2.0)</f>
        <v>2</v>
      </c>
    </row>
    <row r="45">
      <c r="A45" s="3" t="s">
        <v>928</v>
      </c>
      <c r="B45" s="1" t="str">
        <f>IFERROR(__xludf.DUMMYFUNCTION("IFERROR(
  VLOOKUP(
    A45,
    IMPORTRANGE(
      ""1ZygntHC1J6IxzKbTidmOyf5nUyW4GCLurHCjexrLm_o"",
      ""HTMLキャッシュ!A:F""
    ),
    2,
    FALSE
  ),
  0
)
"),"NW")</f>
        <v>NW</v>
      </c>
      <c r="C45" s="49">
        <f t="shared" ref="C45:D45" si="216">LEN(E45)</f>
        <v>30</v>
      </c>
      <c r="D45" s="49">
        <f t="shared" si="216"/>
        <v>55</v>
      </c>
      <c r="E45" s="1" t="str">
        <f>IFERROR(__xludf.DUMMYFUNCTION("IFERROR(
  VLOOKUP(
    A45,
    IMPORTRANGE(
      ""1ZygntHC1J6IxzKbTidmOyf5nUyW4GCLurHCjexrLm_o"",
      ""HTMLキャッシュ!A:F""
    ),
    5,
    FALSE
  ),
  0
)
"),"2024年度冬期講習会のお知らせ - 古典専門塾 かきつばた")</f>
        <v>2024年度冬期講習会のお知らせ - 古典専門塾 かきつばた</v>
      </c>
      <c r="F45" s="1" t="str">
        <f>IFERROR(__xludf.DUMMYFUNCTION("IFERROR(
  VLOOKUP(
    A45,
    IMPORTRANGE(
      ""1ZygntHC1J6IxzKbTidmOyf5nUyW4GCLurHCjexrLm_o        "",
      ""HTMLキャッシュ!A:F""
    ),
    6,
    FALSE
  ),
  0
)
"),"弊塾では2024年度冬期講習会を実施いたします。現在当塾に通う塾生の皆さんはもちろん、普段は他塾に通われている")</f>
        <v>弊塾では2024年度冬期講習会を実施いたします。現在当塾に通う塾生の皆さんはもちろん、普段は他塾に通われている</v>
      </c>
      <c r="G45" s="32">
        <f>IFERROR(__xludf.DUMMYFUNCTION("IFERROR(
  VLOOKUP(
    A45,
    IMPORTRANGE(
      ""1ZygntHC1J6IxzKbTidmOyf5nUyW4GCLurHCjexrLm_o        "",
      ""HTMLキャッシュ!A:F""
    ),
    3,
    FALSE
  ),
  0
)
"),45638.85921296296)</f>
        <v>45638.85921</v>
      </c>
      <c r="H45" s="49">
        <f>IFERROR(__xludf.DUMMYFUNCTION("IFERROR(
  VLOOKUP(
    A45,
    IMPORTRANGE(
      ""1ZHMy3vVUd_0MrSduXTe1etBb1HNpAlGwQr006ljwMiM"",
      ""GSC最新!A:F""
    ),
    2,
    FALSE
  ),
  0
)
"),0.0)</f>
        <v>0</v>
      </c>
      <c r="I45" s="49">
        <f>IFERROR(__xludf.DUMMYFUNCTION("IFERROR(
  VLOOKUP(
    A45,
    IMPORTRANGE(
      ""1ZHMy3vVUd_0MrSduXTe1etBb1HNpAlGwQr006ljwMiM"",
      ""GSC最新!A:F""
    ),
    3,
    FALSE
  ),
  0
)
"),0.0)</f>
        <v>0</v>
      </c>
      <c r="J45" s="49">
        <f>IFERROR(__xludf.DUMMYFUNCTION("IFERROR(
  VLOOKUP(
    A45,
    IMPORTRANGE(
      ""1ZHMy3vVUd_0MrSduXTe1etBb1HNpAlGwQr006ljwMiM"",
      ""GSC最新!A:F""
    ),
    4,
    FALSE
  ),
  0
)
"),0.0)</f>
        <v>0</v>
      </c>
      <c r="K45" s="49">
        <f>IFERROR(__xludf.DUMMYFUNCTION("IFERROR(
  VLOOKUP(
    A45,
    IMPORTRANGE(
      ""1ZHMy3vVUd_0MrSduXTe1etBb1HNpAlGwQr006ljwMiM"",
      ""GSC最新!A:F""
    ),
    5,
    FALSE
  ),
  0
)
"),0.0)</f>
        <v>0</v>
      </c>
      <c r="L45" s="50" t="str">
        <f t="shared" ref="L45:M45" si="217">IFERROR(H45/J45,"-")</f>
        <v>-</v>
      </c>
      <c r="M45" s="50" t="str">
        <f t="shared" si="217"/>
        <v>-</v>
      </c>
      <c r="N45" s="6">
        <f>IFERROR(__xludf.DUMMYFUNCTION("IFERROR(
  VLOOKUP(
    A45,
    IMPORTRANGE(
      ""1ZHMy3vVUd_0MrSduXTe1etBb1HNpAlGwQr006ljwMiM"",
      ""GSC最新!A:R""
    ),
    7,
    FALSE
  ),
  0
)
"),2.0)</f>
        <v>2</v>
      </c>
      <c r="O45" s="6">
        <f>IFERROR(__xludf.DUMMYFUNCTION("IFERROR(
  VLOOKUP(
    A45,
    IMPORTRANGE(
      ""1ZHMy3vVUd_0MrSduXTe1etBb1HNpAlGwQr006ljwMiM"",
      ""GSC最新!A:R""
    ),
    10,
    FALSE
  ),
  0
)
"),6.0)</f>
        <v>6</v>
      </c>
      <c r="P45" s="6">
        <f>IFERROR(__xludf.DUMMYFUNCTION("IFERROR(
  VLOOKUP(
    A45,
    IMPORTRANGE(
      ""1ZHMy3vVUd_0MrSduXTe1etBb1HNpAlGwQr006ljwMiM"",
      ""GSC最新!A:R""
    ),
    13,
    FALSE
  ),
  0
)
"),0.0)</f>
        <v>0</v>
      </c>
      <c r="Q45" s="6">
        <f>IFERROR(__xludf.DUMMYFUNCTION("IFERROR(
  VLOOKUP(
    A45,
    IMPORTRANGE(
      ""1ZHMy3vVUd_0MrSduXTe1etBb1HNpAlGwQr006ljwMiM"",
      ""GSC最新!A:R""
    ),
    16,
    FALSE
  ),
  0
)
"),14.0)</f>
        <v>14</v>
      </c>
      <c r="R45" s="51" t="str">
        <f t="shared" ref="R45:S45" si="218">IFERROR(N45/P45,"-")</f>
        <v>-</v>
      </c>
      <c r="S45" s="51">
        <f t="shared" si="218"/>
        <v>0.4285714286</v>
      </c>
      <c r="T45" s="9">
        <f>IFERROR(__xludf.DUMMYFUNCTION("IFERROR(
  VLOOKUP(
    A45,
    IMPORTRANGE(
      ""1ZHMy3vVUd_0MrSduXTe1etBb1HNpAlGwQr006ljwMiM"",
      ""GSC最新!A:R""
    ),
    8,
    FALSE
  ),
  0
)
"),0.0)</f>
        <v>0</v>
      </c>
      <c r="U45" s="9">
        <f>IFERROR(__xludf.DUMMYFUNCTION("IFERROR(
  VLOOKUP(
    A45,
    IMPORTRANGE(
      ""1ZHMy3vVUd_0MrSduXTe1etBb1HNpAlGwQr006ljwMiM"",
      ""GSC最新!A:R""
    ),
    11,
    FALSE
  ),
  0
)
"),0.0)</f>
        <v>0</v>
      </c>
      <c r="V45" s="9">
        <f>IFERROR(__xludf.DUMMYFUNCTION("IFERROR(
  VLOOKUP(
    A45,
    IMPORTRANGE(
      ""1ZHMy3vVUd_0MrSduXTe1etBb1HNpAlGwQr006ljwMiM"",
      ""GSC最新!A:R""
    ),
    14,
    FALSE
  ),
  0
)
"),0.0)</f>
        <v>0</v>
      </c>
      <c r="W45" s="9">
        <f>IFERROR(__xludf.DUMMYFUNCTION("IFERROR(
  VLOOKUP(
    A45,
    IMPORTRANGE(
      ""1ZHMy3vVUd_0MrSduXTe1etBb1HNpAlGwQr006ljwMiM"",
      ""GSC最新!A:R""
    ),
    17,
    FALSE
  ),
  0
)
"),0.0)</f>
        <v>0</v>
      </c>
      <c r="X45" s="9">
        <f t="shared" ref="X45:Y45" si="219">IFERROR(T45-V45,"-")</f>
        <v>0</v>
      </c>
      <c r="Y45" s="9">
        <f t="shared" si="219"/>
        <v>0</v>
      </c>
      <c r="Z45" s="65">
        <f>IFERROR(__xludf.DUMMYFUNCTION("IFERROR(
  VLOOKUP(
    A45,
    IMPORTRANGE(
      ""1ZHMy3vVUd_0MrSduXTe1etBb1HNpAlGwQr006ljwMiM"",
      ""GSC最新!A:R""
    ),
    9,
    FALSE
  ),
  0
)
"),19.0)</f>
        <v>19</v>
      </c>
      <c r="AA45" s="65">
        <f>IFERROR(__xludf.DUMMYFUNCTION("IFERROR(
  VLOOKUP(
    A45,
    IMPORTRANGE(
      ""1ZHMy3vVUd_0MrSduXTe1etBb1HNpAlGwQr006ljwMiM"",
      ""GSC最新!A:R""
    ),
    12,
    FALSE
  ),
  0
)
"),43.666666666666664)</f>
        <v>43.66666667</v>
      </c>
      <c r="AB45" s="65" t="str">
        <f>IFERROR(__xludf.DUMMYFUNCTION("IFERROR(
  VLOOKUP(
    A45,
    IMPORTRANGE(
      ""1ZHMy3vVUd_0MrSduXTe1etBb1HNpAlGwQr006ljwMiM"",
      ""GSC最新!A:R""
    ),
    15,
    FALSE
  ),
  0
)
"),"")</f>
        <v/>
      </c>
      <c r="AC45" s="65">
        <f>IFERROR(__xludf.DUMMYFUNCTION("IFERROR(
  VLOOKUP(
    A45,
    IMPORTRANGE(
      ""1ZHMy3vVUd_0MrSduXTe1etBb1HNpAlGwQr006ljwMiM"",
      ""GSC最新!A:R""
    ),
    18,
    FALSE
  ),
  0
)
"),13.142857142857142)</f>
        <v>13.14285714</v>
      </c>
      <c r="AD45" s="65">
        <f t="shared" ref="AD45:AE45" si="220">Z45-AB45</f>
        <v>19</v>
      </c>
      <c r="AE45" s="65">
        <f t="shared" si="220"/>
        <v>30.52380952</v>
      </c>
      <c r="AF45" s="53">
        <f>IFERROR(__xludf.DUMMYFUNCTION("IFERROR(
  VLOOKUP(
    A45,
    IMPORTRANGE(
      ""1ZHMy3vVUd_0MrSduXTe1etBb1HNpAlGwQr006ljwMiM"",
      ""GSC最新!A:F""
    ),
    6,
    FALSE
  ),
  0
)
"),46081.0)</f>
        <v>46081</v>
      </c>
      <c r="AG45" s="54">
        <f>IFERROR(__xludf.DUMMYFUNCTION("IFERROR(
  VLOOKUP(
    A45,
    IMPORTRANGE(
      ""1SCYQd7_cobOYqT0r_F0IqD4tE4rYn5y8Eup4PJTH8es"",
      ""Snapshot!A:M""
    ),
    5,
    FALSE
  ),
  ""-""
)
"),0.0)</f>
        <v>0</v>
      </c>
      <c r="AH45" s="54">
        <f>IFERROR(__xludf.DUMMYFUNCTION("IFERROR(
  VLOOKUP(
    A45,
    IMPORTRANGE(
      ""1SCYQd7_cobOYqT0r_F0IqD4tE4rYn5y8Eup4PJTH8es"",
      ""Snapshot!A:M""
    ),
    6,
    FALSE
  ),
  0
)
"),0.0)</f>
        <v>0</v>
      </c>
      <c r="AI45" s="54">
        <f>IFERROR(__xludf.DUMMYFUNCTION("IFERROR(
  VLOOKUP(
    A45,
    IMPORTRANGE(
      ""1SCYQd7_cobOYqT0r_F0IqD4tE4rYn5y8Eup4PJTH8es"",
      ""Snapshot!A:M""
    ),
    7,
    FALSE
  ),
  0
)
"),474.0)</f>
        <v>474</v>
      </c>
      <c r="AJ45" s="54">
        <f>IFERROR(__xludf.DUMMYFUNCTION("IFERROR(
  VLOOKUP(
    A45,
    IMPORTRANGE(
      ""1SCYQd7_cobOYqT0r_F0IqD4tE4rYn5y8Eup4PJTH8es"",
      ""Snapshot!A:M""
    ),
    8,
    FALSE
  ),
  0
)
"),1.0)</f>
        <v>1</v>
      </c>
      <c r="AK45" s="54">
        <f>IFERROR(__xludf.DUMMYFUNCTION("IFERROR(
  VLOOKUP(
    A45,
    IMPORTRANGE(
      ""1SCYQd7_cobOYqT0r_F0IqD4tE4rYn5y8Eup4PJTH8es"",
      ""Snapshot!A:M""
    ),
    9,
    FALSE
  ),
  0
)
"),0.0)</f>
        <v>0</v>
      </c>
      <c r="AL45" s="54">
        <f>IFERROR(__xludf.DUMMYFUNCTION("IFERROR(
  VLOOKUP(
    A45,
    IMPORTRANGE(
      ""1SCYQd7_cobOYqT0r_F0IqD4tE4rYn5y8Eup4PJTH8es"",
      ""Snapshot!A:M""
    ),
    13,
    FALSE
  ),
  0
)
"),2.0)</f>
        <v>2</v>
      </c>
    </row>
    <row r="46">
      <c r="A46" s="3" t="s">
        <v>929</v>
      </c>
      <c r="B46" s="1" t="str">
        <f>IFERROR(__xludf.DUMMYFUNCTION("IFERROR(
  VLOOKUP(
    A46,
    IMPORTRANGE(
      ""1ZygntHC1J6IxzKbTidmOyf5nUyW4GCLurHCjexrLm_o"",
      ""HTMLキャッシュ!A:F""
    ),
    2,
    FALSE
  ),
  0
)
"),"NW")</f>
        <v>NW</v>
      </c>
      <c r="C46" s="49">
        <f t="shared" ref="C46:D46" si="221">LEN(E46)</f>
        <v>31</v>
      </c>
      <c r="D46" s="49">
        <f t="shared" si="221"/>
        <v>55</v>
      </c>
      <c r="E46" s="1" t="str">
        <f>IFERROR(__xludf.DUMMYFUNCTION("IFERROR(
  VLOOKUP(
    A46,
    IMPORTRANGE(
      ""1ZygntHC1J6IxzKbTidmOyf5nUyW4GCLurHCjexrLm_o"",
      ""HTMLキャッシュ!A:F""
    ),
    5,
    FALSE
  ),
  0
)
"),"2021年度夏期講習開催のお知らせ - 古典専門塾 かきつばた")</f>
        <v>2021年度夏期講習開催のお知らせ - 古典専門塾 かきつばた</v>
      </c>
      <c r="F46" s="1" t="str">
        <f>IFERROR(__xludf.DUMMYFUNCTION("IFERROR(
  VLOOKUP(
    A46,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G46" s="32">
        <f>IFERROR(__xludf.DUMMYFUNCTION("IFERROR(
  VLOOKUP(
    A46,
    IMPORTRANGE(
      ""1ZygntHC1J6IxzKbTidmOyf5nUyW4GCLurHCjexrLm_o        "",
      ""HTMLキャッシュ!A:F""
    ),
    3,
    FALSE
  ),
  0
)
"),44384.64239583333)</f>
        <v>44384.6424</v>
      </c>
      <c r="H46" s="49">
        <f>IFERROR(__xludf.DUMMYFUNCTION("IFERROR(
  VLOOKUP(
    A46,
    IMPORTRANGE(
      ""1ZHMy3vVUd_0MrSduXTe1etBb1HNpAlGwQr006ljwMiM"",
      ""GSC最新!A:F""
    ),
    2,
    FALSE
  ),
  0
)
"),0.0)</f>
        <v>0</v>
      </c>
      <c r="I46" s="49">
        <f>IFERROR(__xludf.DUMMYFUNCTION("IFERROR(
  VLOOKUP(
    A46,
    IMPORTRANGE(
      ""1ZHMy3vVUd_0MrSduXTe1etBb1HNpAlGwQr006ljwMiM"",
      ""GSC最新!A:F""
    ),
    3,
    FALSE
  ),
  0
)
"),0.0)</f>
        <v>0</v>
      </c>
      <c r="J46" s="49">
        <f>IFERROR(__xludf.DUMMYFUNCTION("IFERROR(
  VLOOKUP(
    A46,
    IMPORTRANGE(
      ""1ZHMy3vVUd_0MrSduXTe1etBb1HNpAlGwQr006ljwMiM"",
      ""GSC最新!A:F""
    ),
    4,
    FALSE
  ),
  0
)
"),0.0)</f>
        <v>0</v>
      </c>
      <c r="K46" s="49">
        <f>IFERROR(__xludf.DUMMYFUNCTION("IFERROR(
  VLOOKUP(
    A46,
    IMPORTRANGE(
      ""1ZHMy3vVUd_0MrSduXTe1etBb1HNpAlGwQr006ljwMiM"",
      ""GSC最新!A:F""
    ),
    5,
    FALSE
  ),
  0
)
"),0.0)</f>
        <v>0</v>
      </c>
      <c r="L46" s="50" t="str">
        <f t="shared" ref="L46:M46" si="222">IFERROR(H46/J46,"-")</f>
        <v>-</v>
      </c>
      <c r="M46" s="50" t="str">
        <f t="shared" si="222"/>
        <v>-</v>
      </c>
      <c r="N46" s="6">
        <f>IFERROR(__xludf.DUMMYFUNCTION("IFERROR(
  VLOOKUP(
    A46,
    IMPORTRANGE(
      ""1ZHMy3vVUd_0MrSduXTe1etBb1HNpAlGwQr006ljwMiM"",
      ""GSC最新!A:R""
    ),
    7,
    FALSE
  ),
  0
)
"),0.0)</f>
        <v>0</v>
      </c>
      <c r="O46" s="6">
        <f>IFERROR(__xludf.DUMMYFUNCTION("IFERROR(
  VLOOKUP(
    A46,
    IMPORTRANGE(
      ""1ZHMy3vVUd_0MrSduXTe1etBb1HNpAlGwQr006ljwMiM"",
      ""GSC最新!A:R""
    ),
    10,
    FALSE
  ),
  0
)
"),0.0)</f>
        <v>0</v>
      </c>
      <c r="P46" s="6">
        <f>IFERROR(__xludf.DUMMYFUNCTION("IFERROR(
  VLOOKUP(
    A46,
    IMPORTRANGE(
      ""1ZHMy3vVUd_0MrSduXTe1etBb1HNpAlGwQr006ljwMiM"",
      ""GSC最新!A:R""
    ),
    13,
    FALSE
  ),
  0
)
"),0.0)</f>
        <v>0</v>
      </c>
      <c r="Q46" s="6">
        <f>IFERROR(__xludf.DUMMYFUNCTION("IFERROR(
  VLOOKUP(
    A46,
    IMPORTRANGE(
      ""1ZHMy3vVUd_0MrSduXTe1etBb1HNpAlGwQr006ljwMiM"",
      ""GSC最新!A:R""
    ),
    16,
    FALSE
  ),
  0
)
"),4.0)</f>
        <v>4</v>
      </c>
      <c r="R46" s="51" t="str">
        <f t="shared" ref="R46:S46" si="223">IFERROR(N46/P46,"-")</f>
        <v>-</v>
      </c>
      <c r="S46" s="51">
        <f t="shared" si="223"/>
        <v>0</v>
      </c>
      <c r="T46" s="9">
        <f>IFERROR(__xludf.DUMMYFUNCTION("IFERROR(
  VLOOKUP(
    A46,
    IMPORTRANGE(
      ""1ZHMy3vVUd_0MrSduXTe1etBb1HNpAlGwQr006ljwMiM"",
      ""GSC最新!A:R""
    ),
    8,
    FALSE
  ),
  0
)
"),0.0)</f>
        <v>0</v>
      </c>
      <c r="U46" s="9">
        <f>IFERROR(__xludf.DUMMYFUNCTION("IFERROR(
  VLOOKUP(
    A46,
    IMPORTRANGE(
      ""1ZHMy3vVUd_0MrSduXTe1etBb1HNpAlGwQr006ljwMiM"",
      ""GSC最新!A:R""
    ),
    11,
    FALSE
  ),
  0
)
"),0.0)</f>
        <v>0</v>
      </c>
      <c r="V46" s="9">
        <f>IFERROR(__xludf.DUMMYFUNCTION("IFERROR(
  VLOOKUP(
    A46,
    IMPORTRANGE(
      ""1ZHMy3vVUd_0MrSduXTe1etBb1HNpAlGwQr006ljwMiM"",
      ""GSC最新!A:R""
    ),
    14,
    FALSE
  ),
  0
)
"),0.0)</f>
        <v>0</v>
      </c>
      <c r="W46" s="9">
        <f>IFERROR(__xludf.DUMMYFUNCTION("IFERROR(
  VLOOKUP(
    A46,
    IMPORTRANGE(
      ""1ZHMy3vVUd_0MrSduXTe1etBb1HNpAlGwQr006ljwMiM"",
      ""GSC最新!A:R""
    ),
    17,
    FALSE
  ),
  0
)
"),0.0)</f>
        <v>0</v>
      </c>
      <c r="X46" s="9">
        <f t="shared" ref="X46:Y46" si="224">IFERROR(T46-V46,"-")</f>
        <v>0</v>
      </c>
      <c r="Y46" s="9">
        <f t="shared" si="224"/>
        <v>0</v>
      </c>
      <c r="Z46" s="65" t="str">
        <f>IFERROR(__xludf.DUMMYFUNCTION("IFERROR(
  VLOOKUP(
    A46,
    IMPORTRANGE(
      ""1ZHMy3vVUd_0MrSduXTe1etBb1HNpAlGwQr006ljwMiM"",
      ""GSC最新!A:R""
    ),
    9,
    FALSE
  ),
  0
)
"),"")</f>
        <v/>
      </c>
      <c r="AA46" s="65" t="str">
        <f>IFERROR(__xludf.DUMMYFUNCTION("IFERROR(
  VLOOKUP(
    A46,
    IMPORTRANGE(
      ""1ZHMy3vVUd_0MrSduXTe1etBb1HNpAlGwQr006ljwMiM"",
      ""GSC最新!A:R""
    ),
    12,
    FALSE
  ),
  0
)
"),"")</f>
        <v/>
      </c>
      <c r="AB46" s="65" t="str">
        <f>IFERROR(__xludf.DUMMYFUNCTION("IFERROR(
  VLOOKUP(
    A46,
    IMPORTRANGE(
      ""1ZHMy3vVUd_0MrSduXTe1etBb1HNpAlGwQr006ljwMiM"",
      ""GSC最新!A:R""
    ),
    15,
    FALSE
  ),
  0
)
"),"")</f>
        <v/>
      </c>
      <c r="AC46" s="65">
        <f>IFERROR(__xludf.DUMMYFUNCTION("IFERROR(
  VLOOKUP(
    A46,
    IMPORTRANGE(
      ""1ZHMy3vVUd_0MrSduXTe1etBb1HNpAlGwQr006ljwMiM"",
      ""GSC最新!A:R""
    ),
    18,
    FALSE
  ),
  0
)
"),45.25)</f>
        <v>45.25</v>
      </c>
      <c r="AD46" s="65">
        <f t="shared" ref="AD46:AE46" si="225">Z46-AB46</f>
        <v>0</v>
      </c>
      <c r="AE46" s="65">
        <f t="shared" si="225"/>
        <v>-45.25</v>
      </c>
      <c r="AF46" s="53">
        <f>IFERROR(__xludf.DUMMYFUNCTION("IFERROR(
  VLOOKUP(
    A46,
    IMPORTRANGE(
      ""1ZHMy3vVUd_0MrSduXTe1etBb1HNpAlGwQr006ljwMiM"",
      ""GSC最新!A:F""
    ),
    6,
    FALSE
  ),
  0
)
"),46081.0)</f>
        <v>46081</v>
      </c>
      <c r="AG46" s="54">
        <f>IFERROR(__xludf.DUMMYFUNCTION("IFERROR(
  VLOOKUP(
    A46,
    IMPORTRANGE(
      ""1SCYQd7_cobOYqT0r_F0IqD4tE4rYn5y8Eup4PJTH8es"",
      ""Snapshot!A:M""
    ),
    5,
    FALSE
  ),
  ""-""
)
"),0.0)</f>
        <v>0</v>
      </c>
      <c r="AH46" s="54">
        <f>IFERROR(__xludf.DUMMYFUNCTION("IFERROR(
  VLOOKUP(
    A46,
    IMPORTRANGE(
      ""1SCYQd7_cobOYqT0r_F0IqD4tE4rYn5y8Eup4PJTH8es"",
      ""Snapshot!A:M""
    ),
    6,
    FALSE
  ),
  0
)
"),0.0)</f>
        <v>0</v>
      </c>
      <c r="AI46" s="54">
        <f>IFERROR(__xludf.DUMMYFUNCTION("IFERROR(
  VLOOKUP(
    A46,
    IMPORTRANGE(
      ""1SCYQd7_cobOYqT0r_F0IqD4tE4rYn5y8Eup4PJTH8es"",
      ""Snapshot!A:M""
    ),
    7,
    FALSE
  ),
  0
)
"),820.0)</f>
        <v>820</v>
      </c>
      <c r="AJ46" s="54">
        <f>IFERROR(__xludf.DUMMYFUNCTION("IFERROR(
  VLOOKUP(
    A46,
    IMPORTRANGE(
      ""1SCYQd7_cobOYqT0r_F0IqD4tE4rYn5y8Eup4PJTH8es"",
      ""Snapshot!A:M""
    ),
    8,
    FALSE
  ),
  0
)
"),1.0)</f>
        <v>1</v>
      </c>
      <c r="AK46" s="54">
        <f>IFERROR(__xludf.DUMMYFUNCTION("IFERROR(
  VLOOKUP(
    A46,
    IMPORTRANGE(
      ""1SCYQd7_cobOYqT0r_F0IqD4tE4rYn5y8Eup4PJTH8es"",
      ""Snapshot!A:M""
    ),
    9,
    FALSE
  ),
  0
)
"),0.0)</f>
        <v>0</v>
      </c>
      <c r="AL46" s="54">
        <f>IFERROR(__xludf.DUMMYFUNCTION("IFERROR(
  VLOOKUP(
    A46,
    IMPORTRANGE(
      ""1SCYQd7_cobOYqT0r_F0IqD4tE4rYn5y8Eup4PJTH8es"",
      ""Snapshot!A:M""
    ),
    13,
    FALSE
  ),
  0
)
"),2.0)</f>
        <v>2</v>
      </c>
    </row>
    <row r="47">
      <c r="A47" s="3" t="s">
        <v>930</v>
      </c>
      <c r="B47" s="1" t="str">
        <f>IFERROR(__xludf.DUMMYFUNCTION("IFERROR(
  VLOOKUP(
    A47,
    IMPORTRANGE(
      ""1ZygntHC1J6IxzKbTidmOyf5nUyW4GCLurHCjexrLm_o"",
      ""HTMLキャッシュ!A:F""
    ),
    2,
    FALSE
  ),
  0
)
"),"NW")</f>
        <v>NW</v>
      </c>
      <c r="C47" s="49">
        <f t="shared" ref="C47:D47" si="226">LEN(E47)</f>
        <v>31</v>
      </c>
      <c r="D47" s="49">
        <f t="shared" si="226"/>
        <v>55</v>
      </c>
      <c r="E47" s="1" t="str">
        <f>IFERROR(__xludf.DUMMYFUNCTION("IFERROR(
  VLOOKUP(
    A47,
    IMPORTRANGE(
      ""1ZygntHC1J6IxzKbTidmOyf5nUyW4GCLurHCjexrLm_o"",
      ""HTMLキャッシュ!A:F""
    ),
    5,
    FALSE
  ),
  0
)
"),"「英語教室サポート」開校のお知らせ - 古典専門塾 かきつばた")</f>
        <v>「英語教室サポート」開校のお知らせ - 古典専門塾 かきつばた</v>
      </c>
      <c r="F47" s="1" t="str">
        <f>IFERROR(__xludf.DUMMYFUNCTION("IFERROR(
  VLOOKUP(
    A47,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G47" s="32">
        <f>IFERROR(__xludf.DUMMYFUNCTION("IFERROR(
  VLOOKUP(
    A47,
    IMPORTRANGE(
      ""1ZygntHC1J6IxzKbTidmOyf5nUyW4GCLurHCjexrLm_o        "",
      ""HTMLキャッシュ!A:F""
    ),
    3,
    FALSE
  ),
  0
)
"),44292.459861111114)</f>
        <v>44292.45986</v>
      </c>
      <c r="H47" s="49">
        <f>IFERROR(__xludf.DUMMYFUNCTION("IFERROR(
  VLOOKUP(
    A47,
    IMPORTRANGE(
      ""1ZHMy3vVUd_0MrSduXTe1etBb1HNpAlGwQr006ljwMiM"",
      ""GSC最新!A:F""
    ),
    2,
    FALSE
  ),
  0
)
"),0.0)</f>
        <v>0</v>
      </c>
      <c r="I47" s="49">
        <f>IFERROR(__xludf.DUMMYFUNCTION("IFERROR(
  VLOOKUP(
    A47,
    IMPORTRANGE(
      ""1ZHMy3vVUd_0MrSduXTe1etBb1HNpAlGwQr006ljwMiM"",
      ""GSC最新!A:F""
    ),
    3,
    FALSE
  ),
  0
)
"),0.0)</f>
        <v>0</v>
      </c>
      <c r="J47" s="49">
        <f>IFERROR(__xludf.DUMMYFUNCTION("IFERROR(
  VLOOKUP(
    A47,
    IMPORTRANGE(
      ""1ZHMy3vVUd_0MrSduXTe1etBb1HNpAlGwQr006ljwMiM"",
      ""GSC最新!A:F""
    ),
    4,
    FALSE
  ),
  0
)
"),0.0)</f>
        <v>0</v>
      </c>
      <c r="K47" s="49">
        <f>IFERROR(__xludf.DUMMYFUNCTION("IFERROR(
  VLOOKUP(
    A47,
    IMPORTRANGE(
      ""1ZHMy3vVUd_0MrSduXTe1etBb1HNpAlGwQr006ljwMiM"",
      ""GSC最新!A:F""
    ),
    5,
    FALSE
  ),
  0
)
"),0.0)</f>
        <v>0</v>
      </c>
      <c r="L47" s="50" t="str">
        <f t="shared" ref="L47:M47" si="227">IFERROR(H47/J47,"-")</f>
        <v>-</v>
      </c>
      <c r="M47" s="50" t="str">
        <f t="shared" si="227"/>
        <v>-</v>
      </c>
      <c r="N47" s="6">
        <f>IFERROR(__xludf.DUMMYFUNCTION("IFERROR(
  VLOOKUP(
    A47,
    IMPORTRANGE(
      ""1ZHMy3vVUd_0MrSduXTe1etBb1HNpAlGwQr006ljwMiM"",
      ""GSC最新!A:R""
    ),
    7,
    FALSE
  ),
  0
)
"),0.0)</f>
        <v>0</v>
      </c>
      <c r="O47" s="6">
        <f>IFERROR(__xludf.DUMMYFUNCTION("IFERROR(
  VLOOKUP(
    A47,
    IMPORTRANGE(
      ""1ZHMy3vVUd_0MrSduXTe1etBb1HNpAlGwQr006ljwMiM"",
      ""GSC最新!A:R""
    ),
    10,
    FALSE
  ),
  0
)
"),0.0)</f>
        <v>0</v>
      </c>
      <c r="P47" s="6">
        <f>IFERROR(__xludf.DUMMYFUNCTION("IFERROR(
  VLOOKUP(
    A47,
    IMPORTRANGE(
      ""1ZHMy3vVUd_0MrSduXTe1etBb1HNpAlGwQr006ljwMiM"",
      ""GSC最新!A:R""
    ),
    13,
    FALSE
  ),
  0
)
"),1.0)</f>
        <v>1</v>
      </c>
      <c r="Q47" s="6">
        <f>IFERROR(__xludf.DUMMYFUNCTION("IFERROR(
  VLOOKUP(
    A47,
    IMPORTRANGE(
      ""1ZHMy3vVUd_0MrSduXTe1etBb1HNpAlGwQr006ljwMiM"",
      ""GSC最新!A:R""
    ),
    16,
    FALSE
  ),
  0
)
"),4.0)</f>
        <v>4</v>
      </c>
      <c r="R47" s="51">
        <f t="shared" ref="R47:S47" si="228">IFERROR(N47/P47,"-")</f>
        <v>0</v>
      </c>
      <c r="S47" s="51">
        <f t="shared" si="228"/>
        <v>0</v>
      </c>
      <c r="T47" s="9">
        <f>IFERROR(__xludf.DUMMYFUNCTION("IFERROR(
  VLOOKUP(
    A47,
    IMPORTRANGE(
      ""1ZHMy3vVUd_0MrSduXTe1etBb1HNpAlGwQr006ljwMiM"",
      ""GSC最新!A:R""
    ),
    8,
    FALSE
  ),
  0
)
"),0.0)</f>
        <v>0</v>
      </c>
      <c r="U47" s="9">
        <f>IFERROR(__xludf.DUMMYFUNCTION("IFERROR(
  VLOOKUP(
    A47,
    IMPORTRANGE(
      ""1ZHMy3vVUd_0MrSduXTe1etBb1HNpAlGwQr006ljwMiM"",
      ""GSC最新!A:R""
    ),
    11,
    FALSE
  ),
  0
)
"),0.0)</f>
        <v>0</v>
      </c>
      <c r="V47" s="9">
        <f>IFERROR(__xludf.DUMMYFUNCTION("IFERROR(
  VLOOKUP(
    A47,
    IMPORTRANGE(
      ""1ZHMy3vVUd_0MrSduXTe1etBb1HNpAlGwQr006ljwMiM"",
      ""GSC最新!A:R""
    ),
    14,
    FALSE
  ),
  0
)
"),0.0)</f>
        <v>0</v>
      </c>
      <c r="W47" s="9">
        <f>IFERROR(__xludf.DUMMYFUNCTION("IFERROR(
  VLOOKUP(
    A47,
    IMPORTRANGE(
      ""1ZHMy3vVUd_0MrSduXTe1etBb1HNpAlGwQr006ljwMiM"",
      ""GSC最新!A:R""
    ),
    17,
    FALSE
  ),
  0
)
"),0.0)</f>
        <v>0</v>
      </c>
      <c r="X47" s="9">
        <f t="shared" ref="X47:Y47" si="229">IFERROR(T47-V47,"-")</f>
        <v>0</v>
      </c>
      <c r="Y47" s="9">
        <f t="shared" si="229"/>
        <v>0</v>
      </c>
      <c r="Z47" s="65" t="str">
        <f>IFERROR(__xludf.DUMMYFUNCTION("IFERROR(
  VLOOKUP(
    A47,
    IMPORTRANGE(
      ""1ZHMy3vVUd_0MrSduXTe1etBb1HNpAlGwQr006ljwMiM"",
      ""GSC最新!A:R""
    ),
    9,
    FALSE
  ),
  0
)
"),"")</f>
        <v/>
      </c>
      <c r="AA47" s="65" t="str">
        <f>IFERROR(__xludf.DUMMYFUNCTION("IFERROR(
  VLOOKUP(
    A47,
    IMPORTRANGE(
      ""1ZHMy3vVUd_0MrSduXTe1etBb1HNpAlGwQr006ljwMiM"",
      ""GSC最新!A:R""
    ),
    12,
    FALSE
  ),
  0
)
"),"")</f>
        <v/>
      </c>
      <c r="AB47" s="65">
        <f>IFERROR(__xludf.DUMMYFUNCTION("IFERROR(
  VLOOKUP(
    A47,
    IMPORTRANGE(
      ""1ZHMy3vVUd_0MrSduXTe1etBb1HNpAlGwQr006ljwMiM"",
      ""GSC最新!A:R""
    ),
    15,
    FALSE
  ),
  0
)
"),8.0)</f>
        <v>8</v>
      </c>
      <c r="AC47" s="65">
        <f>IFERROR(__xludf.DUMMYFUNCTION("IFERROR(
  VLOOKUP(
    A47,
    IMPORTRANGE(
      ""1ZHMy3vVUd_0MrSduXTe1etBb1HNpAlGwQr006ljwMiM"",
      ""GSC最新!A:R""
    ),
    18,
    FALSE
  ),
  0
)
"),20.5)</f>
        <v>20.5</v>
      </c>
      <c r="AD47" s="65">
        <f t="shared" ref="AD47:AE47" si="230">Z47-AB47</f>
        <v>-8</v>
      </c>
      <c r="AE47" s="65">
        <f t="shared" si="230"/>
        <v>-20.5</v>
      </c>
      <c r="AF47" s="53">
        <f>IFERROR(__xludf.DUMMYFUNCTION("IFERROR(
  VLOOKUP(
    A47,
    IMPORTRANGE(
      ""1ZHMy3vVUd_0MrSduXTe1etBb1HNpAlGwQr006ljwMiM"",
      ""GSC最新!A:F""
    ),
    6,
    FALSE
  ),
  0
)
"),46081.0)</f>
        <v>46081</v>
      </c>
      <c r="AG47" s="54">
        <f>IFERROR(__xludf.DUMMYFUNCTION("IFERROR(
  VLOOKUP(
    A47,
    IMPORTRANGE(
      ""1SCYQd7_cobOYqT0r_F0IqD4tE4rYn5y8Eup4PJTH8es"",
      ""Snapshot!A:M""
    ),
    5,
    FALSE
  ),
  ""-""
)
"),0.0)</f>
        <v>0</v>
      </c>
      <c r="AH47" s="54">
        <f>IFERROR(__xludf.DUMMYFUNCTION("IFERROR(
  VLOOKUP(
    A47,
    IMPORTRANGE(
      ""1SCYQd7_cobOYqT0r_F0IqD4tE4rYn5y8Eup4PJTH8es"",
      ""Snapshot!A:M""
    ),
    6,
    FALSE
  ),
  0
)
"),0.0)</f>
        <v>0</v>
      </c>
      <c r="AI47" s="54">
        <f>IFERROR(__xludf.DUMMYFUNCTION("IFERROR(
  VLOOKUP(
    A47,
    IMPORTRANGE(
      ""1SCYQd7_cobOYqT0r_F0IqD4tE4rYn5y8Eup4PJTH8es"",
      ""Snapshot!A:M""
    ),
    7,
    FALSE
  ),
  0
)
"),120.0)</f>
        <v>120</v>
      </c>
      <c r="AJ47" s="54">
        <f>IFERROR(__xludf.DUMMYFUNCTION("IFERROR(
  VLOOKUP(
    A47,
    IMPORTRANGE(
      ""1SCYQd7_cobOYqT0r_F0IqD4tE4rYn5y8Eup4PJTH8es"",
      ""Snapshot!A:M""
    ),
    8,
    FALSE
  ),
  0
)
"),0.0)</f>
        <v>0</v>
      </c>
      <c r="AK47" s="54">
        <f>IFERROR(__xludf.DUMMYFUNCTION("IFERROR(
  VLOOKUP(
    A47,
    IMPORTRANGE(
      ""1SCYQd7_cobOYqT0r_F0IqD4tE4rYn5y8Eup4PJTH8es"",
      ""Snapshot!A:M""
    ),
    9,
    FALSE
  ),
  0
)
"),0.0)</f>
        <v>0</v>
      </c>
      <c r="AL47" s="54">
        <f>IFERROR(__xludf.DUMMYFUNCTION("IFERROR(
  VLOOKUP(
    A47,
    IMPORTRANGE(
      ""1SCYQd7_cobOYqT0r_F0IqD4tE4rYn5y8Eup4PJTH8es"",
      ""Snapshot!A:M""
    ),
    13,
    FALSE
  ),
  0
)
"),2.0)</f>
        <v>2</v>
      </c>
    </row>
    <row r="48">
      <c r="A48" s="1" t="s">
        <v>931</v>
      </c>
      <c r="B48" s="1" t="str">
        <f>IFERROR(__xludf.DUMMYFUNCTION("IFERROR(
  VLOOKUP(
    A48,
    IMPORTRANGE(
      ""1ZygntHC1J6IxzKbTidmOyf5nUyW4GCLurHCjexrLm_o"",
      ""HTMLキャッシュ!A:F""
    ),
    2,
    FALSE
  ),
  0
)
"),"NW")</f>
        <v>NW</v>
      </c>
      <c r="C48" s="49">
        <f t="shared" ref="C48:D48" si="231">LEN(E48)</f>
        <v>31</v>
      </c>
      <c r="D48" s="49">
        <f t="shared" si="231"/>
        <v>55</v>
      </c>
      <c r="E48" s="1" t="str">
        <f>IFERROR(__xludf.DUMMYFUNCTION("IFERROR(
  VLOOKUP(
    A48,
    IMPORTRANGE(
      ""1ZygntHC1J6IxzKbTidmOyf5nUyW4GCLurHCjexrLm_o"",
      ""HTMLキャッシュ!A:F""
    ),
    5,
    FALSE
  ),
  0
)
"),"2023年度夏期講習開催のお知らせ - 古典専門塾 かきつばた")</f>
        <v>2023年度夏期講習開催のお知らせ - 古典専門塾 かきつばた</v>
      </c>
      <c r="F48" s="1" t="str">
        <f>IFERROR(__xludf.DUMMYFUNCTION("IFERROR(
  VLOOKUP(
    A48,
    IMPORTRANGE(
      ""1ZygntHC1J6IxzKbTidmOyf5nUyW4GCLurHCjexrLm_o        "",
      ""HTMLキャッシュ!A:F""
    ),
    6,
    FALSE
  ),
  0
)
"),"夏休みは、受験生にとってはまさに天王山、受験を1年以上先に控えるお子様にとっても、日頃忙しくて取り組めない課題")</f>
        <v>夏休みは、受験生にとってはまさに天王山、受験を1年以上先に控えるお子様にとっても、日頃忙しくて取り組めない課題</v>
      </c>
      <c r="G48" s="32">
        <f>IFERROR(__xludf.DUMMYFUNCTION("IFERROR(
  VLOOKUP(
    A48,
    IMPORTRANGE(
      ""1ZygntHC1J6IxzKbTidmOyf5nUyW4GCLurHCjexrLm_o        "",
      ""HTMLキャッシュ!A:F""
    ),
    3,
    FALSE
  ),
  0
)
"),45592.8578587963)</f>
        <v>45592.85786</v>
      </c>
      <c r="H48" s="49">
        <f>IFERROR(__xludf.DUMMYFUNCTION("IFERROR(
  VLOOKUP(
    A48,
    IMPORTRANGE(
      ""1ZHMy3vVUd_0MrSduXTe1etBb1HNpAlGwQr006ljwMiM"",
      ""GSC最新!A:F""
    ),
    2,
    FALSE
  ),
  0
)
"),0.0)</f>
        <v>0</v>
      </c>
      <c r="I48" s="49">
        <f>IFERROR(__xludf.DUMMYFUNCTION("IFERROR(
  VLOOKUP(
    A48,
    IMPORTRANGE(
      ""1ZHMy3vVUd_0MrSduXTe1etBb1HNpAlGwQr006ljwMiM"",
      ""GSC最新!A:F""
    ),
    3,
    FALSE
  ),
  0
)
"),0.0)</f>
        <v>0</v>
      </c>
      <c r="J48" s="49">
        <f>IFERROR(__xludf.DUMMYFUNCTION("IFERROR(
  VLOOKUP(
    A48,
    IMPORTRANGE(
      ""1ZHMy3vVUd_0MrSduXTe1etBb1HNpAlGwQr006ljwMiM"",
      ""GSC最新!A:F""
    ),
    4,
    FALSE
  ),
  0
)
"),0.0)</f>
        <v>0</v>
      </c>
      <c r="K48" s="49">
        <f>IFERROR(__xludf.DUMMYFUNCTION("IFERROR(
  VLOOKUP(
    A48,
    IMPORTRANGE(
      ""1ZHMy3vVUd_0MrSduXTe1etBb1HNpAlGwQr006ljwMiM"",
      ""GSC最新!A:F""
    ),
    5,
    FALSE
  ),
  0
)
"),0.0)</f>
        <v>0</v>
      </c>
      <c r="L48" s="50" t="str">
        <f t="shared" ref="L48:M48" si="232">IFERROR(H48/J48,"-")</f>
        <v>-</v>
      </c>
      <c r="M48" s="50" t="str">
        <f t="shared" si="232"/>
        <v>-</v>
      </c>
      <c r="N48" s="6">
        <f>IFERROR(__xludf.DUMMYFUNCTION("IFERROR(
  VLOOKUP(
    A48,
    IMPORTRANGE(
      ""1ZHMy3vVUd_0MrSduXTe1etBb1HNpAlGwQr006ljwMiM"",
      ""GSC最新!A:R""
    ),
    7,
    FALSE
  ),
  0
)
"),0.0)</f>
        <v>0</v>
      </c>
      <c r="O48" s="6">
        <f>IFERROR(__xludf.DUMMYFUNCTION("IFERROR(
  VLOOKUP(
    A48,
    IMPORTRANGE(
      ""1ZHMy3vVUd_0MrSduXTe1etBb1HNpAlGwQr006ljwMiM"",
      ""GSC最新!A:R""
    ),
    10,
    FALSE
  ),
  0
)
"),0.0)</f>
        <v>0</v>
      </c>
      <c r="P48" s="6">
        <f>IFERROR(__xludf.DUMMYFUNCTION("IFERROR(
  VLOOKUP(
    A48,
    IMPORTRANGE(
      ""1ZHMy3vVUd_0MrSduXTe1etBb1HNpAlGwQr006ljwMiM"",
      ""GSC最新!A:R""
    ),
    13,
    FALSE
  ),
  0
)
"),0.0)</f>
        <v>0</v>
      </c>
      <c r="Q48" s="6">
        <f>IFERROR(__xludf.DUMMYFUNCTION("IFERROR(
  VLOOKUP(
    A48,
    IMPORTRANGE(
      ""1ZHMy3vVUd_0MrSduXTe1etBb1HNpAlGwQr006ljwMiM"",
      ""GSC最新!A:R""
    ),
    16,
    FALSE
  ),
  0
)
"),0.0)</f>
        <v>0</v>
      </c>
      <c r="R48" s="51" t="str">
        <f t="shared" ref="R48:S48" si="233">IFERROR(N48/P48,"-")</f>
        <v>-</v>
      </c>
      <c r="S48" s="51" t="str">
        <f t="shared" si="233"/>
        <v>-</v>
      </c>
      <c r="T48" s="9">
        <f>IFERROR(__xludf.DUMMYFUNCTION("IFERROR(
  VLOOKUP(
    A48,
    IMPORTRANGE(
      ""1ZHMy3vVUd_0MrSduXTe1etBb1HNpAlGwQr006ljwMiM"",
      ""GSC最新!A:R""
    ),
    8,
    FALSE
  ),
  0
)
"),0.0)</f>
        <v>0</v>
      </c>
      <c r="U48" s="9">
        <f>IFERROR(__xludf.DUMMYFUNCTION("IFERROR(
  VLOOKUP(
    A48,
    IMPORTRANGE(
      ""1ZHMy3vVUd_0MrSduXTe1etBb1HNpAlGwQr006ljwMiM"",
      ""GSC最新!A:R""
    ),
    11,
    FALSE
  ),
  0
)
"),0.0)</f>
        <v>0</v>
      </c>
      <c r="V48" s="9">
        <f>IFERROR(__xludf.DUMMYFUNCTION("IFERROR(
  VLOOKUP(
    A48,
    IMPORTRANGE(
      ""1ZHMy3vVUd_0MrSduXTe1etBb1HNpAlGwQr006ljwMiM"",
      ""GSC最新!A:R""
    ),
    14,
    FALSE
  ),
  0
)
"),0.0)</f>
        <v>0</v>
      </c>
      <c r="W48" s="9">
        <f>IFERROR(__xludf.DUMMYFUNCTION("IFERROR(
  VLOOKUP(
    A48,
    IMPORTRANGE(
      ""1ZHMy3vVUd_0MrSduXTe1etBb1HNpAlGwQr006ljwMiM"",
      ""GSC最新!A:R""
    ),
    17,
    FALSE
  ),
  0
)
"),0.0)</f>
        <v>0</v>
      </c>
      <c r="X48" s="9">
        <f t="shared" ref="X48:Y48" si="234">IFERROR(T48-V48,"-")</f>
        <v>0</v>
      </c>
      <c r="Y48" s="9">
        <f t="shared" si="234"/>
        <v>0</v>
      </c>
      <c r="Z48" s="65" t="str">
        <f>IFERROR(__xludf.DUMMYFUNCTION("IFERROR(
  VLOOKUP(
    A48,
    IMPORTRANGE(
      ""1ZHMy3vVUd_0MrSduXTe1etBb1HNpAlGwQr006ljwMiM"",
      ""GSC最新!A:R""
    ),
    9,
    FALSE
  ),
  0
)
"),"")</f>
        <v/>
      </c>
      <c r="AA48" s="65" t="str">
        <f>IFERROR(__xludf.DUMMYFUNCTION("IFERROR(
  VLOOKUP(
    A48,
    IMPORTRANGE(
      ""1ZHMy3vVUd_0MrSduXTe1etBb1HNpAlGwQr006ljwMiM"",
      ""GSC最新!A:R""
    ),
    12,
    FALSE
  ),
  0
)
"),"")</f>
        <v/>
      </c>
      <c r="AB48" s="65" t="str">
        <f>IFERROR(__xludf.DUMMYFUNCTION("IFERROR(
  VLOOKUP(
    A48,
    IMPORTRANGE(
      ""1ZHMy3vVUd_0MrSduXTe1etBb1HNpAlGwQr006ljwMiM"",
      ""GSC最新!A:R""
    ),
    15,
    FALSE
  ),
  0
)
"),"")</f>
        <v/>
      </c>
      <c r="AC48" s="65" t="str">
        <f>IFERROR(__xludf.DUMMYFUNCTION("IFERROR(
  VLOOKUP(
    A48,
    IMPORTRANGE(
      ""1ZHMy3vVUd_0MrSduXTe1etBb1HNpAlGwQr006ljwMiM"",
      ""GSC最新!A:R""
    ),
    18,
    FALSE
  ),
  0
)
"),"")</f>
        <v/>
      </c>
      <c r="AD48" s="65">
        <f t="shared" ref="AD48:AE48" si="235">Z48-AB48</f>
        <v>0</v>
      </c>
      <c r="AE48" s="65">
        <f t="shared" si="235"/>
        <v>0</v>
      </c>
      <c r="AF48" s="53">
        <f>IFERROR(__xludf.DUMMYFUNCTION("IFERROR(
  VLOOKUP(
    A48,
    IMPORTRANGE(
      ""1ZHMy3vVUd_0MrSduXTe1etBb1HNpAlGwQr006ljwMiM"",
      ""GSC最新!A:F""
    ),
    6,
    FALSE
  ),
  0
)
"),46081.0)</f>
        <v>46081</v>
      </c>
      <c r="AG48" s="54">
        <f>IFERROR(__xludf.DUMMYFUNCTION("IFERROR(
  VLOOKUP(
    A48,
    IMPORTRANGE(
      ""1SCYQd7_cobOYqT0r_F0IqD4tE4rYn5y8Eup4PJTH8es"",
      ""Snapshot!A:M""
    ),
    5,
    FALSE
  ),
  ""-""
)
"),0.0)</f>
        <v>0</v>
      </c>
      <c r="AH48" s="54">
        <f>IFERROR(__xludf.DUMMYFUNCTION("IFERROR(
  VLOOKUP(
    A48,
    IMPORTRANGE(
      ""1SCYQd7_cobOYqT0r_F0IqD4tE4rYn5y8Eup4PJTH8es"",
      ""Snapshot!A:M""
    ),
    6,
    FALSE
  ),
  0
)
"),0.0)</f>
        <v>0</v>
      </c>
      <c r="AI48" s="54">
        <f>IFERROR(__xludf.DUMMYFUNCTION("IFERROR(
  VLOOKUP(
    A48,
    IMPORTRANGE(
      ""1SCYQd7_cobOYqT0r_F0IqD4tE4rYn5y8Eup4PJTH8es"",
      ""Snapshot!A:M""
    ),
    7,
    FALSE
  ),
  0
)
"),618.0)</f>
        <v>618</v>
      </c>
      <c r="AJ48" s="54">
        <f>IFERROR(__xludf.DUMMYFUNCTION("IFERROR(
  VLOOKUP(
    A48,
    IMPORTRANGE(
      ""1SCYQd7_cobOYqT0r_F0IqD4tE4rYn5y8Eup4PJTH8es"",
      ""Snapshot!A:M""
    ),
    8,
    FALSE
  ),
  0
)
"),1.0)</f>
        <v>1</v>
      </c>
      <c r="AK48" s="54">
        <f>IFERROR(__xludf.DUMMYFUNCTION("IFERROR(
  VLOOKUP(
    A48,
    IMPORTRANGE(
      ""1SCYQd7_cobOYqT0r_F0IqD4tE4rYn5y8Eup4PJTH8es"",
      ""Snapshot!A:M""
    ),
    9,
    FALSE
  ),
  0
)
"),0.0)</f>
        <v>0</v>
      </c>
      <c r="AL48" s="54">
        <f>IFERROR(__xludf.DUMMYFUNCTION("IFERROR(
  VLOOKUP(
    A48,
    IMPORTRANGE(
      ""1SCYQd7_cobOYqT0r_F0IqD4tE4rYn5y8Eup4PJTH8es"",
      ""Snapshot!A:M""
    ),
    13,
    FALSE
  ),
  0
)
"),2.0)</f>
        <v>2</v>
      </c>
    </row>
    <row r="49">
      <c r="A49" s="1" t="s">
        <v>932</v>
      </c>
      <c r="B49" s="1" t="str">
        <f>IFERROR(__xludf.DUMMYFUNCTION("IFERROR(
  VLOOKUP(
    A49,
    IMPORTRANGE(
      ""1ZygntHC1J6IxzKbTidmOyf5nUyW4GCLurHCjexrLm_o"",
      ""HTMLキャッシュ!A:F""
    ),
    2,
    FALSE
  ),
  0
)
"),"NW")</f>
        <v>NW</v>
      </c>
      <c r="C49" s="49">
        <f t="shared" ref="C49:D49" si="236">LEN(E49)</f>
        <v>31</v>
      </c>
      <c r="D49" s="49">
        <f t="shared" si="236"/>
        <v>55</v>
      </c>
      <c r="E49" s="1" t="str">
        <f>IFERROR(__xludf.DUMMYFUNCTION("IFERROR(
  VLOOKUP(
    A49,
    IMPORTRANGE(
      ""1ZygntHC1J6IxzKbTidmOyf5nUyW4GCLurHCjexrLm_o"",
      ""HTMLキャッシュ!A:F""
    ),
    5,
    FALSE
  ),
  0
)
"),"2022年度冬期講習開講のお知らせ - 古典専門塾 かきつばた")</f>
        <v>2022年度冬期講習開講のお知らせ - 古典専門塾 かきつばた</v>
      </c>
      <c r="F49" s="1" t="str">
        <f>IFERROR(__xludf.DUMMYFUNCTION("IFERROR(
  VLOOKUP(
    A49,
    IMPORTRANGE(
      ""1ZygntHC1J6IxzKbTidmOyf5nUyW4GCLurHCjexrLm_o        "",
      ""HTMLキャッシュ!A:F""
    ),
    6,
    FALSE
  ),
  0
)
"),"弊塾では2022年度冬期講習会を実施いたします。現在当塾に通う塾生の皆さんはもちろん、普段は他塾に通われている")</f>
        <v>弊塾では2022年度冬期講習会を実施いたします。現在当塾に通う塾生の皆さんはもちろん、普段は他塾に通われている</v>
      </c>
      <c r="G49" s="32">
        <f>IFERROR(__xludf.DUMMYFUNCTION("IFERROR(
  VLOOKUP(
    A49,
    IMPORTRANGE(
      ""1ZygntHC1J6IxzKbTidmOyf5nUyW4GCLurHCjexrLm_o        "",
      ""HTMLキャッシュ!A:F""
    ),
    3,
    FALSE
  ),
  0
)
"),45592.85150462963)</f>
        <v>45592.8515</v>
      </c>
      <c r="H49" s="49">
        <f>IFERROR(__xludf.DUMMYFUNCTION("IFERROR(
  VLOOKUP(
    A49,
    IMPORTRANGE(
      ""1ZHMy3vVUd_0MrSduXTe1etBb1HNpAlGwQr006ljwMiM"",
      ""GSC最新!A:F""
    ),
    2,
    FALSE
  ),
  0
)
"),0.0)</f>
        <v>0</v>
      </c>
      <c r="I49" s="49">
        <f>IFERROR(__xludf.DUMMYFUNCTION("IFERROR(
  VLOOKUP(
    A49,
    IMPORTRANGE(
      ""1ZHMy3vVUd_0MrSduXTe1etBb1HNpAlGwQr006ljwMiM"",
      ""GSC最新!A:F""
    ),
    3,
    FALSE
  ),
  0
)
"),0.0)</f>
        <v>0</v>
      </c>
      <c r="J49" s="49">
        <f>IFERROR(__xludf.DUMMYFUNCTION("IFERROR(
  VLOOKUP(
    A49,
    IMPORTRANGE(
      ""1ZHMy3vVUd_0MrSduXTe1etBb1HNpAlGwQr006ljwMiM"",
      ""GSC最新!A:F""
    ),
    4,
    FALSE
  ),
  0
)
"),0.0)</f>
        <v>0</v>
      </c>
      <c r="K49" s="49">
        <f>IFERROR(__xludf.DUMMYFUNCTION("IFERROR(
  VLOOKUP(
    A49,
    IMPORTRANGE(
      ""1ZHMy3vVUd_0MrSduXTe1etBb1HNpAlGwQr006ljwMiM"",
      ""GSC最新!A:F""
    ),
    5,
    FALSE
  ),
  0
)
"),0.0)</f>
        <v>0</v>
      </c>
      <c r="L49" s="50" t="str">
        <f t="shared" ref="L49:M49" si="237">IFERROR(H49/J49,"-")</f>
        <v>-</v>
      </c>
      <c r="M49" s="50" t="str">
        <f t="shared" si="237"/>
        <v>-</v>
      </c>
      <c r="N49" s="6">
        <f>IFERROR(__xludf.DUMMYFUNCTION("IFERROR(
  VLOOKUP(
    A49,
    IMPORTRANGE(
      ""1ZHMy3vVUd_0MrSduXTe1etBb1HNpAlGwQr006ljwMiM"",
      ""GSC最新!A:R""
    ),
    7,
    FALSE
  ),
  0
)
"),0.0)</f>
        <v>0</v>
      </c>
      <c r="O49" s="6">
        <f>IFERROR(__xludf.DUMMYFUNCTION("IFERROR(
  VLOOKUP(
    A49,
    IMPORTRANGE(
      ""1ZHMy3vVUd_0MrSduXTe1etBb1HNpAlGwQr006ljwMiM"",
      ""GSC最新!A:R""
    ),
    10,
    FALSE
  ),
  0
)
"),0.0)</f>
        <v>0</v>
      </c>
      <c r="P49" s="6">
        <f>IFERROR(__xludf.DUMMYFUNCTION("IFERROR(
  VLOOKUP(
    A49,
    IMPORTRANGE(
      ""1ZHMy3vVUd_0MrSduXTe1etBb1HNpAlGwQr006ljwMiM"",
      ""GSC最新!A:R""
    ),
    13,
    FALSE
  ),
  0
)
"),0.0)</f>
        <v>0</v>
      </c>
      <c r="Q49" s="6">
        <f>IFERROR(__xludf.DUMMYFUNCTION("IFERROR(
  VLOOKUP(
    A49,
    IMPORTRANGE(
      ""1ZHMy3vVUd_0MrSduXTe1etBb1HNpAlGwQr006ljwMiM"",
      ""GSC最新!A:R""
    ),
    16,
    FALSE
  ),
  0
)
"),0.0)</f>
        <v>0</v>
      </c>
      <c r="R49" s="51" t="str">
        <f t="shared" ref="R49:S49" si="238">IFERROR(N49/P49,"-")</f>
        <v>-</v>
      </c>
      <c r="S49" s="51" t="str">
        <f t="shared" si="238"/>
        <v>-</v>
      </c>
      <c r="T49" s="9">
        <f>IFERROR(__xludf.DUMMYFUNCTION("IFERROR(
  VLOOKUP(
    A49,
    IMPORTRANGE(
      ""1ZHMy3vVUd_0MrSduXTe1etBb1HNpAlGwQr006ljwMiM"",
      ""GSC最新!A:R""
    ),
    8,
    FALSE
  ),
  0
)
"),0.0)</f>
        <v>0</v>
      </c>
      <c r="U49" s="9">
        <f>IFERROR(__xludf.DUMMYFUNCTION("IFERROR(
  VLOOKUP(
    A49,
    IMPORTRANGE(
      ""1ZHMy3vVUd_0MrSduXTe1etBb1HNpAlGwQr006ljwMiM"",
      ""GSC最新!A:R""
    ),
    11,
    FALSE
  ),
  0
)
"),0.0)</f>
        <v>0</v>
      </c>
      <c r="V49" s="9">
        <f>IFERROR(__xludf.DUMMYFUNCTION("IFERROR(
  VLOOKUP(
    A49,
    IMPORTRANGE(
      ""1ZHMy3vVUd_0MrSduXTe1etBb1HNpAlGwQr006ljwMiM"",
      ""GSC最新!A:R""
    ),
    14,
    FALSE
  ),
  0
)
"),0.0)</f>
        <v>0</v>
      </c>
      <c r="W49" s="9">
        <f>IFERROR(__xludf.DUMMYFUNCTION("IFERROR(
  VLOOKUP(
    A49,
    IMPORTRANGE(
      ""1ZHMy3vVUd_0MrSduXTe1etBb1HNpAlGwQr006ljwMiM"",
      ""GSC最新!A:R""
    ),
    17,
    FALSE
  ),
  0
)
"),0.0)</f>
        <v>0</v>
      </c>
      <c r="X49" s="9">
        <f t="shared" ref="X49:Y49" si="239">IFERROR(T49-V49,"-")</f>
        <v>0</v>
      </c>
      <c r="Y49" s="9">
        <f t="shared" si="239"/>
        <v>0</v>
      </c>
      <c r="Z49" s="65" t="str">
        <f>IFERROR(__xludf.DUMMYFUNCTION("IFERROR(
  VLOOKUP(
    A49,
    IMPORTRANGE(
      ""1ZHMy3vVUd_0MrSduXTe1etBb1HNpAlGwQr006ljwMiM"",
      ""GSC最新!A:R""
    ),
    9,
    FALSE
  ),
  0
)
"),"")</f>
        <v/>
      </c>
      <c r="AA49" s="65" t="str">
        <f>IFERROR(__xludf.DUMMYFUNCTION("IFERROR(
  VLOOKUP(
    A49,
    IMPORTRANGE(
      ""1ZHMy3vVUd_0MrSduXTe1etBb1HNpAlGwQr006ljwMiM"",
      ""GSC最新!A:R""
    ),
    12,
    FALSE
  ),
  0
)
"),"")</f>
        <v/>
      </c>
      <c r="AB49" s="65" t="str">
        <f>IFERROR(__xludf.DUMMYFUNCTION("IFERROR(
  VLOOKUP(
    A49,
    IMPORTRANGE(
      ""1ZHMy3vVUd_0MrSduXTe1etBb1HNpAlGwQr006ljwMiM"",
      ""GSC最新!A:R""
    ),
    15,
    FALSE
  ),
  0
)
"),"")</f>
        <v/>
      </c>
      <c r="AC49" s="65" t="str">
        <f>IFERROR(__xludf.DUMMYFUNCTION("IFERROR(
  VLOOKUP(
    A49,
    IMPORTRANGE(
      ""1ZHMy3vVUd_0MrSduXTe1etBb1HNpAlGwQr006ljwMiM"",
      ""GSC最新!A:R""
    ),
    18,
    FALSE
  ),
  0
)
"),"")</f>
        <v/>
      </c>
      <c r="AD49" s="65">
        <f t="shared" ref="AD49:AE49" si="240">Z49-AB49</f>
        <v>0</v>
      </c>
      <c r="AE49" s="65">
        <f t="shared" si="240"/>
        <v>0</v>
      </c>
      <c r="AF49" s="53">
        <f>IFERROR(__xludf.DUMMYFUNCTION("IFERROR(
  VLOOKUP(
    A49,
    IMPORTRANGE(
      ""1ZHMy3vVUd_0MrSduXTe1etBb1HNpAlGwQr006ljwMiM"",
      ""GSC最新!A:F""
    ),
    6,
    FALSE
  ),
  0
)
"),46081.0)</f>
        <v>46081</v>
      </c>
      <c r="AG49" s="54">
        <f>IFERROR(__xludf.DUMMYFUNCTION("IFERROR(
  VLOOKUP(
    A49,
    IMPORTRANGE(
      ""1SCYQd7_cobOYqT0r_F0IqD4tE4rYn5y8Eup4PJTH8es"",
      ""Snapshot!A:M""
    ),
    5,
    FALSE
  ),
  ""-""
)
"),0.0)</f>
        <v>0</v>
      </c>
      <c r="AH49" s="54">
        <f>IFERROR(__xludf.DUMMYFUNCTION("IFERROR(
  VLOOKUP(
    A49,
    IMPORTRANGE(
      ""1SCYQd7_cobOYqT0r_F0IqD4tE4rYn5y8Eup4PJTH8es"",
      ""Snapshot!A:M""
    ),
    6,
    FALSE
  ),
  0
)
"),0.0)</f>
        <v>0</v>
      </c>
      <c r="AI49" s="54">
        <f>IFERROR(__xludf.DUMMYFUNCTION("IFERROR(
  VLOOKUP(
    A49,
    IMPORTRANGE(
      ""1SCYQd7_cobOYqT0r_F0IqD4tE4rYn5y8Eup4PJTH8es"",
      ""Snapshot!A:M""
    ),
    7,
    FALSE
  ),
  0
)
"),482.0)</f>
        <v>482</v>
      </c>
      <c r="AJ49" s="54">
        <f>IFERROR(__xludf.DUMMYFUNCTION("IFERROR(
  VLOOKUP(
    A49,
    IMPORTRANGE(
      ""1SCYQd7_cobOYqT0r_F0IqD4tE4rYn5y8Eup4PJTH8es"",
      ""Snapshot!A:M""
    ),
    8,
    FALSE
  ),
  0
)
"),1.0)</f>
        <v>1</v>
      </c>
      <c r="AK49" s="54">
        <f>IFERROR(__xludf.DUMMYFUNCTION("IFERROR(
  VLOOKUP(
    A49,
    IMPORTRANGE(
      ""1SCYQd7_cobOYqT0r_F0IqD4tE4rYn5y8Eup4PJTH8es"",
      ""Snapshot!A:M""
    ),
    9,
    FALSE
  ),
  0
)
"),0.0)</f>
        <v>0</v>
      </c>
      <c r="AL49" s="54">
        <f>IFERROR(__xludf.DUMMYFUNCTION("IFERROR(
  VLOOKUP(
    A49,
    IMPORTRANGE(
      ""1SCYQd7_cobOYqT0r_F0IqD4tE4rYn5y8Eup4PJTH8es"",
      ""Snapshot!A:M""
    ),
    13,
    FALSE
  ),
  0
)
"),2.0)</f>
        <v>2</v>
      </c>
    </row>
    <row r="50">
      <c r="A50" s="1" t="s">
        <v>933</v>
      </c>
      <c r="B50" s="1" t="str">
        <f>IFERROR(__xludf.DUMMYFUNCTION("IFERROR(
  VLOOKUP(
    A50,
    IMPORTRANGE(
      ""1ZygntHC1J6IxzKbTidmOyf5nUyW4GCLurHCjexrLm_o"",
      ""HTMLキャッシュ!A:F""
    ),
    2,
    FALSE
  ),
  0
)
"),"NW")</f>
        <v>NW</v>
      </c>
      <c r="C50" s="49">
        <f t="shared" ref="C50:D50" si="241">LEN(E50)</f>
        <v>31</v>
      </c>
      <c r="D50" s="49">
        <f t="shared" si="241"/>
        <v>55</v>
      </c>
      <c r="E50" s="1" t="str">
        <f>IFERROR(__xludf.DUMMYFUNCTION("IFERROR(
  VLOOKUP(
    A50,
    IMPORTRANGE(
      ""1ZygntHC1J6IxzKbTidmOyf5nUyW4GCLurHCjexrLm_o"",
      ""HTMLキャッシュ!A:F""
    ),
    5,
    FALSE
  ),
  0
)
"),"2021年度冬期講習開講のお知らせ - 古典専門塾 かきつばた")</f>
        <v>2021年度冬期講習開講のお知らせ - 古典専門塾 かきつばた</v>
      </c>
      <c r="F50" s="1" t="str">
        <f>IFERROR(__xludf.DUMMYFUNCTION("IFERROR(
  VLOOKUP(
    A50,
    IMPORTRANGE(
      ""1ZygntHC1J6IxzKbTidmOyf5nUyW4GCLurHCjexrLm_o        "",
      ""HTMLキャッシュ!A:F""
    ),
    6,
    FALSE
  ),
  0
)
"),"弊塾では2021年度冬期講習会を実施いたします。現在当塾に通う塾生の皆さんはもちろん、普段は他塾に通われている")</f>
        <v>弊塾では2021年度冬期講習会を実施いたします。現在当塾に通う塾生の皆さんはもちろん、普段は他塾に通われている</v>
      </c>
      <c r="G50" s="32">
        <f>IFERROR(__xludf.DUMMYFUNCTION("IFERROR(
  VLOOKUP(
    A50,
    IMPORTRANGE(
      ""1ZygntHC1J6IxzKbTidmOyf5nUyW4GCLurHCjexrLm_o        "",
      ""HTMLキャッシュ!A:F""
    ),
    3,
    FALSE
  ),
  0
)
"),45592.84005787037)</f>
        <v>45592.84006</v>
      </c>
      <c r="H50" s="49">
        <f>IFERROR(__xludf.DUMMYFUNCTION("IFERROR(
  VLOOKUP(
    A50,
    IMPORTRANGE(
      ""1ZHMy3vVUd_0MrSduXTe1etBb1HNpAlGwQr006ljwMiM"",
      ""GSC最新!A:F""
    ),
    2,
    FALSE
  ),
  0
)
"),0.0)</f>
        <v>0</v>
      </c>
      <c r="I50" s="49">
        <f>IFERROR(__xludf.DUMMYFUNCTION("IFERROR(
  VLOOKUP(
    A50,
    IMPORTRANGE(
      ""1ZHMy3vVUd_0MrSduXTe1etBb1HNpAlGwQr006ljwMiM"",
      ""GSC最新!A:F""
    ),
    3,
    FALSE
  ),
  0
)
"),0.0)</f>
        <v>0</v>
      </c>
      <c r="J50" s="49">
        <f>IFERROR(__xludf.DUMMYFUNCTION("IFERROR(
  VLOOKUP(
    A50,
    IMPORTRANGE(
      ""1ZHMy3vVUd_0MrSduXTe1etBb1HNpAlGwQr006ljwMiM"",
      ""GSC最新!A:F""
    ),
    4,
    FALSE
  ),
  0
)
"),0.0)</f>
        <v>0</v>
      </c>
      <c r="K50" s="49">
        <f>IFERROR(__xludf.DUMMYFUNCTION("IFERROR(
  VLOOKUP(
    A50,
    IMPORTRANGE(
      ""1ZHMy3vVUd_0MrSduXTe1etBb1HNpAlGwQr006ljwMiM"",
      ""GSC最新!A:F""
    ),
    5,
    FALSE
  ),
  0
)
"),0.0)</f>
        <v>0</v>
      </c>
      <c r="L50" s="50" t="str">
        <f t="shared" ref="L50:M50" si="242">IFERROR(H50/J50,"-")</f>
        <v>-</v>
      </c>
      <c r="M50" s="50" t="str">
        <f t="shared" si="242"/>
        <v>-</v>
      </c>
      <c r="N50" s="6">
        <f>IFERROR(__xludf.DUMMYFUNCTION("IFERROR(
  VLOOKUP(
    A50,
    IMPORTRANGE(
      ""1ZHMy3vVUd_0MrSduXTe1etBb1HNpAlGwQr006ljwMiM"",
      ""GSC最新!A:R""
    ),
    7,
    FALSE
  ),
  0
)
"),0.0)</f>
        <v>0</v>
      </c>
      <c r="O50" s="6">
        <f>IFERROR(__xludf.DUMMYFUNCTION("IFERROR(
  VLOOKUP(
    A50,
    IMPORTRANGE(
      ""1ZHMy3vVUd_0MrSduXTe1etBb1HNpAlGwQr006ljwMiM"",
      ""GSC最新!A:R""
    ),
    10,
    FALSE
  ),
  0
)
"),0.0)</f>
        <v>0</v>
      </c>
      <c r="P50" s="6">
        <f>IFERROR(__xludf.DUMMYFUNCTION("IFERROR(
  VLOOKUP(
    A50,
    IMPORTRANGE(
      ""1ZHMy3vVUd_0MrSduXTe1etBb1HNpAlGwQr006ljwMiM"",
      ""GSC最新!A:R""
    ),
    13,
    FALSE
  ),
  0
)
"),0.0)</f>
        <v>0</v>
      </c>
      <c r="Q50" s="6">
        <f>IFERROR(__xludf.DUMMYFUNCTION("IFERROR(
  VLOOKUP(
    A50,
    IMPORTRANGE(
      ""1ZHMy3vVUd_0MrSduXTe1etBb1HNpAlGwQr006ljwMiM"",
      ""GSC最新!A:R""
    ),
    16,
    FALSE
  ),
  0
)
"),0.0)</f>
        <v>0</v>
      </c>
      <c r="R50" s="51" t="str">
        <f t="shared" ref="R50:S50" si="243">IFERROR(N50/P50,"-")</f>
        <v>-</v>
      </c>
      <c r="S50" s="51" t="str">
        <f t="shared" si="243"/>
        <v>-</v>
      </c>
      <c r="T50" s="9">
        <f>IFERROR(__xludf.DUMMYFUNCTION("IFERROR(
  VLOOKUP(
    A50,
    IMPORTRANGE(
      ""1ZHMy3vVUd_0MrSduXTe1etBb1HNpAlGwQr006ljwMiM"",
      ""GSC最新!A:R""
    ),
    8,
    FALSE
  ),
  0
)
"),0.0)</f>
        <v>0</v>
      </c>
      <c r="U50" s="9">
        <f>IFERROR(__xludf.DUMMYFUNCTION("IFERROR(
  VLOOKUP(
    A50,
    IMPORTRANGE(
      ""1ZHMy3vVUd_0MrSduXTe1etBb1HNpAlGwQr006ljwMiM"",
      ""GSC最新!A:R""
    ),
    11,
    FALSE
  ),
  0
)
"),0.0)</f>
        <v>0</v>
      </c>
      <c r="V50" s="9">
        <f>IFERROR(__xludf.DUMMYFUNCTION("IFERROR(
  VLOOKUP(
    A50,
    IMPORTRANGE(
      ""1ZHMy3vVUd_0MrSduXTe1etBb1HNpAlGwQr006ljwMiM"",
      ""GSC最新!A:R""
    ),
    14,
    FALSE
  ),
  0
)
"),0.0)</f>
        <v>0</v>
      </c>
      <c r="W50" s="9">
        <f>IFERROR(__xludf.DUMMYFUNCTION("IFERROR(
  VLOOKUP(
    A50,
    IMPORTRANGE(
      ""1ZHMy3vVUd_0MrSduXTe1etBb1HNpAlGwQr006ljwMiM"",
      ""GSC最新!A:R""
    ),
    17,
    FALSE
  ),
  0
)
"),0.0)</f>
        <v>0</v>
      </c>
      <c r="X50" s="9">
        <f t="shared" ref="X50:Y50" si="244">IFERROR(T50-V50,"-")</f>
        <v>0</v>
      </c>
      <c r="Y50" s="9">
        <f t="shared" si="244"/>
        <v>0</v>
      </c>
      <c r="Z50" s="65" t="str">
        <f>IFERROR(__xludf.DUMMYFUNCTION("IFERROR(
  VLOOKUP(
    A50,
    IMPORTRANGE(
      ""1ZHMy3vVUd_0MrSduXTe1etBb1HNpAlGwQr006ljwMiM"",
      ""GSC最新!A:R""
    ),
    9,
    FALSE
  ),
  0
)
"),"")</f>
        <v/>
      </c>
      <c r="AA50" s="65" t="str">
        <f>IFERROR(__xludf.DUMMYFUNCTION("IFERROR(
  VLOOKUP(
    A50,
    IMPORTRANGE(
      ""1ZHMy3vVUd_0MrSduXTe1etBb1HNpAlGwQr006ljwMiM"",
      ""GSC最新!A:R""
    ),
    12,
    FALSE
  ),
  0
)
"),"")</f>
        <v/>
      </c>
      <c r="AB50" s="65" t="str">
        <f>IFERROR(__xludf.DUMMYFUNCTION("IFERROR(
  VLOOKUP(
    A50,
    IMPORTRANGE(
      ""1ZHMy3vVUd_0MrSduXTe1etBb1HNpAlGwQr006ljwMiM"",
      ""GSC最新!A:R""
    ),
    15,
    FALSE
  ),
  0
)
"),"")</f>
        <v/>
      </c>
      <c r="AC50" s="65" t="str">
        <f>IFERROR(__xludf.DUMMYFUNCTION("IFERROR(
  VLOOKUP(
    A50,
    IMPORTRANGE(
      ""1ZHMy3vVUd_0MrSduXTe1etBb1HNpAlGwQr006ljwMiM"",
      ""GSC最新!A:R""
    ),
    18,
    FALSE
  ),
  0
)
"),"")</f>
        <v/>
      </c>
      <c r="AD50" s="65">
        <f t="shared" ref="AD50:AE50" si="245">Z50-AB50</f>
        <v>0</v>
      </c>
      <c r="AE50" s="65">
        <f t="shared" si="245"/>
        <v>0</v>
      </c>
      <c r="AF50" s="53">
        <f>IFERROR(__xludf.DUMMYFUNCTION("IFERROR(
  VLOOKUP(
    A50,
    IMPORTRANGE(
      ""1ZHMy3vVUd_0MrSduXTe1etBb1HNpAlGwQr006ljwMiM"",
      ""GSC最新!A:F""
    ),
    6,
    FALSE
  ),
  0
)
"),46081.0)</f>
        <v>46081</v>
      </c>
      <c r="AG50" s="54">
        <f>IFERROR(__xludf.DUMMYFUNCTION("IFERROR(
  VLOOKUP(
    A50,
    IMPORTRANGE(
      ""1SCYQd7_cobOYqT0r_F0IqD4tE4rYn5y8Eup4PJTH8es"",
      ""Snapshot!A:M""
    ),
    5,
    FALSE
  ),
  ""-""
)
"),0.0)</f>
        <v>0</v>
      </c>
      <c r="AH50" s="54">
        <f>IFERROR(__xludf.DUMMYFUNCTION("IFERROR(
  VLOOKUP(
    A50,
    IMPORTRANGE(
      ""1SCYQd7_cobOYqT0r_F0IqD4tE4rYn5y8Eup4PJTH8es"",
      ""Snapshot!A:M""
    ),
    6,
    FALSE
  ),
  0
)
"),0.0)</f>
        <v>0</v>
      </c>
      <c r="AI50" s="54">
        <f>IFERROR(__xludf.DUMMYFUNCTION("IFERROR(
  VLOOKUP(
    A50,
    IMPORTRANGE(
      ""1SCYQd7_cobOYqT0r_F0IqD4tE4rYn5y8Eup4PJTH8es"",
      ""Snapshot!A:M""
    ),
    7,
    FALSE
  ),
  0
)
"),485.0)</f>
        <v>485</v>
      </c>
      <c r="AJ50" s="54">
        <f>IFERROR(__xludf.DUMMYFUNCTION("IFERROR(
  VLOOKUP(
    A50,
    IMPORTRANGE(
      ""1SCYQd7_cobOYqT0r_F0IqD4tE4rYn5y8Eup4PJTH8es"",
      ""Snapshot!A:M""
    ),
    8,
    FALSE
  ),
  0
)
"),1.0)</f>
        <v>1</v>
      </c>
      <c r="AK50" s="54">
        <f>IFERROR(__xludf.DUMMYFUNCTION("IFERROR(
  VLOOKUP(
    A50,
    IMPORTRANGE(
      ""1SCYQd7_cobOYqT0r_F0IqD4tE4rYn5y8Eup4PJTH8es"",
      ""Snapshot!A:M""
    ),
    9,
    FALSE
  ),
  0
)
"),0.0)</f>
        <v>0</v>
      </c>
      <c r="AL50" s="54">
        <f>IFERROR(__xludf.DUMMYFUNCTION("IFERROR(
  VLOOKUP(
    A50,
    IMPORTRANGE(
      ""1SCYQd7_cobOYqT0r_F0IqD4tE4rYn5y8Eup4PJTH8es"",
      ""Snapshot!A:M""
    ),
    13,
    FALSE
  ),
  0
)
"),2.0)</f>
        <v>2</v>
      </c>
    </row>
    <row r="51">
      <c r="A51" s="1" t="s">
        <v>934</v>
      </c>
      <c r="B51" s="1" t="str">
        <f>IFERROR(__xludf.DUMMYFUNCTION("IFERROR(
  VLOOKUP(
    A51,
    IMPORTRANGE(
      ""1ZygntHC1J6IxzKbTidmOyf5nUyW4GCLurHCjexrLm_o"",
      ""HTMLキャッシュ!A:F""
    ),
    2,
    FALSE
  ),
  0
)
"),"NW")</f>
        <v>NW</v>
      </c>
      <c r="C51" s="49">
        <f t="shared" ref="C51:D51" si="246">LEN(E51)</f>
        <v>33</v>
      </c>
      <c r="D51" s="49">
        <f t="shared" si="246"/>
        <v>55</v>
      </c>
      <c r="E51" s="1" t="str">
        <f>IFERROR(__xludf.DUMMYFUNCTION("IFERROR(
  VLOOKUP(
    A51,
    IMPORTRANGE(
      ""1ZygntHC1J6IxzKbTidmOyf5nUyW4GCLurHCjexrLm_o"",
      ""HTMLキャッシュ!A:F""
    ),
    5,
    FALSE
  ),
  0
)
"),"2024年度生徒募集のお知らせ【個別】 - 古典専門塾 かきつばた")</f>
        <v>2024年度生徒募集のお知らせ【個別】 - 古典専門塾 かきつばた</v>
      </c>
      <c r="F51" s="1" t="str">
        <f>IFERROR(__xludf.DUMMYFUNCTION("IFERROR(
  VLOOKUP(
    A51,
    IMPORTRANGE(
      ""1ZygntHC1J6IxzKbTidmOyf5nUyW4GCLurHCjexrLm_o        "",
      ""HTMLキャッシュ!A:F""
    ),
    6,
    FALSE
  ),
  0
)
"),"本日より、2024年度、「完全１対１」の個別指導の生徒募集を開始致します。 詳細については、下記をご覧下さい。")</f>
        <v>本日より、2024年度、「完全１対１」の個別指導の生徒募集を開始致します。 詳細については、下記をご覧下さい。</v>
      </c>
      <c r="G51" s="32">
        <f>IFERROR(__xludf.DUMMYFUNCTION("IFERROR(
  VLOOKUP(
    A51,
    IMPORTRANGE(
      ""1ZygntHC1J6IxzKbTidmOyf5nUyW4GCLurHCjexrLm_o        "",
      ""HTMLキャッシュ!A:F""
    ),
    3,
    FALSE
  ),
  0
)
"),45597.73471064815)</f>
        <v>45597.73471</v>
      </c>
      <c r="H51" s="49">
        <f>IFERROR(__xludf.DUMMYFUNCTION("IFERROR(
  VLOOKUP(
    A51,
    IMPORTRANGE(
      ""1ZHMy3vVUd_0MrSduXTe1etBb1HNpAlGwQr006ljwMiM"",
      ""GSC最新!A:F""
    ),
    2,
    FALSE
  ),
  0
)
"),0.0)</f>
        <v>0</v>
      </c>
      <c r="I51" s="49">
        <f>IFERROR(__xludf.DUMMYFUNCTION("IFERROR(
  VLOOKUP(
    A51,
    IMPORTRANGE(
      ""1ZHMy3vVUd_0MrSduXTe1etBb1HNpAlGwQr006ljwMiM"",
      ""GSC最新!A:F""
    ),
    3,
    FALSE
  ),
  0
)
"),0.0)</f>
        <v>0</v>
      </c>
      <c r="J51" s="49">
        <f>IFERROR(__xludf.DUMMYFUNCTION("IFERROR(
  VLOOKUP(
    A51,
    IMPORTRANGE(
      ""1ZHMy3vVUd_0MrSduXTe1etBb1HNpAlGwQr006ljwMiM"",
      ""GSC最新!A:F""
    ),
    4,
    FALSE
  ),
  0
)
"),0.0)</f>
        <v>0</v>
      </c>
      <c r="K51" s="49">
        <f>IFERROR(__xludf.DUMMYFUNCTION("IFERROR(
  VLOOKUP(
    A51,
    IMPORTRANGE(
      ""1ZHMy3vVUd_0MrSduXTe1etBb1HNpAlGwQr006ljwMiM"",
      ""GSC最新!A:F""
    ),
    5,
    FALSE
  ),
  0
)
"),0.0)</f>
        <v>0</v>
      </c>
      <c r="L51" s="50" t="str">
        <f t="shared" ref="L51:M51" si="247">IFERROR(H51/J51,"-")</f>
        <v>-</v>
      </c>
      <c r="M51" s="50" t="str">
        <f t="shared" si="247"/>
        <v>-</v>
      </c>
      <c r="N51" s="6">
        <f>IFERROR(__xludf.DUMMYFUNCTION("IFERROR(
  VLOOKUP(
    A51,
    IMPORTRANGE(
      ""1ZHMy3vVUd_0MrSduXTe1etBb1HNpAlGwQr006ljwMiM"",
      ""GSC最新!A:R""
    ),
    7,
    FALSE
  ),
  0
)
"),0.0)</f>
        <v>0</v>
      </c>
      <c r="O51" s="6">
        <f>IFERROR(__xludf.DUMMYFUNCTION("IFERROR(
  VLOOKUP(
    A51,
    IMPORTRANGE(
      ""1ZHMy3vVUd_0MrSduXTe1etBb1HNpAlGwQr006ljwMiM"",
      ""GSC最新!A:R""
    ),
    10,
    FALSE
  ),
  0
)
"),0.0)</f>
        <v>0</v>
      </c>
      <c r="P51" s="6">
        <f>IFERROR(__xludf.DUMMYFUNCTION("IFERROR(
  VLOOKUP(
    A51,
    IMPORTRANGE(
      ""1ZHMy3vVUd_0MrSduXTe1etBb1HNpAlGwQr006ljwMiM"",
      ""GSC最新!A:R""
    ),
    13,
    FALSE
  ),
  0
)
"),0.0)</f>
        <v>0</v>
      </c>
      <c r="Q51" s="6">
        <f>IFERROR(__xludf.DUMMYFUNCTION("IFERROR(
  VLOOKUP(
    A51,
    IMPORTRANGE(
      ""1ZHMy3vVUd_0MrSduXTe1etBb1HNpAlGwQr006ljwMiM"",
      ""GSC最新!A:R""
    ),
    16,
    FALSE
  ),
  0
)
"),1.0)</f>
        <v>1</v>
      </c>
      <c r="R51" s="51" t="str">
        <f t="shared" ref="R51:S51" si="248">IFERROR(N51/P51,"-")</f>
        <v>-</v>
      </c>
      <c r="S51" s="51">
        <f t="shared" si="248"/>
        <v>0</v>
      </c>
      <c r="T51" s="9">
        <f>IFERROR(__xludf.DUMMYFUNCTION("IFERROR(
  VLOOKUP(
    A51,
    IMPORTRANGE(
      ""1ZHMy3vVUd_0MrSduXTe1etBb1HNpAlGwQr006ljwMiM"",
      ""GSC最新!A:R""
    ),
    8,
    FALSE
  ),
  0
)
"),0.0)</f>
        <v>0</v>
      </c>
      <c r="U51" s="9">
        <f>IFERROR(__xludf.DUMMYFUNCTION("IFERROR(
  VLOOKUP(
    A51,
    IMPORTRANGE(
      ""1ZHMy3vVUd_0MrSduXTe1etBb1HNpAlGwQr006ljwMiM"",
      ""GSC最新!A:R""
    ),
    11,
    FALSE
  ),
  0
)
"),0.0)</f>
        <v>0</v>
      </c>
      <c r="V51" s="9">
        <f>IFERROR(__xludf.DUMMYFUNCTION("IFERROR(
  VLOOKUP(
    A51,
    IMPORTRANGE(
      ""1ZHMy3vVUd_0MrSduXTe1etBb1HNpAlGwQr006ljwMiM"",
      ""GSC最新!A:R""
    ),
    14,
    FALSE
  ),
  0
)
"),0.0)</f>
        <v>0</v>
      </c>
      <c r="W51" s="9">
        <f>IFERROR(__xludf.DUMMYFUNCTION("IFERROR(
  VLOOKUP(
    A51,
    IMPORTRANGE(
      ""1ZHMy3vVUd_0MrSduXTe1etBb1HNpAlGwQr006ljwMiM"",
      ""GSC最新!A:R""
    ),
    17,
    FALSE
  ),
  0
)
"),0.0)</f>
        <v>0</v>
      </c>
      <c r="X51" s="9">
        <f t="shared" ref="X51:Y51" si="249">IFERROR(T51-V51,"-")</f>
        <v>0</v>
      </c>
      <c r="Y51" s="9">
        <f t="shared" si="249"/>
        <v>0</v>
      </c>
      <c r="Z51" s="65" t="str">
        <f>IFERROR(__xludf.DUMMYFUNCTION("IFERROR(
  VLOOKUP(
    A51,
    IMPORTRANGE(
      ""1ZHMy3vVUd_0MrSduXTe1etBb1HNpAlGwQr006ljwMiM"",
      ""GSC最新!A:R""
    ),
    9,
    FALSE
  ),
  0
)
"),"")</f>
        <v/>
      </c>
      <c r="AA51" s="65" t="str">
        <f>IFERROR(__xludf.DUMMYFUNCTION("IFERROR(
  VLOOKUP(
    A51,
    IMPORTRANGE(
      ""1ZHMy3vVUd_0MrSduXTe1etBb1HNpAlGwQr006ljwMiM"",
      ""GSC最新!A:R""
    ),
    12,
    FALSE
  ),
  0
)
"),"")</f>
        <v/>
      </c>
      <c r="AB51" s="65" t="str">
        <f>IFERROR(__xludf.DUMMYFUNCTION("IFERROR(
  VLOOKUP(
    A51,
    IMPORTRANGE(
      ""1ZHMy3vVUd_0MrSduXTe1etBb1HNpAlGwQr006ljwMiM"",
      ""GSC最新!A:R""
    ),
    15,
    FALSE
  ),
  0
)
"),"")</f>
        <v/>
      </c>
      <c r="AC51" s="65">
        <f>IFERROR(__xludf.DUMMYFUNCTION("IFERROR(
  VLOOKUP(
    A51,
    IMPORTRANGE(
      ""1ZHMy3vVUd_0MrSduXTe1etBb1HNpAlGwQr006ljwMiM"",
      ""GSC最新!A:R""
    ),
    18,
    FALSE
  ),
  0
)
"),4.0)</f>
        <v>4</v>
      </c>
      <c r="AD51" s="65">
        <f t="shared" ref="AD51:AE51" si="250">Z51-AB51</f>
        <v>0</v>
      </c>
      <c r="AE51" s="65">
        <f t="shared" si="250"/>
        <v>-4</v>
      </c>
      <c r="AF51" s="53">
        <f>IFERROR(__xludf.DUMMYFUNCTION("IFERROR(
  VLOOKUP(
    A51,
    IMPORTRANGE(
      ""1ZHMy3vVUd_0MrSduXTe1etBb1HNpAlGwQr006ljwMiM"",
      ""GSC最新!A:F""
    ),
    6,
    FALSE
  ),
  0
)
"),46081.0)</f>
        <v>46081</v>
      </c>
      <c r="AG51" s="54">
        <f>IFERROR(__xludf.DUMMYFUNCTION("IFERROR(
  VLOOKUP(
    A51,
    IMPORTRANGE(
      ""1SCYQd7_cobOYqT0r_F0IqD4tE4rYn5y8Eup4PJTH8es"",
      ""Snapshot!A:M""
    ),
    5,
    FALSE
  ),
  ""-""
)
"),0.0)</f>
        <v>0</v>
      </c>
      <c r="AH51" s="54">
        <f>IFERROR(__xludf.DUMMYFUNCTION("IFERROR(
  VLOOKUP(
    A51,
    IMPORTRANGE(
      ""1SCYQd7_cobOYqT0r_F0IqD4tE4rYn5y8Eup4PJTH8es"",
      ""Snapshot!A:M""
    ),
    6,
    FALSE
  ),
  0
)
"),0.0)</f>
        <v>0</v>
      </c>
      <c r="AI51" s="54">
        <f>IFERROR(__xludf.DUMMYFUNCTION("IFERROR(
  VLOOKUP(
    A51,
    IMPORTRANGE(
      ""1SCYQd7_cobOYqT0r_F0IqD4tE4rYn5y8Eup4PJTH8es"",
      ""Snapshot!A:M""
    ),
    7,
    FALSE
  ),
  0
)
"),304.0)</f>
        <v>304</v>
      </c>
      <c r="AJ51" s="54">
        <f>IFERROR(__xludf.DUMMYFUNCTION("IFERROR(
  VLOOKUP(
    A51,
    IMPORTRANGE(
      ""1SCYQd7_cobOYqT0r_F0IqD4tE4rYn5y8Eup4PJTH8es"",
      ""Snapshot!A:M""
    ),
    8,
    FALSE
  ),
  0
)
"),3.0)</f>
        <v>3</v>
      </c>
      <c r="AK51" s="54">
        <f>IFERROR(__xludf.DUMMYFUNCTION("IFERROR(
  VLOOKUP(
    A51,
    IMPORTRANGE(
      ""1SCYQd7_cobOYqT0r_F0IqD4tE4rYn5y8Eup4PJTH8es"",
      ""Snapshot!A:M""
    ),
    9,
    FALSE
  ),
  0
)
"),0.0)</f>
        <v>0</v>
      </c>
      <c r="AL51" s="54">
        <f>IFERROR(__xludf.DUMMYFUNCTION("IFERROR(
  VLOOKUP(
    A51,
    IMPORTRANGE(
      ""1SCYQd7_cobOYqT0r_F0IqD4tE4rYn5y8Eup4PJTH8es"",
      ""Snapshot!A:M""
    ),
    13,
    FALSE
  ),
  0
)
"),2.0)</f>
        <v>2</v>
      </c>
    </row>
    <row r="52">
      <c r="A52" s="3" t="s">
        <v>935</v>
      </c>
      <c r="B52" s="1" t="str">
        <f>IFERROR(__xludf.DUMMYFUNCTION("IFERROR(
  VLOOKUP(
    A52,
    IMPORTRANGE(
      ""1ZygntHC1J6IxzKbTidmOyf5nUyW4GCLurHCjexrLm_o"",
      ""HTMLキャッシュ!A:F""
    ),
    2,
    FALSE
  ),
  0
)
"),"NW")</f>
        <v>NW</v>
      </c>
      <c r="C52" s="49">
        <f t="shared" ref="C52:D52" si="251">LEN(E52)</f>
        <v>31</v>
      </c>
      <c r="D52" s="49">
        <f t="shared" si="251"/>
        <v>55</v>
      </c>
      <c r="E52" s="1" t="str">
        <f>IFERROR(__xludf.DUMMYFUNCTION("IFERROR(
  VLOOKUP(
    A52,
    IMPORTRANGE(
      ""1ZygntHC1J6IxzKbTidmOyf5nUyW4GCLurHCjexrLm_o"",
      ""HTMLキャッシュ!A:F""
    ),
    5,
    FALSE
  ),
  0
)
"),"2020年度冬期講習開講のお知らせ - 古典専門塾 かきつばた")</f>
        <v>2020年度冬期講習開講のお知らせ - 古典専門塾 かきつばた</v>
      </c>
      <c r="F52" s="1" t="str">
        <f>IFERROR(__xludf.DUMMYFUNCTION("IFERROR(
  VLOOKUP(
    A52,
    IMPORTRANGE(
      ""1ZygntHC1J6IxzKbTidmOyf5nUyW4GCLurHCjexrLm_o        "",
      ""HTMLキャッシュ!A:F""
    ),
    6,
    FALSE
  ),
  0
)
"),"弊塾では冬期講習会を実施させて頂く運びとなりました。 現在当塾に通塾されている塾生の皆さんは勿論のこと、 普段")</f>
        <v>弊塾では冬期講習会を実施させて頂く運びとなりました。 現在当塾に通塾されている塾生の皆さんは勿論のこと、 普段</v>
      </c>
      <c r="G52" s="32">
        <f>IFERROR(__xludf.DUMMYFUNCTION("IFERROR(
  VLOOKUP(
    A52,
    IMPORTRANGE(
      ""1ZygntHC1J6IxzKbTidmOyf5nUyW4GCLurHCjexrLm_o        "",
      ""HTMLキャッシュ!A:F""
    ),
    3,
    FALSE
  ),
  0
)
"),44166.52373842592)</f>
        <v>44166.52374</v>
      </c>
      <c r="H52" s="49">
        <f>IFERROR(__xludf.DUMMYFUNCTION("IFERROR(
  VLOOKUP(
    A52,
    IMPORTRANGE(
      ""1ZHMy3vVUd_0MrSduXTe1etBb1HNpAlGwQr006ljwMiM"",
      ""GSC最新!A:F""
    ),
    2,
    FALSE
  ),
  0
)
"),0.0)</f>
        <v>0</v>
      </c>
      <c r="I52" s="49">
        <f>IFERROR(__xludf.DUMMYFUNCTION("IFERROR(
  VLOOKUP(
    A52,
    IMPORTRANGE(
      ""1ZHMy3vVUd_0MrSduXTe1etBb1HNpAlGwQr006ljwMiM"",
      ""GSC最新!A:F""
    ),
    3,
    FALSE
  ),
  0
)
"),0.0)</f>
        <v>0</v>
      </c>
      <c r="J52" s="49">
        <f>IFERROR(__xludf.DUMMYFUNCTION("IFERROR(
  VLOOKUP(
    A52,
    IMPORTRANGE(
      ""1ZHMy3vVUd_0MrSduXTe1etBb1HNpAlGwQr006ljwMiM"",
      ""GSC最新!A:F""
    ),
    4,
    FALSE
  ),
  0
)
"),0.0)</f>
        <v>0</v>
      </c>
      <c r="K52" s="49">
        <f>IFERROR(__xludf.DUMMYFUNCTION("IFERROR(
  VLOOKUP(
    A52,
    IMPORTRANGE(
      ""1ZHMy3vVUd_0MrSduXTe1etBb1HNpAlGwQr006ljwMiM"",
      ""GSC最新!A:F""
    ),
    5,
    FALSE
  ),
  0
)
"),0.0)</f>
        <v>0</v>
      </c>
      <c r="L52" s="50" t="str">
        <f t="shared" ref="L52:M52" si="252">IFERROR(H52/J52,"-")</f>
        <v>-</v>
      </c>
      <c r="M52" s="50" t="str">
        <f t="shared" si="252"/>
        <v>-</v>
      </c>
      <c r="N52" s="6">
        <f>IFERROR(__xludf.DUMMYFUNCTION("IFERROR(
  VLOOKUP(
    A52,
    IMPORTRANGE(
      ""1ZHMy3vVUd_0MrSduXTe1etBb1HNpAlGwQr006ljwMiM"",
      ""GSC最新!A:R""
    ),
    7,
    FALSE
  ),
  0
)
"),0.0)</f>
        <v>0</v>
      </c>
      <c r="O52" s="6">
        <f>IFERROR(__xludf.DUMMYFUNCTION("IFERROR(
  VLOOKUP(
    A52,
    IMPORTRANGE(
      ""1ZHMy3vVUd_0MrSduXTe1etBb1HNpAlGwQr006ljwMiM"",
      ""GSC最新!A:R""
    ),
    10,
    FALSE
  ),
  0
)
"),0.0)</f>
        <v>0</v>
      </c>
      <c r="P52" s="6">
        <f>IFERROR(__xludf.DUMMYFUNCTION("IFERROR(
  VLOOKUP(
    A52,
    IMPORTRANGE(
      ""1ZHMy3vVUd_0MrSduXTe1etBb1HNpAlGwQr006ljwMiM"",
      ""GSC最新!A:R""
    ),
    13,
    FALSE
  ),
  0
)
"),0.0)</f>
        <v>0</v>
      </c>
      <c r="Q52" s="6">
        <f>IFERROR(__xludf.DUMMYFUNCTION("IFERROR(
  VLOOKUP(
    A52,
    IMPORTRANGE(
      ""1ZHMy3vVUd_0MrSduXTe1etBb1HNpAlGwQr006ljwMiM"",
      ""GSC最新!A:R""
    ),
    16,
    FALSE
  ),
  0
)
"),0.0)</f>
        <v>0</v>
      </c>
      <c r="R52" s="51" t="str">
        <f t="shared" ref="R52:S52" si="253">IFERROR(N52/P52,"-")</f>
        <v>-</v>
      </c>
      <c r="S52" s="51" t="str">
        <f t="shared" si="253"/>
        <v>-</v>
      </c>
      <c r="T52" s="9">
        <f>IFERROR(__xludf.DUMMYFUNCTION("IFERROR(
  VLOOKUP(
    A52,
    IMPORTRANGE(
      ""1ZHMy3vVUd_0MrSduXTe1etBb1HNpAlGwQr006ljwMiM"",
      ""GSC最新!A:R""
    ),
    8,
    FALSE
  ),
  0
)
"),0.0)</f>
        <v>0</v>
      </c>
      <c r="U52" s="9">
        <f>IFERROR(__xludf.DUMMYFUNCTION("IFERROR(
  VLOOKUP(
    A52,
    IMPORTRANGE(
      ""1ZHMy3vVUd_0MrSduXTe1etBb1HNpAlGwQr006ljwMiM"",
      ""GSC最新!A:R""
    ),
    11,
    FALSE
  ),
  0
)
"),0.0)</f>
        <v>0</v>
      </c>
      <c r="V52" s="9">
        <f>IFERROR(__xludf.DUMMYFUNCTION("IFERROR(
  VLOOKUP(
    A52,
    IMPORTRANGE(
      ""1ZHMy3vVUd_0MrSduXTe1etBb1HNpAlGwQr006ljwMiM"",
      ""GSC最新!A:R""
    ),
    14,
    FALSE
  ),
  0
)
"),0.0)</f>
        <v>0</v>
      </c>
      <c r="W52" s="9">
        <f>IFERROR(__xludf.DUMMYFUNCTION("IFERROR(
  VLOOKUP(
    A52,
    IMPORTRANGE(
      ""1ZHMy3vVUd_0MrSduXTe1etBb1HNpAlGwQr006ljwMiM"",
      ""GSC最新!A:R""
    ),
    17,
    FALSE
  ),
  0
)
"),0.0)</f>
        <v>0</v>
      </c>
      <c r="X52" s="9">
        <f t="shared" ref="X52:Y52" si="254">IFERROR(T52-V52,"-")</f>
        <v>0</v>
      </c>
      <c r="Y52" s="9">
        <f t="shared" si="254"/>
        <v>0</v>
      </c>
      <c r="Z52" s="65" t="str">
        <f>IFERROR(__xludf.DUMMYFUNCTION("IFERROR(
  VLOOKUP(
    A52,
    IMPORTRANGE(
      ""1ZHMy3vVUd_0MrSduXTe1etBb1HNpAlGwQr006ljwMiM"",
      ""GSC最新!A:R""
    ),
    9,
    FALSE
  ),
  0
)
"),"")</f>
        <v/>
      </c>
      <c r="AA52" s="65" t="str">
        <f>IFERROR(__xludf.DUMMYFUNCTION("IFERROR(
  VLOOKUP(
    A52,
    IMPORTRANGE(
      ""1ZHMy3vVUd_0MrSduXTe1etBb1HNpAlGwQr006ljwMiM"",
      ""GSC最新!A:R""
    ),
    12,
    FALSE
  ),
  0
)
"),"")</f>
        <v/>
      </c>
      <c r="AB52" s="65" t="str">
        <f>IFERROR(__xludf.DUMMYFUNCTION("IFERROR(
  VLOOKUP(
    A52,
    IMPORTRANGE(
      ""1ZHMy3vVUd_0MrSduXTe1etBb1HNpAlGwQr006ljwMiM"",
      ""GSC最新!A:R""
    ),
    15,
    FALSE
  ),
  0
)
"),"")</f>
        <v/>
      </c>
      <c r="AC52" s="65" t="str">
        <f>IFERROR(__xludf.DUMMYFUNCTION("IFERROR(
  VLOOKUP(
    A52,
    IMPORTRANGE(
      ""1ZHMy3vVUd_0MrSduXTe1etBb1HNpAlGwQr006ljwMiM"",
      ""GSC最新!A:R""
    ),
    18,
    FALSE
  ),
  0
)
"),"")</f>
        <v/>
      </c>
      <c r="AD52" s="65">
        <f t="shared" ref="AD52:AE52" si="255">Z52-AB52</f>
        <v>0</v>
      </c>
      <c r="AE52" s="65">
        <f t="shared" si="255"/>
        <v>0</v>
      </c>
      <c r="AF52" s="53">
        <f>IFERROR(__xludf.DUMMYFUNCTION("IFERROR(
  VLOOKUP(
    A52,
    IMPORTRANGE(
      ""1ZHMy3vVUd_0MrSduXTe1etBb1HNpAlGwQr006ljwMiM"",
      ""GSC最新!A:F""
    ),
    6,
    FALSE
  ),
  0
)
"),46081.0)</f>
        <v>46081</v>
      </c>
      <c r="AG52" s="54">
        <f>IFERROR(__xludf.DUMMYFUNCTION("IFERROR(
  VLOOKUP(
    A52,
    IMPORTRANGE(
      ""1SCYQd7_cobOYqT0r_F0IqD4tE4rYn5y8Eup4PJTH8es"",
      ""Snapshot!A:M""
    ),
    5,
    FALSE
  ),
  ""-""
)
"),0.0)</f>
        <v>0</v>
      </c>
      <c r="AH52" s="54">
        <f>IFERROR(__xludf.DUMMYFUNCTION("IFERROR(
  VLOOKUP(
    A52,
    IMPORTRANGE(
      ""1SCYQd7_cobOYqT0r_F0IqD4tE4rYn5y8Eup4PJTH8es"",
      ""Snapshot!A:M""
    ),
    6,
    FALSE
  ),
  0
)
"),0.0)</f>
        <v>0</v>
      </c>
      <c r="AI52" s="54">
        <f>IFERROR(__xludf.DUMMYFUNCTION("IFERROR(
  VLOOKUP(
    A52,
    IMPORTRANGE(
      ""1SCYQd7_cobOYqT0r_F0IqD4tE4rYn5y8Eup4PJTH8es"",
      ""Snapshot!A:M""
    ),
    7,
    FALSE
  ),
  0
)
"),672.0)</f>
        <v>672</v>
      </c>
      <c r="AJ52" s="54">
        <f>IFERROR(__xludf.DUMMYFUNCTION("IFERROR(
  VLOOKUP(
    A52,
    IMPORTRANGE(
      ""1SCYQd7_cobOYqT0r_F0IqD4tE4rYn5y8Eup4PJTH8es"",
      ""Snapshot!A:M""
    ),
    8,
    FALSE
  ),
  0
)
"),1.0)</f>
        <v>1</v>
      </c>
      <c r="AK52" s="54">
        <f>IFERROR(__xludf.DUMMYFUNCTION("IFERROR(
  VLOOKUP(
    A52,
    IMPORTRANGE(
      ""1SCYQd7_cobOYqT0r_F0IqD4tE4rYn5y8Eup4PJTH8es"",
      ""Snapshot!A:M""
    ),
    9,
    FALSE
  ),
  0
)
"),0.0)</f>
        <v>0</v>
      </c>
      <c r="AL52" s="54">
        <f>IFERROR(__xludf.DUMMYFUNCTION("IFERROR(
  VLOOKUP(
    A52,
    IMPORTRANGE(
      ""1SCYQd7_cobOYqT0r_F0IqD4tE4rYn5y8Eup4PJTH8es"",
      ""Snapshot!A:M""
    ),
    13,
    FALSE
  ),
  0
)
"),2.0)</f>
        <v>2</v>
      </c>
    </row>
    <row r="53">
      <c r="A53" s="1" t="s">
        <v>936</v>
      </c>
      <c r="B53" s="1" t="str">
        <f>IFERROR(__xludf.DUMMYFUNCTION("IFERROR(
  VLOOKUP(
    A53,
    IMPORTRANGE(
      ""1ZygntHC1J6IxzKbTidmOyf5nUyW4GCLurHCjexrLm_o"",
      ""HTMLキャッシュ!A:F""
    ),
    2,
    FALSE
  ),
  0
)
"),"NW")</f>
        <v>NW</v>
      </c>
      <c r="C53" s="49">
        <f t="shared" ref="C53:D53" si="256">LEN(E53)</f>
        <v>34</v>
      </c>
      <c r="D53" s="49">
        <f t="shared" si="256"/>
        <v>55</v>
      </c>
      <c r="E53" s="1" t="str">
        <f>IFERROR(__xludf.DUMMYFUNCTION("IFERROR(
  VLOOKUP(
    A53,
    IMPORTRANGE(
      ""1ZygntHC1J6IxzKbTidmOyf5nUyW4GCLurHCjexrLm_o"",
      ""HTMLキャッシュ!A:F""
    ),
    5,
    FALSE
  ),
  0
)
"),"2025年度 春期講習会 開催のお知らせ - 古典専門塾 かきつばた")</f>
        <v>2025年度 春期講習会 開催のお知らせ - 古典専門塾 かきつばた</v>
      </c>
      <c r="F53" s="1" t="str">
        <f>IFERROR(__xludf.DUMMYFUNCTION("IFERROR(
  VLOOKUP(
    A53,
    IMPORTRANGE(
      ""1ZygntHC1J6IxzKbTidmOyf5nUyW4GCLurHCjexrLm_o        "",
      ""HTMLキャッシュ!A:F""
    ),
    6,
    FALSE
  ),
  0
)
"),"古典専門塾 かきつばたでは、2025年度 春期講習会 を実施いたします。 現在通塾されている塾生の皆さんはもち")</f>
        <v>古典専門塾 かきつばたでは、2025年度 春期講習会 を実施いたします。 現在通塾されている塾生の皆さんはもち</v>
      </c>
      <c r="G53" s="32">
        <f>IFERROR(__xludf.DUMMYFUNCTION("IFERROR(
  VLOOKUP(
    A53,
    IMPORTRANGE(
      ""1ZygntHC1J6IxzKbTidmOyf5nUyW4GCLurHCjexrLm_o        "",
      ""HTMLキャッシュ!A:F""
    ),
    3,
    FALSE
  ),
  0
)
"),45968.74288194445)</f>
        <v>45968.74288</v>
      </c>
      <c r="H53" s="49">
        <f>IFERROR(__xludf.DUMMYFUNCTION("IFERROR(
  VLOOKUP(
    A53,
    IMPORTRANGE(
      ""1ZHMy3vVUd_0MrSduXTe1etBb1HNpAlGwQr006ljwMiM"",
      ""GSC最新!A:F""
    ),
    2,
    FALSE
  ),
  0
)
"),0.0)</f>
        <v>0</v>
      </c>
      <c r="I53" s="49">
        <f>IFERROR(__xludf.DUMMYFUNCTION("IFERROR(
  VLOOKUP(
    A53,
    IMPORTRANGE(
      ""1ZHMy3vVUd_0MrSduXTe1etBb1HNpAlGwQr006ljwMiM"",
      ""GSC最新!A:F""
    ),
    3,
    FALSE
  ),
  0
)
"),0.0)</f>
        <v>0</v>
      </c>
      <c r="J53" s="49">
        <f>IFERROR(__xludf.DUMMYFUNCTION("IFERROR(
  VLOOKUP(
    A53,
    IMPORTRANGE(
      ""1ZHMy3vVUd_0MrSduXTe1etBb1HNpAlGwQr006ljwMiM"",
      ""GSC最新!A:F""
    ),
    4,
    FALSE
  ),
  0
)
"),0.0)</f>
        <v>0</v>
      </c>
      <c r="K53" s="49">
        <f>IFERROR(__xludf.DUMMYFUNCTION("IFERROR(
  VLOOKUP(
    A53,
    IMPORTRANGE(
      ""1ZHMy3vVUd_0MrSduXTe1etBb1HNpAlGwQr006ljwMiM"",
      ""GSC最新!A:F""
    ),
    5,
    FALSE
  ),
  0
)
"),0.0)</f>
        <v>0</v>
      </c>
      <c r="L53" s="50" t="str">
        <f t="shared" ref="L53:M53" si="257">IFERROR(H53/J53,"-")</f>
        <v>-</v>
      </c>
      <c r="M53" s="50" t="str">
        <f t="shared" si="257"/>
        <v>-</v>
      </c>
      <c r="N53" s="6">
        <f>IFERROR(__xludf.DUMMYFUNCTION("IFERROR(
  VLOOKUP(
    A53,
    IMPORTRANGE(
      ""1ZHMy3vVUd_0MrSduXTe1etBb1HNpAlGwQr006ljwMiM"",
      ""GSC最新!A:R""
    ),
    7,
    FALSE
  ),
  0
)
"),2.0)</f>
        <v>2</v>
      </c>
      <c r="O53" s="6">
        <f>IFERROR(__xludf.DUMMYFUNCTION("IFERROR(
  VLOOKUP(
    A53,
    IMPORTRANGE(
      ""1ZHMy3vVUd_0MrSduXTe1etBb1HNpAlGwQr006ljwMiM"",
      ""GSC最新!A:R""
    ),
    10,
    FALSE
  ),
  0
)
"),7.0)</f>
        <v>7</v>
      </c>
      <c r="P53" s="6">
        <f>IFERROR(__xludf.DUMMYFUNCTION("IFERROR(
  VLOOKUP(
    A53,
    IMPORTRANGE(
      ""1ZHMy3vVUd_0MrSduXTe1etBb1HNpAlGwQr006ljwMiM"",
      ""GSC最新!A:R""
    ),
    13,
    FALSE
  ),
  0
)
"),0.0)</f>
        <v>0</v>
      </c>
      <c r="Q53" s="6">
        <f>IFERROR(__xludf.DUMMYFUNCTION("IFERROR(
  VLOOKUP(
    A53,
    IMPORTRANGE(
      ""1ZHMy3vVUd_0MrSduXTe1etBb1HNpAlGwQr006ljwMiM"",
      ""GSC最新!A:R""
    ),
    16,
    FALSE
  ),
  0
)
"),0.0)</f>
        <v>0</v>
      </c>
      <c r="R53" s="51" t="str">
        <f t="shared" ref="R53:S53" si="258">IFERROR(N53/P53,"-")</f>
        <v>-</v>
      </c>
      <c r="S53" s="51" t="str">
        <f t="shared" si="258"/>
        <v>-</v>
      </c>
      <c r="T53" s="9">
        <f>IFERROR(__xludf.DUMMYFUNCTION("IFERROR(
  VLOOKUP(
    A53,
    IMPORTRANGE(
      ""1ZHMy3vVUd_0MrSduXTe1etBb1HNpAlGwQr006ljwMiM"",
      ""GSC最新!A:R""
    ),
    8,
    FALSE
  ),
  0
)
"),0.0)</f>
        <v>0</v>
      </c>
      <c r="U53" s="9">
        <f>IFERROR(__xludf.DUMMYFUNCTION("IFERROR(
  VLOOKUP(
    A53,
    IMPORTRANGE(
      ""1ZHMy3vVUd_0MrSduXTe1etBb1HNpAlGwQr006ljwMiM"",
      ""GSC最新!A:R""
    ),
    11,
    FALSE
  ),
  0
)
"),0.0)</f>
        <v>0</v>
      </c>
      <c r="V53" s="9">
        <f>IFERROR(__xludf.DUMMYFUNCTION("IFERROR(
  VLOOKUP(
    A53,
    IMPORTRANGE(
      ""1ZHMy3vVUd_0MrSduXTe1etBb1HNpAlGwQr006ljwMiM"",
      ""GSC最新!A:R""
    ),
    14,
    FALSE
  ),
  0
)
"),0.0)</f>
        <v>0</v>
      </c>
      <c r="W53" s="9">
        <f>IFERROR(__xludf.DUMMYFUNCTION("IFERROR(
  VLOOKUP(
    A53,
    IMPORTRANGE(
      ""1ZHMy3vVUd_0MrSduXTe1etBb1HNpAlGwQr006ljwMiM"",
      ""GSC最新!A:R""
    ),
    17,
    FALSE
  ),
  0
)
"),0.0)</f>
        <v>0</v>
      </c>
      <c r="X53" s="9">
        <f t="shared" ref="X53:Y53" si="259">IFERROR(T53-V53,"-")</f>
        <v>0</v>
      </c>
      <c r="Y53" s="9">
        <f t="shared" si="259"/>
        <v>0</v>
      </c>
      <c r="Z53" s="65">
        <f>IFERROR(__xludf.DUMMYFUNCTION("IFERROR(
  VLOOKUP(
    A53,
    IMPORTRANGE(
      ""1ZHMy3vVUd_0MrSduXTe1etBb1HNpAlGwQr006ljwMiM"",
      ""GSC最新!A:R""
    ),
    9,
    FALSE
  ),
  0
)
"),8.5)</f>
        <v>8.5</v>
      </c>
      <c r="AA53" s="65">
        <f>IFERROR(__xludf.DUMMYFUNCTION("IFERROR(
  VLOOKUP(
    A53,
    IMPORTRANGE(
      ""1ZHMy3vVUd_0MrSduXTe1etBb1HNpAlGwQr006ljwMiM"",
      ""GSC最新!A:R""
    ),
    12,
    FALSE
  ),
  0
)
"),30.285714285714285)</f>
        <v>30.28571429</v>
      </c>
      <c r="AB53" s="65" t="str">
        <f>IFERROR(__xludf.DUMMYFUNCTION("IFERROR(
  VLOOKUP(
    A53,
    IMPORTRANGE(
      ""1ZHMy3vVUd_0MrSduXTe1etBb1HNpAlGwQr006ljwMiM"",
      ""GSC最新!A:R""
    ),
    15,
    FALSE
  ),
  0
)
"),"")</f>
        <v/>
      </c>
      <c r="AC53" s="65" t="str">
        <f>IFERROR(__xludf.DUMMYFUNCTION("IFERROR(
  VLOOKUP(
    A53,
    IMPORTRANGE(
      ""1ZHMy3vVUd_0MrSduXTe1etBb1HNpAlGwQr006ljwMiM"",
      ""GSC最新!A:R""
    ),
    18,
    FALSE
  ),
  0
)
"),"")</f>
        <v/>
      </c>
      <c r="AD53" s="65">
        <f t="shared" ref="AD53:AE53" si="260">Z53-AB53</f>
        <v>8.5</v>
      </c>
      <c r="AE53" s="65">
        <f t="shared" si="260"/>
        <v>30.28571429</v>
      </c>
      <c r="AF53" s="53">
        <f>IFERROR(__xludf.DUMMYFUNCTION("IFERROR(
  VLOOKUP(
    A53,
    IMPORTRANGE(
      ""1ZHMy3vVUd_0MrSduXTe1etBb1HNpAlGwQr006ljwMiM"",
      ""GSC最新!A:F""
    ),
    6,
    FALSE
  ),
  0
)
"),46081.0)</f>
        <v>46081</v>
      </c>
      <c r="AG53" s="54">
        <f>IFERROR(__xludf.DUMMYFUNCTION("IFERROR(
  VLOOKUP(
    A53,
    IMPORTRANGE(
      ""1SCYQd7_cobOYqT0r_F0IqD4tE4rYn5y8Eup4PJTH8es"",
      ""Snapshot!A:M""
    ),
    5,
    FALSE
  ),
  ""-""
)
"),0.0)</f>
        <v>0</v>
      </c>
      <c r="AH53" s="54">
        <f>IFERROR(__xludf.DUMMYFUNCTION("IFERROR(
  VLOOKUP(
    A53,
    IMPORTRANGE(
      ""1SCYQd7_cobOYqT0r_F0IqD4tE4rYn5y8Eup4PJTH8es"",
      ""Snapshot!A:M""
    ),
    6,
    FALSE
  ),
  0
)
"),0.0)</f>
        <v>0</v>
      </c>
      <c r="AI53" s="54">
        <f>IFERROR(__xludf.DUMMYFUNCTION("IFERROR(
  VLOOKUP(
    A53,
    IMPORTRANGE(
      ""1SCYQd7_cobOYqT0r_F0IqD4tE4rYn5y8Eup4PJTH8es"",
      ""Snapshot!A:M""
    ),
    7,
    FALSE
  ),
  0
)
"),520.0)</f>
        <v>520</v>
      </c>
      <c r="AJ53" s="54">
        <f>IFERROR(__xludf.DUMMYFUNCTION("IFERROR(
  VLOOKUP(
    A53,
    IMPORTRANGE(
      ""1SCYQd7_cobOYqT0r_F0IqD4tE4rYn5y8Eup4PJTH8es"",
      ""Snapshot!A:M""
    ),
    8,
    FALSE
  ),
  0
)
"),1.0)</f>
        <v>1</v>
      </c>
      <c r="AK53" s="54">
        <f>IFERROR(__xludf.DUMMYFUNCTION("IFERROR(
  VLOOKUP(
    A53,
    IMPORTRANGE(
      ""1SCYQd7_cobOYqT0r_F0IqD4tE4rYn5y8Eup4PJTH8es"",
      ""Snapshot!A:M""
    ),
    9,
    FALSE
  ),
  0
)
"),0.0)</f>
        <v>0</v>
      </c>
      <c r="AL53" s="54">
        <f>IFERROR(__xludf.DUMMYFUNCTION("IFERROR(
  VLOOKUP(
    A53,
    IMPORTRANGE(
      ""1SCYQd7_cobOYqT0r_F0IqD4tE4rYn5y8Eup4PJTH8es"",
      ""Snapshot!A:M""
    ),
    13,
    FALSE
  ),
  0
)
"),2.0)</f>
        <v>2</v>
      </c>
    </row>
    <row r="54">
      <c r="A54" s="3" t="s">
        <v>217</v>
      </c>
      <c r="B54" s="1" t="str">
        <f>IFERROR(__xludf.DUMMYFUNCTION("IFERROR(
  VLOOKUP(
    A54,
    IMPORTRANGE(
      ""1ZygntHC1J6IxzKbTidmOyf5nUyW4GCLurHCjexrLm_o"",
      ""HTMLキャッシュ!A:F""
    ),
    2,
    FALSE
  ),
  0
)
"),"-")</f>
        <v>-</v>
      </c>
      <c r="C54" s="49">
        <f t="shared" ref="C54:D54" si="261">LEN(E54)</f>
        <v>18</v>
      </c>
      <c r="D54" s="49">
        <f t="shared" si="261"/>
        <v>0</v>
      </c>
      <c r="E54" s="1" t="str">
        <f>IFERROR(__xludf.DUMMYFUNCTION("IFERROR(
  VLOOKUP(
    A54,
    IMPORTRANGE(
      ""1ZygntHC1J6IxzKbTidmOyf5nUyW4GCLurHCjexrLm_o"",
      ""HTMLキャッシュ!A:F""
    ),
    5,
    FALSE
  ),
  0
)
"),"お知らせ - 古典専門塾 かきつばた")</f>
        <v>お知らせ - 古典専門塾 かきつばた</v>
      </c>
      <c r="F54" s="1" t="str">
        <f>IFERROR(__xludf.DUMMYFUNCTION("IFERROR(
  VLOOKUP(
    A54,
    IMPORTRANGE(
      ""1ZygntHC1J6IxzKbTidmOyf5nUyW4GCLurHCjexrLm_o        "",
      ""HTMLキャッシュ!A:F""
    ),
    6,
    FALSE
  ),
  0
)
"),"")</f>
        <v/>
      </c>
      <c r="G54" s="32">
        <f>IFERROR(__xludf.DUMMYFUNCTION("IFERROR(
  VLOOKUP(
    A54,
    IMPORTRANGE(
      ""1ZygntHC1J6IxzKbTidmOyf5nUyW4GCLurHCjexrLm_o        "",
      ""HTMLキャッシュ!A:F""
    ),
    3,
    FALSE
  ),
  0
)
"),46076.777280092596)</f>
        <v>46076.77728</v>
      </c>
      <c r="H54" s="49">
        <f>IFERROR(__xludf.DUMMYFUNCTION("IFERROR(
  VLOOKUP(
    A54,
    IMPORTRANGE(
      ""1ZHMy3vVUd_0MrSduXTe1etBb1HNpAlGwQr006ljwMiM"",
      ""GSC最新!A:F""
    ),
    2,
    FALSE
  ),
  0
)
"),0.0)</f>
        <v>0</v>
      </c>
      <c r="I54" s="49">
        <f>IFERROR(__xludf.DUMMYFUNCTION("IFERROR(
  VLOOKUP(
    A54,
    IMPORTRANGE(
      ""1ZHMy3vVUd_0MrSduXTe1etBb1HNpAlGwQr006ljwMiM"",
      ""GSC最新!A:F""
    ),
    3,
    FALSE
  ),
  0
)
"),0.0)</f>
        <v>0</v>
      </c>
      <c r="J54" s="49">
        <f>IFERROR(__xludf.DUMMYFUNCTION("IFERROR(
  VLOOKUP(
    A54,
    IMPORTRANGE(
      ""1ZHMy3vVUd_0MrSduXTe1etBb1HNpAlGwQr006ljwMiM"",
      ""GSC最新!A:F""
    ),
    4,
    FALSE
  ),
  0
)
"),0.0)</f>
        <v>0</v>
      </c>
      <c r="K54" s="49">
        <f>IFERROR(__xludf.DUMMYFUNCTION("IFERROR(
  VLOOKUP(
    A54,
    IMPORTRANGE(
      ""1ZHMy3vVUd_0MrSduXTe1etBb1HNpAlGwQr006ljwMiM"",
      ""GSC最新!A:F""
    ),
    5,
    FALSE
  ),
  0
)
"),0.0)</f>
        <v>0</v>
      </c>
      <c r="L54" s="50" t="str">
        <f t="shared" ref="L54:M54" si="262">IFERROR(H54/J54,"-")</f>
        <v>-</v>
      </c>
      <c r="M54" s="50" t="str">
        <f t="shared" si="262"/>
        <v>-</v>
      </c>
      <c r="N54" s="6">
        <f>IFERROR(__xludf.DUMMYFUNCTION("IFERROR(
  VLOOKUP(
    A54,
    IMPORTRANGE(
      ""1ZHMy3vVUd_0MrSduXTe1etBb1HNpAlGwQr006ljwMiM"",
      ""GSC最新!A:R""
    ),
    7,
    FALSE
  ),
  0
)
"),8.0)</f>
        <v>8</v>
      </c>
      <c r="O54" s="6">
        <f>IFERROR(__xludf.DUMMYFUNCTION("IFERROR(
  VLOOKUP(
    A54,
    IMPORTRANGE(
      ""1ZHMy3vVUd_0MrSduXTe1etBb1HNpAlGwQr006ljwMiM"",
      ""GSC最新!A:R""
    ),
    10,
    FALSE
  ),
  0
)
"),15.0)</f>
        <v>15</v>
      </c>
      <c r="P54" s="6">
        <f>IFERROR(__xludf.DUMMYFUNCTION("IFERROR(
  VLOOKUP(
    A54,
    IMPORTRANGE(
      ""1ZHMy3vVUd_0MrSduXTe1etBb1HNpAlGwQr006ljwMiM"",
      ""GSC最新!A:R""
    ),
    13,
    FALSE
  ),
  0
)
"),1.0)</f>
        <v>1</v>
      </c>
      <c r="Q54" s="6">
        <f>IFERROR(__xludf.DUMMYFUNCTION("IFERROR(
  VLOOKUP(
    A54,
    IMPORTRANGE(
      ""1ZHMy3vVUd_0MrSduXTe1etBb1HNpAlGwQr006ljwMiM"",
      ""GSC最新!A:R""
    ),
    16,
    FALSE
  ),
  0
)
"),2.0)</f>
        <v>2</v>
      </c>
      <c r="R54" s="51">
        <f t="shared" ref="R54:S54" si="263">IFERROR(N54/P54,"-")</f>
        <v>8</v>
      </c>
      <c r="S54" s="51">
        <f t="shared" si="263"/>
        <v>7.5</v>
      </c>
      <c r="T54" s="9">
        <f>IFERROR(__xludf.DUMMYFUNCTION("IFERROR(
  VLOOKUP(
    A54,
    IMPORTRANGE(
      ""1ZHMy3vVUd_0MrSduXTe1etBb1HNpAlGwQr006ljwMiM"",
      ""GSC最新!A:R""
    ),
    8,
    FALSE
  ),
  0
)
"),0.0)</f>
        <v>0</v>
      </c>
      <c r="U54" s="9">
        <f>IFERROR(__xludf.DUMMYFUNCTION("IFERROR(
  VLOOKUP(
    A54,
    IMPORTRANGE(
      ""1ZHMy3vVUd_0MrSduXTe1etBb1HNpAlGwQr006ljwMiM"",
      ""GSC最新!A:R""
    ),
    11,
    FALSE
  ),
  0
)
"),0.0)</f>
        <v>0</v>
      </c>
      <c r="V54" s="9">
        <f>IFERROR(__xludf.DUMMYFUNCTION("IFERROR(
  VLOOKUP(
    A54,
    IMPORTRANGE(
      ""1ZHMy3vVUd_0MrSduXTe1etBb1HNpAlGwQr006ljwMiM"",
      ""GSC最新!A:R""
    ),
    14,
    FALSE
  ),
  0
)
"),0.0)</f>
        <v>0</v>
      </c>
      <c r="W54" s="9">
        <f>IFERROR(__xludf.DUMMYFUNCTION("IFERROR(
  VLOOKUP(
    A54,
    IMPORTRANGE(
      ""1ZHMy3vVUd_0MrSduXTe1etBb1HNpAlGwQr006ljwMiM"",
      ""GSC最新!A:R""
    ),
    17,
    FALSE
  ),
  0
)
"),0.0)</f>
        <v>0</v>
      </c>
      <c r="X54" s="9">
        <f t="shared" ref="X54:Y54" si="264">IFERROR(T54-V54,"-")</f>
        <v>0</v>
      </c>
      <c r="Y54" s="9">
        <f t="shared" si="264"/>
        <v>0</v>
      </c>
      <c r="Z54" s="65">
        <f>IFERROR(__xludf.DUMMYFUNCTION("IFERROR(
  VLOOKUP(
    A54,
    IMPORTRANGE(
      ""1ZHMy3vVUd_0MrSduXTe1etBb1HNpAlGwQr006ljwMiM"",
      ""GSC最新!A:R""
    ),
    9,
    FALSE
  ),
  0
)
"),5.625)</f>
        <v>5.625</v>
      </c>
      <c r="AA54" s="65">
        <f>IFERROR(__xludf.DUMMYFUNCTION("IFERROR(
  VLOOKUP(
    A54,
    IMPORTRANGE(
      ""1ZHMy3vVUd_0MrSduXTe1etBb1HNpAlGwQr006ljwMiM"",
      ""GSC最新!A:R""
    ),
    12,
    FALSE
  ),
  0
)
"),5.933333333333334)</f>
        <v>5.933333333</v>
      </c>
      <c r="AB54" s="65">
        <f>IFERROR(__xludf.DUMMYFUNCTION("IFERROR(
  VLOOKUP(
    A54,
    IMPORTRANGE(
      ""1ZHMy3vVUd_0MrSduXTe1etBb1HNpAlGwQr006ljwMiM"",
      ""GSC最新!A:R""
    ),
    15,
    FALSE
  ),
  0
)
"),6.0)</f>
        <v>6</v>
      </c>
      <c r="AC54" s="65">
        <f>IFERROR(__xludf.DUMMYFUNCTION("IFERROR(
  VLOOKUP(
    A54,
    IMPORTRANGE(
      ""1ZHMy3vVUd_0MrSduXTe1etBb1HNpAlGwQr006ljwMiM"",
      ""GSC最新!A:R""
    ),
    18,
    FALSE
  ),
  0
)
"),5.5)</f>
        <v>5.5</v>
      </c>
      <c r="AD54" s="65">
        <f t="shared" ref="AD54:AE54" si="265">Z54-AB54</f>
        <v>-0.375</v>
      </c>
      <c r="AE54" s="65">
        <f t="shared" si="265"/>
        <v>0.4333333333</v>
      </c>
      <c r="AF54" s="53">
        <f>IFERROR(__xludf.DUMMYFUNCTION("IFERROR(
  VLOOKUP(
    A54,
    IMPORTRANGE(
      ""1ZHMy3vVUd_0MrSduXTe1etBb1HNpAlGwQr006ljwMiM"",
      ""GSC最新!A:F""
    ),
    6,
    FALSE
  ),
  0
)
"),46081.0)</f>
        <v>46081</v>
      </c>
      <c r="AG54" s="54">
        <f>IFERROR(__xludf.DUMMYFUNCTION("IFERROR(
  VLOOKUP(
    A54,
    IMPORTRANGE(
      ""1SCYQd7_cobOYqT0r_F0IqD4tE4rYn5y8Eup4PJTH8es"",
      ""Snapshot!A:M""
    ),
    5,
    FALSE
  ),
  ""-""
)
"),0.0)</f>
        <v>0</v>
      </c>
      <c r="AH54" s="54">
        <f>IFERROR(__xludf.DUMMYFUNCTION("IFERROR(
  VLOOKUP(
    A54,
    IMPORTRANGE(
      ""1SCYQd7_cobOYqT0r_F0IqD4tE4rYn5y8Eup4PJTH8es"",
      ""Snapshot!A:M""
    ),
    6,
    FALSE
  ),
  0
)
"),0.0)</f>
        <v>0</v>
      </c>
      <c r="AI54" s="54">
        <f>IFERROR(__xludf.DUMMYFUNCTION("IFERROR(
  VLOOKUP(
    A54,
    IMPORTRANGE(
      ""1SCYQd7_cobOYqT0r_F0IqD4tE4rYn5y8Eup4PJTH8es"",
      ""Snapshot!A:M""
    ),
    7,
    FALSE
  ),
  0
)
"),0.0)</f>
        <v>0</v>
      </c>
      <c r="AJ54" s="54">
        <f>IFERROR(__xludf.DUMMYFUNCTION("IFERROR(
  VLOOKUP(
    A54,
    IMPORTRANGE(
      ""1SCYQd7_cobOYqT0r_F0IqD4tE4rYn5y8Eup4PJTH8es"",
      ""Snapshot!A:M""
    ),
    8,
    FALSE
  ),
  0
)
"),0.0)</f>
        <v>0</v>
      </c>
      <c r="AK54" s="54">
        <f>IFERROR(__xludf.DUMMYFUNCTION("IFERROR(
  VLOOKUP(
    A54,
    IMPORTRANGE(
      ""1SCYQd7_cobOYqT0r_F0IqD4tE4rYn5y8Eup4PJTH8es"",
      ""Snapshot!A:M""
    ),
    9,
    FALSE
  ),
  0
)
"),0.0)</f>
        <v>0</v>
      </c>
      <c r="AL54" s="54">
        <f>IFERROR(__xludf.DUMMYFUNCTION("IFERROR(
  VLOOKUP(
    A54,
    IMPORTRANGE(
      ""1SCYQd7_cobOYqT0r_F0IqD4tE4rYn5y8Eup4PJTH8es"",
      ""Snapshot!A:M""
    ),
    13,
    FALSE
  ),
  0
)
"),1.0)</f>
        <v>1</v>
      </c>
    </row>
    <row r="55">
      <c r="A55" s="1" t="s">
        <v>937</v>
      </c>
      <c r="B55" s="1" t="str">
        <f>IFERROR(__xludf.DUMMYFUNCTION("IFERROR(
  VLOOKUP(
    A55,
    IMPORTRANGE(
      ""1ZygntHC1J6IxzKbTidmOyf5nUyW4GCLurHCjexrLm_o"",
      ""HTMLキャッシュ!A:F""
    ),
    2,
    FALSE
  ),
  0
)
"),"NW")</f>
        <v>NW</v>
      </c>
      <c r="C55" s="49">
        <f t="shared" ref="C55:D55" si="266">LEN(E55)</f>
        <v>34</v>
      </c>
      <c r="D55" s="49">
        <f t="shared" si="266"/>
        <v>55</v>
      </c>
      <c r="E55" s="1" t="str">
        <f>IFERROR(__xludf.DUMMYFUNCTION("IFERROR(
  VLOOKUP(
    A55,
    IMPORTRANGE(
      ""1ZygntHC1J6IxzKbTidmOyf5nUyW4GCLurHCjexrLm_o"",
      ""HTMLキャッシュ!A:F""
    ),
    5,
    FALSE
  ),
  0
)
"),"2025年度 夏期講習会 開催のお知らせ - 古典専門塾 かきつばた")</f>
        <v>2025年度 夏期講習会 開催のお知らせ - 古典専門塾 かきつばた</v>
      </c>
      <c r="F55" s="1" t="str">
        <f>IFERROR(__xludf.DUMMYFUNCTION("IFERROR(
  VLOOKUP(
    A55,
    IMPORTRANGE(
      ""1ZygntHC1J6IxzKbTidmOyf5nUyW4GCLurHCjexrLm_o        "",
      ""HTMLキャッシュ!A:F""
    ),
    6,
    FALSE
  ),
  0
)
"),"夏休みは、受験生にとってはまさに天王山。 また、受験を1年以上先に控えるお子様にとっても、普段は忙しくて取り組")</f>
        <v>夏休みは、受験生にとってはまさに天王山。 また、受験を1年以上先に控えるお子様にとっても、普段は忙しくて取り組</v>
      </c>
      <c r="G55" s="32">
        <f>IFERROR(__xludf.DUMMYFUNCTION("IFERROR(
  VLOOKUP(
    A55,
    IMPORTRANGE(
      ""1ZygntHC1J6IxzKbTidmOyf5nUyW4GCLurHCjexrLm_o        "",
      ""HTMLキャッシュ!A:F""
    ),
    3,
    FALSE
  ),
  0
)
"),45968.74371527778)</f>
        <v>45968.74372</v>
      </c>
      <c r="H55" s="49">
        <f>IFERROR(__xludf.DUMMYFUNCTION("IFERROR(
  VLOOKUP(
    A55,
    IMPORTRANGE(
      ""1ZHMy3vVUd_0MrSduXTe1etBb1HNpAlGwQr006ljwMiM"",
      ""GSC最新!A:F""
    ),
    2,
    FALSE
  ),
  0
)
"),0.0)</f>
        <v>0</v>
      </c>
      <c r="I55" s="49">
        <f>IFERROR(__xludf.DUMMYFUNCTION("IFERROR(
  VLOOKUP(
    A55,
    IMPORTRANGE(
      ""1ZHMy3vVUd_0MrSduXTe1etBb1HNpAlGwQr006ljwMiM"",
      ""GSC最新!A:F""
    ),
    3,
    FALSE
  ),
  0
)
"),0.0)</f>
        <v>0</v>
      </c>
      <c r="J55" s="49">
        <f>IFERROR(__xludf.DUMMYFUNCTION("IFERROR(
  VLOOKUP(
    A55,
    IMPORTRANGE(
      ""1ZHMy3vVUd_0MrSduXTe1etBb1HNpAlGwQr006ljwMiM"",
      ""GSC最新!A:F""
    ),
    4,
    FALSE
  ),
  0
)
"),0.0)</f>
        <v>0</v>
      </c>
      <c r="K55" s="49">
        <f>IFERROR(__xludf.DUMMYFUNCTION("IFERROR(
  VLOOKUP(
    A55,
    IMPORTRANGE(
      ""1ZHMy3vVUd_0MrSduXTe1etBb1HNpAlGwQr006ljwMiM"",
      ""GSC最新!A:F""
    ),
    5,
    FALSE
  ),
  0
)
"),0.0)</f>
        <v>0</v>
      </c>
      <c r="L55" s="50" t="str">
        <f t="shared" ref="L55:M55" si="267">IFERROR(H55/J55,"-")</f>
        <v>-</v>
      </c>
      <c r="M55" s="50" t="str">
        <f t="shared" si="267"/>
        <v>-</v>
      </c>
      <c r="N55" s="6">
        <f>IFERROR(__xludf.DUMMYFUNCTION("IFERROR(
  VLOOKUP(
    A55,
    IMPORTRANGE(
      ""1ZHMy3vVUd_0MrSduXTe1etBb1HNpAlGwQr006ljwMiM"",
      ""GSC最新!A:R""
    ),
    7,
    FALSE
  ),
  0
)
"),1.0)</f>
        <v>1</v>
      </c>
      <c r="O55" s="6">
        <f>IFERROR(__xludf.DUMMYFUNCTION("IFERROR(
  VLOOKUP(
    A55,
    IMPORTRANGE(
      ""1ZHMy3vVUd_0MrSduXTe1etBb1HNpAlGwQr006ljwMiM"",
      ""GSC最新!A:R""
    ),
    10,
    FALSE
  ),
  0
)
"),6.0)</f>
        <v>6</v>
      </c>
      <c r="P55" s="6">
        <f>IFERROR(__xludf.DUMMYFUNCTION("IFERROR(
  VLOOKUP(
    A55,
    IMPORTRANGE(
      ""1ZHMy3vVUd_0MrSduXTe1etBb1HNpAlGwQr006ljwMiM"",
      ""GSC最新!A:R""
    ),
    13,
    FALSE
  ),
  0
)
"),0.0)</f>
        <v>0</v>
      </c>
      <c r="Q55" s="6">
        <f>IFERROR(__xludf.DUMMYFUNCTION("IFERROR(
  VLOOKUP(
    A55,
    IMPORTRANGE(
      ""1ZHMy3vVUd_0MrSduXTe1etBb1HNpAlGwQr006ljwMiM"",
      ""GSC最新!A:R""
    ),
    16,
    FALSE
  ),
  0
)
"),0.0)</f>
        <v>0</v>
      </c>
      <c r="R55" s="51" t="str">
        <f t="shared" ref="R55:S55" si="268">IFERROR(N55/P55,"-")</f>
        <v>-</v>
      </c>
      <c r="S55" s="51" t="str">
        <f t="shared" si="268"/>
        <v>-</v>
      </c>
      <c r="T55" s="9">
        <f>IFERROR(__xludf.DUMMYFUNCTION("IFERROR(
  VLOOKUP(
    A55,
    IMPORTRANGE(
      ""1ZHMy3vVUd_0MrSduXTe1etBb1HNpAlGwQr006ljwMiM"",
      ""GSC最新!A:R""
    ),
    8,
    FALSE
  ),
  0
)
"),0.0)</f>
        <v>0</v>
      </c>
      <c r="U55" s="9">
        <f>IFERROR(__xludf.DUMMYFUNCTION("IFERROR(
  VLOOKUP(
    A55,
    IMPORTRANGE(
      ""1ZHMy3vVUd_0MrSduXTe1etBb1HNpAlGwQr006ljwMiM"",
      ""GSC最新!A:R""
    ),
    11,
    FALSE
  ),
  0
)
"),0.0)</f>
        <v>0</v>
      </c>
      <c r="V55" s="9">
        <f>IFERROR(__xludf.DUMMYFUNCTION("IFERROR(
  VLOOKUP(
    A55,
    IMPORTRANGE(
      ""1ZHMy3vVUd_0MrSduXTe1etBb1HNpAlGwQr006ljwMiM"",
      ""GSC最新!A:R""
    ),
    14,
    FALSE
  ),
  0
)
"),0.0)</f>
        <v>0</v>
      </c>
      <c r="W55" s="9">
        <f>IFERROR(__xludf.DUMMYFUNCTION("IFERROR(
  VLOOKUP(
    A55,
    IMPORTRANGE(
      ""1ZHMy3vVUd_0MrSduXTe1etBb1HNpAlGwQr006ljwMiM"",
      ""GSC最新!A:R""
    ),
    17,
    FALSE
  ),
  0
)
"),0.0)</f>
        <v>0</v>
      </c>
      <c r="X55" s="9">
        <f t="shared" ref="X55:Y55" si="269">IFERROR(T55-V55,"-")</f>
        <v>0</v>
      </c>
      <c r="Y55" s="9">
        <f t="shared" si="269"/>
        <v>0</v>
      </c>
      <c r="Z55" s="65">
        <f>IFERROR(__xludf.DUMMYFUNCTION("IFERROR(
  VLOOKUP(
    A55,
    IMPORTRANGE(
      ""1ZHMy3vVUd_0MrSduXTe1etBb1HNpAlGwQr006ljwMiM"",
      ""GSC最新!A:R""
    ),
    9,
    FALSE
  ),
  0
)
"),8.0)</f>
        <v>8</v>
      </c>
      <c r="AA55" s="65">
        <f>IFERROR(__xludf.DUMMYFUNCTION("IFERROR(
  VLOOKUP(
    A55,
    IMPORTRANGE(
      ""1ZHMy3vVUd_0MrSduXTe1etBb1HNpAlGwQr006ljwMiM"",
      ""GSC最新!A:R""
    ),
    12,
    FALSE
  ),
  0
)
"),6.5)</f>
        <v>6.5</v>
      </c>
      <c r="AB55" s="65" t="str">
        <f>IFERROR(__xludf.DUMMYFUNCTION("IFERROR(
  VLOOKUP(
    A55,
    IMPORTRANGE(
      ""1ZHMy3vVUd_0MrSduXTe1etBb1HNpAlGwQr006ljwMiM"",
      ""GSC最新!A:R""
    ),
    15,
    FALSE
  ),
  0
)
"),"")</f>
        <v/>
      </c>
      <c r="AC55" s="65" t="str">
        <f>IFERROR(__xludf.DUMMYFUNCTION("IFERROR(
  VLOOKUP(
    A55,
    IMPORTRANGE(
      ""1ZHMy3vVUd_0MrSduXTe1etBb1HNpAlGwQr006ljwMiM"",
      ""GSC最新!A:R""
    ),
    18,
    FALSE
  ),
  0
)
"),"")</f>
        <v/>
      </c>
      <c r="AD55" s="65">
        <f t="shared" ref="AD55:AE55" si="270">Z55-AB55</f>
        <v>8</v>
      </c>
      <c r="AE55" s="65">
        <f t="shared" si="270"/>
        <v>6.5</v>
      </c>
      <c r="AF55" s="53">
        <f>IFERROR(__xludf.DUMMYFUNCTION("IFERROR(
  VLOOKUP(
    A55,
    IMPORTRANGE(
      ""1ZHMy3vVUd_0MrSduXTe1etBb1HNpAlGwQr006ljwMiM"",
      ""GSC最新!A:F""
    ),
    6,
    FALSE
  ),
  0
)
"),46081.0)</f>
        <v>46081</v>
      </c>
      <c r="AG55" s="54">
        <f>IFERROR(__xludf.DUMMYFUNCTION("IFERROR(
  VLOOKUP(
    A55,
    IMPORTRANGE(
      ""1SCYQd7_cobOYqT0r_F0IqD4tE4rYn5y8Eup4PJTH8es"",
      ""Snapshot!A:M""
    ),
    5,
    FALSE
  ),
  ""-""
)
"),0.0)</f>
        <v>0</v>
      </c>
      <c r="AH55" s="54">
        <f>IFERROR(__xludf.DUMMYFUNCTION("IFERROR(
  VLOOKUP(
    A55,
    IMPORTRANGE(
      ""1SCYQd7_cobOYqT0r_F0IqD4tE4rYn5y8Eup4PJTH8es"",
      ""Snapshot!A:M""
    ),
    6,
    FALSE
  ),
  0
)
"),0.0)</f>
        <v>0</v>
      </c>
      <c r="AI55" s="54">
        <f>IFERROR(__xludf.DUMMYFUNCTION("IFERROR(
  VLOOKUP(
    A55,
    IMPORTRANGE(
      ""1SCYQd7_cobOYqT0r_F0IqD4tE4rYn5y8Eup4PJTH8es"",
      ""Snapshot!A:M""
    ),
    7,
    FALSE
  ),
  0
)
"),578.0)</f>
        <v>578</v>
      </c>
      <c r="AJ55" s="54">
        <f>IFERROR(__xludf.DUMMYFUNCTION("IFERROR(
  VLOOKUP(
    A55,
    IMPORTRANGE(
      ""1SCYQd7_cobOYqT0r_F0IqD4tE4rYn5y8Eup4PJTH8es"",
      ""Snapshot!A:M""
    ),
    8,
    FALSE
  ),
  0
)
"),1.0)</f>
        <v>1</v>
      </c>
      <c r="AK55" s="54">
        <f>IFERROR(__xludf.DUMMYFUNCTION("IFERROR(
  VLOOKUP(
    A55,
    IMPORTRANGE(
      ""1SCYQd7_cobOYqT0r_F0IqD4tE4rYn5y8Eup4PJTH8es"",
      ""Snapshot!A:M""
    ),
    9,
    FALSE
  ),
  0
)
"),0.0)</f>
        <v>0</v>
      </c>
      <c r="AL55" s="54">
        <f>IFERROR(__xludf.DUMMYFUNCTION("IFERROR(
  VLOOKUP(
    A55,
    IMPORTRANGE(
      ""1SCYQd7_cobOYqT0r_F0IqD4tE4rYn5y8Eup4PJTH8es"",
      ""Snapshot!A:M""
    ),
    13,
    FALSE
  ),
  0
)
"),2.0)</f>
        <v>2</v>
      </c>
    </row>
    <row r="56">
      <c r="A56" s="1" t="s">
        <v>938</v>
      </c>
      <c r="B56" s="1" t="str">
        <f>IFERROR(__xludf.DUMMYFUNCTION("IFERROR(
  VLOOKUP(
    A56,
    IMPORTRANGE(
      ""1ZygntHC1J6IxzKbTidmOyf5nUyW4GCLurHCjexrLm_o"",
      ""HTMLキャッシュ!A:F""
    ),
    2,
    FALSE
  ),
  0
)
"),"NW")</f>
        <v>NW</v>
      </c>
      <c r="C56" s="49">
        <f t="shared" ref="C56:D56" si="271">LEN(E56)</f>
        <v>33</v>
      </c>
      <c r="D56" s="49">
        <f t="shared" si="271"/>
        <v>55</v>
      </c>
      <c r="E56" s="1" t="str">
        <f>IFERROR(__xludf.DUMMYFUNCTION("IFERROR(
  VLOOKUP(
    A56,
    IMPORTRANGE(
      ""1ZygntHC1J6IxzKbTidmOyf5nUyW4GCLurHCjexrLm_o"",
      ""HTMLキャッシュ!A:F""
    ),
    5,
    FALSE
  ),
  0
)
"),"2021年度生徒募集のお知らせ【個別】 - 古典専門塾 かきつばた")</f>
        <v>2021年度生徒募集のお知らせ【個別】 - 古典専門塾 かきつばた</v>
      </c>
      <c r="F56" s="1" t="str">
        <f>IFERROR(__xludf.DUMMYFUNCTION("IFERROR(
  VLOOKUP(
    A56,
    IMPORTRANGE(
      ""1ZygntHC1J6IxzKbTidmOyf5nUyW4GCLurHCjexrLm_o        "",
      ""HTMLキャッシュ!A:F""
    ),
    6,
    FALSE
  ),
  0
)
"),"本日より、2021年度、「完全１対１」の個別指導の生徒募集を開始いたします。 詳細については、下記をご覧くださ")</f>
        <v>本日より、2021年度、「完全１対１」の個別指導の生徒募集を開始いたします。 詳細については、下記をご覧くださ</v>
      </c>
      <c r="G56" s="32">
        <f>IFERROR(__xludf.DUMMYFUNCTION("IFERROR(
  VLOOKUP(
    A56,
    IMPORTRANGE(
      ""1ZygntHC1J6IxzKbTidmOyf5nUyW4GCLurHCjexrLm_o        "",
      ""HTMLキャッシュ!A:F""
    ),
    3,
    FALSE
  ),
  0
)
"),45597.74414351852)</f>
        <v>45597.74414</v>
      </c>
      <c r="H56" s="49">
        <f>IFERROR(__xludf.DUMMYFUNCTION("IFERROR(
  VLOOKUP(
    A56,
    IMPORTRANGE(
      ""1ZHMy3vVUd_0MrSduXTe1etBb1HNpAlGwQr006ljwMiM"",
      ""GSC最新!A:F""
    ),
    2,
    FALSE
  ),
  0
)
"),0.0)</f>
        <v>0</v>
      </c>
      <c r="I56" s="49">
        <f>IFERROR(__xludf.DUMMYFUNCTION("IFERROR(
  VLOOKUP(
    A56,
    IMPORTRANGE(
      ""1ZHMy3vVUd_0MrSduXTe1etBb1HNpAlGwQr006ljwMiM"",
      ""GSC最新!A:F""
    ),
    3,
    FALSE
  ),
  0
)
"),0.0)</f>
        <v>0</v>
      </c>
      <c r="J56" s="49">
        <f>IFERROR(__xludf.DUMMYFUNCTION("IFERROR(
  VLOOKUP(
    A56,
    IMPORTRANGE(
      ""1ZHMy3vVUd_0MrSduXTe1etBb1HNpAlGwQr006ljwMiM"",
      ""GSC最新!A:F""
    ),
    4,
    FALSE
  ),
  0
)
"),0.0)</f>
        <v>0</v>
      </c>
      <c r="K56" s="49">
        <f>IFERROR(__xludf.DUMMYFUNCTION("IFERROR(
  VLOOKUP(
    A56,
    IMPORTRANGE(
      ""1ZHMy3vVUd_0MrSduXTe1etBb1HNpAlGwQr006ljwMiM"",
      ""GSC最新!A:F""
    ),
    5,
    FALSE
  ),
  0
)
"),0.0)</f>
        <v>0</v>
      </c>
      <c r="L56" s="50" t="str">
        <f t="shared" ref="L56:M56" si="272">IFERROR(H56/J56,"-")</f>
        <v>-</v>
      </c>
      <c r="M56" s="50" t="str">
        <f t="shared" si="272"/>
        <v>-</v>
      </c>
      <c r="N56" s="6">
        <f>IFERROR(__xludf.DUMMYFUNCTION("IFERROR(
  VLOOKUP(
    A56,
    IMPORTRANGE(
      ""1ZHMy3vVUd_0MrSduXTe1etBb1HNpAlGwQr006ljwMiM"",
      ""GSC最新!A:R""
    ),
    7,
    FALSE
  ),
  0
)
"),0.0)</f>
        <v>0</v>
      </c>
      <c r="O56" s="6">
        <f>IFERROR(__xludf.DUMMYFUNCTION("IFERROR(
  VLOOKUP(
    A56,
    IMPORTRANGE(
      ""1ZHMy3vVUd_0MrSduXTe1etBb1HNpAlGwQr006ljwMiM"",
      ""GSC最新!A:R""
    ),
    10,
    FALSE
  ),
  0
)
"),0.0)</f>
        <v>0</v>
      </c>
      <c r="P56" s="6">
        <f>IFERROR(__xludf.DUMMYFUNCTION("IFERROR(
  VLOOKUP(
    A56,
    IMPORTRANGE(
      ""1ZHMy3vVUd_0MrSduXTe1etBb1HNpAlGwQr006ljwMiM"",
      ""GSC最新!A:R""
    ),
    13,
    FALSE
  ),
  0
)
"),0.0)</f>
        <v>0</v>
      </c>
      <c r="Q56" s="6">
        <f>IFERROR(__xludf.DUMMYFUNCTION("IFERROR(
  VLOOKUP(
    A56,
    IMPORTRANGE(
      ""1ZHMy3vVUd_0MrSduXTe1etBb1HNpAlGwQr006ljwMiM"",
      ""GSC最新!A:R""
    ),
    16,
    FALSE
  ),
  0
)
"),0.0)</f>
        <v>0</v>
      </c>
      <c r="R56" s="51" t="str">
        <f t="shared" ref="R56:S56" si="273">IFERROR(N56/P56,"-")</f>
        <v>-</v>
      </c>
      <c r="S56" s="51" t="str">
        <f t="shared" si="273"/>
        <v>-</v>
      </c>
      <c r="T56" s="9">
        <f>IFERROR(__xludf.DUMMYFUNCTION("IFERROR(
  VLOOKUP(
    A56,
    IMPORTRANGE(
      ""1ZHMy3vVUd_0MrSduXTe1etBb1HNpAlGwQr006ljwMiM"",
      ""GSC最新!A:R""
    ),
    8,
    FALSE
  ),
  0
)
"),0.0)</f>
        <v>0</v>
      </c>
      <c r="U56" s="9">
        <f>IFERROR(__xludf.DUMMYFUNCTION("IFERROR(
  VLOOKUP(
    A56,
    IMPORTRANGE(
      ""1ZHMy3vVUd_0MrSduXTe1etBb1HNpAlGwQr006ljwMiM"",
      ""GSC最新!A:R""
    ),
    11,
    FALSE
  ),
  0
)
"),0.0)</f>
        <v>0</v>
      </c>
      <c r="V56" s="9">
        <f>IFERROR(__xludf.DUMMYFUNCTION("IFERROR(
  VLOOKUP(
    A56,
    IMPORTRANGE(
      ""1ZHMy3vVUd_0MrSduXTe1etBb1HNpAlGwQr006ljwMiM"",
      ""GSC最新!A:R""
    ),
    14,
    FALSE
  ),
  0
)
"),0.0)</f>
        <v>0</v>
      </c>
      <c r="W56" s="9">
        <f>IFERROR(__xludf.DUMMYFUNCTION("IFERROR(
  VLOOKUP(
    A56,
    IMPORTRANGE(
      ""1ZHMy3vVUd_0MrSduXTe1etBb1HNpAlGwQr006ljwMiM"",
      ""GSC最新!A:R""
    ),
    17,
    FALSE
  ),
  0
)
"),0.0)</f>
        <v>0</v>
      </c>
      <c r="X56" s="9">
        <f t="shared" ref="X56:Y56" si="274">IFERROR(T56-V56,"-")</f>
        <v>0</v>
      </c>
      <c r="Y56" s="9">
        <f t="shared" si="274"/>
        <v>0</v>
      </c>
      <c r="Z56" s="65" t="str">
        <f>IFERROR(__xludf.DUMMYFUNCTION("IFERROR(
  VLOOKUP(
    A56,
    IMPORTRANGE(
      ""1ZHMy3vVUd_0MrSduXTe1etBb1HNpAlGwQr006ljwMiM"",
      ""GSC最新!A:R""
    ),
    9,
    FALSE
  ),
  0
)
"),"")</f>
        <v/>
      </c>
      <c r="AA56" s="65" t="str">
        <f>IFERROR(__xludf.DUMMYFUNCTION("IFERROR(
  VLOOKUP(
    A56,
    IMPORTRANGE(
      ""1ZHMy3vVUd_0MrSduXTe1etBb1HNpAlGwQr006ljwMiM"",
      ""GSC最新!A:R""
    ),
    12,
    FALSE
  ),
  0
)
"),"")</f>
        <v/>
      </c>
      <c r="AB56" s="65" t="str">
        <f>IFERROR(__xludf.DUMMYFUNCTION("IFERROR(
  VLOOKUP(
    A56,
    IMPORTRANGE(
      ""1ZHMy3vVUd_0MrSduXTe1etBb1HNpAlGwQr006ljwMiM"",
      ""GSC最新!A:R""
    ),
    15,
    FALSE
  ),
  0
)
"),"")</f>
        <v/>
      </c>
      <c r="AC56" s="65" t="str">
        <f>IFERROR(__xludf.DUMMYFUNCTION("IFERROR(
  VLOOKUP(
    A56,
    IMPORTRANGE(
      ""1ZHMy3vVUd_0MrSduXTe1etBb1HNpAlGwQr006ljwMiM"",
      ""GSC最新!A:R""
    ),
    18,
    FALSE
  ),
  0
)
"),"")</f>
        <v/>
      </c>
      <c r="AD56" s="65">
        <f t="shared" ref="AD56:AE56" si="275">Z56-AB56</f>
        <v>0</v>
      </c>
      <c r="AE56" s="65">
        <f t="shared" si="275"/>
        <v>0</v>
      </c>
      <c r="AF56" s="53">
        <f>IFERROR(__xludf.DUMMYFUNCTION("IFERROR(
  VLOOKUP(
    A56,
    IMPORTRANGE(
      ""1ZHMy3vVUd_0MrSduXTe1etBb1HNpAlGwQr006ljwMiM"",
      ""GSC最新!A:F""
    ),
    6,
    FALSE
  ),
  0
)
"),46081.0)</f>
        <v>46081</v>
      </c>
      <c r="AG56" s="54">
        <f>IFERROR(__xludf.DUMMYFUNCTION("IFERROR(
  VLOOKUP(
    A56,
    IMPORTRANGE(
      ""1SCYQd7_cobOYqT0r_F0IqD4tE4rYn5y8Eup4PJTH8es"",
      ""Snapshot!A:M""
    ),
    5,
    FALSE
  ),
  ""-""
)
"),0.0)</f>
        <v>0</v>
      </c>
      <c r="AH56" s="54">
        <f>IFERROR(__xludf.DUMMYFUNCTION("IFERROR(
  VLOOKUP(
    A56,
    IMPORTRANGE(
      ""1SCYQd7_cobOYqT0r_F0IqD4tE4rYn5y8Eup4PJTH8es"",
      ""Snapshot!A:M""
    ),
    6,
    FALSE
  ),
  0
)
"),0.0)</f>
        <v>0</v>
      </c>
      <c r="AI56" s="54">
        <f>IFERROR(__xludf.DUMMYFUNCTION("IFERROR(
  VLOOKUP(
    A56,
    IMPORTRANGE(
      ""1SCYQd7_cobOYqT0r_F0IqD4tE4rYn5y8Eup4PJTH8es"",
      ""Snapshot!A:M""
    ),
    7,
    FALSE
  ),
  0
)
"),301.0)</f>
        <v>301</v>
      </c>
      <c r="AJ56" s="54">
        <f>IFERROR(__xludf.DUMMYFUNCTION("IFERROR(
  VLOOKUP(
    A56,
    IMPORTRANGE(
      ""1SCYQd7_cobOYqT0r_F0IqD4tE4rYn5y8Eup4PJTH8es"",
      ""Snapshot!A:M""
    ),
    8,
    FALSE
  ),
  0
)
"),3.0)</f>
        <v>3</v>
      </c>
      <c r="AK56" s="54">
        <f>IFERROR(__xludf.DUMMYFUNCTION("IFERROR(
  VLOOKUP(
    A56,
    IMPORTRANGE(
      ""1SCYQd7_cobOYqT0r_F0IqD4tE4rYn5y8Eup4PJTH8es"",
      ""Snapshot!A:M""
    ),
    9,
    FALSE
  ),
  0
)
"),0.0)</f>
        <v>0</v>
      </c>
      <c r="AL56" s="54">
        <f>IFERROR(__xludf.DUMMYFUNCTION("IFERROR(
  VLOOKUP(
    A56,
    IMPORTRANGE(
      ""1SCYQd7_cobOYqT0r_F0IqD4tE4rYn5y8Eup4PJTH8es"",
      ""Snapshot!A:M""
    ),
    13,
    FALSE
  ),
  0
)
"),2.0)</f>
        <v>2</v>
      </c>
    </row>
    <row r="57">
      <c r="A57" s="1" t="s">
        <v>939</v>
      </c>
      <c r="B57" s="1" t="str">
        <f>IFERROR(__xludf.DUMMYFUNCTION("IFERROR(
  VLOOKUP(
    A57,
    IMPORTRANGE(
      ""1ZygntHC1J6IxzKbTidmOyf5nUyW4GCLurHCjexrLm_o"",
      ""HTMLキャッシュ!A:F""
    ),
    2,
    FALSE
  ),
  0
)
"),"NW")</f>
        <v>NW</v>
      </c>
      <c r="C57" s="49">
        <f t="shared" ref="C57:D57" si="276">LEN(E57)</f>
        <v>33</v>
      </c>
      <c r="D57" s="49">
        <f t="shared" si="276"/>
        <v>55</v>
      </c>
      <c r="E57" s="1" t="str">
        <f>IFERROR(__xludf.DUMMYFUNCTION("IFERROR(
  VLOOKUP(
    A57,
    IMPORTRANGE(
      ""1ZygntHC1J6IxzKbTidmOyf5nUyW4GCLurHCjexrLm_o"",
      ""HTMLキャッシュ!A:F""
    ),
    5,
    FALSE
  ),
  0
)
"),"2022年度生徒募集のお知らせ【個別】 - 古典専門塾 かきつばた")</f>
        <v>2022年度生徒募集のお知らせ【個別】 - 古典専門塾 かきつばた</v>
      </c>
      <c r="F57" s="1" t="str">
        <f>IFERROR(__xludf.DUMMYFUNCTION("IFERROR(
  VLOOKUP(
    A57,
    IMPORTRANGE(
      ""1ZygntHC1J6IxzKbTidmOyf5nUyW4GCLurHCjexrLm_o        "",
      ""HTMLキャッシュ!A:F""
    ),
    6,
    FALSE
  ),
  0
)
"),"本日より、2022年度、「完全１対１」の個別指導の生徒募集を開始いたします。 詳細については、下記をご覧くださ")</f>
        <v>本日より、2022年度、「完全１対１」の個別指導の生徒募集を開始いたします。 詳細については、下記をご覧くださ</v>
      </c>
      <c r="G57" s="32">
        <f>IFERROR(__xludf.DUMMYFUNCTION("IFERROR(
  VLOOKUP(
    A57,
    IMPORTRANGE(
      ""1ZygntHC1J6IxzKbTidmOyf5nUyW4GCLurHCjexrLm_o        "",
      ""HTMLキャッシュ!A:F""
    ),
    3,
    FALSE
  ),
  0
)
"),45597.74165509259)</f>
        <v>45597.74166</v>
      </c>
      <c r="H57" s="49">
        <f>IFERROR(__xludf.DUMMYFUNCTION("IFERROR(
  VLOOKUP(
    A57,
    IMPORTRANGE(
      ""1ZHMy3vVUd_0MrSduXTe1etBb1HNpAlGwQr006ljwMiM"",
      ""GSC最新!A:F""
    ),
    2,
    FALSE
  ),
  0
)
"),0.0)</f>
        <v>0</v>
      </c>
      <c r="I57" s="49">
        <f>IFERROR(__xludf.DUMMYFUNCTION("IFERROR(
  VLOOKUP(
    A57,
    IMPORTRANGE(
      ""1ZHMy3vVUd_0MrSduXTe1etBb1HNpAlGwQr006ljwMiM"",
      ""GSC最新!A:F""
    ),
    3,
    FALSE
  ),
  0
)
"),0.0)</f>
        <v>0</v>
      </c>
      <c r="J57" s="49">
        <f>IFERROR(__xludf.DUMMYFUNCTION("IFERROR(
  VLOOKUP(
    A57,
    IMPORTRANGE(
      ""1ZHMy3vVUd_0MrSduXTe1etBb1HNpAlGwQr006ljwMiM"",
      ""GSC最新!A:F""
    ),
    4,
    FALSE
  ),
  0
)
"),0.0)</f>
        <v>0</v>
      </c>
      <c r="K57" s="49">
        <f>IFERROR(__xludf.DUMMYFUNCTION("IFERROR(
  VLOOKUP(
    A57,
    IMPORTRANGE(
      ""1ZHMy3vVUd_0MrSduXTe1etBb1HNpAlGwQr006ljwMiM"",
      ""GSC最新!A:F""
    ),
    5,
    FALSE
  ),
  0
)
"),0.0)</f>
        <v>0</v>
      </c>
      <c r="L57" s="50" t="str">
        <f t="shared" ref="L57:M57" si="277">IFERROR(H57/J57,"-")</f>
        <v>-</v>
      </c>
      <c r="M57" s="50" t="str">
        <f t="shared" si="277"/>
        <v>-</v>
      </c>
      <c r="N57" s="6">
        <f>IFERROR(__xludf.DUMMYFUNCTION("IFERROR(
  VLOOKUP(
    A57,
    IMPORTRANGE(
      ""1ZHMy3vVUd_0MrSduXTe1etBb1HNpAlGwQr006ljwMiM"",
      ""GSC最新!A:R""
    ),
    7,
    FALSE
  ),
  0
)
"),0.0)</f>
        <v>0</v>
      </c>
      <c r="O57" s="6">
        <f>IFERROR(__xludf.DUMMYFUNCTION("IFERROR(
  VLOOKUP(
    A57,
    IMPORTRANGE(
      ""1ZHMy3vVUd_0MrSduXTe1etBb1HNpAlGwQr006ljwMiM"",
      ""GSC最新!A:R""
    ),
    10,
    FALSE
  ),
  0
)
"),0.0)</f>
        <v>0</v>
      </c>
      <c r="P57" s="6">
        <f>IFERROR(__xludf.DUMMYFUNCTION("IFERROR(
  VLOOKUP(
    A57,
    IMPORTRANGE(
      ""1ZHMy3vVUd_0MrSduXTe1etBb1HNpAlGwQr006ljwMiM"",
      ""GSC最新!A:R""
    ),
    13,
    FALSE
  ),
  0
)
"),0.0)</f>
        <v>0</v>
      </c>
      <c r="Q57" s="6">
        <f>IFERROR(__xludf.DUMMYFUNCTION("IFERROR(
  VLOOKUP(
    A57,
    IMPORTRANGE(
      ""1ZHMy3vVUd_0MrSduXTe1etBb1HNpAlGwQr006ljwMiM"",
      ""GSC最新!A:R""
    ),
    16,
    FALSE
  ),
  0
)
"),0.0)</f>
        <v>0</v>
      </c>
      <c r="R57" s="51" t="str">
        <f t="shared" ref="R57:S57" si="278">IFERROR(N57/P57,"-")</f>
        <v>-</v>
      </c>
      <c r="S57" s="51" t="str">
        <f t="shared" si="278"/>
        <v>-</v>
      </c>
      <c r="T57" s="9">
        <f>IFERROR(__xludf.DUMMYFUNCTION("IFERROR(
  VLOOKUP(
    A57,
    IMPORTRANGE(
      ""1ZHMy3vVUd_0MrSduXTe1etBb1HNpAlGwQr006ljwMiM"",
      ""GSC最新!A:R""
    ),
    8,
    FALSE
  ),
  0
)
"),0.0)</f>
        <v>0</v>
      </c>
      <c r="U57" s="9">
        <f>IFERROR(__xludf.DUMMYFUNCTION("IFERROR(
  VLOOKUP(
    A57,
    IMPORTRANGE(
      ""1ZHMy3vVUd_0MrSduXTe1etBb1HNpAlGwQr006ljwMiM"",
      ""GSC最新!A:R""
    ),
    11,
    FALSE
  ),
  0
)
"),0.0)</f>
        <v>0</v>
      </c>
      <c r="V57" s="9">
        <f>IFERROR(__xludf.DUMMYFUNCTION("IFERROR(
  VLOOKUP(
    A57,
    IMPORTRANGE(
      ""1ZHMy3vVUd_0MrSduXTe1etBb1HNpAlGwQr006ljwMiM"",
      ""GSC最新!A:R""
    ),
    14,
    FALSE
  ),
  0
)
"),0.0)</f>
        <v>0</v>
      </c>
      <c r="W57" s="9">
        <f>IFERROR(__xludf.DUMMYFUNCTION("IFERROR(
  VLOOKUP(
    A57,
    IMPORTRANGE(
      ""1ZHMy3vVUd_0MrSduXTe1etBb1HNpAlGwQr006ljwMiM"",
      ""GSC最新!A:R""
    ),
    17,
    FALSE
  ),
  0
)
"),0.0)</f>
        <v>0</v>
      </c>
      <c r="X57" s="9">
        <f t="shared" ref="X57:Y57" si="279">IFERROR(T57-V57,"-")</f>
        <v>0</v>
      </c>
      <c r="Y57" s="9">
        <f t="shared" si="279"/>
        <v>0</v>
      </c>
      <c r="Z57" s="65" t="str">
        <f>IFERROR(__xludf.DUMMYFUNCTION("IFERROR(
  VLOOKUP(
    A57,
    IMPORTRANGE(
      ""1ZHMy3vVUd_0MrSduXTe1etBb1HNpAlGwQr006ljwMiM"",
      ""GSC最新!A:R""
    ),
    9,
    FALSE
  ),
  0
)
"),"")</f>
        <v/>
      </c>
      <c r="AA57" s="65" t="str">
        <f>IFERROR(__xludf.DUMMYFUNCTION("IFERROR(
  VLOOKUP(
    A57,
    IMPORTRANGE(
      ""1ZHMy3vVUd_0MrSduXTe1etBb1HNpAlGwQr006ljwMiM"",
      ""GSC最新!A:R""
    ),
    12,
    FALSE
  ),
  0
)
"),"")</f>
        <v/>
      </c>
      <c r="AB57" s="65" t="str">
        <f>IFERROR(__xludf.DUMMYFUNCTION("IFERROR(
  VLOOKUP(
    A57,
    IMPORTRANGE(
      ""1ZHMy3vVUd_0MrSduXTe1etBb1HNpAlGwQr006ljwMiM"",
      ""GSC最新!A:R""
    ),
    15,
    FALSE
  ),
  0
)
"),"")</f>
        <v/>
      </c>
      <c r="AC57" s="65" t="str">
        <f>IFERROR(__xludf.DUMMYFUNCTION("IFERROR(
  VLOOKUP(
    A57,
    IMPORTRANGE(
      ""1ZHMy3vVUd_0MrSduXTe1etBb1HNpAlGwQr006ljwMiM"",
      ""GSC最新!A:R""
    ),
    18,
    FALSE
  ),
  0
)
"),"")</f>
        <v/>
      </c>
      <c r="AD57" s="65">
        <f t="shared" ref="AD57:AE57" si="280">Z57-AB57</f>
        <v>0</v>
      </c>
      <c r="AE57" s="65">
        <f t="shared" si="280"/>
        <v>0</v>
      </c>
      <c r="AF57" s="53">
        <f>IFERROR(__xludf.DUMMYFUNCTION("IFERROR(
  VLOOKUP(
    A57,
    IMPORTRANGE(
      ""1ZHMy3vVUd_0MrSduXTe1etBb1HNpAlGwQr006ljwMiM"",
      ""GSC最新!A:F""
    ),
    6,
    FALSE
  ),
  0
)
"),46081.0)</f>
        <v>46081</v>
      </c>
      <c r="AG57" s="54">
        <f>IFERROR(__xludf.DUMMYFUNCTION("IFERROR(
  VLOOKUP(
    A57,
    IMPORTRANGE(
      ""1SCYQd7_cobOYqT0r_F0IqD4tE4rYn5y8Eup4PJTH8es"",
      ""Snapshot!A:M""
    ),
    5,
    FALSE
  ),
  ""-""
)
"),0.0)</f>
        <v>0</v>
      </c>
      <c r="AH57" s="54">
        <f>IFERROR(__xludf.DUMMYFUNCTION("IFERROR(
  VLOOKUP(
    A57,
    IMPORTRANGE(
      ""1SCYQd7_cobOYqT0r_F0IqD4tE4rYn5y8Eup4PJTH8es"",
      ""Snapshot!A:M""
    ),
    6,
    FALSE
  ),
  0
)
"),0.0)</f>
        <v>0</v>
      </c>
      <c r="AI57" s="54">
        <f>IFERROR(__xludf.DUMMYFUNCTION("IFERROR(
  VLOOKUP(
    A57,
    IMPORTRANGE(
      ""1SCYQd7_cobOYqT0r_F0IqD4tE4rYn5y8Eup4PJTH8es"",
      ""Snapshot!A:M""
    ),
    7,
    FALSE
  ),
  0
)
"),301.0)</f>
        <v>301</v>
      </c>
      <c r="AJ57" s="54">
        <f>IFERROR(__xludf.DUMMYFUNCTION("IFERROR(
  VLOOKUP(
    A57,
    IMPORTRANGE(
      ""1SCYQd7_cobOYqT0r_F0IqD4tE4rYn5y8Eup4PJTH8es"",
      ""Snapshot!A:M""
    ),
    8,
    FALSE
  ),
  0
)
"),3.0)</f>
        <v>3</v>
      </c>
      <c r="AK57" s="54">
        <f>IFERROR(__xludf.DUMMYFUNCTION("IFERROR(
  VLOOKUP(
    A57,
    IMPORTRANGE(
      ""1SCYQd7_cobOYqT0r_F0IqD4tE4rYn5y8Eup4PJTH8es"",
      ""Snapshot!A:M""
    ),
    9,
    FALSE
  ),
  0
)
"),0.0)</f>
        <v>0</v>
      </c>
      <c r="AL57" s="54">
        <f>IFERROR(__xludf.DUMMYFUNCTION("IFERROR(
  VLOOKUP(
    A57,
    IMPORTRANGE(
      ""1SCYQd7_cobOYqT0r_F0IqD4tE4rYn5y8Eup4PJTH8es"",
      ""Snapshot!A:M""
    ),
    13,
    FALSE
  ),
  0
)
"),2.0)</f>
        <v>2</v>
      </c>
    </row>
    <row r="58">
      <c r="A58" s="1" t="s">
        <v>940</v>
      </c>
      <c r="B58" s="1" t="str">
        <f>IFERROR(__xludf.DUMMYFUNCTION("IFERROR(
  VLOOKUP(
    A58,
    IMPORTRANGE(
      ""1ZygntHC1J6IxzKbTidmOyf5nUyW4GCLurHCjexrLm_o"",
      ""HTMLキャッシュ!A:F""
    ),
    2,
    FALSE
  ),
  0
)
"),"NW")</f>
        <v>NW</v>
      </c>
      <c r="C58" s="49">
        <f t="shared" ref="C58:D58" si="281">LEN(E58)</f>
        <v>33</v>
      </c>
      <c r="D58" s="49">
        <f t="shared" si="281"/>
        <v>55</v>
      </c>
      <c r="E58" s="1" t="str">
        <f>IFERROR(__xludf.DUMMYFUNCTION("IFERROR(
  VLOOKUP(
    A58,
    IMPORTRANGE(
      ""1ZygntHC1J6IxzKbTidmOyf5nUyW4GCLurHCjexrLm_o"",
      ""HTMLキャッシュ!A:F""
    ),
    5,
    FALSE
  ),
  0
)
"),"2023年度生徒募集のお知らせ【個別】 - 古典専門塾 かきつばた")</f>
        <v>2023年度生徒募集のお知らせ【個別】 - 古典専門塾 かきつばた</v>
      </c>
      <c r="F58" s="1" t="str">
        <f>IFERROR(__xludf.DUMMYFUNCTION("IFERROR(
  VLOOKUP(
    A58,
    IMPORTRANGE(
      ""1ZygntHC1J6IxzKbTidmOyf5nUyW4GCLurHCjexrLm_o        "",
      ""HTMLキャッシュ!A:F""
    ),
    6,
    FALSE
  ),
  0
)
"),"本日より、2023年度、「完全１対１」の個別指導の生徒募集を開始いたします。 詳細については、下記をご覧くださ")</f>
        <v>本日より、2023年度、「完全１対１」の個別指導の生徒募集を開始いたします。 詳細については、下記をご覧くださ</v>
      </c>
      <c r="G58" s="32">
        <f>IFERROR(__xludf.DUMMYFUNCTION("IFERROR(
  VLOOKUP(
    A58,
    IMPORTRANGE(
      ""1ZygntHC1J6IxzKbTidmOyf5nUyW4GCLurHCjexrLm_o        "",
      ""HTMLキャッシュ!A:F""
    ),
    3,
    FALSE
  ),
  0
)
"),45597.73836805556)</f>
        <v>45597.73837</v>
      </c>
      <c r="H58" s="49">
        <f>IFERROR(__xludf.DUMMYFUNCTION("IFERROR(
  VLOOKUP(
    A58,
    IMPORTRANGE(
      ""1ZHMy3vVUd_0MrSduXTe1etBb1HNpAlGwQr006ljwMiM"",
      ""GSC最新!A:F""
    ),
    2,
    FALSE
  ),
  0
)
"),0.0)</f>
        <v>0</v>
      </c>
      <c r="I58" s="49">
        <f>IFERROR(__xludf.DUMMYFUNCTION("IFERROR(
  VLOOKUP(
    A58,
    IMPORTRANGE(
      ""1ZHMy3vVUd_0MrSduXTe1etBb1HNpAlGwQr006ljwMiM"",
      ""GSC最新!A:F""
    ),
    3,
    FALSE
  ),
  0
)
"),0.0)</f>
        <v>0</v>
      </c>
      <c r="J58" s="49">
        <f>IFERROR(__xludf.DUMMYFUNCTION("IFERROR(
  VLOOKUP(
    A58,
    IMPORTRANGE(
      ""1ZHMy3vVUd_0MrSduXTe1etBb1HNpAlGwQr006ljwMiM"",
      ""GSC最新!A:F""
    ),
    4,
    FALSE
  ),
  0
)
"),0.0)</f>
        <v>0</v>
      </c>
      <c r="K58" s="49">
        <f>IFERROR(__xludf.DUMMYFUNCTION("IFERROR(
  VLOOKUP(
    A58,
    IMPORTRANGE(
      ""1ZHMy3vVUd_0MrSduXTe1etBb1HNpAlGwQr006ljwMiM"",
      ""GSC最新!A:F""
    ),
    5,
    FALSE
  ),
  0
)
"),0.0)</f>
        <v>0</v>
      </c>
      <c r="L58" s="50" t="str">
        <f t="shared" ref="L58:M58" si="282">IFERROR(H58/J58,"-")</f>
        <v>-</v>
      </c>
      <c r="M58" s="50" t="str">
        <f t="shared" si="282"/>
        <v>-</v>
      </c>
      <c r="N58" s="6">
        <f>IFERROR(__xludf.DUMMYFUNCTION("IFERROR(
  VLOOKUP(
    A58,
    IMPORTRANGE(
      ""1ZHMy3vVUd_0MrSduXTe1etBb1HNpAlGwQr006ljwMiM"",
      ""GSC最新!A:R""
    ),
    7,
    FALSE
  ),
  0
)
"),0.0)</f>
        <v>0</v>
      </c>
      <c r="O58" s="6">
        <f>IFERROR(__xludf.DUMMYFUNCTION("IFERROR(
  VLOOKUP(
    A58,
    IMPORTRANGE(
      ""1ZHMy3vVUd_0MrSduXTe1etBb1HNpAlGwQr006ljwMiM"",
      ""GSC最新!A:R""
    ),
    10,
    FALSE
  ),
  0
)
"),0.0)</f>
        <v>0</v>
      </c>
      <c r="P58" s="6">
        <f>IFERROR(__xludf.DUMMYFUNCTION("IFERROR(
  VLOOKUP(
    A58,
    IMPORTRANGE(
      ""1ZHMy3vVUd_0MrSduXTe1etBb1HNpAlGwQr006ljwMiM"",
      ""GSC最新!A:R""
    ),
    13,
    FALSE
  ),
  0
)
"),0.0)</f>
        <v>0</v>
      </c>
      <c r="Q58" s="6">
        <f>IFERROR(__xludf.DUMMYFUNCTION("IFERROR(
  VLOOKUP(
    A58,
    IMPORTRANGE(
      ""1ZHMy3vVUd_0MrSduXTe1etBb1HNpAlGwQr006ljwMiM"",
      ""GSC最新!A:R""
    ),
    16,
    FALSE
  ),
  0
)
"),0.0)</f>
        <v>0</v>
      </c>
      <c r="R58" s="51" t="str">
        <f t="shared" ref="R58:S58" si="283">IFERROR(N58/P58,"-")</f>
        <v>-</v>
      </c>
      <c r="S58" s="51" t="str">
        <f t="shared" si="283"/>
        <v>-</v>
      </c>
      <c r="T58" s="9">
        <f>IFERROR(__xludf.DUMMYFUNCTION("IFERROR(
  VLOOKUP(
    A58,
    IMPORTRANGE(
      ""1ZHMy3vVUd_0MrSduXTe1etBb1HNpAlGwQr006ljwMiM"",
      ""GSC最新!A:R""
    ),
    8,
    FALSE
  ),
  0
)
"),0.0)</f>
        <v>0</v>
      </c>
      <c r="U58" s="9">
        <f>IFERROR(__xludf.DUMMYFUNCTION("IFERROR(
  VLOOKUP(
    A58,
    IMPORTRANGE(
      ""1ZHMy3vVUd_0MrSduXTe1etBb1HNpAlGwQr006ljwMiM"",
      ""GSC最新!A:R""
    ),
    11,
    FALSE
  ),
  0
)
"),0.0)</f>
        <v>0</v>
      </c>
      <c r="V58" s="9">
        <f>IFERROR(__xludf.DUMMYFUNCTION("IFERROR(
  VLOOKUP(
    A58,
    IMPORTRANGE(
      ""1ZHMy3vVUd_0MrSduXTe1etBb1HNpAlGwQr006ljwMiM"",
      ""GSC最新!A:R""
    ),
    14,
    FALSE
  ),
  0
)
"),0.0)</f>
        <v>0</v>
      </c>
      <c r="W58" s="9">
        <f>IFERROR(__xludf.DUMMYFUNCTION("IFERROR(
  VLOOKUP(
    A58,
    IMPORTRANGE(
      ""1ZHMy3vVUd_0MrSduXTe1etBb1HNpAlGwQr006ljwMiM"",
      ""GSC最新!A:R""
    ),
    17,
    FALSE
  ),
  0
)
"),0.0)</f>
        <v>0</v>
      </c>
      <c r="X58" s="9">
        <f t="shared" ref="X58:Y58" si="284">IFERROR(T58-V58,"-")</f>
        <v>0</v>
      </c>
      <c r="Y58" s="9">
        <f t="shared" si="284"/>
        <v>0</v>
      </c>
      <c r="Z58" s="65" t="str">
        <f>IFERROR(__xludf.DUMMYFUNCTION("IFERROR(
  VLOOKUP(
    A58,
    IMPORTRANGE(
      ""1ZHMy3vVUd_0MrSduXTe1etBb1HNpAlGwQr006ljwMiM"",
      ""GSC最新!A:R""
    ),
    9,
    FALSE
  ),
  0
)
"),"")</f>
        <v/>
      </c>
      <c r="AA58" s="65" t="str">
        <f>IFERROR(__xludf.DUMMYFUNCTION("IFERROR(
  VLOOKUP(
    A58,
    IMPORTRANGE(
      ""1ZHMy3vVUd_0MrSduXTe1etBb1HNpAlGwQr006ljwMiM"",
      ""GSC最新!A:R""
    ),
    12,
    FALSE
  ),
  0
)
"),"")</f>
        <v/>
      </c>
      <c r="AB58" s="65" t="str">
        <f>IFERROR(__xludf.DUMMYFUNCTION("IFERROR(
  VLOOKUP(
    A58,
    IMPORTRANGE(
      ""1ZHMy3vVUd_0MrSduXTe1etBb1HNpAlGwQr006ljwMiM"",
      ""GSC最新!A:R""
    ),
    15,
    FALSE
  ),
  0
)
"),"")</f>
        <v/>
      </c>
      <c r="AC58" s="65" t="str">
        <f>IFERROR(__xludf.DUMMYFUNCTION("IFERROR(
  VLOOKUP(
    A58,
    IMPORTRANGE(
      ""1ZHMy3vVUd_0MrSduXTe1etBb1HNpAlGwQr006ljwMiM"",
      ""GSC最新!A:R""
    ),
    18,
    FALSE
  ),
  0
)
"),"")</f>
        <v/>
      </c>
      <c r="AD58" s="65">
        <f t="shared" ref="AD58:AE58" si="285">Z58-AB58</f>
        <v>0</v>
      </c>
      <c r="AE58" s="65">
        <f t="shared" si="285"/>
        <v>0</v>
      </c>
      <c r="AF58" s="53">
        <f>IFERROR(__xludf.DUMMYFUNCTION("IFERROR(
  VLOOKUP(
    A58,
    IMPORTRANGE(
      ""1ZHMy3vVUd_0MrSduXTe1etBb1HNpAlGwQr006ljwMiM"",
      ""GSC最新!A:F""
    ),
    6,
    FALSE
  ),
  0
)
"),46081.0)</f>
        <v>46081</v>
      </c>
      <c r="AG58" s="54">
        <f>IFERROR(__xludf.DUMMYFUNCTION("IFERROR(
  VLOOKUP(
    A58,
    IMPORTRANGE(
      ""1SCYQd7_cobOYqT0r_F0IqD4tE4rYn5y8Eup4PJTH8es"",
      ""Snapshot!A:M""
    ),
    5,
    FALSE
  ),
  ""-""
)
"),0.0)</f>
        <v>0</v>
      </c>
      <c r="AH58" s="54">
        <f>IFERROR(__xludf.DUMMYFUNCTION("IFERROR(
  VLOOKUP(
    A58,
    IMPORTRANGE(
      ""1SCYQd7_cobOYqT0r_F0IqD4tE4rYn5y8Eup4PJTH8es"",
      ""Snapshot!A:M""
    ),
    6,
    FALSE
  ),
  0
)
"),0.0)</f>
        <v>0</v>
      </c>
      <c r="AI58" s="54">
        <f>IFERROR(__xludf.DUMMYFUNCTION("IFERROR(
  VLOOKUP(
    A58,
    IMPORTRANGE(
      ""1SCYQd7_cobOYqT0r_F0IqD4tE4rYn5y8Eup4PJTH8es"",
      ""Snapshot!A:M""
    ),
    7,
    FALSE
  ),
  0
)
"),301.0)</f>
        <v>301</v>
      </c>
      <c r="AJ58" s="54">
        <f>IFERROR(__xludf.DUMMYFUNCTION("IFERROR(
  VLOOKUP(
    A58,
    IMPORTRANGE(
      ""1SCYQd7_cobOYqT0r_F0IqD4tE4rYn5y8Eup4PJTH8es"",
      ""Snapshot!A:M""
    ),
    8,
    FALSE
  ),
  0
)
"),2.0)</f>
        <v>2</v>
      </c>
      <c r="AK58" s="54">
        <f>IFERROR(__xludf.DUMMYFUNCTION("IFERROR(
  VLOOKUP(
    A58,
    IMPORTRANGE(
      ""1SCYQd7_cobOYqT0r_F0IqD4tE4rYn5y8Eup4PJTH8es"",
      ""Snapshot!A:M""
    ),
    9,
    FALSE
  ),
  0
)
"),0.0)</f>
        <v>0</v>
      </c>
      <c r="AL58" s="54">
        <f>IFERROR(__xludf.DUMMYFUNCTION("IFERROR(
  VLOOKUP(
    A58,
    IMPORTRANGE(
      ""1SCYQd7_cobOYqT0r_F0IqD4tE4rYn5y8Eup4PJTH8es"",
      ""Snapshot!A:M""
    ),
    13,
    FALSE
  ),
  0
)
"),2.0)</f>
        <v>2</v>
      </c>
    </row>
    <row r="59">
      <c r="A59" s="1" t="s">
        <v>941</v>
      </c>
      <c r="B59" s="1" t="str">
        <f>IFERROR(__xludf.DUMMYFUNCTION("IFERROR(
  VLOOKUP(
    A59,
    IMPORTRANGE(
      ""1ZygntHC1J6IxzKbTidmOyf5nUyW4GCLurHCjexrLm_o"",
      ""HTMLキャッシュ!A:F""
    ),
    2,
    FALSE
  ),
  0
)
"),"NW")</f>
        <v>NW</v>
      </c>
      <c r="C59" s="49">
        <f t="shared" ref="C59:D59" si="286">LEN(E59)</f>
        <v>29</v>
      </c>
      <c r="D59" s="49">
        <f t="shared" si="286"/>
        <v>55</v>
      </c>
      <c r="E59" s="1" t="str">
        <f>IFERROR(__xludf.DUMMYFUNCTION("IFERROR(
  VLOOKUP(
    A59,
    IMPORTRANGE(
      ""1ZygntHC1J6IxzKbTidmOyf5nUyW4GCLurHCjexrLm_o"",
      ""HTMLキャッシュ!A:F""
    ),
    5,
    FALSE
  ),
  0
)
"),"2022年度春期講習のお知らせ - 古典専門塾 かきつばた")</f>
        <v>2022年度春期講習のお知らせ - 古典専門塾 かきつばた</v>
      </c>
      <c r="F59" s="1" t="str">
        <f>IFERROR(__xludf.DUMMYFUNCTION("IFERROR(
  VLOOKUP(
    A59,
    IMPORTRANGE(
      ""1ZygntHC1J6IxzKbTidmOyf5nUyW4GCLurHCjexrLm_o        "",
      ""HTMLキャッシュ!A:F""
    ),
    6,
    FALSE
  ),
  0
)
"),"弊塾では2022年度春期講習会を実施いたします。現在当塾に通う塾生の皆さんはもちろん、普段は他塾に通われている")</f>
        <v>弊塾では2022年度春期講習会を実施いたします。現在当塾に通う塾生の皆さんはもちろん、普段は他塾に通われている</v>
      </c>
      <c r="G59" s="32">
        <f>IFERROR(__xludf.DUMMYFUNCTION("IFERROR(
  VLOOKUP(
    A59,
    IMPORTRANGE(
      ""1ZygntHC1J6IxzKbTidmOyf5nUyW4GCLurHCjexrLm_o        "",
      ""HTMLキャッシュ!A:F""
    ),
    3,
    FALSE
  ),
  0
)
"),45592.85434027778)</f>
        <v>45592.85434</v>
      </c>
      <c r="H59" s="49">
        <f>IFERROR(__xludf.DUMMYFUNCTION("IFERROR(
  VLOOKUP(
    A59,
    IMPORTRANGE(
      ""1ZHMy3vVUd_0MrSduXTe1etBb1HNpAlGwQr006ljwMiM"",
      ""GSC最新!A:F""
    ),
    2,
    FALSE
  ),
  0
)
"),0.0)</f>
        <v>0</v>
      </c>
      <c r="I59" s="49">
        <f>IFERROR(__xludf.DUMMYFUNCTION("IFERROR(
  VLOOKUP(
    A59,
    IMPORTRANGE(
      ""1ZHMy3vVUd_0MrSduXTe1etBb1HNpAlGwQr006ljwMiM"",
      ""GSC最新!A:F""
    ),
    3,
    FALSE
  ),
  0
)
"),0.0)</f>
        <v>0</v>
      </c>
      <c r="J59" s="49">
        <f>IFERROR(__xludf.DUMMYFUNCTION("IFERROR(
  VLOOKUP(
    A59,
    IMPORTRANGE(
      ""1ZHMy3vVUd_0MrSduXTe1etBb1HNpAlGwQr006ljwMiM"",
      ""GSC最新!A:F""
    ),
    4,
    FALSE
  ),
  0
)
"),0.0)</f>
        <v>0</v>
      </c>
      <c r="K59" s="49">
        <f>IFERROR(__xludf.DUMMYFUNCTION("IFERROR(
  VLOOKUP(
    A59,
    IMPORTRANGE(
      ""1ZHMy3vVUd_0MrSduXTe1etBb1HNpAlGwQr006ljwMiM"",
      ""GSC最新!A:F""
    ),
    5,
    FALSE
  ),
  0
)
"),0.0)</f>
        <v>0</v>
      </c>
      <c r="L59" s="50" t="str">
        <f t="shared" ref="L59:M59" si="287">IFERROR(H59/J59,"-")</f>
        <v>-</v>
      </c>
      <c r="M59" s="50" t="str">
        <f t="shared" si="287"/>
        <v>-</v>
      </c>
      <c r="N59" s="6">
        <f>IFERROR(__xludf.DUMMYFUNCTION("IFERROR(
  VLOOKUP(
    A59,
    IMPORTRANGE(
      ""1ZHMy3vVUd_0MrSduXTe1etBb1HNpAlGwQr006ljwMiM"",
      ""GSC最新!A:R""
    ),
    7,
    FALSE
  ),
  0
)
"),0.0)</f>
        <v>0</v>
      </c>
      <c r="O59" s="6">
        <f>IFERROR(__xludf.DUMMYFUNCTION("IFERROR(
  VLOOKUP(
    A59,
    IMPORTRANGE(
      ""1ZHMy3vVUd_0MrSduXTe1etBb1HNpAlGwQr006ljwMiM"",
      ""GSC最新!A:R""
    ),
    10,
    FALSE
  ),
  0
)
"),0.0)</f>
        <v>0</v>
      </c>
      <c r="P59" s="6">
        <f>IFERROR(__xludf.DUMMYFUNCTION("IFERROR(
  VLOOKUP(
    A59,
    IMPORTRANGE(
      ""1ZHMy3vVUd_0MrSduXTe1etBb1HNpAlGwQr006ljwMiM"",
      ""GSC最新!A:R""
    ),
    13,
    FALSE
  ),
  0
)
"),0.0)</f>
        <v>0</v>
      </c>
      <c r="Q59" s="6">
        <f>IFERROR(__xludf.DUMMYFUNCTION("IFERROR(
  VLOOKUP(
    A59,
    IMPORTRANGE(
      ""1ZHMy3vVUd_0MrSduXTe1etBb1HNpAlGwQr006ljwMiM"",
      ""GSC最新!A:R""
    ),
    16,
    FALSE
  ),
  0
)
"),0.0)</f>
        <v>0</v>
      </c>
      <c r="R59" s="51" t="str">
        <f t="shared" ref="R59:S59" si="288">IFERROR(N59/P59,"-")</f>
        <v>-</v>
      </c>
      <c r="S59" s="51" t="str">
        <f t="shared" si="288"/>
        <v>-</v>
      </c>
      <c r="T59" s="9">
        <f>IFERROR(__xludf.DUMMYFUNCTION("IFERROR(
  VLOOKUP(
    A59,
    IMPORTRANGE(
      ""1ZHMy3vVUd_0MrSduXTe1etBb1HNpAlGwQr006ljwMiM"",
      ""GSC最新!A:R""
    ),
    8,
    FALSE
  ),
  0
)
"),0.0)</f>
        <v>0</v>
      </c>
      <c r="U59" s="9">
        <f>IFERROR(__xludf.DUMMYFUNCTION("IFERROR(
  VLOOKUP(
    A59,
    IMPORTRANGE(
      ""1ZHMy3vVUd_0MrSduXTe1etBb1HNpAlGwQr006ljwMiM"",
      ""GSC最新!A:R""
    ),
    11,
    FALSE
  ),
  0
)
"),0.0)</f>
        <v>0</v>
      </c>
      <c r="V59" s="9">
        <f>IFERROR(__xludf.DUMMYFUNCTION("IFERROR(
  VLOOKUP(
    A59,
    IMPORTRANGE(
      ""1ZHMy3vVUd_0MrSduXTe1etBb1HNpAlGwQr006ljwMiM"",
      ""GSC最新!A:R""
    ),
    14,
    FALSE
  ),
  0
)
"),0.0)</f>
        <v>0</v>
      </c>
      <c r="W59" s="9">
        <f>IFERROR(__xludf.DUMMYFUNCTION("IFERROR(
  VLOOKUP(
    A59,
    IMPORTRANGE(
      ""1ZHMy3vVUd_0MrSduXTe1etBb1HNpAlGwQr006ljwMiM"",
      ""GSC最新!A:R""
    ),
    17,
    FALSE
  ),
  0
)
"),0.0)</f>
        <v>0</v>
      </c>
      <c r="X59" s="9">
        <f t="shared" ref="X59:Y59" si="289">IFERROR(T59-V59,"-")</f>
        <v>0</v>
      </c>
      <c r="Y59" s="9">
        <f t="shared" si="289"/>
        <v>0</v>
      </c>
      <c r="Z59" s="65" t="str">
        <f>IFERROR(__xludf.DUMMYFUNCTION("IFERROR(
  VLOOKUP(
    A59,
    IMPORTRANGE(
      ""1ZHMy3vVUd_0MrSduXTe1etBb1HNpAlGwQr006ljwMiM"",
      ""GSC最新!A:R""
    ),
    9,
    FALSE
  ),
  0
)
"),"")</f>
        <v/>
      </c>
      <c r="AA59" s="65" t="str">
        <f>IFERROR(__xludf.DUMMYFUNCTION("IFERROR(
  VLOOKUP(
    A59,
    IMPORTRANGE(
      ""1ZHMy3vVUd_0MrSduXTe1etBb1HNpAlGwQr006ljwMiM"",
      ""GSC最新!A:R""
    ),
    12,
    FALSE
  ),
  0
)
"),"")</f>
        <v/>
      </c>
      <c r="AB59" s="65" t="str">
        <f>IFERROR(__xludf.DUMMYFUNCTION("IFERROR(
  VLOOKUP(
    A59,
    IMPORTRANGE(
      ""1ZHMy3vVUd_0MrSduXTe1etBb1HNpAlGwQr006ljwMiM"",
      ""GSC最新!A:R""
    ),
    15,
    FALSE
  ),
  0
)
"),"")</f>
        <v/>
      </c>
      <c r="AC59" s="65" t="str">
        <f>IFERROR(__xludf.DUMMYFUNCTION("IFERROR(
  VLOOKUP(
    A59,
    IMPORTRANGE(
      ""1ZHMy3vVUd_0MrSduXTe1etBb1HNpAlGwQr006ljwMiM"",
      ""GSC最新!A:R""
    ),
    18,
    FALSE
  ),
  0
)
"),"")</f>
        <v/>
      </c>
      <c r="AD59" s="65">
        <f t="shared" ref="AD59:AE59" si="290">Z59-AB59</f>
        <v>0</v>
      </c>
      <c r="AE59" s="65">
        <f t="shared" si="290"/>
        <v>0</v>
      </c>
      <c r="AF59" s="53">
        <f>IFERROR(__xludf.DUMMYFUNCTION("IFERROR(
  VLOOKUP(
    A59,
    IMPORTRANGE(
      ""1ZHMy3vVUd_0MrSduXTe1etBb1HNpAlGwQr006ljwMiM"",
      ""GSC最新!A:F""
    ),
    6,
    FALSE
  ),
  0
)
"),46081.0)</f>
        <v>46081</v>
      </c>
      <c r="AG59" s="54">
        <f>IFERROR(__xludf.DUMMYFUNCTION("IFERROR(
  VLOOKUP(
    A59,
    IMPORTRANGE(
      ""1SCYQd7_cobOYqT0r_F0IqD4tE4rYn5y8Eup4PJTH8es"",
      ""Snapshot!A:M""
    ),
    5,
    FALSE
  ),
  ""-""
)
"),0.0)</f>
        <v>0</v>
      </c>
      <c r="AH59" s="54">
        <f>IFERROR(__xludf.DUMMYFUNCTION("IFERROR(
  VLOOKUP(
    A59,
    IMPORTRANGE(
      ""1SCYQd7_cobOYqT0r_F0IqD4tE4rYn5y8Eup4PJTH8es"",
      ""Snapshot!A:M""
    ),
    6,
    FALSE
  ),
  0
)
"),0.0)</f>
        <v>0</v>
      </c>
      <c r="AI59" s="54">
        <f>IFERROR(__xludf.DUMMYFUNCTION("IFERROR(
  VLOOKUP(
    A59,
    IMPORTRANGE(
      ""1SCYQd7_cobOYqT0r_F0IqD4tE4rYn5y8Eup4PJTH8es"",
      ""Snapshot!A:M""
    ),
    7,
    FALSE
  ),
  0
)
"),464.0)</f>
        <v>464</v>
      </c>
      <c r="AJ59" s="54">
        <f>IFERROR(__xludf.DUMMYFUNCTION("IFERROR(
  VLOOKUP(
    A59,
    IMPORTRANGE(
      ""1SCYQd7_cobOYqT0r_F0IqD4tE4rYn5y8Eup4PJTH8es"",
      ""Snapshot!A:M""
    ),
    8,
    FALSE
  ),
  0
)
"),1.0)</f>
        <v>1</v>
      </c>
      <c r="AK59" s="54">
        <f>IFERROR(__xludf.DUMMYFUNCTION("IFERROR(
  VLOOKUP(
    A59,
    IMPORTRANGE(
      ""1SCYQd7_cobOYqT0r_F0IqD4tE4rYn5y8Eup4PJTH8es"",
      ""Snapshot!A:M""
    ),
    9,
    FALSE
  ),
  0
)
"),0.0)</f>
        <v>0</v>
      </c>
      <c r="AL59" s="54">
        <f>IFERROR(__xludf.DUMMYFUNCTION("IFERROR(
  VLOOKUP(
    A59,
    IMPORTRANGE(
      ""1SCYQd7_cobOYqT0r_F0IqD4tE4rYn5y8Eup4PJTH8es"",
      ""Snapshot!A:M""
    ),
    13,
    FALSE
  ),
  0
)
"),2.0)</f>
        <v>2</v>
      </c>
    </row>
    <row r="60">
      <c r="A60" s="1" t="s">
        <v>942</v>
      </c>
      <c r="B60" s="1" t="str">
        <f>IFERROR(__xludf.DUMMYFUNCTION("IFERROR(
  VLOOKUP(
    A60,
    IMPORTRANGE(
      ""1ZygntHC1J6IxzKbTidmOyf5nUyW4GCLurHCjexrLm_o"",
      ""HTMLキャッシュ!A:F""
    ),
    2,
    FALSE
  ),
  0
)
"),"NW")</f>
        <v>NW</v>
      </c>
      <c r="C60" s="49">
        <f t="shared" ref="C60:D60" si="291">LEN(E60)</f>
        <v>31</v>
      </c>
      <c r="D60" s="49">
        <f t="shared" si="291"/>
        <v>55</v>
      </c>
      <c r="E60" s="1" t="str">
        <f>IFERROR(__xludf.DUMMYFUNCTION("IFERROR(
  VLOOKUP(
    A60,
    IMPORTRANGE(
      ""1ZygntHC1J6IxzKbTidmOyf5nUyW4GCLurHCjexrLm_o"",
      ""HTMLキャッシュ!A:F""
    ),
    5,
    FALSE
  ),
  0
)
"),"2022年度夏期講習開催のお知らせ - 古典専門塾 かきつばた")</f>
        <v>2022年度夏期講習開催のお知らせ - 古典専門塾 かきつばた</v>
      </c>
      <c r="F60" s="1" t="str">
        <f>IFERROR(__xludf.DUMMYFUNCTION("IFERROR(
  VLOOKUP(
    A60,
    IMPORTRANGE(
      ""1ZygntHC1J6IxzKbTidmOyf5nUyW4GCLurHCjexrLm_o        "",
      ""HTMLキャッシュ!A:F""
    ),
    6,
    FALSE
  ),
  0
)
"),"夏休みは、受験生にとってはまさに天王山、受験を1年以上先に控えるお子様にとっても、日頃忙しくて取り組めない課題")</f>
        <v>夏休みは、受験生にとってはまさに天王山、受験を1年以上先に控えるお子様にとっても、日頃忙しくて取り組めない課題</v>
      </c>
      <c r="G60" s="32">
        <f>IFERROR(__xludf.DUMMYFUNCTION("IFERROR(
  VLOOKUP(
    A60,
    IMPORTRANGE(
      ""1ZygntHC1J6IxzKbTidmOyf5nUyW4GCLurHCjexrLm_o        "",
      ""HTMLキャッシュ!A:F""
    ),
    3,
    FALSE
  ),
  0
)
"),45592.84767361111)</f>
        <v>45592.84767</v>
      </c>
      <c r="H60" s="49">
        <f>IFERROR(__xludf.DUMMYFUNCTION("IFERROR(
  VLOOKUP(
    A60,
    IMPORTRANGE(
      ""1ZHMy3vVUd_0MrSduXTe1etBb1HNpAlGwQr006ljwMiM"",
      ""GSC最新!A:F""
    ),
    2,
    FALSE
  ),
  0
)
"),0.0)</f>
        <v>0</v>
      </c>
      <c r="I60" s="49">
        <f>IFERROR(__xludf.DUMMYFUNCTION("IFERROR(
  VLOOKUP(
    A60,
    IMPORTRANGE(
      ""1ZHMy3vVUd_0MrSduXTe1etBb1HNpAlGwQr006ljwMiM"",
      ""GSC最新!A:F""
    ),
    3,
    FALSE
  ),
  0
)
"),0.0)</f>
        <v>0</v>
      </c>
      <c r="J60" s="49">
        <f>IFERROR(__xludf.DUMMYFUNCTION("IFERROR(
  VLOOKUP(
    A60,
    IMPORTRANGE(
      ""1ZHMy3vVUd_0MrSduXTe1etBb1HNpAlGwQr006ljwMiM"",
      ""GSC最新!A:F""
    ),
    4,
    FALSE
  ),
  0
)
"),0.0)</f>
        <v>0</v>
      </c>
      <c r="K60" s="49">
        <f>IFERROR(__xludf.DUMMYFUNCTION("IFERROR(
  VLOOKUP(
    A60,
    IMPORTRANGE(
      ""1ZHMy3vVUd_0MrSduXTe1etBb1HNpAlGwQr006ljwMiM"",
      ""GSC最新!A:F""
    ),
    5,
    FALSE
  ),
  0
)
"),0.0)</f>
        <v>0</v>
      </c>
      <c r="L60" s="50" t="str">
        <f t="shared" ref="L60:M60" si="292">IFERROR(H60/J60,"-")</f>
        <v>-</v>
      </c>
      <c r="M60" s="50" t="str">
        <f t="shared" si="292"/>
        <v>-</v>
      </c>
      <c r="N60" s="6">
        <f>IFERROR(__xludf.DUMMYFUNCTION("IFERROR(
  VLOOKUP(
    A60,
    IMPORTRANGE(
      ""1ZHMy3vVUd_0MrSduXTe1etBb1HNpAlGwQr006ljwMiM"",
      ""GSC最新!A:R""
    ),
    7,
    FALSE
  ),
  0
)
"),0.0)</f>
        <v>0</v>
      </c>
      <c r="O60" s="6">
        <f>IFERROR(__xludf.DUMMYFUNCTION("IFERROR(
  VLOOKUP(
    A60,
    IMPORTRANGE(
      ""1ZHMy3vVUd_0MrSduXTe1etBb1HNpAlGwQr006ljwMiM"",
      ""GSC最新!A:R""
    ),
    10,
    FALSE
  ),
  0
)
"),0.0)</f>
        <v>0</v>
      </c>
      <c r="P60" s="6">
        <f>IFERROR(__xludf.DUMMYFUNCTION("IFERROR(
  VLOOKUP(
    A60,
    IMPORTRANGE(
      ""1ZHMy3vVUd_0MrSduXTe1etBb1HNpAlGwQr006ljwMiM"",
      ""GSC最新!A:R""
    ),
    13,
    FALSE
  ),
  0
)
"),0.0)</f>
        <v>0</v>
      </c>
      <c r="Q60" s="6">
        <f>IFERROR(__xludf.DUMMYFUNCTION("IFERROR(
  VLOOKUP(
    A60,
    IMPORTRANGE(
      ""1ZHMy3vVUd_0MrSduXTe1etBb1HNpAlGwQr006ljwMiM"",
      ""GSC最新!A:R""
    ),
    16,
    FALSE
  ),
  0
)
"),0.0)</f>
        <v>0</v>
      </c>
      <c r="R60" s="51" t="str">
        <f t="shared" ref="R60:S60" si="293">IFERROR(N60/P60,"-")</f>
        <v>-</v>
      </c>
      <c r="S60" s="51" t="str">
        <f t="shared" si="293"/>
        <v>-</v>
      </c>
      <c r="T60" s="9">
        <f>IFERROR(__xludf.DUMMYFUNCTION("IFERROR(
  VLOOKUP(
    A60,
    IMPORTRANGE(
      ""1ZHMy3vVUd_0MrSduXTe1etBb1HNpAlGwQr006ljwMiM"",
      ""GSC最新!A:R""
    ),
    8,
    FALSE
  ),
  0
)
"),0.0)</f>
        <v>0</v>
      </c>
      <c r="U60" s="9">
        <f>IFERROR(__xludf.DUMMYFUNCTION("IFERROR(
  VLOOKUP(
    A60,
    IMPORTRANGE(
      ""1ZHMy3vVUd_0MrSduXTe1etBb1HNpAlGwQr006ljwMiM"",
      ""GSC最新!A:R""
    ),
    11,
    FALSE
  ),
  0
)
"),0.0)</f>
        <v>0</v>
      </c>
      <c r="V60" s="9">
        <f>IFERROR(__xludf.DUMMYFUNCTION("IFERROR(
  VLOOKUP(
    A60,
    IMPORTRANGE(
      ""1ZHMy3vVUd_0MrSduXTe1etBb1HNpAlGwQr006ljwMiM"",
      ""GSC最新!A:R""
    ),
    14,
    FALSE
  ),
  0
)
"),0.0)</f>
        <v>0</v>
      </c>
      <c r="W60" s="9">
        <f>IFERROR(__xludf.DUMMYFUNCTION("IFERROR(
  VLOOKUP(
    A60,
    IMPORTRANGE(
      ""1ZHMy3vVUd_0MrSduXTe1etBb1HNpAlGwQr006ljwMiM"",
      ""GSC最新!A:R""
    ),
    17,
    FALSE
  ),
  0
)
"),0.0)</f>
        <v>0</v>
      </c>
      <c r="X60" s="9">
        <f t="shared" ref="X60:Y60" si="294">IFERROR(T60-V60,"-")</f>
        <v>0</v>
      </c>
      <c r="Y60" s="9">
        <f t="shared" si="294"/>
        <v>0</v>
      </c>
      <c r="Z60" s="65" t="str">
        <f>IFERROR(__xludf.DUMMYFUNCTION("IFERROR(
  VLOOKUP(
    A60,
    IMPORTRANGE(
      ""1ZHMy3vVUd_0MrSduXTe1etBb1HNpAlGwQr006ljwMiM"",
      ""GSC最新!A:R""
    ),
    9,
    FALSE
  ),
  0
)
"),"")</f>
        <v/>
      </c>
      <c r="AA60" s="65" t="str">
        <f>IFERROR(__xludf.DUMMYFUNCTION("IFERROR(
  VLOOKUP(
    A60,
    IMPORTRANGE(
      ""1ZHMy3vVUd_0MrSduXTe1etBb1HNpAlGwQr006ljwMiM"",
      ""GSC最新!A:R""
    ),
    12,
    FALSE
  ),
  0
)
"),"")</f>
        <v/>
      </c>
      <c r="AB60" s="65" t="str">
        <f>IFERROR(__xludf.DUMMYFUNCTION("IFERROR(
  VLOOKUP(
    A60,
    IMPORTRANGE(
      ""1ZHMy3vVUd_0MrSduXTe1etBb1HNpAlGwQr006ljwMiM"",
      ""GSC最新!A:R""
    ),
    15,
    FALSE
  ),
  0
)
"),"")</f>
        <v/>
      </c>
      <c r="AC60" s="65" t="str">
        <f>IFERROR(__xludf.DUMMYFUNCTION("IFERROR(
  VLOOKUP(
    A60,
    IMPORTRANGE(
      ""1ZHMy3vVUd_0MrSduXTe1etBb1HNpAlGwQr006ljwMiM"",
      ""GSC最新!A:R""
    ),
    18,
    FALSE
  ),
  0
)
"),"")</f>
        <v/>
      </c>
      <c r="AD60" s="65">
        <f t="shared" ref="AD60:AE60" si="295">Z60-AB60</f>
        <v>0</v>
      </c>
      <c r="AE60" s="65">
        <f t="shared" si="295"/>
        <v>0</v>
      </c>
      <c r="AF60" s="53">
        <f>IFERROR(__xludf.DUMMYFUNCTION("IFERROR(
  VLOOKUP(
    A60,
    IMPORTRANGE(
      ""1ZHMy3vVUd_0MrSduXTe1etBb1HNpAlGwQr006ljwMiM"",
      ""GSC最新!A:F""
    ),
    6,
    FALSE
  ),
  0
)
"),46081.0)</f>
        <v>46081</v>
      </c>
      <c r="AG60" s="54">
        <f>IFERROR(__xludf.DUMMYFUNCTION("IFERROR(
  VLOOKUP(
    A60,
    IMPORTRANGE(
      ""1SCYQd7_cobOYqT0r_F0IqD4tE4rYn5y8Eup4PJTH8es"",
      ""Snapshot!A:M""
    ),
    5,
    FALSE
  ),
  ""-""
)
"),0.0)</f>
        <v>0</v>
      </c>
      <c r="AH60" s="54">
        <f>IFERROR(__xludf.DUMMYFUNCTION("IFERROR(
  VLOOKUP(
    A60,
    IMPORTRANGE(
      ""1SCYQd7_cobOYqT0r_F0IqD4tE4rYn5y8Eup4PJTH8es"",
      ""Snapshot!A:M""
    ),
    6,
    FALSE
  ),
  0
)
"),0.0)</f>
        <v>0</v>
      </c>
      <c r="AI60" s="54">
        <f>IFERROR(__xludf.DUMMYFUNCTION("IFERROR(
  VLOOKUP(
    A60,
    IMPORTRANGE(
      ""1SCYQd7_cobOYqT0r_F0IqD4tE4rYn5y8Eup4PJTH8es"",
      ""Snapshot!A:M""
    ),
    7,
    FALSE
  ),
  0
)
"),618.0)</f>
        <v>618</v>
      </c>
      <c r="AJ60" s="54">
        <f>IFERROR(__xludf.DUMMYFUNCTION("IFERROR(
  VLOOKUP(
    A60,
    IMPORTRANGE(
      ""1SCYQd7_cobOYqT0r_F0IqD4tE4rYn5y8Eup4PJTH8es"",
      ""Snapshot!A:M""
    ),
    8,
    FALSE
  ),
  0
)
"),1.0)</f>
        <v>1</v>
      </c>
      <c r="AK60" s="54">
        <f>IFERROR(__xludf.DUMMYFUNCTION("IFERROR(
  VLOOKUP(
    A60,
    IMPORTRANGE(
      ""1SCYQd7_cobOYqT0r_F0IqD4tE4rYn5y8Eup4PJTH8es"",
      ""Snapshot!A:M""
    ),
    9,
    FALSE
  ),
  0
)
"),0.0)</f>
        <v>0</v>
      </c>
      <c r="AL60" s="54">
        <f>IFERROR(__xludf.DUMMYFUNCTION("IFERROR(
  VLOOKUP(
    A60,
    IMPORTRANGE(
      ""1SCYQd7_cobOYqT0r_F0IqD4tE4rYn5y8Eup4PJTH8es"",
      ""Snapshot!A:M""
    ),
    13,
    FALSE
  ),
  0
)
"),2.0)</f>
        <v>2</v>
      </c>
    </row>
    <row r="61">
      <c r="A61" s="3" t="s">
        <v>943</v>
      </c>
      <c r="B61" s="1" t="str">
        <f>IFERROR(__xludf.DUMMYFUNCTION("IFERROR(
  VLOOKUP(
    A61,
    IMPORTRANGE(
      ""1ZygntHC1J6IxzKbTidmOyf5nUyW4GCLurHCjexrLm_o"",
      ""HTMLキャッシュ!A:F""
    ),
    2,
    FALSE
  ),
  0
)
"),"NW")</f>
        <v>NW</v>
      </c>
      <c r="C61" s="49">
        <f t="shared" ref="C61:D61" si="296">LEN(E61)</f>
        <v>32</v>
      </c>
      <c r="D61" s="49">
        <f t="shared" si="296"/>
        <v>55</v>
      </c>
      <c r="E61" s="1" t="str">
        <f>IFERROR(__xludf.DUMMYFUNCTION("IFERROR(
  VLOOKUP(
    A61,
    IMPORTRANGE(
      ""1ZygntHC1J6IxzKbTidmOyf5nUyW4GCLurHCjexrLm_o"",
      ""HTMLキャッシュ!A:F""
    ),
    5,
    FALSE
  ),
  0
)
"),"2020年度夏期講習会開催のお知らせ - 古典専門塾 かきつばた")</f>
        <v>2020年度夏期講習会開催のお知らせ - 古典専門塾 かきつばた</v>
      </c>
      <c r="F61" s="1" t="str">
        <f>IFERROR(__xludf.DUMMYFUNCTION("IFERROR(
  VLOOKUP(
    A61,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G61" s="32">
        <f>IFERROR(__xludf.DUMMYFUNCTION("IFERROR(
  VLOOKUP(
    A61,
    IMPORTRANGE(
      ""1ZygntHC1J6IxzKbTidmOyf5nUyW4GCLurHCjexrLm_o        "",
      ""HTMLキャッシュ!A:F""
    ),
    3,
    FALSE
  ),
  0
)
"),44166.52321759259)</f>
        <v>44166.52322</v>
      </c>
      <c r="H61" s="49">
        <f>IFERROR(__xludf.DUMMYFUNCTION("IFERROR(
  VLOOKUP(
    A61,
    IMPORTRANGE(
      ""1ZHMy3vVUd_0MrSduXTe1etBb1HNpAlGwQr006ljwMiM"",
      ""GSC最新!A:F""
    ),
    2,
    FALSE
  ),
  0
)
"),0.0)</f>
        <v>0</v>
      </c>
      <c r="I61" s="49">
        <f>IFERROR(__xludf.DUMMYFUNCTION("IFERROR(
  VLOOKUP(
    A61,
    IMPORTRANGE(
      ""1ZHMy3vVUd_0MrSduXTe1etBb1HNpAlGwQr006ljwMiM"",
      ""GSC最新!A:F""
    ),
    3,
    FALSE
  ),
  0
)
"),0.0)</f>
        <v>0</v>
      </c>
      <c r="J61" s="49">
        <f>IFERROR(__xludf.DUMMYFUNCTION("IFERROR(
  VLOOKUP(
    A61,
    IMPORTRANGE(
      ""1ZHMy3vVUd_0MrSduXTe1etBb1HNpAlGwQr006ljwMiM"",
      ""GSC最新!A:F""
    ),
    4,
    FALSE
  ),
  0
)
"),0.0)</f>
        <v>0</v>
      </c>
      <c r="K61" s="49">
        <f>IFERROR(__xludf.DUMMYFUNCTION("IFERROR(
  VLOOKUP(
    A61,
    IMPORTRANGE(
      ""1ZHMy3vVUd_0MrSduXTe1etBb1HNpAlGwQr006ljwMiM"",
      ""GSC最新!A:F""
    ),
    5,
    FALSE
  ),
  0
)
"),0.0)</f>
        <v>0</v>
      </c>
      <c r="L61" s="50" t="str">
        <f t="shared" ref="L61:M61" si="297">IFERROR(H61/J61,"-")</f>
        <v>-</v>
      </c>
      <c r="M61" s="50" t="str">
        <f t="shared" si="297"/>
        <v>-</v>
      </c>
      <c r="N61" s="6">
        <f>IFERROR(__xludf.DUMMYFUNCTION("IFERROR(
  VLOOKUP(
    A61,
    IMPORTRANGE(
      ""1ZHMy3vVUd_0MrSduXTe1etBb1HNpAlGwQr006ljwMiM"",
      ""GSC最新!A:R""
    ),
    7,
    FALSE
  ),
  0
)
"),0.0)</f>
        <v>0</v>
      </c>
      <c r="O61" s="6">
        <f>IFERROR(__xludf.DUMMYFUNCTION("IFERROR(
  VLOOKUP(
    A61,
    IMPORTRANGE(
      ""1ZHMy3vVUd_0MrSduXTe1etBb1HNpAlGwQr006ljwMiM"",
      ""GSC最新!A:R""
    ),
    10,
    FALSE
  ),
  0
)
"),0.0)</f>
        <v>0</v>
      </c>
      <c r="P61" s="6">
        <f>IFERROR(__xludf.DUMMYFUNCTION("IFERROR(
  VLOOKUP(
    A61,
    IMPORTRANGE(
      ""1ZHMy3vVUd_0MrSduXTe1etBb1HNpAlGwQr006ljwMiM"",
      ""GSC最新!A:R""
    ),
    13,
    FALSE
  ),
  0
)
"),0.0)</f>
        <v>0</v>
      </c>
      <c r="Q61" s="6">
        <f>IFERROR(__xludf.DUMMYFUNCTION("IFERROR(
  VLOOKUP(
    A61,
    IMPORTRANGE(
      ""1ZHMy3vVUd_0MrSduXTe1etBb1HNpAlGwQr006ljwMiM"",
      ""GSC最新!A:R""
    ),
    16,
    FALSE
  ),
  0
)
"),0.0)</f>
        <v>0</v>
      </c>
      <c r="R61" s="51" t="str">
        <f t="shared" ref="R61:S61" si="298">IFERROR(N61/P61,"-")</f>
        <v>-</v>
      </c>
      <c r="S61" s="51" t="str">
        <f t="shared" si="298"/>
        <v>-</v>
      </c>
      <c r="T61" s="9">
        <f>IFERROR(__xludf.DUMMYFUNCTION("IFERROR(
  VLOOKUP(
    A61,
    IMPORTRANGE(
      ""1ZHMy3vVUd_0MrSduXTe1etBb1HNpAlGwQr006ljwMiM"",
      ""GSC最新!A:R""
    ),
    8,
    FALSE
  ),
  0
)
"),0.0)</f>
        <v>0</v>
      </c>
      <c r="U61" s="9">
        <f>IFERROR(__xludf.DUMMYFUNCTION("IFERROR(
  VLOOKUP(
    A61,
    IMPORTRANGE(
      ""1ZHMy3vVUd_0MrSduXTe1etBb1HNpAlGwQr006ljwMiM"",
      ""GSC最新!A:R""
    ),
    11,
    FALSE
  ),
  0
)
"),0.0)</f>
        <v>0</v>
      </c>
      <c r="V61" s="9">
        <f>IFERROR(__xludf.DUMMYFUNCTION("IFERROR(
  VLOOKUP(
    A61,
    IMPORTRANGE(
      ""1ZHMy3vVUd_0MrSduXTe1etBb1HNpAlGwQr006ljwMiM"",
      ""GSC最新!A:R""
    ),
    14,
    FALSE
  ),
  0
)
"),0.0)</f>
        <v>0</v>
      </c>
      <c r="W61" s="9">
        <f>IFERROR(__xludf.DUMMYFUNCTION("IFERROR(
  VLOOKUP(
    A61,
    IMPORTRANGE(
      ""1ZHMy3vVUd_0MrSduXTe1etBb1HNpAlGwQr006ljwMiM"",
      ""GSC最新!A:R""
    ),
    17,
    FALSE
  ),
  0
)
"),0.0)</f>
        <v>0</v>
      </c>
      <c r="X61" s="9">
        <f t="shared" ref="X61:Y61" si="299">IFERROR(T61-V61,"-")</f>
        <v>0</v>
      </c>
      <c r="Y61" s="9">
        <f t="shared" si="299"/>
        <v>0</v>
      </c>
      <c r="Z61" s="65" t="str">
        <f>IFERROR(__xludf.DUMMYFUNCTION("IFERROR(
  VLOOKUP(
    A61,
    IMPORTRANGE(
      ""1ZHMy3vVUd_0MrSduXTe1etBb1HNpAlGwQr006ljwMiM"",
      ""GSC最新!A:R""
    ),
    9,
    FALSE
  ),
  0
)
"),"")</f>
        <v/>
      </c>
      <c r="AA61" s="65" t="str">
        <f>IFERROR(__xludf.DUMMYFUNCTION("IFERROR(
  VLOOKUP(
    A61,
    IMPORTRANGE(
      ""1ZHMy3vVUd_0MrSduXTe1etBb1HNpAlGwQr006ljwMiM"",
      ""GSC最新!A:R""
    ),
    12,
    FALSE
  ),
  0
)
"),"")</f>
        <v/>
      </c>
      <c r="AB61" s="65" t="str">
        <f>IFERROR(__xludf.DUMMYFUNCTION("IFERROR(
  VLOOKUP(
    A61,
    IMPORTRANGE(
      ""1ZHMy3vVUd_0MrSduXTe1etBb1HNpAlGwQr006ljwMiM"",
      ""GSC最新!A:R""
    ),
    15,
    FALSE
  ),
  0
)
"),"")</f>
        <v/>
      </c>
      <c r="AC61" s="65" t="str">
        <f>IFERROR(__xludf.DUMMYFUNCTION("IFERROR(
  VLOOKUP(
    A61,
    IMPORTRANGE(
      ""1ZHMy3vVUd_0MrSduXTe1etBb1HNpAlGwQr006ljwMiM"",
      ""GSC最新!A:R""
    ),
    18,
    FALSE
  ),
  0
)
"),"")</f>
        <v/>
      </c>
      <c r="AD61" s="65">
        <f t="shared" ref="AD61:AE61" si="300">Z61-AB61</f>
        <v>0</v>
      </c>
      <c r="AE61" s="65">
        <f t="shared" si="300"/>
        <v>0</v>
      </c>
      <c r="AF61" s="53">
        <f>IFERROR(__xludf.DUMMYFUNCTION("IFERROR(
  VLOOKUP(
    A61,
    IMPORTRANGE(
      ""1ZHMy3vVUd_0MrSduXTe1etBb1HNpAlGwQr006ljwMiM"",
      ""GSC最新!A:F""
    ),
    6,
    FALSE
  ),
  0
)
"),46081.0)</f>
        <v>46081</v>
      </c>
      <c r="AG61" s="54">
        <f>IFERROR(__xludf.DUMMYFUNCTION("IFERROR(
  VLOOKUP(
    A61,
    IMPORTRANGE(
      ""1SCYQd7_cobOYqT0r_F0IqD4tE4rYn5y8Eup4PJTH8es"",
      ""Snapshot!A:M""
    ),
    5,
    FALSE
  ),
  ""-""
)
"),0.0)</f>
        <v>0</v>
      </c>
      <c r="AH61" s="54">
        <f>IFERROR(__xludf.DUMMYFUNCTION("IFERROR(
  VLOOKUP(
    A61,
    IMPORTRANGE(
      ""1SCYQd7_cobOYqT0r_F0IqD4tE4rYn5y8Eup4PJTH8es"",
      ""Snapshot!A:M""
    ),
    6,
    FALSE
  ),
  0
)
"),0.0)</f>
        <v>0</v>
      </c>
      <c r="AI61" s="54">
        <f>IFERROR(__xludf.DUMMYFUNCTION("IFERROR(
  VLOOKUP(
    A61,
    IMPORTRANGE(
      ""1SCYQd7_cobOYqT0r_F0IqD4tE4rYn5y8Eup4PJTH8es"",
      ""Snapshot!A:M""
    ),
    7,
    FALSE
  ),
  0
)
"),819.0)</f>
        <v>819</v>
      </c>
      <c r="AJ61" s="54">
        <f>IFERROR(__xludf.DUMMYFUNCTION("IFERROR(
  VLOOKUP(
    A61,
    IMPORTRANGE(
      ""1SCYQd7_cobOYqT0r_F0IqD4tE4rYn5y8Eup4PJTH8es"",
      ""Snapshot!A:M""
    ),
    8,
    FALSE
  ),
  0
)
"),1.0)</f>
        <v>1</v>
      </c>
      <c r="AK61" s="54">
        <f>IFERROR(__xludf.DUMMYFUNCTION("IFERROR(
  VLOOKUP(
    A61,
    IMPORTRANGE(
      ""1SCYQd7_cobOYqT0r_F0IqD4tE4rYn5y8Eup4PJTH8es"",
      ""Snapshot!A:M""
    ),
    9,
    FALSE
  ),
  0
)
"),0.0)</f>
        <v>0</v>
      </c>
      <c r="AL61" s="54">
        <f>IFERROR(__xludf.DUMMYFUNCTION("IFERROR(
  VLOOKUP(
    A61,
    IMPORTRANGE(
      ""1SCYQd7_cobOYqT0r_F0IqD4tE4rYn5y8Eup4PJTH8es"",
      ""Snapshot!A:M""
    ),
    13,
    FALSE
  ),
  0
)
"),2.0)</f>
        <v>2</v>
      </c>
    </row>
    <row r="62">
      <c r="A62" s="3" t="s">
        <v>944</v>
      </c>
      <c r="B62" s="1" t="str">
        <f>IFERROR(__xludf.DUMMYFUNCTION("IFERROR(
  VLOOKUP(
    A62,
    IMPORTRANGE(
      ""1ZygntHC1J6IxzKbTidmOyf5nUyW4GCLurHCjexrLm_o"",
      ""HTMLキャッシュ!A:F""
    ),
    2,
    FALSE
  ),
  0
)
"),"NW")</f>
        <v>NW</v>
      </c>
      <c r="C62" s="49">
        <f t="shared" ref="C62:D62" si="301">LEN(E62)</f>
        <v>43</v>
      </c>
      <c r="D62" s="49">
        <f t="shared" si="301"/>
        <v>55</v>
      </c>
      <c r="E62" s="1" t="str">
        <f>IFERROR(__xludf.DUMMYFUNCTION("IFERROR(
  VLOOKUP(
    A62,
    IMPORTRANGE(
      ""1ZygntHC1J6IxzKbTidmOyf5nUyW4GCLurHCjexrLm_o"",
      ""HTMLキャッシュ!A:F""
    ),
    5,
    FALSE
  ),
  0
)
"),"「早稲田大突破セミナー」が11月3日(火)に開催されます！ - 古典専門塾 かきつばた")</f>
        <v>「早稲田大突破セミナー」が11月3日(火)に開催されます！ - 古典専門塾 かきつばた</v>
      </c>
      <c r="F62" s="1" t="str">
        <f>IFERROR(__xludf.DUMMYFUNCTION("IFERROR(
  VLOOKUP(
    A62,
    IMPORTRANGE(
      ""1ZygntHC1J6IxzKbTidmOyf5nUyW4GCLurHCjexrLm_o        "",
      ""HTMLキャッシュ!A:F""
    ),
    6,
    FALSE
  ),
  0
)
"),"早稲田大突破セミナー開催のお知らせ 中高一貫校専門塾エスコットにて、11月3日(火)に、「早稲田大突破セミナー")</f>
        <v>早稲田大突破セミナー開催のお知らせ 中高一貫校専門塾エスコットにて、11月3日(火)に、「早稲田大突破セミナー</v>
      </c>
      <c r="G62" s="32">
        <f>IFERROR(__xludf.DUMMYFUNCTION("IFERROR(
  VLOOKUP(
    A62,
    IMPORTRANGE(
      ""1ZygntHC1J6IxzKbTidmOyf5nUyW4GCLurHCjexrLm_o        "",
      ""HTMLキャッシュ!A:F""
    ),
    3,
    FALSE
  ),
  0
)
"),44126.53802083333)</f>
        <v>44126.53802</v>
      </c>
      <c r="H62" s="49">
        <f>IFERROR(__xludf.DUMMYFUNCTION("IFERROR(
  VLOOKUP(
    A62,
    IMPORTRANGE(
      ""1ZHMy3vVUd_0MrSduXTe1etBb1HNpAlGwQr006ljwMiM"",
      ""GSC最新!A:F""
    ),
    2,
    FALSE
  ),
  0
)
"),0.0)</f>
        <v>0</v>
      </c>
      <c r="I62" s="49">
        <f>IFERROR(__xludf.DUMMYFUNCTION("IFERROR(
  VLOOKUP(
    A62,
    IMPORTRANGE(
      ""1ZHMy3vVUd_0MrSduXTe1etBb1HNpAlGwQr006ljwMiM"",
      ""GSC最新!A:F""
    ),
    3,
    FALSE
  ),
  0
)
"),0.0)</f>
        <v>0</v>
      </c>
      <c r="J62" s="49">
        <f>IFERROR(__xludf.DUMMYFUNCTION("IFERROR(
  VLOOKUP(
    A62,
    IMPORTRANGE(
      ""1ZHMy3vVUd_0MrSduXTe1etBb1HNpAlGwQr006ljwMiM"",
      ""GSC最新!A:F""
    ),
    4,
    FALSE
  ),
  0
)
"),0.0)</f>
        <v>0</v>
      </c>
      <c r="K62" s="49">
        <f>IFERROR(__xludf.DUMMYFUNCTION("IFERROR(
  VLOOKUP(
    A62,
    IMPORTRANGE(
      ""1ZHMy3vVUd_0MrSduXTe1etBb1HNpAlGwQr006ljwMiM"",
      ""GSC最新!A:F""
    ),
    5,
    FALSE
  ),
  0
)
"),0.0)</f>
        <v>0</v>
      </c>
      <c r="L62" s="50" t="str">
        <f t="shared" ref="L62:M62" si="302">IFERROR(H62/J62,"-")</f>
        <v>-</v>
      </c>
      <c r="M62" s="50" t="str">
        <f t="shared" si="302"/>
        <v>-</v>
      </c>
      <c r="N62" s="6">
        <f>IFERROR(__xludf.DUMMYFUNCTION("IFERROR(
  VLOOKUP(
    A62,
    IMPORTRANGE(
      ""1ZHMy3vVUd_0MrSduXTe1etBb1HNpAlGwQr006ljwMiM"",
      ""GSC最新!A:R""
    ),
    7,
    FALSE
  ),
  0
)
"),0.0)</f>
        <v>0</v>
      </c>
      <c r="O62" s="6">
        <f>IFERROR(__xludf.DUMMYFUNCTION("IFERROR(
  VLOOKUP(
    A62,
    IMPORTRANGE(
      ""1ZHMy3vVUd_0MrSduXTe1etBb1HNpAlGwQr006ljwMiM"",
      ""GSC最新!A:R""
    ),
    10,
    FALSE
  ),
  0
)
"),0.0)</f>
        <v>0</v>
      </c>
      <c r="P62" s="6">
        <f>IFERROR(__xludf.DUMMYFUNCTION("IFERROR(
  VLOOKUP(
    A62,
    IMPORTRANGE(
      ""1ZHMy3vVUd_0MrSduXTe1etBb1HNpAlGwQr006ljwMiM"",
      ""GSC最新!A:R""
    ),
    13,
    FALSE
  ),
  0
)
"),0.0)</f>
        <v>0</v>
      </c>
      <c r="Q62" s="6">
        <f>IFERROR(__xludf.DUMMYFUNCTION("IFERROR(
  VLOOKUP(
    A62,
    IMPORTRANGE(
      ""1ZHMy3vVUd_0MrSduXTe1etBb1HNpAlGwQr006ljwMiM"",
      ""GSC最新!A:R""
    ),
    16,
    FALSE
  ),
  0
)
"),0.0)</f>
        <v>0</v>
      </c>
      <c r="R62" s="51" t="str">
        <f t="shared" ref="R62:S62" si="303">IFERROR(N62/P62,"-")</f>
        <v>-</v>
      </c>
      <c r="S62" s="51" t="str">
        <f t="shared" si="303"/>
        <v>-</v>
      </c>
      <c r="T62" s="9">
        <f>IFERROR(__xludf.DUMMYFUNCTION("IFERROR(
  VLOOKUP(
    A62,
    IMPORTRANGE(
      ""1ZHMy3vVUd_0MrSduXTe1etBb1HNpAlGwQr006ljwMiM"",
      ""GSC最新!A:R""
    ),
    8,
    FALSE
  ),
  0
)
"),0.0)</f>
        <v>0</v>
      </c>
      <c r="U62" s="9">
        <f>IFERROR(__xludf.DUMMYFUNCTION("IFERROR(
  VLOOKUP(
    A62,
    IMPORTRANGE(
      ""1ZHMy3vVUd_0MrSduXTe1etBb1HNpAlGwQr006ljwMiM"",
      ""GSC最新!A:R""
    ),
    11,
    FALSE
  ),
  0
)
"),0.0)</f>
        <v>0</v>
      </c>
      <c r="V62" s="9">
        <f>IFERROR(__xludf.DUMMYFUNCTION("IFERROR(
  VLOOKUP(
    A62,
    IMPORTRANGE(
      ""1ZHMy3vVUd_0MrSduXTe1etBb1HNpAlGwQr006ljwMiM"",
      ""GSC最新!A:R""
    ),
    14,
    FALSE
  ),
  0
)
"),0.0)</f>
        <v>0</v>
      </c>
      <c r="W62" s="9">
        <f>IFERROR(__xludf.DUMMYFUNCTION("IFERROR(
  VLOOKUP(
    A62,
    IMPORTRANGE(
      ""1ZHMy3vVUd_0MrSduXTe1etBb1HNpAlGwQr006ljwMiM"",
      ""GSC最新!A:R""
    ),
    17,
    FALSE
  ),
  0
)
"),0.0)</f>
        <v>0</v>
      </c>
      <c r="X62" s="9">
        <f t="shared" ref="X62:Y62" si="304">IFERROR(T62-V62,"-")</f>
        <v>0</v>
      </c>
      <c r="Y62" s="9">
        <f t="shared" si="304"/>
        <v>0</v>
      </c>
      <c r="Z62" s="65" t="str">
        <f>IFERROR(__xludf.DUMMYFUNCTION("IFERROR(
  VLOOKUP(
    A62,
    IMPORTRANGE(
      ""1ZHMy3vVUd_0MrSduXTe1etBb1HNpAlGwQr006ljwMiM"",
      ""GSC最新!A:R""
    ),
    9,
    FALSE
  ),
  0
)
"),"")</f>
        <v/>
      </c>
      <c r="AA62" s="65" t="str">
        <f>IFERROR(__xludf.DUMMYFUNCTION("IFERROR(
  VLOOKUP(
    A62,
    IMPORTRANGE(
      ""1ZHMy3vVUd_0MrSduXTe1etBb1HNpAlGwQr006ljwMiM"",
      ""GSC最新!A:R""
    ),
    12,
    FALSE
  ),
  0
)
"),"")</f>
        <v/>
      </c>
      <c r="AB62" s="65" t="str">
        <f>IFERROR(__xludf.DUMMYFUNCTION("IFERROR(
  VLOOKUP(
    A62,
    IMPORTRANGE(
      ""1ZHMy3vVUd_0MrSduXTe1etBb1HNpAlGwQr006ljwMiM"",
      ""GSC最新!A:R""
    ),
    15,
    FALSE
  ),
  0
)
"),"")</f>
        <v/>
      </c>
      <c r="AC62" s="65" t="str">
        <f>IFERROR(__xludf.DUMMYFUNCTION("IFERROR(
  VLOOKUP(
    A62,
    IMPORTRANGE(
      ""1ZHMy3vVUd_0MrSduXTe1etBb1HNpAlGwQr006ljwMiM"",
      ""GSC最新!A:R""
    ),
    18,
    FALSE
  ),
  0
)
"),"")</f>
        <v/>
      </c>
      <c r="AD62" s="65">
        <f t="shared" ref="AD62:AE62" si="305">Z62-AB62</f>
        <v>0</v>
      </c>
      <c r="AE62" s="65">
        <f t="shared" si="305"/>
        <v>0</v>
      </c>
      <c r="AF62" s="53">
        <f>IFERROR(__xludf.DUMMYFUNCTION("IFERROR(
  VLOOKUP(
    A62,
    IMPORTRANGE(
      ""1ZHMy3vVUd_0MrSduXTe1etBb1HNpAlGwQr006ljwMiM"",
      ""GSC最新!A:F""
    ),
    6,
    FALSE
  ),
  0
)
"),46081.0)</f>
        <v>46081</v>
      </c>
      <c r="AG62" s="54">
        <f>IFERROR(__xludf.DUMMYFUNCTION("IFERROR(
  VLOOKUP(
    A62,
    IMPORTRANGE(
      ""1SCYQd7_cobOYqT0r_F0IqD4tE4rYn5y8Eup4PJTH8es"",
      ""Snapshot!A:M""
    ),
    5,
    FALSE
  ),
  ""-""
)
"),1.0)</f>
        <v>1</v>
      </c>
      <c r="AH62" s="54">
        <f>IFERROR(__xludf.DUMMYFUNCTION("IFERROR(
  VLOOKUP(
    A62,
    IMPORTRANGE(
      ""1SCYQd7_cobOYqT0r_F0IqD4tE4rYn5y8Eup4PJTH8es"",
      ""Snapshot!A:M""
    ),
    6,
    FALSE
  ),
  0
)
"),0.0)</f>
        <v>0</v>
      </c>
      <c r="AI62" s="54">
        <f>IFERROR(__xludf.DUMMYFUNCTION("IFERROR(
  VLOOKUP(
    A62,
    IMPORTRANGE(
      ""1SCYQd7_cobOYqT0r_F0IqD4tE4rYn5y8Eup4PJTH8es"",
      ""Snapshot!A:M""
    ),
    7,
    FALSE
  ),
  0
)
"),725.0)</f>
        <v>725</v>
      </c>
      <c r="AJ62" s="54">
        <f>IFERROR(__xludf.DUMMYFUNCTION("IFERROR(
  VLOOKUP(
    A62,
    IMPORTRANGE(
      ""1SCYQd7_cobOYqT0r_F0IqD4tE4rYn5y8Eup4PJTH8es"",
      ""Snapshot!A:M""
    ),
    8,
    FALSE
  ),
  0
)
"),0.0)</f>
        <v>0</v>
      </c>
      <c r="AK62" s="54">
        <f>IFERROR(__xludf.DUMMYFUNCTION("IFERROR(
  VLOOKUP(
    A62,
    IMPORTRANGE(
      ""1SCYQd7_cobOYqT0r_F0IqD4tE4rYn5y8Eup4PJTH8es"",
      ""Snapshot!A:M""
    ),
    9,
    FALSE
  ),
  0
)
"),0.0)</f>
        <v>0</v>
      </c>
      <c r="AL62" s="54">
        <f>IFERROR(__xludf.DUMMYFUNCTION("IFERROR(
  VLOOKUP(
    A62,
    IMPORTRANGE(
      ""1SCYQd7_cobOYqT0r_F0IqD4tE4rYn5y8Eup4PJTH8es"",
      ""Snapshot!A:M""
    ),
    13,
    FALSE
  ),
  0
)
"),2.0)</f>
        <v>2</v>
      </c>
    </row>
    <row r="63">
      <c r="A63" s="3" t="s">
        <v>945</v>
      </c>
      <c r="B63" s="1" t="str">
        <f>IFERROR(__xludf.DUMMYFUNCTION("IFERROR(
  VLOOKUP(
    A63,
    IMPORTRANGE(
      ""1ZygntHC1J6IxzKbTidmOyf5nUyW4GCLurHCjexrLm_o"",
      ""HTMLキャッシュ!A:F""
    ),
    2,
    FALSE
  ),
  0
)
"),"NW")</f>
        <v>NW</v>
      </c>
      <c r="C63" s="49">
        <f t="shared" ref="C63:D63" si="306">LEN(E63)</f>
        <v>33</v>
      </c>
      <c r="D63" s="49">
        <f t="shared" si="306"/>
        <v>55</v>
      </c>
      <c r="E63" s="1" t="str">
        <f>IFERROR(__xludf.DUMMYFUNCTION("IFERROR(
  VLOOKUP(
    A63,
    IMPORTRANGE(
      ""1ZygntHC1J6IxzKbTidmOyf5nUyW4GCLurHCjexrLm_o"",
      ""HTMLキャッシュ!A:F""
    ),
    5,
    FALSE
  ),
  0
)
"),"2026年度生徒募集のお知らせ【個別】 - 古典専門塾 かきつばた")</f>
        <v>2026年度生徒募集のお知らせ【個別】 - 古典専門塾 かきつばた</v>
      </c>
      <c r="F63" s="1" t="str">
        <f>IFERROR(__xludf.DUMMYFUNCTION("IFERROR(
  VLOOKUP(
    A63,
    IMPORTRANGE(
      ""1ZygntHC1J6IxzKbTidmOyf5nUyW4GCLurHCjexrLm_o        "",
      ""HTMLキャッシュ!A:F""
    ),
    6,
    FALSE
  ),
  0
)
"),"本日より、2026年度、「完全１対１」の個別指導の生徒募集を開始致します。 詳細については、下記をご覧下さい。")</f>
        <v>本日より、2026年度、「完全１対１」の個別指導の生徒募集を開始致します。 詳細については、下記をご覧下さい。</v>
      </c>
      <c r="G63" s="32">
        <f>IFERROR(__xludf.DUMMYFUNCTION("IFERROR(
  VLOOKUP(
    A63,
    IMPORTRANGE(
      ""1ZygntHC1J6IxzKbTidmOyf5nUyW4GCLurHCjexrLm_o        "",
      ""HTMLキャッシュ!A:F""
    ),
    3,
    FALSE
  ),
  0
)
"),46027.57393518519)</f>
        <v>46027.57394</v>
      </c>
      <c r="H63" s="49">
        <f>IFERROR(__xludf.DUMMYFUNCTION("IFERROR(
  VLOOKUP(
    A63,
    IMPORTRANGE(
      ""1ZHMy3vVUd_0MrSduXTe1etBb1HNpAlGwQr006ljwMiM"",
      ""GSC最新!A:F""
    ),
    2,
    FALSE
  ),
  0
)
"),0.0)</f>
        <v>0</v>
      </c>
      <c r="I63" s="49">
        <f>IFERROR(__xludf.DUMMYFUNCTION("IFERROR(
  VLOOKUP(
    A63,
    IMPORTRANGE(
      ""1ZHMy3vVUd_0MrSduXTe1etBb1HNpAlGwQr006ljwMiM"",
      ""GSC最新!A:F""
    ),
    3,
    FALSE
  ),
  0
)
"),0.0)</f>
        <v>0</v>
      </c>
      <c r="J63" s="49">
        <f>IFERROR(__xludf.DUMMYFUNCTION("IFERROR(
  VLOOKUP(
    A63,
    IMPORTRANGE(
      ""1ZHMy3vVUd_0MrSduXTe1etBb1HNpAlGwQr006ljwMiM"",
      ""GSC最新!A:F""
    ),
    4,
    FALSE
  ),
  0
)
"),0.0)</f>
        <v>0</v>
      </c>
      <c r="K63" s="49">
        <f>IFERROR(__xludf.DUMMYFUNCTION("IFERROR(
  VLOOKUP(
    A63,
    IMPORTRANGE(
      ""1ZHMy3vVUd_0MrSduXTe1etBb1HNpAlGwQr006ljwMiM"",
      ""GSC最新!A:F""
    ),
    5,
    FALSE
  ),
  0
)
"),0.0)</f>
        <v>0</v>
      </c>
      <c r="L63" s="50" t="str">
        <f t="shared" ref="L63:M63" si="307">IFERROR(H63/J63,"-")</f>
        <v>-</v>
      </c>
      <c r="M63" s="50" t="str">
        <f t="shared" si="307"/>
        <v>-</v>
      </c>
      <c r="N63" s="6">
        <f>IFERROR(__xludf.DUMMYFUNCTION("IFERROR(
  VLOOKUP(
    A63,
    IMPORTRANGE(
      ""1ZHMy3vVUd_0MrSduXTe1etBb1HNpAlGwQr006ljwMiM"",
      ""GSC最新!A:R""
    ),
    7,
    FALSE
  ),
  0
)
"),0.0)</f>
        <v>0</v>
      </c>
      <c r="O63" s="6">
        <f>IFERROR(__xludf.DUMMYFUNCTION("IFERROR(
  VLOOKUP(
    A63,
    IMPORTRANGE(
      ""1ZHMy3vVUd_0MrSduXTe1etBb1HNpAlGwQr006ljwMiM"",
      ""GSC最新!A:R""
    ),
    10,
    FALSE
  ),
  0
)
"),0.0)</f>
        <v>0</v>
      </c>
      <c r="P63" s="6">
        <f>IFERROR(__xludf.DUMMYFUNCTION("IFERROR(
  VLOOKUP(
    A63,
    IMPORTRANGE(
      ""1ZHMy3vVUd_0MrSduXTe1etBb1HNpAlGwQr006ljwMiM"",
      ""GSC最新!A:R""
    ),
    13,
    FALSE
  ),
  0
)
"),0.0)</f>
        <v>0</v>
      </c>
      <c r="Q63" s="6">
        <f>IFERROR(__xludf.DUMMYFUNCTION("IFERROR(
  VLOOKUP(
    A63,
    IMPORTRANGE(
      ""1ZHMy3vVUd_0MrSduXTe1etBb1HNpAlGwQr006ljwMiM"",
      ""GSC最新!A:R""
    ),
    16,
    FALSE
  ),
  0
)
"),0.0)</f>
        <v>0</v>
      </c>
      <c r="R63" s="51" t="str">
        <f t="shared" ref="R63:S63" si="308">IFERROR(N63/P63,"-")</f>
        <v>-</v>
      </c>
      <c r="S63" s="51" t="str">
        <f t="shared" si="308"/>
        <v>-</v>
      </c>
      <c r="T63" s="9">
        <f>IFERROR(__xludf.DUMMYFUNCTION("IFERROR(
  VLOOKUP(
    A63,
    IMPORTRANGE(
      ""1ZHMy3vVUd_0MrSduXTe1etBb1HNpAlGwQr006ljwMiM"",
      ""GSC最新!A:R""
    ),
    8,
    FALSE
  ),
  0
)
"),0.0)</f>
        <v>0</v>
      </c>
      <c r="U63" s="9">
        <f>IFERROR(__xludf.DUMMYFUNCTION("IFERROR(
  VLOOKUP(
    A63,
    IMPORTRANGE(
      ""1ZHMy3vVUd_0MrSduXTe1etBb1HNpAlGwQr006ljwMiM"",
      ""GSC最新!A:R""
    ),
    11,
    FALSE
  ),
  0
)
"),0.0)</f>
        <v>0</v>
      </c>
      <c r="V63" s="9">
        <f>IFERROR(__xludf.DUMMYFUNCTION("IFERROR(
  VLOOKUP(
    A63,
    IMPORTRANGE(
      ""1ZHMy3vVUd_0MrSduXTe1etBb1HNpAlGwQr006ljwMiM"",
      ""GSC最新!A:R""
    ),
    14,
    FALSE
  ),
  0
)
"),0.0)</f>
        <v>0</v>
      </c>
      <c r="W63" s="9">
        <f>IFERROR(__xludf.DUMMYFUNCTION("IFERROR(
  VLOOKUP(
    A63,
    IMPORTRANGE(
      ""1ZHMy3vVUd_0MrSduXTe1etBb1HNpAlGwQr006ljwMiM"",
      ""GSC最新!A:R""
    ),
    17,
    FALSE
  ),
  0
)
"),0.0)</f>
        <v>0</v>
      </c>
      <c r="X63" s="9">
        <f t="shared" ref="X63:Y63" si="309">IFERROR(T63-V63,"-")</f>
        <v>0</v>
      </c>
      <c r="Y63" s="9">
        <f t="shared" si="309"/>
        <v>0</v>
      </c>
      <c r="Z63" s="65" t="str">
        <f>IFERROR(__xludf.DUMMYFUNCTION("IFERROR(
  VLOOKUP(
    A63,
    IMPORTRANGE(
      ""1ZHMy3vVUd_0MrSduXTe1etBb1HNpAlGwQr006ljwMiM"",
      ""GSC最新!A:R""
    ),
    9,
    FALSE
  ),
  0
)
"),"")</f>
        <v/>
      </c>
      <c r="AA63" s="65" t="str">
        <f>IFERROR(__xludf.DUMMYFUNCTION("IFERROR(
  VLOOKUP(
    A63,
    IMPORTRANGE(
      ""1ZHMy3vVUd_0MrSduXTe1etBb1HNpAlGwQr006ljwMiM"",
      ""GSC最新!A:R""
    ),
    12,
    FALSE
  ),
  0
)
"),"")</f>
        <v/>
      </c>
      <c r="AB63" s="65" t="str">
        <f>IFERROR(__xludf.DUMMYFUNCTION("IFERROR(
  VLOOKUP(
    A63,
    IMPORTRANGE(
      ""1ZHMy3vVUd_0MrSduXTe1etBb1HNpAlGwQr006ljwMiM"",
      ""GSC最新!A:R""
    ),
    15,
    FALSE
  ),
  0
)
"),"")</f>
        <v/>
      </c>
      <c r="AC63" s="65" t="str">
        <f>IFERROR(__xludf.DUMMYFUNCTION("IFERROR(
  VLOOKUP(
    A63,
    IMPORTRANGE(
      ""1ZHMy3vVUd_0MrSduXTe1etBb1HNpAlGwQr006ljwMiM"",
      ""GSC最新!A:R""
    ),
    18,
    FALSE
  ),
  0
)
"),"")</f>
        <v/>
      </c>
      <c r="AD63" s="65">
        <f t="shared" ref="AD63:AE63" si="310">Z63-AB63</f>
        <v>0</v>
      </c>
      <c r="AE63" s="65">
        <f t="shared" si="310"/>
        <v>0</v>
      </c>
      <c r="AF63" s="53">
        <f>IFERROR(__xludf.DUMMYFUNCTION("IFERROR(
  VLOOKUP(
    A63,
    IMPORTRANGE(
      ""1ZHMy3vVUd_0MrSduXTe1etBb1HNpAlGwQr006ljwMiM"",
      ""GSC最新!A:F""
    ),
    6,
    FALSE
  ),
  0
)
"),46081.0)</f>
        <v>46081</v>
      </c>
      <c r="AG63" s="54">
        <f>IFERROR(__xludf.DUMMYFUNCTION("IFERROR(
  VLOOKUP(
    A63,
    IMPORTRANGE(
      ""1SCYQd7_cobOYqT0r_F0IqD4tE4rYn5y8Eup4PJTH8es"",
      ""Snapshot!A:M""
    ),
    5,
    FALSE
  ),
  ""-""
)
"),0.0)</f>
        <v>0</v>
      </c>
      <c r="AH63" s="54">
        <f>IFERROR(__xludf.DUMMYFUNCTION("IFERROR(
  VLOOKUP(
    A63,
    IMPORTRANGE(
      ""1SCYQd7_cobOYqT0r_F0IqD4tE4rYn5y8Eup4PJTH8es"",
      ""Snapshot!A:M""
    ),
    6,
    FALSE
  ),
  0
)
"),0.0)</f>
        <v>0</v>
      </c>
      <c r="AI63" s="54">
        <f>IFERROR(__xludf.DUMMYFUNCTION("IFERROR(
  VLOOKUP(
    A63,
    IMPORTRANGE(
      ""1SCYQd7_cobOYqT0r_F0IqD4tE4rYn5y8Eup4PJTH8es"",
      ""Snapshot!A:M""
    ),
    7,
    FALSE
  ),
  0
)
"),304.0)</f>
        <v>304</v>
      </c>
      <c r="AJ63" s="54">
        <f>IFERROR(__xludf.DUMMYFUNCTION("IFERROR(
  VLOOKUP(
    A63,
    IMPORTRANGE(
      ""1SCYQd7_cobOYqT0r_F0IqD4tE4rYn5y8Eup4PJTH8es"",
      ""Snapshot!A:M""
    ),
    8,
    FALSE
  ),
  0
)
"),3.0)</f>
        <v>3</v>
      </c>
      <c r="AK63" s="54">
        <f>IFERROR(__xludf.DUMMYFUNCTION("IFERROR(
  VLOOKUP(
    A63,
    IMPORTRANGE(
      ""1SCYQd7_cobOYqT0r_F0IqD4tE4rYn5y8Eup4PJTH8es"",
      ""Snapshot!A:M""
    ),
    9,
    FALSE
  ),
  0
)
"),0.0)</f>
        <v>0</v>
      </c>
      <c r="AL63" s="54">
        <f>IFERROR(__xludf.DUMMYFUNCTION("IFERROR(
  VLOOKUP(
    A63,
    IMPORTRANGE(
      ""1SCYQd7_cobOYqT0r_F0IqD4tE4rYn5y8Eup4PJTH8es"",
      ""Snapshot!A:M""
    ),
    13,
    FALSE
  ),
  0
)
"),2.0)</f>
        <v>2</v>
      </c>
    </row>
    <row r="64">
      <c r="F64" s="55"/>
      <c r="L64" s="51"/>
      <c r="M64" s="51"/>
    </row>
    <row r="65">
      <c r="F65" s="55"/>
      <c r="L65" s="51"/>
      <c r="M65" s="51"/>
    </row>
    <row r="66">
      <c r="F66" s="55"/>
      <c r="L66" s="51"/>
      <c r="M66" s="51"/>
    </row>
    <row r="67">
      <c r="F67" s="55"/>
      <c r="L67" s="51"/>
      <c r="M67" s="51"/>
    </row>
    <row r="68">
      <c r="F68" s="55"/>
      <c r="L68" s="51"/>
      <c r="M68" s="51"/>
    </row>
    <row r="69">
      <c r="F69" s="55"/>
      <c r="L69" s="51"/>
      <c r="M69" s="51"/>
    </row>
    <row r="70">
      <c r="F70" s="55"/>
      <c r="L70" s="51"/>
      <c r="M70" s="51"/>
    </row>
    <row r="71">
      <c r="F71" s="55"/>
      <c r="L71" s="51"/>
      <c r="M71" s="51"/>
    </row>
    <row r="72">
      <c r="F72" s="55"/>
      <c r="L72" s="51"/>
      <c r="M72" s="51"/>
    </row>
    <row r="73">
      <c r="F73" s="55"/>
      <c r="L73" s="51"/>
      <c r="M73" s="51"/>
    </row>
    <row r="74">
      <c r="F74" s="55"/>
      <c r="L74" s="51"/>
      <c r="M74" s="51"/>
    </row>
    <row r="75">
      <c r="F75" s="55"/>
      <c r="L75" s="51"/>
      <c r="M75" s="51"/>
    </row>
    <row r="76">
      <c r="F76" s="55"/>
      <c r="L76" s="51"/>
      <c r="M76" s="51"/>
    </row>
    <row r="77">
      <c r="F77" s="55"/>
      <c r="L77" s="51"/>
      <c r="M77" s="51"/>
    </row>
    <row r="78">
      <c r="F78" s="55"/>
      <c r="L78" s="51"/>
      <c r="M78" s="51"/>
    </row>
    <row r="79">
      <c r="F79" s="55"/>
      <c r="L79" s="51"/>
      <c r="M79" s="51"/>
    </row>
    <row r="80">
      <c r="F80" s="55"/>
      <c r="L80" s="51"/>
      <c r="M80" s="51"/>
    </row>
    <row r="81">
      <c r="F81" s="55"/>
      <c r="L81" s="51"/>
      <c r="M81" s="51"/>
    </row>
    <row r="82">
      <c r="F82" s="55"/>
      <c r="L82" s="51"/>
      <c r="M82" s="51"/>
    </row>
    <row r="83">
      <c r="F83" s="55"/>
      <c r="L83" s="51"/>
      <c r="M83" s="51"/>
    </row>
    <row r="84">
      <c r="F84" s="55"/>
      <c r="L84" s="51"/>
      <c r="M84" s="51"/>
    </row>
    <row r="85">
      <c r="F85" s="55"/>
      <c r="L85" s="51"/>
      <c r="M85" s="51"/>
    </row>
    <row r="86">
      <c r="F86" s="55"/>
      <c r="L86" s="51"/>
      <c r="M86" s="51"/>
    </row>
    <row r="87">
      <c r="F87" s="55"/>
      <c r="L87" s="51"/>
      <c r="M87" s="51"/>
    </row>
    <row r="88">
      <c r="F88" s="55"/>
      <c r="L88" s="51"/>
      <c r="M88" s="51"/>
    </row>
    <row r="89">
      <c r="F89" s="55"/>
      <c r="L89" s="51"/>
      <c r="M89" s="51"/>
    </row>
    <row r="90">
      <c r="F90" s="55"/>
      <c r="L90" s="51"/>
      <c r="M90" s="51"/>
    </row>
    <row r="91">
      <c r="F91" s="55"/>
      <c r="L91" s="51"/>
      <c r="M91" s="51"/>
    </row>
    <row r="92">
      <c r="F92" s="55"/>
      <c r="L92" s="51"/>
      <c r="M92" s="51"/>
    </row>
    <row r="93">
      <c r="F93" s="55"/>
      <c r="L93" s="51"/>
      <c r="M93" s="51"/>
    </row>
    <row r="94">
      <c r="F94" s="55"/>
      <c r="L94" s="51"/>
      <c r="M94" s="51"/>
    </row>
    <row r="95">
      <c r="F95" s="55"/>
      <c r="L95" s="51"/>
      <c r="M95" s="51"/>
    </row>
    <row r="96">
      <c r="F96" s="55"/>
      <c r="L96" s="51"/>
      <c r="M96" s="51"/>
    </row>
    <row r="97">
      <c r="F97" s="55"/>
      <c r="L97" s="51"/>
      <c r="M97" s="51"/>
    </row>
    <row r="98">
      <c r="F98" s="55"/>
      <c r="L98" s="51"/>
      <c r="M98" s="51"/>
    </row>
    <row r="99">
      <c r="F99" s="55"/>
      <c r="L99" s="51"/>
      <c r="M99" s="51"/>
    </row>
    <row r="100">
      <c r="F100" s="55"/>
      <c r="L100" s="51"/>
      <c r="M100" s="51"/>
    </row>
    <row r="101">
      <c r="F101" s="55"/>
      <c r="L101" s="51"/>
      <c r="M101" s="51"/>
    </row>
    <row r="102">
      <c r="F102" s="55"/>
      <c r="L102" s="51"/>
      <c r="M102" s="51"/>
    </row>
    <row r="103">
      <c r="F103" s="55"/>
      <c r="L103" s="51"/>
      <c r="M103" s="51"/>
    </row>
    <row r="104">
      <c r="F104" s="55"/>
      <c r="L104" s="51"/>
      <c r="M104" s="51"/>
    </row>
    <row r="105">
      <c r="F105" s="55"/>
      <c r="L105" s="51"/>
      <c r="M105" s="51"/>
    </row>
    <row r="106">
      <c r="F106" s="55"/>
      <c r="L106" s="51"/>
      <c r="M106" s="51"/>
    </row>
    <row r="107">
      <c r="F107" s="55"/>
      <c r="L107" s="51"/>
      <c r="M107" s="51"/>
    </row>
    <row r="108">
      <c r="F108" s="55"/>
      <c r="L108" s="51"/>
      <c r="M108" s="51"/>
    </row>
    <row r="109">
      <c r="F109" s="55"/>
      <c r="L109" s="51"/>
      <c r="M109" s="51"/>
    </row>
    <row r="110">
      <c r="F110" s="55"/>
      <c r="L110" s="51"/>
      <c r="M110" s="51"/>
    </row>
    <row r="111">
      <c r="F111" s="55"/>
      <c r="L111" s="51"/>
      <c r="M111" s="51"/>
    </row>
    <row r="112">
      <c r="F112" s="55"/>
      <c r="L112" s="51"/>
      <c r="M112" s="51"/>
    </row>
    <row r="113">
      <c r="F113" s="55"/>
      <c r="L113" s="51"/>
      <c r="M113" s="51"/>
    </row>
    <row r="114">
      <c r="F114" s="55"/>
      <c r="L114" s="51"/>
      <c r="M114" s="51"/>
    </row>
    <row r="115">
      <c r="F115" s="55"/>
      <c r="L115" s="51"/>
      <c r="M115" s="51"/>
    </row>
    <row r="116">
      <c r="F116" s="55"/>
      <c r="L116" s="51"/>
      <c r="M116" s="51"/>
    </row>
    <row r="117">
      <c r="F117" s="55"/>
      <c r="L117" s="51"/>
      <c r="M117" s="51"/>
    </row>
    <row r="118">
      <c r="F118" s="55"/>
      <c r="L118" s="51"/>
      <c r="M118" s="51"/>
    </row>
    <row r="119">
      <c r="F119" s="55"/>
      <c r="L119" s="51"/>
      <c r="M119" s="51"/>
    </row>
    <row r="120">
      <c r="F120" s="55"/>
      <c r="L120" s="51"/>
      <c r="M120" s="51"/>
    </row>
    <row r="121">
      <c r="F121" s="55"/>
      <c r="L121" s="51"/>
      <c r="M121" s="51"/>
    </row>
    <row r="122">
      <c r="F122" s="55"/>
      <c r="L122" s="51"/>
      <c r="M122" s="51"/>
    </row>
    <row r="123">
      <c r="F123" s="55"/>
      <c r="L123" s="51"/>
      <c r="M123" s="51"/>
    </row>
    <row r="124">
      <c r="F124" s="55"/>
      <c r="L124" s="51"/>
      <c r="M124" s="51"/>
    </row>
    <row r="125">
      <c r="F125" s="55"/>
      <c r="L125" s="51"/>
      <c r="M125" s="51"/>
    </row>
    <row r="126">
      <c r="F126" s="55"/>
      <c r="L126" s="51"/>
      <c r="M126" s="51"/>
    </row>
    <row r="127">
      <c r="F127" s="55"/>
      <c r="L127" s="51"/>
      <c r="M127" s="51"/>
    </row>
    <row r="128">
      <c r="F128" s="55"/>
      <c r="L128" s="51"/>
      <c r="M128" s="51"/>
    </row>
    <row r="129">
      <c r="F129" s="55"/>
      <c r="L129" s="51"/>
      <c r="M129" s="51"/>
    </row>
    <row r="130">
      <c r="F130" s="55"/>
      <c r="L130" s="51"/>
      <c r="M130" s="51"/>
    </row>
    <row r="131">
      <c r="F131" s="55"/>
      <c r="L131" s="51"/>
      <c r="M131" s="51"/>
    </row>
    <row r="132">
      <c r="F132" s="55"/>
      <c r="L132" s="51"/>
      <c r="M132" s="51"/>
    </row>
    <row r="133">
      <c r="F133" s="55"/>
      <c r="L133" s="51"/>
      <c r="M133" s="51"/>
    </row>
    <row r="134">
      <c r="F134" s="55"/>
      <c r="L134" s="51"/>
      <c r="M134" s="51"/>
    </row>
    <row r="135">
      <c r="F135" s="55"/>
      <c r="L135" s="51"/>
      <c r="M135" s="51"/>
    </row>
    <row r="136">
      <c r="F136" s="55"/>
      <c r="L136" s="51"/>
      <c r="M136" s="51"/>
    </row>
    <row r="137">
      <c r="F137" s="55"/>
      <c r="L137" s="51"/>
      <c r="M137" s="51"/>
    </row>
    <row r="138">
      <c r="F138" s="55"/>
      <c r="L138" s="51"/>
      <c r="M138" s="51"/>
    </row>
    <row r="139">
      <c r="F139" s="55"/>
      <c r="L139" s="51"/>
      <c r="M139" s="51"/>
    </row>
    <row r="140">
      <c r="F140" s="55"/>
      <c r="L140" s="51"/>
      <c r="M140" s="51"/>
    </row>
    <row r="141">
      <c r="F141" s="55"/>
      <c r="L141" s="51"/>
      <c r="M141" s="51"/>
    </row>
    <row r="142">
      <c r="F142" s="55"/>
      <c r="L142" s="51"/>
      <c r="M142" s="51"/>
    </row>
    <row r="143">
      <c r="F143" s="55"/>
      <c r="L143" s="51"/>
      <c r="M143" s="51"/>
    </row>
    <row r="144">
      <c r="F144" s="55"/>
      <c r="L144" s="51"/>
      <c r="M144" s="51"/>
    </row>
    <row r="145">
      <c r="F145" s="55"/>
      <c r="L145" s="51"/>
      <c r="M145" s="51"/>
    </row>
    <row r="146">
      <c r="F146" s="55"/>
      <c r="L146" s="51"/>
      <c r="M146" s="51"/>
    </row>
    <row r="147">
      <c r="F147" s="55"/>
      <c r="L147" s="51"/>
      <c r="M147" s="51"/>
    </row>
    <row r="148">
      <c r="F148" s="55"/>
      <c r="L148" s="51"/>
      <c r="M148" s="51"/>
    </row>
    <row r="149">
      <c r="F149" s="55"/>
      <c r="L149" s="51"/>
      <c r="M149" s="51"/>
    </row>
    <row r="150">
      <c r="F150" s="55"/>
      <c r="L150" s="51"/>
      <c r="M150" s="51"/>
    </row>
    <row r="151">
      <c r="F151" s="55"/>
      <c r="L151" s="51"/>
      <c r="M151" s="51"/>
    </row>
    <row r="152">
      <c r="F152" s="55"/>
      <c r="L152" s="51"/>
      <c r="M152" s="51"/>
    </row>
    <row r="153">
      <c r="F153" s="55"/>
      <c r="L153" s="51"/>
      <c r="M153" s="51"/>
    </row>
    <row r="154">
      <c r="F154" s="55"/>
      <c r="L154" s="51"/>
      <c r="M154" s="51"/>
    </row>
    <row r="155">
      <c r="F155" s="55"/>
      <c r="L155" s="51"/>
      <c r="M155" s="51"/>
    </row>
    <row r="156">
      <c r="F156" s="55"/>
      <c r="L156" s="51"/>
      <c r="M156" s="51"/>
    </row>
    <row r="157">
      <c r="F157" s="55"/>
      <c r="L157" s="51"/>
      <c r="M157" s="51"/>
    </row>
    <row r="158">
      <c r="F158" s="55"/>
      <c r="L158" s="51"/>
      <c r="M158" s="51"/>
    </row>
    <row r="159">
      <c r="F159" s="55"/>
      <c r="L159" s="51"/>
      <c r="M159" s="51"/>
    </row>
    <row r="160">
      <c r="F160" s="55"/>
      <c r="L160" s="51"/>
      <c r="M160" s="51"/>
    </row>
    <row r="161">
      <c r="F161" s="55"/>
      <c r="L161" s="51"/>
      <c r="M161" s="51"/>
    </row>
    <row r="162">
      <c r="F162" s="55"/>
      <c r="L162" s="51"/>
      <c r="M162" s="51"/>
    </row>
    <row r="163">
      <c r="F163" s="55"/>
      <c r="L163" s="51"/>
      <c r="M163" s="51"/>
    </row>
    <row r="164">
      <c r="F164" s="55"/>
      <c r="L164" s="51"/>
      <c r="M164" s="51"/>
    </row>
    <row r="165">
      <c r="F165" s="55"/>
      <c r="L165" s="51"/>
      <c r="M165" s="51"/>
    </row>
    <row r="166">
      <c r="F166" s="55"/>
      <c r="L166" s="51"/>
      <c r="M166" s="51"/>
    </row>
    <row r="167">
      <c r="F167" s="55"/>
      <c r="L167" s="51"/>
      <c r="M167" s="51"/>
    </row>
    <row r="168">
      <c r="F168" s="55"/>
      <c r="L168" s="51"/>
      <c r="M168" s="51"/>
    </row>
    <row r="169">
      <c r="F169" s="55"/>
      <c r="L169" s="51"/>
      <c r="M169" s="51"/>
    </row>
    <row r="170">
      <c r="F170" s="55"/>
      <c r="L170" s="51"/>
      <c r="M170" s="51"/>
    </row>
    <row r="171">
      <c r="F171" s="55"/>
      <c r="L171" s="51"/>
      <c r="M171" s="51"/>
    </row>
    <row r="172">
      <c r="F172" s="55"/>
      <c r="L172" s="51"/>
      <c r="M172" s="51"/>
    </row>
    <row r="173">
      <c r="F173" s="55"/>
      <c r="L173" s="51"/>
      <c r="M173" s="51"/>
    </row>
    <row r="174">
      <c r="F174" s="55"/>
      <c r="L174" s="51"/>
      <c r="M174" s="51"/>
    </row>
    <row r="175">
      <c r="F175" s="55"/>
      <c r="L175" s="51"/>
      <c r="M175" s="51"/>
    </row>
    <row r="176">
      <c r="F176" s="55"/>
      <c r="L176" s="51"/>
      <c r="M176" s="51"/>
    </row>
    <row r="177">
      <c r="F177" s="55"/>
      <c r="L177" s="51"/>
      <c r="M177" s="51"/>
    </row>
    <row r="178">
      <c r="F178" s="55"/>
      <c r="L178" s="51"/>
      <c r="M178" s="51"/>
    </row>
    <row r="179">
      <c r="F179" s="55"/>
      <c r="L179" s="51"/>
      <c r="M179" s="51"/>
    </row>
    <row r="180">
      <c r="F180" s="55"/>
      <c r="L180" s="51"/>
      <c r="M180" s="51"/>
    </row>
    <row r="181">
      <c r="F181" s="55"/>
      <c r="L181" s="51"/>
      <c r="M181" s="51"/>
    </row>
    <row r="182">
      <c r="F182" s="55"/>
      <c r="L182" s="51"/>
      <c r="M182" s="51"/>
    </row>
    <row r="183">
      <c r="F183" s="55"/>
      <c r="L183" s="51"/>
      <c r="M183" s="51"/>
    </row>
    <row r="184">
      <c r="F184" s="55"/>
      <c r="L184" s="51"/>
      <c r="M184" s="51"/>
    </row>
    <row r="185">
      <c r="F185" s="55"/>
      <c r="L185" s="51"/>
      <c r="M185" s="51"/>
    </row>
    <row r="186">
      <c r="F186" s="55"/>
      <c r="L186" s="51"/>
      <c r="M186" s="51"/>
    </row>
    <row r="187">
      <c r="F187" s="55"/>
      <c r="L187" s="51"/>
      <c r="M187" s="51"/>
    </row>
    <row r="188">
      <c r="F188" s="55"/>
      <c r="L188" s="51"/>
      <c r="M188" s="51"/>
    </row>
    <row r="189">
      <c r="F189" s="55"/>
      <c r="L189" s="51"/>
      <c r="M189" s="51"/>
    </row>
    <row r="190">
      <c r="F190" s="55"/>
      <c r="L190" s="51"/>
      <c r="M190" s="51"/>
    </row>
    <row r="191">
      <c r="F191" s="55"/>
      <c r="L191" s="51"/>
      <c r="M191" s="51"/>
    </row>
    <row r="192">
      <c r="F192" s="55"/>
      <c r="L192" s="51"/>
      <c r="M192" s="51"/>
    </row>
    <row r="193">
      <c r="F193" s="55"/>
      <c r="L193" s="51"/>
      <c r="M193" s="51"/>
    </row>
    <row r="194">
      <c r="F194" s="55"/>
      <c r="L194" s="51"/>
      <c r="M194" s="51"/>
    </row>
    <row r="195">
      <c r="F195" s="55"/>
      <c r="L195" s="51"/>
      <c r="M195" s="51"/>
    </row>
    <row r="196">
      <c r="F196" s="55"/>
      <c r="L196" s="51"/>
      <c r="M196" s="51"/>
    </row>
    <row r="197">
      <c r="F197" s="55"/>
      <c r="L197" s="51"/>
      <c r="M197" s="51"/>
    </row>
    <row r="198">
      <c r="F198" s="55"/>
      <c r="L198" s="51"/>
      <c r="M198" s="51"/>
    </row>
    <row r="199">
      <c r="F199" s="55"/>
      <c r="L199" s="51"/>
      <c r="M199" s="51"/>
    </row>
    <row r="200">
      <c r="F200" s="55"/>
      <c r="L200" s="51"/>
      <c r="M200" s="51"/>
    </row>
    <row r="201">
      <c r="F201" s="55"/>
      <c r="L201" s="51"/>
      <c r="M201" s="51"/>
    </row>
    <row r="202">
      <c r="F202" s="55"/>
      <c r="L202" s="51"/>
      <c r="M202" s="51"/>
    </row>
    <row r="203">
      <c r="F203" s="55"/>
      <c r="L203" s="51"/>
      <c r="M203" s="51"/>
    </row>
    <row r="204">
      <c r="F204" s="55"/>
      <c r="L204" s="51"/>
      <c r="M204" s="51"/>
    </row>
    <row r="205">
      <c r="F205" s="55"/>
      <c r="L205" s="51"/>
      <c r="M205" s="51"/>
    </row>
    <row r="206">
      <c r="F206" s="55"/>
      <c r="L206" s="51"/>
      <c r="M206" s="51"/>
    </row>
    <row r="207">
      <c r="F207" s="55"/>
      <c r="L207" s="51"/>
      <c r="M207" s="51"/>
    </row>
    <row r="208">
      <c r="F208" s="55"/>
      <c r="L208" s="51"/>
      <c r="M208" s="51"/>
    </row>
    <row r="209">
      <c r="F209" s="55"/>
      <c r="L209" s="51"/>
      <c r="M209" s="51"/>
    </row>
    <row r="210">
      <c r="F210" s="55"/>
      <c r="L210" s="51"/>
      <c r="M210" s="51"/>
    </row>
    <row r="211">
      <c r="F211" s="55"/>
      <c r="L211" s="51"/>
      <c r="M211" s="51"/>
    </row>
    <row r="212">
      <c r="F212" s="55"/>
      <c r="L212" s="51"/>
      <c r="M212" s="51"/>
    </row>
    <row r="213">
      <c r="F213" s="55"/>
      <c r="L213" s="51"/>
      <c r="M213" s="51"/>
    </row>
    <row r="214">
      <c r="F214" s="55"/>
      <c r="L214" s="51"/>
      <c r="M214" s="51"/>
    </row>
    <row r="215">
      <c r="F215" s="55"/>
      <c r="L215" s="51"/>
      <c r="M215" s="51"/>
    </row>
    <row r="216">
      <c r="F216" s="55"/>
      <c r="L216" s="51"/>
      <c r="M216" s="51"/>
    </row>
    <row r="217">
      <c r="F217" s="55"/>
      <c r="L217" s="51"/>
      <c r="M217" s="51"/>
    </row>
    <row r="218">
      <c r="F218" s="55"/>
      <c r="L218" s="51"/>
      <c r="M218" s="51"/>
    </row>
    <row r="219">
      <c r="F219" s="55"/>
      <c r="L219" s="51"/>
      <c r="M219" s="51"/>
    </row>
    <row r="220">
      <c r="F220" s="55"/>
      <c r="L220" s="51"/>
      <c r="M220" s="51"/>
    </row>
    <row r="221">
      <c r="F221" s="55"/>
      <c r="L221" s="51"/>
      <c r="M221" s="51"/>
    </row>
    <row r="222">
      <c r="F222" s="55"/>
      <c r="L222" s="51"/>
      <c r="M222" s="51"/>
    </row>
    <row r="223">
      <c r="F223" s="55"/>
      <c r="L223" s="51"/>
      <c r="M223" s="51"/>
    </row>
    <row r="224">
      <c r="F224" s="55"/>
      <c r="L224" s="51"/>
      <c r="M224" s="51"/>
    </row>
    <row r="225">
      <c r="F225" s="55"/>
      <c r="L225" s="51"/>
      <c r="M225" s="51"/>
    </row>
    <row r="226">
      <c r="F226" s="55"/>
      <c r="L226" s="51"/>
      <c r="M226" s="51"/>
    </row>
    <row r="227">
      <c r="F227" s="55"/>
      <c r="L227" s="51"/>
      <c r="M227" s="51"/>
    </row>
    <row r="228">
      <c r="F228" s="55"/>
      <c r="L228" s="51"/>
      <c r="M228" s="51"/>
    </row>
    <row r="229">
      <c r="F229" s="55"/>
      <c r="L229" s="51"/>
      <c r="M229" s="51"/>
    </row>
    <row r="230">
      <c r="F230" s="55"/>
      <c r="L230" s="51"/>
      <c r="M230" s="51"/>
    </row>
    <row r="231">
      <c r="F231" s="55"/>
      <c r="L231" s="51"/>
      <c r="M231" s="51"/>
    </row>
    <row r="232">
      <c r="F232" s="55"/>
      <c r="L232" s="51"/>
      <c r="M232" s="51"/>
    </row>
    <row r="233">
      <c r="F233" s="55"/>
      <c r="L233" s="51"/>
      <c r="M233" s="51"/>
    </row>
    <row r="234">
      <c r="F234" s="55"/>
      <c r="L234" s="51"/>
      <c r="M234" s="51"/>
    </row>
    <row r="235">
      <c r="F235" s="55"/>
      <c r="L235" s="51"/>
      <c r="M235" s="51"/>
    </row>
    <row r="236">
      <c r="F236" s="55"/>
      <c r="L236" s="51"/>
      <c r="M236" s="51"/>
    </row>
    <row r="237">
      <c r="F237" s="55"/>
      <c r="L237" s="51"/>
      <c r="M237" s="51"/>
    </row>
    <row r="238">
      <c r="F238" s="55"/>
      <c r="L238" s="51"/>
      <c r="M238" s="51"/>
    </row>
    <row r="239">
      <c r="F239" s="55"/>
      <c r="L239" s="51"/>
      <c r="M239" s="51"/>
    </row>
    <row r="240">
      <c r="F240" s="55"/>
      <c r="L240" s="51"/>
      <c r="M240" s="51"/>
    </row>
    <row r="241">
      <c r="F241" s="55"/>
      <c r="L241" s="51"/>
      <c r="M241" s="51"/>
    </row>
    <row r="242">
      <c r="F242" s="55"/>
      <c r="L242" s="51"/>
      <c r="M242" s="51"/>
    </row>
    <row r="243">
      <c r="F243" s="55"/>
      <c r="L243" s="51"/>
      <c r="M243" s="51"/>
    </row>
    <row r="244">
      <c r="F244" s="55"/>
      <c r="L244" s="51"/>
      <c r="M244" s="51"/>
    </row>
    <row r="245">
      <c r="F245" s="55"/>
      <c r="L245" s="51"/>
      <c r="M245" s="51"/>
    </row>
    <row r="246">
      <c r="F246" s="55"/>
      <c r="L246" s="51"/>
      <c r="M246" s="51"/>
    </row>
    <row r="247">
      <c r="F247" s="55"/>
      <c r="L247" s="51"/>
      <c r="M247" s="51"/>
    </row>
    <row r="248">
      <c r="F248" s="55"/>
      <c r="L248" s="51"/>
      <c r="M248" s="51"/>
    </row>
    <row r="249">
      <c r="F249" s="55"/>
      <c r="L249" s="51"/>
      <c r="M249" s="51"/>
    </row>
    <row r="250">
      <c r="F250" s="55"/>
      <c r="L250" s="51"/>
      <c r="M250" s="51"/>
    </row>
    <row r="251">
      <c r="F251" s="55"/>
      <c r="L251" s="51"/>
      <c r="M251" s="51"/>
    </row>
    <row r="252">
      <c r="F252" s="55"/>
      <c r="L252" s="51"/>
      <c r="M252" s="51"/>
    </row>
    <row r="253">
      <c r="F253" s="55"/>
      <c r="L253" s="51"/>
      <c r="M253" s="51"/>
    </row>
    <row r="254">
      <c r="F254" s="55"/>
      <c r="L254" s="51"/>
      <c r="M254" s="51"/>
    </row>
    <row r="255">
      <c r="F255" s="55"/>
      <c r="L255" s="51"/>
      <c r="M255" s="51"/>
    </row>
    <row r="256">
      <c r="F256" s="55"/>
      <c r="L256" s="51"/>
      <c r="M256" s="51"/>
    </row>
    <row r="257">
      <c r="F257" s="55"/>
      <c r="L257" s="51"/>
      <c r="M257" s="51"/>
    </row>
    <row r="258">
      <c r="F258" s="55"/>
      <c r="L258" s="51"/>
      <c r="M258" s="51"/>
    </row>
    <row r="259">
      <c r="F259" s="55"/>
      <c r="L259" s="51"/>
      <c r="M259" s="51"/>
    </row>
    <row r="260">
      <c r="F260" s="55"/>
      <c r="L260" s="51"/>
      <c r="M260" s="51"/>
    </row>
    <row r="261">
      <c r="F261" s="55"/>
      <c r="L261" s="51"/>
      <c r="M261" s="51"/>
    </row>
    <row r="262">
      <c r="F262" s="55"/>
      <c r="L262" s="51"/>
      <c r="M262" s="51"/>
    </row>
    <row r="263">
      <c r="F263" s="55"/>
      <c r="L263" s="51"/>
      <c r="M263" s="51"/>
    </row>
    <row r="264">
      <c r="F264" s="55"/>
      <c r="L264" s="51"/>
      <c r="M264" s="51"/>
    </row>
    <row r="265">
      <c r="F265" s="55"/>
      <c r="L265" s="51"/>
      <c r="M265" s="51"/>
    </row>
    <row r="266">
      <c r="F266" s="55"/>
      <c r="L266" s="51"/>
      <c r="M266" s="51"/>
    </row>
    <row r="267">
      <c r="F267" s="55"/>
      <c r="L267" s="51"/>
      <c r="M267" s="51"/>
    </row>
    <row r="268">
      <c r="F268" s="55"/>
      <c r="L268" s="51"/>
      <c r="M268" s="51"/>
    </row>
    <row r="269">
      <c r="F269" s="55"/>
      <c r="L269" s="51"/>
      <c r="M269" s="51"/>
    </row>
    <row r="270">
      <c r="F270" s="55"/>
      <c r="L270" s="51"/>
      <c r="M270" s="51"/>
    </row>
    <row r="271">
      <c r="F271" s="55"/>
      <c r="L271" s="51"/>
      <c r="M271" s="51"/>
    </row>
    <row r="272">
      <c r="F272" s="55"/>
      <c r="L272" s="51"/>
      <c r="M272" s="51"/>
    </row>
    <row r="273">
      <c r="F273" s="55"/>
      <c r="L273" s="51"/>
      <c r="M273" s="51"/>
    </row>
    <row r="274">
      <c r="F274" s="55"/>
      <c r="L274" s="51"/>
      <c r="M274" s="51"/>
    </row>
    <row r="275">
      <c r="F275" s="55"/>
      <c r="L275" s="51"/>
      <c r="M275" s="51"/>
    </row>
    <row r="276">
      <c r="F276" s="55"/>
      <c r="L276" s="51"/>
      <c r="M276" s="51"/>
    </row>
    <row r="277">
      <c r="F277" s="55"/>
      <c r="L277" s="51"/>
      <c r="M277" s="51"/>
    </row>
    <row r="278">
      <c r="F278" s="55"/>
      <c r="L278" s="51"/>
      <c r="M278" s="51"/>
    </row>
    <row r="279">
      <c r="F279" s="55"/>
      <c r="L279" s="51"/>
      <c r="M279" s="51"/>
    </row>
    <row r="280">
      <c r="F280" s="55"/>
      <c r="L280" s="51"/>
      <c r="M280" s="51"/>
    </row>
    <row r="281">
      <c r="F281" s="55"/>
      <c r="L281" s="51"/>
      <c r="M281" s="51"/>
    </row>
    <row r="282">
      <c r="F282" s="55"/>
      <c r="L282" s="51"/>
      <c r="M282" s="51"/>
    </row>
    <row r="283">
      <c r="F283" s="55"/>
      <c r="L283" s="51"/>
      <c r="M283" s="51"/>
    </row>
    <row r="284">
      <c r="F284" s="55"/>
      <c r="L284" s="51"/>
      <c r="M284" s="51"/>
    </row>
    <row r="285">
      <c r="F285" s="55"/>
      <c r="L285" s="51"/>
      <c r="M285" s="51"/>
    </row>
    <row r="286">
      <c r="F286" s="55"/>
      <c r="L286" s="51"/>
      <c r="M286" s="51"/>
    </row>
    <row r="287">
      <c r="F287" s="55"/>
      <c r="L287" s="51"/>
      <c r="M287" s="51"/>
    </row>
    <row r="288">
      <c r="F288" s="55"/>
      <c r="L288" s="51"/>
      <c r="M288" s="51"/>
    </row>
    <row r="289">
      <c r="F289" s="55"/>
      <c r="L289" s="51"/>
      <c r="M289" s="51"/>
    </row>
    <row r="290">
      <c r="F290" s="55"/>
      <c r="L290" s="51"/>
      <c r="M290" s="51"/>
    </row>
    <row r="291">
      <c r="F291" s="55"/>
      <c r="L291" s="51"/>
      <c r="M291" s="51"/>
    </row>
    <row r="292">
      <c r="F292" s="55"/>
      <c r="L292" s="51"/>
      <c r="M292" s="51"/>
    </row>
    <row r="293">
      <c r="F293" s="55"/>
      <c r="L293" s="51"/>
      <c r="M293" s="51"/>
    </row>
    <row r="294">
      <c r="F294" s="55"/>
      <c r="L294" s="51"/>
      <c r="M294" s="51"/>
    </row>
    <row r="295">
      <c r="F295" s="55"/>
      <c r="L295" s="51"/>
      <c r="M295" s="51"/>
    </row>
    <row r="296">
      <c r="F296" s="55"/>
      <c r="L296" s="51"/>
      <c r="M296" s="51"/>
    </row>
    <row r="297">
      <c r="F297" s="55"/>
      <c r="L297" s="51"/>
      <c r="M297" s="51"/>
    </row>
    <row r="298">
      <c r="F298" s="55"/>
      <c r="L298" s="51"/>
      <c r="M298" s="51"/>
    </row>
    <row r="299">
      <c r="F299" s="55"/>
      <c r="L299" s="51"/>
      <c r="M299" s="51"/>
    </row>
    <row r="300">
      <c r="F300" s="55"/>
      <c r="L300" s="51"/>
      <c r="M300" s="51"/>
    </row>
    <row r="301">
      <c r="F301" s="55"/>
      <c r="L301" s="51"/>
      <c r="M301" s="51"/>
    </row>
    <row r="302">
      <c r="F302" s="55"/>
      <c r="L302" s="51"/>
      <c r="M302" s="51"/>
    </row>
    <row r="303">
      <c r="F303" s="55"/>
      <c r="L303" s="51"/>
      <c r="M303" s="51"/>
    </row>
    <row r="304">
      <c r="F304" s="55"/>
      <c r="L304" s="51"/>
      <c r="M304" s="51"/>
    </row>
    <row r="305">
      <c r="F305" s="55"/>
      <c r="L305" s="51"/>
      <c r="M305" s="51"/>
    </row>
    <row r="306">
      <c r="F306" s="55"/>
      <c r="L306" s="51"/>
      <c r="M306" s="51"/>
    </row>
    <row r="307">
      <c r="F307" s="55"/>
      <c r="L307" s="51"/>
      <c r="M307" s="51"/>
    </row>
    <row r="308">
      <c r="F308" s="55"/>
      <c r="L308" s="51"/>
      <c r="M308" s="51"/>
    </row>
    <row r="309">
      <c r="F309" s="55"/>
      <c r="L309" s="51"/>
      <c r="M309" s="51"/>
    </row>
    <row r="310">
      <c r="F310" s="55"/>
      <c r="L310" s="51"/>
      <c r="M310" s="51"/>
    </row>
    <row r="311">
      <c r="F311" s="55"/>
      <c r="L311" s="51"/>
      <c r="M311" s="51"/>
    </row>
    <row r="312">
      <c r="F312" s="55"/>
      <c r="L312" s="51"/>
      <c r="M312" s="51"/>
    </row>
    <row r="313">
      <c r="F313" s="55"/>
      <c r="L313" s="51"/>
      <c r="M313" s="51"/>
    </row>
    <row r="314">
      <c r="F314" s="55"/>
      <c r="L314" s="51"/>
      <c r="M314" s="51"/>
    </row>
    <row r="315">
      <c r="F315" s="55"/>
      <c r="L315" s="51"/>
      <c r="M315" s="51"/>
    </row>
    <row r="316">
      <c r="F316" s="55"/>
      <c r="L316" s="51"/>
      <c r="M316" s="51"/>
    </row>
    <row r="317">
      <c r="F317" s="55"/>
      <c r="L317" s="51"/>
      <c r="M317" s="51"/>
    </row>
    <row r="318">
      <c r="F318" s="55"/>
      <c r="L318" s="51"/>
      <c r="M318" s="51"/>
    </row>
    <row r="319">
      <c r="F319" s="55"/>
      <c r="L319" s="51"/>
      <c r="M319" s="51"/>
    </row>
    <row r="320">
      <c r="F320" s="55"/>
      <c r="L320" s="51"/>
      <c r="M320" s="51"/>
    </row>
    <row r="321">
      <c r="F321" s="55"/>
      <c r="L321" s="51"/>
      <c r="M321" s="51"/>
    </row>
    <row r="322">
      <c r="F322" s="55"/>
      <c r="L322" s="51"/>
      <c r="M322" s="51"/>
    </row>
    <row r="323">
      <c r="F323" s="55"/>
      <c r="L323" s="51"/>
      <c r="M323" s="51"/>
    </row>
    <row r="324">
      <c r="F324" s="55"/>
      <c r="L324" s="51"/>
      <c r="M324" s="51"/>
    </row>
    <row r="325">
      <c r="F325" s="55"/>
      <c r="L325" s="51"/>
      <c r="M325" s="51"/>
    </row>
    <row r="326">
      <c r="F326" s="55"/>
      <c r="L326" s="51"/>
      <c r="M326" s="51"/>
    </row>
    <row r="327">
      <c r="F327" s="55"/>
      <c r="L327" s="51"/>
      <c r="M327" s="51"/>
    </row>
    <row r="328">
      <c r="F328" s="55"/>
      <c r="L328" s="51"/>
      <c r="M328" s="51"/>
    </row>
    <row r="329">
      <c r="F329" s="55"/>
      <c r="L329" s="51"/>
      <c r="M329" s="51"/>
    </row>
    <row r="330">
      <c r="F330" s="55"/>
      <c r="L330" s="51"/>
      <c r="M330" s="51"/>
    </row>
    <row r="331">
      <c r="F331" s="55"/>
      <c r="L331" s="51"/>
      <c r="M331" s="51"/>
    </row>
    <row r="332">
      <c r="F332" s="55"/>
      <c r="L332" s="51"/>
      <c r="M332" s="51"/>
    </row>
    <row r="333">
      <c r="F333" s="55"/>
      <c r="L333" s="51"/>
      <c r="M333" s="51"/>
    </row>
    <row r="334">
      <c r="F334" s="55"/>
      <c r="L334" s="51"/>
      <c r="M334" s="51"/>
    </row>
    <row r="335">
      <c r="F335" s="55"/>
      <c r="L335" s="51"/>
      <c r="M335" s="51"/>
    </row>
    <row r="336">
      <c r="F336" s="55"/>
      <c r="L336" s="51"/>
      <c r="M336" s="51"/>
    </row>
    <row r="337">
      <c r="F337" s="55"/>
      <c r="L337" s="51"/>
      <c r="M337" s="51"/>
    </row>
    <row r="338">
      <c r="F338" s="55"/>
      <c r="L338" s="51"/>
      <c r="M338" s="51"/>
    </row>
    <row r="339">
      <c r="F339" s="55"/>
      <c r="L339" s="51"/>
      <c r="M339" s="51"/>
    </row>
    <row r="340">
      <c r="F340" s="55"/>
      <c r="L340" s="51"/>
      <c r="M340" s="51"/>
    </row>
    <row r="341">
      <c r="F341" s="55"/>
      <c r="L341" s="51"/>
      <c r="M341" s="51"/>
    </row>
    <row r="342">
      <c r="F342" s="55"/>
      <c r="L342" s="51"/>
      <c r="M342" s="51"/>
    </row>
    <row r="343">
      <c r="F343" s="55"/>
      <c r="L343" s="51"/>
      <c r="M343" s="51"/>
    </row>
    <row r="344">
      <c r="F344" s="55"/>
      <c r="L344" s="51"/>
      <c r="M344" s="51"/>
    </row>
    <row r="345">
      <c r="F345" s="55"/>
      <c r="L345" s="51"/>
      <c r="M345" s="51"/>
    </row>
    <row r="346">
      <c r="F346" s="55"/>
      <c r="L346" s="51"/>
      <c r="M346" s="51"/>
    </row>
    <row r="347">
      <c r="F347" s="55"/>
      <c r="L347" s="51"/>
      <c r="M347" s="51"/>
    </row>
    <row r="348">
      <c r="F348" s="55"/>
      <c r="L348" s="51"/>
      <c r="M348" s="51"/>
    </row>
    <row r="349">
      <c r="F349" s="55"/>
      <c r="L349" s="51"/>
      <c r="M349" s="51"/>
    </row>
    <row r="350">
      <c r="F350" s="55"/>
      <c r="L350" s="51"/>
      <c r="M350" s="51"/>
    </row>
    <row r="351">
      <c r="F351" s="55"/>
      <c r="L351" s="51"/>
      <c r="M351" s="51"/>
    </row>
    <row r="352">
      <c r="F352" s="55"/>
      <c r="L352" s="51"/>
      <c r="M352" s="51"/>
    </row>
    <row r="353">
      <c r="F353" s="55"/>
      <c r="L353" s="51"/>
      <c r="M353" s="51"/>
    </row>
    <row r="354">
      <c r="F354" s="55"/>
      <c r="L354" s="51"/>
      <c r="M354" s="51"/>
    </row>
    <row r="355">
      <c r="F355" s="55"/>
      <c r="L355" s="51"/>
      <c r="M355" s="51"/>
    </row>
    <row r="356">
      <c r="F356" s="55"/>
      <c r="L356" s="51"/>
      <c r="M356" s="51"/>
    </row>
    <row r="357">
      <c r="F357" s="55"/>
      <c r="L357" s="51"/>
      <c r="M357" s="51"/>
    </row>
    <row r="358">
      <c r="F358" s="55"/>
      <c r="L358" s="51"/>
      <c r="M358" s="51"/>
    </row>
    <row r="359">
      <c r="F359" s="55"/>
      <c r="L359" s="51"/>
      <c r="M359" s="51"/>
    </row>
    <row r="360">
      <c r="F360" s="55"/>
      <c r="L360" s="51"/>
      <c r="M360" s="51"/>
    </row>
    <row r="361">
      <c r="F361" s="55"/>
      <c r="L361" s="51"/>
      <c r="M361" s="51"/>
    </row>
    <row r="362">
      <c r="F362" s="55"/>
      <c r="L362" s="51"/>
      <c r="M362" s="51"/>
    </row>
    <row r="363">
      <c r="F363" s="55"/>
      <c r="L363" s="51"/>
      <c r="M363" s="51"/>
    </row>
    <row r="364">
      <c r="F364" s="55"/>
      <c r="L364" s="51"/>
      <c r="M364" s="51"/>
    </row>
    <row r="365">
      <c r="F365" s="55"/>
      <c r="L365" s="51"/>
      <c r="M365" s="51"/>
    </row>
    <row r="366">
      <c r="F366" s="55"/>
      <c r="L366" s="51"/>
      <c r="M366" s="51"/>
    </row>
    <row r="367">
      <c r="F367" s="55"/>
      <c r="L367" s="51"/>
      <c r="M367" s="51"/>
    </row>
    <row r="368">
      <c r="F368" s="55"/>
      <c r="L368" s="51"/>
      <c r="M368" s="51"/>
    </row>
    <row r="369">
      <c r="F369" s="55"/>
      <c r="L369" s="51"/>
      <c r="M369" s="51"/>
    </row>
    <row r="370">
      <c r="F370" s="55"/>
      <c r="L370" s="51"/>
      <c r="M370" s="51"/>
    </row>
    <row r="371">
      <c r="F371" s="55"/>
      <c r="L371" s="51"/>
      <c r="M371" s="51"/>
    </row>
    <row r="372">
      <c r="F372" s="55"/>
      <c r="L372" s="51"/>
      <c r="M372" s="51"/>
    </row>
    <row r="373">
      <c r="F373" s="55"/>
      <c r="L373" s="51"/>
      <c r="M373" s="51"/>
    </row>
    <row r="374">
      <c r="F374" s="55"/>
      <c r="L374" s="51"/>
      <c r="M374" s="51"/>
    </row>
    <row r="375">
      <c r="F375" s="55"/>
      <c r="L375" s="51"/>
      <c r="M375" s="51"/>
    </row>
    <row r="376">
      <c r="F376" s="55"/>
      <c r="L376" s="51"/>
      <c r="M376" s="51"/>
    </row>
    <row r="377">
      <c r="F377" s="55"/>
      <c r="L377" s="51"/>
      <c r="M377" s="51"/>
    </row>
    <row r="378">
      <c r="F378" s="55"/>
      <c r="L378" s="51"/>
      <c r="M378" s="51"/>
    </row>
    <row r="379">
      <c r="F379" s="55"/>
      <c r="L379" s="51"/>
      <c r="M379" s="51"/>
    </row>
    <row r="380">
      <c r="F380" s="55"/>
      <c r="L380" s="51"/>
      <c r="M380" s="51"/>
    </row>
    <row r="381">
      <c r="F381" s="55"/>
      <c r="L381" s="51"/>
      <c r="M381" s="51"/>
    </row>
    <row r="382">
      <c r="F382" s="55"/>
      <c r="L382" s="51"/>
      <c r="M382" s="51"/>
    </row>
    <row r="383">
      <c r="F383" s="55"/>
      <c r="L383" s="51"/>
      <c r="M383" s="51"/>
    </row>
    <row r="384">
      <c r="F384" s="55"/>
      <c r="L384" s="51"/>
      <c r="M384" s="51"/>
    </row>
    <row r="385">
      <c r="F385" s="55"/>
      <c r="L385" s="51"/>
      <c r="M385" s="51"/>
    </row>
    <row r="386">
      <c r="F386" s="55"/>
      <c r="L386" s="51"/>
      <c r="M386" s="51"/>
    </row>
    <row r="387">
      <c r="F387" s="55"/>
      <c r="L387" s="51"/>
      <c r="M387" s="51"/>
    </row>
    <row r="388">
      <c r="F388" s="55"/>
      <c r="L388" s="51"/>
      <c r="M388" s="51"/>
    </row>
    <row r="389">
      <c r="F389" s="55"/>
      <c r="L389" s="51"/>
      <c r="M389" s="51"/>
    </row>
    <row r="390">
      <c r="F390" s="55"/>
      <c r="L390" s="51"/>
      <c r="M390" s="51"/>
    </row>
    <row r="391">
      <c r="F391" s="55"/>
      <c r="L391" s="51"/>
      <c r="M391" s="51"/>
    </row>
    <row r="392">
      <c r="F392" s="55"/>
      <c r="L392" s="51"/>
      <c r="M392" s="51"/>
    </row>
    <row r="393">
      <c r="F393" s="55"/>
      <c r="L393" s="51"/>
      <c r="M393" s="51"/>
    </row>
    <row r="394">
      <c r="F394" s="55"/>
      <c r="L394" s="51"/>
      <c r="M394" s="51"/>
    </row>
    <row r="395">
      <c r="F395" s="55"/>
      <c r="L395" s="51"/>
      <c r="M395" s="51"/>
    </row>
    <row r="396">
      <c r="F396" s="55"/>
      <c r="L396" s="51"/>
      <c r="M396" s="51"/>
    </row>
    <row r="397">
      <c r="F397" s="55"/>
      <c r="L397" s="51"/>
      <c r="M397" s="51"/>
    </row>
    <row r="398">
      <c r="F398" s="55"/>
      <c r="L398" s="51"/>
      <c r="M398" s="51"/>
    </row>
    <row r="399">
      <c r="F399" s="55"/>
      <c r="L399" s="51"/>
      <c r="M399" s="51"/>
    </row>
    <row r="400">
      <c r="F400" s="55"/>
      <c r="L400" s="51"/>
      <c r="M400" s="51"/>
    </row>
    <row r="401">
      <c r="F401" s="55"/>
      <c r="L401" s="51"/>
      <c r="M401" s="51"/>
    </row>
    <row r="402">
      <c r="F402" s="55"/>
      <c r="L402" s="51"/>
      <c r="M402" s="51"/>
    </row>
    <row r="403">
      <c r="F403" s="55"/>
      <c r="L403" s="51"/>
      <c r="M403" s="51"/>
    </row>
    <row r="404">
      <c r="F404" s="55"/>
      <c r="L404" s="51"/>
      <c r="M404" s="51"/>
    </row>
    <row r="405">
      <c r="F405" s="55"/>
      <c r="L405" s="51"/>
      <c r="M405" s="51"/>
    </row>
    <row r="406">
      <c r="F406" s="55"/>
      <c r="L406" s="51"/>
      <c r="M406" s="51"/>
    </row>
    <row r="407">
      <c r="F407" s="55"/>
      <c r="L407" s="51"/>
      <c r="M407" s="51"/>
    </row>
    <row r="408">
      <c r="F408" s="55"/>
      <c r="L408" s="51"/>
      <c r="M408" s="51"/>
    </row>
    <row r="409">
      <c r="F409" s="55"/>
      <c r="L409" s="51"/>
      <c r="M409" s="51"/>
    </row>
    <row r="410">
      <c r="F410" s="55"/>
      <c r="L410" s="51"/>
      <c r="M410" s="51"/>
    </row>
    <row r="411">
      <c r="F411" s="55"/>
      <c r="L411" s="51"/>
      <c r="M411" s="51"/>
    </row>
    <row r="412">
      <c r="F412" s="55"/>
      <c r="L412" s="51"/>
      <c r="M412" s="51"/>
    </row>
    <row r="413">
      <c r="F413" s="55"/>
      <c r="L413" s="51"/>
      <c r="M413" s="51"/>
    </row>
    <row r="414">
      <c r="F414" s="55"/>
      <c r="L414" s="51"/>
      <c r="M414" s="51"/>
    </row>
    <row r="415">
      <c r="F415" s="55"/>
      <c r="L415" s="51"/>
      <c r="M415" s="51"/>
    </row>
    <row r="416">
      <c r="F416" s="55"/>
      <c r="L416" s="51"/>
      <c r="M416" s="51"/>
    </row>
    <row r="417">
      <c r="F417" s="55"/>
      <c r="L417" s="51"/>
      <c r="M417" s="51"/>
    </row>
    <row r="418">
      <c r="F418" s="55"/>
      <c r="L418" s="51"/>
      <c r="M418" s="51"/>
    </row>
    <row r="419">
      <c r="F419" s="55"/>
      <c r="L419" s="51"/>
      <c r="M419" s="51"/>
    </row>
    <row r="420">
      <c r="F420" s="55"/>
      <c r="L420" s="51"/>
      <c r="M420" s="51"/>
    </row>
    <row r="421">
      <c r="F421" s="55"/>
      <c r="L421" s="51"/>
      <c r="M421" s="51"/>
    </row>
    <row r="422">
      <c r="F422" s="55"/>
      <c r="L422" s="51"/>
      <c r="M422" s="51"/>
    </row>
    <row r="423">
      <c r="F423" s="55"/>
      <c r="L423" s="51"/>
      <c r="M423" s="51"/>
    </row>
    <row r="424">
      <c r="F424" s="55"/>
      <c r="L424" s="51"/>
      <c r="M424" s="51"/>
    </row>
    <row r="425">
      <c r="F425" s="55"/>
      <c r="L425" s="51"/>
      <c r="M425" s="51"/>
    </row>
    <row r="426">
      <c r="F426" s="55"/>
      <c r="L426" s="51"/>
      <c r="M426" s="51"/>
    </row>
    <row r="427">
      <c r="F427" s="55"/>
      <c r="L427" s="51"/>
      <c r="M427" s="51"/>
    </row>
    <row r="428">
      <c r="F428" s="55"/>
      <c r="L428" s="51"/>
      <c r="M428" s="51"/>
    </row>
    <row r="429">
      <c r="F429" s="55"/>
      <c r="L429" s="51"/>
      <c r="M429" s="51"/>
    </row>
    <row r="430">
      <c r="F430" s="55"/>
      <c r="L430" s="51"/>
      <c r="M430" s="51"/>
    </row>
    <row r="431">
      <c r="F431" s="55"/>
      <c r="L431" s="51"/>
      <c r="M431" s="51"/>
    </row>
    <row r="432">
      <c r="F432" s="55"/>
      <c r="L432" s="51"/>
      <c r="M432" s="51"/>
    </row>
    <row r="433">
      <c r="F433" s="55"/>
      <c r="L433" s="51"/>
      <c r="M433" s="51"/>
    </row>
    <row r="434">
      <c r="F434" s="55"/>
      <c r="L434" s="51"/>
      <c r="M434" s="51"/>
    </row>
    <row r="435">
      <c r="F435" s="55"/>
      <c r="L435" s="51"/>
      <c r="M435" s="51"/>
    </row>
    <row r="436">
      <c r="F436" s="55"/>
      <c r="L436" s="51"/>
      <c r="M436" s="51"/>
    </row>
    <row r="437">
      <c r="F437" s="55"/>
      <c r="L437" s="51"/>
      <c r="M437" s="51"/>
    </row>
    <row r="438">
      <c r="F438" s="55"/>
      <c r="L438" s="51"/>
      <c r="M438" s="51"/>
    </row>
    <row r="439">
      <c r="F439" s="55"/>
      <c r="L439" s="51"/>
      <c r="M439" s="51"/>
    </row>
    <row r="440">
      <c r="F440" s="55"/>
      <c r="L440" s="51"/>
      <c r="M440" s="51"/>
    </row>
    <row r="441">
      <c r="F441" s="55"/>
      <c r="L441" s="51"/>
      <c r="M441" s="51"/>
    </row>
    <row r="442">
      <c r="F442" s="55"/>
      <c r="L442" s="51"/>
      <c r="M442" s="51"/>
    </row>
    <row r="443">
      <c r="F443" s="55"/>
      <c r="L443" s="51"/>
      <c r="M443" s="51"/>
    </row>
    <row r="444">
      <c r="F444" s="55"/>
      <c r="L444" s="51"/>
      <c r="M444" s="51"/>
    </row>
    <row r="445">
      <c r="F445" s="55"/>
      <c r="L445" s="51"/>
      <c r="M445" s="51"/>
    </row>
    <row r="446">
      <c r="F446" s="55"/>
      <c r="L446" s="51"/>
      <c r="M446" s="51"/>
    </row>
    <row r="447">
      <c r="F447" s="55"/>
      <c r="L447" s="51"/>
      <c r="M447" s="51"/>
    </row>
    <row r="448">
      <c r="F448" s="55"/>
      <c r="L448" s="51"/>
      <c r="M448" s="51"/>
    </row>
    <row r="449">
      <c r="F449" s="55"/>
      <c r="L449" s="51"/>
      <c r="M449" s="51"/>
    </row>
    <row r="450">
      <c r="F450" s="55"/>
      <c r="L450" s="51"/>
      <c r="M450" s="51"/>
    </row>
    <row r="451">
      <c r="F451" s="55"/>
      <c r="L451" s="51"/>
      <c r="M451" s="51"/>
    </row>
    <row r="452">
      <c r="F452" s="55"/>
      <c r="L452" s="51"/>
      <c r="M452" s="51"/>
    </row>
    <row r="453">
      <c r="F453" s="55"/>
      <c r="L453" s="51"/>
      <c r="M453" s="51"/>
    </row>
    <row r="454">
      <c r="F454" s="55"/>
      <c r="L454" s="51"/>
      <c r="M454" s="51"/>
    </row>
    <row r="455">
      <c r="F455" s="55"/>
      <c r="L455" s="51"/>
      <c r="M455" s="51"/>
    </row>
    <row r="456">
      <c r="F456" s="55"/>
      <c r="L456" s="51"/>
      <c r="M456" s="51"/>
    </row>
    <row r="457">
      <c r="F457" s="55"/>
      <c r="L457" s="51"/>
      <c r="M457" s="51"/>
    </row>
    <row r="458">
      <c r="F458" s="55"/>
      <c r="L458" s="51"/>
      <c r="M458" s="51"/>
    </row>
    <row r="459">
      <c r="F459" s="55"/>
      <c r="L459" s="51"/>
      <c r="M459" s="51"/>
    </row>
    <row r="460">
      <c r="F460" s="55"/>
      <c r="L460" s="51"/>
      <c r="M460" s="51"/>
    </row>
    <row r="461">
      <c r="F461" s="55"/>
      <c r="L461" s="51"/>
      <c r="M461" s="51"/>
    </row>
    <row r="462">
      <c r="F462" s="55"/>
      <c r="L462" s="51"/>
      <c r="M462" s="51"/>
    </row>
    <row r="463">
      <c r="F463" s="55"/>
      <c r="L463" s="51"/>
      <c r="M463" s="51"/>
    </row>
    <row r="464">
      <c r="F464" s="55"/>
      <c r="L464" s="51"/>
      <c r="M464" s="51"/>
    </row>
    <row r="465">
      <c r="F465" s="55"/>
      <c r="L465" s="51"/>
      <c r="M465" s="51"/>
    </row>
    <row r="466">
      <c r="F466" s="55"/>
      <c r="L466" s="51"/>
      <c r="M466" s="51"/>
    </row>
    <row r="467">
      <c r="F467" s="55"/>
      <c r="L467" s="51"/>
      <c r="M467" s="51"/>
    </row>
    <row r="468">
      <c r="F468" s="55"/>
      <c r="L468" s="51"/>
      <c r="M468" s="51"/>
    </row>
    <row r="469">
      <c r="F469" s="55"/>
      <c r="L469" s="51"/>
      <c r="M469" s="51"/>
    </row>
    <row r="470">
      <c r="F470" s="55"/>
      <c r="L470" s="51"/>
      <c r="M470" s="51"/>
    </row>
    <row r="471">
      <c r="F471" s="55"/>
      <c r="L471" s="51"/>
      <c r="M471" s="51"/>
    </row>
    <row r="472">
      <c r="F472" s="55"/>
      <c r="L472" s="51"/>
      <c r="M472" s="51"/>
    </row>
    <row r="473">
      <c r="F473" s="55"/>
      <c r="L473" s="51"/>
      <c r="M473" s="51"/>
    </row>
    <row r="474">
      <c r="F474" s="55"/>
      <c r="L474" s="51"/>
      <c r="M474" s="51"/>
    </row>
    <row r="475">
      <c r="F475" s="55"/>
      <c r="L475" s="51"/>
      <c r="M475" s="51"/>
    </row>
    <row r="476">
      <c r="F476" s="55"/>
      <c r="L476" s="51"/>
      <c r="M476" s="51"/>
    </row>
    <row r="477">
      <c r="F477" s="55"/>
      <c r="L477" s="51"/>
      <c r="M477" s="51"/>
    </row>
    <row r="478">
      <c r="F478" s="55"/>
      <c r="L478" s="51"/>
      <c r="M478" s="51"/>
    </row>
    <row r="479">
      <c r="F479" s="55"/>
      <c r="L479" s="51"/>
      <c r="M479" s="51"/>
    </row>
    <row r="480">
      <c r="F480" s="55"/>
      <c r="L480" s="51"/>
      <c r="M480" s="51"/>
    </row>
    <row r="481">
      <c r="F481" s="55"/>
      <c r="L481" s="51"/>
      <c r="M481" s="51"/>
    </row>
    <row r="482">
      <c r="F482" s="55"/>
      <c r="L482" s="51"/>
      <c r="M482" s="51"/>
    </row>
    <row r="483">
      <c r="F483" s="55"/>
      <c r="L483" s="51"/>
      <c r="M483" s="51"/>
    </row>
    <row r="484">
      <c r="F484" s="55"/>
      <c r="L484" s="51"/>
      <c r="M484" s="51"/>
    </row>
    <row r="485">
      <c r="F485" s="55"/>
      <c r="L485" s="51"/>
      <c r="M485" s="51"/>
    </row>
    <row r="486">
      <c r="F486" s="55"/>
      <c r="L486" s="51"/>
      <c r="M486" s="51"/>
    </row>
    <row r="487">
      <c r="F487" s="55"/>
      <c r="L487" s="51"/>
      <c r="M487" s="51"/>
    </row>
    <row r="488">
      <c r="F488" s="55"/>
      <c r="L488" s="51"/>
      <c r="M488" s="51"/>
    </row>
    <row r="489">
      <c r="F489" s="55"/>
      <c r="L489" s="51"/>
      <c r="M489" s="51"/>
    </row>
    <row r="490">
      <c r="F490" s="55"/>
      <c r="L490" s="51"/>
      <c r="M490" s="51"/>
    </row>
    <row r="491">
      <c r="F491" s="55"/>
      <c r="L491" s="51"/>
      <c r="M491" s="51"/>
    </row>
    <row r="492">
      <c r="F492" s="55"/>
      <c r="L492" s="51"/>
      <c r="M492" s="51"/>
    </row>
    <row r="493">
      <c r="F493" s="55"/>
      <c r="L493" s="51"/>
      <c r="M493" s="51"/>
    </row>
    <row r="494">
      <c r="F494" s="55"/>
      <c r="L494" s="51"/>
      <c r="M494" s="51"/>
    </row>
    <row r="495">
      <c r="F495" s="55"/>
      <c r="L495" s="51"/>
      <c r="M495" s="51"/>
    </row>
    <row r="496">
      <c r="F496" s="55"/>
      <c r="L496" s="51"/>
      <c r="M496" s="51"/>
    </row>
    <row r="497">
      <c r="F497" s="55"/>
      <c r="L497" s="51"/>
      <c r="M497" s="51"/>
    </row>
    <row r="498">
      <c r="F498" s="55"/>
      <c r="L498" s="51"/>
      <c r="M498" s="51"/>
    </row>
    <row r="499">
      <c r="F499" s="55"/>
      <c r="L499" s="51"/>
      <c r="M499" s="51"/>
    </row>
    <row r="500">
      <c r="F500" s="55"/>
      <c r="L500" s="51"/>
      <c r="M500" s="51"/>
    </row>
    <row r="501">
      <c r="F501" s="55"/>
      <c r="L501" s="51"/>
      <c r="M501" s="51"/>
    </row>
    <row r="502">
      <c r="F502" s="55"/>
      <c r="L502" s="51"/>
      <c r="M502" s="51"/>
    </row>
    <row r="503">
      <c r="F503" s="55"/>
      <c r="L503" s="51"/>
      <c r="M503" s="51"/>
    </row>
    <row r="504">
      <c r="F504" s="55"/>
      <c r="L504" s="51"/>
      <c r="M504" s="51"/>
    </row>
    <row r="505">
      <c r="F505" s="55"/>
      <c r="L505" s="51"/>
      <c r="M505" s="51"/>
    </row>
    <row r="506">
      <c r="F506" s="55"/>
      <c r="L506" s="51"/>
      <c r="M506" s="51"/>
    </row>
    <row r="507">
      <c r="F507" s="55"/>
      <c r="L507" s="51"/>
      <c r="M507" s="51"/>
    </row>
    <row r="508">
      <c r="F508" s="55"/>
      <c r="L508" s="51"/>
      <c r="M508" s="51"/>
    </row>
    <row r="509">
      <c r="F509" s="55"/>
      <c r="L509" s="51"/>
      <c r="M509" s="51"/>
    </row>
    <row r="510">
      <c r="F510" s="55"/>
      <c r="L510" s="51"/>
      <c r="M510" s="51"/>
    </row>
    <row r="511">
      <c r="F511" s="55"/>
      <c r="L511" s="51"/>
      <c r="M511" s="51"/>
    </row>
    <row r="512">
      <c r="F512" s="55"/>
      <c r="L512" s="51"/>
      <c r="M512" s="51"/>
    </row>
    <row r="513">
      <c r="F513" s="55"/>
      <c r="L513" s="51"/>
      <c r="M513" s="51"/>
    </row>
    <row r="514">
      <c r="F514" s="55"/>
      <c r="L514" s="51"/>
      <c r="M514" s="51"/>
    </row>
    <row r="515">
      <c r="F515" s="55"/>
      <c r="L515" s="51"/>
      <c r="M515" s="51"/>
    </row>
    <row r="516">
      <c r="F516" s="55"/>
      <c r="L516" s="51"/>
      <c r="M516" s="51"/>
    </row>
    <row r="517">
      <c r="F517" s="55"/>
      <c r="L517" s="51"/>
      <c r="M517" s="51"/>
    </row>
    <row r="518">
      <c r="F518" s="55"/>
      <c r="L518" s="51"/>
      <c r="M518" s="51"/>
    </row>
    <row r="519">
      <c r="F519" s="55"/>
      <c r="L519" s="51"/>
      <c r="M519" s="51"/>
    </row>
    <row r="520">
      <c r="F520" s="55"/>
      <c r="L520" s="51"/>
      <c r="M520" s="51"/>
    </row>
    <row r="521">
      <c r="F521" s="55"/>
      <c r="L521" s="51"/>
      <c r="M521" s="51"/>
    </row>
    <row r="522">
      <c r="F522" s="55"/>
      <c r="L522" s="51"/>
      <c r="M522" s="51"/>
    </row>
    <row r="523">
      <c r="F523" s="55"/>
      <c r="L523" s="51"/>
      <c r="M523" s="51"/>
    </row>
    <row r="524">
      <c r="F524" s="55"/>
      <c r="L524" s="51"/>
      <c r="M524" s="51"/>
    </row>
    <row r="525">
      <c r="F525" s="55"/>
      <c r="L525" s="51"/>
      <c r="M525" s="51"/>
    </row>
    <row r="526">
      <c r="F526" s="55"/>
      <c r="L526" s="51"/>
      <c r="M526" s="51"/>
    </row>
    <row r="527">
      <c r="F527" s="55"/>
      <c r="L527" s="51"/>
      <c r="M527" s="51"/>
    </row>
    <row r="528">
      <c r="F528" s="55"/>
      <c r="L528" s="51"/>
      <c r="M528" s="51"/>
    </row>
    <row r="529">
      <c r="F529" s="55"/>
      <c r="L529" s="51"/>
      <c r="M529" s="51"/>
    </row>
    <row r="530">
      <c r="F530" s="55"/>
      <c r="L530" s="51"/>
      <c r="M530" s="51"/>
    </row>
    <row r="531">
      <c r="F531" s="55"/>
      <c r="L531" s="51"/>
      <c r="M531" s="51"/>
    </row>
    <row r="532">
      <c r="F532" s="55"/>
      <c r="L532" s="51"/>
      <c r="M532" s="51"/>
    </row>
    <row r="533">
      <c r="F533" s="55"/>
      <c r="L533" s="51"/>
      <c r="M533" s="51"/>
    </row>
    <row r="534">
      <c r="F534" s="55"/>
      <c r="L534" s="51"/>
      <c r="M534" s="51"/>
    </row>
    <row r="535">
      <c r="F535" s="55"/>
      <c r="L535" s="51"/>
      <c r="M535" s="51"/>
    </row>
    <row r="536">
      <c r="F536" s="55"/>
      <c r="L536" s="51"/>
      <c r="M536" s="51"/>
    </row>
    <row r="537">
      <c r="F537" s="55"/>
      <c r="L537" s="51"/>
      <c r="M537" s="51"/>
    </row>
    <row r="538">
      <c r="F538" s="55"/>
      <c r="L538" s="51"/>
      <c r="M538" s="51"/>
    </row>
    <row r="539">
      <c r="F539" s="55"/>
      <c r="L539" s="51"/>
      <c r="M539" s="51"/>
    </row>
    <row r="540">
      <c r="F540" s="55"/>
      <c r="L540" s="51"/>
      <c r="M540" s="51"/>
    </row>
    <row r="541">
      <c r="F541" s="55"/>
      <c r="L541" s="51"/>
      <c r="M541" s="51"/>
    </row>
    <row r="542">
      <c r="F542" s="55"/>
      <c r="L542" s="51"/>
      <c r="M542" s="51"/>
    </row>
    <row r="543">
      <c r="F543" s="55"/>
      <c r="L543" s="51"/>
      <c r="M543" s="51"/>
    </row>
    <row r="544">
      <c r="F544" s="55"/>
      <c r="L544" s="51"/>
      <c r="M544" s="51"/>
    </row>
    <row r="545">
      <c r="F545" s="55"/>
      <c r="L545" s="51"/>
      <c r="M545" s="51"/>
    </row>
    <row r="546">
      <c r="F546" s="55"/>
      <c r="L546" s="51"/>
      <c r="M546" s="51"/>
    </row>
    <row r="547">
      <c r="F547" s="55"/>
      <c r="L547" s="51"/>
      <c r="M547" s="51"/>
    </row>
    <row r="548">
      <c r="F548" s="55"/>
      <c r="L548" s="51"/>
      <c r="M548" s="51"/>
    </row>
    <row r="549">
      <c r="F549" s="55"/>
      <c r="L549" s="51"/>
      <c r="M549" s="51"/>
    </row>
    <row r="550">
      <c r="F550" s="55"/>
      <c r="L550" s="51"/>
      <c r="M550" s="51"/>
    </row>
    <row r="551">
      <c r="F551" s="55"/>
      <c r="L551" s="51"/>
      <c r="M551" s="51"/>
    </row>
    <row r="552">
      <c r="F552" s="55"/>
      <c r="L552" s="51"/>
      <c r="M552" s="51"/>
    </row>
    <row r="553">
      <c r="F553" s="55"/>
      <c r="L553" s="51"/>
      <c r="M553" s="51"/>
    </row>
    <row r="554">
      <c r="F554" s="55"/>
      <c r="L554" s="51"/>
      <c r="M554" s="51"/>
    </row>
    <row r="555">
      <c r="F555" s="55"/>
      <c r="L555" s="51"/>
      <c r="M555" s="51"/>
    </row>
    <row r="556">
      <c r="F556" s="55"/>
      <c r="L556" s="51"/>
      <c r="M556" s="51"/>
    </row>
    <row r="557">
      <c r="F557" s="55"/>
      <c r="L557" s="51"/>
      <c r="M557" s="51"/>
    </row>
    <row r="558">
      <c r="F558" s="55"/>
      <c r="L558" s="51"/>
      <c r="M558" s="51"/>
    </row>
    <row r="559">
      <c r="F559" s="55"/>
      <c r="L559" s="51"/>
      <c r="M559" s="51"/>
    </row>
    <row r="560">
      <c r="F560" s="55"/>
      <c r="L560" s="51"/>
      <c r="M560" s="51"/>
    </row>
    <row r="561">
      <c r="F561" s="55"/>
      <c r="L561" s="51"/>
      <c r="M561" s="51"/>
    </row>
    <row r="562">
      <c r="F562" s="55"/>
      <c r="L562" s="51"/>
      <c r="M562" s="51"/>
    </row>
    <row r="563">
      <c r="F563" s="55"/>
      <c r="L563" s="51"/>
      <c r="M563" s="51"/>
    </row>
    <row r="564">
      <c r="F564" s="55"/>
      <c r="L564" s="51"/>
      <c r="M564" s="51"/>
    </row>
    <row r="565">
      <c r="F565" s="55"/>
      <c r="L565" s="51"/>
      <c r="M565" s="51"/>
    </row>
    <row r="566">
      <c r="F566" s="55"/>
      <c r="L566" s="51"/>
      <c r="M566" s="51"/>
    </row>
    <row r="567">
      <c r="F567" s="55"/>
      <c r="L567" s="51"/>
      <c r="M567" s="51"/>
    </row>
    <row r="568">
      <c r="F568" s="55"/>
      <c r="L568" s="51"/>
      <c r="M568" s="51"/>
    </row>
    <row r="569">
      <c r="F569" s="55"/>
      <c r="L569" s="51"/>
      <c r="M569" s="51"/>
    </row>
    <row r="570">
      <c r="F570" s="55"/>
      <c r="L570" s="51"/>
      <c r="M570" s="51"/>
    </row>
    <row r="571">
      <c r="F571" s="55"/>
      <c r="L571" s="51"/>
      <c r="M571" s="51"/>
    </row>
    <row r="572">
      <c r="F572" s="55"/>
      <c r="L572" s="51"/>
      <c r="M572" s="51"/>
    </row>
    <row r="573">
      <c r="F573" s="55"/>
      <c r="L573" s="51"/>
      <c r="M573" s="51"/>
    </row>
    <row r="574">
      <c r="F574" s="55"/>
      <c r="L574" s="51"/>
      <c r="M574" s="51"/>
    </row>
    <row r="575">
      <c r="F575" s="55"/>
      <c r="L575" s="51"/>
      <c r="M575" s="51"/>
    </row>
    <row r="576">
      <c r="F576" s="55"/>
      <c r="L576" s="51"/>
      <c r="M576" s="51"/>
    </row>
    <row r="577">
      <c r="F577" s="55"/>
      <c r="L577" s="51"/>
      <c r="M577" s="51"/>
    </row>
    <row r="578">
      <c r="F578" s="55"/>
      <c r="L578" s="51"/>
      <c r="M578" s="51"/>
    </row>
    <row r="579">
      <c r="F579" s="55"/>
      <c r="L579" s="51"/>
      <c r="M579" s="51"/>
    </row>
    <row r="580">
      <c r="F580" s="55"/>
      <c r="L580" s="51"/>
      <c r="M580" s="51"/>
    </row>
    <row r="581">
      <c r="F581" s="55"/>
      <c r="L581" s="51"/>
      <c r="M581" s="51"/>
    </row>
    <row r="582">
      <c r="F582" s="55"/>
      <c r="L582" s="51"/>
      <c r="M582" s="51"/>
    </row>
    <row r="583">
      <c r="F583" s="55"/>
      <c r="L583" s="51"/>
      <c r="M583" s="51"/>
    </row>
    <row r="584">
      <c r="F584" s="55"/>
      <c r="L584" s="51"/>
      <c r="M584" s="51"/>
    </row>
    <row r="585">
      <c r="F585" s="55"/>
      <c r="L585" s="51"/>
      <c r="M585" s="51"/>
    </row>
    <row r="586">
      <c r="F586" s="55"/>
      <c r="L586" s="51"/>
      <c r="M586" s="51"/>
    </row>
    <row r="587">
      <c r="F587" s="55"/>
      <c r="L587" s="51"/>
      <c r="M587" s="51"/>
    </row>
    <row r="588">
      <c r="F588" s="55"/>
      <c r="L588" s="51"/>
      <c r="M588" s="51"/>
    </row>
    <row r="589">
      <c r="F589" s="55"/>
      <c r="L589" s="51"/>
      <c r="M589" s="51"/>
    </row>
    <row r="590">
      <c r="F590" s="55"/>
      <c r="L590" s="51"/>
      <c r="M590" s="51"/>
    </row>
    <row r="591">
      <c r="F591" s="55"/>
      <c r="L591" s="51"/>
      <c r="M591" s="51"/>
    </row>
    <row r="592">
      <c r="F592" s="55"/>
      <c r="L592" s="51"/>
      <c r="M592" s="51"/>
    </row>
    <row r="593">
      <c r="F593" s="55"/>
      <c r="L593" s="51"/>
      <c r="M593" s="51"/>
    </row>
    <row r="594">
      <c r="F594" s="55"/>
      <c r="L594" s="51"/>
      <c r="M594" s="51"/>
    </row>
    <row r="595">
      <c r="F595" s="55"/>
      <c r="L595" s="51"/>
      <c r="M595" s="51"/>
    </row>
    <row r="596">
      <c r="F596" s="55"/>
      <c r="L596" s="51"/>
      <c r="M596" s="51"/>
    </row>
    <row r="597">
      <c r="F597" s="55"/>
      <c r="L597" s="51"/>
      <c r="M597" s="51"/>
    </row>
    <row r="598">
      <c r="F598" s="55"/>
      <c r="L598" s="51"/>
      <c r="M598" s="51"/>
    </row>
    <row r="599">
      <c r="F599" s="55"/>
      <c r="L599" s="51"/>
      <c r="M599" s="51"/>
    </row>
    <row r="600">
      <c r="F600" s="55"/>
      <c r="L600" s="51"/>
      <c r="M600" s="51"/>
    </row>
    <row r="601">
      <c r="F601" s="55"/>
      <c r="L601" s="51"/>
      <c r="M601" s="51"/>
    </row>
    <row r="602">
      <c r="F602" s="55"/>
      <c r="L602" s="51"/>
      <c r="M602" s="51"/>
    </row>
    <row r="603">
      <c r="F603" s="55"/>
      <c r="L603" s="51"/>
      <c r="M603" s="51"/>
    </row>
    <row r="604">
      <c r="F604" s="55"/>
      <c r="L604" s="51"/>
      <c r="M604" s="51"/>
    </row>
    <row r="605">
      <c r="F605" s="55"/>
      <c r="L605" s="51"/>
      <c r="M605" s="51"/>
    </row>
    <row r="606">
      <c r="F606" s="55"/>
      <c r="L606" s="51"/>
      <c r="M606" s="51"/>
    </row>
    <row r="607">
      <c r="F607" s="55"/>
      <c r="L607" s="51"/>
      <c r="M607" s="51"/>
    </row>
    <row r="608">
      <c r="F608" s="55"/>
      <c r="L608" s="51"/>
      <c r="M608" s="51"/>
    </row>
    <row r="609">
      <c r="F609" s="55"/>
      <c r="L609" s="51"/>
      <c r="M609" s="51"/>
    </row>
    <row r="610">
      <c r="F610" s="55"/>
      <c r="L610" s="51"/>
      <c r="M610" s="51"/>
    </row>
    <row r="611">
      <c r="F611" s="55"/>
      <c r="L611" s="51"/>
      <c r="M611" s="51"/>
    </row>
    <row r="612">
      <c r="F612" s="55"/>
      <c r="L612" s="51"/>
      <c r="M612" s="51"/>
    </row>
    <row r="613">
      <c r="F613" s="55"/>
      <c r="L613" s="51"/>
      <c r="M613" s="51"/>
    </row>
    <row r="614">
      <c r="F614" s="55"/>
      <c r="L614" s="51"/>
      <c r="M614" s="51"/>
    </row>
    <row r="615">
      <c r="F615" s="55"/>
      <c r="L615" s="51"/>
      <c r="M615" s="51"/>
    </row>
    <row r="616">
      <c r="F616" s="55"/>
      <c r="L616" s="51"/>
      <c r="M616" s="51"/>
    </row>
    <row r="617">
      <c r="F617" s="55"/>
      <c r="L617" s="51"/>
      <c r="M617" s="51"/>
    </row>
    <row r="618">
      <c r="F618" s="55"/>
      <c r="L618" s="51"/>
      <c r="M618" s="51"/>
    </row>
    <row r="619">
      <c r="F619" s="55"/>
      <c r="L619" s="51"/>
      <c r="M619" s="51"/>
    </row>
    <row r="620">
      <c r="F620" s="55"/>
      <c r="L620" s="51"/>
      <c r="M620" s="51"/>
    </row>
    <row r="621">
      <c r="F621" s="55"/>
      <c r="L621" s="51"/>
      <c r="M621" s="51"/>
    </row>
    <row r="622">
      <c r="F622" s="55"/>
      <c r="L622" s="51"/>
      <c r="M622" s="51"/>
    </row>
    <row r="623">
      <c r="F623" s="55"/>
      <c r="L623" s="51"/>
      <c r="M623" s="51"/>
    </row>
    <row r="624">
      <c r="F624" s="55"/>
      <c r="L624" s="51"/>
      <c r="M624" s="51"/>
    </row>
    <row r="625">
      <c r="F625" s="55"/>
      <c r="L625" s="51"/>
      <c r="M625" s="51"/>
    </row>
    <row r="626">
      <c r="F626" s="55"/>
      <c r="L626" s="51"/>
      <c r="M626" s="51"/>
    </row>
    <row r="627">
      <c r="F627" s="55"/>
      <c r="L627" s="51"/>
      <c r="M627" s="51"/>
    </row>
    <row r="628">
      <c r="F628" s="55"/>
      <c r="L628" s="51"/>
      <c r="M628" s="51"/>
    </row>
    <row r="629">
      <c r="F629" s="55"/>
      <c r="L629" s="51"/>
      <c r="M629" s="51"/>
    </row>
    <row r="630">
      <c r="F630" s="55"/>
      <c r="L630" s="51"/>
      <c r="M630" s="51"/>
    </row>
    <row r="631">
      <c r="F631" s="55"/>
      <c r="L631" s="51"/>
      <c r="M631" s="51"/>
    </row>
    <row r="632">
      <c r="F632" s="55"/>
      <c r="L632" s="51"/>
      <c r="M632" s="51"/>
    </row>
    <row r="633">
      <c r="F633" s="55"/>
      <c r="L633" s="51"/>
      <c r="M633" s="51"/>
    </row>
    <row r="634">
      <c r="F634" s="55"/>
      <c r="L634" s="51"/>
      <c r="M634" s="51"/>
    </row>
    <row r="635">
      <c r="F635" s="55"/>
      <c r="L635" s="51"/>
      <c r="M635" s="51"/>
    </row>
    <row r="636">
      <c r="F636" s="55"/>
      <c r="L636" s="51"/>
      <c r="M636" s="51"/>
    </row>
    <row r="637">
      <c r="F637" s="55"/>
      <c r="L637" s="51"/>
      <c r="M637" s="51"/>
    </row>
    <row r="638">
      <c r="F638" s="55"/>
      <c r="L638" s="51"/>
      <c r="M638" s="51"/>
    </row>
    <row r="639">
      <c r="F639" s="55"/>
      <c r="L639" s="51"/>
      <c r="M639" s="51"/>
    </row>
    <row r="640">
      <c r="F640" s="55"/>
      <c r="L640" s="51"/>
      <c r="M640" s="51"/>
    </row>
    <row r="641">
      <c r="F641" s="55"/>
      <c r="L641" s="51"/>
      <c r="M641" s="51"/>
    </row>
    <row r="642">
      <c r="F642" s="55"/>
      <c r="L642" s="51"/>
      <c r="M642" s="51"/>
    </row>
    <row r="643">
      <c r="F643" s="55"/>
      <c r="L643" s="51"/>
      <c r="M643" s="51"/>
    </row>
    <row r="644">
      <c r="F644" s="55"/>
      <c r="L644" s="51"/>
      <c r="M644" s="51"/>
    </row>
    <row r="645">
      <c r="F645" s="55"/>
      <c r="L645" s="51"/>
      <c r="M645" s="51"/>
    </row>
    <row r="646">
      <c r="F646" s="55"/>
      <c r="L646" s="51"/>
      <c r="M646" s="51"/>
    </row>
    <row r="647">
      <c r="F647" s="55"/>
      <c r="L647" s="51"/>
      <c r="M647" s="51"/>
    </row>
    <row r="648">
      <c r="F648" s="55"/>
      <c r="L648" s="51"/>
      <c r="M648" s="51"/>
    </row>
    <row r="649">
      <c r="F649" s="55"/>
      <c r="L649" s="51"/>
      <c r="M649" s="51"/>
    </row>
    <row r="650">
      <c r="F650" s="55"/>
      <c r="L650" s="51"/>
      <c r="M650" s="51"/>
    </row>
    <row r="651">
      <c r="F651" s="55"/>
      <c r="L651" s="51"/>
      <c r="M651" s="51"/>
    </row>
    <row r="652">
      <c r="F652" s="55"/>
      <c r="L652" s="51"/>
      <c r="M652" s="51"/>
    </row>
    <row r="653">
      <c r="F653" s="55"/>
      <c r="L653" s="51"/>
      <c r="M653" s="51"/>
    </row>
    <row r="654">
      <c r="F654" s="55"/>
      <c r="L654" s="51"/>
      <c r="M654" s="51"/>
    </row>
    <row r="655">
      <c r="F655" s="55"/>
      <c r="L655" s="51"/>
      <c r="M655" s="51"/>
    </row>
    <row r="656">
      <c r="F656" s="55"/>
      <c r="L656" s="51"/>
      <c r="M656" s="51"/>
    </row>
    <row r="657">
      <c r="F657" s="55"/>
      <c r="L657" s="51"/>
      <c r="M657" s="51"/>
    </row>
    <row r="658">
      <c r="F658" s="55"/>
      <c r="L658" s="51"/>
      <c r="M658" s="51"/>
    </row>
    <row r="659">
      <c r="F659" s="55"/>
      <c r="L659" s="51"/>
      <c r="M659" s="51"/>
    </row>
    <row r="660">
      <c r="F660" s="55"/>
      <c r="L660" s="51"/>
      <c r="M660" s="51"/>
    </row>
    <row r="661">
      <c r="F661" s="55"/>
      <c r="L661" s="51"/>
      <c r="M661" s="51"/>
    </row>
    <row r="662">
      <c r="F662" s="55"/>
      <c r="L662" s="51"/>
      <c r="M662" s="51"/>
    </row>
    <row r="663">
      <c r="F663" s="55"/>
      <c r="L663" s="51"/>
      <c r="M663" s="51"/>
    </row>
    <row r="664">
      <c r="F664" s="55"/>
      <c r="L664" s="51"/>
      <c r="M664" s="51"/>
    </row>
    <row r="665">
      <c r="F665" s="55"/>
      <c r="L665" s="51"/>
      <c r="M665" s="51"/>
    </row>
    <row r="666">
      <c r="F666" s="55"/>
      <c r="L666" s="51"/>
      <c r="M666" s="51"/>
    </row>
    <row r="667">
      <c r="F667" s="55"/>
      <c r="L667" s="51"/>
      <c r="M667" s="51"/>
    </row>
    <row r="668">
      <c r="F668" s="55"/>
      <c r="L668" s="51"/>
      <c r="M668" s="51"/>
    </row>
    <row r="669">
      <c r="F669" s="55"/>
      <c r="L669" s="51"/>
      <c r="M669" s="51"/>
    </row>
    <row r="670">
      <c r="F670" s="55"/>
      <c r="L670" s="51"/>
      <c r="M670" s="51"/>
    </row>
    <row r="671">
      <c r="F671" s="55"/>
      <c r="L671" s="51"/>
      <c r="M671" s="51"/>
    </row>
    <row r="672">
      <c r="F672" s="55"/>
      <c r="L672" s="51"/>
      <c r="M672" s="51"/>
    </row>
    <row r="673">
      <c r="F673" s="55"/>
      <c r="L673" s="51"/>
      <c r="M673" s="51"/>
    </row>
    <row r="674">
      <c r="F674" s="55"/>
      <c r="L674" s="51"/>
      <c r="M674" s="51"/>
    </row>
    <row r="675">
      <c r="F675" s="55"/>
      <c r="L675" s="51"/>
      <c r="M675" s="51"/>
    </row>
    <row r="676">
      <c r="F676" s="55"/>
      <c r="L676" s="51"/>
      <c r="M676" s="51"/>
    </row>
    <row r="677">
      <c r="F677" s="55"/>
      <c r="L677" s="51"/>
      <c r="M677" s="51"/>
    </row>
    <row r="678">
      <c r="F678" s="55"/>
      <c r="L678" s="51"/>
      <c r="M678" s="51"/>
    </row>
    <row r="679">
      <c r="F679" s="55"/>
      <c r="L679" s="51"/>
      <c r="M679" s="51"/>
    </row>
    <row r="680">
      <c r="F680" s="55"/>
      <c r="L680" s="51"/>
      <c r="M680" s="51"/>
    </row>
    <row r="681">
      <c r="F681" s="55"/>
      <c r="L681" s="51"/>
      <c r="M681" s="51"/>
    </row>
    <row r="682">
      <c r="F682" s="55"/>
      <c r="L682" s="51"/>
      <c r="M682" s="51"/>
    </row>
    <row r="683">
      <c r="F683" s="55"/>
      <c r="L683" s="51"/>
      <c r="M683" s="51"/>
    </row>
    <row r="684">
      <c r="F684" s="55"/>
      <c r="L684" s="51"/>
      <c r="M684" s="51"/>
    </row>
    <row r="685">
      <c r="F685" s="55"/>
      <c r="L685" s="51"/>
      <c r="M685" s="51"/>
    </row>
    <row r="686">
      <c r="F686" s="55"/>
      <c r="L686" s="51"/>
      <c r="M686" s="51"/>
    </row>
    <row r="687">
      <c r="F687" s="55"/>
      <c r="L687" s="51"/>
      <c r="M687" s="51"/>
    </row>
    <row r="688">
      <c r="F688" s="55"/>
      <c r="L688" s="51"/>
      <c r="M688" s="51"/>
    </row>
    <row r="689">
      <c r="F689" s="55"/>
      <c r="L689" s="51"/>
      <c r="M689" s="51"/>
    </row>
    <row r="690">
      <c r="F690" s="55"/>
      <c r="L690" s="51"/>
      <c r="M690" s="51"/>
    </row>
    <row r="691">
      <c r="F691" s="55"/>
      <c r="L691" s="51"/>
      <c r="M691" s="51"/>
    </row>
    <row r="692">
      <c r="F692" s="55"/>
      <c r="L692" s="51"/>
      <c r="M692" s="51"/>
    </row>
    <row r="693">
      <c r="F693" s="55"/>
      <c r="L693" s="51"/>
      <c r="M693" s="51"/>
    </row>
    <row r="694">
      <c r="F694" s="55"/>
      <c r="L694" s="51"/>
      <c r="M694" s="51"/>
    </row>
    <row r="695">
      <c r="F695" s="55"/>
      <c r="L695" s="51"/>
      <c r="M695" s="51"/>
    </row>
    <row r="696">
      <c r="F696" s="55"/>
      <c r="L696" s="51"/>
      <c r="M696" s="51"/>
    </row>
    <row r="697">
      <c r="F697" s="55"/>
      <c r="L697" s="51"/>
      <c r="M697" s="51"/>
    </row>
    <row r="698">
      <c r="F698" s="55"/>
      <c r="L698" s="51"/>
      <c r="M698" s="51"/>
    </row>
    <row r="699">
      <c r="F699" s="55"/>
      <c r="L699" s="51"/>
      <c r="M699" s="51"/>
    </row>
    <row r="700">
      <c r="F700" s="55"/>
      <c r="L700" s="51"/>
      <c r="M700" s="51"/>
    </row>
    <row r="701">
      <c r="F701" s="55"/>
      <c r="L701" s="51"/>
      <c r="M701" s="51"/>
    </row>
    <row r="702">
      <c r="F702" s="55"/>
      <c r="L702" s="51"/>
      <c r="M702" s="51"/>
    </row>
    <row r="703">
      <c r="F703" s="55"/>
      <c r="L703" s="51"/>
      <c r="M703" s="51"/>
    </row>
    <row r="704">
      <c r="F704" s="55"/>
      <c r="L704" s="51"/>
      <c r="M704" s="51"/>
    </row>
    <row r="705">
      <c r="F705" s="55"/>
      <c r="L705" s="51"/>
      <c r="M705" s="51"/>
    </row>
    <row r="706">
      <c r="F706" s="55"/>
      <c r="L706" s="51"/>
      <c r="M706" s="51"/>
    </row>
    <row r="707">
      <c r="F707" s="55"/>
      <c r="L707" s="51"/>
      <c r="M707" s="51"/>
    </row>
    <row r="708">
      <c r="F708" s="55"/>
      <c r="L708" s="51"/>
      <c r="M708" s="51"/>
    </row>
    <row r="709">
      <c r="F709" s="55"/>
      <c r="L709" s="51"/>
      <c r="M709" s="51"/>
    </row>
    <row r="710">
      <c r="F710" s="55"/>
      <c r="L710" s="51"/>
      <c r="M710" s="51"/>
    </row>
    <row r="711">
      <c r="F711" s="55"/>
      <c r="L711" s="51"/>
      <c r="M711" s="51"/>
    </row>
    <row r="712">
      <c r="F712" s="55"/>
      <c r="L712" s="51"/>
      <c r="M712" s="51"/>
    </row>
    <row r="713">
      <c r="F713" s="55"/>
      <c r="L713" s="51"/>
      <c r="M713" s="51"/>
    </row>
    <row r="714">
      <c r="F714" s="55"/>
      <c r="L714" s="51"/>
      <c r="M714" s="51"/>
    </row>
    <row r="715">
      <c r="F715" s="55"/>
      <c r="L715" s="51"/>
      <c r="M715" s="51"/>
    </row>
    <row r="716">
      <c r="F716" s="55"/>
      <c r="L716" s="51"/>
      <c r="M716" s="51"/>
    </row>
    <row r="717">
      <c r="F717" s="55"/>
      <c r="L717" s="51"/>
      <c r="M717" s="51"/>
    </row>
    <row r="718">
      <c r="F718" s="55"/>
      <c r="L718" s="51"/>
      <c r="M718" s="51"/>
    </row>
    <row r="719">
      <c r="F719" s="55"/>
      <c r="L719" s="51"/>
      <c r="M719" s="51"/>
    </row>
    <row r="720">
      <c r="F720" s="55"/>
      <c r="L720" s="51"/>
      <c r="M720" s="51"/>
    </row>
    <row r="721">
      <c r="F721" s="55"/>
      <c r="L721" s="51"/>
      <c r="M721" s="51"/>
    </row>
    <row r="722">
      <c r="F722" s="55"/>
      <c r="L722" s="51"/>
      <c r="M722" s="51"/>
    </row>
    <row r="723">
      <c r="F723" s="55"/>
      <c r="L723" s="51"/>
      <c r="M723" s="51"/>
    </row>
    <row r="724">
      <c r="F724" s="55"/>
      <c r="L724" s="51"/>
      <c r="M724" s="51"/>
    </row>
    <row r="725">
      <c r="F725" s="55"/>
      <c r="L725" s="51"/>
      <c r="M725" s="51"/>
    </row>
    <row r="726">
      <c r="F726" s="55"/>
      <c r="L726" s="51"/>
      <c r="M726" s="51"/>
    </row>
    <row r="727">
      <c r="F727" s="55"/>
      <c r="L727" s="51"/>
      <c r="M727" s="51"/>
    </row>
    <row r="728">
      <c r="F728" s="55"/>
      <c r="L728" s="51"/>
      <c r="M728" s="51"/>
    </row>
    <row r="729">
      <c r="F729" s="55"/>
      <c r="L729" s="51"/>
      <c r="M729" s="51"/>
    </row>
    <row r="730">
      <c r="F730" s="55"/>
      <c r="L730" s="51"/>
      <c r="M730" s="51"/>
    </row>
    <row r="731">
      <c r="F731" s="55"/>
      <c r="L731" s="51"/>
      <c r="M731" s="51"/>
    </row>
    <row r="732">
      <c r="F732" s="55"/>
      <c r="L732" s="51"/>
      <c r="M732" s="51"/>
    </row>
    <row r="733">
      <c r="F733" s="55"/>
      <c r="L733" s="51"/>
      <c r="M733" s="51"/>
    </row>
    <row r="734">
      <c r="F734" s="55"/>
      <c r="L734" s="51"/>
      <c r="M734" s="51"/>
    </row>
    <row r="735">
      <c r="F735" s="55"/>
      <c r="L735" s="51"/>
      <c r="M735" s="51"/>
    </row>
    <row r="736">
      <c r="F736" s="55"/>
      <c r="L736" s="51"/>
      <c r="M736" s="51"/>
    </row>
    <row r="737">
      <c r="F737" s="55"/>
      <c r="L737" s="51"/>
      <c r="M737" s="51"/>
    </row>
    <row r="738">
      <c r="F738" s="55"/>
      <c r="L738" s="51"/>
      <c r="M738" s="51"/>
    </row>
    <row r="739">
      <c r="F739" s="55"/>
      <c r="L739" s="51"/>
      <c r="M739" s="51"/>
    </row>
    <row r="740">
      <c r="F740" s="55"/>
      <c r="L740" s="51"/>
      <c r="M740" s="51"/>
    </row>
    <row r="741">
      <c r="F741" s="55"/>
      <c r="L741" s="51"/>
      <c r="M741" s="51"/>
    </row>
    <row r="742">
      <c r="F742" s="55"/>
      <c r="L742" s="51"/>
      <c r="M742" s="51"/>
    </row>
    <row r="743">
      <c r="F743" s="55"/>
      <c r="L743" s="51"/>
      <c r="M743" s="51"/>
    </row>
    <row r="744">
      <c r="F744" s="55"/>
      <c r="L744" s="51"/>
      <c r="M744" s="51"/>
    </row>
    <row r="745">
      <c r="F745" s="55"/>
      <c r="L745" s="51"/>
      <c r="M745" s="51"/>
    </row>
    <row r="746">
      <c r="F746" s="55"/>
      <c r="L746" s="51"/>
      <c r="M746" s="51"/>
    </row>
    <row r="747">
      <c r="F747" s="55"/>
      <c r="L747" s="51"/>
      <c r="M747" s="51"/>
    </row>
    <row r="748">
      <c r="F748" s="55"/>
      <c r="L748" s="51"/>
      <c r="M748" s="51"/>
    </row>
    <row r="749">
      <c r="F749" s="55"/>
      <c r="L749" s="51"/>
      <c r="M749" s="51"/>
    </row>
    <row r="750">
      <c r="F750" s="55"/>
      <c r="L750" s="51"/>
      <c r="M750" s="51"/>
    </row>
    <row r="751">
      <c r="F751" s="55"/>
      <c r="L751" s="51"/>
      <c r="M751" s="51"/>
    </row>
    <row r="752">
      <c r="F752" s="55"/>
      <c r="L752" s="51"/>
      <c r="M752" s="51"/>
    </row>
    <row r="753">
      <c r="F753" s="55"/>
      <c r="L753" s="51"/>
      <c r="M753" s="51"/>
    </row>
    <row r="754">
      <c r="F754" s="55"/>
      <c r="L754" s="51"/>
      <c r="M754" s="51"/>
    </row>
    <row r="755">
      <c r="F755" s="55"/>
      <c r="L755" s="51"/>
      <c r="M755" s="51"/>
    </row>
    <row r="756">
      <c r="F756" s="55"/>
      <c r="L756" s="51"/>
      <c r="M756" s="51"/>
    </row>
    <row r="757">
      <c r="F757" s="55"/>
      <c r="L757" s="51"/>
      <c r="M757" s="51"/>
    </row>
    <row r="758">
      <c r="F758" s="55"/>
      <c r="L758" s="51"/>
      <c r="M758" s="51"/>
    </row>
    <row r="759">
      <c r="F759" s="55"/>
      <c r="L759" s="51"/>
      <c r="M759" s="51"/>
    </row>
    <row r="760">
      <c r="F760" s="55"/>
      <c r="L760" s="51"/>
      <c r="M760" s="51"/>
    </row>
    <row r="761">
      <c r="F761" s="55"/>
      <c r="L761" s="51"/>
      <c r="M761" s="51"/>
    </row>
    <row r="762">
      <c r="F762" s="55"/>
      <c r="L762" s="51"/>
      <c r="M762" s="51"/>
    </row>
    <row r="763">
      <c r="F763" s="55"/>
      <c r="L763" s="51"/>
      <c r="M763" s="51"/>
    </row>
    <row r="764">
      <c r="F764" s="55"/>
      <c r="L764" s="51"/>
      <c r="M764" s="51"/>
    </row>
    <row r="765">
      <c r="F765" s="55"/>
      <c r="L765" s="51"/>
      <c r="M765" s="51"/>
    </row>
    <row r="766">
      <c r="F766" s="55"/>
      <c r="L766" s="51"/>
      <c r="M766" s="51"/>
    </row>
    <row r="767">
      <c r="F767" s="55"/>
      <c r="L767" s="51"/>
      <c r="M767" s="51"/>
    </row>
    <row r="768">
      <c r="F768" s="55"/>
      <c r="L768" s="51"/>
      <c r="M768" s="51"/>
    </row>
    <row r="769">
      <c r="F769" s="55"/>
      <c r="L769" s="51"/>
      <c r="M769" s="51"/>
    </row>
    <row r="770">
      <c r="F770" s="55"/>
      <c r="L770" s="51"/>
      <c r="M770" s="51"/>
    </row>
    <row r="771">
      <c r="F771" s="55"/>
      <c r="L771" s="51"/>
      <c r="M771" s="51"/>
    </row>
    <row r="772">
      <c r="F772" s="55"/>
      <c r="L772" s="51"/>
      <c r="M772" s="51"/>
    </row>
    <row r="773">
      <c r="F773" s="55"/>
      <c r="L773" s="51"/>
      <c r="M773" s="51"/>
    </row>
    <row r="774">
      <c r="F774" s="55"/>
      <c r="L774" s="51"/>
      <c r="M774" s="51"/>
    </row>
    <row r="775">
      <c r="F775" s="55"/>
      <c r="L775" s="51"/>
      <c r="M775" s="51"/>
    </row>
    <row r="776">
      <c r="F776" s="55"/>
      <c r="L776" s="51"/>
      <c r="M776" s="51"/>
    </row>
    <row r="777">
      <c r="F777" s="55"/>
      <c r="L777" s="51"/>
      <c r="M777" s="51"/>
    </row>
    <row r="778">
      <c r="F778" s="55"/>
      <c r="L778" s="51"/>
      <c r="M778" s="51"/>
    </row>
    <row r="779">
      <c r="F779" s="55"/>
      <c r="L779" s="51"/>
      <c r="M779" s="51"/>
    </row>
    <row r="780">
      <c r="F780" s="55"/>
      <c r="L780" s="51"/>
      <c r="M780" s="51"/>
    </row>
    <row r="781">
      <c r="F781" s="55"/>
      <c r="L781" s="51"/>
      <c r="M781" s="51"/>
    </row>
    <row r="782">
      <c r="F782" s="55"/>
      <c r="L782" s="51"/>
      <c r="M782" s="51"/>
    </row>
    <row r="783">
      <c r="F783" s="55"/>
      <c r="L783" s="51"/>
      <c r="M783" s="51"/>
    </row>
    <row r="784">
      <c r="F784" s="55"/>
      <c r="L784" s="51"/>
      <c r="M784" s="51"/>
    </row>
    <row r="785">
      <c r="F785" s="55"/>
      <c r="L785" s="51"/>
      <c r="M785" s="51"/>
    </row>
    <row r="786">
      <c r="F786" s="55"/>
      <c r="L786" s="51"/>
      <c r="M786" s="51"/>
    </row>
    <row r="787">
      <c r="F787" s="55"/>
      <c r="L787" s="51"/>
      <c r="M787" s="51"/>
    </row>
    <row r="788">
      <c r="F788" s="55"/>
      <c r="L788" s="51"/>
      <c r="M788" s="51"/>
    </row>
    <row r="789">
      <c r="F789" s="55"/>
      <c r="L789" s="51"/>
      <c r="M789" s="51"/>
    </row>
    <row r="790">
      <c r="F790" s="55"/>
      <c r="L790" s="51"/>
      <c r="M790" s="51"/>
    </row>
    <row r="791">
      <c r="F791" s="55"/>
      <c r="L791" s="51"/>
      <c r="M791" s="51"/>
    </row>
    <row r="792">
      <c r="F792" s="55"/>
      <c r="L792" s="51"/>
      <c r="M792" s="51"/>
    </row>
    <row r="793">
      <c r="F793" s="55"/>
      <c r="L793" s="51"/>
      <c r="M793" s="51"/>
    </row>
    <row r="794">
      <c r="F794" s="55"/>
      <c r="L794" s="51"/>
      <c r="M794" s="51"/>
    </row>
    <row r="795">
      <c r="F795" s="55"/>
      <c r="L795" s="51"/>
      <c r="M795" s="51"/>
    </row>
    <row r="796">
      <c r="F796" s="55"/>
      <c r="L796" s="51"/>
      <c r="M796" s="51"/>
    </row>
    <row r="797">
      <c r="F797" s="55"/>
      <c r="L797" s="51"/>
      <c r="M797" s="51"/>
    </row>
    <row r="798">
      <c r="F798" s="55"/>
      <c r="L798" s="51"/>
      <c r="M798" s="51"/>
    </row>
    <row r="799">
      <c r="F799" s="55"/>
      <c r="L799" s="51"/>
      <c r="M799" s="51"/>
    </row>
    <row r="800">
      <c r="F800" s="55"/>
      <c r="L800" s="51"/>
      <c r="M800" s="51"/>
    </row>
    <row r="801">
      <c r="F801" s="55"/>
      <c r="L801" s="51"/>
      <c r="M801" s="51"/>
    </row>
    <row r="802">
      <c r="F802" s="55"/>
      <c r="L802" s="51"/>
      <c r="M802" s="51"/>
    </row>
    <row r="803">
      <c r="F803" s="55"/>
      <c r="L803" s="51"/>
      <c r="M803" s="51"/>
    </row>
    <row r="804">
      <c r="F804" s="55"/>
      <c r="L804" s="51"/>
      <c r="M804" s="51"/>
    </row>
    <row r="805">
      <c r="F805" s="55"/>
      <c r="L805" s="51"/>
      <c r="M805" s="51"/>
    </row>
    <row r="806">
      <c r="F806" s="55"/>
      <c r="L806" s="51"/>
      <c r="M806" s="51"/>
    </row>
    <row r="807">
      <c r="F807" s="55"/>
      <c r="L807" s="51"/>
      <c r="M807" s="51"/>
    </row>
    <row r="808">
      <c r="F808" s="55"/>
      <c r="L808" s="51"/>
      <c r="M808" s="51"/>
    </row>
    <row r="809">
      <c r="F809" s="55"/>
      <c r="L809" s="51"/>
      <c r="M809" s="51"/>
    </row>
    <row r="810">
      <c r="F810" s="55"/>
      <c r="L810" s="51"/>
      <c r="M810" s="51"/>
    </row>
    <row r="811">
      <c r="F811" s="55"/>
      <c r="L811" s="51"/>
      <c r="M811" s="51"/>
    </row>
    <row r="812">
      <c r="F812" s="55"/>
      <c r="L812" s="51"/>
      <c r="M812" s="51"/>
    </row>
    <row r="813">
      <c r="F813" s="55"/>
      <c r="L813" s="51"/>
      <c r="M813" s="51"/>
    </row>
    <row r="814">
      <c r="F814" s="55"/>
      <c r="L814" s="51"/>
      <c r="M814" s="51"/>
    </row>
    <row r="815">
      <c r="F815" s="55"/>
      <c r="L815" s="51"/>
      <c r="M815" s="51"/>
    </row>
    <row r="816">
      <c r="F816" s="55"/>
      <c r="L816" s="51"/>
      <c r="M816" s="51"/>
    </row>
    <row r="817">
      <c r="F817" s="55"/>
      <c r="L817" s="51"/>
      <c r="M817" s="51"/>
    </row>
    <row r="818">
      <c r="F818" s="55"/>
      <c r="L818" s="51"/>
      <c r="M818" s="51"/>
    </row>
    <row r="819">
      <c r="F819" s="55"/>
      <c r="L819" s="51"/>
      <c r="M819" s="51"/>
    </row>
    <row r="820">
      <c r="F820" s="55"/>
      <c r="L820" s="51"/>
      <c r="M820" s="51"/>
    </row>
    <row r="821">
      <c r="F821" s="55"/>
      <c r="L821" s="51"/>
      <c r="M821" s="51"/>
    </row>
    <row r="822">
      <c r="F822" s="55"/>
      <c r="L822" s="51"/>
      <c r="M822" s="51"/>
    </row>
    <row r="823">
      <c r="F823" s="55"/>
      <c r="L823" s="51"/>
      <c r="M823" s="51"/>
    </row>
    <row r="824">
      <c r="F824" s="55"/>
      <c r="L824" s="51"/>
      <c r="M824" s="51"/>
    </row>
    <row r="825">
      <c r="F825" s="55"/>
      <c r="L825" s="51"/>
      <c r="M825" s="51"/>
    </row>
    <row r="826">
      <c r="F826" s="55"/>
      <c r="L826" s="51"/>
      <c r="M826" s="51"/>
    </row>
    <row r="827">
      <c r="F827" s="55"/>
      <c r="L827" s="51"/>
      <c r="M827" s="51"/>
    </row>
    <row r="828">
      <c r="F828" s="55"/>
      <c r="L828" s="51"/>
      <c r="M828" s="51"/>
    </row>
    <row r="829">
      <c r="F829" s="55"/>
      <c r="L829" s="51"/>
      <c r="M829" s="51"/>
    </row>
    <row r="830">
      <c r="F830" s="55"/>
      <c r="L830" s="51"/>
      <c r="M830" s="51"/>
    </row>
    <row r="831">
      <c r="F831" s="55"/>
      <c r="L831" s="51"/>
      <c r="M831" s="51"/>
    </row>
    <row r="832">
      <c r="F832" s="55"/>
      <c r="L832" s="51"/>
      <c r="M832" s="51"/>
    </row>
    <row r="833">
      <c r="F833" s="55"/>
      <c r="L833" s="51"/>
      <c r="M833" s="51"/>
    </row>
    <row r="834">
      <c r="F834" s="55"/>
      <c r="L834" s="51"/>
      <c r="M834" s="51"/>
    </row>
    <row r="835">
      <c r="F835" s="55"/>
      <c r="L835" s="51"/>
      <c r="M835" s="51"/>
    </row>
    <row r="836">
      <c r="F836" s="55"/>
      <c r="L836" s="51"/>
      <c r="M836" s="51"/>
    </row>
    <row r="837">
      <c r="F837" s="55"/>
      <c r="L837" s="51"/>
      <c r="M837" s="51"/>
    </row>
    <row r="838">
      <c r="F838" s="55"/>
      <c r="L838" s="51"/>
      <c r="M838" s="51"/>
    </row>
    <row r="839">
      <c r="F839" s="55"/>
      <c r="L839" s="51"/>
      <c r="M839" s="51"/>
    </row>
    <row r="840">
      <c r="F840" s="55"/>
      <c r="L840" s="51"/>
      <c r="M840" s="51"/>
    </row>
    <row r="841">
      <c r="F841" s="55"/>
      <c r="L841" s="51"/>
      <c r="M841" s="51"/>
    </row>
    <row r="842">
      <c r="F842" s="55"/>
      <c r="L842" s="51"/>
      <c r="M842" s="51"/>
    </row>
    <row r="843">
      <c r="F843" s="55"/>
      <c r="L843" s="51"/>
      <c r="M843" s="51"/>
    </row>
    <row r="844">
      <c r="F844" s="55"/>
      <c r="L844" s="51"/>
      <c r="M844" s="51"/>
    </row>
    <row r="845">
      <c r="F845" s="55"/>
      <c r="L845" s="51"/>
      <c r="M845" s="51"/>
    </row>
    <row r="846">
      <c r="F846" s="55"/>
      <c r="L846" s="51"/>
      <c r="M846" s="51"/>
    </row>
    <row r="847">
      <c r="F847" s="55"/>
      <c r="L847" s="51"/>
      <c r="M847" s="51"/>
    </row>
    <row r="848">
      <c r="F848" s="55"/>
      <c r="L848" s="51"/>
      <c r="M848" s="51"/>
    </row>
    <row r="849">
      <c r="F849" s="55"/>
      <c r="L849" s="51"/>
      <c r="M849" s="51"/>
    </row>
    <row r="850">
      <c r="F850" s="55"/>
      <c r="L850" s="51"/>
      <c r="M850" s="51"/>
    </row>
    <row r="851">
      <c r="F851" s="55"/>
      <c r="L851" s="51"/>
      <c r="M851" s="51"/>
    </row>
    <row r="852">
      <c r="F852" s="55"/>
      <c r="L852" s="51"/>
      <c r="M852" s="51"/>
    </row>
    <row r="853">
      <c r="F853" s="55"/>
      <c r="L853" s="51"/>
      <c r="M853" s="51"/>
    </row>
    <row r="854">
      <c r="F854" s="55"/>
      <c r="L854" s="51"/>
      <c r="M854" s="51"/>
    </row>
    <row r="855">
      <c r="F855" s="55"/>
      <c r="L855" s="51"/>
      <c r="M855" s="51"/>
    </row>
    <row r="856">
      <c r="F856" s="55"/>
      <c r="L856" s="51"/>
      <c r="M856" s="51"/>
    </row>
    <row r="857">
      <c r="F857" s="55"/>
      <c r="L857" s="51"/>
      <c r="M857" s="51"/>
    </row>
    <row r="858">
      <c r="F858" s="55"/>
      <c r="L858" s="51"/>
      <c r="M858" s="51"/>
    </row>
    <row r="859">
      <c r="F859" s="55"/>
      <c r="L859" s="51"/>
      <c r="M859" s="51"/>
    </row>
    <row r="860">
      <c r="F860" s="55"/>
      <c r="L860" s="51"/>
      <c r="M860" s="51"/>
    </row>
    <row r="861">
      <c r="F861" s="55"/>
      <c r="L861" s="51"/>
      <c r="M861" s="51"/>
    </row>
    <row r="862">
      <c r="F862" s="55"/>
      <c r="L862" s="51"/>
      <c r="M862" s="51"/>
    </row>
    <row r="863">
      <c r="F863" s="55"/>
      <c r="L863" s="51"/>
      <c r="M863" s="51"/>
    </row>
    <row r="864">
      <c r="F864" s="55"/>
      <c r="L864" s="51"/>
      <c r="M864" s="51"/>
    </row>
    <row r="865">
      <c r="F865" s="55"/>
      <c r="L865" s="51"/>
      <c r="M865" s="51"/>
    </row>
    <row r="866">
      <c r="F866" s="55"/>
      <c r="L866" s="51"/>
      <c r="M866" s="51"/>
    </row>
    <row r="867">
      <c r="F867" s="55"/>
      <c r="L867" s="51"/>
      <c r="M867" s="51"/>
    </row>
    <row r="868">
      <c r="F868" s="55"/>
      <c r="L868" s="51"/>
      <c r="M868" s="51"/>
    </row>
    <row r="869">
      <c r="F869" s="55"/>
      <c r="L869" s="51"/>
      <c r="M869" s="51"/>
    </row>
    <row r="870">
      <c r="F870" s="55"/>
      <c r="L870" s="51"/>
      <c r="M870" s="51"/>
    </row>
    <row r="871">
      <c r="F871" s="55"/>
      <c r="L871" s="51"/>
      <c r="M871" s="51"/>
    </row>
    <row r="872">
      <c r="F872" s="55"/>
      <c r="L872" s="51"/>
      <c r="M872" s="51"/>
    </row>
    <row r="873">
      <c r="F873" s="55"/>
      <c r="L873" s="51"/>
      <c r="M873" s="51"/>
    </row>
    <row r="874">
      <c r="F874" s="55"/>
      <c r="L874" s="51"/>
      <c r="M874" s="51"/>
    </row>
    <row r="875">
      <c r="F875" s="55"/>
      <c r="L875" s="51"/>
      <c r="M875" s="51"/>
    </row>
    <row r="876">
      <c r="F876" s="55"/>
      <c r="L876" s="51"/>
      <c r="M876" s="51"/>
    </row>
    <row r="877">
      <c r="F877" s="55"/>
      <c r="L877" s="51"/>
      <c r="M877" s="51"/>
    </row>
    <row r="878">
      <c r="F878" s="55"/>
      <c r="L878" s="51"/>
      <c r="M878" s="51"/>
    </row>
    <row r="879">
      <c r="F879" s="55"/>
      <c r="L879" s="51"/>
      <c r="M879" s="51"/>
    </row>
    <row r="880">
      <c r="F880" s="55"/>
      <c r="L880" s="51"/>
      <c r="M880" s="51"/>
    </row>
    <row r="881">
      <c r="F881" s="55"/>
      <c r="L881" s="51"/>
      <c r="M881" s="51"/>
    </row>
    <row r="882">
      <c r="F882" s="55"/>
      <c r="L882" s="51"/>
      <c r="M882" s="51"/>
    </row>
    <row r="883">
      <c r="F883" s="55"/>
      <c r="L883" s="51"/>
      <c r="M883" s="51"/>
    </row>
    <row r="884">
      <c r="F884" s="55"/>
      <c r="L884" s="51"/>
      <c r="M884" s="51"/>
    </row>
    <row r="885">
      <c r="F885" s="55"/>
      <c r="L885" s="51"/>
      <c r="M885" s="51"/>
    </row>
    <row r="886">
      <c r="F886" s="55"/>
      <c r="L886" s="51"/>
      <c r="M886" s="51"/>
    </row>
    <row r="887">
      <c r="F887" s="55"/>
      <c r="L887" s="51"/>
      <c r="M887" s="51"/>
    </row>
    <row r="888">
      <c r="F888" s="55"/>
      <c r="L888" s="51"/>
      <c r="M888" s="51"/>
    </row>
    <row r="889">
      <c r="F889" s="55"/>
      <c r="L889" s="51"/>
      <c r="M889" s="51"/>
    </row>
    <row r="890">
      <c r="F890" s="55"/>
      <c r="L890" s="51"/>
      <c r="M890" s="51"/>
    </row>
    <row r="891">
      <c r="F891" s="55"/>
      <c r="L891" s="51"/>
      <c r="M891" s="51"/>
    </row>
    <row r="892">
      <c r="F892" s="55"/>
      <c r="L892" s="51"/>
      <c r="M892" s="51"/>
    </row>
    <row r="893">
      <c r="F893" s="55"/>
      <c r="L893" s="51"/>
      <c r="M893" s="51"/>
    </row>
    <row r="894">
      <c r="F894" s="55"/>
      <c r="L894" s="51"/>
      <c r="M894" s="51"/>
    </row>
    <row r="895">
      <c r="F895" s="55"/>
      <c r="L895" s="51"/>
      <c r="M895" s="51"/>
    </row>
    <row r="896">
      <c r="F896" s="55"/>
      <c r="L896" s="51"/>
      <c r="M896" s="51"/>
    </row>
    <row r="897">
      <c r="F897" s="55"/>
      <c r="L897" s="51"/>
      <c r="M897" s="51"/>
    </row>
    <row r="898">
      <c r="F898" s="55"/>
      <c r="L898" s="51"/>
      <c r="M898" s="51"/>
    </row>
    <row r="899">
      <c r="F899" s="55"/>
      <c r="L899" s="51"/>
      <c r="M899" s="51"/>
    </row>
    <row r="900">
      <c r="F900" s="55"/>
      <c r="L900" s="51"/>
      <c r="M900" s="51"/>
    </row>
    <row r="901">
      <c r="F901" s="55"/>
      <c r="L901" s="51"/>
      <c r="M901" s="51"/>
    </row>
    <row r="902">
      <c r="F902" s="55"/>
      <c r="L902" s="51"/>
      <c r="M902" s="51"/>
    </row>
    <row r="903">
      <c r="F903" s="55"/>
      <c r="L903" s="51"/>
      <c r="M903" s="51"/>
    </row>
    <row r="904">
      <c r="F904" s="55"/>
      <c r="L904" s="51"/>
      <c r="M904" s="51"/>
    </row>
    <row r="905">
      <c r="F905" s="55"/>
      <c r="L905" s="51"/>
      <c r="M905" s="51"/>
    </row>
    <row r="906">
      <c r="F906" s="55"/>
      <c r="L906" s="51"/>
      <c r="M906" s="51"/>
    </row>
    <row r="907">
      <c r="F907" s="55"/>
      <c r="L907" s="51"/>
      <c r="M907" s="51"/>
    </row>
    <row r="908">
      <c r="F908" s="55"/>
      <c r="L908" s="51"/>
      <c r="M908" s="51"/>
    </row>
    <row r="909">
      <c r="F909" s="55"/>
      <c r="L909" s="51"/>
      <c r="M909" s="51"/>
    </row>
    <row r="910">
      <c r="F910" s="55"/>
      <c r="L910" s="51"/>
      <c r="M910" s="51"/>
    </row>
    <row r="911">
      <c r="F911" s="55"/>
      <c r="L911" s="51"/>
      <c r="M911" s="51"/>
    </row>
    <row r="912">
      <c r="F912" s="55"/>
      <c r="L912" s="51"/>
      <c r="M912" s="51"/>
    </row>
    <row r="913">
      <c r="F913" s="55"/>
      <c r="L913" s="51"/>
      <c r="M913" s="51"/>
    </row>
    <row r="914">
      <c r="F914" s="55"/>
      <c r="L914" s="51"/>
      <c r="M914" s="51"/>
    </row>
    <row r="915">
      <c r="F915" s="55"/>
      <c r="L915" s="51"/>
      <c r="M915" s="51"/>
    </row>
    <row r="916">
      <c r="F916" s="55"/>
      <c r="L916" s="51"/>
      <c r="M916" s="51"/>
    </row>
    <row r="917">
      <c r="F917" s="55"/>
      <c r="L917" s="51"/>
      <c r="M917" s="51"/>
    </row>
    <row r="918">
      <c r="F918" s="55"/>
      <c r="L918" s="51"/>
      <c r="M918" s="51"/>
    </row>
    <row r="919">
      <c r="F919" s="55"/>
      <c r="L919" s="51"/>
      <c r="M919" s="51"/>
    </row>
    <row r="920">
      <c r="F920" s="55"/>
      <c r="L920" s="51"/>
      <c r="M920" s="51"/>
    </row>
    <row r="921">
      <c r="F921" s="55"/>
      <c r="L921" s="51"/>
      <c r="M921" s="51"/>
    </row>
    <row r="922">
      <c r="F922" s="55"/>
      <c r="L922" s="51"/>
      <c r="M922" s="51"/>
    </row>
    <row r="923">
      <c r="F923" s="55"/>
      <c r="L923" s="51"/>
      <c r="M923" s="51"/>
    </row>
    <row r="924">
      <c r="F924" s="55"/>
      <c r="L924" s="51"/>
      <c r="M924" s="51"/>
    </row>
    <row r="925">
      <c r="F925" s="55"/>
      <c r="L925" s="51"/>
      <c r="M925" s="51"/>
    </row>
    <row r="926">
      <c r="F926" s="55"/>
      <c r="L926" s="51"/>
      <c r="M926" s="51"/>
    </row>
    <row r="927">
      <c r="F927" s="55"/>
      <c r="L927" s="51"/>
      <c r="M927" s="51"/>
    </row>
    <row r="928">
      <c r="F928" s="55"/>
      <c r="L928" s="51"/>
      <c r="M928" s="51"/>
    </row>
    <row r="929">
      <c r="F929" s="55"/>
      <c r="L929" s="51"/>
      <c r="M929" s="51"/>
    </row>
    <row r="930">
      <c r="F930" s="55"/>
      <c r="L930" s="51"/>
      <c r="M930" s="51"/>
    </row>
    <row r="931">
      <c r="F931" s="55"/>
      <c r="L931" s="51"/>
      <c r="M931" s="51"/>
    </row>
    <row r="932">
      <c r="F932" s="55"/>
      <c r="L932" s="51"/>
      <c r="M932" s="51"/>
    </row>
    <row r="933">
      <c r="F933" s="55"/>
      <c r="L933" s="51"/>
      <c r="M933" s="51"/>
    </row>
    <row r="934">
      <c r="F934" s="55"/>
      <c r="L934" s="51"/>
      <c r="M934" s="51"/>
    </row>
    <row r="935">
      <c r="F935" s="55"/>
      <c r="L935" s="51"/>
      <c r="M935" s="51"/>
    </row>
    <row r="936">
      <c r="F936" s="55"/>
      <c r="L936" s="51"/>
      <c r="M936" s="51"/>
    </row>
    <row r="937">
      <c r="F937" s="55"/>
      <c r="L937" s="51"/>
      <c r="M937" s="51"/>
    </row>
    <row r="938">
      <c r="F938" s="55"/>
      <c r="L938" s="51"/>
      <c r="M938" s="51"/>
    </row>
    <row r="939">
      <c r="F939" s="55"/>
      <c r="L939" s="51"/>
      <c r="M939" s="51"/>
    </row>
    <row r="940">
      <c r="F940" s="55"/>
      <c r="L940" s="51"/>
      <c r="M940" s="51"/>
    </row>
    <row r="941">
      <c r="F941" s="55"/>
      <c r="L941" s="51"/>
      <c r="M941" s="51"/>
    </row>
    <row r="942">
      <c r="F942" s="55"/>
      <c r="L942" s="51"/>
      <c r="M942" s="51"/>
    </row>
    <row r="943">
      <c r="F943" s="55"/>
      <c r="L943" s="51"/>
      <c r="M943" s="51"/>
    </row>
    <row r="944">
      <c r="F944" s="55"/>
      <c r="L944" s="51"/>
      <c r="M944" s="51"/>
    </row>
    <row r="945">
      <c r="F945" s="55"/>
      <c r="L945" s="51"/>
      <c r="M945" s="51"/>
    </row>
    <row r="946">
      <c r="F946" s="55"/>
      <c r="L946" s="51"/>
      <c r="M946" s="51"/>
    </row>
    <row r="947">
      <c r="F947" s="55"/>
      <c r="L947" s="51"/>
      <c r="M947" s="51"/>
    </row>
    <row r="948">
      <c r="F948" s="55"/>
      <c r="L948" s="51"/>
      <c r="M948" s="51"/>
    </row>
    <row r="949">
      <c r="F949" s="55"/>
      <c r="L949" s="51"/>
      <c r="M949" s="51"/>
    </row>
    <row r="950">
      <c r="F950" s="55"/>
      <c r="L950" s="51"/>
      <c r="M950" s="51"/>
    </row>
    <row r="951">
      <c r="F951" s="55"/>
      <c r="L951" s="51"/>
      <c r="M951" s="51"/>
    </row>
    <row r="952">
      <c r="F952" s="55"/>
      <c r="L952" s="51"/>
      <c r="M952" s="51"/>
    </row>
    <row r="953">
      <c r="F953" s="55"/>
      <c r="L953" s="51"/>
      <c r="M953" s="51"/>
    </row>
    <row r="954">
      <c r="F954" s="55"/>
      <c r="L954" s="51"/>
      <c r="M954" s="51"/>
    </row>
    <row r="955">
      <c r="F955" s="55"/>
      <c r="L955" s="51"/>
      <c r="M955" s="51"/>
    </row>
    <row r="956">
      <c r="F956" s="55"/>
      <c r="L956" s="51"/>
      <c r="M956" s="51"/>
    </row>
    <row r="957">
      <c r="F957" s="55"/>
      <c r="L957" s="51"/>
      <c r="M957" s="51"/>
    </row>
    <row r="958">
      <c r="F958" s="55"/>
      <c r="L958" s="51"/>
      <c r="M958" s="51"/>
    </row>
    <row r="959">
      <c r="F959" s="55"/>
      <c r="L959" s="51"/>
      <c r="M959" s="51"/>
    </row>
    <row r="960">
      <c r="F960" s="55"/>
      <c r="L960" s="51"/>
      <c r="M960" s="51"/>
    </row>
    <row r="961">
      <c r="F961" s="55"/>
      <c r="L961" s="51"/>
      <c r="M961" s="51"/>
    </row>
    <row r="962">
      <c r="F962" s="55"/>
      <c r="L962" s="51"/>
      <c r="M962" s="51"/>
    </row>
    <row r="963">
      <c r="F963" s="55"/>
      <c r="L963" s="51"/>
      <c r="M963" s="51"/>
    </row>
    <row r="964">
      <c r="F964" s="55"/>
      <c r="L964" s="51"/>
      <c r="M964" s="51"/>
    </row>
    <row r="965">
      <c r="F965" s="55"/>
      <c r="L965" s="51"/>
      <c r="M965" s="51"/>
    </row>
    <row r="966">
      <c r="F966" s="55"/>
      <c r="L966" s="51"/>
      <c r="M966" s="51"/>
    </row>
    <row r="967">
      <c r="F967" s="55"/>
      <c r="L967" s="51"/>
      <c r="M967" s="51"/>
    </row>
    <row r="968">
      <c r="F968" s="55"/>
      <c r="L968" s="51"/>
      <c r="M968" s="51"/>
    </row>
    <row r="969">
      <c r="F969" s="55"/>
      <c r="L969" s="51"/>
      <c r="M969" s="51"/>
    </row>
    <row r="970">
      <c r="F970" s="55"/>
      <c r="L970" s="51"/>
      <c r="M970" s="51"/>
    </row>
    <row r="971">
      <c r="F971" s="55"/>
      <c r="L971" s="51"/>
      <c r="M971" s="51"/>
    </row>
    <row r="972">
      <c r="F972" s="55"/>
      <c r="L972" s="51"/>
      <c r="M972" s="51"/>
    </row>
    <row r="973">
      <c r="F973" s="55"/>
      <c r="L973" s="51"/>
      <c r="M973" s="51"/>
    </row>
    <row r="974">
      <c r="F974" s="55"/>
      <c r="L974" s="51"/>
      <c r="M974" s="51"/>
    </row>
    <row r="975">
      <c r="F975" s="55"/>
      <c r="L975" s="51"/>
      <c r="M975" s="51"/>
    </row>
    <row r="976">
      <c r="F976" s="55"/>
      <c r="L976" s="51"/>
      <c r="M976" s="51"/>
    </row>
    <row r="977">
      <c r="F977" s="55"/>
      <c r="L977" s="51"/>
      <c r="M977" s="51"/>
    </row>
    <row r="978">
      <c r="F978" s="55"/>
      <c r="L978" s="51"/>
      <c r="M978" s="51"/>
    </row>
    <row r="979">
      <c r="F979" s="55"/>
      <c r="L979" s="51"/>
      <c r="M979" s="51"/>
    </row>
    <row r="980">
      <c r="F980" s="55"/>
      <c r="L980" s="51"/>
      <c r="M980" s="51"/>
    </row>
    <row r="981">
      <c r="F981" s="55"/>
      <c r="L981" s="51"/>
      <c r="M981" s="51"/>
    </row>
    <row r="982">
      <c r="F982" s="55"/>
      <c r="L982" s="51"/>
      <c r="M982" s="51"/>
    </row>
    <row r="983">
      <c r="F983" s="55"/>
      <c r="L983" s="51"/>
      <c r="M983" s="51"/>
    </row>
    <row r="984">
      <c r="F984" s="55"/>
      <c r="L984" s="51"/>
      <c r="M984" s="51"/>
    </row>
    <row r="985">
      <c r="F985" s="55"/>
      <c r="L985" s="51"/>
      <c r="M985" s="51"/>
    </row>
    <row r="986">
      <c r="F986" s="55"/>
      <c r="L986" s="51"/>
      <c r="M986" s="51"/>
    </row>
    <row r="987">
      <c r="F987" s="55"/>
      <c r="L987" s="51"/>
      <c r="M987" s="51"/>
    </row>
    <row r="988">
      <c r="F988" s="55"/>
      <c r="L988" s="51"/>
      <c r="M988" s="51"/>
    </row>
    <row r="989">
      <c r="F989" s="55"/>
      <c r="L989" s="51"/>
      <c r="M989" s="51"/>
    </row>
    <row r="990">
      <c r="F990" s="55"/>
      <c r="L990" s="51"/>
      <c r="M990" s="51"/>
    </row>
    <row r="991">
      <c r="F991" s="55"/>
      <c r="L991" s="51"/>
      <c r="M991" s="51"/>
    </row>
    <row r="992">
      <c r="F992" s="55"/>
      <c r="L992" s="51"/>
      <c r="M992" s="51"/>
    </row>
    <row r="993">
      <c r="F993" s="55"/>
      <c r="L993" s="51"/>
      <c r="M993" s="51"/>
    </row>
    <row r="994">
      <c r="F994" s="55"/>
      <c r="L994" s="51"/>
      <c r="M994" s="51"/>
    </row>
    <row r="995">
      <c r="F995" s="55"/>
      <c r="L995" s="51"/>
      <c r="M995" s="51"/>
    </row>
    <row r="996">
      <c r="F996" s="55"/>
      <c r="L996" s="51"/>
      <c r="M996" s="51"/>
    </row>
    <row r="997">
      <c r="F997" s="55"/>
      <c r="L997" s="51"/>
      <c r="M997" s="51"/>
    </row>
    <row r="998">
      <c r="F998" s="55"/>
      <c r="L998" s="51"/>
      <c r="M998" s="51"/>
    </row>
  </sheetData>
  <conditionalFormatting sqref="L1:M63 R1:S63">
    <cfRule type="colorScale" priority="1">
      <colorScale>
        <cfvo type="formula" val="0"/>
        <cfvo type="formula" val="1"/>
        <cfvo type="formula" val="2"/>
        <color rgb="FFE67C73"/>
        <color rgb="FFFFFFFF"/>
        <color rgb="FF57BB8A"/>
      </colorScale>
    </cfRule>
  </conditionalFormatting>
  <conditionalFormatting sqref="AI1:AI63">
    <cfRule type="colorScale" priority="2">
      <colorScale>
        <cfvo type="min"/>
        <cfvo type="formula" val="3000"/>
        <cfvo type="formula" val="6000"/>
        <color rgb="FFE67C73"/>
        <color rgb="FFFFFFFF"/>
        <color rgb="FF57BB8A"/>
      </colorScale>
    </cfRule>
  </conditionalFormatting>
  <conditionalFormatting sqref="I1:I63 K1:K63">
    <cfRule type="colorScale" priority="3">
      <colorScale>
        <cfvo type="min"/>
        <cfvo type="formula" val="10"/>
        <cfvo type="max"/>
        <color rgb="FFE67C73"/>
        <color rgb="FFFFFFFF"/>
        <color rgb="FF57BB8A"/>
      </colorScale>
    </cfRule>
  </conditionalFormatting>
  <conditionalFormatting sqref="C1:C63 D1">
    <cfRule type="colorScale" priority="4">
      <colorScale>
        <cfvo type="min"/>
        <cfvo type="percentile" val="50"/>
        <cfvo type="max"/>
        <color rgb="FFE67C73"/>
        <color rgb="FFFFFFFF"/>
        <color rgb="FF57BB8A"/>
      </colorScale>
    </cfRule>
  </conditionalFormatting>
  <conditionalFormatting sqref="D1:D63">
    <cfRule type="colorScale" priority="5">
      <colorScale>
        <cfvo type="min"/>
        <cfvo type="percentile" val="50"/>
        <cfvo type="max"/>
        <color rgb="FFE67C73"/>
        <color rgb="FFFFFFFF"/>
        <color rgb="FF57BB8A"/>
      </colorScale>
    </cfRule>
  </conditionalFormatting>
  <conditionalFormatting sqref="G1:G63">
    <cfRule type="colorScale" priority="6">
      <colorScale>
        <cfvo type="formula" val="45500"/>
        <cfvo type="percentile" val="50"/>
        <cfvo type="max"/>
        <color rgb="FFE67C73"/>
        <color rgb="FFFFFFFF"/>
        <color rgb="FF57BB8A"/>
      </colorScale>
    </cfRule>
  </conditionalFormatting>
  <conditionalFormatting sqref="X1:Y63 AD1:AE1">
    <cfRule type="colorScale" priority="7">
      <colorScale>
        <cfvo type="formula" val="-0.1"/>
        <cfvo type="formula" val="0"/>
        <cfvo type="formula" val="0.1"/>
        <color rgb="FFE67C73"/>
        <color rgb="FFFFFFFF"/>
        <color rgb="FF57BB8A"/>
      </colorScale>
    </cfRule>
  </conditionalFormatting>
  <conditionalFormatting sqref="O1:O63 Q1:Q63">
    <cfRule type="colorScale" priority="8">
      <colorScale>
        <cfvo type="min"/>
        <cfvo type="percentile" val="80"/>
        <cfvo type="max"/>
        <color rgb="FFE67C73"/>
        <color rgb="FFFFFFFF"/>
        <color rgb="FF57BB8A"/>
      </colorScale>
    </cfRule>
  </conditionalFormatting>
  <conditionalFormatting sqref="AD1:AE63">
    <cfRule type="colorScale" priority="9">
      <colorScale>
        <cfvo type="min"/>
        <cfvo type="percentile" val="50"/>
        <cfvo type="max"/>
        <color rgb="FF57BB8A"/>
        <color rgb="FFFFFFFF"/>
        <color rgb="FFE67C73"/>
      </colorScale>
    </cfRule>
  </conditionalFormatting>
  <conditionalFormatting sqref="A2:A199">
    <cfRule type="expression" dxfId="0" priority="10">
      <formula>L2&lt;M2</formula>
    </cfRule>
  </conditionalFormatting>
  <hyperlinks>
    <hyperlink r:id="rId1" ref="A2"/>
    <hyperlink r:id="rId2" ref="A3"/>
    <hyperlink r:id="rId3" ref="A4"/>
    <hyperlink r:id="rId4" ref="A6"/>
    <hyperlink r:id="rId5" ref="A8"/>
    <hyperlink r:id="rId6" ref="A11"/>
    <hyperlink r:id="rId7" ref="A12"/>
    <hyperlink r:id="rId8" ref="A14"/>
    <hyperlink r:id="rId9" ref="A15"/>
    <hyperlink r:id="rId10" ref="A16"/>
    <hyperlink r:id="rId11" ref="A17"/>
    <hyperlink r:id="rId12" ref="A18"/>
    <hyperlink r:id="rId13" ref="A19"/>
    <hyperlink r:id="rId14" ref="A20"/>
    <hyperlink r:id="rId15" ref="A21"/>
    <hyperlink r:id="rId16" ref="A24"/>
    <hyperlink r:id="rId17" ref="A25"/>
    <hyperlink r:id="rId18" ref="A26"/>
    <hyperlink r:id="rId19" ref="A27"/>
    <hyperlink r:id="rId20" ref="A28"/>
    <hyperlink r:id="rId21" ref="A29"/>
    <hyperlink r:id="rId22" ref="A31"/>
    <hyperlink r:id="rId23" ref="A32"/>
    <hyperlink r:id="rId24" ref="A33"/>
    <hyperlink r:id="rId25" ref="A34"/>
    <hyperlink r:id="rId26" ref="A35"/>
    <hyperlink r:id="rId27" ref="A36"/>
    <hyperlink r:id="rId28" ref="A37"/>
    <hyperlink r:id="rId29" ref="A38"/>
    <hyperlink r:id="rId30" ref="A39"/>
    <hyperlink r:id="rId31" ref="A43"/>
    <hyperlink r:id="rId32" ref="A45"/>
    <hyperlink r:id="rId33" ref="A46"/>
    <hyperlink r:id="rId34" ref="A47"/>
    <hyperlink r:id="rId35" ref="A52"/>
    <hyperlink r:id="rId36" ref="A54"/>
    <hyperlink r:id="rId37" ref="A61"/>
    <hyperlink r:id="rId38" ref="A62"/>
    <hyperlink r:id="rId39" ref="A63"/>
  </hyperlinks>
  <drawing r:id="rId4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3.75"/>
    <col customWidth="1" min="2" max="2" width="4.63"/>
    <col customWidth="1" min="3" max="4" width="5.13"/>
    <col customWidth="1" min="5" max="5" width="14.63"/>
    <col customWidth="1" min="6" max="8" width="4.5"/>
    <col customWidth="1" min="9" max="9" width="6.88"/>
    <col customWidth="1" min="10" max="12" width="4.5"/>
    <col customWidth="1" min="13" max="14" width="4.75"/>
    <col customWidth="1" min="15" max="15" width="6.25"/>
    <col customWidth="1" min="16" max="20" width="4.38"/>
    <col customWidth="1" min="21" max="23" width="4.0"/>
    <col customWidth="1" min="24" max="29" width="5.63"/>
    <col customWidth="1" min="30" max="32" width="4.0"/>
    <col customWidth="1" min="33" max="33" width="5.5"/>
    <col customWidth="1" min="34" max="38" width="4.0"/>
  </cols>
  <sheetData>
    <row r="1">
      <c r="A1" s="1" t="s">
        <v>61</v>
      </c>
      <c r="B1" s="1" t="s">
        <v>29</v>
      </c>
      <c r="C1" s="1" t="s">
        <v>63</v>
      </c>
      <c r="D1" s="1" t="s">
        <v>243</v>
      </c>
      <c r="E1" s="32" t="s">
        <v>246</v>
      </c>
      <c r="F1" s="62" t="s">
        <v>65</v>
      </c>
      <c r="G1" s="62" t="s">
        <v>247</v>
      </c>
      <c r="H1" s="62" t="s">
        <v>248</v>
      </c>
      <c r="I1" s="62" t="s">
        <v>249</v>
      </c>
      <c r="J1" s="63" t="s">
        <v>250</v>
      </c>
      <c r="K1" s="63" t="s">
        <v>251</v>
      </c>
      <c r="L1" s="64" t="s">
        <v>64</v>
      </c>
      <c r="M1" s="62" t="s">
        <v>252</v>
      </c>
      <c r="N1" s="62" t="s">
        <v>253</v>
      </c>
      <c r="O1" s="62" t="s">
        <v>254</v>
      </c>
      <c r="P1" s="63" t="s">
        <v>255</v>
      </c>
      <c r="Q1" s="63" t="s">
        <v>256</v>
      </c>
      <c r="R1" s="64" t="s">
        <v>257</v>
      </c>
      <c r="S1" s="62" t="s">
        <v>258</v>
      </c>
      <c r="T1" s="62" t="s">
        <v>259</v>
      </c>
      <c r="U1" s="62" t="s">
        <v>260</v>
      </c>
      <c r="V1" s="63" t="s">
        <v>261</v>
      </c>
      <c r="W1" s="63" t="s">
        <v>262</v>
      </c>
      <c r="X1" s="64" t="s">
        <v>263</v>
      </c>
      <c r="Y1" s="62" t="s">
        <v>264</v>
      </c>
      <c r="Z1" s="62" t="s">
        <v>265</v>
      </c>
      <c r="AA1" s="62" t="s">
        <v>266</v>
      </c>
      <c r="AB1" s="63" t="s">
        <v>267</v>
      </c>
      <c r="AC1" s="63" t="s">
        <v>268</v>
      </c>
      <c r="AD1" s="46" t="s">
        <v>269</v>
      </c>
      <c r="AE1" s="47" t="s">
        <v>270</v>
      </c>
      <c r="AF1" s="47" t="s">
        <v>271</v>
      </c>
      <c r="AG1" s="47" t="s">
        <v>272</v>
      </c>
      <c r="AH1" s="47" t="s">
        <v>273</v>
      </c>
      <c r="AI1" s="47" t="s">
        <v>274</v>
      </c>
      <c r="AJ1" s="1" t="s">
        <v>275</v>
      </c>
      <c r="AK1" s="1" t="s">
        <v>244</v>
      </c>
      <c r="AL1" s="1" t="s">
        <v>245</v>
      </c>
    </row>
    <row r="2">
      <c r="A2" s="3" t="s">
        <v>946</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"),"「can／can’t」の使い方｜能力・可能・不可能を例文で整理")</f>
        <v>「can／can’t」の使い方｜能力・可能・不可能を例文で整理</v>
      </c>
      <c r="D2" s="1" t="str">
        <f>IFERROR(__xludf.DUMMYFUNCTION("IFERROR(
  VLOOKUP(
    A2,
    IMPORTRANGE(
      ""1ZygntHC1J6IxzKbTidmOyf5nUyW4GCLurHCjexrLm_o        "",
      ""HTMLキャッシュ!A:F""
    ),
    6,
    FALSE
  ),
  0
)
"),"比較級・最上級の疑問文は「省ける語」と「残すbetter/best」の見極めが核心。")</f>
        <v>比較級・最上級の疑問文は「省ける語」と「残すbetter/best」の見極めが核心。</v>
      </c>
      <c r="E2" s="32">
        <f>IFERROR(__xludf.DUMMYFUNCTION("IFERROR(
  VLOOKUP(
    A2,
    IMPORTRANGE(
      ""1ZygntHC1J6IxzKbTidmOyf5nUyW4GCLurHCjexrLm_o        "",
      ""HTMLキャッシュ!A:F""
    ),
    3,
    FALSE
  ),
  0
)
"),46081.60511574074)</f>
        <v>46081.60512</v>
      </c>
      <c r="F2" s="49">
        <f>IFERROR(__xludf.DUMMYFUNCTION("IFERROR(
  VLOOKUP(
    A2,
    IMPORTRANGE(
      ""1ZHMy3vVUd_0MrSduXTe1etBb1HNpAlGwQr006ljwMiM"",
      ""GSC最新!A:F""
    ),
    2,
    FALSE
  ),
  0
)
"),197.0)</f>
        <v>197</v>
      </c>
      <c r="G2" s="49">
        <f>IFERROR(__xludf.DUMMYFUNCTION("IFERROR(
  VLOOKUP(
    A2,
    IMPORTRANGE(
      ""1ZHMy3vVUd_0MrSduXTe1etBb1HNpAlGwQr006ljwMiM"",
      ""GSC最新!A:F""
    ),
    3,
    FALSE
  ),
  0
)
"),479.0)</f>
        <v>479</v>
      </c>
      <c r="H2" s="49">
        <f>IFERROR(__xludf.DUMMYFUNCTION("IFERROR(
  VLOOKUP(
    A2,
    IMPORTRANGE(
      ""1ZHMy3vVUd_0MrSduXTe1etBb1HNpAlGwQr006ljwMiM"",
      ""GSC最新!A:F""
    ),
    4,
    FALSE
  ),
  0
)
"),73.0)</f>
        <v>73</v>
      </c>
      <c r="I2" s="49">
        <f>IFERROR(__xludf.DUMMYFUNCTION("IFERROR(
  VLOOKUP(
    A2,
    IMPORTRANGE(
      ""1ZHMy3vVUd_0MrSduXTe1etBb1HNpAlGwQr006ljwMiM"",
      ""GSC最新!A:F""
    ),
    5,
    FALSE
  ),
  0
)
"),176.0)</f>
        <v>176</v>
      </c>
      <c r="J2" s="50">
        <f t="shared" ref="J2:K2" si="1">IFERROR(F2/H2,"-")</f>
        <v>2.698630137</v>
      </c>
      <c r="K2" s="50">
        <f t="shared" si="1"/>
        <v>2.721590909</v>
      </c>
      <c r="L2" s="6">
        <f>IFERROR(__xludf.DUMMYFUNCTION("IFERROR(
  VLOOKUP(
    A2,
    IMPORTRANGE(
      ""1ZHMy3vVUd_0MrSduXTe1etBb1HNpAlGwQr006ljwMiM"",
      ""GSC最新!A:R""
    ),
    7,
    FALSE
  ),
  0
)
"),15441.0)</f>
        <v>15441</v>
      </c>
      <c r="M2" s="6">
        <f>IFERROR(__xludf.DUMMYFUNCTION("IFERROR(
  VLOOKUP(
    A2,
    IMPORTRANGE(
      ""1ZHMy3vVUd_0MrSduXTe1etBb1HNpAlGwQr006ljwMiM"",
      ""GSC最新!A:R""
    ),
    10,
    FALSE
  ),
  0
)
"),35307.0)</f>
        <v>35307</v>
      </c>
      <c r="N2" s="6">
        <f>IFERROR(__xludf.DUMMYFUNCTION("IFERROR(
  VLOOKUP(
    A2,
    IMPORTRANGE(
      ""1ZHMy3vVUd_0MrSduXTe1etBb1HNpAlGwQr006ljwMiM"",
      ""GSC最新!A:R""
    ),
    13,
    FALSE
  ),
  0
)
"),4435.0)</f>
        <v>4435</v>
      </c>
      <c r="O2" s="6">
        <f>IFERROR(__xludf.DUMMYFUNCTION("IFERROR(
  VLOOKUP(
    A2,
    IMPORTRANGE(
      ""1ZHMy3vVUd_0MrSduXTe1etBb1HNpAlGwQr006ljwMiM"",
      ""GSC最新!A:R""
    ),
    16,
    FALSE
  ),
  0
)
"),12657.0)</f>
        <v>12657</v>
      </c>
      <c r="P2" s="51">
        <f t="shared" ref="P2:Q2" si="2">IFERROR(L2/N2,"-")</f>
        <v>3.48162345</v>
      </c>
      <c r="Q2" s="51">
        <f t="shared" si="2"/>
        <v>2.789523584</v>
      </c>
      <c r="R2" s="9">
        <f>IFERROR(__xludf.DUMMYFUNCTION("IFERROR(
  VLOOKUP(
    A2,
    IMPORTRANGE(
      ""1ZHMy3vVUd_0MrSduXTe1etBb1HNpAlGwQr006ljwMiM"",
      ""GSC最新!A:R""
    ),
    8,
    FALSE
  ),
  0
)
"),0.012758241046564341)</f>
        <v>0.01275824105</v>
      </c>
      <c r="S2" s="9">
        <f>IFERROR(__xludf.DUMMYFUNCTION("IFERROR(
  VLOOKUP(
    A2,
    IMPORTRANGE(
      ""1ZHMy3vVUd_0MrSduXTe1etBb1HNpAlGwQr006ljwMiM"",
      ""GSC最新!A:R""
    ),
    11,
    FALSE
  ),
  0
)
"),0.013566714815758914)</f>
        <v>0.01356671482</v>
      </c>
      <c r="T2" s="9">
        <f>IFERROR(__xludf.DUMMYFUNCTION("IFERROR(
  VLOOKUP(
    A2,
    IMPORTRANGE(
      ""1ZHMy3vVUd_0MrSduXTe1etBb1HNpAlGwQr006ljwMiM"",
      ""GSC最新!A:R""
    ),
    14,
    FALSE
  ),
  0
)
"),0.016459977452085682)</f>
        <v>0.01645997745</v>
      </c>
      <c r="U2" s="9">
        <f>IFERROR(__xludf.DUMMYFUNCTION("IFERROR(
  VLOOKUP(
    A2,
    IMPORTRANGE(
      ""1ZHMy3vVUd_0MrSduXTe1etBb1HNpAlGwQr006ljwMiM"",
      ""GSC最新!A:R""
    ),
    17,
    FALSE
  ),
  0
)
"),0.013905348818835426)</f>
        <v>0.01390534882</v>
      </c>
      <c r="V2" s="9">
        <f t="shared" ref="V2:W2" si="3">IFERROR(R2-T2,"-")</f>
        <v>-0.003701736406</v>
      </c>
      <c r="W2" s="9">
        <f t="shared" si="3"/>
        <v>-0.0003386340031</v>
      </c>
      <c r="X2" s="65">
        <f>IFERROR(__xludf.DUMMYFUNCTION("IFERROR(
  VLOOKUP(
    A2,
    IMPORTRANGE(
      ""1ZHMy3vVUd_0MrSduXTe1etBb1HNpAlGwQr006ljwMiM"",
      ""GSC最新!A:R""
    ),
    9,
    FALSE
  ),
  0
)
"),3.8549964380545303)</f>
        <v>3.854996438</v>
      </c>
      <c r="Y2" s="65">
        <f>IFERROR(__xludf.DUMMYFUNCTION("IFERROR(
  VLOOKUP(
    A2,
    IMPORTRANGE(
      ""1ZHMy3vVUd_0MrSduXTe1etBb1HNpAlGwQr006ljwMiM"",
      ""GSC最新!A:R""
    ),
    12,
    FALSE
  ),
  0
)
"),3.9667771263488825)</f>
        <v>3.966777126</v>
      </c>
      <c r="Z2" s="65">
        <f>IFERROR(__xludf.DUMMYFUNCTION("IFERROR(
  VLOOKUP(
    A2,
    IMPORTRANGE(
      ""1ZHMy3vVUd_0MrSduXTe1etBb1HNpAlGwQr006ljwMiM"",
      ""GSC最新!A:R""
    ),
    15,
    FALSE
  ),
  0
)
"),6.817136414881624)</f>
        <v>6.817136415</v>
      </c>
      <c r="AA2" s="65">
        <f>IFERROR(__xludf.DUMMYFUNCTION("IFERROR(
  VLOOKUP(
    A2,
    IMPORTRANGE(
      ""1ZHMy3vVUd_0MrSduXTe1etBb1HNpAlGwQr006ljwMiM"",
      ""GSC最新!A:R""
    ),
    18,
    FALSE
  ),
  0
)
"),7.5235837876274)</f>
        <v>7.523583788</v>
      </c>
      <c r="AB2" s="65">
        <f t="shared" ref="AB2:AC2" si="4">X2-Z2</f>
        <v>-2.962139977</v>
      </c>
      <c r="AC2" s="65">
        <f t="shared" si="4"/>
        <v>-3.556806661</v>
      </c>
      <c r="AD2" s="53">
        <f>IFERROR(__xludf.DUMMYFUNCTION("IFERROR(
  VLOOKUP(
    A2,
    IMPORTRANGE(
      ""1ZHMy3vVUd_0MrSduXTe1etBb1HNpAlGwQr006ljwMiM"",
      ""GSC最新!A:F""
    ),
    6,
    FALSE
  ),
  0
)
"),46081.0)</f>
        <v>46081</v>
      </c>
      <c r="AE2" s="54">
        <f>IFERROR(__xludf.DUMMYFUNCTION("IFERROR(
  VLOOKUP(
    A2,
    IMPORTRANGE(
      ""1SCYQd7_cobOYqT0r_F0IqD4tE4rYn5y8Eup4PJTH8es"",
      ""Snapshot!A:M""
    ),
    5,
    FALSE
  ),
  ""-""
)
"),2.0)</f>
        <v>2</v>
      </c>
      <c r="AF2" s="54">
        <f>IFERROR(__xludf.DUMMYFUNCTION("IFERROR(
  VLOOKUP(
    A2,
    IMPORTRANGE(
      ""1SCYQd7_cobOYqT0r_F0IqD4tE4rYn5y8Eup4PJTH8es"",
      ""Snapshot!A:M""
    ),
    6,
    FALSE
  ),
  0
)
"),0.0)</f>
        <v>0</v>
      </c>
      <c r="AG2" s="54">
        <f>IFERROR(__xludf.DUMMYFUNCTION("IFERROR(
  VLOOKUP(
    A2,
    IMPORTRANGE(
      ""1SCYQd7_cobOYqT0r_F0IqD4tE4rYn5y8Eup4PJTH8es"",
      ""Snapshot!A:M""
    ),
    7,
    FALSE
  ),
  0
)
"),8722.0)</f>
        <v>8722</v>
      </c>
      <c r="AH2" s="54">
        <f>IFERROR(__xludf.DUMMYFUNCTION("IFERROR(
  VLOOKUP(
    A2,
    IMPORTRANGE(
      ""1SCYQd7_cobOYqT0r_F0IqD4tE4rYn5y8Eup4PJTH8es"",
      ""Snapshot!A:M""
    ),
    8,
    FALSE
  ),
  0
)
"),6.0)</f>
        <v>6</v>
      </c>
      <c r="AI2" s="54">
        <f>IFERROR(__xludf.DUMMYFUNCTION("IFERROR(
  VLOOKUP(
    A2,
    IMPORTRANGE(
      ""1SCYQd7_cobOYqT0r_F0IqD4tE4rYn5y8Eup4PJTH8es"",
      ""Snapshot!A:M""
    ),
    9,
    FALSE
  ),
  0
)
"),3.0)</f>
        <v>3</v>
      </c>
      <c r="AJ2" s="54">
        <f>IFERROR(__xludf.DUMMYFUNCTION("IFERROR(
  VLOOKUP(
    A2,
    IMPORTRANGE(
      ""1SCYQd7_cobOYqT0r_F0IqD4tE4rYn5y8Eup4PJTH8es"",
      ""Snapshot!A:M""
    ),
    13,
    FALSE
  ),
  0
)
"),1.0)</f>
        <v>1</v>
      </c>
      <c r="AK2" s="49">
        <f t="shared" ref="AK2:AL2" si="5">LEN(C2)</f>
        <v>31</v>
      </c>
      <c r="AL2" s="49">
        <f t="shared" si="5"/>
        <v>42</v>
      </c>
    </row>
    <row r="3">
      <c r="A3" s="3" t="s">
        <v>947</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"),"受動態の疑問文｜疑問詞の語順3パターンと答え方｜中2英語")</f>
        <v>受動態の疑問文｜疑問詞の語順3パターンと答え方｜中2英語</v>
      </c>
      <c r="D3" s="1" t="str">
        <f>IFERROR(__xludf.DUMMYFUNCTION("IFERROR(
  VLOOKUP(
    A3,
    IMPORTRANGE(
      ""1ZygntHC1J6IxzKbTidmOyf5nUyW4GCLurHCjexrLm_o        "",
      ""HTMLキャッシュ!A:F""
    ),
    6,
    FALSE
  ),
  0
)
"),"受け身（受動態）の疑問文は、疑問詞が主語かどうかで語順が決まる。Who/What主語・Where/When・By whom／Who...byの作り方と答え方を例文で整理。")</f>
        <v>受け身（受動態）の疑問文は、疑問詞が主語かどうかで語順が決まる。Who/What主語・Where/When・By whom／Who...byの作り方と答え方を例文で整理。</v>
      </c>
      <c r="E3" s="32">
        <f>IFERROR(__xludf.DUMMYFUNCTION("IFERROR(
  VLOOKUP(
    A3,
    IMPORTRANGE(
      ""1ZygntHC1J6IxzKbTidmOyf5nUyW4GCLurHCjexrLm_o        "",
      ""HTMLキャッシュ!A:F""
    ),
    3,
    FALSE
  ),
  0
)
"),46069.73300925926)</f>
        <v>46069.73301</v>
      </c>
      <c r="F3" s="49">
        <f>IFERROR(__xludf.DUMMYFUNCTION("IFERROR(
  VLOOKUP(
    A3,
    IMPORTRANGE(
      ""1ZHMy3vVUd_0MrSduXTe1etBb1HNpAlGwQr006ljwMiM"",
      ""GSC最新!A:F""
    ),
    2,
    FALSE
  ),
  0
)
"),225.0)</f>
        <v>225</v>
      </c>
      <c r="G3" s="49">
        <f>IFERROR(__xludf.DUMMYFUNCTION("IFERROR(
  VLOOKUP(
    A3,
    IMPORTRANGE(
      ""1ZHMy3vVUd_0MrSduXTe1etBb1HNpAlGwQr006ljwMiM"",
      ""GSC最新!A:F""
    ),
    3,
    FALSE
  ),
  0
)
"),453.0)</f>
        <v>453</v>
      </c>
      <c r="H3" s="49">
        <f>IFERROR(__xludf.DUMMYFUNCTION("IFERROR(
  VLOOKUP(
    A3,
    IMPORTRANGE(
      ""1ZHMy3vVUd_0MrSduXTe1etBb1HNpAlGwQr006ljwMiM"",
      ""GSC最新!A:F""
    ),
    4,
    FALSE
  ),
  0
)
"),105.0)</f>
        <v>105</v>
      </c>
      <c r="I3" s="49">
        <f>IFERROR(__xludf.DUMMYFUNCTION("IFERROR(
  VLOOKUP(
    A3,
    IMPORTRANGE(
      ""1ZHMy3vVUd_0MrSduXTe1etBb1HNpAlGwQr006ljwMiM"",
      ""GSC最新!A:F""
    ),
    5,
    FALSE
  ),
  0
)
"),254.0)</f>
        <v>254</v>
      </c>
      <c r="J3" s="50">
        <f t="shared" ref="J3:K3" si="6">IFERROR(F3/H3,"-")</f>
        <v>2.142857143</v>
      </c>
      <c r="K3" s="50">
        <f t="shared" si="6"/>
        <v>1.783464567</v>
      </c>
      <c r="L3" s="6">
        <f>IFERROR(__xludf.DUMMYFUNCTION("IFERROR(
  VLOOKUP(
    A3,
    IMPORTRANGE(
      ""1ZHMy3vVUd_0MrSduXTe1etBb1HNpAlGwQr006ljwMiM"",
      ""GSC最新!A:R""
    ),
    7,
    FALSE
  ),
  0
)
"),11853.0)</f>
        <v>11853</v>
      </c>
      <c r="M3" s="6">
        <f>IFERROR(__xludf.DUMMYFUNCTION("IFERROR(
  VLOOKUP(
    A3,
    IMPORTRANGE(
      ""1ZHMy3vVUd_0MrSduXTe1etBb1HNpAlGwQr006ljwMiM"",
      ""GSC最新!A:R""
    ),
    10,
    FALSE
  ),
  0
)
"),28434.0)</f>
        <v>28434</v>
      </c>
      <c r="N3" s="6">
        <f>IFERROR(__xludf.DUMMYFUNCTION("IFERROR(
  VLOOKUP(
    A3,
    IMPORTRANGE(
      ""1ZHMy3vVUd_0MrSduXTe1etBb1HNpAlGwQr006ljwMiM"",
      ""GSC最新!A:R""
    ),
    13,
    FALSE
  ),
  0
)
"),3949.0)</f>
        <v>3949</v>
      </c>
      <c r="O3" s="6">
        <f>IFERROR(__xludf.DUMMYFUNCTION("IFERROR(
  VLOOKUP(
    A3,
    IMPORTRANGE(
      ""1ZHMy3vVUd_0MrSduXTe1etBb1HNpAlGwQr006ljwMiM"",
      ""GSC最新!A:R""
    ),
    16,
    FALSE
  ),
  0
)
"),9395.0)</f>
        <v>9395</v>
      </c>
      <c r="P3" s="51">
        <f t="shared" ref="P3:Q3" si="7">IFERROR(L3/N3,"-")</f>
        <v>3.001519372</v>
      </c>
      <c r="Q3" s="51">
        <f t="shared" si="7"/>
        <v>3.026503459</v>
      </c>
      <c r="R3" s="9">
        <f>IFERROR(__xludf.DUMMYFUNCTION("IFERROR(
  VLOOKUP(
    A3,
    IMPORTRANGE(
      ""1ZHMy3vVUd_0MrSduXTe1etBb1HNpAlGwQr006ljwMiM"",
      ""GSC最新!A:R""
    ),
    8,
    FALSE
  ),
  0
)
"),0.018982536066818528)</f>
        <v>0.01898253607</v>
      </c>
      <c r="S3" s="9">
        <f>IFERROR(__xludf.DUMMYFUNCTION("IFERROR(
  VLOOKUP(
    A3,
    IMPORTRANGE(
      ""1ZHMy3vVUd_0MrSduXTe1etBb1HNpAlGwQr006ljwMiM"",
      ""GSC最新!A:R""
    ),
    11,
    FALSE
  ),
  0
)
"),0.015931631145811354)</f>
        <v>0.01593163115</v>
      </c>
      <c r="T3" s="9">
        <f>IFERROR(__xludf.DUMMYFUNCTION("IFERROR(
  VLOOKUP(
    A3,
    IMPORTRANGE(
      ""1ZHMy3vVUd_0MrSduXTe1etBb1HNpAlGwQr006ljwMiM"",
      ""GSC最新!A:R""
    ),
    14,
    FALSE
  ),
  0
)
"),0.026589009875917953)</f>
        <v>0.02658900988</v>
      </c>
      <c r="U3" s="9">
        <f>IFERROR(__xludf.DUMMYFUNCTION("IFERROR(
  VLOOKUP(
    A3,
    IMPORTRANGE(
      ""1ZHMy3vVUd_0MrSduXTe1etBb1HNpAlGwQr006ljwMiM"",
      ""GSC最新!A:R""
    ),
    17,
    FALSE
  ),
  0
)
"),0.027035657264502393)</f>
        <v>0.02703565726</v>
      </c>
      <c r="V3" s="9">
        <f t="shared" ref="V3:W3" si="8">IFERROR(R3-T3,"-")</f>
        <v>-0.007606473809</v>
      </c>
      <c r="W3" s="9">
        <f t="shared" si="8"/>
        <v>-0.01110402612</v>
      </c>
      <c r="X3" s="65">
        <f>IFERROR(__xludf.DUMMYFUNCTION("IFERROR(
  VLOOKUP(
    A3,
    IMPORTRANGE(
      ""1ZHMy3vVUd_0MrSduXTe1etBb1HNpAlGwQr006ljwMiM"",
      ""GSC最新!A:R""
    ),
    9,
    FALSE
  ),
  0
)
"),5.189572260187294)</f>
        <v>5.18957226</v>
      </c>
      <c r="Y3" s="65">
        <f>IFERROR(__xludf.DUMMYFUNCTION("IFERROR(
  VLOOKUP(
    A3,
    IMPORTRANGE(
      ""1ZHMy3vVUd_0MrSduXTe1etBb1HNpAlGwQr006ljwMiM"",
      ""GSC最新!A:R""
    ),
    12,
    FALSE
  ),
  0
)
"),5.51206302314131)</f>
        <v>5.512063023</v>
      </c>
      <c r="Z3" s="65">
        <f>IFERROR(__xludf.DUMMYFUNCTION("IFERROR(
  VLOOKUP(
    A3,
    IMPORTRANGE(
      ""1ZHMy3vVUd_0MrSduXTe1etBb1HNpAlGwQr006ljwMiM"",
      ""GSC最新!A:R""
    ),
    15,
    FALSE
  ),
  0
)
"),7.479868321093948)</f>
        <v>7.479868321</v>
      </c>
      <c r="AA3" s="65">
        <f>IFERROR(__xludf.DUMMYFUNCTION("IFERROR(
  VLOOKUP(
    A3,
    IMPORTRANGE(
      ""1ZHMy3vVUd_0MrSduXTe1etBb1HNpAlGwQr006ljwMiM"",
      ""GSC最新!A:R""
    ),
    18,
    FALSE
  ),
  0
)
"),8.182756785524216)</f>
        <v>8.182756786</v>
      </c>
      <c r="AB3" s="65">
        <f t="shared" ref="AB3:AC3" si="9">X3-Z3</f>
        <v>-2.290296061</v>
      </c>
      <c r="AC3" s="65">
        <f t="shared" si="9"/>
        <v>-2.670693762</v>
      </c>
      <c r="AD3" s="53">
        <f>IFERROR(__xludf.DUMMYFUNCTION("IFERROR(
  VLOOKUP(
    A3,
    IMPORTRANGE(
      ""1ZHMy3vVUd_0MrSduXTe1etBb1HNpAlGwQr006ljwMiM"",
      ""GSC最新!A:F""
    ),
    6,
    FALSE
  ),
  0
)
"),46081.0)</f>
        <v>46081</v>
      </c>
      <c r="AE3" s="54">
        <f>IFERROR(__xludf.DUMMYFUNCTION("IFERROR(
  VLOOKUP(
    A3,
    IMPORTRANGE(
      ""1SCYQd7_cobOYqT0r_F0IqD4tE4rYn5y8Eup4PJTH8es"",
      ""Snapshot!A:M""
    ),
    5,
    FALSE
  ),
  ""-""
)
"),5.0)</f>
        <v>5</v>
      </c>
      <c r="AF3" s="54">
        <f>IFERROR(__xludf.DUMMYFUNCTION("IFERROR(
  VLOOKUP(
    A3,
    IMPORTRANGE(
      ""1SCYQd7_cobOYqT0r_F0IqD4tE4rYn5y8Eup4PJTH8es"",
      ""Snapshot!A:M""
    ),
    6,
    FALSE
  ),
  0
)
"),0.0)</f>
        <v>0</v>
      </c>
      <c r="AG3" s="54">
        <f>IFERROR(__xludf.DUMMYFUNCTION("IFERROR(
  VLOOKUP(
    A3,
    IMPORTRANGE(
      ""1SCYQd7_cobOYqT0r_F0IqD4tE4rYn5y8Eup4PJTH8es"",
      ""Snapshot!A:M""
    ),
    7,
    FALSE
  ),
  0
)
"),12221.0)</f>
        <v>12221</v>
      </c>
      <c r="AH3" s="54">
        <f>IFERROR(__xludf.DUMMYFUNCTION("IFERROR(
  VLOOKUP(
    A3,
    IMPORTRANGE(
      ""1SCYQd7_cobOYqT0r_F0IqD4tE4rYn5y8Eup4PJTH8es"",
      ""Snapshot!A:M""
    ),
    8,
    FALSE
  ),
  0
)
"),6.0)</f>
        <v>6</v>
      </c>
      <c r="AI3" s="54">
        <f>IFERROR(__xludf.DUMMYFUNCTION("IFERROR(
  VLOOKUP(
    A3,
    IMPORTRANGE(
      ""1SCYQd7_cobOYqT0r_F0IqD4tE4rYn5y8Eup4PJTH8es"",
      ""Snapshot!A:M""
    ),
    9,
    FALSE
  ),
  0
)
"),5.0)</f>
        <v>5</v>
      </c>
      <c r="AJ3" s="54">
        <f>IFERROR(__xludf.DUMMYFUNCTION("IFERROR(
  VLOOKUP(
    A3,
    IMPORTRANGE(
      ""1SCYQd7_cobOYqT0r_F0IqD4tE4rYn5y8Eup4PJTH8es"",
      ""Snapshot!A:M""
    ),
    13,
    FALSE
  ),
  0
)
"),1.0)</f>
        <v>1</v>
      </c>
      <c r="AK3" s="49">
        <f t="shared" ref="AK3:AL3" si="10">LEN(C3)</f>
        <v>28</v>
      </c>
      <c r="AL3" s="49">
        <f t="shared" si="10"/>
        <v>85</v>
      </c>
    </row>
    <row r="4">
      <c r="A4" s="3" t="s">
        <v>285</v>
      </c>
      <c r="B4" s="1" t="str">
        <f>IFERROR(__xludf.DUMMYFUNCTION("IFERROR(
  VLOOKUP(
    A4,
    IMPORTRANGE(
      ""1ZygntHC1J6IxzKbTidmOyf5nUyW4GCLurHCjexrLm_o"",
      ""HTMLキャッシュ!A:F""
    ),
    2,
    FALSE
  ),
  0
)
"),"SP")</f>
        <v>SP</v>
      </c>
      <c r="C4" s="1" t="str">
        <f>IFERROR(__xludf.DUMMYFUNCTION("IFERROR(
  VLOOKUP(
    A4,
    IMPORTRANGE(
      ""1ZygntHC1J6IxzKbTidmOyf5nUyW4GCLurHCjexrLm_o"",
      ""HTMLキャッシュ!A:F""
    ),
    5,
    FALSE
  ),
  0
)
"),"都立入試の英作文対策｜5分で書く型×添削（自校作成校対応）")</f>
        <v>都立入試の英作文対策｜5分で書く型×添削（自校作成校対応）</v>
      </c>
      <c r="D4" s="1" t="str">
        <f>IFERROR(__xludf.DUMMYFUNCTION("IFERROR(
  VLOOKUP(
    A4,
    IMPORTRANGE(
      ""1ZygntHC1J6IxzKbTidmOyf5nUyW4GCLurHCjexrLm_o        "",
      ""HTMLキャッシュ!A:F""
    ),
    6,
    FALSE
  ),
  0
)
"),"都立入試の自由英作文を「5分で書き切る」ための対策。40〜50語の書き方を解説し、演習→講評→書き直し（添削）で得点源に。自校作成校の傾向整理や、答案開示を踏まえた採点基準に沿う添削、オンライン受講、料金も掲載。")</f>
        <v>都立入試の自由英作文を「5分で書き切る」ための対策。40〜50語の書き方を解説し、演習→講評→書き直し（添削）で得点源に。自校作成校の傾向整理や、答案開示を踏まえた採点基準に沿う添削、オンライン受講、料金も掲載。</v>
      </c>
      <c r="E4" s="32">
        <f>IFERROR(__xludf.DUMMYFUNCTION("IFERROR(
  VLOOKUP(
    A4,
    IMPORTRANGE(
      ""1ZygntHC1J6IxzKbTidmOyf5nUyW4GCLurHCjexrLm_o        "",
      ""HTMLキャッシュ!A:F""
    ),
    3,
    FALSE
  ),
  0
)
"),46081.79429398148)</f>
        <v>46081.79429</v>
      </c>
      <c r="F4" s="49">
        <f>IFERROR(__xludf.DUMMYFUNCTION("IFERROR(
  VLOOKUP(
    A4,
    IMPORTRANGE(
      ""1ZHMy3vVUd_0MrSduXTe1etBb1HNpAlGwQr006ljwMiM"",
      ""GSC最新!A:F""
    ),
    2,
    FALSE
  ),
  0
)
"),123.0)</f>
        <v>123</v>
      </c>
      <c r="G4" s="49">
        <f>IFERROR(__xludf.DUMMYFUNCTION("IFERROR(
  VLOOKUP(
    A4,
    IMPORTRANGE(
      ""1ZHMy3vVUd_0MrSduXTe1etBb1HNpAlGwQr006ljwMiM"",
      ""GSC最新!A:F""
    ),
    3,
    FALSE
  ),
  0
)
"),366.0)</f>
        <v>366</v>
      </c>
      <c r="H4" s="49">
        <f>IFERROR(__xludf.DUMMYFUNCTION("IFERROR(
  VLOOKUP(
    A4,
    IMPORTRANGE(
      ""1ZHMy3vVUd_0MrSduXTe1etBb1HNpAlGwQr006ljwMiM"",
      ""GSC最新!A:F""
    ),
    4,
    FALSE
  ),
  0
)
"),43.0)</f>
        <v>43</v>
      </c>
      <c r="I4" s="49">
        <f>IFERROR(__xludf.DUMMYFUNCTION("IFERROR(
  VLOOKUP(
    A4,
    IMPORTRANGE(
      ""1ZHMy3vVUd_0MrSduXTe1etBb1HNpAlGwQr006ljwMiM"",
      ""GSC最新!A:F""
    ),
    5,
    FALSE
  ),
  0
)
"),122.0)</f>
        <v>122</v>
      </c>
      <c r="J4" s="50">
        <f t="shared" ref="J4:K4" si="11">IFERROR(F4/H4,"-")</f>
        <v>2.860465116</v>
      </c>
      <c r="K4" s="50">
        <f t="shared" si="11"/>
        <v>3</v>
      </c>
      <c r="L4" s="6">
        <f>IFERROR(__xludf.DUMMYFUNCTION("IFERROR(
  VLOOKUP(
    A4,
    IMPORTRANGE(
      ""1ZHMy3vVUd_0MrSduXTe1etBb1HNpAlGwQr006ljwMiM"",
      ""GSC最新!A:R""
    ),
    7,
    FALSE
  ),
  0
)
"),2813.0)</f>
        <v>2813</v>
      </c>
      <c r="M4" s="6">
        <f>IFERROR(__xludf.DUMMYFUNCTION("IFERROR(
  VLOOKUP(
    A4,
    IMPORTRANGE(
      ""1ZHMy3vVUd_0MrSduXTe1etBb1HNpAlGwQr006ljwMiM"",
      ""GSC最新!A:R""
    ),
    10,
    FALSE
  ),
  0
)
"),7979.0)</f>
        <v>7979</v>
      </c>
      <c r="N4" s="6">
        <f>IFERROR(__xludf.DUMMYFUNCTION("IFERROR(
  VLOOKUP(
    A4,
    IMPORTRANGE(
      ""1ZHMy3vVUd_0MrSduXTe1etBb1HNpAlGwQr006ljwMiM"",
      ""GSC最新!A:R""
    ),
    13,
    FALSE
  ),
  0
)
"),1486.0)</f>
        <v>1486</v>
      </c>
      <c r="O4" s="6">
        <f>IFERROR(__xludf.DUMMYFUNCTION("IFERROR(
  VLOOKUP(
    A4,
    IMPORTRANGE(
      ""1ZHMy3vVUd_0MrSduXTe1etBb1HNpAlGwQr006ljwMiM"",
      ""GSC最新!A:R""
    ),
    16,
    FALSE
  ),
  0
)
"),3896.0)</f>
        <v>3896</v>
      </c>
      <c r="P4" s="51">
        <f t="shared" ref="P4:Q4" si="12">IFERROR(L4/N4,"-")</f>
        <v>1.893001346</v>
      </c>
      <c r="Q4" s="51">
        <f t="shared" si="12"/>
        <v>2.047997947</v>
      </c>
      <c r="R4" s="9">
        <f>IFERROR(__xludf.DUMMYFUNCTION("IFERROR(
  VLOOKUP(
    A4,
    IMPORTRANGE(
      ""1ZHMy3vVUd_0MrSduXTe1etBb1HNpAlGwQr006ljwMiM"",
      ""GSC最新!A:R""
    ),
    8,
    FALSE
  ),
  0
)
"),0.04372555990046214)</f>
        <v>0.0437255599</v>
      </c>
      <c r="S4" s="9">
        <f>IFERROR(__xludf.DUMMYFUNCTION("IFERROR(
  VLOOKUP(
    A4,
    IMPORTRANGE(
      ""1ZHMy3vVUd_0MrSduXTe1etBb1HNpAlGwQr006ljwMiM"",
      ""GSC最新!A:R""
    ),
    11,
    FALSE
  ),
  0
)
"),0.045870409825792706)</f>
        <v>0.04587040983</v>
      </c>
      <c r="T4" s="9">
        <f>IFERROR(__xludf.DUMMYFUNCTION("IFERROR(
  VLOOKUP(
    A4,
    IMPORTRANGE(
      ""1ZHMy3vVUd_0MrSduXTe1etBb1HNpAlGwQr006ljwMiM"",
      ""GSC最新!A:R""
    ),
    14,
    FALSE
  ),
  0
)
"),0.028936742934051143)</f>
        <v>0.02893674293</v>
      </c>
      <c r="U4" s="9">
        <f>IFERROR(__xludf.DUMMYFUNCTION("IFERROR(
  VLOOKUP(
    A4,
    IMPORTRANGE(
      ""1ZHMy3vVUd_0MrSduXTe1etBb1HNpAlGwQr006ljwMiM"",
      ""GSC最新!A:R""
    ),
    17,
    FALSE
  ),
  0
)
"),0.03131416837782341)</f>
        <v>0.03131416838</v>
      </c>
      <c r="V4" s="9">
        <f t="shared" ref="V4:W4" si="13">IFERROR(R4-T4,"-")</f>
        <v>0.01478881697</v>
      </c>
      <c r="W4" s="9">
        <f t="shared" si="13"/>
        <v>0.01455624145</v>
      </c>
      <c r="X4" s="65">
        <f>IFERROR(__xludf.DUMMYFUNCTION("IFERROR(
  VLOOKUP(
    A4,
    IMPORTRANGE(
      ""1ZHMy3vVUd_0MrSduXTe1etBb1HNpAlGwQr006ljwMiM"",
      ""GSC最新!A:R""
    ),
    9,
    FALSE
  ),
  0
)
"),7.646996089584074)</f>
        <v>7.64699609</v>
      </c>
      <c r="Y4" s="65">
        <f>IFERROR(__xludf.DUMMYFUNCTION("IFERROR(
  VLOOKUP(
    A4,
    IMPORTRANGE(
      ""1ZHMy3vVUd_0MrSduXTe1etBb1HNpAlGwQr006ljwMiM"",
      ""GSC最新!A:R""
    ),
    12,
    FALSE
  ),
  0
)
"),7.6493294899110165)</f>
        <v>7.64932949</v>
      </c>
      <c r="Z4" s="65">
        <f>IFERROR(__xludf.DUMMYFUNCTION("IFERROR(
  VLOOKUP(
    A4,
    IMPORTRANGE(
      ""1ZHMy3vVUd_0MrSduXTe1etBb1HNpAlGwQr006ljwMiM"",
      ""GSC最新!A:R""
    ),
    15,
    FALSE
  ),
  0
)
"),9.700538358008075)</f>
        <v>9.700538358</v>
      </c>
      <c r="AA4" s="65">
        <f>IFERROR(__xludf.DUMMYFUNCTION("IFERROR(
  VLOOKUP(
    A4,
    IMPORTRANGE(
      ""1ZHMy3vVUd_0MrSduXTe1etBb1HNpAlGwQr006ljwMiM"",
      ""GSC最新!A:R""
    ),
    18,
    FALSE
  ),
  0
)
"),10.621149897330595)</f>
        <v>10.6211499</v>
      </c>
      <c r="AB4" s="65">
        <f t="shared" ref="AB4:AC4" si="14">X4-Z4</f>
        <v>-2.053542268</v>
      </c>
      <c r="AC4" s="65">
        <f t="shared" si="14"/>
        <v>-2.971820407</v>
      </c>
      <c r="AD4" s="53">
        <f>IFERROR(__xludf.DUMMYFUNCTION("IFERROR(
  VLOOKUP(
    A4,
    IMPORTRANGE(
      ""1ZHMy3vVUd_0MrSduXTe1etBb1HNpAlGwQr006ljwMiM"",
      ""GSC最新!A:F""
    ),
    6,
    FALSE
  ),
  0
)
"),46081.0)</f>
        <v>46081</v>
      </c>
      <c r="AE4" s="54">
        <f>IFERROR(__xludf.DUMMYFUNCTION("IFERROR(
  VLOOKUP(
    A4,
    IMPORTRANGE(
      ""1SCYQd7_cobOYqT0r_F0IqD4tE4rYn5y8Eup4PJTH8es"",
      ""Snapshot!A:M""
    ),
    5,
    FALSE
  ),
  ""-""
)
"),7.0)</f>
        <v>7</v>
      </c>
      <c r="AF4" s="54">
        <f>IFERROR(__xludf.DUMMYFUNCTION("IFERROR(
  VLOOKUP(
    A4,
    IMPORTRANGE(
      ""1SCYQd7_cobOYqT0r_F0IqD4tE4rYn5y8Eup4PJTH8es"",
      ""Snapshot!A:M""
    ),
    6,
    FALSE
  ),
  0
)
"),10.0)</f>
        <v>10</v>
      </c>
      <c r="AG4" s="54">
        <f>IFERROR(__xludf.DUMMYFUNCTION("IFERROR(
  VLOOKUP(
    A4,
    IMPORTRANGE(
      ""1SCYQd7_cobOYqT0r_F0IqD4tE4rYn5y8Eup4PJTH8es"",
      ""Snapshot!A:M""
    ),
    7,
    FALSE
  ),
  0
)
"),4358.0)</f>
        <v>4358</v>
      </c>
      <c r="AH4" s="54">
        <f>IFERROR(__xludf.DUMMYFUNCTION("IFERROR(
  VLOOKUP(
    A4,
    IMPORTRANGE(
      ""1SCYQd7_cobOYqT0r_F0IqD4tE4rYn5y8Eup4PJTH8es"",
      ""Snapshot!A:M""
    ),
    8,
    FALSE
  ),
  0
)
"),1.0)</f>
        <v>1</v>
      </c>
      <c r="AI4" s="54">
        <f>IFERROR(__xludf.DUMMYFUNCTION("IFERROR(
  VLOOKUP(
    A4,
    IMPORTRANGE(
      ""1SCYQd7_cobOYqT0r_F0IqD4tE4rYn5y8Eup4PJTH8es"",
      ""Snapshot!A:M""
    ),
    9,
    FALSE
  ),
  0
)
"),2.0)</f>
        <v>2</v>
      </c>
      <c r="AJ4" s="54">
        <f>IFERROR(__xludf.DUMMYFUNCTION("IFERROR(
  VLOOKUP(
    A4,
    IMPORTRANGE(
      ""1SCYQd7_cobOYqT0r_F0IqD4tE4rYn5y8Eup4PJTH8es"",
      ""Snapshot!A:M""
    ),
    13,
    FALSE
  ),
  0
)
"),1.0)</f>
        <v>1</v>
      </c>
      <c r="AK4" s="49">
        <f t="shared" ref="AK4:AL4" si="15">LEN(C4)</f>
        <v>29</v>
      </c>
      <c r="AL4" s="49">
        <f t="shared" si="15"/>
        <v>106</v>
      </c>
    </row>
    <row r="5">
      <c r="A5" s="3" t="s">
        <v>948</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"),"過去形の疑問文・否定文did｜作り方と答え方・原形に戻す｜中1英語")</f>
        <v>過去形の疑問文・否定文did｜作り方と答え方・原形に戻す｜中1英語</v>
      </c>
      <c r="D5" s="1" t="str">
        <f>IFERROR(__xludf.DUMMYFUNCTION("IFERROR(
  VLOOKUP(
    A5,
    IMPORTRANGE(
      ""1ZygntHC1J6IxzKbTidmOyf5nUyW4GCLurHCjexrLm_o        "",
      ""HTMLキャッシュ!A:F""
    ),
    6,
    FALSE
  ),
  0
)
"),"過去形の否定文は didn’t＋原形、疑問文は Did＋主語＋原形。Yes, 主語＋did／No, 主語＋didn’t の答え方まで整理。疑問詞＋did、Whoが主語のときは did不要で Who＋過去形、work＝物が主語なら「動く」も例文・まとめ表・クイズで確認。")</f>
        <v>過去形の否定文は didn’t＋原形、疑問文は Did＋主語＋原形。Yes, 主語＋did／No, 主語＋didn’t の答え方まで整理。疑問詞＋did、Whoが主語のときは did不要で Who＋過去形、work＝物が主語なら「動く」も例文・まとめ表・クイズで確認。</v>
      </c>
      <c r="E5" s="32">
        <f>IFERROR(__xludf.DUMMYFUNCTION("IFERROR(
  VLOOKUP(
    A5,
    IMPORTRANGE(
      ""1ZygntHC1J6IxzKbTidmOyf5nUyW4GCLurHCjexrLm_o        "",
      ""HTMLキャッシュ!A:F""
    ),
    3,
    FALSE
  ),
  0
)
"),46080.823067129626)</f>
        <v>46080.82307</v>
      </c>
      <c r="F5" s="49">
        <f>IFERROR(__xludf.DUMMYFUNCTION("IFERROR(
  VLOOKUP(
    A5,
    IMPORTRANGE(
      ""1ZHMy3vVUd_0MrSduXTe1etBb1HNpAlGwQr006ljwMiM"",
      ""GSC最新!A:F""
    ),
    2,
    FALSE
  ),
  0
)
"),66.0)</f>
        <v>66</v>
      </c>
      <c r="G5" s="49">
        <f>IFERROR(__xludf.DUMMYFUNCTION("IFERROR(
  VLOOKUP(
    A5,
    IMPORTRANGE(
      ""1ZHMy3vVUd_0MrSduXTe1etBb1HNpAlGwQr006ljwMiM"",
      ""GSC最新!A:F""
    ),
    3,
    FALSE
  ),
  0
)
"),114.0)</f>
        <v>114</v>
      </c>
      <c r="H5" s="49">
        <f>IFERROR(__xludf.DUMMYFUNCTION("IFERROR(
  VLOOKUP(
    A5,
    IMPORTRANGE(
      ""1ZHMy3vVUd_0MrSduXTe1etBb1HNpAlGwQr006ljwMiM"",
      ""GSC最新!A:F""
    ),
    4,
    FALSE
  ),
  0
)
"),2.0)</f>
        <v>2</v>
      </c>
      <c r="I5" s="49">
        <f>IFERROR(__xludf.DUMMYFUNCTION("IFERROR(
  VLOOKUP(
    A5,
    IMPORTRANGE(
      ""1ZHMy3vVUd_0MrSduXTe1etBb1HNpAlGwQr006ljwMiM"",
      ""GSC最新!A:F""
    ),
    5,
    FALSE
  ),
  0
)
"),10.0)</f>
        <v>10</v>
      </c>
      <c r="J5" s="50">
        <f t="shared" ref="J5:K5" si="16">IFERROR(F5/H5,"-")</f>
        <v>33</v>
      </c>
      <c r="K5" s="50">
        <f t="shared" si="16"/>
        <v>11.4</v>
      </c>
      <c r="L5" s="6">
        <f>IFERROR(__xludf.DUMMYFUNCTION("IFERROR(
  VLOOKUP(
    A5,
    IMPORTRANGE(
      ""1ZHMy3vVUd_0MrSduXTe1etBb1HNpAlGwQr006ljwMiM"",
      ""GSC最新!A:R""
    ),
    7,
    FALSE
  ),
  0
)
"),22967.0)</f>
        <v>22967</v>
      </c>
      <c r="M5" s="6">
        <f>IFERROR(__xludf.DUMMYFUNCTION("IFERROR(
  VLOOKUP(
    A5,
    IMPORTRANGE(
      ""1ZHMy3vVUd_0MrSduXTe1etBb1HNpAlGwQr006ljwMiM"",
      ""GSC最新!A:R""
    ),
    10,
    FALSE
  ),
  0
)
"),44570.0)</f>
        <v>44570</v>
      </c>
      <c r="N5" s="6">
        <f>IFERROR(__xludf.DUMMYFUNCTION("IFERROR(
  VLOOKUP(
    A5,
    IMPORTRANGE(
      ""1ZHMy3vVUd_0MrSduXTe1etBb1HNpAlGwQr006ljwMiM"",
      ""GSC最新!A:R""
    ),
    13,
    FALSE
  ),
  0
)
"),1298.0)</f>
        <v>1298</v>
      </c>
      <c r="O5" s="6">
        <f>IFERROR(__xludf.DUMMYFUNCTION("IFERROR(
  VLOOKUP(
    A5,
    IMPORTRANGE(
      ""1ZHMy3vVUd_0MrSduXTe1etBb1HNpAlGwQr006ljwMiM"",
      ""GSC最新!A:R""
    ),
    16,
    FALSE
  ),
  0
)
"),3195.0)</f>
        <v>3195</v>
      </c>
      <c r="P5" s="51">
        <f t="shared" ref="P5:Q5" si="17">IFERROR(L5/N5,"-")</f>
        <v>17.69414484</v>
      </c>
      <c r="Q5" s="51">
        <f t="shared" si="17"/>
        <v>13.94992175</v>
      </c>
      <c r="R5" s="9">
        <f>IFERROR(__xludf.DUMMYFUNCTION("IFERROR(
  VLOOKUP(
    A5,
    IMPORTRANGE(
      ""1ZHMy3vVUd_0MrSduXTe1etBb1HNpAlGwQr006ljwMiM"",
      ""GSC最新!A:R""
    ),
    8,
    FALSE
  ),
  0
)
"),0.002873688335437802)</f>
        <v>0.002873688335</v>
      </c>
      <c r="S5" s="9">
        <f>IFERROR(__xludf.DUMMYFUNCTION("IFERROR(
  VLOOKUP(
    A5,
    IMPORTRANGE(
      ""1ZHMy3vVUd_0MrSduXTe1etBb1HNpAlGwQr006ljwMiM"",
      ""GSC最新!A:R""
    ),
    11,
    FALSE
  ),
  0
)
"),0.0025577742876374244)</f>
        <v>0.002557774288</v>
      </c>
      <c r="T5" s="9">
        <f>IFERROR(__xludf.DUMMYFUNCTION("IFERROR(
  VLOOKUP(
    A5,
    IMPORTRANGE(
      ""1ZHMy3vVUd_0MrSduXTe1etBb1HNpAlGwQr006ljwMiM"",
      ""GSC最新!A:R""
    ),
    14,
    FALSE
  ),
  0
)
"),0.0015408320493066256)</f>
        <v>0.001540832049</v>
      </c>
      <c r="U5" s="9">
        <f>IFERROR(__xludf.DUMMYFUNCTION("IFERROR(
  VLOOKUP(
    A5,
    IMPORTRANGE(
      ""1ZHMy3vVUd_0MrSduXTe1etBb1HNpAlGwQr006ljwMiM"",
      ""GSC最新!A:R""
    ),
    17,
    FALSE
  ),
  0
)
"),0.003129890453834116)</f>
        <v>0.003129890454</v>
      </c>
      <c r="V5" s="9">
        <f t="shared" ref="V5:W5" si="18">IFERROR(R5-T5,"-")</f>
        <v>0.001332856286</v>
      </c>
      <c r="W5" s="9">
        <f t="shared" si="18"/>
        <v>-0.0005721161662</v>
      </c>
      <c r="X5" s="65">
        <f>IFERROR(__xludf.DUMMYFUNCTION("IFERROR(
  VLOOKUP(
    A5,
    IMPORTRANGE(
      ""1ZHMy3vVUd_0MrSduXTe1etBb1HNpAlGwQr006ljwMiM"",
      ""GSC最新!A:R""
    ),
    9,
    FALSE
  ),
  0
)
"),2.985239691731615)</f>
        <v>2.985239692</v>
      </c>
      <c r="Y5" s="65">
        <f>IFERROR(__xludf.DUMMYFUNCTION("IFERROR(
  VLOOKUP(
    A5,
    IMPORTRANGE(
      ""1ZHMy3vVUd_0MrSduXTe1etBb1HNpAlGwQr006ljwMiM"",
      ""GSC最新!A:R""
    ),
    12,
    FALSE
  ),
  0
)
"),3.033340812205519)</f>
        <v>3.033340812</v>
      </c>
      <c r="Z5" s="65">
        <f>IFERROR(__xludf.DUMMYFUNCTION("IFERROR(
  VLOOKUP(
    A5,
    IMPORTRANGE(
      ""1ZHMy3vVUd_0MrSduXTe1etBb1HNpAlGwQr006ljwMiM"",
      ""GSC最新!A:R""
    ),
    15,
    FALSE
  ),
  0
)
"),8.439907550077042)</f>
        <v>8.43990755</v>
      </c>
      <c r="AA5" s="65">
        <f>IFERROR(__xludf.DUMMYFUNCTION("IFERROR(
  VLOOKUP(
    A5,
    IMPORTRANGE(
      ""1ZHMy3vVUd_0MrSduXTe1etBb1HNpAlGwQr006ljwMiM"",
      ""GSC最新!A:R""
    ),
    18,
    FALSE
  ),
  0
)
"),10.341784037558686)</f>
        <v>10.34178404</v>
      </c>
      <c r="AB5" s="65">
        <f t="shared" ref="AB5:AC5" si="19">X5-Z5</f>
        <v>-5.454667858</v>
      </c>
      <c r="AC5" s="65">
        <f t="shared" si="19"/>
        <v>-7.308443225</v>
      </c>
      <c r="AD5" s="53">
        <f>IFERROR(__xludf.DUMMYFUNCTION("IFERROR(
  VLOOKUP(
    A5,
    IMPORTRANGE(
      ""1ZHMy3vVUd_0MrSduXTe1etBb1HNpAlGwQr006ljwMiM"",
      ""GSC最新!A:F""
    ),
    6,
    FALSE
  ),
  0
)
"),46081.0)</f>
        <v>46081</v>
      </c>
      <c r="AE5" s="54">
        <f>IFERROR(__xludf.DUMMYFUNCTION("IFERROR(
  VLOOKUP(
    A5,
    IMPORTRANGE(
      ""1SCYQd7_cobOYqT0r_F0IqD4tE4rYn5y8Eup4PJTH8es"",
      ""Snapshot!A:M""
    ),
    5,
    FALSE
  ),
  ""-""
)
"),2.0)</f>
        <v>2</v>
      </c>
      <c r="AF5" s="54">
        <f>IFERROR(__xludf.DUMMYFUNCTION("IFERROR(
  VLOOKUP(
    A5,
    IMPORTRANGE(
      ""1SCYQd7_cobOYqT0r_F0IqD4tE4rYn5y8Eup4PJTH8es"",
      ""Snapshot!A:M""
    ),
    6,
    FALSE
  ),
  0
)
"),0.0)</f>
        <v>0</v>
      </c>
      <c r="AG5" s="54">
        <f>IFERROR(__xludf.DUMMYFUNCTION("IFERROR(
  VLOOKUP(
    A5,
    IMPORTRANGE(
      ""1SCYQd7_cobOYqT0r_F0IqD4tE4rYn5y8Eup4PJTH8es"",
      ""Snapshot!A:M""
    ),
    7,
    FALSE
  ),
  0
)
"),5533.0)</f>
        <v>5533</v>
      </c>
      <c r="AH5" s="54">
        <f>IFERROR(__xludf.DUMMYFUNCTION("IFERROR(
  VLOOKUP(
    A5,
    IMPORTRANGE(
      ""1SCYQd7_cobOYqT0r_F0IqD4tE4rYn5y8Eup4PJTH8es"",
      ""Snapshot!A:M""
    ),
    8,
    FALSE
  ),
  0
)
"),2.0)</f>
        <v>2</v>
      </c>
      <c r="AI5" s="54">
        <f>IFERROR(__xludf.DUMMYFUNCTION("IFERROR(
  VLOOKUP(
    A5,
    IMPORTRANGE(
      ""1SCYQd7_cobOYqT0r_F0IqD4tE4rYn5y8Eup4PJTH8es"",
      ""Snapshot!A:M""
    ),
    9,
    FALSE
  ),
  0
)
"),1.0)</f>
        <v>1</v>
      </c>
      <c r="AJ5" s="54">
        <f>IFERROR(__xludf.DUMMYFUNCTION("IFERROR(
  VLOOKUP(
    A5,
    IMPORTRANGE(
      ""1SCYQd7_cobOYqT0r_F0IqD4tE4rYn5y8Eup4PJTH8es"",
      ""Snapshot!A:M""
    ),
    13,
    FALSE
  ),
  0
)
"),1.0)</f>
        <v>1</v>
      </c>
      <c r="AK5" s="49">
        <f t="shared" ref="AK5:AL5" si="20">LEN(C5)</f>
        <v>33</v>
      </c>
      <c r="AL5" s="49">
        <f t="shared" si="20"/>
        <v>134</v>
      </c>
    </row>
    <row r="6">
      <c r="A6" s="3" t="s">
        <v>949</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"),"関係代名詞の目的格と前置詞の使い方｜who/which/that 完全整理")</f>
        <v>関係代名詞の目的格と前置詞の使い方｜who/which/that 完全整理</v>
      </c>
      <c r="D6" s="1" t="str">
        <f>IFERROR(__xludf.DUMMYFUNCTION("IFERROR(
  VLOOKUP(
    A6,
    IMPORTRANGE(
      ""1ZygntHC1J6IxzKbTidmOyf5nUyW4GCLurHCjexrLm_o        "",
      ""HTMLキャッシュ!A:F""
    ),
    6,
    FALSE
  ),
  0
)
"),"関係代名詞thatを使う条件を7ルールで整理。序数/最上級/only/all/every/-thing/人+物を例文・表・クイズで確認。")</f>
        <v>関係代名詞thatを使う条件を7ルールで整理。序数/最上級/only/all/every/-thing/人+物を例文・表・クイズで確認。</v>
      </c>
      <c r="E6" s="32">
        <f>IFERROR(__xludf.DUMMYFUNCTION("IFERROR(
  VLOOKUP(
    A6,
    IMPORTRANGE(
      ""1ZygntHC1J6IxzKbTidmOyf5nUyW4GCLurHCjexrLm_o        "",
      ""HTMLキャッシュ!A:F""
    ),
    3,
    FALSE
  ),
  0
)
"),46074.55844907407)</f>
        <v>46074.55845</v>
      </c>
      <c r="F6" s="49">
        <f>IFERROR(__xludf.DUMMYFUNCTION("IFERROR(
  VLOOKUP(
    A6,
    IMPORTRANGE(
      ""1ZHMy3vVUd_0MrSduXTe1etBb1HNpAlGwQr006ljwMiM"",
      ""GSC最新!A:F""
    ),
    2,
    FALSE
  ),
  0
)
"),35.0)</f>
        <v>35</v>
      </c>
      <c r="G6" s="49">
        <f>IFERROR(__xludf.DUMMYFUNCTION("IFERROR(
  VLOOKUP(
    A6,
    IMPORTRANGE(
      ""1ZHMy3vVUd_0MrSduXTe1etBb1HNpAlGwQr006ljwMiM"",
      ""GSC最新!A:F""
    ),
    3,
    FALSE
  ),
  0
)
"),106.0)</f>
        <v>106</v>
      </c>
      <c r="H6" s="49">
        <f>IFERROR(__xludf.DUMMYFUNCTION("IFERROR(
  VLOOKUP(
    A6,
    IMPORTRANGE(
      ""1ZHMy3vVUd_0MrSduXTe1etBb1HNpAlGwQr006ljwMiM"",
      ""GSC最新!A:F""
    ),
    4,
    FALSE
  ),
  0
)
"),17.0)</f>
        <v>17</v>
      </c>
      <c r="I6" s="49">
        <f>IFERROR(__xludf.DUMMYFUNCTION("IFERROR(
  VLOOKUP(
    A6,
    IMPORTRANGE(
      ""1ZHMy3vVUd_0MrSduXTe1etBb1HNpAlGwQr006ljwMiM"",
      ""GSC最新!A:F""
    ),
    5,
    FALSE
  ),
  0
)
"),47.0)</f>
        <v>47</v>
      </c>
      <c r="J6" s="50">
        <f t="shared" ref="J6:K6" si="21">IFERROR(F6/H6,"-")</f>
        <v>2.058823529</v>
      </c>
      <c r="K6" s="50">
        <f t="shared" si="21"/>
        <v>2.255319149</v>
      </c>
      <c r="L6" s="6">
        <f>IFERROR(__xludf.DUMMYFUNCTION("IFERROR(
  VLOOKUP(
    A6,
    IMPORTRANGE(
      ""1ZHMy3vVUd_0MrSduXTe1etBb1HNpAlGwQr006ljwMiM"",
      ""GSC最新!A:R""
    ),
    7,
    FALSE
  ),
  0
)
"),7429.0)</f>
        <v>7429</v>
      </c>
      <c r="M6" s="6">
        <f>IFERROR(__xludf.DUMMYFUNCTION("IFERROR(
  VLOOKUP(
    A6,
    IMPORTRANGE(
      ""1ZHMy3vVUd_0MrSduXTe1etBb1HNpAlGwQr006ljwMiM"",
      ""GSC最新!A:R""
    ),
    10,
    FALSE
  ),
  0
)
"),18086.0)</f>
        <v>18086</v>
      </c>
      <c r="N6" s="6">
        <f>IFERROR(__xludf.DUMMYFUNCTION("IFERROR(
  VLOOKUP(
    A6,
    IMPORTRANGE(
      ""1ZHMy3vVUd_0MrSduXTe1etBb1HNpAlGwQr006ljwMiM"",
      ""GSC最新!A:R""
    ),
    13,
    FALSE
  ),
  0
)
"),709.0)</f>
        <v>709</v>
      </c>
      <c r="O6" s="6">
        <f>IFERROR(__xludf.DUMMYFUNCTION("IFERROR(
  VLOOKUP(
    A6,
    IMPORTRANGE(
      ""1ZHMy3vVUd_0MrSduXTe1etBb1HNpAlGwQr006ljwMiM"",
      ""GSC最新!A:R""
    ),
    16,
    FALSE
  ),
  0
)
"),2315.0)</f>
        <v>2315</v>
      </c>
      <c r="P6" s="51">
        <f t="shared" ref="P6:Q6" si="22">IFERROR(L6/N6,"-")</f>
        <v>10.47813822</v>
      </c>
      <c r="Q6" s="51">
        <f t="shared" si="22"/>
        <v>7.812526998</v>
      </c>
      <c r="R6" s="9">
        <f>IFERROR(__xludf.DUMMYFUNCTION("IFERROR(
  VLOOKUP(
    A6,
    IMPORTRANGE(
      ""1ZHMy3vVUd_0MrSduXTe1etBb1HNpAlGwQr006ljwMiM"",
      ""GSC最新!A:R""
    ),
    8,
    FALSE
  ),
  0
)
"),0.004711266657692825)</f>
        <v>0.004711266658</v>
      </c>
      <c r="S6" s="9">
        <f>IFERROR(__xludf.DUMMYFUNCTION("IFERROR(
  VLOOKUP(
    A6,
    IMPORTRANGE(
      ""1ZHMy3vVUd_0MrSduXTe1etBb1HNpAlGwQr006ljwMiM"",
      ""GSC最新!A:R""
    ),
    11,
    FALSE
  ),
  0
)
"),0.005860886873825058)</f>
        <v>0.005860886874</v>
      </c>
      <c r="T6" s="9">
        <f>IFERROR(__xludf.DUMMYFUNCTION("IFERROR(
  VLOOKUP(
    A6,
    IMPORTRANGE(
      ""1ZHMy3vVUd_0MrSduXTe1etBb1HNpAlGwQr006ljwMiM"",
      ""GSC最新!A:R""
    ),
    14,
    FALSE
  ),
  0
)
"),0.023977433004231313)</f>
        <v>0.023977433</v>
      </c>
      <c r="U6" s="9">
        <f>IFERROR(__xludf.DUMMYFUNCTION("IFERROR(
  VLOOKUP(
    A6,
    IMPORTRANGE(
      ""1ZHMy3vVUd_0MrSduXTe1etBb1HNpAlGwQr006ljwMiM"",
      ""GSC最新!A:R""
    ),
    17,
    FALSE
  ),
  0
)
"),0.020302375809935207)</f>
        <v>0.02030237581</v>
      </c>
      <c r="V6" s="9">
        <f t="shared" ref="V6:W6" si="23">IFERROR(R6-T6,"-")</f>
        <v>-0.01926616635</v>
      </c>
      <c r="W6" s="9">
        <f t="shared" si="23"/>
        <v>-0.01444148894</v>
      </c>
      <c r="X6" s="65">
        <f>IFERROR(__xludf.DUMMYFUNCTION("IFERROR(
  VLOOKUP(
    A6,
    IMPORTRANGE(
      ""1ZHMy3vVUd_0MrSduXTe1etBb1HNpAlGwQr006ljwMiM"",
      ""GSC最新!A:R""
    ),
    9,
    FALSE
  ),
  0
)
"),3.781935657558218)</f>
        <v>3.781935658</v>
      </c>
      <c r="Y6" s="65">
        <f>IFERROR(__xludf.DUMMYFUNCTION("IFERROR(
  VLOOKUP(
    A6,
    IMPORTRANGE(
      ""1ZHMy3vVUd_0MrSduXTe1etBb1HNpAlGwQr006ljwMiM"",
      ""GSC最新!A:R""
    ),
    12,
    FALSE
  ),
  0
)
"),5.137012053522061)</f>
        <v>5.137012054</v>
      </c>
      <c r="Z6" s="65">
        <f>IFERROR(__xludf.DUMMYFUNCTION("IFERROR(
  VLOOKUP(
    A6,
    IMPORTRANGE(
      ""1ZHMy3vVUd_0MrSduXTe1etBb1HNpAlGwQr006ljwMiM"",
      ""GSC最新!A:R""
    ),
    15,
    FALSE
  ),
  0
)
"),6.0874471086036674)</f>
        <v>6.087447109</v>
      </c>
      <c r="AA6" s="65">
        <f>IFERROR(__xludf.DUMMYFUNCTION("IFERROR(
  VLOOKUP(
    A6,
    IMPORTRANGE(
      ""1ZHMy3vVUd_0MrSduXTe1etBb1HNpAlGwQr006ljwMiM"",
      ""GSC最新!A:R""
    ),
    18,
    FALSE
  ),
  0
)
"),8.639308855291578)</f>
        <v>8.639308855</v>
      </c>
      <c r="AB6" s="65">
        <f t="shared" ref="AB6:AC6" si="24">X6-Z6</f>
        <v>-2.305511451</v>
      </c>
      <c r="AC6" s="65">
        <f t="shared" si="24"/>
        <v>-3.502296802</v>
      </c>
      <c r="AD6" s="53">
        <f>IFERROR(__xludf.DUMMYFUNCTION("IFERROR(
  VLOOKUP(
    A6,
    IMPORTRANGE(
      ""1ZHMy3vVUd_0MrSduXTe1etBb1HNpAlGwQr006ljwMiM"",
      ""GSC最新!A:F""
    ),
    6,
    FALSE
  ),
  0
)
"),46081.0)</f>
        <v>46081</v>
      </c>
      <c r="AE6" s="54">
        <f>IFERROR(__xludf.DUMMYFUNCTION("IFERROR(
  VLOOKUP(
    A6,
    IMPORTRANGE(
      ""1SCYQd7_cobOYqT0r_F0IqD4tE4rYn5y8Eup4PJTH8es"",
      ""Snapshot!A:M""
    ),
    5,
    FALSE
  ),
  ""-""
)
"),2.0)</f>
        <v>2</v>
      </c>
      <c r="AF6" s="54">
        <f>IFERROR(__xludf.DUMMYFUNCTION("IFERROR(
  VLOOKUP(
    A6,
    IMPORTRANGE(
      ""1SCYQd7_cobOYqT0r_F0IqD4tE4rYn5y8Eup4PJTH8es"",
      ""Snapshot!A:M""
    ),
    6,
    FALSE
  ),
  0
)
"),3.0)</f>
        <v>3</v>
      </c>
      <c r="AG6" s="54">
        <f>IFERROR(__xludf.DUMMYFUNCTION("IFERROR(
  VLOOKUP(
    A6,
    IMPORTRANGE(
      ""1SCYQd7_cobOYqT0r_F0IqD4tE4rYn5y8Eup4PJTH8es"",
      ""Snapshot!A:M""
    ),
    7,
    FALSE
  ),
  0
)
"),8611.0)</f>
        <v>8611</v>
      </c>
      <c r="AH6" s="54">
        <f>IFERROR(__xludf.DUMMYFUNCTION("IFERROR(
  VLOOKUP(
    A6,
    IMPORTRANGE(
      ""1SCYQd7_cobOYqT0r_F0IqD4tE4rYn5y8Eup4PJTH8es"",
      ""Snapshot!A:M""
    ),
    8,
    FALSE
  ),
  0
)
"),4.0)</f>
        <v>4</v>
      </c>
      <c r="AI6" s="54">
        <f>IFERROR(__xludf.DUMMYFUNCTION("IFERROR(
  VLOOKUP(
    A6,
    IMPORTRANGE(
      ""1SCYQd7_cobOYqT0r_F0IqD4tE4rYn5y8Eup4PJTH8es"",
      ""Snapshot!A:M""
    ),
    9,
    FALSE
  ),
  0
)
"),3.0)</f>
        <v>3</v>
      </c>
      <c r="AJ6" s="54">
        <f>IFERROR(__xludf.DUMMYFUNCTION("IFERROR(
  VLOOKUP(
    A6,
    IMPORTRANGE(
      ""1SCYQd7_cobOYqT0r_F0IqD4tE4rYn5y8Eup4PJTH8es"",
      ""Snapshot!A:M""
    ),
    13,
    FALSE
  ),
  0
)
"),1.0)</f>
        <v>1</v>
      </c>
      <c r="AK6" s="49">
        <f t="shared" ref="AK6:AL6" si="25">LEN(C6)</f>
        <v>37</v>
      </c>
      <c r="AL6" s="49">
        <f t="shared" si="25"/>
        <v>68</v>
      </c>
    </row>
    <row r="7">
      <c r="A7" s="3" t="s">
        <v>950</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"),"to不定詞 形容詞的用法｜見分け方と訳し方・語順を例文で整理｜中学英語")</f>
        <v>to不定詞 形容詞的用法｜見分け方と訳し方・語順を例文で整理｜中学英語</v>
      </c>
      <c r="D7" s="1" t="str">
        <f>IFERROR(__xludf.DUMMYFUNCTION("IFERROR(
  VLOOKUP(
    A7,
    IMPORTRANGE(
      ""1ZygntHC1J6IxzKbTidmOyf5nUyW4GCLurHCjexrLm_o        "",
      ""HTMLキャッシュ!A:F""
    ),
    6,
    FALSE
  ),
  0
)
"),"to不定詞の形容詞的用法は、名詞を後ろから説明するto。to＋動詞を見たら直前名詞へ矢印で判定。")</f>
        <v>to不定詞の形容詞的用法は、名詞を後ろから説明するto。to＋動詞を見たら直前名詞へ矢印で判定。</v>
      </c>
      <c r="E7" s="32">
        <f>IFERROR(__xludf.DUMMYFUNCTION("IFERROR(
  VLOOKUP(
    A7,
    IMPORTRANGE(
      ""1ZygntHC1J6IxzKbTidmOyf5nUyW4GCLurHCjexrLm_o        "",
      ""HTMLキャッシュ!A:F""
    ),
    3,
    FALSE
  ),
  0
)
"),46080.78996527778)</f>
        <v>46080.78997</v>
      </c>
      <c r="F7" s="49">
        <f>IFERROR(__xludf.DUMMYFUNCTION("IFERROR(
  VLOOKUP(
    A7,
    IMPORTRANGE(
      ""1ZHMy3vVUd_0MrSduXTe1etBb1HNpAlGwQr006ljwMiM"",
      ""GSC最新!A:F""
    ),
    2,
    FALSE
  ),
  0
)
"),45.0)</f>
        <v>45</v>
      </c>
      <c r="G7" s="49">
        <f>IFERROR(__xludf.DUMMYFUNCTION("IFERROR(
  VLOOKUP(
    A7,
    IMPORTRANGE(
      ""1ZHMy3vVUd_0MrSduXTe1etBb1HNpAlGwQr006ljwMiM"",
      ""GSC最新!A:F""
    ),
    3,
    FALSE
  ),
  0
)
"),95.0)</f>
        <v>95</v>
      </c>
      <c r="H7" s="49">
        <f>IFERROR(__xludf.DUMMYFUNCTION("IFERROR(
  VLOOKUP(
    A7,
    IMPORTRANGE(
      ""1ZHMy3vVUd_0MrSduXTe1etBb1HNpAlGwQr006ljwMiM"",
      ""GSC最新!A:F""
    ),
    4,
    FALSE
  ),
  0
)
"),10.0)</f>
        <v>10</v>
      </c>
      <c r="I7" s="49">
        <f>IFERROR(__xludf.DUMMYFUNCTION("IFERROR(
  VLOOKUP(
    A7,
    IMPORTRANGE(
      ""1ZHMy3vVUd_0MrSduXTe1etBb1HNpAlGwQr006ljwMiM"",
      ""GSC最新!A:F""
    ),
    5,
    FALSE
  ),
  0
)
"),47.0)</f>
        <v>47</v>
      </c>
      <c r="J7" s="50">
        <f t="shared" ref="J7:K7" si="26">IFERROR(F7/H7,"-")</f>
        <v>4.5</v>
      </c>
      <c r="K7" s="50">
        <f t="shared" si="26"/>
        <v>2.021276596</v>
      </c>
      <c r="L7" s="6">
        <f>IFERROR(__xludf.DUMMYFUNCTION("IFERROR(
  VLOOKUP(
    A7,
    IMPORTRANGE(
      ""1ZHMy3vVUd_0MrSduXTe1etBb1HNpAlGwQr006ljwMiM"",
      ""GSC最新!A:R""
    ),
    7,
    FALSE
  ),
  0
)
"),11146.0)</f>
        <v>11146</v>
      </c>
      <c r="M7" s="6">
        <f>IFERROR(__xludf.DUMMYFUNCTION("IFERROR(
  VLOOKUP(
    A7,
    IMPORTRANGE(
      ""1ZHMy3vVUd_0MrSduXTe1etBb1HNpAlGwQr006ljwMiM"",
      ""GSC最新!A:R""
    ),
    10,
    FALSE
  ),
  0
)
"),26616.0)</f>
        <v>26616</v>
      </c>
      <c r="N7" s="6">
        <f>IFERROR(__xludf.DUMMYFUNCTION("IFERROR(
  VLOOKUP(
    A7,
    IMPORTRANGE(
      ""1ZHMy3vVUd_0MrSduXTe1etBb1HNpAlGwQr006ljwMiM"",
      ""GSC最新!A:R""
    ),
    13,
    FALSE
  ),
  0
)
"),1510.0)</f>
        <v>1510</v>
      </c>
      <c r="O7" s="6">
        <f>IFERROR(__xludf.DUMMYFUNCTION("IFERROR(
  VLOOKUP(
    A7,
    IMPORTRANGE(
      ""1ZHMy3vVUd_0MrSduXTe1etBb1HNpAlGwQr006ljwMiM"",
      ""GSC最新!A:R""
    ),
    16,
    FALSE
  ),
  0
)
"),4231.0)</f>
        <v>4231</v>
      </c>
      <c r="P7" s="51">
        <f t="shared" ref="P7:Q7" si="27">IFERROR(L7/N7,"-")</f>
        <v>7.381456954</v>
      </c>
      <c r="Q7" s="51">
        <f t="shared" si="27"/>
        <v>6.290711416</v>
      </c>
      <c r="R7" s="9">
        <f>IFERROR(__xludf.DUMMYFUNCTION("IFERROR(
  VLOOKUP(
    A7,
    IMPORTRANGE(
      ""1ZHMy3vVUd_0MrSduXTe1etBb1HNpAlGwQr006ljwMiM"",
      ""GSC最新!A:R""
    ),
    8,
    FALSE
  ),
  0
)
"),0.004037322806387942)</f>
        <v>0.004037322806</v>
      </c>
      <c r="S7" s="9">
        <f>IFERROR(__xludf.DUMMYFUNCTION("IFERROR(
  VLOOKUP(
    A7,
    IMPORTRANGE(
      ""1ZHMy3vVUd_0MrSduXTe1etBb1HNpAlGwQr006ljwMiM"",
      ""GSC最新!A:R""
    ),
    11,
    FALSE
  ),
  0
)
"),0.0035692816351067026)</f>
        <v>0.003569281635</v>
      </c>
      <c r="T7" s="9">
        <f>IFERROR(__xludf.DUMMYFUNCTION("IFERROR(
  VLOOKUP(
    A7,
    IMPORTRANGE(
      ""1ZHMy3vVUd_0MrSduXTe1etBb1HNpAlGwQr006ljwMiM"",
      ""GSC最新!A:R""
    ),
    14,
    FALSE
  ),
  0
)
"),0.006622516556291391)</f>
        <v>0.006622516556</v>
      </c>
      <c r="U7" s="9">
        <f>IFERROR(__xludf.DUMMYFUNCTION("IFERROR(
  VLOOKUP(
    A7,
    IMPORTRANGE(
      ""1ZHMy3vVUd_0MrSduXTe1etBb1HNpAlGwQr006ljwMiM"",
      ""GSC最新!A:R""
    ),
    17,
    FALSE
  ),
  0
)
"),0.011108484991727724)</f>
        <v>0.01110848499</v>
      </c>
      <c r="V7" s="9">
        <f t="shared" ref="V7:W7" si="28">IFERROR(R7-T7,"-")</f>
        <v>-0.00258519375</v>
      </c>
      <c r="W7" s="9">
        <f t="shared" si="28"/>
        <v>-0.007539203357</v>
      </c>
      <c r="X7" s="65">
        <f>IFERROR(__xludf.DUMMYFUNCTION("IFERROR(
  VLOOKUP(
    A7,
    IMPORTRANGE(
      ""1ZHMy3vVUd_0MrSduXTe1etBb1HNpAlGwQr006ljwMiM"",
      ""GSC最新!A:R""
    ),
    9,
    FALSE
  ),
  0
)
"),2.911627489682397)</f>
        <v>2.91162749</v>
      </c>
      <c r="Y7" s="65">
        <f>IFERROR(__xludf.DUMMYFUNCTION("IFERROR(
  VLOOKUP(
    A7,
    IMPORTRANGE(
      ""1ZHMy3vVUd_0MrSduXTe1etBb1HNpAlGwQr006ljwMiM"",
      ""GSC最新!A:R""
    ),
    12,
    FALSE
  ),
  0
)
"),3.3778554253080855)</f>
        <v>3.377855425</v>
      </c>
      <c r="Z7" s="65">
        <f>IFERROR(__xludf.DUMMYFUNCTION("IFERROR(
  VLOOKUP(
    A7,
    IMPORTRANGE(
      ""1ZHMy3vVUd_0MrSduXTe1etBb1HNpAlGwQr006ljwMiM"",
      ""GSC最新!A:R""
    ),
    15,
    FALSE
  ),
  0
)
"),8.995364238410595)</f>
        <v>8.995364238</v>
      </c>
      <c r="AA7" s="65">
        <f>IFERROR(__xludf.DUMMYFUNCTION("IFERROR(
  VLOOKUP(
    A7,
    IMPORTRANGE(
      ""1ZHMy3vVUd_0MrSduXTe1etBb1HNpAlGwQr006ljwMiM"",
      ""GSC最新!A:R""
    ),
    18,
    FALSE
  ),
  0
)
"),10.455447884660837)</f>
        <v>10.45544788</v>
      </c>
      <c r="AB7" s="65">
        <f t="shared" ref="AB7:AC7" si="29">X7-Z7</f>
        <v>-6.083736749</v>
      </c>
      <c r="AC7" s="65">
        <f t="shared" si="29"/>
        <v>-7.077592459</v>
      </c>
      <c r="AD7" s="53">
        <f>IFERROR(__xludf.DUMMYFUNCTION("IFERROR(
  VLOOKUP(
    A7,
    IMPORTRANGE(
      ""1ZHMy3vVUd_0MrSduXTe1etBb1HNpAlGwQr006ljwMiM"",
      ""GSC最新!A:F""
    ),
    6,
    FALSE
  ),
  0
)
"),46081.0)</f>
        <v>46081</v>
      </c>
      <c r="AE7" s="54">
        <f>IFERROR(__xludf.DUMMYFUNCTION("IFERROR(
  VLOOKUP(
    A7,
    IMPORTRANGE(
      ""1SCYQd7_cobOYqT0r_F0IqD4tE4rYn5y8Eup4PJTH8es"",
      ""Snapshot!A:M""
    ),
    5,
    FALSE
  ),
  ""-""
)
"),3.0)</f>
        <v>3</v>
      </c>
      <c r="AF7" s="54">
        <f>IFERROR(__xludf.DUMMYFUNCTION("IFERROR(
  VLOOKUP(
    A7,
    IMPORTRANGE(
      ""1SCYQd7_cobOYqT0r_F0IqD4tE4rYn5y8Eup4PJTH8es"",
      ""Snapshot!A:M""
    ),
    6,
    FALSE
  ),
  0
)
"),3.0)</f>
        <v>3</v>
      </c>
      <c r="AG7" s="54">
        <f>IFERROR(__xludf.DUMMYFUNCTION("IFERROR(
  VLOOKUP(
    A7,
    IMPORTRANGE(
      ""1SCYQd7_cobOYqT0r_F0IqD4tE4rYn5y8Eup4PJTH8es"",
      ""Snapshot!A:M""
    ),
    7,
    FALSE
  ),
  0
)
"),7781.0)</f>
        <v>7781</v>
      </c>
      <c r="AH7" s="54">
        <f>IFERROR(__xludf.DUMMYFUNCTION("IFERROR(
  VLOOKUP(
    A7,
    IMPORTRANGE(
      ""1SCYQd7_cobOYqT0r_F0IqD4tE4rYn5y8Eup4PJTH8es"",
      ""Snapshot!A:M""
    ),
    8,
    FALSE
  ),
  0
)
"),4.0)</f>
        <v>4</v>
      </c>
      <c r="AI7" s="54">
        <f>IFERROR(__xludf.DUMMYFUNCTION("IFERROR(
  VLOOKUP(
    A7,
    IMPORTRANGE(
      ""1SCYQd7_cobOYqT0r_F0IqD4tE4rYn5y8Eup4PJTH8es"",
      ""Snapshot!A:M""
    ),
    9,
    FALSE
  ),
  0
)
"),3.0)</f>
        <v>3</v>
      </c>
      <c r="AJ7" s="54">
        <f>IFERROR(__xludf.DUMMYFUNCTION("IFERROR(
  VLOOKUP(
    A7,
    IMPORTRANGE(
      ""1SCYQd7_cobOYqT0r_F0IqD4tE4rYn5y8Eup4PJTH8es"",
      ""Snapshot!A:M""
    ),
    13,
    FALSE
  ),
  0
)
"),1.0)</f>
        <v>1</v>
      </c>
      <c r="AK7" s="49">
        <f t="shared" ref="AK7:AL7" si="30">LEN(C7)</f>
        <v>35</v>
      </c>
      <c r="AL7" s="49">
        <f t="shared" si="30"/>
        <v>48</v>
      </c>
    </row>
    <row r="8">
      <c r="A8" s="3" t="s">
        <v>951</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"),"Stage3 Lesson2-3｜関係代名詞の使い分けと文構造の整理ポイント")</f>
        <v>Stage3 Lesson2-3｜関係代名詞の使い分けと文構造の整理ポイント</v>
      </c>
      <c r="D8" s="1" t="str">
        <f>IFERROR(__xludf.DUMMYFUNCTION("IFERROR(
  VLOOKUP(
    A8,
    IMPORTRANGE(
      ""1ZygntHC1J6IxzKbTidmOyf5nUyW4GCLurHCjexrLm_o        "",
      ""HTMLキャッシュ!A:F""
    ),
    6,
    FALSE
  ),
  0
)
"),"過去推量は助動詞＋have＋過去分詞。may/must/cannotの差とshould haveの後悔を例文で整理。")</f>
        <v>過去推量は助動詞＋have＋過去分詞。may/must/cannotの差とshould haveの後悔を例文で整理。</v>
      </c>
      <c r="E8" s="32">
        <f>IFERROR(__xludf.DUMMYFUNCTION("IFERROR(
  VLOOKUP(
    A8,
    IMPORTRANGE(
      ""1ZygntHC1J6IxzKbTidmOyf5nUyW4GCLurHCjexrLm_o        "",
      ""HTMLキャッシュ!A:F""
    ),
    3,
    FALSE
  ),
  0
)
"),46080.81832175926)</f>
        <v>46080.81832</v>
      </c>
      <c r="F8" s="49">
        <f>IFERROR(__xludf.DUMMYFUNCTION("IFERROR(
  VLOOKUP(
    A8,
    IMPORTRANGE(
      ""1ZHMy3vVUd_0MrSduXTe1etBb1HNpAlGwQr006ljwMiM"",
      ""GSC最新!A:F""
    ),
    2,
    FALSE
  ),
  0
)
"),34.0)</f>
        <v>34</v>
      </c>
      <c r="G8" s="49">
        <f>IFERROR(__xludf.DUMMYFUNCTION("IFERROR(
  VLOOKUP(
    A8,
    IMPORTRANGE(
      ""1ZHMy3vVUd_0MrSduXTe1etBb1HNpAlGwQr006ljwMiM"",
      ""GSC最新!A:F""
    ),
    3,
    FALSE
  ),
  0
)
"),74.0)</f>
        <v>74</v>
      </c>
      <c r="H8" s="49">
        <f>IFERROR(__xludf.DUMMYFUNCTION("IFERROR(
  VLOOKUP(
    A8,
    IMPORTRANGE(
      ""1ZHMy3vVUd_0MrSduXTe1etBb1HNpAlGwQr006ljwMiM"",
      ""GSC最新!A:F""
    ),
    4,
    FALSE
  ),
  0
)
"),22.0)</f>
        <v>22</v>
      </c>
      <c r="I8" s="49">
        <f>IFERROR(__xludf.DUMMYFUNCTION("IFERROR(
  VLOOKUP(
    A8,
    IMPORTRANGE(
      ""1ZHMy3vVUd_0MrSduXTe1etBb1HNpAlGwQr006ljwMiM"",
      ""GSC最新!A:F""
    ),
    5,
    FALSE
  ),
  0
)
"),54.0)</f>
        <v>54</v>
      </c>
      <c r="J8" s="50">
        <f t="shared" ref="J8:K8" si="31">IFERROR(F8/H8,"-")</f>
        <v>1.545454545</v>
      </c>
      <c r="K8" s="50">
        <f t="shared" si="31"/>
        <v>1.37037037</v>
      </c>
      <c r="L8" s="6">
        <f>IFERROR(__xludf.DUMMYFUNCTION("IFERROR(
  VLOOKUP(
    A8,
    IMPORTRANGE(
      ""1ZHMy3vVUd_0MrSduXTe1etBb1HNpAlGwQr006ljwMiM"",
      ""GSC最新!A:R""
    ),
    7,
    FALSE
  ),
  0
)
"),5460.0)</f>
        <v>5460</v>
      </c>
      <c r="M8" s="6">
        <f>IFERROR(__xludf.DUMMYFUNCTION("IFERROR(
  VLOOKUP(
    A8,
    IMPORTRANGE(
      ""1ZHMy3vVUd_0MrSduXTe1etBb1HNpAlGwQr006ljwMiM"",
      ""GSC最新!A:R""
    ),
    10,
    FALSE
  ),
  0
)
"),12205.0)</f>
        <v>12205</v>
      </c>
      <c r="N8" s="6">
        <f>IFERROR(__xludf.DUMMYFUNCTION("IFERROR(
  VLOOKUP(
    A8,
    IMPORTRANGE(
      ""1ZHMy3vVUd_0MrSduXTe1etBb1HNpAlGwQr006ljwMiM"",
      ""GSC最新!A:R""
    ),
    13,
    FALSE
  ),
  0
)
"),657.0)</f>
        <v>657</v>
      </c>
      <c r="O8" s="6">
        <f>IFERROR(__xludf.DUMMYFUNCTION("IFERROR(
  VLOOKUP(
    A8,
    IMPORTRANGE(
      ""1ZHMy3vVUd_0MrSduXTe1etBb1HNpAlGwQr006ljwMiM"",
      ""GSC最新!A:R""
    ),
    16,
    FALSE
  ),
  0
)
"),1776.0)</f>
        <v>1776</v>
      </c>
      <c r="P8" s="51">
        <f t="shared" ref="P8:Q8" si="32">IFERROR(L8/N8,"-")</f>
        <v>8.310502283</v>
      </c>
      <c r="Q8" s="51">
        <f t="shared" si="32"/>
        <v>6.872184685</v>
      </c>
      <c r="R8" s="9">
        <f>IFERROR(__xludf.DUMMYFUNCTION("IFERROR(
  VLOOKUP(
    A8,
    IMPORTRANGE(
      ""1ZHMy3vVUd_0MrSduXTe1etBb1HNpAlGwQr006ljwMiM"",
      ""GSC最新!A:R""
    ),
    8,
    FALSE
  ),
  0
)
"),0.0062271062271062275)</f>
        <v>0.006227106227</v>
      </c>
      <c r="S8" s="9">
        <f>IFERROR(__xludf.DUMMYFUNCTION("IFERROR(
  VLOOKUP(
    A8,
    IMPORTRANGE(
      ""1ZHMy3vVUd_0MrSduXTe1etBb1HNpAlGwQr006ljwMiM"",
      ""GSC最新!A:R""
    ),
    11,
    FALSE
  ),
  0
)
"),0.006063088897992626)</f>
        <v>0.006063088898</v>
      </c>
      <c r="T8" s="9">
        <f>IFERROR(__xludf.DUMMYFUNCTION("IFERROR(
  VLOOKUP(
    A8,
    IMPORTRANGE(
      ""1ZHMy3vVUd_0MrSduXTe1etBb1HNpAlGwQr006ljwMiM"",
      ""GSC最新!A:R""
    ),
    14,
    FALSE
  ),
  0
)
"),0.0334855403348554)</f>
        <v>0.03348554033</v>
      </c>
      <c r="U8" s="9">
        <f>IFERROR(__xludf.DUMMYFUNCTION("IFERROR(
  VLOOKUP(
    A8,
    IMPORTRANGE(
      ""1ZHMy3vVUd_0MrSduXTe1etBb1HNpAlGwQr006ljwMiM"",
      ""GSC最新!A:R""
    ),
    17,
    FALSE
  ),
  0
)
"),0.030405405405405407)</f>
        <v>0.03040540541</v>
      </c>
      <c r="V8" s="9">
        <f t="shared" ref="V8:W8" si="33">IFERROR(R8-T8,"-")</f>
        <v>-0.02725843411</v>
      </c>
      <c r="W8" s="9">
        <f t="shared" si="33"/>
        <v>-0.02434231651</v>
      </c>
      <c r="X8" s="65">
        <f>IFERROR(__xludf.DUMMYFUNCTION("IFERROR(
  VLOOKUP(
    A8,
    IMPORTRANGE(
      ""1ZHMy3vVUd_0MrSduXTe1etBb1HNpAlGwQr006ljwMiM"",
      ""GSC最新!A:R""
    ),
    9,
    FALSE
  ),
  0
)
"),3.041025641025641)</f>
        <v>3.041025641</v>
      </c>
      <c r="Y8" s="65">
        <f>IFERROR(__xludf.DUMMYFUNCTION("IFERROR(
  VLOOKUP(
    A8,
    IMPORTRANGE(
      ""1ZHMy3vVUd_0MrSduXTe1etBb1HNpAlGwQr006ljwMiM"",
      ""GSC最新!A:R""
    ),
    12,
    FALSE
  ),
  0
)
"),3.5407619827939367)</f>
        <v>3.540761983</v>
      </c>
      <c r="Z8" s="65">
        <f>IFERROR(__xludf.DUMMYFUNCTION("IFERROR(
  VLOOKUP(
    A8,
    IMPORTRANGE(
      ""1ZHMy3vVUd_0MrSduXTe1etBb1HNpAlGwQr006ljwMiM"",
      ""GSC最新!A:R""
    ),
    15,
    FALSE
  ),
  0
)
"),7.84779299847793)</f>
        <v>7.847792998</v>
      </c>
      <c r="AA8" s="65">
        <f>IFERROR(__xludf.DUMMYFUNCTION("IFERROR(
  VLOOKUP(
    A8,
    IMPORTRANGE(
      ""1ZHMy3vVUd_0MrSduXTe1etBb1HNpAlGwQr006ljwMiM"",
      ""GSC最新!A:R""
    ),
    18,
    FALSE
  ),
  0
)
"),12.632882882882884)</f>
        <v>12.63288288</v>
      </c>
      <c r="AB8" s="65">
        <f t="shared" ref="AB8:AC8" si="34">X8-Z8</f>
        <v>-4.806767357</v>
      </c>
      <c r="AC8" s="65">
        <f t="shared" si="34"/>
        <v>-9.0921209</v>
      </c>
      <c r="AD8" s="53">
        <f>IFERROR(__xludf.DUMMYFUNCTION("IFERROR(
  VLOOKUP(
    A8,
    IMPORTRANGE(
      ""1ZHMy3vVUd_0MrSduXTe1etBb1HNpAlGwQr006ljwMiM"",
      ""GSC最新!A:F""
    ),
    6,
    FALSE
  ),
  0
)
"),46081.0)</f>
        <v>46081</v>
      </c>
      <c r="AE8" s="54">
        <f>IFERROR(__xludf.DUMMYFUNCTION("IFERROR(
  VLOOKUP(
    A8,
    IMPORTRANGE(
      ""1SCYQd7_cobOYqT0r_F0IqD4tE4rYn5y8Eup4PJTH8es"",
      ""Snapshot!A:M""
    ),
    5,
    FALSE
  ),
  ""-""
)
"),2.0)</f>
        <v>2</v>
      </c>
      <c r="AF8" s="54">
        <f>IFERROR(__xludf.DUMMYFUNCTION("IFERROR(
  VLOOKUP(
    A8,
    IMPORTRANGE(
      ""1SCYQd7_cobOYqT0r_F0IqD4tE4rYn5y8Eup4PJTH8es"",
      ""Snapshot!A:M""
    ),
    6,
    FALSE
  ),
  0
)
"),2.0)</f>
        <v>2</v>
      </c>
      <c r="AG8" s="54">
        <f>IFERROR(__xludf.DUMMYFUNCTION("IFERROR(
  VLOOKUP(
    A8,
    IMPORTRANGE(
      ""1SCYQd7_cobOYqT0r_F0IqD4tE4rYn5y8Eup4PJTH8es"",
      ""Snapshot!A:M""
    ),
    7,
    FALSE
  ),
  0
)
"),4286.0)</f>
        <v>4286</v>
      </c>
      <c r="AH8" s="54">
        <f>IFERROR(__xludf.DUMMYFUNCTION("IFERROR(
  VLOOKUP(
    A8,
    IMPORTRANGE(
      ""1SCYQd7_cobOYqT0r_F0IqD4tE4rYn5y8Eup4PJTH8es"",
      ""Snapshot!A:M""
    ),
    8,
    FALSE
  ),
  0
)
"),2.0)</f>
        <v>2</v>
      </c>
      <c r="AI8" s="54">
        <f>IFERROR(__xludf.DUMMYFUNCTION("IFERROR(
  VLOOKUP(
    A8,
    IMPORTRANGE(
      ""1SCYQd7_cobOYqT0r_F0IqD4tE4rYn5y8Eup4PJTH8es"",
      ""Snapshot!A:M""
    ),
    9,
    FALSE
  ),
  0
)
"),1.0)</f>
        <v>1</v>
      </c>
      <c r="AJ8" s="54">
        <f>IFERROR(__xludf.DUMMYFUNCTION("IFERROR(
  VLOOKUP(
    A8,
    IMPORTRANGE(
      ""1SCYQd7_cobOYqT0r_F0IqD4tE4rYn5y8Eup4PJTH8es"",
      ""Snapshot!A:M""
    ),
    13,
    FALSE
  ),
  0
)
"),1.0)</f>
        <v>1</v>
      </c>
      <c r="AK8" s="49">
        <f t="shared" ref="AK8:AL8" si="35">LEN(C8)</f>
        <v>38</v>
      </c>
      <c r="AL8" s="49">
        <f t="shared" si="35"/>
        <v>58</v>
      </c>
    </row>
    <row r="9">
      <c r="A9" s="3" t="s">
        <v>952</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"),"be動詞の過去形was/were｜am/is/areの変化・否定疑問・短い答え・didとの違い｜中1英語")</f>
        <v>be動詞の過去形was/were｜am/is/areの変化・否定疑問・短い答え・didとの違い｜中1英語</v>
      </c>
      <c r="D9" s="1" t="str">
        <f>IFERROR(__xludf.DUMMYFUNCTION("IFERROR(
  VLOOKUP(
    A9,
    IMPORTRANGE(
      ""1ZygntHC1J6IxzKbTidmOyf5nUyW4GCLurHCjexrLm_o        "",
      ""HTMLキャッシュ!A:F""
    ),
    6,
    FALSE
  ),
  0
)
"),"am/isはwas、areはwere。否定wasn’t/were not、疑問Was…、短い答えYes, he wasまで例文で確認。一般動詞didと混同しない見分け方も中1向けに整理。")</f>
        <v>am/isはwas、areはwere。否定wasn’t/were not、疑問Was…、短い答えYes, he wasまで例文で確認。一般動詞didと混同しない見分け方も中1向けに整理。</v>
      </c>
      <c r="E9" s="32">
        <f>IFERROR(__xludf.DUMMYFUNCTION("IFERROR(
  VLOOKUP(
    A9,
    IMPORTRANGE(
      ""1ZygntHC1J6IxzKbTidmOyf5nUyW4GCLurHCjexrLm_o        "",
      ""HTMLキャッシュ!A:F""
    ),
    3,
    FALSE
  ),
  0
)
"),46043.595555555556)</f>
        <v>46043.59556</v>
      </c>
      <c r="F9" s="49">
        <f>IFERROR(__xludf.DUMMYFUNCTION("IFERROR(
  VLOOKUP(
    A9,
    IMPORTRANGE(
      ""1ZHMy3vVUd_0MrSduXTe1etBb1HNpAlGwQr006ljwMiM"",
      ""GSC最新!A:F""
    ),
    2,
    FALSE
  ),
  0
)
"),48.0)</f>
        <v>48</v>
      </c>
      <c r="G9" s="49">
        <f>IFERROR(__xludf.DUMMYFUNCTION("IFERROR(
  VLOOKUP(
    A9,
    IMPORTRANGE(
      ""1ZHMy3vVUd_0MrSduXTe1etBb1HNpAlGwQr006ljwMiM"",
      ""GSC最新!A:F""
    ),
    3,
    FALSE
  ),
  0
)
"),73.0)</f>
        <v>73</v>
      </c>
      <c r="H9" s="49">
        <f>IFERROR(__xludf.DUMMYFUNCTION("IFERROR(
  VLOOKUP(
    A9,
    IMPORTRANGE(
      ""1ZHMy3vVUd_0MrSduXTe1etBb1HNpAlGwQr006ljwMiM"",
      ""GSC最新!A:F""
    ),
    4,
    FALSE
  ),
  0
)
"),7.0)</f>
        <v>7</v>
      </c>
      <c r="I9" s="49">
        <f>IFERROR(__xludf.DUMMYFUNCTION("IFERROR(
  VLOOKUP(
    A9,
    IMPORTRANGE(
      ""1ZHMy3vVUd_0MrSduXTe1etBb1HNpAlGwQr006ljwMiM"",
      ""GSC最新!A:F""
    ),
    5,
    FALSE
  ),
  0
)
"),17.0)</f>
        <v>17</v>
      </c>
      <c r="J9" s="50">
        <f t="shared" ref="J9:K9" si="36">IFERROR(F9/H9,"-")</f>
        <v>6.857142857</v>
      </c>
      <c r="K9" s="50">
        <f t="shared" si="36"/>
        <v>4.294117647</v>
      </c>
      <c r="L9" s="6">
        <f>IFERROR(__xludf.DUMMYFUNCTION("IFERROR(
  VLOOKUP(
    A9,
    IMPORTRANGE(
      ""1ZHMy3vVUd_0MrSduXTe1etBb1HNpAlGwQr006ljwMiM"",
      ""GSC最新!A:R""
    ),
    7,
    FALSE
  ),
  0
)
"),29400.0)</f>
        <v>29400</v>
      </c>
      <c r="M9" s="6">
        <f>IFERROR(__xludf.DUMMYFUNCTION("IFERROR(
  VLOOKUP(
    A9,
    IMPORTRANGE(
      ""1ZHMy3vVUd_0MrSduXTe1etBb1HNpAlGwQr006ljwMiM"",
      ""GSC最新!A:R""
    ),
    10,
    FALSE
  ),
  0
)
"),57322.0)</f>
        <v>57322</v>
      </c>
      <c r="N9" s="6">
        <f>IFERROR(__xludf.DUMMYFUNCTION("IFERROR(
  VLOOKUP(
    A9,
    IMPORTRANGE(
      ""1ZHMy3vVUd_0MrSduXTe1etBb1HNpAlGwQr006ljwMiM"",
      ""GSC最新!A:R""
    ),
    13,
    FALSE
  ),
  0
)
"),1010.0)</f>
        <v>1010</v>
      </c>
      <c r="O9" s="6">
        <f>IFERROR(__xludf.DUMMYFUNCTION("IFERROR(
  VLOOKUP(
    A9,
    IMPORTRANGE(
      ""1ZHMy3vVUd_0MrSduXTe1etBb1HNpAlGwQr006ljwMiM"",
      ""GSC最新!A:R""
    ),
    16,
    FALSE
  ),
  0
)
"),3198.0)</f>
        <v>3198</v>
      </c>
      <c r="P9" s="51">
        <f t="shared" ref="P9:Q9" si="37">IFERROR(L9/N9,"-")</f>
        <v>29.10891089</v>
      </c>
      <c r="Q9" s="51">
        <f t="shared" si="37"/>
        <v>17.9243277</v>
      </c>
      <c r="R9" s="9">
        <f>IFERROR(__xludf.DUMMYFUNCTION("IFERROR(
  VLOOKUP(
    A9,
    IMPORTRANGE(
      ""1ZHMy3vVUd_0MrSduXTe1etBb1HNpAlGwQr006ljwMiM"",
      ""GSC最新!A:R""
    ),
    8,
    FALSE
  ),
  0
)
"),0.0016326530612244899)</f>
        <v>0.001632653061</v>
      </c>
      <c r="S9" s="9">
        <f>IFERROR(__xludf.DUMMYFUNCTION("IFERROR(
  VLOOKUP(
    A9,
    IMPORTRANGE(
      ""1ZHMy3vVUd_0MrSduXTe1etBb1HNpAlGwQr006ljwMiM"",
      ""GSC最新!A:R""
    ),
    11,
    FALSE
  ),
  0
)
"),0.001273507553818778)</f>
        <v>0.001273507554</v>
      </c>
      <c r="T9" s="9">
        <f>IFERROR(__xludf.DUMMYFUNCTION("IFERROR(
  VLOOKUP(
    A9,
    IMPORTRANGE(
      ""1ZHMy3vVUd_0MrSduXTe1etBb1HNpAlGwQr006ljwMiM"",
      ""GSC最新!A:R""
    ),
    14,
    FALSE
  ),
  0
)
"),0.006930693069306931)</f>
        <v>0.006930693069</v>
      </c>
      <c r="U9" s="9">
        <f>IFERROR(__xludf.DUMMYFUNCTION("IFERROR(
  VLOOKUP(
    A9,
    IMPORTRANGE(
      ""1ZHMy3vVUd_0MrSduXTe1etBb1HNpAlGwQr006ljwMiM"",
      ""GSC最新!A:R""
    ),
    17,
    FALSE
  ),
  0
)
"),0.005315822388993121)</f>
        <v>0.005315822389</v>
      </c>
      <c r="V9" s="9">
        <f t="shared" ref="V9:W9" si="38">IFERROR(R9-T9,"-")</f>
        <v>-0.005298040008</v>
      </c>
      <c r="W9" s="9">
        <f t="shared" si="38"/>
        <v>-0.004042314835</v>
      </c>
      <c r="X9" s="65">
        <f>IFERROR(__xludf.DUMMYFUNCTION("IFERROR(
  VLOOKUP(
    A9,
    IMPORTRANGE(
      ""1ZHMy3vVUd_0MrSduXTe1etBb1HNpAlGwQr006ljwMiM"",
      ""GSC最新!A:R""
    ),
    9,
    FALSE
  ),
  0
)
"),3.8739795918367346)</f>
        <v>3.873979592</v>
      </c>
      <c r="Y9" s="65">
        <f>IFERROR(__xludf.DUMMYFUNCTION("IFERROR(
  VLOOKUP(
    A9,
    IMPORTRANGE(
      ""1ZHMy3vVUd_0MrSduXTe1etBb1HNpAlGwQr006ljwMiM"",
      ""GSC最新!A:R""
    ),
    12,
    FALSE
  ),
  0
)
"),4.312044241303513)</f>
        <v>4.312044241</v>
      </c>
      <c r="Z9" s="65">
        <f>IFERROR(__xludf.DUMMYFUNCTION("IFERROR(
  VLOOKUP(
    A9,
    IMPORTRANGE(
      ""1ZHMy3vVUd_0MrSduXTe1etBb1HNpAlGwQr006ljwMiM"",
      ""GSC最新!A:R""
    ),
    15,
    FALSE
  ),
  0
)
"),11.364356435643565)</f>
        <v>11.36435644</v>
      </c>
      <c r="AA9" s="65">
        <f>IFERROR(__xludf.DUMMYFUNCTION("IFERROR(
  VLOOKUP(
    A9,
    IMPORTRANGE(
      ""1ZHMy3vVUd_0MrSduXTe1etBb1HNpAlGwQr006ljwMiM"",
      ""GSC最新!A:R""
    ),
    18,
    FALSE
  ),
  0
)
"),14.705128205128204)</f>
        <v>14.70512821</v>
      </c>
      <c r="AB9" s="65">
        <f t="shared" ref="AB9:AC9" si="39">X9-Z9</f>
        <v>-7.490376844</v>
      </c>
      <c r="AC9" s="65">
        <f t="shared" si="39"/>
        <v>-10.39308396</v>
      </c>
      <c r="AD9" s="53">
        <f>IFERROR(__xludf.DUMMYFUNCTION("IFERROR(
  VLOOKUP(
    A9,
    IMPORTRANGE(
      ""1ZHMy3vVUd_0MrSduXTe1etBb1HNpAlGwQr006ljwMiM"",
      ""GSC最新!A:F""
    ),
    6,
    FALSE
  ),
  0
)
"),46081.0)</f>
        <v>46081</v>
      </c>
      <c r="AE9" s="54">
        <f>IFERROR(__xludf.DUMMYFUNCTION("IFERROR(
  VLOOKUP(
    A9,
    IMPORTRANGE(
      ""1SCYQd7_cobOYqT0r_F0IqD4tE4rYn5y8Eup4PJTH8es"",
      ""Snapshot!A:M""
    ),
    5,
    FALSE
  ),
  ""-""
)
"),0.0)</f>
        <v>0</v>
      </c>
      <c r="AF9" s="54">
        <f>IFERROR(__xludf.DUMMYFUNCTION("IFERROR(
  VLOOKUP(
    A9,
    IMPORTRANGE(
      ""1SCYQd7_cobOYqT0r_F0IqD4tE4rYn5y8Eup4PJTH8es"",
      ""Snapshot!A:M""
    ),
    6,
    FALSE
  ),
  0
)
"),0.0)</f>
        <v>0</v>
      </c>
      <c r="AG9" s="54">
        <f>IFERROR(__xludf.DUMMYFUNCTION("IFERROR(
  VLOOKUP(
    A9,
    IMPORTRANGE(
      ""1SCYQd7_cobOYqT0r_F0IqD4tE4rYn5y8Eup4PJTH8es"",
      ""Snapshot!A:M""
    ),
    7,
    FALSE
  ),
  0
)
"),4718.0)</f>
        <v>4718</v>
      </c>
      <c r="AH9" s="54">
        <f>IFERROR(__xludf.DUMMYFUNCTION("IFERROR(
  VLOOKUP(
    A9,
    IMPORTRANGE(
      ""1SCYQd7_cobOYqT0r_F0IqD4tE4rYn5y8Eup4PJTH8es"",
      ""Snapshot!A:M""
    ),
    8,
    FALSE
  ),
  0
)
"),2.0)</f>
        <v>2</v>
      </c>
      <c r="AI9" s="54">
        <f>IFERROR(__xludf.DUMMYFUNCTION("IFERROR(
  VLOOKUP(
    A9,
    IMPORTRANGE(
      ""1SCYQd7_cobOYqT0r_F0IqD4tE4rYn5y8Eup4PJTH8es"",
      ""Snapshot!A:M""
    ),
    9,
    FALSE
  ),
  0
)
"),1.0)</f>
        <v>1</v>
      </c>
      <c r="AJ9" s="54">
        <f>IFERROR(__xludf.DUMMYFUNCTION("IFERROR(
  VLOOKUP(
    A9,
    IMPORTRANGE(
      ""1SCYQd7_cobOYqT0r_F0IqD4tE4rYn5y8Eup4PJTH8es"",
      ""Snapshot!A:M""
    ),
    13,
    FALSE
  ),
  0
)
"),1.0)</f>
        <v>1</v>
      </c>
      <c r="AK9" s="49">
        <f t="shared" ref="AK9:AL9" si="40">LEN(C9)</f>
        <v>52</v>
      </c>
      <c r="AL9" s="49">
        <f t="shared" si="40"/>
        <v>93</v>
      </c>
    </row>
    <row r="10">
      <c r="A10" s="3" t="s">
        <v>953</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"),"be going to の後は動詞の原形｜助動詞？品詞分解（be＋going＋to）と名詞との違い")</f>
        <v>be going to の後は動詞の原形｜助動詞？品詞分解（be＋going＋to）と名詞との違い</v>
      </c>
      <c r="D10" s="1" t="str">
        <f>IFERROR(__xludf.DUMMYFUNCTION("IFERROR(
  VLOOKUP(
    A10,
    IMPORTRANGE(
      ""1ZygntHC1J6IxzKbTidmOyf5nUyW4GCLurHCjexrLm_o        "",
      ""HTMLキャッシュ!A:F""
    ),
    6,
    FALSE
  ),
  0
)
"),"be going to の後が「動詞の原形」になる理由を、品詞の見分け方から整理。be＋going＋to のどこが動詞か／助動詞的に働く塊はどこか、名詞が来る形との違い、否定文・疑問文（Are you going to／What is … going to）まで例文と一緒に確認できます。")</f>
        <v>be going to の後が「動詞の原形」になる理由を、品詞の見分け方から整理。be＋going＋to のどこが動詞か／助動詞的に働く塊はどこか、名詞が来る形との違い、否定文・疑問文（Are you going to／What is … going to）まで例文と一緒に確認できます。</v>
      </c>
      <c r="E10" s="32">
        <f>IFERROR(__xludf.DUMMYFUNCTION("IFERROR(
  VLOOKUP(
    A10,
    IMPORTRANGE(
      ""1ZygntHC1J6IxzKbTidmOyf5nUyW4GCLurHCjexrLm_o        "",
      ""HTMLキャッシュ!A:F""
    ),
    3,
    FALSE
  ),
  0
)
"),46043.587847222225)</f>
        <v>46043.58785</v>
      </c>
      <c r="F10" s="49">
        <f>IFERROR(__xludf.DUMMYFUNCTION("IFERROR(
  VLOOKUP(
    A10,
    IMPORTRANGE(
      ""1ZHMy3vVUd_0MrSduXTe1etBb1HNpAlGwQr006ljwMiM"",
      ""GSC最新!A:F""
    ),
    2,
    FALSE
  ),
  0
)
"),25.0)</f>
        <v>25</v>
      </c>
      <c r="G10" s="49">
        <f>IFERROR(__xludf.DUMMYFUNCTION("IFERROR(
  VLOOKUP(
    A10,
    IMPORTRANGE(
      ""1ZHMy3vVUd_0MrSduXTe1etBb1HNpAlGwQr006ljwMiM"",
      ""GSC最新!A:F""
    ),
    3,
    FALSE
  ),
  0
)
"),58.0)</f>
        <v>58</v>
      </c>
      <c r="H10" s="49">
        <f>IFERROR(__xludf.DUMMYFUNCTION("IFERROR(
  VLOOKUP(
    A10,
    IMPORTRANGE(
      ""1ZHMy3vVUd_0MrSduXTe1etBb1HNpAlGwQr006ljwMiM"",
      ""GSC最新!A:F""
    ),
    4,
    FALSE
  ),
  0
)
"),4.0)</f>
        <v>4</v>
      </c>
      <c r="I10" s="49">
        <f>IFERROR(__xludf.DUMMYFUNCTION("IFERROR(
  VLOOKUP(
    A10,
    IMPORTRANGE(
      ""1ZHMy3vVUd_0MrSduXTe1etBb1HNpAlGwQr006ljwMiM"",
      ""GSC最新!A:F""
    ),
    5,
    FALSE
  ),
  0
)
"),17.0)</f>
        <v>17</v>
      </c>
      <c r="J10" s="50">
        <f t="shared" ref="J10:K10" si="41">IFERROR(F10/H10,"-")</f>
        <v>6.25</v>
      </c>
      <c r="K10" s="50">
        <f t="shared" si="41"/>
        <v>3.411764706</v>
      </c>
      <c r="L10" s="6">
        <f>IFERROR(__xludf.DUMMYFUNCTION("IFERROR(
  VLOOKUP(
    A10,
    IMPORTRANGE(
      ""1ZHMy3vVUd_0MrSduXTe1etBb1HNpAlGwQr006ljwMiM"",
      ""GSC最新!A:R""
    ),
    7,
    FALSE
  ),
  0
)
"),2435.0)</f>
        <v>2435</v>
      </c>
      <c r="M10" s="6">
        <f>IFERROR(__xludf.DUMMYFUNCTION("IFERROR(
  VLOOKUP(
    A10,
    IMPORTRANGE(
      ""1ZHMy3vVUd_0MrSduXTe1etBb1HNpAlGwQr006ljwMiM"",
      ""GSC最新!A:R""
    ),
    10,
    FALSE
  ),
  0
)
"),6747.0)</f>
        <v>6747</v>
      </c>
      <c r="N10" s="6">
        <f>IFERROR(__xludf.DUMMYFUNCTION("IFERROR(
  VLOOKUP(
    A10,
    IMPORTRANGE(
      ""1ZHMy3vVUd_0MrSduXTe1etBb1HNpAlGwQr006ljwMiM"",
      ""GSC最新!A:R""
    ),
    13,
    FALSE
  ),
  0
)
"),1014.0)</f>
        <v>1014</v>
      </c>
      <c r="O10" s="6">
        <f>IFERROR(__xludf.DUMMYFUNCTION("IFERROR(
  VLOOKUP(
    A10,
    IMPORTRANGE(
      ""1ZHMy3vVUd_0MrSduXTe1etBb1HNpAlGwQr006ljwMiM"",
      ""GSC最新!A:R""
    ),
    16,
    FALSE
  ),
  0
)
"),2776.0)</f>
        <v>2776</v>
      </c>
      <c r="P10" s="51">
        <f t="shared" ref="P10:Q10" si="42">IFERROR(L10/N10,"-")</f>
        <v>2.401380671</v>
      </c>
      <c r="Q10" s="51">
        <f t="shared" si="42"/>
        <v>2.430475504</v>
      </c>
      <c r="R10" s="9">
        <f>IFERROR(__xludf.DUMMYFUNCTION("IFERROR(
  VLOOKUP(
    A10,
    IMPORTRANGE(
      ""1ZHMy3vVUd_0MrSduXTe1etBb1HNpAlGwQr006ljwMiM"",
      ""GSC最新!A:R""
    ),
    8,
    FALSE
  ),
  0
)
"),0.01026694045174538)</f>
        <v>0.01026694045</v>
      </c>
      <c r="S10" s="9">
        <f>IFERROR(__xludf.DUMMYFUNCTION("IFERROR(
  VLOOKUP(
    A10,
    IMPORTRANGE(
      ""1ZHMy3vVUd_0MrSduXTe1etBb1HNpAlGwQr006ljwMiM"",
      ""GSC最新!A:R""
    ),
    11,
    FALSE
  ),
  0
)
"),0.008596413220690678)</f>
        <v>0.008596413221</v>
      </c>
      <c r="T10" s="9">
        <f>IFERROR(__xludf.DUMMYFUNCTION("IFERROR(
  VLOOKUP(
    A10,
    IMPORTRANGE(
      ""1ZHMy3vVUd_0MrSduXTe1etBb1HNpAlGwQr006ljwMiM"",
      ""GSC最新!A:R""
    ),
    14,
    FALSE
  ),
  0
)
"),0.0039447731755424065)</f>
        <v>0.003944773176</v>
      </c>
      <c r="U10" s="9">
        <f>IFERROR(__xludf.DUMMYFUNCTION("IFERROR(
  VLOOKUP(
    A10,
    IMPORTRANGE(
      ""1ZHMy3vVUd_0MrSduXTe1etBb1HNpAlGwQr006ljwMiM"",
      ""GSC最新!A:R""
    ),
    17,
    FALSE
  ),
  0
)
"),0.006123919308357349)</f>
        <v>0.006123919308</v>
      </c>
      <c r="V10" s="9">
        <f t="shared" ref="V10:W10" si="43">IFERROR(R10-T10,"-")</f>
        <v>0.006322167276</v>
      </c>
      <c r="W10" s="9">
        <f t="shared" si="43"/>
        <v>0.002472493912</v>
      </c>
      <c r="X10" s="65">
        <f>IFERROR(__xludf.DUMMYFUNCTION("IFERROR(
  VLOOKUP(
    A10,
    IMPORTRANGE(
      ""1ZHMy3vVUd_0MrSduXTe1etBb1HNpAlGwQr006ljwMiM"",
      ""GSC最新!A:R""
    ),
    9,
    FALSE
  ),
  0
)
"),4.345790554414784)</f>
        <v>4.345790554</v>
      </c>
      <c r="Y10" s="65">
        <f>IFERROR(__xludf.DUMMYFUNCTION("IFERROR(
  VLOOKUP(
    A10,
    IMPORTRANGE(
      ""1ZHMy3vVUd_0MrSduXTe1etBb1HNpAlGwQr006ljwMiM"",
      ""GSC最新!A:R""
    ),
    12,
    FALSE
  ),
  0
)
"),4.495331258337039)</f>
        <v>4.495331258</v>
      </c>
      <c r="Z10" s="65">
        <f>IFERROR(__xludf.DUMMYFUNCTION("IFERROR(
  VLOOKUP(
    A10,
    IMPORTRANGE(
      ""1ZHMy3vVUd_0MrSduXTe1etBb1HNpAlGwQr006ljwMiM"",
      ""GSC最新!A:R""
    ),
    15,
    FALSE
  ),
  0
)
"),8.168639053254438)</f>
        <v>8.168639053</v>
      </c>
      <c r="AA10" s="65">
        <f>IFERROR(__xludf.DUMMYFUNCTION("IFERROR(
  VLOOKUP(
    A10,
    IMPORTRANGE(
      ""1ZHMy3vVUd_0MrSduXTe1etBb1HNpAlGwQr006ljwMiM"",
      ""GSC最新!A:R""
    ),
    18,
    FALSE
  ),
  0
)
"),9.475864553314121)</f>
        <v>9.475864553</v>
      </c>
      <c r="AB10" s="65">
        <f t="shared" ref="AB10:AC10" si="44">X10-Z10</f>
        <v>-3.822848499</v>
      </c>
      <c r="AC10" s="65">
        <f t="shared" si="44"/>
        <v>-4.980533295</v>
      </c>
      <c r="AD10" s="53">
        <f>IFERROR(__xludf.DUMMYFUNCTION("IFERROR(
  VLOOKUP(
    A10,
    IMPORTRANGE(
      ""1ZHMy3vVUd_0MrSduXTe1etBb1HNpAlGwQr006ljwMiM"",
      ""GSC最新!A:F""
    ),
    6,
    FALSE
  ),
  0
)
"),46081.0)</f>
        <v>46081</v>
      </c>
      <c r="AE10" s="54">
        <f>IFERROR(__xludf.DUMMYFUNCTION("IFERROR(
  VLOOKUP(
    A10,
    IMPORTRANGE(
      ""1SCYQd7_cobOYqT0r_F0IqD4tE4rYn5y8Eup4PJTH8es"",
      ""Snapshot!A:M""
    ),
    5,
    FALSE
  ),
  ""-""
)
"),1.0)</f>
        <v>1</v>
      </c>
      <c r="AF10" s="54">
        <f>IFERROR(__xludf.DUMMYFUNCTION("IFERROR(
  VLOOKUP(
    A10,
    IMPORTRANGE(
      ""1SCYQd7_cobOYqT0r_F0IqD4tE4rYn5y8Eup4PJTH8es"",
      ""Snapshot!A:M""
    ),
    6,
    FALSE
  ),
  0
)
"),0.0)</f>
        <v>0</v>
      </c>
      <c r="AG10" s="54">
        <f>IFERROR(__xludf.DUMMYFUNCTION("IFERROR(
  VLOOKUP(
    A10,
    IMPORTRANGE(
      ""1SCYQd7_cobOYqT0r_F0IqD4tE4rYn5y8Eup4PJTH8es"",
      ""Snapshot!A:M""
    ),
    7,
    FALSE
  ),
  0
)
"),5615.0)</f>
        <v>5615</v>
      </c>
      <c r="AH10" s="54">
        <f>IFERROR(__xludf.DUMMYFUNCTION("IFERROR(
  VLOOKUP(
    A10,
    IMPORTRANGE(
      ""1SCYQd7_cobOYqT0r_F0IqD4tE4rYn5y8Eup4PJTH8es"",
      ""Snapshot!A:M""
    ),
    8,
    FALSE
  ),
  0
)
"),3.0)</f>
        <v>3</v>
      </c>
      <c r="AI10" s="54">
        <f>IFERROR(__xludf.DUMMYFUNCTION("IFERROR(
  VLOOKUP(
    A10,
    IMPORTRANGE(
      ""1SCYQd7_cobOYqT0r_F0IqD4tE4rYn5y8Eup4PJTH8es"",
      ""Snapshot!A:M""
    ),
    9,
    FALSE
  ),
  0
)
"),3.0)</f>
        <v>3</v>
      </c>
      <c r="AJ10" s="54">
        <f>IFERROR(__xludf.DUMMYFUNCTION("IFERROR(
  VLOOKUP(
    A10,
    IMPORTRANGE(
      ""1SCYQd7_cobOYqT0r_F0IqD4tE4rYn5y8Eup4PJTH8es"",
      ""Snapshot!A:M""
    ),
    13,
    FALSE
  ),
  0
)
"),1.0)</f>
        <v>1</v>
      </c>
      <c r="AK10" s="49">
        <f t="shared" ref="AK10:AL10" si="45">LEN(C10)</f>
        <v>49</v>
      </c>
      <c r="AL10" s="49">
        <f t="shared" si="45"/>
        <v>144</v>
      </c>
    </row>
    <row r="11">
      <c r="A11" s="3" t="s">
        <v>954</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"),"it to構文｜for to構文・動詞+人+to｜中2英語")</f>
        <v>it to構文｜for to構文・動詞+人+to｜中2英語</v>
      </c>
      <c r="D11" s="1" t="str">
        <f>IFERROR(__xludf.DUMMYFUNCTION("IFERROR(
  VLOOKUP(
    A11,
    IMPORTRANGE(
      ""1ZygntHC1J6IxzKbTidmOyf5nUyW4GCLurHCjexrLm_o        "",
      ""HTMLキャッシュ!A:F""
    ),
    6,
    FALSE
  ),
  0
)
"),"it to構文を例文で解説。形式主語itの訳し方、It is 形容詞 for 人 to の並び、for人toの位置、want you to・tell 人 to・ask 人 to の語順を確認。")</f>
        <v>it to構文を例文で解説。形式主語itの訳し方、It is 形容詞 for 人 to の並び、for人toの位置、want you to・tell 人 to・ask 人 to の語順を確認。</v>
      </c>
      <c r="E11" s="32">
        <f>IFERROR(__xludf.DUMMYFUNCTION("IFERROR(
  VLOOKUP(
    A11,
    IMPORTRANGE(
      ""1ZygntHC1J6IxzKbTidmOyf5nUyW4GCLurHCjexrLm_o        "",
      ""HTMLキャッシュ!A:F""
    ),
    3,
    FALSE
  ),
  0
)
"),46078.68116898148)</f>
        <v>46078.68117</v>
      </c>
      <c r="F11" s="49">
        <f>IFERROR(__xludf.DUMMYFUNCTION("IFERROR(
  VLOOKUP(
    A11,
    IMPORTRANGE(
      ""1ZHMy3vVUd_0MrSduXTe1etBb1HNpAlGwQr006ljwMiM"",
      ""GSC最新!A:F""
    ),
    2,
    FALSE
  ),
  0
)
"),27.0)</f>
        <v>27</v>
      </c>
      <c r="G11" s="49">
        <f>IFERROR(__xludf.DUMMYFUNCTION("IFERROR(
  VLOOKUP(
    A11,
    IMPORTRANGE(
      ""1ZHMy3vVUd_0MrSduXTe1etBb1HNpAlGwQr006ljwMiM"",
      ""GSC最新!A:F""
    ),
    3,
    FALSE
  ),
  0
)
"),53.0)</f>
        <v>53</v>
      </c>
      <c r="H11" s="49">
        <f>IFERROR(__xludf.DUMMYFUNCTION("IFERROR(
  VLOOKUP(
    A11,
    IMPORTRANGE(
      ""1ZHMy3vVUd_0MrSduXTe1etBb1HNpAlGwQr006ljwMiM"",
      ""GSC最新!A:F""
    ),
    4,
    FALSE
  ),
  0
)
"),30.0)</f>
        <v>30</v>
      </c>
      <c r="I11" s="49">
        <f>IFERROR(__xludf.DUMMYFUNCTION("IFERROR(
  VLOOKUP(
    A11,
    IMPORTRANGE(
      ""1ZHMy3vVUd_0MrSduXTe1etBb1HNpAlGwQr006ljwMiM"",
      ""GSC最新!A:F""
    ),
    5,
    FALSE
  ),
  0
)
"),74.0)</f>
        <v>74</v>
      </c>
      <c r="J11" s="50">
        <f t="shared" ref="J11:K11" si="46">IFERROR(F11/H11,"-")</f>
        <v>0.9</v>
      </c>
      <c r="K11" s="50">
        <f t="shared" si="46"/>
        <v>0.7162162162</v>
      </c>
      <c r="L11" s="6">
        <f>IFERROR(__xludf.DUMMYFUNCTION("IFERROR(
  VLOOKUP(
    A11,
    IMPORTRANGE(
      ""1ZHMy3vVUd_0MrSduXTe1etBb1HNpAlGwQr006ljwMiM"",
      ""GSC最新!A:R""
    ),
    7,
    FALSE
  ),
  0
)
"),4145.0)</f>
        <v>4145</v>
      </c>
      <c r="M11" s="6">
        <f>IFERROR(__xludf.DUMMYFUNCTION("IFERROR(
  VLOOKUP(
    A11,
    IMPORTRANGE(
      ""1ZHMy3vVUd_0MrSduXTe1etBb1HNpAlGwQr006ljwMiM"",
      ""GSC最新!A:R""
    ),
    10,
    FALSE
  ),
  0
)
"),9280.0)</f>
        <v>9280</v>
      </c>
      <c r="N11" s="6">
        <f>IFERROR(__xludf.DUMMYFUNCTION("IFERROR(
  VLOOKUP(
    A11,
    IMPORTRANGE(
      ""1ZHMy3vVUd_0MrSduXTe1etBb1HNpAlGwQr006ljwMiM"",
      ""GSC最新!A:R""
    ),
    13,
    FALSE
  ),
  0
)
"),188.0)</f>
        <v>188</v>
      </c>
      <c r="O11" s="6">
        <f>IFERROR(__xludf.DUMMYFUNCTION("IFERROR(
  VLOOKUP(
    A11,
    IMPORTRANGE(
      ""1ZHMy3vVUd_0MrSduXTe1etBb1HNpAlGwQr006ljwMiM"",
      ""GSC最新!A:R""
    ),
    16,
    FALSE
  ),
  0
)
"),549.0)</f>
        <v>549</v>
      </c>
      <c r="P11" s="51">
        <f t="shared" ref="P11:Q11" si="47">IFERROR(L11/N11,"-")</f>
        <v>22.04787234</v>
      </c>
      <c r="Q11" s="51">
        <f t="shared" si="47"/>
        <v>16.90346084</v>
      </c>
      <c r="R11" s="9">
        <f>IFERROR(__xludf.DUMMYFUNCTION("IFERROR(
  VLOOKUP(
    A11,
    IMPORTRANGE(
      ""1ZHMy3vVUd_0MrSduXTe1etBb1HNpAlGwQr006ljwMiM"",
      ""GSC最新!A:R""
    ),
    8,
    FALSE
  ),
  0
)
"),0.006513872135102533)</f>
        <v>0.006513872135</v>
      </c>
      <c r="S11" s="9">
        <f>IFERROR(__xludf.DUMMYFUNCTION("IFERROR(
  VLOOKUP(
    A11,
    IMPORTRANGE(
      ""1ZHMy3vVUd_0MrSduXTe1etBb1HNpAlGwQr006ljwMiM"",
      ""GSC最新!A:R""
    ),
    11,
    FALSE
  ),
  0
)
"),0.005711206896551724)</f>
        <v>0.005711206897</v>
      </c>
      <c r="T11" s="9">
        <f>IFERROR(__xludf.DUMMYFUNCTION("IFERROR(
  VLOOKUP(
    A11,
    IMPORTRANGE(
      ""1ZHMy3vVUd_0MrSduXTe1etBb1HNpAlGwQr006ljwMiM"",
      ""GSC最新!A:R""
    ),
    14,
    FALSE
  ),
  0
)
"),0.1595744680851064)</f>
        <v>0.1595744681</v>
      </c>
      <c r="U11" s="9">
        <f>IFERROR(__xludf.DUMMYFUNCTION("IFERROR(
  VLOOKUP(
    A11,
    IMPORTRANGE(
      ""1ZHMy3vVUd_0MrSduXTe1etBb1HNpAlGwQr006ljwMiM"",
      ""GSC最新!A:R""
    ),
    17,
    FALSE
  ),
  0
)
"),0.13479052823315119)</f>
        <v>0.1347905282</v>
      </c>
      <c r="V11" s="9">
        <f t="shared" ref="V11:W11" si="48">IFERROR(R11-T11,"-")</f>
        <v>-0.153060596</v>
      </c>
      <c r="W11" s="9">
        <f t="shared" si="48"/>
        <v>-0.1290793213</v>
      </c>
      <c r="X11" s="65">
        <f>IFERROR(__xludf.DUMMYFUNCTION("IFERROR(
  VLOOKUP(
    A11,
    IMPORTRANGE(
      ""1ZHMy3vVUd_0MrSduXTe1etBb1HNpAlGwQr006ljwMiM"",
      ""GSC最新!A:R""
    ),
    9,
    FALSE
  ),
  0
)
"),3.6776839565741857)</f>
        <v>3.677683957</v>
      </c>
      <c r="Y11" s="65">
        <f>IFERROR(__xludf.DUMMYFUNCTION("IFERROR(
  VLOOKUP(
    A11,
    IMPORTRANGE(
      ""1ZHMy3vVUd_0MrSduXTe1etBb1HNpAlGwQr006ljwMiM"",
      ""GSC最新!A:R""
    ),
    12,
    FALSE
  ),
  0
)
"),4.089870689655172)</f>
        <v>4.08987069</v>
      </c>
      <c r="Z11" s="65">
        <f>IFERROR(__xludf.DUMMYFUNCTION("IFERROR(
  VLOOKUP(
    A11,
    IMPORTRANGE(
      ""1ZHMy3vVUd_0MrSduXTe1etBb1HNpAlGwQr006ljwMiM"",
      ""GSC最新!A:R""
    ),
    15,
    FALSE
  ),
  0
)
"),7.398936170212766)</f>
        <v>7.39893617</v>
      </c>
      <c r="AA11" s="65">
        <f>IFERROR(__xludf.DUMMYFUNCTION("IFERROR(
  VLOOKUP(
    A11,
    IMPORTRANGE(
      ""1ZHMy3vVUd_0MrSduXTe1etBb1HNpAlGwQr006ljwMiM"",
      ""GSC最新!A:R""
    ),
    18,
    FALSE
  ),
  0
)
"),18.065573770491802)</f>
        <v>18.06557377</v>
      </c>
      <c r="AB11" s="65">
        <f t="shared" ref="AB11:AC11" si="49">X11-Z11</f>
        <v>-3.721252214</v>
      </c>
      <c r="AC11" s="65">
        <f t="shared" si="49"/>
        <v>-13.97570308</v>
      </c>
      <c r="AD11" s="53">
        <f>IFERROR(__xludf.DUMMYFUNCTION("IFERROR(
  VLOOKUP(
    A11,
    IMPORTRANGE(
      ""1ZHMy3vVUd_0MrSduXTe1etBb1HNpAlGwQr006ljwMiM"",
      ""GSC最新!A:F""
    ),
    6,
    FALSE
  ),
  0
)
"),46081.0)</f>
        <v>46081</v>
      </c>
      <c r="AE11" s="54">
        <f>IFERROR(__xludf.DUMMYFUNCTION("IFERROR(
  VLOOKUP(
    A11,
    IMPORTRANGE(
      ""1SCYQd7_cobOYqT0r_F0IqD4tE4rYn5y8Eup4PJTH8es"",
      ""Snapshot!A:M""
    ),
    5,
    FALSE
  ),
  ""-""
)
"),2.0)</f>
        <v>2</v>
      </c>
      <c r="AF11" s="54">
        <f>IFERROR(__xludf.DUMMYFUNCTION("IFERROR(
  VLOOKUP(
    A11,
    IMPORTRANGE(
      ""1SCYQd7_cobOYqT0r_F0IqD4tE4rYn5y8Eup4PJTH8es"",
      ""Snapshot!A:M""
    ),
    6,
    FALSE
  ),
  0
)
"),0.0)</f>
        <v>0</v>
      </c>
      <c r="AG11" s="54">
        <f>IFERROR(__xludf.DUMMYFUNCTION("IFERROR(
  VLOOKUP(
    A11,
    IMPORTRANGE(
      ""1SCYQd7_cobOYqT0r_F0IqD4tE4rYn5y8Eup4PJTH8es"",
      ""Snapshot!A:M""
    ),
    7,
    FALSE
  ),
  0
)
"),8981.0)</f>
        <v>8981</v>
      </c>
      <c r="AH11" s="54">
        <f>IFERROR(__xludf.DUMMYFUNCTION("IFERROR(
  VLOOKUP(
    A11,
    IMPORTRANGE(
      ""1SCYQd7_cobOYqT0r_F0IqD4tE4rYn5y8Eup4PJTH8es"",
      ""Snapshot!A:M""
    ),
    8,
    FALSE
  ),
  0
)
"),4.0)</f>
        <v>4</v>
      </c>
      <c r="AI11" s="54">
        <f>IFERROR(__xludf.DUMMYFUNCTION("IFERROR(
  VLOOKUP(
    A11,
    IMPORTRANGE(
      ""1SCYQd7_cobOYqT0r_F0IqD4tE4rYn5y8Eup4PJTH8es"",
      ""Snapshot!A:M""
    ),
    9,
    FALSE
  ),
  0
)
"),3.0)</f>
        <v>3</v>
      </c>
      <c r="AJ11" s="54">
        <f>IFERROR(__xludf.DUMMYFUNCTION("IFERROR(
  VLOOKUP(
    A11,
    IMPORTRANGE(
      ""1SCYQd7_cobOYqT0r_F0IqD4tE4rYn5y8Eup4PJTH8es"",
      ""Snapshot!A:M""
    ),
    13,
    FALSE
  ),
  0
)
"),1.0)</f>
        <v>1</v>
      </c>
      <c r="AK11" s="49">
        <f t="shared" ref="AK11:AL11" si="50">LEN(C11)</f>
        <v>29</v>
      </c>
      <c r="AL11" s="49">
        <f t="shared" si="50"/>
        <v>96</v>
      </c>
    </row>
    <row r="12">
      <c r="A12" s="3" t="s">
        <v>955</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"),"stage1_Lesson7-1 現在進行形(～ingのつけ方)【ニュートレジャーの道案内】 - 受験英語専門ゼミ「Re-Write」(リライト)")</f>
        <v>stage1_Lesson7-1 現在進行形(～ingのつけ方)【ニュートレジャーの道案内】 - 受験英語専門ゼミ「Re-Write」(リライト)</v>
      </c>
      <c r="D12" s="1" t="str">
        <f>IFERROR(__xludf.DUMMYFUNCTION("IFERROR(
  VLOOKUP(
    A12,
    IMPORTRANGE(
      ""1ZygntHC1J6IxzKbTidmOyf5nUyW4GCLurHCjexrLm_o        "",
      ""HTMLキャッシュ!A:F""
    ),
    6,
    FALSE
  ),
  0
)
"),"現在進行形の作り方を解説！「be動詞+ing」の基本形やingの付け方、「eを取る」「短母音+子音で子音重ね」「ieをyに変換」などのルールを具体例で学習。短母音の特徴や発音の注意点も解説し、正確な理解をサポートします！")</f>
        <v>現在進行形の作り方を解説！「be動詞+ing」の基本形やingの付け方、「eを取る」「短母音+子音で子音重ね」「ieをyに変換」などのルールを具体例で学習。短母音の特徴や発音の注意点も解説し、正確な理解をサポートします！</v>
      </c>
      <c r="E12" s="32">
        <f>IFERROR(__xludf.DUMMYFUNCTION("IFERROR(
  VLOOKUP(
    A12,
    IMPORTRANGE(
      ""1ZygntHC1J6IxzKbTidmOyf5nUyW4GCLurHCjexrLm_o        "",
      ""HTMLキャッシュ!A:F""
    ),
    3,
    FALSE
  ),
  0
)
"),46080.81449074074)</f>
        <v>46080.81449</v>
      </c>
      <c r="F12" s="49">
        <f>IFERROR(__xludf.DUMMYFUNCTION("IFERROR(
  VLOOKUP(
    A12,
    IMPORTRANGE(
      ""1ZHMy3vVUd_0MrSduXTe1etBb1HNpAlGwQr006ljwMiM"",
      ""GSC最新!A:F""
    ),
    2,
    FALSE
  ),
  0
)
"),6.0)</f>
        <v>6</v>
      </c>
      <c r="G12" s="49">
        <f>IFERROR(__xludf.DUMMYFUNCTION("IFERROR(
  VLOOKUP(
    A12,
    IMPORTRANGE(
      ""1ZHMy3vVUd_0MrSduXTe1etBb1HNpAlGwQr006ljwMiM"",
      ""GSC最新!A:F""
    ),
    3,
    FALSE
  ),
  0
)
"),50.0)</f>
        <v>50</v>
      </c>
      <c r="H12" s="49">
        <f>IFERROR(__xludf.DUMMYFUNCTION("IFERROR(
  VLOOKUP(
    A12,
    IMPORTRANGE(
      ""1ZHMy3vVUd_0MrSduXTe1etBb1HNpAlGwQr006ljwMiM"",
      ""GSC最新!A:F""
    ),
    4,
    FALSE
  ),
  0
)
"),8.0)</f>
        <v>8</v>
      </c>
      <c r="I12" s="49">
        <f>IFERROR(__xludf.DUMMYFUNCTION("IFERROR(
  VLOOKUP(
    A12,
    IMPORTRANGE(
      ""1ZHMy3vVUd_0MrSduXTe1etBb1HNpAlGwQr006ljwMiM"",
      ""GSC最新!A:F""
    ),
    5,
    FALSE
  ),
  0
)
"),19.0)</f>
        <v>19</v>
      </c>
      <c r="J12" s="50">
        <f t="shared" ref="J12:K12" si="51">IFERROR(F12/H12,"-")</f>
        <v>0.75</v>
      </c>
      <c r="K12" s="50">
        <f t="shared" si="51"/>
        <v>2.631578947</v>
      </c>
      <c r="L12" s="6">
        <f>IFERROR(__xludf.DUMMYFUNCTION("IFERROR(
  VLOOKUP(
    A12,
    IMPORTRANGE(
      ""1ZHMy3vVUd_0MrSduXTe1etBb1HNpAlGwQr006ljwMiM"",
      ""GSC最新!A:R""
    ),
    7,
    FALSE
  ),
  0
)
"),11407.0)</f>
        <v>11407</v>
      </c>
      <c r="M12" s="6">
        <f>IFERROR(__xludf.DUMMYFUNCTION("IFERROR(
  VLOOKUP(
    A12,
    IMPORTRANGE(
      ""1ZHMy3vVUd_0MrSduXTe1etBb1HNpAlGwQr006ljwMiM"",
      ""GSC最新!A:R""
    ),
    10,
    FALSE
  ),
  0
)
"),30246.0)</f>
        <v>30246</v>
      </c>
      <c r="N12" s="6">
        <f>IFERROR(__xludf.DUMMYFUNCTION("IFERROR(
  VLOOKUP(
    A12,
    IMPORTRANGE(
      ""1ZHMy3vVUd_0MrSduXTe1etBb1HNpAlGwQr006ljwMiM"",
      ""GSC最新!A:R""
    ),
    13,
    FALSE
  ),
  0
)
"),1381.0)</f>
        <v>1381</v>
      </c>
      <c r="O12" s="6">
        <f>IFERROR(__xludf.DUMMYFUNCTION("IFERROR(
  VLOOKUP(
    A12,
    IMPORTRANGE(
      ""1ZHMy3vVUd_0MrSduXTe1etBb1HNpAlGwQr006ljwMiM"",
      ""GSC最新!A:R""
    ),
    16,
    FALSE
  ),
  0
)
"),4530.0)</f>
        <v>4530</v>
      </c>
      <c r="P12" s="51">
        <f t="shared" ref="P12:Q12" si="52">IFERROR(L12/N12,"-")</f>
        <v>8.259956553</v>
      </c>
      <c r="Q12" s="51">
        <f t="shared" si="52"/>
        <v>6.676821192</v>
      </c>
      <c r="R12" s="9">
        <f>IFERROR(__xludf.DUMMYFUNCTION("IFERROR(
  VLOOKUP(
    A12,
    IMPORTRANGE(
      ""1ZHMy3vVUd_0MrSduXTe1etBb1HNpAlGwQr006ljwMiM"",
      ""GSC最新!A:R""
    ),
    8,
    FALSE
  ),
  0
)
"),5.259928114315771E-4)</f>
        <v>0.0005259928114</v>
      </c>
      <c r="S12" s="9">
        <f>IFERROR(__xludf.DUMMYFUNCTION("IFERROR(
  VLOOKUP(
    A12,
    IMPORTRANGE(
      ""1ZHMy3vVUd_0MrSduXTe1etBb1HNpAlGwQr006ljwMiM"",
      ""GSC最新!A:R""
    ),
    11,
    FALSE
  ),
  0
)
"),0.0016531111551940753)</f>
        <v>0.001653111155</v>
      </c>
      <c r="T12" s="9">
        <f>IFERROR(__xludf.DUMMYFUNCTION("IFERROR(
  VLOOKUP(
    A12,
    IMPORTRANGE(
      ""1ZHMy3vVUd_0MrSduXTe1etBb1HNpAlGwQr006ljwMiM"",
      ""GSC最新!A:R""
    ),
    14,
    FALSE
  ),
  0
)
"),0.005792903692976104)</f>
        <v>0.005792903693</v>
      </c>
      <c r="U12" s="9">
        <f>IFERROR(__xludf.DUMMYFUNCTION("IFERROR(
  VLOOKUP(
    A12,
    IMPORTRANGE(
      ""1ZHMy3vVUd_0MrSduXTe1etBb1HNpAlGwQr006ljwMiM"",
      ""GSC最新!A:R""
    ),
    17,
    FALSE
  ),
  0
)
"),0.0041942604856512146)</f>
        <v>0.004194260486</v>
      </c>
      <c r="V12" s="9">
        <f t="shared" ref="V12:W12" si="53">IFERROR(R12-T12,"-")</f>
        <v>-0.005266910882</v>
      </c>
      <c r="W12" s="9">
        <f t="shared" si="53"/>
        <v>-0.00254114933</v>
      </c>
      <c r="X12" s="65">
        <f>IFERROR(__xludf.DUMMYFUNCTION("IFERROR(
  VLOOKUP(
    A12,
    IMPORTRANGE(
      ""1ZHMy3vVUd_0MrSduXTe1etBb1HNpAlGwQr006ljwMiM"",
      ""GSC最新!A:R""
    ),
    9,
    FALSE
  ),
  0
)
"),2.3737178925221354)</f>
        <v>2.373717893</v>
      </c>
      <c r="Y12" s="65">
        <f>IFERROR(__xludf.DUMMYFUNCTION("IFERROR(
  VLOOKUP(
    A12,
    IMPORTRANGE(
      ""1ZHMy3vVUd_0MrSduXTe1etBb1HNpAlGwQr006ljwMiM"",
      ""GSC最新!A:R""
    ),
    12,
    FALSE
  ),
  0
)
"),3.123024532169543)</f>
        <v>3.123024532</v>
      </c>
      <c r="Z12" s="65">
        <f>IFERROR(__xludf.DUMMYFUNCTION("IFERROR(
  VLOOKUP(
    A12,
    IMPORTRANGE(
      ""1ZHMy3vVUd_0MrSduXTe1etBb1HNpAlGwQr006ljwMiM"",
      ""GSC最新!A:R""
    ),
    15,
    FALSE
  ),
  0
)
"),11.839246922519914)</f>
        <v>11.83924692</v>
      </c>
      <c r="AA12" s="65">
        <f>IFERROR(__xludf.DUMMYFUNCTION("IFERROR(
  VLOOKUP(
    A12,
    IMPORTRANGE(
      ""1ZHMy3vVUd_0MrSduXTe1etBb1HNpAlGwQr006ljwMiM"",
      ""GSC最新!A:R""
    ),
    18,
    FALSE
  ),
  0
)
"),11.26467991169978)</f>
        <v>11.26467991</v>
      </c>
      <c r="AB12" s="65">
        <f t="shared" ref="AB12:AC12" si="54">X12-Z12</f>
        <v>-9.46552903</v>
      </c>
      <c r="AC12" s="65">
        <f t="shared" si="54"/>
        <v>-8.14165538</v>
      </c>
      <c r="AD12" s="53">
        <f>IFERROR(__xludf.DUMMYFUNCTION("IFERROR(
  VLOOKUP(
    A12,
    IMPORTRANGE(
      ""1ZHMy3vVUd_0MrSduXTe1etBb1HNpAlGwQr006ljwMiM"",
      ""GSC最新!A:F""
    ),
    6,
    FALSE
  ),
  0
)
"),46081.0)</f>
        <v>46081</v>
      </c>
      <c r="AE12" s="54">
        <f>IFERROR(__xludf.DUMMYFUNCTION("IFERROR(
  VLOOKUP(
    A12,
    IMPORTRANGE(
      ""1SCYQd7_cobOYqT0r_F0IqD4tE4rYn5y8Eup4PJTH8es"",
      ""Snapshot!A:M""
    ),
    5,
    FALSE
  ),
  ""-""
)
"),2.0)</f>
        <v>2</v>
      </c>
      <c r="AF12" s="54">
        <f>IFERROR(__xludf.DUMMYFUNCTION("IFERROR(
  VLOOKUP(
    A12,
    IMPORTRANGE(
      ""1SCYQd7_cobOYqT0r_F0IqD4tE4rYn5y8Eup4PJTH8es"",
      ""Snapshot!A:M""
    ),
    6,
    FALSE
  ),
  0
)
"),0.0)</f>
        <v>0</v>
      </c>
      <c r="AG12" s="54">
        <f>IFERROR(__xludf.DUMMYFUNCTION("IFERROR(
  VLOOKUP(
    A12,
    IMPORTRANGE(
      ""1SCYQd7_cobOYqT0r_F0IqD4tE4rYn5y8Eup4PJTH8es"",
      ""Snapshot!A:M""
    ),
    7,
    FALSE
  ),
  0
)
"),5885.0)</f>
        <v>5885</v>
      </c>
      <c r="AH12" s="54">
        <f>IFERROR(__xludf.DUMMYFUNCTION("IFERROR(
  VLOOKUP(
    A12,
    IMPORTRANGE(
      ""1SCYQd7_cobOYqT0r_F0IqD4tE4rYn5y8Eup4PJTH8es"",
      ""Snapshot!A:M""
    ),
    8,
    FALSE
  ),
  0
)
"),5.0)</f>
        <v>5</v>
      </c>
      <c r="AI12" s="54">
        <f>IFERROR(__xludf.DUMMYFUNCTION("IFERROR(
  VLOOKUP(
    A12,
    IMPORTRANGE(
      ""1SCYQd7_cobOYqT0r_F0IqD4tE4rYn5y8Eup4PJTH8es"",
      ""Snapshot!A:M""
    ),
    9,
    FALSE
  ),
  0
)
"),3.0)</f>
        <v>3</v>
      </c>
      <c r="AJ12" s="54">
        <f>IFERROR(__xludf.DUMMYFUNCTION("IFERROR(
  VLOOKUP(
    A12,
    IMPORTRANGE(
      ""1SCYQd7_cobOYqT0r_F0IqD4tE4rYn5y8Eup4PJTH8es"",
      ""Snapshot!A:M""
    ),
    13,
    FALSE
  ),
  0
)
"),1.0)</f>
        <v>1</v>
      </c>
      <c r="AK12" s="49">
        <f t="shared" ref="AK12:AL12" si="55">LEN(C12)</f>
        <v>73</v>
      </c>
      <c r="AL12" s="49">
        <f t="shared" si="55"/>
        <v>110</v>
      </c>
    </row>
    <row r="13">
      <c r="A13" s="3" t="s">
        <v>956</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"),"関係副詞where・whenの使い方と省略の条件｜英語学習コラム")</f>
        <v>関係副詞where・whenの使い方と省略の条件｜英語学習コラム</v>
      </c>
      <c r="D13" s="1" t="str">
        <f>IFERROR(__xludf.DUMMYFUNCTION("IFERROR(
  VLOOKUP(
    A13,
    IMPORTRANGE(
      ""1ZygntHC1J6IxzKbTidmOyf5nUyW4GCLurHCjexrLm_o        "",
      ""HTMLキャッシュ!A:F""
    ),
    6,
    FALSE
  ),
  0
)
"),"関係副詞where/when/why/howを例文で確認。関係代名詞との違い、言い換え(in which等)、省略の可否まで。クイズ10問つき。")</f>
        <v>関係副詞where/when/why/howを例文で確認。関係代名詞との違い、言い換え(in which等)、省略の可否まで。クイズ10問つき。</v>
      </c>
      <c r="E13" s="32">
        <f>IFERROR(__xludf.DUMMYFUNCTION("IFERROR(
  VLOOKUP(
    A13,
    IMPORTRANGE(
      ""1ZygntHC1J6IxzKbTidmOyf5nUyW4GCLurHCjexrLm_o        "",
      ""HTMLキャッシュ!A:F""
    ),
    3,
    FALSE
  ),
  0
)
"),46073.67015046296)</f>
        <v>46073.67015</v>
      </c>
      <c r="F13" s="49">
        <f>IFERROR(__xludf.DUMMYFUNCTION("IFERROR(
  VLOOKUP(
    A13,
    IMPORTRANGE(
      ""1ZHMy3vVUd_0MrSduXTe1etBb1HNpAlGwQr006ljwMiM"",
      ""GSC最新!A:F""
    ),
    2,
    FALSE
  ),
  0
)
"),23.0)</f>
        <v>23</v>
      </c>
      <c r="G13" s="49">
        <f>IFERROR(__xludf.DUMMYFUNCTION("IFERROR(
  VLOOKUP(
    A13,
    IMPORTRANGE(
      ""1ZHMy3vVUd_0MrSduXTe1etBb1HNpAlGwQr006ljwMiM"",
      ""GSC最新!A:F""
    ),
    3,
    FALSE
  ),
  0
)
"),46.0)</f>
        <v>46</v>
      </c>
      <c r="H13" s="49">
        <f>IFERROR(__xludf.DUMMYFUNCTION("IFERROR(
  VLOOKUP(
    A13,
    IMPORTRANGE(
      ""1ZHMy3vVUd_0MrSduXTe1etBb1HNpAlGwQr006ljwMiM"",
      ""GSC最新!A:F""
    ),
    4,
    FALSE
  ),
  0
)
"),2.0)</f>
        <v>2</v>
      </c>
      <c r="I13" s="49">
        <f>IFERROR(__xludf.DUMMYFUNCTION("IFERROR(
  VLOOKUP(
    A13,
    IMPORTRANGE(
      ""1ZHMy3vVUd_0MrSduXTe1etBb1HNpAlGwQr006ljwMiM"",
      ""GSC最新!A:F""
    ),
    5,
    FALSE
  ),
  0
)
"),9.0)</f>
        <v>9</v>
      </c>
      <c r="J13" s="50">
        <f t="shared" ref="J13:K13" si="56">IFERROR(F13/H13,"-")</f>
        <v>11.5</v>
      </c>
      <c r="K13" s="50">
        <f t="shared" si="56"/>
        <v>5.111111111</v>
      </c>
      <c r="L13" s="6">
        <f>IFERROR(__xludf.DUMMYFUNCTION("IFERROR(
  VLOOKUP(
    A13,
    IMPORTRANGE(
      ""1ZHMy3vVUd_0MrSduXTe1etBb1HNpAlGwQr006ljwMiM"",
      ""GSC最新!A:R""
    ),
    7,
    FALSE
  ),
  0
)
"),16935.0)</f>
        <v>16935</v>
      </c>
      <c r="M13" s="6">
        <f>IFERROR(__xludf.DUMMYFUNCTION("IFERROR(
  VLOOKUP(
    A13,
    IMPORTRANGE(
      ""1ZHMy3vVUd_0MrSduXTe1etBb1HNpAlGwQr006ljwMiM"",
      ""GSC最新!A:R""
    ),
    10,
    FALSE
  ),
  0
)
"),25237.0)</f>
        <v>25237</v>
      </c>
      <c r="N13" s="6">
        <f>IFERROR(__xludf.DUMMYFUNCTION("IFERROR(
  VLOOKUP(
    A13,
    IMPORTRANGE(
      ""1ZHMy3vVUd_0MrSduXTe1etBb1HNpAlGwQr006ljwMiM"",
      ""GSC最新!A:R""
    ),
    13,
    FALSE
  ),
  0
)
"),72.0)</f>
        <v>72</v>
      </c>
      <c r="O13" s="6">
        <f>IFERROR(__xludf.DUMMYFUNCTION("IFERROR(
  VLOOKUP(
    A13,
    IMPORTRANGE(
      ""1ZHMy3vVUd_0MrSduXTe1etBb1HNpAlGwQr006ljwMiM"",
      ""GSC最新!A:R""
    ),
    16,
    FALSE
  ),
  0
)
"),182.0)</f>
        <v>182</v>
      </c>
      <c r="P13" s="51">
        <f t="shared" ref="P13:Q13" si="57">IFERROR(L13/N13,"-")</f>
        <v>235.2083333</v>
      </c>
      <c r="Q13" s="51">
        <f t="shared" si="57"/>
        <v>138.6648352</v>
      </c>
      <c r="R13" s="9">
        <f>IFERROR(__xludf.DUMMYFUNCTION("IFERROR(
  VLOOKUP(
    A13,
    IMPORTRANGE(
      ""1ZHMy3vVUd_0MrSduXTe1etBb1HNpAlGwQr006ljwMiM"",
      ""GSC最新!A:R""
    ),
    8,
    FALSE
  ),
  0
)
"),0.0013581340419250073)</f>
        <v>0.001358134042</v>
      </c>
      <c r="S13" s="9">
        <f>IFERROR(__xludf.DUMMYFUNCTION("IFERROR(
  VLOOKUP(
    A13,
    IMPORTRANGE(
      ""1ZHMy3vVUd_0MrSduXTe1etBb1HNpAlGwQr006ljwMiM"",
      ""GSC最新!A:R""
    ),
    11,
    FALSE
  ),
  0
)
"),0.0018227206086301859)</f>
        <v>0.001822720609</v>
      </c>
      <c r="T13" s="9">
        <f>IFERROR(__xludf.DUMMYFUNCTION("IFERROR(
  VLOOKUP(
    A13,
    IMPORTRANGE(
      ""1ZHMy3vVUd_0MrSduXTe1etBb1HNpAlGwQr006ljwMiM"",
      ""GSC最新!A:R""
    ),
    14,
    FALSE
  ),
  0
)
"),0.027777777777777776)</f>
        <v>0.02777777778</v>
      </c>
      <c r="U13" s="9">
        <f>IFERROR(__xludf.DUMMYFUNCTION("IFERROR(
  VLOOKUP(
    A13,
    IMPORTRANGE(
      ""1ZHMy3vVUd_0MrSduXTe1etBb1HNpAlGwQr006ljwMiM"",
      ""GSC最新!A:R""
    ),
    17,
    FALSE
  ),
  0
)
"),0.04945054945054945)</f>
        <v>0.04945054945</v>
      </c>
      <c r="V13" s="9">
        <f t="shared" ref="V13:W13" si="58">IFERROR(R13-T13,"-")</f>
        <v>-0.02641964374</v>
      </c>
      <c r="W13" s="9">
        <f t="shared" si="58"/>
        <v>-0.04762782884</v>
      </c>
      <c r="X13" s="65">
        <f>IFERROR(__xludf.DUMMYFUNCTION("IFERROR(
  VLOOKUP(
    A13,
    IMPORTRANGE(
      ""1ZHMy3vVUd_0MrSduXTe1etBb1HNpAlGwQr006ljwMiM"",
      ""GSC最新!A:R""
    ),
    9,
    FALSE
  ),
  0
)
"),2.0053144375553584)</f>
        <v>2.005314438</v>
      </c>
      <c r="Y13" s="65">
        <f>IFERROR(__xludf.DUMMYFUNCTION("IFERROR(
  VLOOKUP(
    A13,
    IMPORTRANGE(
      ""1ZHMy3vVUd_0MrSduXTe1etBb1HNpAlGwQr006ljwMiM"",
      ""GSC最新!A:R""
    ),
    12,
    FALSE
  ),
  0
)
"),2.2256211118595712)</f>
        <v>2.225621112</v>
      </c>
      <c r="Z13" s="65">
        <f>IFERROR(__xludf.DUMMYFUNCTION("IFERROR(
  VLOOKUP(
    A13,
    IMPORTRANGE(
      ""1ZHMy3vVUd_0MrSduXTe1etBb1HNpAlGwQr006ljwMiM"",
      ""GSC最新!A:R""
    ),
    15,
    FALSE
  ),
  0
)
"),8.652777777777779)</f>
        <v>8.652777778</v>
      </c>
      <c r="AA13" s="65">
        <f>IFERROR(__xludf.DUMMYFUNCTION("IFERROR(
  VLOOKUP(
    A13,
    IMPORTRANGE(
      ""1ZHMy3vVUd_0MrSduXTe1etBb1HNpAlGwQr006ljwMiM"",
      ""GSC最新!A:R""
    ),
    18,
    FALSE
  ),
  0
)
"),10.104395604395604)</f>
        <v>10.1043956</v>
      </c>
      <c r="AB13" s="65">
        <f t="shared" ref="AB13:AC13" si="59">X13-Z13</f>
        <v>-6.64746334</v>
      </c>
      <c r="AC13" s="65">
        <f t="shared" si="59"/>
        <v>-7.878774493</v>
      </c>
      <c r="AD13" s="53">
        <f>IFERROR(__xludf.DUMMYFUNCTION("IFERROR(
  VLOOKUP(
    A13,
    IMPORTRANGE(
      ""1ZHMy3vVUd_0MrSduXTe1etBb1HNpAlGwQr006ljwMiM"",
      ""GSC最新!A:F""
    ),
    6,
    FALSE
  ),
  0
)
"),46081.0)</f>
        <v>46081</v>
      </c>
      <c r="AE13" s="54">
        <f>IFERROR(__xludf.DUMMYFUNCTION("IFERROR(
  VLOOKUP(
    A13,
    IMPORTRANGE(
      ""1SCYQd7_cobOYqT0r_F0IqD4tE4rYn5y8Eup4PJTH8es"",
      ""Snapshot!A:M""
    ),
    5,
    FALSE
  ),
  ""-""
)
"),2.0)</f>
        <v>2</v>
      </c>
      <c r="AF13" s="54">
        <f>IFERROR(__xludf.DUMMYFUNCTION("IFERROR(
  VLOOKUP(
    A13,
    IMPORTRANGE(
      ""1SCYQd7_cobOYqT0r_F0IqD4tE4rYn5y8Eup4PJTH8es"",
      ""Snapshot!A:M""
    ),
    6,
    FALSE
  ),
  0
)
"),13.0)</f>
        <v>13</v>
      </c>
      <c r="AG13" s="54">
        <f>IFERROR(__xludf.DUMMYFUNCTION("IFERROR(
  VLOOKUP(
    A13,
    IMPORTRANGE(
      ""1SCYQd7_cobOYqT0r_F0IqD4tE4rYn5y8Eup4PJTH8es"",
      ""Snapshot!A:M""
    ),
    7,
    FALSE
  ),
  0
)
"),5956.0)</f>
        <v>5956</v>
      </c>
      <c r="AH13" s="54">
        <f>IFERROR(__xludf.DUMMYFUNCTION("IFERROR(
  VLOOKUP(
    A13,
    IMPORTRANGE(
      ""1SCYQd7_cobOYqT0r_F0IqD4tE4rYn5y8Eup4PJTH8es"",
      ""Snapshot!A:M""
    ),
    8,
    FALSE
  ),
  0
)
"),3.0)</f>
        <v>3</v>
      </c>
      <c r="AI13" s="54">
        <f>IFERROR(__xludf.DUMMYFUNCTION("IFERROR(
  VLOOKUP(
    A13,
    IMPORTRANGE(
      ""1SCYQd7_cobOYqT0r_F0IqD4tE4rYn5y8Eup4PJTH8es"",
      ""Snapshot!A:M""
    ),
    9,
    FALSE
  ),
  0
)
"),2.0)</f>
        <v>2</v>
      </c>
      <c r="AJ13" s="54">
        <f>IFERROR(__xludf.DUMMYFUNCTION("IFERROR(
  VLOOKUP(
    A13,
    IMPORTRANGE(
      ""1SCYQd7_cobOYqT0r_F0IqD4tE4rYn5y8Eup4PJTH8es"",
      ""Snapshot!A:M""
    ),
    13,
    FALSE
  ),
  0
)
"),1.0)</f>
        <v>1</v>
      </c>
      <c r="AK13" s="49">
        <f t="shared" ref="AK13:AL13" si="60">LEN(C13)</f>
        <v>32</v>
      </c>
      <c r="AL13" s="49">
        <f t="shared" si="60"/>
        <v>72</v>
      </c>
    </row>
    <row r="14">
      <c r="A14" s="3" t="s">
        <v>957</v>
      </c>
      <c r="B14" s="1" t="str">
        <f>IFERROR(__xludf.DUMMYFUNCTION("IFERROR(
  VLOOKUP(
    A14,
    IMPORTRANGE(
      ""1ZygntHC1J6IxzKbTidmOyf5nUyW4GCLurHCjexrLm_o"",
      ""HTMLキャッシュ!A:F""
    ),
    2,
    FALSE
  ),
  0
)
"),"MC")</f>
        <v>MC</v>
      </c>
      <c r="C14" s="1" t="str">
        <f>IFERROR(__xludf.DUMMYFUNCTION("IFERROR(
  VLOOKUP(
    A14,
    IMPORTRANGE(
      ""1ZygntHC1J6IxzKbTidmOyf5nUyW4GCLurHCjexrLm_o"",
      ""HTMLキャッシュ!A:F""
    ),
    5,
    FALSE
  ),
  0
)
"),"STAGE2 Lesson11-3enough to 構文｜too / enough to と so that の書き換え【ニュートレジャーの道案内】 - 受験英語専門ゼミ「Re-Write」(リライト)")</f>
        <v>STAGE2 Lesson11-3enough to 構文｜too / enough to と so that の書き換え【ニュートレジャーの道案内】 - 受験英語専門ゼミ「Re-Write」(リライト)</v>
      </c>
      <c r="D14" s="1" t="str">
        <f>IFERROR(__xludf.DUMMYFUNCTION("IFERROR(
  VLOOKUP(
    A14,
    IMPORTRANGE(
      ""1ZygntHC1J6IxzKbTidmOyf5nUyW4GCLurHCjexrLm_o        "",
      ""HTMLキャッシュ!A:F""
    ),
    6,
    FALSE
  ),
  0
)
"),"ニュートレジャーStage2 Lesson11-3のenough to 構文を中心に、too〜to、不定詞の語順、early enough / easy enough、so that への書き換えまで、中学生向けに整理します。")</f>
        <v>ニュートレジャーStage2 Lesson11-3のenough to 構文を中心に、too〜to、不定詞の語順、early enough / easy enough、so that への書き換えまで、中学生向けに整理します。</v>
      </c>
      <c r="E14" s="32">
        <f>IFERROR(__xludf.DUMMYFUNCTION("IFERROR(
  VLOOKUP(
    A14,
    IMPORTRANGE(
      ""1ZygntHC1J6IxzKbTidmOyf5nUyW4GCLurHCjexrLm_o        "",
      ""HTMLキャッシュ!A:F""
    ),
    3,
    FALSE
  ),
  0
)
"),46043.60155092592)</f>
        <v>46043.60155</v>
      </c>
      <c r="F14" s="49">
        <f>IFERROR(__xludf.DUMMYFUNCTION("IFERROR(
  VLOOKUP(
    A14,
    IMPORTRANGE(
      ""1ZHMy3vVUd_0MrSduXTe1etBb1HNpAlGwQr006ljwMiM"",
      ""GSC最新!A:F""
    ),
    2,
    FALSE
  ),
  0
)
"),22.0)</f>
        <v>22</v>
      </c>
      <c r="G14" s="49">
        <f>IFERROR(__xludf.DUMMYFUNCTION("IFERROR(
  VLOOKUP(
    A14,
    IMPORTRANGE(
      ""1ZHMy3vVUd_0MrSduXTe1etBb1HNpAlGwQr006ljwMiM"",
      ""GSC最新!A:F""
    ),
    3,
    FALSE
  ),
  0
)
"),46.0)</f>
        <v>46</v>
      </c>
      <c r="H14" s="49">
        <f>IFERROR(__xludf.DUMMYFUNCTION("IFERROR(
  VLOOKUP(
    A14,
    IMPORTRANGE(
      ""1ZHMy3vVUd_0MrSduXTe1etBb1HNpAlGwQr006ljwMiM"",
      ""GSC最新!A:F""
    ),
    4,
    FALSE
  ),
  0
)
"),5.0)</f>
        <v>5</v>
      </c>
      <c r="I14" s="49">
        <f>IFERROR(__xludf.DUMMYFUNCTION("IFERROR(
  VLOOKUP(
    A14,
    IMPORTRANGE(
      ""1ZHMy3vVUd_0MrSduXTe1etBb1HNpAlGwQr006ljwMiM"",
      ""GSC最新!A:F""
    ),
    5,
    FALSE
  ),
  0
)
"),18.0)</f>
        <v>18</v>
      </c>
      <c r="J14" s="50">
        <f t="shared" ref="J14:K14" si="61">IFERROR(F14/H14,"-")</f>
        <v>4.4</v>
      </c>
      <c r="K14" s="50">
        <f t="shared" si="61"/>
        <v>2.555555556</v>
      </c>
      <c r="L14" s="6">
        <f>IFERROR(__xludf.DUMMYFUNCTION("IFERROR(
  VLOOKUP(
    A14,
    IMPORTRANGE(
      ""1ZHMy3vVUd_0MrSduXTe1etBb1HNpAlGwQr006ljwMiM"",
      ""GSC最新!A:R""
    ),
    7,
    FALSE
  ),
  0
)
"),7200.0)</f>
        <v>7200</v>
      </c>
      <c r="M14" s="6">
        <f>IFERROR(__xludf.DUMMYFUNCTION("IFERROR(
  VLOOKUP(
    A14,
    IMPORTRANGE(
      ""1ZHMy3vVUd_0MrSduXTe1etBb1HNpAlGwQr006ljwMiM"",
      ""GSC最新!A:R""
    ),
    10,
    FALSE
  ),
  0
)
"),21547.0)</f>
        <v>21547</v>
      </c>
      <c r="N14" s="6">
        <f>IFERROR(__xludf.DUMMYFUNCTION("IFERROR(
  VLOOKUP(
    A14,
    IMPORTRANGE(
      ""1ZHMy3vVUd_0MrSduXTe1etBb1HNpAlGwQr006ljwMiM"",
      ""GSC最新!A:R""
    ),
    13,
    FALSE
  ),
  0
)
"),522.0)</f>
        <v>522</v>
      </c>
      <c r="O14" s="6">
        <f>IFERROR(__xludf.DUMMYFUNCTION("IFERROR(
  VLOOKUP(
    A14,
    IMPORTRANGE(
      ""1ZHMy3vVUd_0MrSduXTe1etBb1HNpAlGwQr006ljwMiM"",
      ""GSC最新!A:R""
    ),
    16,
    FALSE
  ),
  0
)
"),1401.0)</f>
        <v>1401</v>
      </c>
      <c r="P14" s="51">
        <f t="shared" ref="P14:Q14" si="62">IFERROR(L14/N14,"-")</f>
        <v>13.79310345</v>
      </c>
      <c r="Q14" s="51">
        <f t="shared" si="62"/>
        <v>15.37972877</v>
      </c>
      <c r="R14" s="9">
        <f>IFERROR(__xludf.DUMMYFUNCTION("IFERROR(
  VLOOKUP(
    A14,
    IMPORTRANGE(
      ""1ZHMy3vVUd_0MrSduXTe1etBb1HNpAlGwQr006ljwMiM"",
      ""GSC最新!A:R""
    ),
    8,
    FALSE
  ),
  0
)
"),0.0030555555555555557)</f>
        <v>0.003055555556</v>
      </c>
      <c r="S14" s="9">
        <f>IFERROR(__xludf.DUMMYFUNCTION("IFERROR(
  VLOOKUP(
    A14,
    IMPORTRANGE(
      ""1ZHMy3vVUd_0MrSduXTe1etBb1HNpAlGwQr006ljwMiM"",
      ""GSC最新!A:R""
    ),
    11,
    FALSE
  ),
  0
)
"),0.002134867963057502)</f>
        <v>0.002134867963</v>
      </c>
      <c r="T14" s="9">
        <f>IFERROR(__xludf.DUMMYFUNCTION("IFERROR(
  VLOOKUP(
    A14,
    IMPORTRANGE(
      ""1ZHMy3vVUd_0MrSduXTe1etBb1HNpAlGwQr006ljwMiM"",
      ""GSC最新!A:R""
    ),
    14,
    FALSE
  ),
  0
)
"),0.009578544061302681)</f>
        <v>0.009578544061</v>
      </c>
      <c r="U14" s="9">
        <f>IFERROR(__xludf.DUMMYFUNCTION("IFERROR(
  VLOOKUP(
    A14,
    IMPORTRANGE(
      ""1ZHMy3vVUd_0MrSduXTe1etBb1HNpAlGwQr006ljwMiM"",
      ""GSC最新!A:R""
    ),
    17,
    FALSE
  ),
  0
)
"),0.01284796573875803)</f>
        <v>0.01284796574</v>
      </c>
      <c r="V14" s="9">
        <f t="shared" ref="V14:W14" si="63">IFERROR(R14-T14,"-")</f>
        <v>-0.006522988506</v>
      </c>
      <c r="W14" s="9">
        <f t="shared" si="63"/>
        <v>-0.01071309778</v>
      </c>
      <c r="X14" s="65">
        <f>IFERROR(__xludf.DUMMYFUNCTION("IFERROR(
  VLOOKUP(
    A14,
    IMPORTRANGE(
      ""1ZHMy3vVUd_0MrSduXTe1etBb1HNpAlGwQr006ljwMiM"",
      ""GSC最新!A:R""
    ),
    9,
    FALSE
  ),
  0
)
"),2.339027777777778)</f>
        <v>2.339027778</v>
      </c>
      <c r="Y14" s="65">
        <f>IFERROR(__xludf.DUMMYFUNCTION("IFERROR(
  VLOOKUP(
    A14,
    IMPORTRANGE(
      ""1ZHMy3vVUd_0MrSduXTe1etBb1HNpAlGwQr006ljwMiM"",
      ""GSC最新!A:R""
    ),
    12,
    FALSE
  ),
  0
)
"),2.828468000185641)</f>
        <v>2.828468</v>
      </c>
      <c r="Z14" s="65">
        <f>IFERROR(__xludf.DUMMYFUNCTION("IFERROR(
  VLOOKUP(
    A14,
    IMPORTRANGE(
      ""1ZHMy3vVUd_0MrSduXTe1etBb1HNpAlGwQr006ljwMiM"",
      ""GSC最新!A:R""
    ),
    15,
    FALSE
  ),
  0
)
"),12.701149425287356)</f>
        <v>12.70114943</v>
      </c>
      <c r="AA14" s="65">
        <f>IFERROR(__xludf.DUMMYFUNCTION("IFERROR(
  VLOOKUP(
    A14,
    IMPORTRANGE(
      ""1ZHMy3vVUd_0MrSduXTe1etBb1HNpAlGwQr006ljwMiM"",
      ""GSC最新!A:R""
    ),
    18,
    FALSE
  ),
  0
)
"),13.72733761598858)</f>
        <v>13.72733762</v>
      </c>
      <c r="AB14" s="65">
        <f t="shared" ref="AB14:AC14" si="64">X14-Z14</f>
        <v>-10.36212165</v>
      </c>
      <c r="AC14" s="65">
        <f t="shared" si="64"/>
        <v>-10.89886962</v>
      </c>
      <c r="AD14" s="53">
        <f>IFERROR(__xludf.DUMMYFUNCTION("IFERROR(
  VLOOKUP(
    A14,
    IMPORTRANGE(
      ""1ZHMy3vVUd_0MrSduXTe1etBb1HNpAlGwQr006ljwMiM"",
      ""GSC最新!A:F""
    ),
    6,
    FALSE
  ),
  0
)
"),46081.0)</f>
        <v>46081</v>
      </c>
      <c r="AE14" s="54">
        <f>IFERROR(__xludf.DUMMYFUNCTION("IFERROR(
  VLOOKUP(
    A14,
    IMPORTRANGE(
      ""1SCYQd7_cobOYqT0r_F0IqD4tE4rYn5y8Eup4PJTH8es"",
      ""Snapshot!A:M""
    ),
    5,
    FALSE
  ),
  ""-""
)
"),2.0)</f>
        <v>2</v>
      </c>
      <c r="AF14" s="54">
        <f>IFERROR(__xludf.DUMMYFUNCTION("IFERROR(
  VLOOKUP(
    A14,
    IMPORTRANGE(
      ""1SCYQd7_cobOYqT0r_F0IqD4tE4rYn5y8Eup4PJTH8es"",
      ""Snapshot!A:M""
    ),
    6,
    FALSE
  ),
  0
)
"),0.0)</f>
        <v>0</v>
      </c>
      <c r="AG14" s="54">
        <f>IFERROR(__xludf.DUMMYFUNCTION("IFERROR(
  VLOOKUP(
    A14,
    IMPORTRANGE(
      ""1SCYQd7_cobOYqT0r_F0IqD4tE4rYn5y8Eup4PJTH8es"",
      ""Snapshot!A:M""
    ),
    7,
    FALSE
  ),
  0
)
"),8236.0)</f>
        <v>8236</v>
      </c>
      <c r="AH14" s="54">
        <f>IFERROR(__xludf.DUMMYFUNCTION("IFERROR(
  VLOOKUP(
    A14,
    IMPORTRANGE(
      ""1SCYQd7_cobOYqT0r_F0IqD4tE4rYn5y8Eup4PJTH8es"",
      ""Snapshot!A:M""
    ),
    8,
    FALSE
  ),
  0
)
"),4.0)</f>
        <v>4</v>
      </c>
      <c r="AI14" s="54">
        <f>IFERROR(__xludf.DUMMYFUNCTION("IFERROR(
  VLOOKUP(
    A14,
    IMPORTRANGE(
      ""1SCYQd7_cobOYqT0r_F0IqD4tE4rYn5y8Eup4PJTH8es"",
      ""Snapshot!A:M""
    ),
    9,
    FALSE
  ),
  0
)
"),3.0)</f>
        <v>3</v>
      </c>
      <c r="AJ14" s="54">
        <f>IFERROR(__xludf.DUMMYFUNCTION("IFERROR(
  VLOOKUP(
    A14,
    IMPORTRANGE(
      ""1SCYQd7_cobOYqT0r_F0IqD4tE4rYn5y8Eup4PJTH8es"",
      ""Snapshot!A:M""
    ),
    13,
    FALSE
  ),
  0
)
"),1.0)</f>
        <v>1</v>
      </c>
      <c r="AK14" s="49">
        <f t="shared" ref="AK14:AL14" si="65">LEN(C14)</f>
        <v>102</v>
      </c>
      <c r="AL14" s="49">
        <f t="shared" si="65"/>
        <v>113</v>
      </c>
    </row>
    <row r="15">
      <c r="A15" s="3" t="s">
        <v>958</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"),"英文法 STAGE2 分詞の後置修飾と受け身の見分け方解説")</f>
        <v>英文法 STAGE2 分詞の後置修飾と受け身の見分け方解説</v>
      </c>
      <c r="D15" s="1" t="str">
        <f>IFERROR(__xludf.DUMMYFUNCTION("IFERROR(
  VLOOKUP(
    A15,
    IMPORTRANGE(
      ""1ZygntHC1J6IxzKbTidmOyf5nUyW4GCLurHCjexrLm_o        "",
      ""HTMLキャッシュ!A:F""
    ),
    6,
    FALSE
  ),
  0
)
"),"後置修飾（名詞＋過去分詞）と受け身（be＋過去分詞）を、be動詞の有無と語順で見分け。2語以上の分詞句の位置も例文と4択で確認。")</f>
        <v>後置修飾（名詞＋過去分詞）と受け身（be＋過去分詞）を、be動詞の有無と語順で見分け。2語以上の分詞句の位置も例文と4択で確認。</v>
      </c>
      <c r="E15" s="32">
        <f>IFERROR(__xludf.DUMMYFUNCTION("IFERROR(
  VLOOKUP(
    A15,
    IMPORTRANGE(
      ""1ZygntHC1J6IxzKbTidmOyf5nUyW4GCLurHCjexrLm_o        "",
      ""HTMLキャッシュ!A:F""
    ),
    3,
    FALSE
  ),
  0
)
"),46073.83377314815)</f>
        <v>46073.83377</v>
      </c>
      <c r="F15" s="49">
        <f>IFERROR(__xludf.DUMMYFUNCTION("IFERROR(
  VLOOKUP(
    A15,
    IMPORTRANGE(
      ""1ZHMy3vVUd_0MrSduXTe1etBb1HNpAlGwQr006ljwMiM"",
      ""GSC最新!A:F""
    ),
    2,
    FALSE
  ),
  0
)
"),24.0)</f>
        <v>24</v>
      </c>
      <c r="G15" s="49">
        <f>IFERROR(__xludf.DUMMYFUNCTION("IFERROR(
  VLOOKUP(
    A15,
    IMPORTRANGE(
      ""1ZHMy3vVUd_0MrSduXTe1etBb1HNpAlGwQr006ljwMiM"",
      ""GSC最新!A:F""
    ),
    3,
    FALSE
  ),
  0
)
"),45.0)</f>
        <v>45</v>
      </c>
      <c r="H15" s="49">
        <f>IFERROR(__xludf.DUMMYFUNCTION("IFERROR(
  VLOOKUP(
    A15,
    IMPORTRANGE(
      ""1ZHMy3vVUd_0MrSduXTe1etBb1HNpAlGwQr006ljwMiM"",
      ""GSC最新!A:F""
    ),
    4,
    FALSE
  ),
  0
)
"),4.0)</f>
        <v>4</v>
      </c>
      <c r="I15" s="49">
        <f>IFERROR(__xludf.DUMMYFUNCTION("IFERROR(
  VLOOKUP(
    A15,
    IMPORTRANGE(
      ""1ZHMy3vVUd_0MrSduXTe1etBb1HNpAlGwQr006ljwMiM"",
      ""GSC最新!A:F""
    ),
    5,
    FALSE
  ),
  0
)
"),24.0)</f>
        <v>24</v>
      </c>
      <c r="J15" s="50">
        <f t="shared" ref="J15:K15" si="66">IFERROR(F15/H15,"-")</f>
        <v>6</v>
      </c>
      <c r="K15" s="50">
        <f t="shared" si="66"/>
        <v>1.875</v>
      </c>
      <c r="L15" s="6">
        <f>IFERROR(__xludf.DUMMYFUNCTION("IFERROR(
  VLOOKUP(
    A15,
    IMPORTRANGE(
      ""1ZHMy3vVUd_0MrSduXTe1etBb1HNpAlGwQr006ljwMiM"",
      ""GSC最新!A:R""
    ),
    7,
    FALSE
  ),
  0
)
"),3377.0)</f>
        <v>3377</v>
      </c>
      <c r="M15" s="6">
        <f>IFERROR(__xludf.DUMMYFUNCTION("IFERROR(
  VLOOKUP(
    A15,
    IMPORTRANGE(
      ""1ZHMy3vVUd_0MrSduXTe1etBb1HNpAlGwQr006ljwMiM"",
      ""GSC最新!A:R""
    ),
    10,
    FALSE
  ),
  0
)
"),7503.0)</f>
        <v>7503</v>
      </c>
      <c r="N15" s="6">
        <f>IFERROR(__xludf.DUMMYFUNCTION("IFERROR(
  VLOOKUP(
    A15,
    IMPORTRANGE(
      ""1ZHMy3vVUd_0MrSduXTe1etBb1HNpAlGwQr006ljwMiM"",
      ""GSC最新!A:R""
    ),
    13,
    FALSE
  ),
  0
)
"),672.0)</f>
        <v>672</v>
      </c>
      <c r="O15" s="6">
        <f>IFERROR(__xludf.DUMMYFUNCTION("IFERROR(
  VLOOKUP(
    A15,
    IMPORTRANGE(
      ""1ZHMy3vVUd_0MrSduXTe1etBb1HNpAlGwQr006ljwMiM"",
      ""GSC最新!A:R""
    ),
    16,
    FALSE
  ),
  0
)
"),2444.0)</f>
        <v>2444</v>
      </c>
      <c r="P15" s="51">
        <f t="shared" ref="P15:Q15" si="67">IFERROR(L15/N15,"-")</f>
        <v>5.025297619</v>
      </c>
      <c r="Q15" s="51">
        <f t="shared" si="67"/>
        <v>3.069967267</v>
      </c>
      <c r="R15" s="9">
        <f>IFERROR(__xludf.DUMMYFUNCTION("IFERROR(
  VLOOKUP(
    A15,
    IMPORTRANGE(
      ""1ZHMy3vVUd_0MrSduXTe1etBb1HNpAlGwQr006ljwMiM"",
      ""GSC最新!A:R""
    ),
    8,
    FALSE
  ),
  0
)
"),0.0071068996150429374)</f>
        <v>0.007106899615</v>
      </c>
      <c r="S15" s="9">
        <f>IFERROR(__xludf.DUMMYFUNCTION("IFERROR(
  VLOOKUP(
    A15,
    IMPORTRANGE(
      ""1ZHMy3vVUd_0MrSduXTe1etBb1HNpAlGwQr006ljwMiM"",
      ""GSC最新!A:R""
    ),
    11,
    FALSE
  ),
  0
)
"),0.0059976009596161535)</f>
        <v>0.00599760096</v>
      </c>
      <c r="T15" s="9">
        <f>IFERROR(__xludf.DUMMYFUNCTION("IFERROR(
  VLOOKUP(
    A15,
    IMPORTRANGE(
      ""1ZHMy3vVUd_0MrSduXTe1etBb1HNpAlGwQr006ljwMiM"",
      ""GSC最新!A:R""
    ),
    14,
    FALSE
  ),
  0
)
"),0.005952380952380952)</f>
        <v>0.005952380952</v>
      </c>
      <c r="U15" s="9">
        <f>IFERROR(__xludf.DUMMYFUNCTION("IFERROR(
  VLOOKUP(
    A15,
    IMPORTRANGE(
      ""1ZHMy3vVUd_0MrSduXTe1etBb1HNpAlGwQr006ljwMiM"",
      ""GSC最新!A:R""
    ),
    17,
    FALSE
  ),
  0
)
"),0.009819967266775777)</f>
        <v>0.009819967267</v>
      </c>
      <c r="V15" s="9">
        <f t="shared" ref="V15:W15" si="68">IFERROR(R15-T15,"-")</f>
        <v>0.001154518663</v>
      </c>
      <c r="W15" s="9">
        <f t="shared" si="68"/>
        <v>-0.003822366307</v>
      </c>
      <c r="X15" s="65">
        <f>IFERROR(__xludf.DUMMYFUNCTION("IFERROR(
  VLOOKUP(
    A15,
    IMPORTRANGE(
      ""1ZHMy3vVUd_0MrSduXTe1etBb1HNpAlGwQr006ljwMiM"",
      ""GSC最新!A:R""
    ),
    9,
    FALSE
  ),
  0
)
"),7.403020432336393)</f>
        <v>7.403020432</v>
      </c>
      <c r="Y15" s="65">
        <f>IFERROR(__xludf.DUMMYFUNCTION("IFERROR(
  VLOOKUP(
    A15,
    IMPORTRANGE(
      ""1ZHMy3vVUd_0MrSduXTe1etBb1HNpAlGwQr006ljwMiM"",
      ""GSC最新!A:R""
    ),
    12,
    FALSE
  ),
  0
)
"),7.9224310275889644)</f>
        <v>7.922431028</v>
      </c>
      <c r="Z15" s="65">
        <f>IFERROR(__xludf.DUMMYFUNCTION("IFERROR(
  VLOOKUP(
    A15,
    IMPORTRANGE(
      ""1ZHMy3vVUd_0MrSduXTe1etBb1HNpAlGwQr006ljwMiM"",
      ""GSC最新!A:R""
    ),
    15,
    FALSE
  ),
  0
)
"),10.944940476190476)</f>
        <v>10.94494048</v>
      </c>
      <c r="AA15" s="65">
        <f>IFERROR(__xludf.DUMMYFUNCTION("IFERROR(
  VLOOKUP(
    A15,
    IMPORTRANGE(
      ""1ZHMy3vVUd_0MrSduXTe1etBb1HNpAlGwQr006ljwMiM"",
      ""GSC最新!A:R""
    ),
    18,
    FALSE
  ),
  0
)
"),15.155891980360066)</f>
        <v>15.15589198</v>
      </c>
      <c r="AB15" s="65">
        <f t="shared" ref="AB15:AC15" si="69">X15-Z15</f>
        <v>-3.541920044</v>
      </c>
      <c r="AC15" s="65">
        <f t="shared" si="69"/>
        <v>-7.233460953</v>
      </c>
      <c r="AD15" s="53">
        <f>IFERROR(__xludf.DUMMYFUNCTION("IFERROR(
  VLOOKUP(
    A15,
    IMPORTRANGE(
      ""1ZHMy3vVUd_0MrSduXTe1etBb1HNpAlGwQr006ljwMiM"",
      ""GSC最新!A:F""
    ),
    6,
    FALSE
  ),
  0
)
"),46081.0)</f>
        <v>46081</v>
      </c>
      <c r="AE15" s="54">
        <f>IFERROR(__xludf.DUMMYFUNCTION("IFERROR(
  VLOOKUP(
    A15,
    IMPORTRANGE(
      ""1SCYQd7_cobOYqT0r_F0IqD4tE4rYn5y8Eup4PJTH8es"",
      ""Snapshot!A:M""
    ),
    5,
    FALSE
  ),
  ""-""
)
"),1.0)</f>
        <v>1</v>
      </c>
      <c r="AF15" s="54">
        <f>IFERROR(__xludf.DUMMYFUNCTION("IFERROR(
  VLOOKUP(
    A15,
    IMPORTRANGE(
      ""1SCYQd7_cobOYqT0r_F0IqD4tE4rYn5y8Eup4PJTH8es"",
      ""Snapshot!A:M""
    ),
    6,
    FALSE
  ),
  0
)
"),3.0)</f>
        <v>3</v>
      </c>
      <c r="AG15" s="54">
        <f>IFERROR(__xludf.DUMMYFUNCTION("IFERROR(
  VLOOKUP(
    A15,
    IMPORTRANGE(
      ""1SCYQd7_cobOYqT0r_F0IqD4tE4rYn5y8Eup4PJTH8es"",
      ""Snapshot!A:M""
    ),
    7,
    FALSE
  ),
  0
)
"),9733.0)</f>
        <v>9733</v>
      </c>
      <c r="AH15" s="54">
        <f>IFERROR(__xludf.DUMMYFUNCTION("IFERROR(
  VLOOKUP(
    A15,
    IMPORTRANGE(
      ""1SCYQd7_cobOYqT0r_F0IqD4tE4rYn5y8Eup4PJTH8es"",
      ""Snapshot!A:M""
    ),
    8,
    FALSE
  ),
  0
)
"),3.0)</f>
        <v>3</v>
      </c>
      <c r="AI15" s="54">
        <f>IFERROR(__xludf.DUMMYFUNCTION("IFERROR(
  VLOOKUP(
    A15,
    IMPORTRANGE(
      ""1SCYQd7_cobOYqT0r_F0IqD4tE4rYn5y8Eup4PJTH8es"",
      ""Snapshot!A:M""
    ),
    9,
    FALSE
  ),
  0
)
"),2.0)</f>
        <v>2</v>
      </c>
      <c r="AJ15" s="54">
        <f>IFERROR(__xludf.DUMMYFUNCTION("IFERROR(
  VLOOKUP(
    A15,
    IMPORTRANGE(
      ""1SCYQd7_cobOYqT0r_F0IqD4tE4rYn5y8Eup4PJTH8es"",
      ""Snapshot!A:M""
    ),
    13,
    FALSE
  ),
  0
)
"),1.0)</f>
        <v>1</v>
      </c>
      <c r="AK15" s="49">
        <f t="shared" ref="AK15:AL15" si="70">LEN(C15)</f>
        <v>29</v>
      </c>
      <c r="AL15" s="49">
        <f t="shared" si="70"/>
        <v>64</v>
      </c>
    </row>
    <row r="16">
      <c r="A16" s="3" t="s">
        <v>959</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"),"過去進行形 was were＋ing の作り方｜疑問文と答え方Yes I wasまで整理｜中学英語（Re-Write）")</f>
        <v>過去進行形 was were＋ing の作り方｜疑問文と答え方Yes I wasまで整理｜中学英語（Re-Write）</v>
      </c>
      <c r="D16" s="1" t="str">
        <f>IFERROR(__xludf.DUMMYFUNCTION("IFERROR(
  VLOOKUP(
    A16,
    IMPORTRANGE(
      ""1ZygntHC1J6IxzKbTidmOyf5nUyW4GCLurHCjexrLm_o        "",
      ""HTMLキャッシュ!A:F""
    ),
    6,
    FALSE
  ),
  0
)
"),"was ing は過去進行形で「そのとき〜していた」。形は was／were＋動詞ing。疑問文は be動詞を前に出すだけ、答えは Yes, I was.／No, I wasn’t. でOK。疑問詞つきの語順、studying のつづりミス、例文と確認クイズ10問で定着まで。")</f>
        <v>was ing は過去進行形で「そのとき〜していた」。形は was／were＋動詞ing。疑問文は be動詞を前に出すだけ、答えは Yes, I was.／No, I wasn’t. でOK。疑問詞つきの語順、studying のつづりミス、例文と確認クイズ10問で定着まで。</v>
      </c>
      <c r="E16" s="32">
        <f>IFERROR(__xludf.DUMMYFUNCTION("IFERROR(
  VLOOKUP(
    A16,
    IMPORTRANGE(
      ""1ZygntHC1J6IxzKbTidmOyf5nUyW4GCLurHCjexrLm_o        "",
      ""HTMLキャッシュ!A:F""
    ),
    3,
    FALSE
  ),
  0
)
"),46080.82596064815)</f>
        <v>46080.82596</v>
      </c>
      <c r="F16" s="49">
        <f>IFERROR(__xludf.DUMMYFUNCTION("IFERROR(
  VLOOKUP(
    A16,
    IMPORTRANGE(
      ""1ZHMy3vVUd_0MrSduXTe1etBb1HNpAlGwQr006ljwMiM"",
      ""GSC最新!A:F""
    ),
    2,
    FALSE
  ),
  0
)
"),35.0)</f>
        <v>35</v>
      </c>
      <c r="G16" s="49">
        <f>IFERROR(__xludf.DUMMYFUNCTION("IFERROR(
  VLOOKUP(
    A16,
    IMPORTRANGE(
      ""1ZHMy3vVUd_0MrSduXTe1etBb1HNpAlGwQr006ljwMiM"",
      ""GSC最新!A:F""
    ),
    3,
    FALSE
  ),
  0
)
"),44.0)</f>
        <v>44</v>
      </c>
      <c r="H16" s="49">
        <f>IFERROR(__xludf.DUMMYFUNCTION("IFERROR(
  VLOOKUP(
    A16,
    IMPORTRANGE(
      ""1ZHMy3vVUd_0MrSduXTe1etBb1HNpAlGwQr006ljwMiM"",
      ""GSC最新!A:F""
    ),
    4,
    FALSE
  ),
  0
)
"),0.0)</f>
        <v>0</v>
      </c>
      <c r="I16" s="49">
        <f>IFERROR(__xludf.DUMMYFUNCTION("IFERROR(
  VLOOKUP(
    A16,
    IMPORTRANGE(
      ""1ZHMy3vVUd_0MrSduXTe1etBb1HNpAlGwQr006ljwMiM"",
      ""GSC最新!A:F""
    ),
    5,
    FALSE
  ),
  0
)
"),1.0)</f>
        <v>1</v>
      </c>
      <c r="J16" s="50" t="str">
        <f t="shared" ref="J16:K16" si="71">IFERROR(F16/H16,"-")</f>
        <v>-</v>
      </c>
      <c r="K16" s="50">
        <f t="shared" si="71"/>
        <v>44</v>
      </c>
      <c r="L16" s="6">
        <f>IFERROR(__xludf.DUMMYFUNCTION("IFERROR(
  VLOOKUP(
    A16,
    IMPORTRANGE(
      ""1ZHMy3vVUd_0MrSduXTe1etBb1HNpAlGwQr006ljwMiM"",
      ""GSC最新!A:R""
    ),
    7,
    FALSE
  ),
  0
)
"),14963.0)</f>
        <v>14963</v>
      </c>
      <c r="M16" s="6">
        <f>IFERROR(__xludf.DUMMYFUNCTION("IFERROR(
  VLOOKUP(
    A16,
    IMPORTRANGE(
      ""1ZHMy3vVUd_0MrSduXTe1etBb1HNpAlGwQr006ljwMiM"",
      ""GSC最新!A:R""
    ),
    10,
    FALSE
  ),
  0
)
"),21616.0)</f>
        <v>21616</v>
      </c>
      <c r="N16" s="6">
        <f>IFERROR(__xludf.DUMMYFUNCTION("IFERROR(
  VLOOKUP(
    A16,
    IMPORTRANGE(
      ""1ZHMy3vVUd_0MrSduXTe1etBb1HNpAlGwQr006ljwMiM"",
      ""GSC最新!A:R""
    ),
    13,
    FALSE
  ),
  0
)
"),120.0)</f>
        <v>120</v>
      </c>
      <c r="O16" s="6">
        <f>IFERROR(__xludf.DUMMYFUNCTION("IFERROR(
  VLOOKUP(
    A16,
    IMPORTRANGE(
      ""1ZHMy3vVUd_0MrSduXTe1etBb1HNpAlGwQr006ljwMiM"",
      ""GSC最新!A:R""
    ),
    16,
    FALSE
  ),
  0
)
"),453.0)</f>
        <v>453</v>
      </c>
      <c r="P16" s="51">
        <f t="shared" ref="P16:Q16" si="72">IFERROR(L16/N16,"-")</f>
        <v>124.6916667</v>
      </c>
      <c r="Q16" s="51">
        <f t="shared" si="72"/>
        <v>47.71743929</v>
      </c>
      <c r="R16" s="9">
        <f>IFERROR(__xludf.DUMMYFUNCTION("IFERROR(
  VLOOKUP(
    A16,
    IMPORTRANGE(
      ""1ZHMy3vVUd_0MrSduXTe1etBb1HNpAlGwQr006ljwMiM"",
      ""GSC最新!A:R""
    ),
    8,
    FALSE
  ),
  0
)
"),0.0023391031210318785)</f>
        <v>0.002339103121</v>
      </c>
      <c r="S16" s="9">
        <f>IFERROR(__xludf.DUMMYFUNCTION("IFERROR(
  VLOOKUP(
    A16,
    IMPORTRANGE(
      ""1ZHMy3vVUd_0MrSduXTe1etBb1HNpAlGwQr006ljwMiM"",
      ""GSC最新!A:R""
    ),
    11,
    FALSE
  ),
  0
)
"),0.0020355292376017763)</f>
        <v>0.002035529238</v>
      </c>
      <c r="T16" s="9">
        <f>IFERROR(__xludf.DUMMYFUNCTION("IFERROR(
  VLOOKUP(
    A16,
    IMPORTRANGE(
      ""1ZHMy3vVUd_0MrSduXTe1etBb1HNpAlGwQr006ljwMiM"",
      ""GSC最新!A:R""
    ),
    14,
    FALSE
  ),
  0
)
"),0.0)</f>
        <v>0</v>
      </c>
      <c r="U16" s="9">
        <f>IFERROR(__xludf.DUMMYFUNCTION("IFERROR(
  VLOOKUP(
    A16,
    IMPORTRANGE(
      ""1ZHMy3vVUd_0MrSduXTe1etBb1HNpAlGwQr006ljwMiM"",
      ""GSC最新!A:R""
    ),
    17,
    FALSE
  ),
  0
)
"),0.002207505518763797)</f>
        <v>0.002207505519</v>
      </c>
      <c r="V16" s="9">
        <f t="shared" ref="V16:W16" si="73">IFERROR(R16-T16,"-")</f>
        <v>0.002339103121</v>
      </c>
      <c r="W16" s="9">
        <f t="shared" si="73"/>
        <v>-0.0001719762812</v>
      </c>
      <c r="X16" s="65">
        <f>IFERROR(__xludf.DUMMYFUNCTION("IFERROR(
  VLOOKUP(
    A16,
    IMPORTRANGE(
      ""1ZHMy3vVUd_0MrSduXTe1etBb1HNpAlGwQr006ljwMiM"",
      ""GSC最新!A:R""
    ),
    9,
    FALSE
  ),
  0
)
"),2.664305286373054)</f>
        <v>2.664305286</v>
      </c>
      <c r="Y16" s="65">
        <f>IFERROR(__xludf.DUMMYFUNCTION("IFERROR(
  VLOOKUP(
    A16,
    IMPORTRANGE(
      ""1ZHMy3vVUd_0MrSduXTe1etBb1HNpAlGwQr006ljwMiM"",
      ""GSC最新!A:R""
    ),
    12,
    FALSE
  ),
  0
)
"),2.837157660991858)</f>
        <v>2.837157661</v>
      </c>
      <c r="Z16" s="65">
        <f>IFERROR(__xludf.DUMMYFUNCTION("IFERROR(
  VLOOKUP(
    A16,
    IMPORTRANGE(
      ""1ZHMy3vVUd_0MrSduXTe1etBb1HNpAlGwQr006ljwMiM"",
      ""GSC最新!A:R""
    ),
    15,
    FALSE
  ),
  0
)
"),11.35)</f>
        <v>11.35</v>
      </c>
      <c r="AA16" s="65">
        <f>IFERROR(__xludf.DUMMYFUNCTION("IFERROR(
  VLOOKUP(
    A16,
    IMPORTRANGE(
      ""1ZHMy3vVUd_0MrSduXTe1etBb1HNpAlGwQr006ljwMiM"",
      ""GSC最新!A:R""
    ),
    18,
    FALSE
  ),
  0
)
"),23.11037527593819)</f>
        <v>23.11037528</v>
      </c>
      <c r="AB16" s="65">
        <f t="shared" ref="AB16:AC16" si="74">X16-Z16</f>
        <v>-8.685694714</v>
      </c>
      <c r="AC16" s="65">
        <f t="shared" si="74"/>
        <v>-20.27321761</v>
      </c>
      <c r="AD16" s="53">
        <f>IFERROR(__xludf.DUMMYFUNCTION("IFERROR(
  VLOOKUP(
    A16,
    IMPORTRANGE(
      ""1ZHMy3vVUd_0MrSduXTe1etBb1HNpAlGwQr006ljwMiM"",
      ""GSC最新!A:F""
    ),
    6,
    FALSE
  ),
  0
)
"),46081.0)</f>
        <v>46081</v>
      </c>
      <c r="AE16" s="54">
        <f>IFERROR(__xludf.DUMMYFUNCTION("IFERROR(
  VLOOKUP(
    A16,
    IMPORTRANGE(
      ""1SCYQd7_cobOYqT0r_F0IqD4tE4rYn5y8Eup4PJTH8es"",
      ""Snapshot!A:M""
    ),
    5,
    FALSE
  ),
  ""-""
)
"),2.0)</f>
        <v>2</v>
      </c>
      <c r="AF16" s="54">
        <f>IFERROR(__xludf.DUMMYFUNCTION("IFERROR(
  VLOOKUP(
    A16,
    IMPORTRANGE(
      ""1SCYQd7_cobOYqT0r_F0IqD4tE4rYn5y8Eup4PJTH8es"",
      ""Snapshot!A:M""
    ),
    6,
    FALSE
  ),
  0
)
"),0.0)</f>
        <v>0</v>
      </c>
      <c r="AG16" s="54">
        <f>IFERROR(__xludf.DUMMYFUNCTION("IFERROR(
  VLOOKUP(
    A16,
    IMPORTRANGE(
      ""1SCYQd7_cobOYqT0r_F0IqD4tE4rYn5y8Eup4PJTH8es"",
      ""Snapshot!A:M""
    ),
    7,
    FALSE
  ),
  0
)
"),5783.0)</f>
        <v>5783</v>
      </c>
      <c r="AH16" s="54">
        <f>IFERROR(__xludf.DUMMYFUNCTION("IFERROR(
  VLOOKUP(
    A16,
    IMPORTRANGE(
      ""1SCYQd7_cobOYqT0r_F0IqD4tE4rYn5y8Eup4PJTH8es"",
      ""Snapshot!A:M""
    ),
    8,
    FALSE
  ),
  0
)
"),2.0)</f>
        <v>2</v>
      </c>
      <c r="AI16" s="54">
        <f>IFERROR(__xludf.DUMMYFUNCTION("IFERROR(
  VLOOKUP(
    A16,
    IMPORTRANGE(
      ""1SCYQd7_cobOYqT0r_F0IqD4tE4rYn5y8Eup4PJTH8es"",
      ""Snapshot!A:M""
    ),
    9,
    FALSE
  ),
  0
)
"),1.0)</f>
        <v>1</v>
      </c>
      <c r="AJ16" s="54">
        <f>IFERROR(__xludf.DUMMYFUNCTION("IFERROR(
  VLOOKUP(
    A16,
    IMPORTRANGE(
      ""1SCYQd7_cobOYqT0r_F0IqD4tE4rYn5y8Eup4PJTH8es"",
      ""Snapshot!A:M""
    ),
    13,
    FALSE
  ),
  0
)
"),1.0)</f>
        <v>1</v>
      </c>
      <c r="AK16" s="49">
        <f t="shared" ref="AK16:AL16" si="75">LEN(C16)</f>
        <v>59</v>
      </c>
      <c r="AL16" s="49">
        <f t="shared" si="75"/>
        <v>138</v>
      </c>
    </row>
    <row r="17">
      <c r="A17" s="3" t="s">
        <v>960</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"),"STAGE2 Lesson8-2 中学英語の「one・another・each」完全整理──不定代名詞の基本と使い分け【ニュートレジャーの道案内】 - 受験英語専門ゼミ「Re-Write」(リライト)")</f>
        <v>STAGE2 Lesson8-2 中学英語の「one・another・each」完全整理──不定代名詞の基本と使い分け【ニュートレジャーの道案内】 - 受験英語専門ゼミ「Re-Write」(リライト)</v>
      </c>
      <c r="D17" s="1" t="str">
        <f>IFERROR(__xludf.DUMMYFUNCTION("IFERROR(
  VLOOKUP(
    A17,
    IMPORTRANGE(
      ""1ZygntHC1J6IxzKbTidmOyf5nUyW4GCLurHCjexrLm_o        "",
      ""HTMLキャッシュ!A:F""
    ),
    6,
    FALSE
  ),
  0
)
"),"中学英語でつまずきやすい不定代名詞one・another・eachを整理。名詞を受けるoneの基本、old one / new oneなどの表現、each one of～の形まで、教科書レベルの例文でやさしく確認します。")</f>
        <v>中学英語でつまずきやすい不定代名詞one・another・eachを整理。名詞を受けるoneの基本、old one / new oneなどの表現、each one of～の形まで、教科書レベルの例文でやさしく確認します。</v>
      </c>
      <c r="E17" s="32">
        <f>IFERROR(__xludf.DUMMYFUNCTION("IFERROR(
  VLOOKUP(
    A17,
    IMPORTRANGE(
      ""1ZygntHC1J6IxzKbTidmOyf5nUyW4GCLurHCjexrLm_o        "",
      ""HTMLキャッシュ!A:F""
    ),
    3,
    FALSE
  ),
  0
)
"),46043.60780092593)</f>
        <v>46043.6078</v>
      </c>
      <c r="F17" s="49">
        <f>IFERROR(__xludf.DUMMYFUNCTION("IFERROR(
  VLOOKUP(
    A17,
    IMPORTRANGE(
      ""1ZHMy3vVUd_0MrSduXTe1etBb1HNpAlGwQr006ljwMiM"",
      ""GSC最新!A:F""
    ),
    2,
    FALSE
  ),
  0
)
"),16.0)</f>
        <v>16</v>
      </c>
      <c r="G17" s="49">
        <f>IFERROR(__xludf.DUMMYFUNCTION("IFERROR(
  VLOOKUP(
    A17,
    IMPORTRANGE(
      ""1ZHMy3vVUd_0MrSduXTe1etBb1HNpAlGwQr006ljwMiM"",
      ""GSC最新!A:F""
    ),
    3,
    FALSE
  ),
  0
)
"),42.0)</f>
        <v>42</v>
      </c>
      <c r="H17" s="49">
        <f>IFERROR(__xludf.DUMMYFUNCTION("IFERROR(
  VLOOKUP(
    A17,
    IMPORTRANGE(
      ""1ZHMy3vVUd_0MrSduXTe1etBb1HNpAlGwQr006ljwMiM"",
      ""GSC最新!A:F""
    ),
    4,
    FALSE
  ),
  0
)
"),1.0)</f>
        <v>1</v>
      </c>
      <c r="I17" s="49">
        <f>IFERROR(__xludf.DUMMYFUNCTION("IFERROR(
  VLOOKUP(
    A17,
    IMPORTRANGE(
      ""1ZHMy3vVUd_0MrSduXTe1etBb1HNpAlGwQr006ljwMiM"",
      ""GSC最新!A:F""
    ),
    5,
    FALSE
  ),
  0
)
"),7.0)</f>
        <v>7</v>
      </c>
      <c r="J17" s="50">
        <f t="shared" ref="J17:K17" si="76">IFERROR(F17/H17,"-")</f>
        <v>16</v>
      </c>
      <c r="K17" s="50">
        <f t="shared" si="76"/>
        <v>6</v>
      </c>
      <c r="L17" s="6">
        <f>IFERROR(__xludf.DUMMYFUNCTION("IFERROR(
  VLOOKUP(
    A17,
    IMPORTRANGE(
      ""1ZHMy3vVUd_0MrSduXTe1etBb1HNpAlGwQr006ljwMiM"",
      ""GSC最新!A:R""
    ),
    7,
    FALSE
  ),
  0
)
"),5510.0)</f>
        <v>5510</v>
      </c>
      <c r="M17" s="6">
        <f>IFERROR(__xludf.DUMMYFUNCTION("IFERROR(
  VLOOKUP(
    A17,
    IMPORTRANGE(
      ""1ZHMy3vVUd_0MrSduXTe1etBb1HNpAlGwQr006ljwMiM"",
      ""GSC最新!A:R""
    ),
    10,
    FALSE
  ),
  0
)
"),13362.0)</f>
        <v>13362</v>
      </c>
      <c r="N17" s="6">
        <f>IFERROR(__xludf.DUMMYFUNCTION("IFERROR(
  VLOOKUP(
    A17,
    IMPORTRANGE(
      ""1ZHMy3vVUd_0MrSduXTe1etBb1HNpAlGwQr006ljwMiM"",
      ""GSC最新!A:R""
    ),
    13,
    FALSE
  ),
  0
)
"),731.0)</f>
        <v>731</v>
      </c>
      <c r="O17" s="6">
        <f>IFERROR(__xludf.DUMMYFUNCTION("IFERROR(
  VLOOKUP(
    A17,
    IMPORTRANGE(
      ""1ZHMy3vVUd_0MrSduXTe1etBb1HNpAlGwQr006ljwMiM"",
      ""GSC最新!A:R""
    ),
    16,
    FALSE
  ),
  0
)
"),1967.0)</f>
        <v>1967</v>
      </c>
      <c r="P17" s="51">
        <f t="shared" ref="P17:Q17" si="77">IFERROR(L17/N17,"-")</f>
        <v>7.537619699</v>
      </c>
      <c r="Q17" s="51">
        <f t="shared" si="77"/>
        <v>6.793085918</v>
      </c>
      <c r="R17" s="9">
        <f>IFERROR(__xludf.DUMMYFUNCTION("IFERROR(
  VLOOKUP(
    A17,
    IMPORTRANGE(
      ""1ZHMy3vVUd_0MrSduXTe1etBb1HNpAlGwQr006ljwMiM"",
      ""GSC最新!A:R""
    ),
    8,
    FALSE
  ),
  0
)
"),0.0029038112522686023)</f>
        <v>0.002903811252</v>
      </c>
      <c r="S17" s="9">
        <f>IFERROR(__xludf.DUMMYFUNCTION("IFERROR(
  VLOOKUP(
    A17,
    IMPORTRANGE(
      ""1ZHMy3vVUd_0MrSduXTe1etBb1HNpAlGwQr006ljwMiM"",
      ""GSC最新!A:R""
    ),
    11,
    FALSE
  ),
  0
)
"),0.003143242029636282)</f>
        <v>0.00314324203</v>
      </c>
      <c r="T17" s="9">
        <f>IFERROR(__xludf.DUMMYFUNCTION("IFERROR(
  VLOOKUP(
    A17,
    IMPORTRANGE(
      ""1ZHMy3vVUd_0MrSduXTe1etBb1HNpAlGwQr006ljwMiM"",
      ""GSC最新!A:R""
    ),
    14,
    FALSE
  ),
  0
)
"),0.0013679890560875513)</f>
        <v>0.001367989056</v>
      </c>
      <c r="U17" s="9">
        <f>IFERROR(__xludf.DUMMYFUNCTION("IFERROR(
  VLOOKUP(
    A17,
    IMPORTRANGE(
      ""1ZHMy3vVUd_0MrSduXTe1etBb1HNpAlGwQr006ljwMiM"",
      ""GSC最新!A:R""
    ),
    17,
    FALSE
  ),
  0
)
"),0.0035587188612099642)</f>
        <v>0.003558718861</v>
      </c>
      <c r="V17" s="9">
        <f t="shared" ref="V17:W17" si="78">IFERROR(R17-T17,"-")</f>
        <v>0.001535822196</v>
      </c>
      <c r="W17" s="9">
        <f t="shared" si="78"/>
        <v>-0.0004154768316</v>
      </c>
      <c r="X17" s="65">
        <f>IFERROR(__xludf.DUMMYFUNCTION("IFERROR(
  VLOOKUP(
    A17,
    IMPORTRANGE(
      ""1ZHMy3vVUd_0MrSduXTe1etBb1HNpAlGwQr006ljwMiM"",
      ""GSC最新!A:R""
    ),
    9,
    FALSE
  ),
  0
)
"),5.017785843920145)</f>
        <v>5.017785844</v>
      </c>
      <c r="Y17" s="65">
        <f>IFERROR(__xludf.DUMMYFUNCTION("IFERROR(
  VLOOKUP(
    A17,
    IMPORTRANGE(
      ""1ZHMy3vVUd_0MrSduXTe1etBb1HNpAlGwQr006ljwMiM"",
      ""GSC最新!A:R""
    ),
    12,
    FALSE
  ),
  0
)
"),5.150576261038767)</f>
        <v>5.150576261</v>
      </c>
      <c r="Z17" s="65">
        <f>IFERROR(__xludf.DUMMYFUNCTION("IFERROR(
  VLOOKUP(
    A17,
    IMPORTRANGE(
      ""1ZHMy3vVUd_0MrSduXTe1etBb1HNpAlGwQr006ljwMiM"",
      ""GSC最新!A:R""
    ),
    15,
    FALSE
  ),
  0
)
"),10.641586867305062)</f>
        <v>10.64158687</v>
      </c>
      <c r="AA17" s="65">
        <f>IFERROR(__xludf.DUMMYFUNCTION("IFERROR(
  VLOOKUP(
    A17,
    IMPORTRANGE(
      ""1ZHMy3vVUd_0MrSduXTe1etBb1HNpAlGwQr006ljwMiM"",
      ""GSC最新!A:R""
    ),
    18,
    FALSE
  ),
  0
)
"),11.498220640569395)</f>
        <v>11.49822064</v>
      </c>
      <c r="AB17" s="65">
        <f t="shared" ref="AB17:AC17" si="79">X17-Z17</f>
        <v>-5.623801023</v>
      </c>
      <c r="AC17" s="65">
        <f t="shared" si="79"/>
        <v>-6.34764438</v>
      </c>
      <c r="AD17" s="53">
        <f>IFERROR(__xludf.DUMMYFUNCTION("IFERROR(
  VLOOKUP(
    A17,
    IMPORTRANGE(
      ""1ZHMy3vVUd_0MrSduXTe1etBb1HNpAlGwQr006ljwMiM"",
      ""GSC最新!A:F""
    ),
    6,
    FALSE
  ),
  0
)
"),46081.0)</f>
        <v>46081</v>
      </c>
      <c r="AE17" s="54">
        <f>IFERROR(__xludf.DUMMYFUNCTION("IFERROR(
  VLOOKUP(
    A17,
    IMPORTRANGE(
      ""1SCYQd7_cobOYqT0r_F0IqD4tE4rYn5y8Eup4PJTH8es"",
      ""Snapshot!A:M""
    ),
    5,
    FALSE
  ),
  ""-""
)
"),2.0)</f>
        <v>2</v>
      </c>
      <c r="AF17" s="54">
        <f>IFERROR(__xludf.DUMMYFUNCTION("IFERROR(
  VLOOKUP(
    A17,
    IMPORTRANGE(
      ""1SCYQd7_cobOYqT0r_F0IqD4tE4rYn5y8Eup4PJTH8es"",
      ""Snapshot!A:M""
    ),
    6,
    FALSE
  ),
  0
)
"),1.0)</f>
        <v>1</v>
      </c>
      <c r="AG17" s="54">
        <f>IFERROR(__xludf.DUMMYFUNCTION("IFERROR(
  VLOOKUP(
    A17,
    IMPORTRANGE(
      ""1SCYQd7_cobOYqT0r_F0IqD4tE4rYn5y8Eup4PJTH8es"",
      ""Snapshot!A:M""
    ),
    7,
    FALSE
  ),
  0
)
"),10519.0)</f>
        <v>10519</v>
      </c>
      <c r="AH17" s="54">
        <f>IFERROR(__xludf.DUMMYFUNCTION("IFERROR(
  VLOOKUP(
    A17,
    IMPORTRANGE(
      ""1SCYQd7_cobOYqT0r_F0IqD4tE4rYn5y8Eup4PJTH8es"",
      ""Snapshot!A:M""
    ),
    8,
    FALSE
  ),
  0
)
"),3.0)</f>
        <v>3</v>
      </c>
      <c r="AI17" s="54">
        <f>IFERROR(__xludf.DUMMYFUNCTION("IFERROR(
  VLOOKUP(
    A17,
    IMPORTRANGE(
      ""1SCYQd7_cobOYqT0r_F0IqD4tE4rYn5y8Eup4PJTH8es"",
      ""Snapshot!A:M""
    ),
    9,
    FALSE
  ),
  0
)
"),3.0)</f>
        <v>3</v>
      </c>
      <c r="AJ17" s="54">
        <f>IFERROR(__xludf.DUMMYFUNCTION("IFERROR(
  VLOOKUP(
    A17,
    IMPORTRANGE(
      ""1SCYQd7_cobOYqT0r_F0IqD4tE4rYn5y8Eup4PJTH8es"",
      ""Snapshot!A:M""
    ),
    13,
    FALSE
  ),
  0
)
"),1.0)</f>
        <v>1</v>
      </c>
      <c r="AK17" s="49">
        <f t="shared" ref="AK17:AL17" si="80">LEN(C17)</f>
        <v>100</v>
      </c>
      <c r="AL17" s="49">
        <f t="shared" si="80"/>
        <v>110</v>
      </c>
    </row>
    <row r="18">
      <c r="A18" s="3" t="s">
        <v>961</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"),"Whoseの使い方｜意味・疑問文・答え方｜中1英語")</f>
        <v>Whoseの使い方｜意味・疑問文・答え方｜中1英語</v>
      </c>
      <c r="D18" s="1" t="str">
        <f>IFERROR(__xludf.DUMMYFUNCTION("IFERROR(
  VLOOKUP(
    A18,
    IMPORTRANGE(
      ""1ZygntHC1J6IxzKbTidmOyf5nUyW4GCLurHCjexrLm_o        "",
      ""HTMLキャッシュ!A:F""
    ),
    6,
    FALSE
  ),
  0
)
"),"Whoseの使い方を中1英語向けに解説。意味（誰の／誰のもの）、疑問文、答え方、myとmineの違い、Ken’s、複数所有格s’を例文つきで確認。")</f>
        <v>Whoseの使い方を中1英語向けに解説。意味（誰の／誰のもの）、疑問文、答え方、myとmineの違い、Ken’s、複数所有格s’を例文つきで確認。</v>
      </c>
      <c r="E18" s="32">
        <f>IFERROR(__xludf.DUMMYFUNCTION("IFERROR(
  VLOOKUP(
    A18,
    IMPORTRANGE(
      ""1ZygntHC1J6IxzKbTidmOyf5nUyW4GCLurHCjexrLm_o        "",
      ""HTMLキャッシュ!A:F""
    ),
    3,
    FALSE
  ),
  0
)
"),46078.68193287037)</f>
        <v>46078.68193</v>
      </c>
      <c r="F18" s="49">
        <f>IFERROR(__xludf.DUMMYFUNCTION("IFERROR(
  VLOOKUP(
    A18,
    IMPORTRANGE(
      ""1ZHMy3vVUd_0MrSduXTe1etBb1HNpAlGwQr006ljwMiM"",
      ""GSC最新!A:F""
    ),
    2,
    FALSE
  ),
  0
)
"),16.0)</f>
        <v>16</v>
      </c>
      <c r="G18" s="49">
        <f>IFERROR(__xludf.DUMMYFUNCTION("IFERROR(
  VLOOKUP(
    A18,
    IMPORTRANGE(
      ""1ZHMy3vVUd_0MrSduXTe1etBb1HNpAlGwQr006ljwMiM"",
      ""GSC最新!A:F""
    ),
    3,
    FALSE
  ),
  0
)
"),40.0)</f>
        <v>40</v>
      </c>
      <c r="H18" s="49">
        <f>IFERROR(__xludf.DUMMYFUNCTION("IFERROR(
  VLOOKUP(
    A18,
    IMPORTRANGE(
      ""1ZHMy3vVUd_0MrSduXTe1etBb1HNpAlGwQr006ljwMiM"",
      ""GSC最新!A:F""
    ),
    4,
    FALSE
  ),
  0
)
"),13.0)</f>
        <v>13</v>
      </c>
      <c r="I18" s="49">
        <f>IFERROR(__xludf.DUMMYFUNCTION("IFERROR(
  VLOOKUP(
    A18,
    IMPORTRANGE(
      ""1ZHMy3vVUd_0MrSduXTe1etBb1HNpAlGwQr006ljwMiM"",
      ""GSC最新!A:F""
    ),
    5,
    FALSE
  ),
  0
)
"),69.0)</f>
        <v>69</v>
      </c>
      <c r="J18" s="50">
        <f t="shared" ref="J18:K18" si="81">IFERROR(F18/H18,"-")</f>
        <v>1.230769231</v>
      </c>
      <c r="K18" s="50">
        <f t="shared" si="81"/>
        <v>0.5797101449</v>
      </c>
      <c r="L18" s="6">
        <f>IFERROR(__xludf.DUMMYFUNCTION("IFERROR(
  VLOOKUP(
    A18,
    IMPORTRANGE(
      ""1ZHMy3vVUd_0MrSduXTe1etBb1HNpAlGwQr006ljwMiM"",
      ""GSC最新!A:R""
    ),
    7,
    FALSE
  ),
  0
)
"),5375.0)</f>
        <v>5375</v>
      </c>
      <c r="M18" s="6">
        <f>IFERROR(__xludf.DUMMYFUNCTION("IFERROR(
  VLOOKUP(
    A18,
    IMPORTRANGE(
      ""1ZHMy3vVUd_0MrSduXTe1etBb1HNpAlGwQr006ljwMiM"",
      ""GSC最新!A:R""
    ),
    10,
    FALSE
  ),
  0
)
"),14233.0)</f>
        <v>14233</v>
      </c>
      <c r="N18" s="6">
        <f>IFERROR(__xludf.DUMMYFUNCTION("IFERROR(
  VLOOKUP(
    A18,
    IMPORTRANGE(
      ""1ZHMy3vVUd_0MrSduXTe1etBb1HNpAlGwQr006ljwMiM"",
      ""GSC最新!A:R""
    ),
    13,
    FALSE
  ),
  0
)
"),1742.0)</f>
        <v>1742</v>
      </c>
      <c r="O18" s="6">
        <f>IFERROR(__xludf.DUMMYFUNCTION("IFERROR(
  VLOOKUP(
    A18,
    IMPORTRANGE(
      ""1ZHMy3vVUd_0MrSduXTe1etBb1HNpAlGwQr006ljwMiM"",
      ""GSC最新!A:R""
    ),
    16,
    FALSE
  ),
  0
)
"),5450.0)</f>
        <v>5450</v>
      </c>
      <c r="P18" s="51">
        <f t="shared" ref="P18:Q18" si="82">IFERROR(L18/N18,"-")</f>
        <v>3.085533869</v>
      </c>
      <c r="Q18" s="51">
        <f t="shared" si="82"/>
        <v>2.611559633</v>
      </c>
      <c r="R18" s="9">
        <f>IFERROR(__xludf.DUMMYFUNCTION("IFERROR(
  VLOOKUP(
    A18,
    IMPORTRANGE(
      ""1ZHMy3vVUd_0MrSduXTe1etBb1HNpAlGwQr006ljwMiM"",
      ""GSC最新!A:R""
    ),
    8,
    FALSE
  ),
  0
)
"),0.0029767441860465114)</f>
        <v>0.002976744186</v>
      </c>
      <c r="S18" s="9">
        <f>IFERROR(__xludf.DUMMYFUNCTION("IFERROR(
  VLOOKUP(
    A18,
    IMPORTRANGE(
      ""1ZHMy3vVUd_0MrSduXTe1etBb1HNpAlGwQr006ljwMiM"",
      ""GSC最新!A:R""
    ),
    11,
    FALSE
  ),
  0
)
"),0.0028103702662825828)</f>
        <v>0.002810370266</v>
      </c>
      <c r="T18" s="9">
        <f>IFERROR(__xludf.DUMMYFUNCTION("IFERROR(
  VLOOKUP(
    A18,
    IMPORTRANGE(
      ""1ZHMy3vVUd_0MrSduXTe1etBb1HNpAlGwQr006ljwMiM"",
      ""GSC最新!A:R""
    ),
    14,
    FALSE
  ),
  0
)
"),0.007462686567164179)</f>
        <v>0.007462686567</v>
      </c>
      <c r="U18" s="9">
        <f>IFERROR(__xludf.DUMMYFUNCTION("IFERROR(
  VLOOKUP(
    A18,
    IMPORTRANGE(
      ""1ZHMy3vVUd_0MrSduXTe1etBb1HNpAlGwQr006ljwMiM"",
      ""GSC最新!A:R""
    ),
    17,
    FALSE
  ),
  0
)
"),0.012660550458715596)</f>
        <v>0.01266055046</v>
      </c>
      <c r="V18" s="9">
        <f t="shared" ref="V18:W18" si="83">IFERROR(R18-T18,"-")</f>
        <v>-0.004485942381</v>
      </c>
      <c r="W18" s="9">
        <f t="shared" si="83"/>
        <v>-0.009850180192</v>
      </c>
      <c r="X18" s="65">
        <f>IFERROR(__xludf.DUMMYFUNCTION("IFERROR(
  VLOOKUP(
    A18,
    IMPORTRANGE(
      ""1ZHMy3vVUd_0MrSduXTe1etBb1HNpAlGwQr006ljwMiM"",
      ""GSC最新!A:R""
    ),
    9,
    FALSE
  ),
  0
)
"),4.337674418604651)</f>
        <v>4.337674419</v>
      </c>
      <c r="Y18" s="65">
        <f>IFERROR(__xludf.DUMMYFUNCTION("IFERROR(
  VLOOKUP(
    A18,
    IMPORTRANGE(
      ""1ZHMy3vVUd_0MrSduXTe1etBb1HNpAlGwQr006ljwMiM"",
      ""GSC最新!A:R""
    ),
    12,
    FALSE
  ),
  0
)
"),4.4102437996206)</f>
        <v>4.4102438</v>
      </c>
      <c r="Z18" s="65">
        <f>IFERROR(__xludf.DUMMYFUNCTION("IFERROR(
  VLOOKUP(
    A18,
    IMPORTRANGE(
      ""1ZHMy3vVUd_0MrSduXTe1etBb1HNpAlGwQr006ljwMiM"",
      ""GSC最新!A:R""
    ),
    15,
    FALSE
  ),
  0
)
"),9.451779563719862)</f>
        <v>9.451779564</v>
      </c>
      <c r="AA18" s="65">
        <f>IFERROR(__xludf.DUMMYFUNCTION("IFERROR(
  VLOOKUP(
    A18,
    IMPORTRANGE(
      ""1ZHMy3vVUd_0MrSduXTe1etBb1HNpAlGwQr006ljwMiM"",
      ""GSC最新!A:R""
    ),
    18,
    FALSE
  ),
  0
)
"),10.466422018348624)</f>
        <v>10.46642202</v>
      </c>
      <c r="AB18" s="65">
        <f t="shared" ref="AB18:AC18" si="84">X18-Z18</f>
        <v>-5.114105145</v>
      </c>
      <c r="AC18" s="65">
        <f t="shared" si="84"/>
        <v>-6.056178219</v>
      </c>
      <c r="AD18" s="53">
        <f>IFERROR(__xludf.DUMMYFUNCTION("IFERROR(
  VLOOKUP(
    A18,
    IMPORTRANGE(
      ""1ZHMy3vVUd_0MrSduXTe1etBb1HNpAlGwQr006ljwMiM"",
      ""GSC最新!A:F""
    ),
    6,
    FALSE
  ),
  0
)
"),46081.0)</f>
        <v>46081</v>
      </c>
      <c r="AE18" s="54">
        <f>IFERROR(__xludf.DUMMYFUNCTION("IFERROR(
  VLOOKUP(
    A18,
    IMPORTRANGE(
      ""1SCYQd7_cobOYqT0r_F0IqD4tE4rYn5y8Eup4PJTH8es"",
      ""Snapshot!A:M""
    ),
    5,
    FALSE
  ),
  ""-""
)
"),0.0)</f>
        <v>0</v>
      </c>
      <c r="AF18" s="54">
        <f>IFERROR(__xludf.DUMMYFUNCTION("IFERROR(
  VLOOKUP(
    A18,
    IMPORTRANGE(
      ""1SCYQd7_cobOYqT0r_F0IqD4tE4rYn5y8Eup4PJTH8es"",
      ""Snapshot!A:M""
    ),
    6,
    FALSE
  ),
  0
)
"),0.0)</f>
        <v>0</v>
      </c>
      <c r="AG18" s="54">
        <f>IFERROR(__xludf.DUMMYFUNCTION("IFERROR(
  VLOOKUP(
    A18,
    IMPORTRANGE(
      ""1SCYQd7_cobOYqT0r_F0IqD4tE4rYn5y8Eup4PJTH8es"",
      ""Snapshot!A:M""
    ),
    7,
    FALSE
  ),
  0
)
"),5107.0)</f>
        <v>5107</v>
      </c>
      <c r="AH18" s="54">
        <f>IFERROR(__xludf.DUMMYFUNCTION("IFERROR(
  VLOOKUP(
    A18,
    IMPORTRANGE(
      ""1SCYQd7_cobOYqT0r_F0IqD4tE4rYn5y8Eup4PJTH8es"",
      ""Snapshot!A:M""
    ),
    8,
    FALSE
  ),
  0
)
"),4.0)</f>
        <v>4</v>
      </c>
      <c r="AI18" s="54">
        <f>IFERROR(__xludf.DUMMYFUNCTION("IFERROR(
  VLOOKUP(
    A18,
    IMPORTRANGE(
      ""1SCYQd7_cobOYqT0r_F0IqD4tE4rYn5y8Eup4PJTH8es"",
      ""Snapshot!A:M""
    ),
    9,
    FALSE
  ),
  0
)
"),3.0)</f>
        <v>3</v>
      </c>
      <c r="AJ18" s="54">
        <f>IFERROR(__xludf.DUMMYFUNCTION("IFERROR(
  VLOOKUP(
    A18,
    IMPORTRANGE(
      ""1SCYQd7_cobOYqT0r_F0IqD4tE4rYn5y8Eup4PJTH8es"",
      ""Snapshot!A:M""
    ),
    13,
    FALSE
  ),
  0
)
"),1.0)</f>
        <v>1</v>
      </c>
      <c r="AK18" s="49">
        <f t="shared" ref="AK18:AL18" si="85">LEN(C18)</f>
        <v>25</v>
      </c>
      <c r="AL18" s="49">
        <f t="shared" si="85"/>
        <v>73</v>
      </c>
    </row>
    <row r="19">
      <c r="A19" s="3" t="s">
        <v>962</v>
      </c>
      <c r="B19" s="1" t="str">
        <f>IFERROR(__xludf.DUMMYFUNCTION("IFERROR(
  VLOOKUP(
    A19,
    IMPORTRANGE(
      ""1ZygntHC1J6IxzKbTidmOyf5nUyW4GCLurHCjexrLm_o"",
      ""HTMLキャッシュ!A:F""
    ),
    2,
    FALSE
  ),
  0
)
"),"MC")</f>
        <v>MC</v>
      </c>
      <c r="C19" s="1" t="str">
        <f>IFERROR(__xludf.DUMMYFUNCTION("IFERROR(
  VLOOKUP(
    A19,
    IMPORTRANGE(
      ""1ZygntHC1J6IxzKbTidmOyf5nUyW4GCLurHCjexrLm_o"",
      ""HTMLキャッシュ!A:F""
    ),
    5,
    FALSE
  ),
  0
)
"),"代名詞の基本用法｜指示・再代入・前後関係のルール整理")</f>
        <v>代名詞の基本用法｜指示・再代入・前後関係のルール整理</v>
      </c>
      <c r="D19" s="1" t="str">
        <f>IFERROR(__xludf.DUMMYFUNCTION("IFERROR(
  VLOOKUP(
    A19,
    IMPORTRANGE(
      ""1ZygntHC1J6IxzKbTidmOyf5nUyW4GCLurHCjexrLm_o        "",
      ""HTMLキャッシュ!A:F""
    ),
    6,
    FALSE
  ),
  0
)
"),"後置修飾＝名詞の後ろのかたまりが直前名詞を説明。2語以上は後ろ、訳は右→左。something cold／on 47th Street／to不定詞句で整理。")</f>
        <v>後置修飾＝名詞の後ろのかたまりが直前名詞を説明。2語以上は後ろ、訳は右→左。something cold／on 47th Street／to不定詞句で整理。</v>
      </c>
      <c r="E19" s="32">
        <f>IFERROR(__xludf.DUMMYFUNCTION("IFERROR(
  VLOOKUP(
    A19,
    IMPORTRANGE(
      ""1ZygntHC1J6IxzKbTidmOyf5nUyW4GCLurHCjexrLm_o        "",
      ""HTMLキャッシュ!A:F""
    ),
    3,
    FALSE
  ),
  0
)
"),46074.559953703705)</f>
        <v>46074.55995</v>
      </c>
      <c r="F19" s="49">
        <f>IFERROR(__xludf.DUMMYFUNCTION("IFERROR(
  VLOOKUP(
    A19,
    IMPORTRANGE(
      ""1ZHMy3vVUd_0MrSduXTe1etBb1HNpAlGwQr006ljwMiM"",
      ""GSC最新!A:F""
    ),
    2,
    FALSE
  ),
  0
)
"),20.0)</f>
        <v>20</v>
      </c>
      <c r="G19" s="49">
        <f>IFERROR(__xludf.DUMMYFUNCTION("IFERROR(
  VLOOKUP(
    A19,
    IMPORTRANGE(
      ""1ZHMy3vVUd_0MrSduXTe1etBb1HNpAlGwQr006ljwMiM"",
      ""GSC最新!A:F""
    ),
    3,
    FALSE
  ),
  0
)
"),38.0)</f>
        <v>38</v>
      </c>
      <c r="H19" s="49">
        <f>IFERROR(__xludf.DUMMYFUNCTION("IFERROR(
  VLOOKUP(
    A19,
    IMPORTRANGE(
      ""1ZHMy3vVUd_0MrSduXTe1etBb1HNpAlGwQr006ljwMiM"",
      ""GSC最新!A:F""
    ),
    4,
    FALSE
  ),
  0
)
"),8.0)</f>
        <v>8</v>
      </c>
      <c r="I19" s="49">
        <f>IFERROR(__xludf.DUMMYFUNCTION("IFERROR(
  VLOOKUP(
    A19,
    IMPORTRANGE(
      ""1ZHMy3vVUd_0MrSduXTe1etBb1HNpAlGwQr006ljwMiM"",
      ""GSC最新!A:F""
    ),
    5,
    FALSE
  ),
  0
)
"),24.0)</f>
        <v>24</v>
      </c>
      <c r="J19" s="50">
        <f t="shared" ref="J19:K19" si="86">IFERROR(F19/H19,"-")</f>
        <v>2.5</v>
      </c>
      <c r="K19" s="50">
        <f t="shared" si="86"/>
        <v>1.583333333</v>
      </c>
      <c r="L19" s="6">
        <f>IFERROR(__xludf.DUMMYFUNCTION("IFERROR(
  VLOOKUP(
    A19,
    IMPORTRANGE(
      ""1ZHMy3vVUd_0MrSduXTe1etBb1HNpAlGwQr006ljwMiM"",
      ""GSC最新!A:R""
    ),
    7,
    FALSE
  ),
  0
)
"),2367.0)</f>
        <v>2367</v>
      </c>
      <c r="M19" s="6">
        <f>IFERROR(__xludf.DUMMYFUNCTION("IFERROR(
  VLOOKUP(
    A19,
    IMPORTRANGE(
      ""1ZHMy3vVUd_0MrSduXTe1etBb1HNpAlGwQr006ljwMiM"",
      ""GSC最新!A:R""
    ),
    10,
    FALSE
  ),
  0
)
"),3844.0)</f>
        <v>3844</v>
      </c>
      <c r="N19" s="6">
        <f>IFERROR(__xludf.DUMMYFUNCTION("IFERROR(
  VLOOKUP(
    A19,
    IMPORTRANGE(
      ""1ZHMy3vVUd_0MrSduXTe1etBb1HNpAlGwQr006ljwMiM"",
      ""GSC最新!A:R""
    ),
    13,
    FALSE
  ),
  0
)
"),310.0)</f>
        <v>310</v>
      </c>
      <c r="O19" s="6">
        <f>IFERROR(__xludf.DUMMYFUNCTION("IFERROR(
  VLOOKUP(
    A19,
    IMPORTRANGE(
      ""1ZHMy3vVUd_0MrSduXTe1etBb1HNpAlGwQr006ljwMiM"",
      ""GSC最新!A:R""
    ),
    16,
    FALSE
  ),
  0
)
"),1067.0)</f>
        <v>1067</v>
      </c>
      <c r="P19" s="51">
        <f t="shared" ref="P19:Q19" si="87">IFERROR(L19/N19,"-")</f>
        <v>7.635483871</v>
      </c>
      <c r="Q19" s="51">
        <f t="shared" si="87"/>
        <v>3.60262418</v>
      </c>
      <c r="R19" s="9">
        <f>IFERROR(__xludf.DUMMYFUNCTION("IFERROR(
  VLOOKUP(
    A19,
    IMPORTRANGE(
      ""1ZHMy3vVUd_0MrSduXTe1etBb1HNpAlGwQr006ljwMiM"",
      ""GSC最新!A:R""
    ),
    8,
    FALSE
  ),
  0
)
"),0.008449514152936205)</f>
        <v>0.008449514153</v>
      </c>
      <c r="S19" s="9">
        <f>IFERROR(__xludf.DUMMYFUNCTION("IFERROR(
  VLOOKUP(
    A19,
    IMPORTRANGE(
      ""1ZHMy3vVUd_0MrSduXTe1etBb1HNpAlGwQr006ljwMiM"",
      ""GSC最新!A:R""
    ),
    11,
    FALSE
  ),
  0
)
"),0.009885535900104058)</f>
        <v>0.0098855359</v>
      </c>
      <c r="T19" s="9">
        <f>IFERROR(__xludf.DUMMYFUNCTION("IFERROR(
  VLOOKUP(
    A19,
    IMPORTRANGE(
      ""1ZHMy3vVUd_0MrSduXTe1etBb1HNpAlGwQr006ljwMiM"",
      ""GSC最新!A:R""
    ),
    14,
    FALSE
  ),
  0
)
"),0.025806451612903226)</f>
        <v>0.02580645161</v>
      </c>
      <c r="U19" s="9">
        <f>IFERROR(__xludf.DUMMYFUNCTION("IFERROR(
  VLOOKUP(
    A19,
    IMPORTRANGE(
      ""1ZHMy3vVUd_0MrSduXTe1etBb1HNpAlGwQr006ljwMiM"",
      ""GSC最新!A:R""
    ),
    17,
    FALSE
  ),
  0
)
"),0.022492970946579195)</f>
        <v>0.02249297095</v>
      </c>
      <c r="V19" s="9">
        <f t="shared" ref="V19:W19" si="88">IFERROR(R19-T19,"-")</f>
        <v>-0.01735693746</v>
      </c>
      <c r="W19" s="9">
        <f t="shared" si="88"/>
        <v>-0.01260743505</v>
      </c>
      <c r="X19" s="65">
        <f>IFERROR(__xludf.DUMMYFUNCTION("IFERROR(
  VLOOKUP(
    A19,
    IMPORTRANGE(
      ""1ZHMy3vVUd_0MrSduXTe1etBb1HNpAlGwQr006ljwMiM"",
      ""GSC最新!A:R""
    ),
    9,
    FALSE
  ),
  0
)
"),5.057034220532319)</f>
        <v>5.057034221</v>
      </c>
      <c r="Y19" s="65">
        <f>IFERROR(__xludf.DUMMYFUNCTION("IFERROR(
  VLOOKUP(
    A19,
    IMPORTRANGE(
      ""1ZHMy3vVUd_0MrSduXTe1etBb1HNpAlGwQr006ljwMiM"",
      ""GSC最新!A:R""
    ),
    12,
    FALSE
  ),
  0
)
"),5.646201873048907)</f>
        <v>5.646201873</v>
      </c>
      <c r="Z19" s="65">
        <f>IFERROR(__xludf.DUMMYFUNCTION("IFERROR(
  VLOOKUP(
    A19,
    IMPORTRANGE(
      ""1ZHMy3vVUd_0MrSduXTe1etBb1HNpAlGwQr006ljwMiM"",
      ""GSC最新!A:R""
    ),
    15,
    FALSE
  ),
  0
)
"),9.280645161290323)</f>
        <v>9.280645161</v>
      </c>
      <c r="AA19" s="65">
        <f>IFERROR(__xludf.DUMMYFUNCTION("IFERROR(
  VLOOKUP(
    A19,
    IMPORTRANGE(
      ""1ZHMy3vVUd_0MrSduXTe1etBb1HNpAlGwQr006ljwMiM"",
      ""GSC最新!A:R""
    ),
    18,
    FALSE
  ),
  0
)
"),12.9456419868791)</f>
        <v>12.94564199</v>
      </c>
      <c r="AB19" s="65">
        <f t="shared" ref="AB19:AC19" si="89">X19-Z19</f>
        <v>-4.223610941</v>
      </c>
      <c r="AC19" s="65">
        <f t="shared" si="89"/>
        <v>-7.299440114</v>
      </c>
      <c r="AD19" s="53">
        <f>IFERROR(__xludf.DUMMYFUNCTION("IFERROR(
  VLOOKUP(
    A19,
    IMPORTRANGE(
      ""1ZHMy3vVUd_0MrSduXTe1etBb1HNpAlGwQr006ljwMiM"",
      ""GSC最新!A:F""
    ),
    6,
    FALSE
  ),
  0
)
"),46081.0)</f>
        <v>46081</v>
      </c>
      <c r="AE19" s="54">
        <f>IFERROR(__xludf.DUMMYFUNCTION("IFERROR(
  VLOOKUP(
    A19,
    IMPORTRANGE(
      ""1SCYQd7_cobOYqT0r_F0IqD4tE4rYn5y8Eup4PJTH8es"",
      ""Snapshot!A:M""
    ),
    5,
    FALSE
  ),
  ""-""
)
"),2.0)</f>
        <v>2</v>
      </c>
      <c r="AF19" s="54">
        <f>IFERROR(__xludf.DUMMYFUNCTION("IFERROR(
  VLOOKUP(
    A19,
    IMPORTRANGE(
      ""1SCYQd7_cobOYqT0r_F0IqD4tE4rYn5y8Eup4PJTH8es"",
      ""Snapshot!A:M""
    ),
    6,
    FALSE
  ),
  0
)
"),0.0)</f>
        <v>0</v>
      </c>
      <c r="AG19" s="54">
        <f>IFERROR(__xludf.DUMMYFUNCTION("IFERROR(
  VLOOKUP(
    A19,
    IMPORTRANGE(
      ""1SCYQd7_cobOYqT0r_F0IqD4tE4rYn5y8Eup4PJTH8es"",
      ""Snapshot!A:M""
    ),
    7,
    FALSE
  ),
  0
)
"),4030.0)</f>
        <v>4030</v>
      </c>
      <c r="AH19" s="54">
        <f>IFERROR(__xludf.DUMMYFUNCTION("IFERROR(
  VLOOKUP(
    A19,
    IMPORTRANGE(
      ""1SCYQd7_cobOYqT0r_F0IqD4tE4rYn5y8Eup4PJTH8es"",
      ""Snapshot!A:M""
    ),
    8,
    FALSE
  ),
  0
)
"),4.0)</f>
        <v>4</v>
      </c>
      <c r="AI19" s="54">
        <f>IFERROR(__xludf.DUMMYFUNCTION("IFERROR(
  VLOOKUP(
    A19,
    IMPORTRANGE(
      ""1SCYQd7_cobOYqT0r_F0IqD4tE4rYn5y8Eup4PJTH8es"",
      ""Snapshot!A:M""
    ),
    9,
    FALSE
  ),
  0
)
"),3.0)</f>
        <v>3</v>
      </c>
      <c r="AJ19" s="54">
        <f>IFERROR(__xludf.DUMMYFUNCTION("IFERROR(
  VLOOKUP(
    A19,
    IMPORTRANGE(
      ""1SCYQd7_cobOYqT0r_F0IqD4tE4rYn5y8Eup4PJTH8es"",
      ""Snapshot!A:M""
    ),
    13,
    FALSE
  ),
  0
)
"),1.0)</f>
        <v>1</v>
      </c>
      <c r="AK19" s="49">
        <f t="shared" ref="AK19:AL19" si="90">LEN(C19)</f>
        <v>26</v>
      </c>
      <c r="AL19" s="49">
        <f t="shared" si="90"/>
        <v>78</v>
      </c>
    </row>
    <row r="20">
      <c r="A20" s="3" t="s">
        <v>963</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"),"付加疑問文とは｜作り方3つ・例外・クイズ｜中学英語")</f>
        <v>付加疑問文とは｜作り方3つ・例外・クイズ｜中学英語</v>
      </c>
      <c r="D20" s="1" t="str">
        <f>IFERROR(__xludf.DUMMYFUNCTION("IFERROR(
  VLOOKUP(
    A20,
    IMPORTRANGE(
      ""1ZygntHC1J6IxzKbTidmOyf5nUyW4GCLurHCjexrLm_o        "",
      ""HTMLキャッシュ!A:F""
    ),
    6,
    FALSE
  ),
  0
)
"),"付加疑問文＝「〜ですよね？」。作り方3つと肯定/否定の切替、There/Let’s/命令文の例外、例文とクイズ10問で確認｜中学英語")</f>
        <v>付加疑問文＝「〜ですよね？」。作り方3つと肯定/否定の切替、There/Let’s/命令文の例外、例文とクイズ10問で確認｜中学英語</v>
      </c>
      <c r="E20" s="32">
        <f>IFERROR(__xludf.DUMMYFUNCTION("IFERROR(
  VLOOKUP(
    A20,
    IMPORTRANGE(
      ""1ZygntHC1J6IxzKbTidmOyf5nUyW4GCLurHCjexrLm_o        "",
      ""HTMLキャッシュ!A:F""
    ),
    3,
    FALSE
  ),
  0
)
"),46069.81945601852)</f>
        <v>46069.81946</v>
      </c>
      <c r="F20" s="49">
        <f>IFERROR(__xludf.DUMMYFUNCTION("IFERROR(
  VLOOKUP(
    A20,
    IMPORTRANGE(
      ""1ZHMy3vVUd_0MrSduXTe1etBb1HNpAlGwQr006ljwMiM"",
      ""GSC最新!A:F""
    ),
    2,
    FALSE
  ),
  0
)
"),15.0)</f>
        <v>15</v>
      </c>
      <c r="G20" s="49">
        <f>IFERROR(__xludf.DUMMYFUNCTION("IFERROR(
  VLOOKUP(
    A20,
    IMPORTRANGE(
      ""1ZHMy3vVUd_0MrSduXTe1etBb1HNpAlGwQr006ljwMiM"",
      ""GSC最新!A:F""
    ),
    3,
    FALSE
  ),
  0
)
"),38.0)</f>
        <v>38</v>
      </c>
      <c r="H20" s="49">
        <f>IFERROR(__xludf.DUMMYFUNCTION("IFERROR(
  VLOOKUP(
    A20,
    IMPORTRANGE(
      ""1ZHMy3vVUd_0MrSduXTe1etBb1HNpAlGwQr006ljwMiM"",
      ""GSC最新!A:F""
    ),
    4,
    FALSE
  ),
  0
)
"),15.0)</f>
        <v>15</v>
      </c>
      <c r="I20" s="49">
        <f>IFERROR(__xludf.DUMMYFUNCTION("IFERROR(
  VLOOKUP(
    A20,
    IMPORTRANGE(
      ""1ZHMy3vVUd_0MrSduXTe1etBb1HNpAlGwQr006ljwMiM"",
      ""GSC最新!A:F""
    ),
    5,
    FALSE
  ),
  0
)
"),27.0)</f>
        <v>27</v>
      </c>
      <c r="J20" s="50">
        <f t="shared" ref="J20:K20" si="91">IFERROR(F20/H20,"-")</f>
        <v>1</v>
      </c>
      <c r="K20" s="50">
        <f t="shared" si="91"/>
        <v>1.407407407</v>
      </c>
      <c r="L20" s="6">
        <f>IFERROR(__xludf.DUMMYFUNCTION("IFERROR(
  VLOOKUP(
    A20,
    IMPORTRANGE(
      ""1ZHMy3vVUd_0MrSduXTe1etBb1HNpAlGwQr006ljwMiM"",
      ""GSC最新!A:R""
    ),
    7,
    FALSE
  ),
  0
)
"),3098.0)</f>
        <v>3098</v>
      </c>
      <c r="M20" s="6">
        <f>IFERROR(__xludf.DUMMYFUNCTION("IFERROR(
  VLOOKUP(
    A20,
    IMPORTRANGE(
      ""1ZHMy3vVUd_0MrSduXTe1etBb1HNpAlGwQr006ljwMiM"",
      ""GSC最新!A:R""
    ),
    10,
    FALSE
  ),
  0
)
"),9404.0)</f>
        <v>9404</v>
      </c>
      <c r="N20" s="6">
        <f>IFERROR(__xludf.DUMMYFUNCTION("IFERROR(
  VLOOKUP(
    A20,
    IMPORTRANGE(
      ""1ZHMy3vVUd_0MrSduXTe1etBb1HNpAlGwQr006ljwMiM"",
      ""GSC最新!A:R""
    ),
    13,
    FALSE
  ),
  0
)
"),621.0)</f>
        <v>621</v>
      </c>
      <c r="O20" s="6">
        <f>IFERROR(__xludf.DUMMYFUNCTION("IFERROR(
  VLOOKUP(
    A20,
    IMPORTRANGE(
      ""1ZHMy3vVUd_0MrSduXTe1etBb1HNpAlGwQr006ljwMiM"",
      ""GSC最新!A:R""
    ),
    16,
    FALSE
  ),
  0
)
"),1703.0)</f>
        <v>1703</v>
      </c>
      <c r="P20" s="51">
        <f t="shared" ref="P20:Q20" si="92">IFERROR(L20/N20,"-")</f>
        <v>4.988727858</v>
      </c>
      <c r="Q20" s="51">
        <f t="shared" si="92"/>
        <v>5.522019965</v>
      </c>
      <c r="R20" s="9">
        <f>IFERROR(__xludf.DUMMYFUNCTION("IFERROR(
  VLOOKUP(
    A20,
    IMPORTRANGE(
      ""1ZHMy3vVUd_0MrSduXTe1etBb1HNpAlGwQr006ljwMiM"",
      ""GSC最新!A:R""
    ),
    8,
    FALSE
  ),
  0
)
"),0.004841833440929632)</f>
        <v>0.004841833441</v>
      </c>
      <c r="S20" s="9">
        <f>IFERROR(__xludf.DUMMYFUNCTION("IFERROR(
  VLOOKUP(
    A20,
    IMPORTRANGE(
      ""1ZHMy3vVUd_0MrSduXTe1etBb1HNpAlGwQr006ljwMiM"",
      ""GSC最新!A:R""
    ),
    11,
    FALSE
  ),
  0
)
"),0.004040833687792429)</f>
        <v>0.004040833688</v>
      </c>
      <c r="T20" s="9">
        <f>IFERROR(__xludf.DUMMYFUNCTION("IFERROR(
  VLOOKUP(
    A20,
    IMPORTRANGE(
      ""1ZHMy3vVUd_0MrSduXTe1etBb1HNpAlGwQr006ljwMiM"",
      ""GSC最新!A:R""
    ),
    14,
    FALSE
  ),
  0
)
"),0.024154589371980676)</f>
        <v>0.02415458937</v>
      </c>
      <c r="U20" s="9">
        <f>IFERROR(__xludf.DUMMYFUNCTION("IFERROR(
  VLOOKUP(
    A20,
    IMPORTRANGE(
      ""1ZHMy3vVUd_0MrSduXTe1etBb1HNpAlGwQr006ljwMiM"",
      ""GSC最新!A:R""
    ),
    17,
    FALSE
  ),
  0
)
"),0.015854374633000587)</f>
        <v>0.01585437463</v>
      </c>
      <c r="V20" s="9">
        <f t="shared" ref="V20:W20" si="93">IFERROR(R20-T20,"-")</f>
        <v>-0.01931275593</v>
      </c>
      <c r="W20" s="9">
        <f t="shared" si="93"/>
        <v>-0.01181354095</v>
      </c>
      <c r="X20" s="65">
        <f>IFERROR(__xludf.DUMMYFUNCTION("IFERROR(
  VLOOKUP(
    A20,
    IMPORTRANGE(
      ""1ZHMy3vVUd_0MrSduXTe1etBb1HNpAlGwQr006ljwMiM"",
      ""GSC最新!A:R""
    ),
    9,
    FALSE
  ),
  0
)
"),4.298256939961265)</f>
        <v>4.29825694</v>
      </c>
      <c r="Y20" s="65">
        <f>IFERROR(__xludf.DUMMYFUNCTION("IFERROR(
  VLOOKUP(
    A20,
    IMPORTRANGE(
      ""1ZHMy3vVUd_0MrSduXTe1etBb1HNpAlGwQr006ljwMiM"",
      ""GSC最新!A:R""
    ),
    12,
    FALSE
  ),
  0
)
"),4.7789238621863035)</f>
        <v>4.778923862</v>
      </c>
      <c r="Z20" s="65">
        <f>IFERROR(__xludf.DUMMYFUNCTION("IFERROR(
  VLOOKUP(
    A20,
    IMPORTRANGE(
      ""1ZHMy3vVUd_0MrSduXTe1etBb1HNpAlGwQr006ljwMiM"",
      ""GSC最新!A:R""
    ),
    15,
    FALSE
  ),
  0
)
"),11.864734299516908)</f>
        <v>11.8647343</v>
      </c>
      <c r="AA20" s="65">
        <f>IFERROR(__xludf.DUMMYFUNCTION("IFERROR(
  VLOOKUP(
    A20,
    IMPORTRANGE(
      ""1ZHMy3vVUd_0MrSduXTe1etBb1HNpAlGwQr006ljwMiM"",
      ""GSC最新!A:R""
    ),
    18,
    FALSE
  ),
  0
)
"),13.58602466236054)</f>
        <v>13.58602466</v>
      </c>
      <c r="AB20" s="65">
        <f t="shared" ref="AB20:AC20" si="94">X20-Z20</f>
        <v>-7.56647736</v>
      </c>
      <c r="AC20" s="65">
        <f t="shared" si="94"/>
        <v>-8.8071008</v>
      </c>
      <c r="AD20" s="53">
        <f>IFERROR(__xludf.DUMMYFUNCTION("IFERROR(
  VLOOKUP(
    A20,
    IMPORTRANGE(
      ""1ZHMy3vVUd_0MrSduXTe1etBb1HNpAlGwQr006ljwMiM"",
      ""GSC最新!A:F""
    ),
    6,
    FALSE
  ),
  0
)
"),46081.0)</f>
        <v>46081</v>
      </c>
      <c r="AE20" s="54">
        <f>IFERROR(__xludf.DUMMYFUNCTION("IFERROR(
  VLOOKUP(
    A20,
    IMPORTRANGE(
      ""1SCYQd7_cobOYqT0r_F0IqD4tE4rYn5y8Eup4PJTH8es"",
      ""Snapshot!A:M""
    ),
    5,
    FALSE
  ),
  ""-""
)
"),3.0)</f>
        <v>3</v>
      </c>
      <c r="AF20" s="54">
        <f>IFERROR(__xludf.DUMMYFUNCTION("IFERROR(
  VLOOKUP(
    A20,
    IMPORTRANGE(
      ""1SCYQd7_cobOYqT0r_F0IqD4tE4rYn5y8Eup4PJTH8es"",
      ""Snapshot!A:M""
    ),
    6,
    FALSE
  ),
  0
)
"),4.0)</f>
        <v>4</v>
      </c>
      <c r="AG20" s="54">
        <f>IFERROR(__xludf.DUMMYFUNCTION("IFERROR(
  VLOOKUP(
    A20,
    IMPORTRANGE(
      ""1SCYQd7_cobOYqT0r_F0IqD4tE4rYn5y8Eup4PJTH8es"",
      ""Snapshot!A:M""
    ),
    7,
    FALSE
  ),
  0
)
"),6497.0)</f>
        <v>6497</v>
      </c>
      <c r="AH20" s="54">
        <f>IFERROR(__xludf.DUMMYFUNCTION("IFERROR(
  VLOOKUP(
    A20,
    IMPORTRANGE(
      ""1SCYQd7_cobOYqT0r_F0IqD4tE4rYn5y8Eup4PJTH8es"",
      ""Snapshot!A:M""
    ),
    8,
    FALSE
  ),
  0
)
"),4.0)</f>
        <v>4</v>
      </c>
      <c r="AI20" s="54">
        <f>IFERROR(__xludf.DUMMYFUNCTION("IFERROR(
  VLOOKUP(
    A20,
    IMPORTRANGE(
      ""1SCYQd7_cobOYqT0r_F0IqD4tE4rYn5y8Eup4PJTH8es"",
      ""Snapshot!A:M""
    ),
    9,
    FALSE
  ),
  0
)
"),3.0)</f>
        <v>3</v>
      </c>
      <c r="AJ20" s="54">
        <f>IFERROR(__xludf.DUMMYFUNCTION("IFERROR(
  VLOOKUP(
    A20,
    IMPORTRANGE(
      ""1SCYQd7_cobOYqT0r_F0IqD4tE4rYn5y8Eup4PJTH8es"",
      ""Snapshot!A:M""
    ),
    13,
    FALSE
  ),
  0
)
"),1.0)</f>
        <v>1</v>
      </c>
      <c r="AK20" s="49">
        <f t="shared" ref="AK20:AL20" si="95">LEN(C20)</f>
        <v>25</v>
      </c>
      <c r="AL20" s="49">
        <f t="shared" si="95"/>
        <v>66</v>
      </c>
    </row>
    <row r="21">
      <c r="A21" s="3" t="s">
        <v>964</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"),"受動態の作り方3手順｜by省略・否定/疑問・can beまで例文整理｜中2英語")</f>
        <v>受動態の作り方3手順｜by省略・否定/疑問・can beまで例文整理｜中2英語</v>
      </c>
      <c r="D21" s="1" t="str">
        <f>IFERROR(__xludf.DUMMYFUNCTION("IFERROR(
  VLOOKUP(
    A21,
    IMPORTRANGE(
      ""1ZygntHC1J6IxzKbTidmOyf5nUyW4GCLurHCjexrLm_o        "",
      ""HTMLキャッシュ!A:F""
    ),
    6,
    FALSE
  ),
  0
)
"),"New Treasure（トレジャー）Stage2 Lesson6-1の受動態を、①目的語→主語 ②be＋過去分詞 ③必要ならby の3手順で整理。by省略、否定文/疑問文、can be downloaded型まで例文と10問クイズで確認。")</f>
        <v>New Treasure（トレジャー）Stage2 Lesson6-1の受動態を、①目的語→主語 ②be＋過去分詞 ③必要ならby の3手順で整理。by省略、否定文/疑問文、can be downloaded型まで例文と10問クイズで確認。</v>
      </c>
      <c r="E21" s="32">
        <f>IFERROR(__xludf.DUMMYFUNCTION("IFERROR(
  VLOOKUP(
    A21,
    IMPORTRANGE(
      ""1ZygntHC1J6IxzKbTidmOyf5nUyW4GCLurHCjexrLm_o        "",
      ""HTMLキャッシュ!A:F""
    ),
    3,
    FALSE
  ),
  0
)
"),46052.67028935185)</f>
        <v>46052.67029</v>
      </c>
      <c r="F21" s="49">
        <f>IFERROR(__xludf.DUMMYFUNCTION("IFERROR(
  VLOOKUP(
    A21,
    IMPORTRANGE(
      ""1ZHMy3vVUd_0MrSduXTe1etBb1HNpAlGwQr006ljwMiM"",
      ""GSC最新!A:F""
    ),
    2,
    FALSE
  ),
  0
)
"),15.0)</f>
        <v>15</v>
      </c>
      <c r="G21" s="49">
        <f>IFERROR(__xludf.DUMMYFUNCTION("IFERROR(
  VLOOKUP(
    A21,
    IMPORTRANGE(
      ""1ZHMy3vVUd_0MrSduXTe1etBb1HNpAlGwQr006ljwMiM"",
      ""GSC最新!A:F""
    ),
    3,
    FALSE
  ),
  0
)
"),36.0)</f>
        <v>36</v>
      </c>
      <c r="H21" s="49">
        <f>IFERROR(__xludf.DUMMYFUNCTION("IFERROR(
  VLOOKUP(
    A21,
    IMPORTRANGE(
      ""1ZHMy3vVUd_0MrSduXTe1etBb1HNpAlGwQr006ljwMiM"",
      ""GSC最新!A:F""
    ),
    4,
    FALSE
  ),
  0
)
"),8.0)</f>
        <v>8</v>
      </c>
      <c r="I21" s="49">
        <f>IFERROR(__xludf.DUMMYFUNCTION("IFERROR(
  VLOOKUP(
    A21,
    IMPORTRANGE(
      ""1ZHMy3vVUd_0MrSduXTe1etBb1HNpAlGwQr006ljwMiM"",
      ""GSC最新!A:F""
    ),
    5,
    FALSE
  ),
  0
)
"),20.0)</f>
        <v>20</v>
      </c>
      <c r="J21" s="50">
        <f t="shared" ref="J21:K21" si="96">IFERROR(F21/H21,"-")</f>
        <v>1.875</v>
      </c>
      <c r="K21" s="50">
        <f t="shared" si="96"/>
        <v>1.8</v>
      </c>
      <c r="L21" s="6">
        <f>IFERROR(__xludf.DUMMYFUNCTION("IFERROR(
  VLOOKUP(
    A21,
    IMPORTRANGE(
      ""1ZHMy3vVUd_0MrSduXTe1etBb1HNpAlGwQr006ljwMiM"",
      ""GSC最新!A:R""
    ),
    7,
    FALSE
  ),
  0
)
"),1324.0)</f>
        <v>1324</v>
      </c>
      <c r="M21" s="6">
        <f>IFERROR(__xludf.DUMMYFUNCTION("IFERROR(
  VLOOKUP(
    A21,
    IMPORTRANGE(
      ""1ZHMy3vVUd_0MrSduXTe1etBb1HNpAlGwQr006ljwMiM"",
      ""GSC最新!A:R""
    ),
    10,
    FALSE
  ),
  0
)
"),2370.0)</f>
        <v>2370</v>
      </c>
      <c r="N21" s="6">
        <f>IFERROR(__xludf.DUMMYFUNCTION("IFERROR(
  VLOOKUP(
    A21,
    IMPORTRANGE(
      ""1ZHMy3vVUd_0MrSduXTe1etBb1HNpAlGwQr006ljwMiM"",
      ""GSC最新!A:R""
    ),
    13,
    FALSE
  ),
  0
)
"),240.0)</f>
        <v>240</v>
      </c>
      <c r="O21" s="6">
        <f>IFERROR(__xludf.DUMMYFUNCTION("IFERROR(
  VLOOKUP(
    A21,
    IMPORTRANGE(
      ""1ZHMy3vVUd_0MrSduXTe1etBb1HNpAlGwQr006ljwMiM"",
      ""GSC最新!A:R""
    ),
    16,
    FALSE
  ),
  0
)
"),665.0)</f>
        <v>665</v>
      </c>
      <c r="P21" s="51">
        <f t="shared" ref="P21:Q21" si="97">IFERROR(L21/N21,"-")</f>
        <v>5.516666667</v>
      </c>
      <c r="Q21" s="51">
        <f t="shared" si="97"/>
        <v>3.563909774</v>
      </c>
      <c r="R21" s="9">
        <f>IFERROR(__xludf.DUMMYFUNCTION("IFERROR(
  VLOOKUP(
    A21,
    IMPORTRANGE(
      ""1ZHMy3vVUd_0MrSduXTe1etBb1HNpAlGwQr006ljwMiM"",
      ""GSC最新!A:R""
    ),
    8,
    FALSE
  ),
  0
)
"),0.011329305135951661)</f>
        <v>0.01132930514</v>
      </c>
      <c r="S21" s="9">
        <f>IFERROR(__xludf.DUMMYFUNCTION("IFERROR(
  VLOOKUP(
    A21,
    IMPORTRANGE(
      ""1ZHMy3vVUd_0MrSduXTe1etBb1HNpAlGwQr006ljwMiM"",
      ""GSC最新!A:R""
    ),
    11,
    FALSE
  ),
  0
)
"),0.015189873417721518)</f>
        <v>0.01518987342</v>
      </c>
      <c r="T21" s="9">
        <f>IFERROR(__xludf.DUMMYFUNCTION("IFERROR(
  VLOOKUP(
    A21,
    IMPORTRANGE(
      ""1ZHMy3vVUd_0MrSduXTe1etBb1HNpAlGwQr006ljwMiM"",
      ""GSC最新!A:R""
    ),
    14,
    FALSE
  ),
  0
)
"),0.03333333333333333)</f>
        <v>0.03333333333</v>
      </c>
      <c r="U21" s="9">
        <f>IFERROR(__xludf.DUMMYFUNCTION("IFERROR(
  VLOOKUP(
    A21,
    IMPORTRANGE(
      ""1ZHMy3vVUd_0MrSduXTe1etBb1HNpAlGwQr006ljwMiM"",
      ""GSC最新!A:R""
    ),
    17,
    FALSE
  ),
  0
)
"),0.03007518796992481)</f>
        <v>0.03007518797</v>
      </c>
      <c r="V21" s="9">
        <f t="shared" ref="V21:W21" si="98">IFERROR(R21-T21,"-")</f>
        <v>-0.0220040282</v>
      </c>
      <c r="W21" s="9">
        <f t="shared" si="98"/>
        <v>-0.01488531455</v>
      </c>
      <c r="X21" s="65">
        <f>IFERROR(__xludf.DUMMYFUNCTION("IFERROR(
  VLOOKUP(
    A21,
    IMPORTRANGE(
      ""1ZHMy3vVUd_0MrSduXTe1etBb1HNpAlGwQr006ljwMiM"",
      ""GSC最新!A:R""
    ),
    9,
    FALSE
  ),
  0
)
"),2.487915407854985)</f>
        <v>2.487915408</v>
      </c>
      <c r="Y21" s="65">
        <f>IFERROR(__xludf.DUMMYFUNCTION("IFERROR(
  VLOOKUP(
    A21,
    IMPORTRANGE(
      ""1ZHMy3vVUd_0MrSduXTe1etBb1HNpAlGwQr006ljwMiM"",
      ""GSC最新!A:R""
    ),
    12,
    FALSE
  ),
  0
)
"),3.1582278481012658)</f>
        <v>3.158227848</v>
      </c>
      <c r="Z21" s="65">
        <f>IFERROR(__xludf.DUMMYFUNCTION("IFERROR(
  VLOOKUP(
    A21,
    IMPORTRANGE(
      ""1ZHMy3vVUd_0MrSduXTe1etBb1HNpAlGwQr006ljwMiM"",
      ""GSC最新!A:R""
    ),
    15,
    FALSE
  ),
  0
)
"),7.370833333333334)</f>
        <v>7.370833333</v>
      </c>
      <c r="AA21" s="65">
        <f>IFERROR(__xludf.DUMMYFUNCTION("IFERROR(
  VLOOKUP(
    A21,
    IMPORTRANGE(
      ""1ZHMy3vVUd_0MrSduXTe1etBb1HNpAlGwQr006ljwMiM"",
      ""GSC最新!A:R""
    ),
    18,
    FALSE
  ),
  0
)
"),7.809022556390977)</f>
        <v>7.809022556</v>
      </c>
      <c r="AB21" s="65">
        <f t="shared" ref="AB21:AC21" si="99">X21-Z21</f>
        <v>-4.882917925</v>
      </c>
      <c r="AC21" s="65">
        <f t="shared" si="99"/>
        <v>-4.650794708</v>
      </c>
      <c r="AD21" s="53">
        <f>IFERROR(__xludf.DUMMYFUNCTION("IFERROR(
  VLOOKUP(
    A21,
    IMPORTRANGE(
      ""1ZHMy3vVUd_0MrSduXTe1etBb1HNpAlGwQr006ljwMiM"",
      ""GSC最新!A:F""
    ),
    6,
    FALSE
  ),
  0
)
"),46081.0)</f>
        <v>46081</v>
      </c>
      <c r="AE21" s="54">
        <f>IFERROR(__xludf.DUMMYFUNCTION("IFERROR(
  VLOOKUP(
    A21,
    IMPORTRANGE(
      ""1SCYQd7_cobOYqT0r_F0IqD4tE4rYn5y8Eup4PJTH8es"",
      ""Snapshot!A:M""
    ),
    5,
    FALSE
  ),
  ""-""
)
"),15.0)</f>
        <v>15</v>
      </c>
      <c r="AF21" s="54">
        <f>IFERROR(__xludf.DUMMYFUNCTION("IFERROR(
  VLOOKUP(
    A21,
    IMPORTRANGE(
      ""1SCYQd7_cobOYqT0r_F0IqD4tE4rYn5y8Eup4PJTH8es"",
      ""Snapshot!A:M""
    ),
    6,
    FALSE
  ),
  0
)
"),9.0)</f>
        <v>9</v>
      </c>
      <c r="AG21" s="54">
        <f>IFERROR(__xludf.DUMMYFUNCTION("IFERROR(
  VLOOKUP(
    A21,
    IMPORTRANGE(
      ""1SCYQd7_cobOYqT0r_F0IqD4tE4rYn5y8Eup4PJTH8es"",
      ""Snapshot!A:M""
    ),
    7,
    FALSE
  ),
  0
)
"),6817.0)</f>
        <v>6817</v>
      </c>
      <c r="AH21" s="54">
        <f>IFERROR(__xludf.DUMMYFUNCTION("IFERROR(
  VLOOKUP(
    A21,
    IMPORTRANGE(
      ""1SCYQd7_cobOYqT0r_F0IqD4tE4rYn5y8Eup4PJTH8es"",
      ""Snapshot!A:M""
    ),
    8,
    FALSE
  ),
  0
)
"),6.0)</f>
        <v>6</v>
      </c>
      <c r="AI21" s="54">
        <f>IFERROR(__xludf.DUMMYFUNCTION("IFERROR(
  VLOOKUP(
    A21,
    IMPORTRANGE(
      ""1SCYQd7_cobOYqT0r_F0IqD4tE4rYn5y8Eup4PJTH8es"",
      ""Snapshot!A:M""
    ),
    9,
    FALSE
  ),
  0
)
"),3.0)</f>
        <v>3</v>
      </c>
      <c r="AJ21" s="54">
        <f>IFERROR(__xludf.DUMMYFUNCTION("IFERROR(
  VLOOKUP(
    A21,
    IMPORTRANGE(
      ""1SCYQd7_cobOYqT0r_F0IqD4tE4rYn5y8Eup4PJTH8es"",
      ""Snapshot!A:M""
    ),
    13,
    FALSE
  ),
  0
)
"),1.0)</f>
        <v>1</v>
      </c>
      <c r="AK21" s="49">
        <f t="shared" ref="AK21:AL21" si="100">LEN(C21)</f>
        <v>39</v>
      </c>
      <c r="AL21" s="49">
        <f t="shared" si="100"/>
        <v>120</v>
      </c>
    </row>
    <row r="22">
      <c r="A22" s="3" t="s">
        <v>965</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"),"中高一貫の中1向け｜NEW TREASURE STAGE1 学期別つまずき総まとめ - Re-Write")</f>
        <v>中高一貫の中1向け｜NEW TREASURE STAGE1 学期別つまずき総まとめ - Re-Write</v>
      </c>
      <c r="D22" s="1" t="str">
        <f>IFERROR(__xludf.DUMMYFUNCTION("IFERROR(
  VLOOKUP(
    A22,
    IMPORTRANGE(
      ""1ZygntHC1J6IxzKbTidmOyf5nUyW4GCLurHCjexrLm_o        "",
      ""HTMLキャッシュ!A:F""
    ),
    6,
    FALSE
  ),
  0
)
"),"中高一貫校などでNEW TREASURE STAGE1（中1相当）を学ぶ生徒・保護者向け。1学期の単数/複数と主語意識、2学期の動詞変化と疑問詞、3学期の数量表現・助動詞を総整理。夏休みの立て直し方針も紹介。")</f>
        <v>中高一貫校などでNEW TREASURE STAGE1（中1相当）を学ぶ生徒・保護者向け。1学期の単数/複数と主語意識、2学期の動詞変化と疑問詞、3学期の数量表現・助動詞を総整理。夏休みの立て直し方針も紹介。</v>
      </c>
      <c r="E22" s="32">
        <f>IFERROR(__xludf.DUMMYFUNCTION("IFERROR(
  VLOOKUP(
    A22,
    IMPORTRANGE(
      ""1ZygntHC1J6IxzKbTidmOyf5nUyW4GCLurHCjexrLm_o        "",
      ""HTMLキャッシュ!A:F""
    ),
    3,
    FALSE
  ),
  0
)
"),46043.59753472222)</f>
        <v>46043.59753</v>
      </c>
      <c r="F22" s="49">
        <f>IFERROR(__xludf.DUMMYFUNCTION("IFERROR(
  VLOOKUP(
    A22,
    IMPORTRANGE(
      ""1ZHMy3vVUd_0MrSduXTe1etBb1HNpAlGwQr006ljwMiM"",
      ""GSC最新!A:F""
    ),
    2,
    FALSE
  ),
  0
)
"),24.0)</f>
        <v>24</v>
      </c>
      <c r="G22" s="49">
        <f>IFERROR(__xludf.DUMMYFUNCTION("IFERROR(
  VLOOKUP(
    A22,
    IMPORTRANGE(
      ""1ZHMy3vVUd_0MrSduXTe1etBb1HNpAlGwQr006ljwMiM"",
      ""GSC最新!A:F""
    ),
    3,
    FALSE
  ),
  0
)
"),36.0)</f>
        <v>36</v>
      </c>
      <c r="H22" s="49">
        <f>IFERROR(__xludf.DUMMYFUNCTION("IFERROR(
  VLOOKUP(
    A22,
    IMPORTRANGE(
      ""1ZHMy3vVUd_0MrSduXTe1etBb1HNpAlGwQr006ljwMiM"",
      ""GSC最新!A:F""
    ),
    4,
    FALSE
  ),
  0
)
"),6.0)</f>
        <v>6</v>
      </c>
      <c r="I22" s="49">
        <f>IFERROR(__xludf.DUMMYFUNCTION("IFERROR(
  VLOOKUP(
    A22,
    IMPORTRANGE(
      ""1ZHMy3vVUd_0MrSduXTe1etBb1HNpAlGwQr006ljwMiM"",
      ""GSC最新!A:F""
    ),
    5,
    FALSE
  ),
  0
)
"),14.0)</f>
        <v>14</v>
      </c>
      <c r="J22" s="50">
        <f t="shared" ref="J22:K22" si="101">IFERROR(F22/H22,"-")</f>
        <v>4</v>
      </c>
      <c r="K22" s="50">
        <f t="shared" si="101"/>
        <v>2.571428571</v>
      </c>
      <c r="L22" s="6">
        <f>IFERROR(__xludf.DUMMYFUNCTION("IFERROR(
  VLOOKUP(
    A22,
    IMPORTRANGE(
      ""1ZHMy3vVUd_0MrSduXTe1etBb1HNpAlGwQr006ljwMiM"",
      ""GSC最新!A:R""
    ),
    7,
    FALSE
  ),
  0
)
"),545.0)</f>
        <v>545</v>
      </c>
      <c r="M22" s="6">
        <f>IFERROR(__xludf.DUMMYFUNCTION("IFERROR(
  VLOOKUP(
    A22,
    IMPORTRANGE(
      ""1ZHMy3vVUd_0MrSduXTe1etBb1HNpAlGwQr006ljwMiM"",
      ""GSC最新!A:R""
    ),
    10,
    FALSE
  ),
  0
)
"),868.0)</f>
        <v>868</v>
      </c>
      <c r="N22" s="6">
        <f>IFERROR(__xludf.DUMMYFUNCTION("IFERROR(
  VLOOKUP(
    A22,
    IMPORTRANGE(
      ""1ZHMy3vVUd_0MrSduXTe1etBb1HNpAlGwQr006ljwMiM"",
      ""GSC最新!A:R""
    ),
    13,
    FALSE
  ),
  0
)
"),128.0)</f>
        <v>128</v>
      </c>
      <c r="O22" s="6">
        <f>IFERROR(__xludf.DUMMYFUNCTION("IFERROR(
  VLOOKUP(
    A22,
    IMPORTRANGE(
      ""1ZHMy3vVUd_0MrSduXTe1etBb1HNpAlGwQr006ljwMiM"",
      ""GSC最新!A:R""
    ),
    16,
    FALSE
  ),
  0
)
"),383.0)</f>
        <v>383</v>
      </c>
      <c r="P22" s="51">
        <f t="shared" ref="P22:Q22" si="102">IFERROR(L22/N22,"-")</f>
        <v>4.2578125</v>
      </c>
      <c r="Q22" s="51">
        <f t="shared" si="102"/>
        <v>2.266318538</v>
      </c>
      <c r="R22" s="9">
        <f>IFERROR(__xludf.DUMMYFUNCTION("IFERROR(
  VLOOKUP(
    A22,
    IMPORTRANGE(
      ""1ZHMy3vVUd_0MrSduXTe1etBb1HNpAlGwQr006ljwMiM"",
      ""GSC最新!A:R""
    ),
    8,
    FALSE
  ),
  0
)
"),0.044036697247706424)</f>
        <v>0.04403669725</v>
      </c>
      <c r="S22" s="9">
        <f>IFERROR(__xludf.DUMMYFUNCTION("IFERROR(
  VLOOKUP(
    A22,
    IMPORTRANGE(
      ""1ZHMy3vVUd_0MrSduXTe1etBb1HNpAlGwQr006ljwMiM"",
      ""GSC最新!A:R""
    ),
    11,
    FALSE
  ),
  0
)
"),0.041474654377880185)</f>
        <v>0.04147465438</v>
      </c>
      <c r="T22" s="9">
        <f>IFERROR(__xludf.DUMMYFUNCTION("IFERROR(
  VLOOKUP(
    A22,
    IMPORTRANGE(
      ""1ZHMy3vVUd_0MrSduXTe1etBb1HNpAlGwQr006ljwMiM"",
      ""GSC最新!A:R""
    ),
    14,
    FALSE
  ),
  0
)
"),0.046875)</f>
        <v>0.046875</v>
      </c>
      <c r="U22" s="9">
        <f>IFERROR(__xludf.DUMMYFUNCTION("IFERROR(
  VLOOKUP(
    A22,
    IMPORTRANGE(
      ""1ZHMy3vVUd_0MrSduXTe1etBb1HNpAlGwQr006ljwMiM"",
      ""GSC最新!A:R""
    ),
    17,
    FALSE
  ),
  0
)
"),0.03655352480417755)</f>
        <v>0.0365535248</v>
      </c>
      <c r="V22" s="9">
        <f t="shared" ref="V22:W22" si="103">IFERROR(R22-T22,"-")</f>
        <v>-0.002838302752</v>
      </c>
      <c r="W22" s="9">
        <f t="shared" si="103"/>
        <v>0.004921129574</v>
      </c>
      <c r="X22" s="65">
        <f>IFERROR(__xludf.DUMMYFUNCTION("IFERROR(
  VLOOKUP(
    A22,
    IMPORTRANGE(
      ""1ZHMy3vVUd_0MrSduXTe1etBb1HNpAlGwQr006ljwMiM"",
      ""GSC最新!A:R""
    ),
    9,
    FALSE
  ),
  0
)
"),7.710091743119266)</f>
        <v>7.710091743</v>
      </c>
      <c r="Y22" s="65">
        <f>IFERROR(__xludf.DUMMYFUNCTION("IFERROR(
  VLOOKUP(
    A22,
    IMPORTRANGE(
      ""1ZHMy3vVUd_0MrSduXTe1etBb1HNpAlGwQr006ljwMiM"",
      ""GSC最新!A:R""
    ),
    12,
    FALSE
  ),
  0
)
"),8.377880184331797)</f>
        <v>8.377880184</v>
      </c>
      <c r="Z22" s="65">
        <f>IFERROR(__xludf.DUMMYFUNCTION("IFERROR(
  VLOOKUP(
    A22,
    IMPORTRANGE(
      ""1ZHMy3vVUd_0MrSduXTe1etBb1HNpAlGwQr006ljwMiM"",
      ""GSC最新!A:R""
    ),
    15,
    FALSE
  ),
  0
)
"),10.8125)</f>
        <v>10.8125</v>
      </c>
      <c r="AA22" s="65">
        <f>IFERROR(__xludf.DUMMYFUNCTION("IFERROR(
  VLOOKUP(
    A22,
    IMPORTRANGE(
      ""1ZHMy3vVUd_0MrSduXTe1etBb1HNpAlGwQr006ljwMiM"",
      ""GSC最新!A:R""
    ),
    18,
    FALSE
  ),
  0
)
"),18.54569190600522)</f>
        <v>18.54569191</v>
      </c>
      <c r="AB22" s="65">
        <f t="shared" ref="AB22:AC22" si="104">X22-Z22</f>
        <v>-3.102408257</v>
      </c>
      <c r="AC22" s="65">
        <f t="shared" si="104"/>
        <v>-10.16781172</v>
      </c>
      <c r="AD22" s="53">
        <f>IFERROR(__xludf.DUMMYFUNCTION("IFERROR(
  VLOOKUP(
    A22,
    IMPORTRANGE(
      ""1ZHMy3vVUd_0MrSduXTe1etBb1HNpAlGwQr006ljwMiM"",
      ""GSC最新!A:F""
    ),
    6,
    FALSE
  ),
  0
)
"),46081.0)</f>
        <v>46081</v>
      </c>
      <c r="AE22" s="54">
        <f>IFERROR(__xludf.DUMMYFUNCTION("IFERROR(
  VLOOKUP(
    A22,
    IMPORTRANGE(
      ""1SCYQd7_cobOYqT0r_F0IqD4tE4rYn5y8Eup4PJTH8es"",
      ""Snapshot!A:M""
    ),
    5,
    FALSE
  ),
  ""-""
)
"),0.0)</f>
        <v>0</v>
      </c>
      <c r="AF22" s="54">
        <f>IFERROR(__xludf.DUMMYFUNCTION("IFERROR(
  VLOOKUP(
    A22,
    IMPORTRANGE(
      ""1SCYQd7_cobOYqT0r_F0IqD4tE4rYn5y8Eup4PJTH8es"",
      ""Snapshot!A:M""
    ),
    6,
    FALSE
  ),
  0
)
"),0.0)</f>
        <v>0</v>
      </c>
      <c r="AG22" s="54">
        <f>IFERROR(__xludf.DUMMYFUNCTION("IFERROR(
  VLOOKUP(
    A22,
    IMPORTRANGE(
      ""1SCYQd7_cobOYqT0r_F0IqD4tE4rYn5y8Eup4PJTH8es"",
      ""Snapshot!A:M""
    ),
    7,
    FALSE
  ),
  0
)
"),5606.0)</f>
        <v>5606</v>
      </c>
      <c r="AH22" s="54">
        <f>IFERROR(__xludf.DUMMYFUNCTION("IFERROR(
  VLOOKUP(
    A22,
    IMPORTRANGE(
      ""1SCYQd7_cobOYqT0r_F0IqD4tE4rYn5y8Eup4PJTH8es"",
      ""Snapshot!A:M""
    ),
    8,
    FALSE
  ),
  0
)
"),3.0)</f>
        <v>3</v>
      </c>
      <c r="AI22" s="54">
        <f>IFERROR(__xludf.DUMMYFUNCTION("IFERROR(
  VLOOKUP(
    A22,
    IMPORTRANGE(
      ""1SCYQd7_cobOYqT0r_F0IqD4tE4rYn5y8Eup4PJTH8es"",
      ""Snapshot!A:M""
    ),
    9,
    FALSE
  ),
  0
)
"),2.0)</f>
        <v>2</v>
      </c>
      <c r="AJ22" s="54">
        <f>IFERROR(__xludf.DUMMYFUNCTION("IFERROR(
  VLOOKUP(
    A22,
    IMPORTRANGE(
      ""1SCYQd7_cobOYqT0r_F0IqD4tE4rYn5y8Eup4PJTH8es"",
      ""Snapshot!A:M""
    ),
    13,
    FALSE
  ),
  0
)
"),1.0)</f>
        <v>1</v>
      </c>
      <c r="AK22" s="49">
        <f t="shared" ref="AK22:AL22" si="105">LEN(C22)</f>
        <v>52</v>
      </c>
      <c r="AL22" s="49">
        <f t="shared" si="105"/>
        <v>104</v>
      </c>
    </row>
    <row r="23">
      <c r="A23" s="3" t="s">
        <v>966</v>
      </c>
      <c r="B23" s="1" t="str">
        <f>IFERROR(__xludf.DUMMYFUNCTION("IFERROR(
  VLOOKUP(
    A23,
    IMPORTRANGE(
      ""1ZygntHC1J6IxzKbTidmOyf5nUyW4GCLurHCjexrLm_o"",
      ""HTMLキャッシュ!A:F""
    ),
    2,
    FALSE
  ),
  0
)
"),"MC")</f>
        <v>MC</v>
      </c>
      <c r="C23" s="1" t="str">
        <f>IFERROR(__xludf.DUMMYFUNCTION("IFERROR(
  VLOOKUP(
    A23,
    IMPORTRANGE(
      ""1ZygntHC1J6IxzKbTidmOyf5nUyW4GCLurHCjexrLm_o"",
      ""HTMLキャッシュ!A:F""
    ),
    5,
    FALSE
  ),
  0
)
"),"中1英語｜How／Why疑問文の語順と答え方を完全解説")</f>
        <v>中1英語｜How／Why疑問文の語順と答え方を完全解説</v>
      </c>
      <c r="D23" s="1" t="str">
        <f>IFERROR(__xludf.DUMMYFUNCTION("IFERROR(
  VLOOKUP(
    A23,
    IMPORTRANGE(
      ""1ZygntHC1J6IxzKbTidmOyf5nUyW4GCLurHCjexrLm_o        "",
      ""HTMLキャッシュ!A:F""
    ),
    6,
    FALSE
  ),
  0
)
"),"WhyはBecause＋主語＋動詞。beは前へ／一般動詞はdo・did。How longはfor、How oftenはonce/twice・times。表＋10問で確認。")</f>
        <v>WhyはBecause＋主語＋動詞。beは前へ／一般動詞はdo・did。How longはfor、How oftenはonce/twice・times。表＋10問で確認。</v>
      </c>
      <c r="E23" s="32">
        <f>IFERROR(__xludf.DUMMYFUNCTION("IFERROR(
  VLOOKUP(
    A23,
    IMPORTRANGE(
      ""1ZygntHC1J6IxzKbTidmOyf5nUyW4GCLurHCjexrLm_o        "",
      ""HTMLキャッシュ!A:F""
    ),
    3,
    FALSE
  ),
  0
)
"),46074.546631944446)</f>
        <v>46074.54663</v>
      </c>
      <c r="F23" s="49">
        <f>IFERROR(__xludf.DUMMYFUNCTION("IFERROR(
  VLOOKUP(
    A23,
    IMPORTRANGE(
      ""1ZHMy3vVUd_0MrSduXTe1etBb1HNpAlGwQr006ljwMiM"",
      ""GSC最新!A:F""
    ),
    2,
    FALSE
  ),
  0
)
"),30.0)</f>
        <v>30</v>
      </c>
      <c r="G23" s="49">
        <f>IFERROR(__xludf.DUMMYFUNCTION("IFERROR(
  VLOOKUP(
    A23,
    IMPORTRANGE(
      ""1ZHMy3vVUd_0MrSduXTe1etBb1HNpAlGwQr006ljwMiM"",
      ""GSC最新!A:F""
    ),
    3,
    FALSE
  ),
  0
)
"),36.0)</f>
        <v>36</v>
      </c>
      <c r="H23" s="49">
        <f>IFERROR(__xludf.DUMMYFUNCTION("IFERROR(
  VLOOKUP(
    A23,
    IMPORTRANGE(
      ""1ZHMy3vVUd_0MrSduXTe1etBb1HNpAlGwQr006ljwMiM"",
      ""GSC最新!A:F""
    ),
    4,
    FALSE
  ),
  0
)
"),10.0)</f>
        <v>10</v>
      </c>
      <c r="I23" s="49">
        <f>IFERROR(__xludf.DUMMYFUNCTION("IFERROR(
  VLOOKUP(
    A23,
    IMPORTRANGE(
      ""1ZHMy3vVUd_0MrSduXTe1etBb1HNpAlGwQr006ljwMiM"",
      ""GSC最新!A:F""
    ),
    5,
    FALSE
  ),
  0
)
"),27.0)</f>
        <v>27</v>
      </c>
      <c r="J23" s="50">
        <f t="shared" ref="J23:K23" si="106">IFERROR(F23/H23,"-")</f>
        <v>3</v>
      </c>
      <c r="K23" s="50">
        <f t="shared" si="106"/>
        <v>1.333333333</v>
      </c>
      <c r="L23" s="6">
        <f>IFERROR(__xludf.DUMMYFUNCTION("IFERROR(
  VLOOKUP(
    A23,
    IMPORTRANGE(
      ""1ZHMy3vVUd_0MrSduXTe1etBb1HNpAlGwQr006ljwMiM"",
      ""GSC最新!A:R""
    ),
    7,
    FALSE
  ),
  0
)
"),7781.0)</f>
        <v>7781</v>
      </c>
      <c r="M23" s="6">
        <f>IFERROR(__xludf.DUMMYFUNCTION("IFERROR(
  VLOOKUP(
    A23,
    IMPORTRANGE(
      ""1ZHMy3vVUd_0MrSduXTe1etBb1HNpAlGwQr006ljwMiM"",
      ""GSC最新!A:R""
    ),
    10,
    FALSE
  ),
  0
)
"),15027.0)</f>
        <v>15027</v>
      </c>
      <c r="N23" s="6">
        <f>IFERROR(__xludf.DUMMYFUNCTION("IFERROR(
  VLOOKUP(
    A23,
    IMPORTRANGE(
      ""1ZHMy3vVUd_0MrSduXTe1etBb1HNpAlGwQr006ljwMiM"",
      ""GSC最新!A:R""
    ),
    13,
    FALSE
  ),
  0
)
"),720.0)</f>
        <v>720</v>
      </c>
      <c r="O23" s="6">
        <f>IFERROR(__xludf.DUMMYFUNCTION("IFERROR(
  VLOOKUP(
    A23,
    IMPORTRANGE(
      ""1ZHMy3vVUd_0MrSduXTe1etBb1HNpAlGwQr006ljwMiM"",
      ""GSC最新!A:R""
    ),
    16,
    FALSE
  ),
  0
)
"),1537.0)</f>
        <v>1537</v>
      </c>
      <c r="P23" s="51">
        <f t="shared" ref="P23:Q23" si="107">IFERROR(L23/N23,"-")</f>
        <v>10.80694444</v>
      </c>
      <c r="Q23" s="51">
        <f t="shared" si="107"/>
        <v>9.776837996</v>
      </c>
      <c r="R23" s="9">
        <f>IFERROR(__xludf.DUMMYFUNCTION("IFERROR(
  VLOOKUP(
    A23,
    IMPORTRANGE(
      ""1ZHMy3vVUd_0MrSduXTe1etBb1HNpAlGwQr006ljwMiM"",
      ""GSC最新!A:R""
    ),
    8,
    FALSE
  ),
  0
)
"),0.003855545559696697)</f>
        <v>0.00385554556</v>
      </c>
      <c r="S23" s="9">
        <f>IFERROR(__xludf.DUMMYFUNCTION("IFERROR(
  VLOOKUP(
    A23,
    IMPORTRANGE(
      ""1ZHMy3vVUd_0MrSduXTe1etBb1HNpAlGwQr006ljwMiM"",
      ""GSC最新!A:R""
    ),
    11,
    FALSE
  ),
  0
)
"),0.002395687762028349)</f>
        <v>0.002395687762</v>
      </c>
      <c r="T23" s="9">
        <f>IFERROR(__xludf.DUMMYFUNCTION("IFERROR(
  VLOOKUP(
    A23,
    IMPORTRANGE(
      ""1ZHMy3vVUd_0MrSduXTe1etBb1HNpAlGwQr006ljwMiM"",
      ""GSC最新!A:R""
    ),
    14,
    FALSE
  ),
  0
)
"),0.013888888888888888)</f>
        <v>0.01388888889</v>
      </c>
      <c r="U23" s="9">
        <f>IFERROR(__xludf.DUMMYFUNCTION("IFERROR(
  VLOOKUP(
    A23,
    IMPORTRANGE(
      ""1ZHMy3vVUd_0MrSduXTe1etBb1HNpAlGwQr006ljwMiM"",
      ""GSC最新!A:R""
    ),
    17,
    FALSE
  ),
  0
)
"),0.01756668835393624)</f>
        <v>0.01756668835</v>
      </c>
      <c r="V23" s="9">
        <f t="shared" ref="V23:W23" si="108">IFERROR(R23-T23,"-")</f>
        <v>-0.01003334333</v>
      </c>
      <c r="W23" s="9">
        <f t="shared" si="108"/>
        <v>-0.01517100059</v>
      </c>
      <c r="X23" s="65">
        <f>IFERROR(__xludf.DUMMYFUNCTION("IFERROR(
  VLOOKUP(
    A23,
    IMPORTRANGE(
      ""1ZHMy3vVUd_0MrSduXTe1etBb1HNpAlGwQr006ljwMiM"",
      ""GSC最新!A:R""
    ),
    9,
    FALSE
  ),
  0
)
"),3.7749646574990363)</f>
        <v>3.774964657</v>
      </c>
      <c r="Y23" s="65">
        <f>IFERROR(__xludf.DUMMYFUNCTION("IFERROR(
  VLOOKUP(
    A23,
    IMPORTRANGE(
      ""1ZHMy3vVUd_0MrSduXTe1etBb1HNpAlGwQr006ljwMiM"",
      ""GSC最新!A:R""
    ),
    12,
    FALSE
  ),
  0
)
"),4.194915818193918)</f>
        <v>4.194915818</v>
      </c>
      <c r="Z23" s="65">
        <f>IFERROR(__xludf.DUMMYFUNCTION("IFERROR(
  VLOOKUP(
    A23,
    IMPORTRANGE(
      ""1ZHMy3vVUd_0MrSduXTe1etBb1HNpAlGwQr006ljwMiM"",
      ""GSC最新!A:R""
    ),
    15,
    FALSE
  ),
  0
)
"),9.027777777777779)</f>
        <v>9.027777778</v>
      </c>
      <c r="AA23" s="65">
        <f>IFERROR(__xludf.DUMMYFUNCTION("IFERROR(
  VLOOKUP(
    A23,
    IMPORTRANGE(
      ""1ZHMy3vVUd_0MrSduXTe1etBb1HNpAlGwQr006ljwMiM"",
      ""GSC最新!A:R""
    ),
    18,
    FALSE
  ),
  0
)
"),8.706571242680546)</f>
        <v>8.706571243</v>
      </c>
      <c r="AB23" s="65">
        <f t="shared" ref="AB23:AC23" si="109">X23-Z23</f>
        <v>-5.25281312</v>
      </c>
      <c r="AC23" s="65">
        <f t="shared" si="109"/>
        <v>-4.511655424</v>
      </c>
      <c r="AD23" s="53">
        <f>IFERROR(__xludf.DUMMYFUNCTION("IFERROR(
  VLOOKUP(
    A23,
    IMPORTRANGE(
      ""1ZHMy3vVUd_0MrSduXTe1etBb1HNpAlGwQr006ljwMiM"",
      ""GSC最新!A:F""
    ),
    6,
    FALSE
  ),
  0
)
"),46081.0)</f>
        <v>46081</v>
      </c>
      <c r="AE23" s="54">
        <f>IFERROR(__xludf.DUMMYFUNCTION("IFERROR(
  VLOOKUP(
    A23,
    IMPORTRANGE(
      ""1SCYQd7_cobOYqT0r_F0IqD4tE4rYn5y8Eup4PJTH8es"",
      ""Snapshot!A:M""
    ),
    5,
    FALSE
  ),
  ""-""
)
"),2.0)</f>
        <v>2</v>
      </c>
      <c r="AF23" s="54">
        <f>IFERROR(__xludf.DUMMYFUNCTION("IFERROR(
  VLOOKUP(
    A23,
    IMPORTRANGE(
      ""1SCYQd7_cobOYqT0r_F0IqD4tE4rYn5y8Eup4PJTH8es"",
      ""Snapshot!A:M""
    ),
    6,
    FALSE
  ),
  0
)
"),0.0)</f>
        <v>0</v>
      </c>
      <c r="AG23" s="54">
        <f>IFERROR(__xludf.DUMMYFUNCTION("IFERROR(
  VLOOKUP(
    A23,
    IMPORTRANGE(
      ""1SCYQd7_cobOYqT0r_F0IqD4tE4rYn5y8Eup4PJTH8es"",
      ""Snapshot!A:M""
    ),
    7,
    FALSE
  ),
  0
)
"),7036.0)</f>
        <v>7036</v>
      </c>
      <c r="AH23" s="54">
        <f>IFERROR(__xludf.DUMMYFUNCTION("IFERROR(
  VLOOKUP(
    A23,
    IMPORTRANGE(
      ""1SCYQd7_cobOYqT0r_F0IqD4tE4rYn5y8Eup4PJTH8es"",
      ""Snapshot!A:M""
    ),
    8,
    FALSE
  ),
  0
)
"),2.0)</f>
        <v>2</v>
      </c>
      <c r="AI23" s="54">
        <f>IFERROR(__xludf.DUMMYFUNCTION("IFERROR(
  VLOOKUP(
    A23,
    IMPORTRANGE(
      ""1SCYQd7_cobOYqT0r_F0IqD4tE4rYn5y8Eup4PJTH8es"",
      ""Snapshot!A:M""
    ),
    9,
    FALSE
  ),
  0
)
"),1.0)</f>
        <v>1</v>
      </c>
      <c r="AJ23" s="54">
        <f>IFERROR(__xludf.DUMMYFUNCTION("IFERROR(
  VLOOKUP(
    A23,
    IMPORTRANGE(
      ""1SCYQd7_cobOYqT0r_F0IqD4tE4rYn5y8Eup4PJTH8es"",
      ""Snapshot!A:M""
    ),
    13,
    FALSE
  ),
  0
)
"),1.0)</f>
        <v>1</v>
      </c>
      <c r="AK23" s="49">
        <f t="shared" ref="AK23:AL23" si="110">LEN(C23)</f>
        <v>27</v>
      </c>
      <c r="AL23" s="49">
        <f t="shared" si="110"/>
        <v>85</v>
      </c>
    </row>
    <row r="24">
      <c r="A24" s="3" t="s">
        <v>967</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"),"can / could の「可能性」の意味とは？助動詞の使い分けを整理")</f>
        <v>can / could の「可能性」の意味とは？助動詞の使い分けを整理</v>
      </c>
      <c r="D24" s="1" t="str">
        <f>IFERROR(__xludf.DUMMYFUNCTION("IFERROR(
  VLOOKUP(
    A24,
    IMPORTRANGE(
      ""1ZygntHC1J6IxzKbTidmOyf5nUyW4GCLurHCjexrLm_o        "",
      ""HTMLキャッシュ!A:F""
    ),
    6,
    FALSE
  ),
  0
)
"),"can / could が「できる」以外に表す意味を整理。可能性や推量として使われる場合の考え方を、例文付きで分かりやすく解説します。「～することがある」「～かもしれない」と訳される理由がスッと理解できる内容です。")</f>
        <v>can / could が「できる」以外に表す意味を整理。可能性や推量として使われる場合の考え方を、例文付きで分かりやすく解説します。「～することがある」「～かもしれない」と訳される理由がスッと理解できる内容です。</v>
      </c>
      <c r="E24" s="32">
        <f>IFERROR(__xludf.DUMMYFUNCTION("IFERROR(
  VLOOKUP(
    A24,
    IMPORTRANGE(
      ""1ZygntHC1J6IxzKbTidmOyf5nUyW4GCLurHCjexrLm_o        "",
      ""HTMLキャッシュ!A:F""
    ),
    3,
    FALSE
  ),
  0
)
"),46080.81761574074)</f>
        <v>46080.81762</v>
      </c>
      <c r="F24" s="49">
        <f>IFERROR(__xludf.DUMMYFUNCTION("IFERROR(
  VLOOKUP(
    A24,
    IMPORTRANGE(
      ""1ZHMy3vVUd_0MrSduXTe1etBb1HNpAlGwQr006ljwMiM"",
      ""GSC最新!A:F""
    ),
    2,
    FALSE
  ),
  0
)
"),15.0)</f>
        <v>15</v>
      </c>
      <c r="G24" s="49">
        <f>IFERROR(__xludf.DUMMYFUNCTION("IFERROR(
  VLOOKUP(
    A24,
    IMPORTRANGE(
      ""1ZHMy3vVUd_0MrSduXTe1etBb1HNpAlGwQr006ljwMiM"",
      ""GSC最新!A:F""
    ),
    3,
    FALSE
  ),
  0
)
"),33.0)</f>
        <v>33</v>
      </c>
      <c r="H24" s="49">
        <f>IFERROR(__xludf.DUMMYFUNCTION("IFERROR(
  VLOOKUP(
    A24,
    IMPORTRANGE(
      ""1ZHMy3vVUd_0MrSduXTe1etBb1HNpAlGwQr006ljwMiM"",
      ""GSC最新!A:F""
    ),
    4,
    FALSE
  ),
  0
)
"),3.0)</f>
        <v>3</v>
      </c>
      <c r="I24" s="49">
        <f>IFERROR(__xludf.DUMMYFUNCTION("IFERROR(
  VLOOKUP(
    A24,
    IMPORTRANGE(
      ""1ZHMy3vVUd_0MrSduXTe1etBb1HNpAlGwQr006ljwMiM"",
      ""GSC最新!A:F""
    ),
    5,
    FALSE
  ),
  0
)
"),5.0)</f>
        <v>5</v>
      </c>
      <c r="J24" s="50">
        <f t="shared" ref="J24:K24" si="111">IFERROR(F24/H24,"-")</f>
        <v>5</v>
      </c>
      <c r="K24" s="50">
        <f t="shared" si="111"/>
        <v>6.6</v>
      </c>
      <c r="L24" s="6">
        <f>IFERROR(__xludf.DUMMYFUNCTION("IFERROR(
  VLOOKUP(
    A24,
    IMPORTRANGE(
      ""1ZHMy3vVUd_0MrSduXTe1etBb1HNpAlGwQr006ljwMiM"",
      ""GSC最新!A:R""
    ),
    7,
    FALSE
  ),
  0
)
"),5362.0)</f>
        <v>5362</v>
      </c>
      <c r="M24" s="6">
        <f>IFERROR(__xludf.DUMMYFUNCTION("IFERROR(
  VLOOKUP(
    A24,
    IMPORTRANGE(
      ""1ZHMy3vVUd_0MrSduXTe1etBb1HNpAlGwQr006ljwMiM"",
      ""GSC最新!A:R""
    ),
    10,
    FALSE
  ),
  0
)
"),11881.0)</f>
        <v>11881</v>
      </c>
      <c r="N24" s="6">
        <f>IFERROR(__xludf.DUMMYFUNCTION("IFERROR(
  VLOOKUP(
    A24,
    IMPORTRANGE(
      ""1ZHMy3vVUd_0MrSduXTe1etBb1HNpAlGwQr006ljwMiM"",
      ""GSC最新!A:R""
    ),
    13,
    FALSE
  ),
  0
)
"),128.0)</f>
        <v>128</v>
      </c>
      <c r="O24" s="6">
        <f>IFERROR(__xludf.DUMMYFUNCTION("IFERROR(
  VLOOKUP(
    A24,
    IMPORTRANGE(
      ""1ZHMy3vVUd_0MrSduXTe1etBb1HNpAlGwQr006ljwMiM"",
      ""GSC最新!A:R""
    ),
    16,
    FALSE
  ),
  0
)
"),331.0)</f>
        <v>331</v>
      </c>
      <c r="P24" s="51">
        <f t="shared" ref="P24:Q24" si="112">IFERROR(L24/N24,"-")</f>
        <v>41.890625</v>
      </c>
      <c r="Q24" s="51">
        <f t="shared" si="112"/>
        <v>35.89425982</v>
      </c>
      <c r="R24" s="9">
        <f>IFERROR(__xludf.DUMMYFUNCTION("IFERROR(
  VLOOKUP(
    A24,
    IMPORTRANGE(
      ""1ZHMy3vVUd_0MrSduXTe1etBb1HNpAlGwQr006ljwMiM"",
      ""GSC最新!A:R""
    ),
    8,
    FALSE
  ),
  0
)
"),0.0027974636329727715)</f>
        <v>0.002797463633</v>
      </c>
      <c r="S24" s="9">
        <f>IFERROR(__xludf.DUMMYFUNCTION("IFERROR(
  VLOOKUP(
    A24,
    IMPORTRANGE(
      ""1ZHMy3vVUd_0MrSduXTe1etBb1HNpAlGwQr006ljwMiM"",
      ""GSC最新!A:R""
    ),
    11,
    FALSE
  ),
  0
)
"),0.002777543977779648)</f>
        <v>0.002777543978</v>
      </c>
      <c r="T24" s="9">
        <f>IFERROR(__xludf.DUMMYFUNCTION("IFERROR(
  VLOOKUP(
    A24,
    IMPORTRANGE(
      ""1ZHMy3vVUd_0MrSduXTe1etBb1HNpAlGwQr006ljwMiM"",
      ""GSC最新!A:R""
    ),
    14,
    FALSE
  ),
  0
)
"),0.0234375)</f>
        <v>0.0234375</v>
      </c>
      <c r="U24" s="9">
        <f>IFERROR(__xludf.DUMMYFUNCTION("IFERROR(
  VLOOKUP(
    A24,
    IMPORTRANGE(
      ""1ZHMy3vVUd_0MrSduXTe1etBb1HNpAlGwQr006ljwMiM"",
      ""GSC最新!A:R""
    ),
    17,
    FALSE
  ),
  0
)
"),0.015105740181268883)</f>
        <v>0.01510574018</v>
      </c>
      <c r="V24" s="9">
        <f t="shared" ref="V24:W24" si="113">IFERROR(R24-T24,"-")</f>
        <v>-0.02064003637</v>
      </c>
      <c r="W24" s="9">
        <f t="shared" si="113"/>
        <v>-0.0123281962</v>
      </c>
      <c r="X24" s="65">
        <f>IFERROR(__xludf.DUMMYFUNCTION("IFERROR(
  VLOOKUP(
    A24,
    IMPORTRANGE(
      ""1ZHMy3vVUd_0MrSduXTe1etBb1HNpAlGwQr006ljwMiM"",
      ""GSC最新!A:R""
    ),
    9,
    FALSE
  ),
  0
)
"),4.449832152182021)</f>
        <v>4.449832152</v>
      </c>
      <c r="Y24" s="65">
        <f>IFERROR(__xludf.DUMMYFUNCTION("IFERROR(
  VLOOKUP(
    A24,
    IMPORTRANGE(
      ""1ZHMy3vVUd_0MrSduXTe1etBb1HNpAlGwQr006ljwMiM"",
      ""GSC最新!A:R""
    ),
    12,
    FALSE
  ),
  0
)
"),4.3653732850770135)</f>
        <v>4.365373285</v>
      </c>
      <c r="Z24" s="65">
        <f>IFERROR(__xludf.DUMMYFUNCTION("IFERROR(
  VLOOKUP(
    A24,
    IMPORTRANGE(
      ""1ZHMy3vVUd_0MrSduXTe1etBb1HNpAlGwQr006ljwMiM"",
      ""GSC最新!A:R""
    ),
    15,
    FALSE
  ),
  0
)
"),11.203125)</f>
        <v>11.203125</v>
      </c>
      <c r="AA24" s="65">
        <f>IFERROR(__xludf.DUMMYFUNCTION("IFERROR(
  VLOOKUP(
    A24,
    IMPORTRANGE(
      ""1ZHMy3vVUd_0MrSduXTe1etBb1HNpAlGwQr006ljwMiM"",
      ""GSC最新!A:R""
    ),
    18,
    FALSE
  ),
  0
)
"),20.72809667673716)</f>
        <v>20.72809668</v>
      </c>
      <c r="AB24" s="65">
        <f t="shared" ref="AB24:AC24" si="114">X24-Z24</f>
        <v>-6.753292848</v>
      </c>
      <c r="AC24" s="65">
        <f t="shared" si="114"/>
        <v>-16.36272339</v>
      </c>
      <c r="AD24" s="53">
        <f>IFERROR(__xludf.DUMMYFUNCTION("IFERROR(
  VLOOKUP(
    A24,
    IMPORTRANGE(
      ""1ZHMy3vVUd_0MrSduXTe1etBb1HNpAlGwQr006ljwMiM"",
      ""GSC最新!A:F""
    ),
    6,
    FALSE
  ),
  0
)
"),46081.0)</f>
        <v>46081</v>
      </c>
      <c r="AE24" s="54">
        <f>IFERROR(__xludf.DUMMYFUNCTION("IFERROR(
  VLOOKUP(
    A24,
    IMPORTRANGE(
      ""1SCYQd7_cobOYqT0r_F0IqD4tE4rYn5y8Eup4PJTH8es"",
      ""Snapshot!A:M""
    ),
    5,
    FALSE
  ),
  ""-""
)
"),2.0)</f>
        <v>2</v>
      </c>
      <c r="AF24" s="54">
        <f>IFERROR(__xludf.DUMMYFUNCTION("IFERROR(
  VLOOKUP(
    A24,
    IMPORTRANGE(
      ""1SCYQd7_cobOYqT0r_F0IqD4tE4rYn5y8Eup4PJTH8es"",
      ""Snapshot!A:M""
    ),
    6,
    FALSE
  ),
  0
)
"),2.0)</f>
        <v>2</v>
      </c>
      <c r="AG24" s="54">
        <f>IFERROR(__xludf.DUMMYFUNCTION("IFERROR(
  VLOOKUP(
    A24,
    IMPORTRANGE(
      ""1SCYQd7_cobOYqT0r_F0IqD4tE4rYn5y8Eup4PJTH8es"",
      ""Snapshot!A:M""
    ),
    7,
    FALSE
  ),
  0
)
"),4067.0)</f>
        <v>4067</v>
      </c>
      <c r="AH24" s="54">
        <f>IFERROR(__xludf.DUMMYFUNCTION("IFERROR(
  VLOOKUP(
    A24,
    IMPORTRANGE(
      ""1SCYQd7_cobOYqT0r_F0IqD4tE4rYn5y8Eup4PJTH8es"",
      ""Snapshot!A:M""
    ),
    8,
    FALSE
  ),
  0
)
"),2.0)</f>
        <v>2</v>
      </c>
      <c r="AI24" s="54">
        <f>IFERROR(__xludf.DUMMYFUNCTION("IFERROR(
  VLOOKUP(
    A24,
    IMPORTRANGE(
      ""1SCYQd7_cobOYqT0r_F0IqD4tE4rYn5y8Eup4PJTH8es"",
      ""Snapshot!A:M""
    ),
    9,
    FALSE
  ),
  0
)
"),1.0)</f>
        <v>1</v>
      </c>
      <c r="AJ24" s="54">
        <f>IFERROR(__xludf.DUMMYFUNCTION("IFERROR(
  VLOOKUP(
    A24,
    IMPORTRANGE(
      ""1SCYQd7_cobOYqT0r_F0IqD4tE4rYn5y8Eup4PJTH8es"",
      ""Snapshot!A:M""
    ),
    13,
    FALSE
  ),
  0
)
"),1.0)</f>
        <v>1</v>
      </c>
      <c r="AK24" s="49">
        <f t="shared" ref="AK24:AL24" si="115">LEN(C24)</f>
        <v>35</v>
      </c>
      <c r="AL24" s="49">
        <f t="shared" si="115"/>
        <v>107</v>
      </c>
    </row>
    <row r="25">
      <c r="A25" s="3" t="s">
        <v>968</v>
      </c>
      <c r="B25" s="1" t="str">
        <f>IFERROR(__xludf.DUMMYFUNCTION("IFERROR(
  VLOOKUP(
    A25,
    IMPORTRANGE(
      ""1ZygntHC1J6IxzKbTidmOyf5nUyW4GCLurHCjexrLm_o"",
      ""HTMLキャッシュ!A:F""
    ),
    2,
    FALSE
  ),
  0
)
"),"MC")</f>
        <v>MC</v>
      </c>
      <c r="C25" s="1" t="str">
        <f>IFERROR(__xludf.DUMMYFUNCTION("IFERROR(
  VLOOKUP(
    A25,
    IMPORTRANGE(
      ""1ZygntHC1J6IxzKbTidmOyf5nUyW4GCLurHCjexrLm_o"",
      ""HTMLキャッシュ!A:F""
    ),
    5,
    FALSE
  ),
  0
)
"),"現在進行形の疑問文の作り方・答え方｜be動詞を前へ／Yes・Noの短い答え／否定文notまで")</f>
        <v>現在進行形の疑問文の作り方・答え方｜be動詞を前へ／Yes・Noの短い答え／否定文notまで</v>
      </c>
      <c r="D25" s="1" t="str">
        <f>IFERROR(__xludf.DUMMYFUNCTION("IFERROR(
  VLOOKUP(
    A25,
    IMPORTRANGE(
      ""1ZygntHC1J6IxzKbTidmOyf5nUyW4GCLurHCjexrLm_o        "",
      ""HTMLキャッシュ!A:F""
    ),
    6,
    FALSE
  ),
  0
)
"),"現在進行形は be動詞＋ing。否定文は be動詞の直後に not、疑問文は be動詞を文頭へ（Is/Are＋主語＋ing…?）。Yes/Noの短い答え、What/Who疑問文（Whoが主語のときは基本is）まで、例文・まとめ表・クイズで確認できます（Stage1 Lesson7-2）。")</f>
        <v>現在進行形は be動詞＋ing。否定文は be動詞の直後に not、疑問文は be動詞を文頭へ（Is/Are＋主語＋ing…?）。Yes/Noの短い答え、What/Who疑問文（Whoが主語のときは基本is）まで、例文・まとめ表・クイズで確認できます（Stage1 Lesson7-2）。</v>
      </c>
      <c r="E25" s="32">
        <f>IFERROR(__xludf.DUMMYFUNCTION("IFERROR(
  VLOOKUP(
    A25,
    IMPORTRANGE(
      ""1ZygntHC1J6IxzKbTidmOyf5nUyW4GCLurHCjexrLm_o        "",
      ""HTMLキャッシュ!A:F""
    ),
    3,
    FALSE
  ),
  0
)
"),46080.81601851852)</f>
        <v>46080.81602</v>
      </c>
      <c r="F25" s="49">
        <f>IFERROR(__xludf.DUMMYFUNCTION("IFERROR(
  VLOOKUP(
    A25,
    IMPORTRANGE(
      ""1ZHMy3vVUd_0MrSduXTe1etBb1HNpAlGwQr006ljwMiM"",
      ""GSC最新!A:F""
    ),
    2,
    FALSE
  ),
  0
)
"),18.0)</f>
        <v>18</v>
      </c>
      <c r="G25" s="49">
        <f>IFERROR(__xludf.DUMMYFUNCTION("IFERROR(
  VLOOKUP(
    A25,
    IMPORTRANGE(
      ""1ZHMy3vVUd_0MrSduXTe1etBb1HNpAlGwQr006ljwMiM"",
      ""GSC最新!A:F""
    ),
    3,
    FALSE
  ),
  0
)
"),34.0)</f>
        <v>34</v>
      </c>
      <c r="H25" s="49">
        <f>IFERROR(__xludf.DUMMYFUNCTION("IFERROR(
  VLOOKUP(
    A25,
    IMPORTRANGE(
      ""1ZHMy3vVUd_0MrSduXTe1etBb1HNpAlGwQr006ljwMiM"",
      ""GSC最新!A:F""
    ),
    4,
    FALSE
  ),
  0
)
"),0.0)</f>
        <v>0</v>
      </c>
      <c r="I25" s="49">
        <f>IFERROR(__xludf.DUMMYFUNCTION("IFERROR(
  VLOOKUP(
    A25,
    IMPORTRANGE(
      ""1ZHMy3vVUd_0MrSduXTe1etBb1HNpAlGwQr006ljwMiM"",
      ""GSC最新!A:F""
    ),
    5,
    FALSE
  ),
  0
)
"),5.0)</f>
        <v>5</v>
      </c>
      <c r="J25" s="50" t="str">
        <f t="shared" ref="J25:K25" si="116">IFERROR(F25/H25,"-")</f>
        <v>-</v>
      </c>
      <c r="K25" s="50">
        <f t="shared" si="116"/>
        <v>6.8</v>
      </c>
      <c r="L25" s="6">
        <f>IFERROR(__xludf.DUMMYFUNCTION("IFERROR(
  VLOOKUP(
    A25,
    IMPORTRANGE(
      ""1ZHMy3vVUd_0MrSduXTe1etBb1HNpAlGwQr006ljwMiM"",
      ""GSC最新!A:R""
    ),
    7,
    FALSE
  ),
  0
)
"),4870.0)</f>
        <v>4870</v>
      </c>
      <c r="M25" s="6">
        <f>IFERROR(__xludf.DUMMYFUNCTION("IFERROR(
  VLOOKUP(
    A25,
    IMPORTRANGE(
      ""1ZHMy3vVUd_0MrSduXTe1etBb1HNpAlGwQr006ljwMiM"",
      ""GSC最新!A:R""
    ),
    10,
    FALSE
  ),
  0
)
"),10970.0)</f>
        <v>10970</v>
      </c>
      <c r="N25" s="6">
        <f>IFERROR(__xludf.DUMMYFUNCTION("IFERROR(
  VLOOKUP(
    A25,
    IMPORTRANGE(
      ""1ZHMy3vVUd_0MrSduXTe1etBb1HNpAlGwQr006ljwMiM"",
      ""GSC最新!A:R""
    ),
    13,
    FALSE
  ),
  0
)
"),301.0)</f>
        <v>301</v>
      </c>
      <c r="O25" s="6">
        <f>IFERROR(__xludf.DUMMYFUNCTION("IFERROR(
  VLOOKUP(
    A25,
    IMPORTRANGE(
      ""1ZHMy3vVUd_0MrSduXTe1etBb1HNpAlGwQr006ljwMiM"",
      ""GSC最新!A:R""
    ),
    16,
    FALSE
  ),
  0
)
"),1013.0)</f>
        <v>1013</v>
      </c>
      <c r="P25" s="51">
        <f t="shared" ref="P25:Q25" si="117">IFERROR(L25/N25,"-")</f>
        <v>16.17940199</v>
      </c>
      <c r="Q25" s="51">
        <f t="shared" si="117"/>
        <v>10.82922014</v>
      </c>
      <c r="R25" s="9">
        <f>IFERROR(__xludf.DUMMYFUNCTION("IFERROR(
  VLOOKUP(
    A25,
    IMPORTRANGE(
      ""1ZHMy3vVUd_0MrSduXTe1etBb1HNpAlGwQr006ljwMiM"",
      ""GSC最新!A:R""
    ),
    8,
    FALSE
  ),
  0
)
"),0.003696098562628337)</f>
        <v>0.003696098563</v>
      </c>
      <c r="S25" s="9">
        <f>IFERROR(__xludf.DUMMYFUNCTION("IFERROR(
  VLOOKUP(
    A25,
    IMPORTRANGE(
      ""1ZHMy3vVUd_0MrSduXTe1etBb1HNpAlGwQr006ljwMiM"",
      ""GSC最新!A:R""
    ),
    11,
    FALSE
  ),
  0
)
"),0.003099361896080219)</f>
        <v>0.003099361896</v>
      </c>
      <c r="T25" s="9">
        <f>IFERROR(__xludf.DUMMYFUNCTION("IFERROR(
  VLOOKUP(
    A25,
    IMPORTRANGE(
      ""1ZHMy3vVUd_0MrSduXTe1etBb1HNpAlGwQr006ljwMiM"",
      ""GSC最新!A:R""
    ),
    14,
    FALSE
  ),
  0
)
"),0.0)</f>
        <v>0</v>
      </c>
      <c r="U25" s="9">
        <f>IFERROR(__xludf.DUMMYFUNCTION("IFERROR(
  VLOOKUP(
    A25,
    IMPORTRANGE(
      ""1ZHMy3vVUd_0MrSduXTe1etBb1HNpAlGwQr006ljwMiM"",
      ""GSC最新!A:R""
    ),
    17,
    FALSE
  ),
  0
)
"),0.004935834155972359)</f>
        <v>0.004935834156</v>
      </c>
      <c r="V25" s="9">
        <f t="shared" ref="V25:W25" si="118">IFERROR(R25-T25,"-")</f>
        <v>0.003696098563</v>
      </c>
      <c r="W25" s="9">
        <f t="shared" si="118"/>
        <v>-0.00183647226</v>
      </c>
      <c r="X25" s="65">
        <f>IFERROR(__xludf.DUMMYFUNCTION("IFERROR(
  VLOOKUP(
    A25,
    IMPORTRANGE(
      ""1ZHMy3vVUd_0MrSduXTe1etBb1HNpAlGwQr006ljwMiM"",
      ""GSC最新!A:R""
    ),
    9,
    FALSE
  ),
  0
)
"),4.441273100616016)</f>
        <v>4.441273101</v>
      </c>
      <c r="Y25" s="65">
        <f>IFERROR(__xludf.DUMMYFUNCTION("IFERROR(
  VLOOKUP(
    A25,
    IMPORTRANGE(
      ""1ZHMy3vVUd_0MrSduXTe1etBb1HNpAlGwQr006ljwMiM"",
      ""GSC最新!A:R""
    ),
    12,
    FALSE
  ),
  0
)
"),4.16809480401094)</f>
        <v>4.168094804</v>
      </c>
      <c r="Z25" s="65">
        <f>IFERROR(__xludf.DUMMYFUNCTION("IFERROR(
  VLOOKUP(
    A25,
    IMPORTRANGE(
      ""1ZHMy3vVUd_0MrSduXTe1etBb1HNpAlGwQr006ljwMiM"",
      ""GSC最新!A:R""
    ),
    15,
    FALSE
  ),
  0
)
"),9.913621262458472)</f>
        <v>9.913621262</v>
      </c>
      <c r="AA25" s="65">
        <f>IFERROR(__xludf.DUMMYFUNCTION("IFERROR(
  VLOOKUP(
    A25,
    IMPORTRANGE(
      ""1ZHMy3vVUd_0MrSduXTe1etBb1HNpAlGwQr006ljwMiM"",
      ""GSC最新!A:R""
    ),
    18,
    FALSE
  ),
  0
)
"),11.661401776900297)</f>
        <v>11.66140178</v>
      </c>
      <c r="AB25" s="65">
        <f t="shared" ref="AB25:AC25" si="119">X25-Z25</f>
        <v>-5.472348162</v>
      </c>
      <c r="AC25" s="65">
        <f t="shared" si="119"/>
        <v>-7.493306973</v>
      </c>
      <c r="AD25" s="53">
        <f>IFERROR(__xludf.DUMMYFUNCTION("IFERROR(
  VLOOKUP(
    A25,
    IMPORTRANGE(
      ""1ZHMy3vVUd_0MrSduXTe1etBb1HNpAlGwQr006ljwMiM"",
      ""GSC最新!A:F""
    ),
    6,
    FALSE
  ),
  0
)
"),46081.0)</f>
        <v>46081</v>
      </c>
      <c r="AE25" s="54">
        <f>IFERROR(__xludf.DUMMYFUNCTION("IFERROR(
  VLOOKUP(
    A25,
    IMPORTRANGE(
      ""1SCYQd7_cobOYqT0r_F0IqD4tE4rYn5y8Eup4PJTH8es"",
      ""Snapshot!A:M""
    ),
    5,
    FALSE
  ),
  ""-""
)
"),2.0)</f>
        <v>2</v>
      </c>
      <c r="AF25" s="54">
        <f>IFERROR(__xludf.DUMMYFUNCTION("IFERROR(
  VLOOKUP(
    A25,
    IMPORTRANGE(
      ""1SCYQd7_cobOYqT0r_F0IqD4tE4rYn5y8Eup4PJTH8es"",
      ""Snapshot!A:M""
    ),
    6,
    FALSE
  ),
  0
)
"),0.0)</f>
        <v>0</v>
      </c>
      <c r="AG25" s="54">
        <f>IFERROR(__xludf.DUMMYFUNCTION("IFERROR(
  VLOOKUP(
    A25,
    IMPORTRANGE(
      ""1SCYQd7_cobOYqT0r_F0IqD4tE4rYn5y8Eup4PJTH8es"",
      ""Snapshot!A:M""
    ),
    7,
    FALSE
  ),
  0
)
"),6018.0)</f>
        <v>6018</v>
      </c>
      <c r="AH25" s="54">
        <f>IFERROR(__xludf.DUMMYFUNCTION("IFERROR(
  VLOOKUP(
    A25,
    IMPORTRANGE(
      ""1SCYQd7_cobOYqT0r_F0IqD4tE4rYn5y8Eup4PJTH8es"",
      ""Snapshot!A:M""
    ),
    8,
    FALSE
  ),
  0
)
"),3.0)</f>
        <v>3</v>
      </c>
      <c r="AI25" s="54">
        <f>IFERROR(__xludf.DUMMYFUNCTION("IFERROR(
  VLOOKUP(
    A25,
    IMPORTRANGE(
      ""1SCYQd7_cobOYqT0r_F0IqD4tE4rYn5y8Eup4PJTH8es"",
      ""Snapshot!A:M""
    ),
    9,
    FALSE
  ),
  0
)
"),2.0)</f>
        <v>2</v>
      </c>
      <c r="AJ25" s="54">
        <f>IFERROR(__xludf.DUMMYFUNCTION("IFERROR(
  VLOOKUP(
    A25,
    IMPORTRANGE(
      ""1SCYQd7_cobOYqT0r_F0IqD4tE4rYn5y8Eup4PJTH8es"",
      ""Snapshot!A:M""
    ),
    13,
    FALSE
  ),
  0
)
"),1.0)</f>
        <v>1</v>
      </c>
      <c r="AK25" s="49">
        <f t="shared" ref="AK25:AL25" si="120">LEN(C25)</f>
        <v>46</v>
      </c>
      <c r="AL25" s="49">
        <f t="shared" si="120"/>
        <v>144</v>
      </c>
    </row>
    <row r="26">
      <c r="A26" s="3" t="s">
        <v>969</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"),"Where疑問文｜do/does・is/are整理｜中1英語")</f>
        <v>Where疑問文｜do/does・is/are整理｜中1英語</v>
      </c>
      <c r="D26" s="1" t="str">
        <f>IFERROR(__xludf.DUMMYFUNCTION("IFERROR(
  VLOOKUP(
    A26,
    IMPORTRANGE(
      ""1ZygntHC1J6IxzKbTidmOyf5nUyW4GCLurHCjexrLm_o        "",
      ""HTMLキャッシュ!A:F""
    ),
    6,
    FALSE
  ),
  0
)
"),"Where疑問文をdo/doesとis/areで整理。Where does～の答えはit/they＋動詞。in/on/toの使い分けも例文で確認。")</f>
        <v>Where疑問文をdo/doesとis/areで整理。Where does～の答えはit/they＋動詞。in/on/toの使い分けも例文で確認。</v>
      </c>
      <c r="E26" s="32">
        <f>IFERROR(__xludf.DUMMYFUNCTION("IFERROR(
  VLOOKUP(
    A26,
    IMPORTRANGE(
      ""1ZygntHC1J6IxzKbTidmOyf5nUyW4GCLurHCjexrLm_o        "",
      ""HTMLキャッシュ!A:F""
    ),
    3,
    FALSE
  ),
  0
)
"),46081.60631944444)</f>
        <v>46081.60632</v>
      </c>
      <c r="F26" s="49">
        <f>IFERROR(__xludf.DUMMYFUNCTION("IFERROR(
  VLOOKUP(
    A26,
    IMPORTRANGE(
      ""1ZHMy3vVUd_0MrSduXTe1etBb1HNpAlGwQr006ljwMiM"",
      ""GSC最新!A:F""
    ),
    2,
    FALSE
  ),
  0
)
"),12.0)</f>
        <v>12</v>
      </c>
      <c r="G26" s="49">
        <f>IFERROR(__xludf.DUMMYFUNCTION("IFERROR(
  VLOOKUP(
    A26,
    IMPORTRANGE(
      ""1ZHMy3vVUd_0MrSduXTe1etBb1HNpAlGwQr006ljwMiM"",
      ""GSC最新!A:F""
    ),
    3,
    FALSE
  ),
  0
)
"),33.0)</f>
        <v>33</v>
      </c>
      <c r="H26" s="49">
        <f>IFERROR(__xludf.DUMMYFUNCTION("IFERROR(
  VLOOKUP(
    A26,
    IMPORTRANGE(
      ""1ZHMy3vVUd_0MrSduXTe1etBb1HNpAlGwQr006ljwMiM"",
      ""GSC最新!A:F""
    ),
    4,
    FALSE
  ),
  0
)
"),0.0)</f>
        <v>0</v>
      </c>
      <c r="I26" s="49">
        <f>IFERROR(__xludf.DUMMYFUNCTION("IFERROR(
  VLOOKUP(
    A26,
    IMPORTRANGE(
      ""1ZHMy3vVUd_0MrSduXTe1etBb1HNpAlGwQr006ljwMiM"",
      ""GSC最新!A:F""
    ),
    5,
    FALSE
  ),
  0
)
"),9.0)</f>
        <v>9</v>
      </c>
      <c r="J26" s="50" t="str">
        <f t="shared" ref="J26:K26" si="121">IFERROR(F26/H26,"-")</f>
        <v>-</v>
      </c>
      <c r="K26" s="50">
        <f t="shared" si="121"/>
        <v>3.666666667</v>
      </c>
      <c r="L26" s="6">
        <f>IFERROR(__xludf.DUMMYFUNCTION("IFERROR(
  VLOOKUP(
    A26,
    IMPORTRANGE(
      ""1ZHMy3vVUd_0MrSduXTe1etBb1HNpAlGwQr006ljwMiM"",
      ""GSC最新!A:R""
    ),
    7,
    FALSE
  ),
  0
)
"),4513.0)</f>
        <v>4513</v>
      </c>
      <c r="M26" s="6">
        <f>IFERROR(__xludf.DUMMYFUNCTION("IFERROR(
  VLOOKUP(
    A26,
    IMPORTRANGE(
      ""1ZHMy3vVUd_0MrSduXTe1etBb1HNpAlGwQr006ljwMiM"",
      ""GSC最新!A:R""
    ),
    10,
    FALSE
  ),
  0
)
"),10397.0)</f>
        <v>10397</v>
      </c>
      <c r="N26" s="6">
        <f>IFERROR(__xludf.DUMMYFUNCTION("IFERROR(
  VLOOKUP(
    A26,
    IMPORTRANGE(
      ""1ZHMy3vVUd_0MrSduXTe1etBb1HNpAlGwQr006ljwMiM"",
      ""GSC最新!A:R""
    ),
    13,
    FALSE
  ),
  0
)
"),242.0)</f>
        <v>242</v>
      </c>
      <c r="O26" s="6">
        <f>IFERROR(__xludf.DUMMYFUNCTION("IFERROR(
  VLOOKUP(
    A26,
    IMPORTRANGE(
      ""1ZHMy3vVUd_0MrSduXTe1etBb1HNpAlGwQr006ljwMiM"",
      ""GSC最新!A:R""
    ),
    16,
    FALSE
  ),
  0
)
"),751.0)</f>
        <v>751</v>
      </c>
      <c r="P26" s="51">
        <f t="shared" ref="P26:Q26" si="122">IFERROR(L26/N26,"-")</f>
        <v>18.64876033</v>
      </c>
      <c r="Q26" s="51">
        <f t="shared" si="122"/>
        <v>13.84420772</v>
      </c>
      <c r="R26" s="9">
        <f>IFERROR(__xludf.DUMMYFUNCTION("IFERROR(
  VLOOKUP(
    A26,
    IMPORTRANGE(
      ""1ZHMy3vVUd_0MrSduXTe1etBb1HNpAlGwQr006ljwMiM"",
      ""GSC最新!A:R""
    ),
    8,
    FALSE
  ),
  0
)
"),0.002658985153999557)</f>
        <v>0.002658985154</v>
      </c>
      <c r="S26" s="9">
        <f>IFERROR(__xludf.DUMMYFUNCTION("IFERROR(
  VLOOKUP(
    A26,
    IMPORTRANGE(
      ""1ZHMy3vVUd_0MrSduXTe1etBb1HNpAlGwQr006ljwMiM"",
      ""GSC最新!A:R""
    ),
    11,
    FALSE
  ),
  0
)
"),0.003173992497835914)</f>
        <v>0.003173992498</v>
      </c>
      <c r="T26" s="9">
        <f>IFERROR(__xludf.DUMMYFUNCTION("IFERROR(
  VLOOKUP(
    A26,
    IMPORTRANGE(
      ""1ZHMy3vVUd_0MrSduXTe1etBb1HNpAlGwQr006ljwMiM"",
      ""GSC最新!A:R""
    ),
    14,
    FALSE
  ),
  0
)
"),0.0)</f>
        <v>0</v>
      </c>
      <c r="U26" s="9">
        <f>IFERROR(__xludf.DUMMYFUNCTION("IFERROR(
  VLOOKUP(
    A26,
    IMPORTRANGE(
      ""1ZHMy3vVUd_0MrSduXTe1etBb1HNpAlGwQr006ljwMiM"",
      ""GSC最新!A:R""
    ),
    17,
    FALSE
  ),
  0
)
"),0.011984021304926764)</f>
        <v>0.0119840213</v>
      </c>
      <c r="V26" s="9">
        <f t="shared" ref="V26:W26" si="123">IFERROR(R26-T26,"-")</f>
        <v>0.002658985154</v>
      </c>
      <c r="W26" s="9">
        <f t="shared" si="123"/>
        <v>-0.008810028807</v>
      </c>
      <c r="X26" s="65">
        <f>IFERROR(__xludf.DUMMYFUNCTION("IFERROR(
  VLOOKUP(
    A26,
    IMPORTRANGE(
      ""1ZHMy3vVUd_0MrSduXTe1etBb1HNpAlGwQr006ljwMiM"",
      ""GSC最新!A:R""
    ),
    9,
    FALSE
  ),
  0
)
"),5.966541103478839)</f>
        <v>5.966541103</v>
      </c>
      <c r="Y26" s="65">
        <f>IFERROR(__xludf.DUMMYFUNCTION("IFERROR(
  VLOOKUP(
    A26,
    IMPORTRANGE(
      ""1ZHMy3vVUd_0MrSduXTe1etBb1HNpAlGwQr006ljwMiM"",
      ""GSC最新!A:R""
    ),
    12,
    FALSE
  ),
  0
)
"),5.732999903818409)</f>
        <v>5.732999904</v>
      </c>
      <c r="Z26" s="65">
        <f>IFERROR(__xludf.DUMMYFUNCTION("IFERROR(
  VLOOKUP(
    A26,
    IMPORTRANGE(
      ""1ZHMy3vVUd_0MrSduXTe1etBb1HNpAlGwQr006ljwMiM"",
      ""GSC最新!A:R""
    ),
    15,
    FALSE
  ),
  0
)
"),9.454545454545455)</f>
        <v>9.454545455</v>
      </c>
      <c r="AA26" s="65">
        <f>IFERROR(__xludf.DUMMYFUNCTION("IFERROR(
  VLOOKUP(
    A26,
    IMPORTRANGE(
      ""1ZHMy3vVUd_0MrSduXTe1etBb1HNpAlGwQr006ljwMiM"",
      ""GSC最新!A:R""
    ),
    18,
    FALSE
  ),
  0
)
"),9.838881491344873)</f>
        <v>9.838881491</v>
      </c>
      <c r="AB26" s="65">
        <f t="shared" ref="AB26:AC26" si="124">X26-Z26</f>
        <v>-3.488004351</v>
      </c>
      <c r="AC26" s="65">
        <f t="shared" si="124"/>
        <v>-4.105881588</v>
      </c>
      <c r="AD26" s="53">
        <f>IFERROR(__xludf.DUMMYFUNCTION("IFERROR(
  VLOOKUP(
    A26,
    IMPORTRANGE(
      ""1ZHMy3vVUd_0MrSduXTe1etBb1HNpAlGwQr006ljwMiM"",
      ""GSC最新!A:F""
    ),
    6,
    FALSE
  ),
  0
)
"),46081.0)</f>
        <v>46081</v>
      </c>
      <c r="AE26" s="54">
        <f>IFERROR(__xludf.DUMMYFUNCTION("IFERROR(
  VLOOKUP(
    A26,
    IMPORTRANGE(
      ""1SCYQd7_cobOYqT0r_F0IqD4tE4rYn5y8Eup4PJTH8es"",
      ""Snapshot!A:M""
    ),
    5,
    FALSE
  ),
  ""-""
)
"),0.0)</f>
        <v>0</v>
      </c>
      <c r="AF26" s="54">
        <f>IFERROR(__xludf.DUMMYFUNCTION("IFERROR(
  VLOOKUP(
    A26,
    IMPORTRANGE(
      ""1SCYQd7_cobOYqT0r_F0IqD4tE4rYn5y8Eup4PJTH8es"",
      ""Snapshot!A:M""
    ),
    6,
    FALSE
  ),
  0
)
"),0.0)</f>
        <v>0</v>
      </c>
      <c r="AG26" s="54">
        <f>IFERROR(__xludf.DUMMYFUNCTION("IFERROR(
  VLOOKUP(
    A26,
    IMPORTRANGE(
      ""1SCYQd7_cobOYqT0r_F0IqD4tE4rYn5y8Eup4PJTH8es"",
      ""Snapshot!A:M""
    ),
    7,
    FALSE
  ),
  0
)
"),8178.0)</f>
        <v>8178</v>
      </c>
      <c r="AH26" s="54">
        <f>IFERROR(__xludf.DUMMYFUNCTION("IFERROR(
  VLOOKUP(
    A26,
    IMPORTRANGE(
      ""1SCYQd7_cobOYqT0r_F0IqD4tE4rYn5y8Eup4PJTH8es"",
      ""Snapshot!A:M""
    ),
    8,
    FALSE
  ),
  0
)
"),3.0)</f>
        <v>3</v>
      </c>
      <c r="AI26" s="54">
        <f>IFERROR(__xludf.DUMMYFUNCTION("IFERROR(
  VLOOKUP(
    A26,
    IMPORTRANGE(
      ""1SCYQd7_cobOYqT0r_F0IqD4tE4rYn5y8Eup4PJTH8es"",
      ""Snapshot!A:M""
    ),
    9,
    FALSE
  ),
  0
)
"),2.0)</f>
        <v>2</v>
      </c>
      <c r="AJ26" s="54">
        <f>IFERROR(__xludf.DUMMYFUNCTION("IFERROR(
  VLOOKUP(
    A26,
    IMPORTRANGE(
      ""1SCYQd7_cobOYqT0r_F0IqD4tE4rYn5y8Eup4PJTH8es"",
      ""Snapshot!A:M""
    ),
    13,
    FALSE
  ),
  0
)
"),1.0)</f>
        <v>1</v>
      </c>
      <c r="AK26" s="49">
        <f t="shared" ref="AK26:AL26" si="125">LEN(C26)</f>
        <v>30</v>
      </c>
      <c r="AL26" s="49">
        <f t="shared" si="125"/>
        <v>73</v>
      </c>
    </row>
    <row r="27">
      <c r="A27" s="3" t="s">
        <v>970</v>
      </c>
      <c r="B27" s="1" t="str">
        <f>IFERROR(__xludf.DUMMYFUNCTION("IFERROR(
  VLOOKUP(
    A27,
    IMPORTRANGE(
      ""1ZygntHC1J6IxzKbTidmOyf5nUyW4GCLurHCjexrLm_o"",
      ""HTMLキャッシュ!A:F""
    ),
    2,
    FALSE
  ),
  0
)
"),"MC")</f>
        <v>MC</v>
      </c>
      <c r="C27" s="1" t="str">
        <f>IFERROR(__xludf.DUMMYFUNCTION("IFERROR(
  VLOOKUP(
    A27,
    IMPORTRANGE(
      ""1ZygntHC1J6IxzKbTidmOyf5nUyW4GCLurHCjexrLm_o"",
      ""HTMLキャッシュ!A:F""
    ),
    5,
    FALSE
  ),
  0
)
"),"中2英語｜主格の関係代名詞（who/which/that）の基礎整理")</f>
        <v>中2英語｜主格の関係代名詞（who/which/that）の基礎整理</v>
      </c>
      <c r="D27" s="1" t="str">
        <f>IFERROR(__xludf.DUMMYFUNCTION("IFERROR(
  VLOOKUP(
    A27,
    IMPORTRANGE(
      ""1ZygntHC1J6IxzKbTidmOyf5nUyW4GCLurHCjexrLm_o        "",
      ""HTMLキャッシュ!A:F""
    ),
    6,
    FALSE
  ),
  0
)
"),"主格の関係代名詞who/which/thatを例文で確認。２文→１文、訳し方、that代用、疑問詞whoとの差まで。クイズ10問つき。")</f>
        <v>主格の関係代名詞who/which/thatを例文で確認。２文→１文、訳し方、that代用、疑問詞whoとの差まで。クイズ10問つき。</v>
      </c>
      <c r="E27" s="32">
        <f>IFERROR(__xludf.DUMMYFUNCTION("IFERROR(
  VLOOKUP(
    A27,
    IMPORTRANGE(
      ""1ZygntHC1J6IxzKbTidmOyf5nUyW4GCLurHCjexrLm_o        "",
      ""HTMLキャッシュ!A:F""
    ),
    3,
    FALSE
  ),
  0
)
"),46080.81638888889)</f>
        <v>46080.81639</v>
      </c>
      <c r="F27" s="49">
        <f>IFERROR(__xludf.DUMMYFUNCTION("IFERROR(
  VLOOKUP(
    A27,
    IMPORTRANGE(
      ""1ZHMy3vVUd_0MrSduXTe1etBb1HNpAlGwQr006ljwMiM"",
      ""GSC最新!A:F""
    ),
    2,
    FALSE
  ),
  0
)
"),17.0)</f>
        <v>17</v>
      </c>
      <c r="G27" s="49">
        <f>IFERROR(__xludf.DUMMYFUNCTION("IFERROR(
  VLOOKUP(
    A27,
    IMPORTRANGE(
      ""1ZHMy3vVUd_0MrSduXTe1etBb1HNpAlGwQr006ljwMiM"",
      ""GSC最新!A:F""
    ),
    3,
    FALSE
  ),
  0
)
"),29.0)</f>
        <v>29</v>
      </c>
      <c r="H27" s="49">
        <f>IFERROR(__xludf.DUMMYFUNCTION("IFERROR(
  VLOOKUP(
    A27,
    IMPORTRANGE(
      ""1ZHMy3vVUd_0MrSduXTe1etBb1HNpAlGwQr006ljwMiM"",
      ""GSC最新!A:F""
    ),
    4,
    FALSE
  ),
  0
)
"),11.0)</f>
        <v>11</v>
      </c>
      <c r="I27" s="49">
        <f>IFERROR(__xludf.DUMMYFUNCTION("IFERROR(
  VLOOKUP(
    A27,
    IMPORTRANGE(
      ""1ZHMy3vVUd_0MrSduXTe1etBb1HNpAlGwQr006ljwMiM"",
      ""GSC最新!A:F""
    ),
    5,
    FALSE
  ),
  0
)
"),30.0)</f>
        <v>30</v>
      </c>
      <c r="J27" s="50">
        <f t="shared" ref="J27:K27" si="126">IFERROR(F27/H27,"-")</f>
        <v>1.545454545</v>
      </c>
      <c r="K27" s="50">
        <f t="shared" si="126"/>
        <v>0.9666666667</v>
      </c>
      <c r="L27" s="6">
        <f>IFERROR(__xludf.DUMMYFUNCTION("IFERROR(
  VLOOKUP(
    A27,
    IMPORTRANGE(
      ""1ZHMy3vVUd_0MrSduXTe1etBb1HNpAlGwQr006ljwMiM"",
      ""GSC最新!A:R""
    ),
    7,
    FALSE
  ),
  0
)
"),5012.0)</f>
        <v>5012</v>
      </c>
      <c r="M27" s="6">
        <f>IFERROR(__xludf.DUMMYFUNCTION("IFERROR(
  VLOOKUP(
    A27,
    IMPORTRANGE(
      ""1ZHMy3vVUd_0MrSduXTe1etBb1HNpAlGwQr006ljwMiM"",
      ""GSC最新!A:R""
    ),
    10,
    FALSE
  ),
  0
)
"),9596.0)</f>
        <v>9596</v>
      </c>
      <c r="N27" s="6">
        <f>IFERROR(__xludf.DUMMYFUNCTION("IFERROR(
  VLOOKUP(
    A27,
    IMPORTRANGE(
      ""1ZHMy3vVUd_0MrSduXTe1etBb1HNpAlGwQr006ljwMiM"",
      ""GSC最新!A:R""
    ),
    13,
    FALSE
  ),
  0
)
"),358.0)</f>
        <v>358</v>
      </c>
      <c r="O27" s="6">
        <f>IFERROR(__xludf.DUMMYFUNCTION("IFERROR(
  VLOOKUP(
    A27,
    IMPORTRANGE(
      ""1ZHMy3vVUd_0MrSduXTe1etBb1HNpAlGwQr006ljwMiM"",
      ""GSC最新!A:R""
    ),
    16,
    FALSE
  ),
  0
)
"),830.0)</f>
        <v>830</v>
      </c>
      <c r="P27" s="51">
        <f t="shared" ref="P27:Q27" si="127">IFERROR(L27/N27,"-")</f>
        <v>14</v>
      </c>
      <c r="Q27" s="51">
        <f t="shared" si="127"/>
        <v>11.56144578</v>
      </c>
      <c r="R27" s="9">
        <f>IFERROR(__xludf.DUMMYFUNCTION("IFERROR(
  VLOOKUP(
    A27,
    IMPORTRANGE(
      ""1ZHMy3vVUd_0MrSduXTe1etBb1HNpAlGwQr006ljwMiM"",
      ""GSC最新!A:R""
    ),
    8,
    FALSE
  ),
  0
)
"),0.003391859537110934)</f>
        <v>0.003391859537</v>
      </c>
      <c r="S27" s="9">
        <f>IFERROR(__xludf.DUMMYFUNCTION("IFERROR(
  VLOOKUP(
    A27,
    IMPORTRANGE(
      ""1ZHMy3vVUd_0MrSduXTe1etBb1HNpAlGwQr006ljwMiM"",
      ""GSC最新!A:R""
    ),
    11,
    FALSE
  ),
  0
)
"),0.0030220925385577324)</f>
        <v>0.003022092539</v>
      </c>
      <c r="T27" s="9">
        <f>IFERROR(__xludf.DUMMYFUNCTION("IFERROR(
  VLOOKUP(
    A27,
    IMPORTRANGE(
      ""1ZHMy3vVUd_0MrSduXTe1etBb1HNpAlGwQr006ljwMiM"",
      ""GSC最新!A:R""
    ),
    14,
    FALSE
  ),
  0
)
"),0.030726256983240222)</f>
        <v>0.03072625698</v>
      </c>
      <c r="U27" s="9">
        <f>IFERROR(__xludf.DUMMYFUNCTION("IFERROR(
  VLOOKUP(
    A27,
    IMPORTRANGE(
      ""1ZHMy3vVUd_0MrSduXTe1etBb1HNpAlGwQr006ljwMiM"",
      ""GSC最新!A:R""
    ),
    17,
    FALSE
  ),
  0
)
"),0.03614457831325301)</f>
        <v>0.03614457831</v>
      </c>
      <c r="V27" s="9">
        <f t="shared" ref="V27:W27" si="128">IFERROR(R27-T27,"-")</f>
        <v>-0.02733439745</v>
      </c>
      <c r="W27" s="9">
        <f t="shared" si="128"/>
        <v>-0.03312248577</v>
      </c>
      <c r="X27" s="65">
        <f>IFERROR(__xludf.DUMMYFUNCTION("IFERROR(
  VLOOKUP(
    A27,
    IMPORTRANGE(
      ""1ZHMy3vVUd_0MrSduXTe1etBb1HNpAlGwQr006ljwMiM"",
      ""GSC最新!A:R""
    ),
    9,
    FALSE
  ),
  0
)
"),4.768555466879489)</f>
        <v>4.768555467</v>
      </c>
      <c r="Y27" s="65">
        <f>IFERROR(__xludf.DUMMYFUNCTION("IFERROR(
  VLOOKUP(
    A27,
    IMPORTRANGE(
      ""1ZHMy3vVUd_0MrSduXTe1etBb1HNpAlGwQr006ljwMiM"",
      ""GSC最新!A:R""
    ),
    12,
    FALSE
  ),
  0
)
"),5.265631513130471)</f>
        <v>5.265631513</v>
      </c>
      <c r="Z27" s="65">
        <f>IFERROR(__xludf.DUMMYFUNCTION("IFERROR(
  VLOOKUP(
    A27,
    IMPORTRANGE(
      ""1ZHMy3vVUd_0MrSduXTe1etBb1HNpAlGwQr006ljwMiM"",
      ""GSC最新!A:R""
    ),
    15,
    FALSE
  ),
  0
)
"),7.114525139664805)</f>
        <v>7.11452514</v>
      </c>
      <c r="AA27" s="65">
        <f>IFERROR(__xludf.DUMMYFUNCTION("IFERROR(
  VLOOKUP(
    A27,
    IMPORTRANGE(
      ""1ZHMy3vVUd_0MrSduXTe1etBb1HNpAlGwQr006ljwMiM"",
      ""GSC最新!A:R""
    ),
    18,
    FALSE
  ),
  0
)
"),9.450602409638554)</f>
        <v>9.45060241</v>
      </c>
      <c r="AB27" s="65">
        <f t="shared" ref="AB27:AC27" si="129">X27-Z27</f>
        <v>-2.345969673</v>
      </c>
      <c r="AC27" s="65">
        <f t="shared" si="129"/>
        <v>-4.184970897</v>
      </c>
      <c r="AD27" s="53">
        <f>IFERROR(__xludf.DUMMYFUNCTION("IFERROR(
  VLOOKUP(
    A27,
    IMPORTRANGE(
      ""1ZHMy3vVUd_0MrSduXTe1etBb1HNpAlGwQr006ljwMiM"",
      ""GSC最新!A:F""
    ),
    6,
    FALSE
  ),
  0
)
"),46081.0)</f>
        <v>46081</v>
      </c>
      <c r="AE27" s="54">
        <f>IFERROR(__xludf.DUMMYFUNCTION("IFERROR(
  VLOOKUP(
    A27,
    IMPORTRANGE(
      ""1SCYQd7_cobOYqT0r_F0IqD4tE4rYn5y8Eup4PJTH8es"",
      ""Snapshot!A:M""
    ),
    5,
    FALSE
  ),
  ""-""
)
"),2.0)</f>
        <v>2</v>
      </c>
      <c r="AF27" s="54">
        <f>IFERROR(__xludf.DUMMYFUNCTION("IFERROR(
  VLOOKUP(
    A27,
    IMPORTRANGE(
      ""1SCYQd7_cobOYqT0r_F0IqD4tE4rYn5y8Eup4PJTH8es"",
      ""Snapshot!A:M""
    ),
    6,
    FALSE
  ),
  0
)
"),0.0)</f>
        <v>0</v>
      </c>
      <c r="AG27" s="54">
        <f>IFERROR(__xludf.DUMMYFUNCTION("IFERROR(
  VLOOKUP(
    A27,
    IMPORTRANGE(
      ""1SCYQd7_cobOYqT0r_F0IqD4tE4rYn5y8Eup4PJTH8es"",
      ""Snapshot!A:M""
    ),
    7,
    FALSE
  ),
  0
)
"),8547.0)</f>
        <v>8547</v>
      </c>
      <c r="AH27" s="54">
        <f>IFERROR(__xludf.DUMMYFUNCTION("IFERROR(
  VLOOKUP(
    A27,
    IMPORTRANGE(
      ""1SCYQd7_cobOYqT0r_F0IqD4tE4rYn5y8Eup4PJTH8es"",
      ""Snapshot!A:M""
    ),
    8,
    FALSE
  ),
  0
)
"),4.0)</f>
        <v>4</v>
      </c>
      <c r="AI27" s="54">
        <f>IFERROR(__xludf.DUMMYFUNCTION("IFERROR(
  VLOOKUP(
    A27,
    IMPORTRANGE(
      ""1SCYQd7_cobOYqT0r_F0IqD4tE4rYn5y8Eup4PJTH8es"",
      ""Snapshot!A:M""
    ),
    9,
    FALSE
  ),
  0
)
"),3.0)</f>
        <v>3</v>
      </c>
      <c r="AJ27" s="54">
        <f>IFERROR(__xludf.DUMMYFUNCTION("IFERROR(
  VLOOKUP(
    A27,
    IMPORTRANGE(
      ""1SCYQd7_cobOYqT0r_F0IqD4tE4rYn5y8Eup4PJTH8es"",
      ""Snapshot!A:M""
    ),
    13,
    FALSE
  ),
  0
)
"),1.0)</f>
        <v>1</v>
      </c>
      <c r="AK27" s="49">
        <f t="shared" ref="AK27:AL27" si="130">LEN(C27)</f>
        <v>34</v>
      </c>
      <c r="AL27" s="49">
        <f t="shared" si="130"/>
        <v>67</v>
      </c>
    </row>
    <row r="28">
      <c r="A28" s="3" t="s">
        <v>971</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"),"再帰代名詞self/selves｜意味と違い｜中学英語")</f>
        <v>再帰代名詞self/selves｜意味と違い｜中学英語</v>
      </c>
      <c r="D28" s="1" t="str">
        <f>IFERROR(__xludf.DUMMYFUNCTION("IFERROR(
  VLOOKUP(
    A28,
    IMPORTRANGE(
      ""1ZygntHC1J6IxzKbTidmOyf5nUyW4GCLurHCjexrLm_o        "",
      ""HTMLキャッシュ!A:F""
    ),
    6,
    FALSE
  ),
  0
)
"),"selfとselvesの違い、myself〜themselves一覧、×hisself×theirselves、enjoy oneself、強調用法まで確認。")</f>
        <v>selfとselvesの違い、myself〜themselves一覧、×hisself×theirselves、enjoy oneself、強調用法まで確認。</v>
      </c>
      <c r="E28" s="32">
        <f>IFERROR(__xludf.DUMMYFUNCTION("IFERROR(
  VLOOKUP(
    A28,
    IMPORTRANGE(
      ""1ZygntHC1J6IxzKbTidmOyf5nUyW4GCLurHCjexrLm_o        "",
      ""HTMLキャッシュ!A:F""
    ),
    3,
    FALSE
  ),
  0
)
"),46080.81738425926)</f>
        <v>46080.81738</v>
      </c>
      <c r="F28" s="49">
        <f>IFERROR(__xludf.DUMMYFUNCTION("IFERROR(
  VLOOKUP(
    A28,
    IMPORTRANGE(
      ""1ZHMy3vVUd_0MrSduXTe1etBb1HNpAlGwQr006ljwMiM"",
      ""GSC最新!A:F""
    ),
    2,
    FALSE
  ),
  0
)
"),19.0)</f>
        <v>19</v>
      </c>
      <c r="G28" s="49">
        <f>IFERROR(__xludf.DUMMYFUNCTION("IFERROR(
  VLOOKUP(
    A28,
    IMPORTRANGE(
      ""1ZHMy3vVUd_0MrSduXTe1etBb1HNpAlGwQr006ljwMiM"",
      ""GSC最新!A:F""
    ),
    3,
    FALSE
  ),
  0
)
"),29.0)</f>
        <v>29</v>
      </c>
      <c r="H28" s="49">
        <f>IFERROR(__xludf.DUMMYFUNCTION("IFERROR(
  VLOOKUP(
    A28,
    IMPORTRANGE(
      ""1ZHMy3vVUd_0MrSduXTe1etBb1HNpAlGwQr006ljwMiM"",
      ""GSC最新!A:F""
    ),
    4,
    FALSE
  ),
  0
)
"),7.0)</f>
        <v>7</v>
      </c>
      <c r="I28" s="49">
        <f>IFERROR(__xludf.DUMMYFUNCTION("IFERROR(
  VLOOKUP(
    A28,
    IMPORTRANGE(
      ""1ZHMy3vVUd_0MrSduXTe1etBb1HNpAlGwQr006ljwMiM"",
      ""GSC最新!A:F""
    ),
    5,
    FALSE
  ),
  0
)
"),22.0)</f>
        <v>22</v>
      </c>
      <c r="J28" s="50">
        <f t="shared" ref="J28:K28" si="131">IFERROR(F28/H28,"-")</f>
        <v>2.714285714</v>
      </c>
      <c r="K28" s="50">
        <f t="shared" si="131"/>
        <v>1.318181818</v>
      </c>
      <c r="L28" s="6">
        <f>IFERROR(__xludf.DUMMYFUNCTION("IFERROR(
  VLOOKUP(
    A28,
    IMPORTRANGE(
      ""1ZHMy3vVUd_0MrSduXTe1etBb1HNpAlGwQr006ljwMiM"",
      ""GSC最新!A:R""
    ),
    7,
    FALSE
  ),
  0
)
"),4395.0)</f>
        <v>4395</v>
      </c>
      <c r="M28" s="6">
        <f>IFERROR(__xludf.DUMMYFUNCTION("IFERROR(
  VLOOKUP(
    A28,
    IMPORTRANGE(
      ""1ZHMy3vVUd_0MrSduXTe1etBb1HNpAlGwQr006ljwMiM"",
      ""GSC最新!A:R""
    ),
    10,
    FALSE
  ),
  0
)
"),8982.0)</f>
        <v>8982</v>
      </c>
      <c r="N28" s="6">
        <f>IFERROR(__xludf.DUMMYFUNCTION("IFERROR(
  VLOOKUP(
    A28,
    IMPORTRANGE(
      ""1ZHMy3vVUd_0MrSduXTe1etBb1HNpAlGwQr006ljwMiM"",
      ""GSC最新!A:R""
    ),
    13,
    FALSE
  ),
  0
)
"),383.0)</f>
        <v>383</v>
      </c>
      <c r="O28" s="6">
        <f>IFERROR(__xludf.DUMMYFUNCTION("IFERROR(
  VLOOKUP(
    A28,
    IMPORTRANGE(
      ""1ZHMy3vVUd_0MrSduXTe1etBb1HNpAlGwQr006ljwMiM"",
      ""GSC最新!A:R""
    ),
    16,
    FALSE
  ),
  0
)
"),1148.0)</f>
        <v>1148</v>
      </c>
      <c r="P28" s="51">
        <f t="shared" ref="P28:Q28" si="132">IFERROR(L28/N28,"-")</f>
        <v>11.47519582</v>
      </c>
      <c r="Q28" s="51">
        <f t="shared" si="132"/>
        <v>7.824041812</v>
      </c>
      <c r="R28" s="9">
        <f>IFERROR(__xludf.DUMMYFUNCTION("IFERROR(
  VLOOKUP(
    A28,
    IMPORTRANGE(
      ""1ZHMy3vVUd_0MrSduXTe1etBb1HNpAlGwQr006ljwMiM"",
      ""GSC最新!A:R""
    ),
    8,
    FALSE
  ),
  0
)
"),0.004323094425483504)</f>
        <v>0.004323094425</v>
      </c>
      <c r="S28" s="9">
        <f>IFERROR(__xludf.DUMMYFUNCTION("IFERROR(
  VLOOKUP(
    A28,
    IMPORTRANGE(
      ""1ZHMy3vVUd_0MrSduXTe1etBb1HNpAlGwQr006ljwMiM"",
      ""GSC最新!A:R""
    ),
    11,
    FALSE
  ),
  0
)
"),0.003228679581384992)</f>
        <v>0.003228679581</v>
      </c>
      <c r="T28" s="9">
        <f>IFERROR(__xludf.DUMMYFUNCTION("IFERROR(
  VLOOKUP(
    A28,
    IMPORTRANGE(
      ""1ZHMy3vVUd_0MrSduXTe1etBb1HNpAlGwQr006ljwMiM"",
      ""GSC最新!A:R""
    ),
    14,
    FALSE
  ),
  0
)
"),0.018276762402088774)</f>
        <v>0.0182767624</v>
      </c>
      <c r="U28" s="9">
        <f>IFERROR(__xludf.DUMMYFUNCTION("IFERROR(
  VLOOKUP(
    A28,
    IMPORTRANGE(
      ""1ZHMy3vVUd_0MrSduXTe1etBb1HNpAlGwQr006ljwMiM"",
      ""GSC最新!A:R""
    ),
    17,
    FALSE
  ),
  0
)
"),0.01916376306620209)</f>
        <v>0.01916376307</v>
      </c>
      <c r="V28" s="9">
        <f t="shared" ref="V28:W28" si="133">IFERROR(R28-T28,"-")</f>
        <v>-0.01395366798</v>
      </c>
      <c r="W28" s="9">
        <f t="shared" si="133"/>
        <v>-0.01593508348</v>
      </c>
      <c r="X28" s="65">
        <f>IFERROR(__xludf.DUMMYFUNCTION("IFERROR(
  VLOOKUP(
    A28,
    IMPORTRANGE(
      ""1ZHMy3vVUd_0MrSduXTe1etBb1HNpAlGwQr006ljwMiM"",
      ""GSC最新!A:R""
    ),
    9,
    FALSE
  ),
  0
)
"),5.170420932878271)</f>
        <v>5.170420933</v>
      </c>
      <c r="Y28" s="65">
        <f>IFERROR(__xludf.DUMMYFUNCTION("IFERROR(
  VLOOKUP(
    A28,
    IMPORTRANGE(
      ""1ZHMy3vVUd_0MrSduXTe1etBb1HNpAlGwQr006ljwMiM"",
      ""GSC最新!A:R""
    ),
    12,
    FALSE
  ),
  0
)
"),5.518370073480294)</f>
        <v>5.518370073</v>
      </c>
      <c r="Z28" s="65">
        <f>IFERROR(__xludf.DUMMYFUNCTION("IFERROR(
  VLOOKUP(
    A28,
    IMPORTRANGE(
      ""1ZHMy3vVUd_0MrSduXTe1etBb1HNpAlGwQr006ljwMiM"",
      ""GSC最新!A:R""
    ),
    15,
    FALSE
  ),
  0
)
"),6.295039164490862)</f>
        <v>6.295039164</v>
      </c>
      <c r="AA28" s="65">
        <f>IFERROR(__xludf.DUMMYFUNCTION("IFERROR(
  VLOOKUP(
    A28,
    IMPORTRANGE(
      ""1ZHMy3vVUd_0MrSduXTe1etBb1HNpAlGwQr006ljwMiM"",
      ""GSC最新!A:R""
    ),
    18,
    FALSE
  ),
  0
)
"),8.07752613240418)</f>
        <v>8.077526132</v>
      </c>
      <c r="AB28" s="65">
        <f t="shared" ref="AB28:AC28" si="134">X28-Z28</f>
        <v>-1.124618232</v>
      </c>
      <c r="AC28" s="65">
        <f t="shared" si="134"/>
        <v>-2.559156059</v>
      </c>
      <c r="AD28" s="53">
        <f>IFERROR(__xludf.DUMMYFUNCTION("IFERROR(
  VLOOKUP(
    A28,
    IMPORTRANGE(
      ""1ZHMy3vVUd_0MrSduXTe1etBb1HNpAlGwQr006ljwMiM"",
      ""GSC最新!A:F""
    ),
    6,
    FALSE
  ),
  0
)
"),46081.0)</f>
        <v>46081</v>
      </c>
      <c r="AE28" s="54">
        <f>IFERROR(__xludf.DUMMYFUNCTION("IFERROR(
  VLOOKUP(
    A28,
    IMPORTRANGE(
      ""1SCYQd7_cobOYqT0r_F0IqD4tE4rYn5y8Eup4PJTH8es"",
      ""Snapshot!A:M""
    ),
    5,
    FALSE
  ),
  ""-""
)
"),2.0)</f>
        <v>2</v>
      </c>
      <c r="AF28" s="54">
        <f>IFERROR(__xludf.DUMMYFUNCTION("IFERROR(
  VLOOKUP(
    A28,
    IMPORTRANGE(
      ""1SCYQd7_cobOYqT0r_F0IqD4tE4rYn5y8Eup4PJTH8es"",
      ""Snapshot!A:M""
    ),
    6,
    FALSE
  ),
  0
)
"),1.0)</f>
        <v>1</v>
      </c>
      <c r="AG28" s="54">
        <f>IFERROR(__xludf.DUMMYFUNCTION("IFERROR(
  VLOOKUP(
    A28,
    IMPORTRANGE(
      ""1SCYQd7_cobOYqT0r_F0IqD4tE4rYn5y8Eup4PJTH8es"",
      ""Snapshot!A:M""
    ),
    7,
    FALSE
  ),
  0
)
"),7283.0)</f>
        <v>7283</v>
      </c>
      <c r="AH28" s="54">
        <f>IFERROR(__xludf.DUMMYFUNCTION("IFERROR(
  VLOOKUP(
    A28,
    IMPORTRANGE(
      ""1SCYQd7_cobOYqT0r_F0IqD4tE4rYn5y8Eup4PJTH8es"",
      ""Snapshot!A:M""
    ),
    8,
    FALSE
  ),
  0
)
"),4.0)</f>
        <v>4</v>
      </c>
      <c r="AI28" s="54">
        <f>IFERROR(__xludf.DUMMYFUNCTION("IFERROR(
  VLOOKUP(
    A28,
    IMPORTRANGE(
      ""1SCYQd7_cobOYqT0r_F0IqD4tE4rYn5y8Eup4PJTH8es"",
      ""Snapshot!A:M""
    ),
    9,
    FALSE
  ),
  0
)
"),3.0)</f>
        <v>3</v>
      </c>
      <c r="AJ28" s="54">
        <f>IFERROR(__xludf.DUMMYFUNCTION("IFERROR(
  VLOOKUP(
    A28,
    IMPORTRANGE(
      ""1SCYQd7_cobOYqT0r_F0IqD4tE4rYn5y8Eup4PJTH8es"",
      ""Snapshot!A:M""
    ),
    13,
    FALSE
  ),
  0
)
"),1.0)</f>
        <v>1</v>
      </c>
      <c r="AK28" s="49">
        <f t="shared" ref="AK28:AL28" si="135">LEN(C28)</f>
        <v>27</v>
      </c>
      <c r="AL28" s="49">
        <f t="shared" si="135"/>
        <v>79</v>
      </c>
    </row>
    <row r="29">
      <c r="A29" s="3" t="s">
        <v>972</v>
      </c>
      <c r="B29" s="1" t="str">
        <f>IFERROR(__xludf.DUMMYFUNCTION("IFERROR(
  VLOOKUP(
    A29,
    IMPORTRANGE(
      ""1ZygntHC1J6IxzKbTidmOyf5nUyW4GCLurHCjexrLm_o"",
      ""HTMLキャッシュ!A:F""
    ),
    2,
    FALSE
  ),
  0
)
"),"MC")</f>
        <v>MC</v>
      </c>
      <c r="C29" s="1" t="str">
        <f>IFERROR(__xludf.DUMMYFUNCTION("IFERROR(
  VLOOKUP(
    A29,
    IMPORTRANGE(
      ""1ZygntHC1J6IxzKbTidmOyf5nUyW4GCLurHCjexrLm_o"",
      ""HTMLキャッシュ!A:F""
    ),
    5,
    FALSE
  ),
  0
)
"),"現在完了（have/has＋過去分詞）3用法と過去形の違い｜just・already・yetまで")</f>
        <v>現在完了（have/has＋過去分詞）3用法と過去形の違い｜just・already・yetまで</v>
      </c>
      <c r="D29" s="1" t="str">
        <f>IFERROR(__xludf.DUMMYFUNCTION("IFERROR(
  VLOOKUP(
    A29,
    IMPORTRANGE(
      ""1ZygntHC1J6IxzKbTidmOyf5nUyW4GCLurHCjexrLm_o        "",
      ""HTMLキャッシュ!A:F""
    ),
    6,
    FALSE
  ),
  0
)
"),"現在完了（have/has＋過去分詞）を、完了・結果／経験／継続の3用法と過去形の違いで整理。just・already・yet、否定文／疑問文の作り方も確認。")</f>
        <v>現在完了（have/has＋過去分詞）を、完了・結果／経験／継続の3用法と過去形の違いで整理。just・already・yet、否定文／疑問文の作り方も確認。</v>
      </c>
      <c r="E29" s="32">
        <f>IFERROR(__xludf.DUMMYFUNCTION("IFERROR(
  VLOOKUP(
    A29,
    IMPORTRANGE(
      ""1ZygntHC1J6IxzKbTidmOyf5nUyW4GCLurHCjexrLm_o        "",
      ""HTMLキャッシュ!A:F""
    ),
    3,
    FALSE
  ),
  0
)
"),46016.5300462963)</f>
        <v>46016.53005</v>
      </c>
      <c r="F29" s="49">
        <f>IFERROR(__xludf.DUMMYFUNCTION("IFERROR(
  VLOOKUP(
    A29,
    IMPORTRANGE(
      ""1ZHMy3vVUd_0MrSduXTe1etBb1HNpAlGwQr006ljwMiM"",
      ""GSC最新!A:F""
    ),
    2,
    FALSE
  ),
  0
)
"),12.0)</f>
        <v>12</v>
      </c>
      <c r="G29" s="49">
        <f>IFERROR(__xludf.DUMMYFUNCTION("IFERROR(
  VLOOKUP(
    A29,
    IMPORTRANGE(
      ""1ZHMy3vVUd_0MrSduXTe1etBb1HNpAlGwQr006ljwMiM"",
      ""GSC最新!A:F""
    ),
    3,
    FALSE
  ),
  0
)
"),28.0)</f>
        <v>28</v>
      </c>
      <c r="H29" s="49">
        <f>IFERROR(__xludf.DUMMYFUNCTION("IFERROR(
  VLOOKUP(
    A29,
    IMPORTRANGE(
      ""1ZHMy3vVUd_0MrSduXTe1etBb1HNpAlGwQr006ljwMiM"",
      ""GSC最新!A:F""
    ),
    4,
    FALSE
  ),
  0
)
"),8.0)</f>
        <v>8</v>
      </c>
      <c r="I29" s="49">
        <f>IFERROR(__xludf.DUMMYFUNCTION("IFERROR(
  VLOOKUP(
    A29,
    IMPORTRANGE(
      ""1ZHMy3vVUd_0MrSduXTe1etBb1HNpAlGwQr006ljwMiM"",
      ""GSC最新!A:F""
    ),
    5,
    FALSE
  ),
  0
)
"),20.0)</f>
        <v>20</v>
      </c>
      <c r="J29" s="50">
        <f t="shared" ref="J29:K29" si="136">IFERROR(F29/H29,"-")</f>
        <v>1.5</v>
      </c>
      <c r="K29" s="50">
        <f t="shared" si="136"/>
        <v>1.4</v>
      </c>
      <c r="L29" s="6">
        <f>IFERROR(__xludf.DUMMYFUNCTION("IFERROR(
  VLOOKUP(
    A29,
    IMPORTRANGE(
      ""1ZHMy3vVUd_0MrSduXTe1etBb1HNpAlGwQr006ljwMiM"",
      ""GSC最新!A:R""
    ),
    7,
    FALSE
  ),
  0
)
"),3777.0)</f>
        <v>3777</v>
      </c>
      <c r="M29" s="6">
        <f>IFERROR(__xludf.DUMMYFUNCTION("IFERROR(
  VLOOKUP(
    A29,
    IMPORTRANGE(
      ""1ZHMy3vVUd_0MrSduXTe1etBb1HNpAlGwQr006ljwMiM"",
      ""GSC最新!A:R""
    ),
    10,
    FALSE
  ),
  0
)
"),6102.0)</f>
        <v>6102</v>
      </c>
      <c r="N29" s="6">
        <f>IFERROR(__xludf.DUMMYFUNCTION("IFERROR(
  VLOOKUP(
    A29,
    IMPORTRANGE(
      ""1ZHMy3vVUd_0MrSduXTe1etBb1HNpAlGwQr006ljwMiM"",
      ""GSC最新!A:R""
    ),
    13,
    FALSE
  ),
  0
)
"),183.0)</f>
        <v>183</v>
      </c>
      <c r="O29" s="6">
        <f>IFERROR(__xludf.DUMMYFUNCTION("IFERROR(
  VLOOKUP(
    A29,
    IMPORTRANGE(
      ""1ZHMy3vVUd_0MrSduXTe1etBb1HNpAlGwQr006ljwMiM"",
      ""GSC最新!A:R""
    ),
    16,
    FALSE
  ),
  0
)
"),502.0)</f>
        <v>502</v>
      </c>
      <c r="P29" s="51">
        <f t="shared" ref="P29:Q29" si="137">IFERROR(L29/N29,"-")</f>
        <v>20.63934426</v>
      </c>
      <c r="Q29" s="51">
        <f t="shared" si="137"/>
        <v>12.15537849</v>
      </c>
      <c r="R29" s="9">
        <f>IFERROR(__xludf.DUMMYFUNCTION("IFERROR(
  VLOOKUP(
    A29,
    IMPORTRANGE(
      ""1ZHMy3vVUd_0MrSduXTe1etBb1HNpAlGwQr006ljwMiM"",
      ""GSC最新!A:R""
    ),
    8,
    FALSE
  ),
  0
)
"),0.003177124702144559)</f>
        <v>0.003177124702</v>
      </c>
      <c r="S29" s="9">
        <f>IFERROR(__xludf.DUMMYFUNCTION("IFERROR(
  VLOOKUP(
    A29,
    IMPORTRANGE(
      ""1ZHMy3vVUd_0MrSduXTe1etBb1HNpAlGwQr006ljwMiM"",
      ""GSC最新!A:R""
    ),
    11,
    FALSE
  ),
  0
)
"),0.004588659455916093)</f>
        <v>0.004588659456</v>
      </c>
      <c r="T29" s="9">
        <f>IFERROR(__xludf.DUMMYFUNCTION("IFERROR(
  VLOOKUP(
    A29,
    IMPORTRANGE(
      ""1ZHMy3vVUd_0MrSduXTe1etBb1HNpAlGwQr006ljwMiM"",
      ""GSC最新!A:R""
    ),
    14,
    FALSE
  ),
  0
)
"),0.04371584699453552)</f>
        <v>0.04371584699</v>
      </c>
      <c r="U29" s="9">
        <f>IFERROR(__xludf.DUMMYFUNCTION("IFERROR(
  VLOOKUP(
    A29,
    IMPORTRANGE(
      ""1ZHMy3vVUd_0MrSduXTe1etBb1HNpAlGwQr006ljwMiM"",
      ""GSC最新!A:R""
    ),
    17,
    FALSE
  ),
  0
)
"),0.0398406374501992)</f>
        <v>0.03984063745</v>
      </c>
      <c r="V29" s="9">
        <f t="shared" ref="V29:W29" si="138">IFERROR(R29-T29,"-")</f>
        <v>-0.04053872229</v>
      </c>
      <c r="W29" s="9">
        <f t="shared" si="138"/>
        <v>-0.03525197799</v>
      </c>
      <c r="X29" s="65">
        <f>IFERROR(__xludf.DUMMYFUNCTION("IFERROR(
  VLOOKUP(
    A29,
    IMPORTRANGE(
      ""1ZHMy3vVUd_0MrSduXTe1etBb1HNpAlGwQr006ljwMiM"",
      ""GSC最新!A:R""
    ),
    9,
    FALSE
  ),
  0
)
"),1.839025681758009)</f>
        <v>1.839025682</v>
      </c>
      <c r="Y29" s="65">
        <f>IFERROR(__xludf.DUMMYFUNCTION("IFERROR(
  VLOOKUP(
    A29,
    IMPORTRANGE(
      ""1ZHMy3vVUd_0MrSduXTe1etBb1HNpAlGwQr006ljwMiM"",
      ""GSC最新!A:R""
    ),
    12,
    FALSE
  ),
  0
)
"),2.1984595214683713)</f>
        <v>2.198459521</v>
      </c>
      <c r="Z29" s="65">
        <f>IFERROR(__xludf.DUMMYFUNCTION("IFERROR(
  VLOOKUP(
    A29,
    IMPORTRANGE(
      ""1ZHMy3vVUd_0MrSduXTe1etBb1HNpAlGwQr006ljwMiM"",
      ""GSC最新!A:R""
    ),
    15,
    FALSE
  ),
  0
)
"),6.475409836065574)</f>
        <v>6.475409836</v>
      </c>
      <c r="AA29" s="65">
        <f>IFERROR(__xludf.DUMMYFUNCTION("IFERROR(
  VLOOKUP(
    A29,
    IMPORTRANGE(
      ""1ZHMy3vVUd_0MrSduXTe1etBb1HNpAlGwQr006ljwMiM"",
      ""GSC最新!A:R""
    ),
    18,
    FALSE
  ),
  0
)
"),6.806772908366534)</f>
        <v>6.806772908</v>
      </c>
      <c r="AB29" s="65">
        <f t="shared" ref="AB29:AC29" si="139">X29-Z29</f>
        <v>-4.636384154</v>
      </c>
      <c r="AC29" s="65">
        <f t="shared" si="139"/>
        <v>-4.608313387</v>
      </c>
      <c r="AD29" s="53">
        <f>IFERROR(__xludf.DUMMYFUNCTION("IFERROR(
  VLOOKUP(
    A29,
    IMPORTRANGE(
      ""1ZHMy3vVUd_0MrSduXTe1etBb1HNpAlGwQr006ljwMiM"",
      ""GSC最新!A:F""
    ),
    6,
    FALSE
  ),
  0
)
"),46081.0)</f>
        <v>46081</v>
      </c>
      <c r="AE29" s="54">
        <f>IFERROR(__xludf.DUMMYFUNCTION("IFERROR(
  VLOOKUP(
    A29,
    IMPORTRANGE(
      ""1SCYQd7_cobOYqT0r_F0IqD4tE4rYn5y8Eup4PJTH8es"",
      ""Snapshot!A:M""
    ),
    5,
    FALSE
  ),
  ""-""
)
"),1.0)</f>
        <v>1</v>
      </c>
      <c r="AF29" s="54">
        <f>IFERROR(__xludf.DUMMYFUNCTION("IFERROR(
  VLOOKUP(
    A29,
    IMPORTRANGE(
      ""1SCYQd7_cobOYqT0r_F0IqD4tE4rYn5y8Eup4PJTH8es"",
      ""Snapshot!A:M""
    ),
    6,
    FALSE
  ),
  0
)
"),1.0)</f>
        <v>1</v>
      </c>
      <c r="AG29" s="54">
        <f>IFERROR(__xludf.DUMMYFUNCTION("IFERROR(
  VLOOKUP(
    A29,
    IMPORTRANGE(
      ""1SCYQd7_cobOYqT0r_F0IqD4tE4rYn5y8Eup4PJTH8es"",
      ""Snapshot!A:M""
    ),
    7,
    FALSE
  ),
  0
)
"),7932.0)</f>
        <v>7932</v>
      </c>
      <c r="AH29" s="54">
        <f>IFERROR(__xludf.DUMMYFUNCTION("IFERROR(
  VLOOKUP(
    A29,
    IMPORTRANGE(
      ""1SCYQd7_cobOYqT0r_F0IqD4tE4rYn5y8Eup4PJTH8es"",
      ""Snapshot!A:M""
    ),
    8,
    FALSE
  ),
  0
)
"),3.0)</f>
        <v>3</v>
      </c>
      <c r="AI29" s="54">
        <f>IFERROR(__xludf.DUMMYFUNCTION("IFERROR(
  VLOOKUP(
    A29,
    IMPORTRANGE(
      ""1SCYQd7_cobOYqT0r_F0IqD4tE4rYn5y8Eup4PJTH8es"",
      ""Snapshot!A:M""
    ),
    9,
    FALSE
  ),
  0
)
"),3.0)</f>
        <v>3</v>
      </c>
      <c r="AJ29" s="54">
        <f>IFERROR(__xludf.DUMMYFUNCTION("IFERROR(
  VLOOKUP(
    A29,
    IMPORTRANGE(
      ""1SCYQd7_cobOYqT0r_F0IqD4tE4rYn5y8Eup4PJTH8es"",
      ""Snapshot!A:M""
    ),
    13,
    FALSE
  ),
  0
)
"),1.0)</f>
        <v>1</v>
      </c>
      <c r="AK29" s="49">
        <f t="shared" ref="AK29:AL29" si="140">LEN(C29)</f>
        <v>48</v>
      </c>
      <c r="AL29" s="49">
        <f t="shared" si="140"/>
        <v>79</v>
      </c>
    </row>
    <row r="30">
      <c r="A30" s="3" t="s">
        <v>973</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"),"did の後はなぜ原形？過去形・否定疑問文の不規則動詞活用法")</f>
        <v>did の後はなぜ原形？過去形・否定疑問文の不規則動詞活用法</v>
      </c>
      <c r="D30" s="1" t="str">
        <f>IFERROR(__xludf.DUMMYFUNCTION("IFERROR(
  VLOOKUP(
    A30,
    IMPORTRANGE(
      ""1ZygntHC1J6IxzKbTidmOyf5nUyW4GCLurHCjexrLm_o        "",
      ""HTMLキャッシュ!A:F""
    ),
    6,
    FALSE
  ),
  0
)
"),"did/didn’tの後は原形。否定・疑問・疑問詞と、答えを過去形にする所まで例文で確認。make→made等の不規則も、10問クイズで仕上げ。")</f>
        <v>did/didn’tの後は原形。否定・疑問・疑問詞と、答えを過去形にする所まで例文で確認。make→made等の不規則も、10問クイズで仕上げ。</v>
      </c>
      <c r="E30" s="32">
        <f>IFERROR(__xludf.DUMMYFUNCTION("IFERROR(
  VLOOKUP(
    A30,
    IMPORTRANGE(
      ""1ZygntHC1J6IxzKbTidmOyf5nUyW4GCLurHCjexrLm_o        "",
      ""HTMLキャッシュ!A:F""
    ),
    3,
    FALSE
  ),
  0
)
"),46074.57618055555)</f>
        <v>46074.57618</v>
      </c>
      <c r="F30" s="49">
        <f>IFERROR(__xludf.DUMMYFUNCTION("IFERROR(
  VLOOKUP(
    A30,
    IMPORTRANGE(
      ""1ZHMy3vVUd_0MrSduXTe1etBb1HNpAlGwQr006ljwMiM"",
      ""GSC最新!A:F""
    ),
    2,
    FALSE
  ),
  0
)
"),15.0)</f>
        <v>15</v>
      </c>
      <c r="G30" s="49">
        <f>IFERROR(__xludf.DUMMYFUNCTION("IFERROR(
  VLOOKUP(
    A30,
    IMPORTRANGE(
      ""1ZHMy3vVUd_0MrSduXTe1etBb1HNpAlGwQr006ljwMiM"",
      ""GSC最新!A:F""
    ),
    3,
    FALSE
  ),
  0
)
"),28.0)</f>
        <v>28</v>
      </c>
      <c r="H30" s="49">
        <f>IFERROR(__xludf.DUMMYFUNCTION("IFERROR(
  VLOOKUP(
    A30,
    IMPORTRANGE(
      ""1ZHMy3vVUd_0MrSduXTe1etBb1HNpAlGwQr006ljwMiM"",
      ""GSC最新!A:F""
    ),
    4,
    FALSE
  ),
  0
)
"),7.0)</f>
        <v>7</v>
      </c>
      <c r="I30" s="49">
        <f>IFERROR(__xludf.DUMMYFUNCTION("IFERROR(
  VLOOKUP(
    A30,
    IMPORTRANGE(
      ""1ZHMy3vVUd_0MrSduXTe1etBb1HNpAlGwQr006ljwMiM"",
      ""GSC最新!A:F""
    ),
    5,
    FALSE
  ),
  0
)
"),20.0)</f>
        <v>20</v>
      </c>
      <c r="J30" s="50">
        <f t="shared" ref="J30:K30" si="141">IFERROR(F30/H30,"-")</f>
        <v>2.142857143</v>
      </c>
      <c r="K30" s="50">
        <f t="shared" si="141"/>
        <v>1.4</v>
      </c>
      <c r="L30" s="6">
        <f>IFERROR(__xludf.DUMMYFUNCTION("IFERROR(
  VLOOKUP(
    A30,
    IMPORTRANGE(
      ""1ZHMy3vVUd_0MrSduXTe1etBb1HNpAlGwQr006ljwMiM"",
      ""GSC最新!A:R""
    ),
    7,
    FALSE
  ),
  0
)
"),5363.0)</f>
        <v>5363</v>
      </c>
      <c r="M30" s="6">
        <f>IFERROR(__xludf.DUMMYFUNCTION("IFERROR(
  VLOOKUP(
    A30,
    IMPORTRANGE(
      ""1ZHMy3vVUd_0MrSduXTe1etBb1HNpAlGwQr006ljwMiM"",
      ""GSC最新!A:R""
    ),
    10,
    FALSE
  ),
  0
)
"),10227.0)</f>
        <v>10227</v>
      </c>
      <c r="N30" s="6">
        <f>IFERROR(__xludf.DUMMYFUNCTION("IFERROR(
  VLOOKUP(
    A30,
    IMPORTRANGE(
      ""1ZHMy3vVUd_0MrSduXTe1etBb1HNpAlGwQr006ljwMiM"",
      ""GSC最新!A:R""
    ),
    13,
    FALSE
  ),
  0
)
"),312.0)</f>
        <v>312</v>
      </c>
      <c r="O30" s="6">
        <f>IFERROR(__xludf.DUMMYFUNCTION("IFERROR(
  VLOOKUP(
    A30,
    IMPORTRANGE(
      ""1ZHMy3vVUd_0MrSduXTe1etBb1HNpAlGwQr006ljwMiM"",
      ""GSC最新!A:R""
    ),
    16,
    FALSE
  ),
  0
)
"),984.0)</f>
        <v>984</v>
      </c>
      <c r="P30" s="51">
        <f t="shared" ref="P30:Q30" si="142">IFERROR(L30/N30,"-")</f>
        <v>17.18910256</v>
      </c>
      <c r="Q30" s="51">
        <f t="shared" si="142"/>
        <v>10.39329268</v>
      </c>
      <c r="R30" s="9">
        <f>IFERROR(__xludf.DUMMYFUNCTION("IFERROR(
  VLOOKUP(
    A30,
    IMPORTRANGE(
      ""1ZHMy3vVUd_0MrSduXTe1etBb1HNpAlGwQr006ljwMiM"",
      ""GSC最新!A:R""
    ),
    8,
    FALSE
  ),
  0
)
"),0.0027969420100689914)</f>
        <v>0.00279694201</v>
      </c>
      <c r="S30" s="9">
        <f>IFERROR(__xludf.DUMMYFUNCTION("IFERROR(
  VLOOKUP(
    A30,
    IMPORTRANGE(
      ""1ZHMy3vVUd_0MrSduXTe1etBb1HNpAlGwQr006ljwMiM"",
      ""GSC最新!A:R""
    ),
    11,
    FALSE
  ),
  0
)
"),0.0027378507871321013)</f>
        <v>0.002737850787</v>
      </c>
      <c r="T30" s="9">
        <f>IFERROR(__xludf.DUMMYFUNCTION("IFERROR(
  VLOOKUP(
    A30,
    IMPORTRANGE(
      ""1ZHMy3vVUd_0MrSduXTe1etBb1HNpAlGwQr006ljwMiM"",
      ""GSC最新!A:R""
    ),
    14,
    FALSE
  ),
  0
)
"),0.022435897435897436)</f>
        <v>0.02243589744</v>
      </c>
      <c r="U30" s="9">
        <f>IFERROR(__xludf.DUMMYFUNCTION("IFERROR(
  VLOOKUP(
    A30,
    IMPORTRANGE(
      ""1ZHMy3vVUd_0MrSduXTe1etBb1HNpAlGwQr006ljwMiM"",
      ""GSC最新!A:R""
    ),
    17,
    FALSE
  ),
  0
)
"),0.02032520325203252)</f>
        <v>0.02032520325</v>
      </c>
      <c r="V30" s="9">
        <f t="shared" ref="V30:W30" si="143">IFERROR(R30-T30,"-")</f>
        <v>-0.01963895543</v>
      </c>
      <c r="W30" s="9">
        <f t="shared" si="143"/>
        <v>-0.01758735246</v>
      </c>
      <c r="X30" s="65">
        <f>IFERROR(__xludf.DUMMYFUNCTION("IFERROR(
  VLOOKUP(
    A30,
    IMPORTRANGE(
      ""1ZHMy3vVUd_0MrSduXTe1etBb1HNpAlGwQr006ljwMiM"",
      ""GSC最新!A:R""
    ),
    9,
    FALSE
  ),
  0
)
"),4.128659332463174)</f>
        <v>4.128659332</v>
      </c>
      <c r="Y30" s="65">
        <f>IFERROR(__xludf.DUMMYFUNCTION("IFERROR(
  VLOOKUP(
    A30,
    IMPORTRANGE(
      ""1ZHMy3vVUd_0MrSduXTe1etBb1HNpAlGwQr006ljwMiM"",
      ""GSC最新!A:R""
    ),
    12,
    FALSE
  ),
  0
)
"),4.114011929207001)</f>
        <v>4.114011929</v>
      </c>
      <c r="Z30" s="65">
        <f>IFERROR(__xludf.DUMMYFUNCTION("IFERROR(
  VLOOKUP(
    A30,
    IMPORTRANGE(
      ""1ZHMy3vVUd_0MrSduXTe1etBb1HNpAlGwQr006ljwMiM"",
      ""GSC最新!A:R""
    ),
    15,
    FALSE
  ),
  0
)
"),6.455128205128205)</f>
        <v>6.455128205</v>
      </c>
      <c r="AA30" s="65">
        <f>IFERROR(__xludf.DUMMYFUNCTION("IFERROR(
  VLOOKUP(
    A30,
    IMPORTRANGE(
      ""1ZHMy3vVUd_0MrSduXTe1etBb1HNpAlGwQr006ljwMiM"",
      ""GSC最新!A:R""
    ),
    18,
    FALSE
  ),
  0
)
"),16.589430894308943)</f>
        <v>16.58943089</v>
      </c>
      <c r="AB30" s="65">
        <f t="shared" ref="AB30:AC30" si="144">X30-Z30</f>
        <v>-2.326468873</v>
      </c>
      <c r="AC30" s="65">
        <f t="shared" si="144"/>
        <v>-12.47541897</v>
      </c>
      <c r="AD30" s="53">
        <f>IFERROR(__xludf.DUMMYFUNCTION("IFERROR(
  VLOOKUP(
    A30,
    IMPORTRANGE(
      ""1ZHMy3vVUd_0MrSduXTe1etBb1HNpAlGwQr006ljwMiM"",
      ""GSC最新!A:F""
    ),
    6,
    FALSE
  ),
  0
)
"),46081.0)</f>
        <v>46081</v>
      </c>
      <c r="AE30" s="54">
        <f>IFERROR(__xludf.DUMMYFUNCTION("IFERROR(
  VLOOKUP(
    A30,
    IMPORTRANGE(
      ""1SCYQd7_cobOYqT0r_F0IqD4tE4rYn5y8Eup4PJTH8es"",
      ""Snapshot!A:M""
    ),
    5,
    FALSE
  ),
  ""-""
)
"),0.0)</f>
        <v>0</v>
      </c>
      <c r="AF30" s="54">
        <f>IFERROR(__xludf.DUMMYFUNCTION("IFERROR(
  VLOOKUP(
    A30,
    IMPORTRANGE(
      ""1SCYQd7_cobOYqT0r_F0IqD4tE4rYn5y8Eup4PJTH8es"",
      ""Snapshot!A:M""
    ),
    6,
    FALSE
  ),
  0
)
"),0.0)</f>
        <v>0</v>
      </c>
      <c r="AG30" s="54">
        <f>IFERROR(__xludf.DUMMYFUNCTION("IFERROR(
  VLOOKUP(
    A30,
    IMPORTRANGE(
      ""1SCYQd7_cobOYqT0r_F0IqD4tE4rYn5y8Eup4PJTH8es"",
      ""Snapshot!A:M""
    ),
    7,
    FALSE
  ),
  0
)
"),5462.0)</f>
        <v>5462</v>
      </c>
      <c r="AH30" s="54">
        <f>IFERROR(__xludf.DUMMYFUNCTION("IFERROR(
  VLOOKUP(
    A30,
    IMPORTRANGE(
      ""1SCYQd7_cobOYqT0r_F0IqD4tE4rYn5y8Eup4PJTH8es"",
      ""Snapshot!A:M""
    ),
    8,
    FALSE
  ),
  0
)
"),3.0)</f>
        <v>3</v>
      </c>
      <c r="AI30" s="54">
        <f>IFERROR(__xludf.DUMMYFUNCTION("IFERROR(
  VLOOKUP(
    A30,
    IMPORTRANGE(
      ""1SCYQd7_cobOYqT0r_F0IqD4tE4rYn5y8Eup4PJTH8es"",
      ""Snapshot!A:M""
    ),
    9,
    FALSE
  ),
  0
)
"),2.0)</f>
        <v>2</v>
      </c>
      <c r="AJ30" s="54">
        <f>IFERROR(__xludf.DUMMYFUNCTION("IFERROR(
  VLOOKUP(
    A30,
    IMPORTRANGE(
      ""1SCYQd7_cobOYqT0r_F0IqD4tE4rYn5y8Eup4PJTH8es"",
      ""Snapshot!A:M""
    ),
    13,
    FALSE
  ),
  0
)
"),1.0)</f>
        <v>1</v>
      </c>
      <c r="AK30" s="49">
        <f t="shared" ref="AK30:AL30" si="145">LEN(C30)</f>
        <v>30</v>
      </c>
      <c r="AL30" s="49">
        <f t="shared" si="145"/>
        <v>72</v>
      </c>
    </row>
    <row r="31">
      <c r="A31" s="3" t="s">
        <v>282</v>
      </c>
      <c r="B31" s="1" t="str">
        <f>IFERROR(__xludf.DUMMYFUNCTION("IFERROR(
  VLOOKUP(
    A31,
    IMPORTRANGE(
      ""1ZygntHC1J6IxzKbTidmOyf5nUyW4GCLurHCjexrLm_o"",
      ""HTMLキャッシュ!A:F""
    ),
    2,
    FALSE
  ),
  0
)
"),"TP")</f>
        <v>TP</v>
      </c>
      <c r="C31" s="1" t="str">
        <f>IFERROR(__xludf.DUMMYFUNCTION("IFERROR(
  VLOOKUP(
    A31,
    IMPORTRANGE(
      ""1ZygntHC1J6IxzKbTidmOyf5nUyW4GCLurHCjexrLm_o"",
      ""HTMLキャッシュ!A:F""
    ),
    5,
    FALSE
  ),
  0
)
"),"受験英語専門ゼミRe-Write｜四ツ谷・オンライン｜個別指導")</f>
        <v>受験英語専門ゼミRe-Write｜四ツ谷・オンライン｜個別指導</v>
      </c>
      <c r="D31" s="1" t="str">
        <f>IFERROR(__xludf.DUMMYFUNCTION("IFERROR(
  VLOOKUP(
    A31,
    IMPORTRANGE(
      ""1ZygntHC1J6IxzKbTidmOyf5nUyW4GCLurHCjexrLm_o        "",
      ""HTMLキャッシュ!A:F""
    ),
    6,
    FALSE
  ),
  0
)
"),"受験英語専門ゼミRe-Write 四ツ谷教室／オンライン対応。完全1対1の個別指導＋講座で、読解・文法・英作文を目的別に強化。")</f>
        <v>受験英語専門ゼミRe-Write 四ツ谷教室／オンライン対応。完全1対1の個別指導＋講座で、読解・文法・英作文を目的別に強化。</v>
      </c>
      <c r="E31" s="32">
        <f>IFERROR(__xludf.DUMMYFUNCTION("IFERROR(
  VLOOKUP(
    A31,
    IMPORTRANGE(
      ""1ZygntHC1J6IxzKbTidmOyf5nUyW4GCLurHCjexrLm_o        "",
      ""HTMLキャッシュ!A:F""
    ),
    3,
    FALSE
  ),
  0
)
"),46078.61667824074)</f>
        <v>46078.61668</v>
      </c>
      <c r="F31" s="49">
        <f>IFERROR(__xludf.DUMMYFUNCTION("IFERROR(
  VLOOKUP(
    A31,
    IMPORTRANGE(
      ""1ZHMy3vVUd_0MrSduXTe1etBb1HNpAlGwQr006ljwMiM"",
      ""GSC最新!A:F""
    ),
    2,
    FALSE
  ),
  0
)
"),13.0)</f>
        <v>13</v>
      </c>
      <c r="G31" s="49">
        <f>IFERROR(__xludf.DUMMYFUNCTION("IFERROR(
  VLOOKUP(
    A31,
    IMPORTRANGE(
      ""1ZHMy3vVUd_0MrSduXTe1etBb1HNpAlGwQr006ljwMiM"",
      ""GSC最新!A:F""
    ),
    3,
    FALSE
  ),
  0
)
"),28.0)</f>
        <v>28</v>
      </c>
      <c r="H31" s="49">
        <f>IFERROR(__xludf.DUMMYFUNCTION("IFERROR(
  VLOOKUP(
    A31,
    IMPORTRANGE(
      ""1ZHMy3vVUd_0MrSduXTe1etBb1HNpAlGwQr006ljwMiM"",
      ""GSC最新!A:F""
    ),
    4,
    FALSE
  ),
  0
)
"),5.0)</f>
        <v>5</v>
      </c>
      <c r="I31" s="49">
        <f>IFERROR(__xludf.DUMMYFUNCTION("IFERROR(
  VLOOKUP(
    A31,
    IMPORTRANGE(
      ""1ZHMy3vVUd_0MrSduXTe1etBb1HNpAlGwQr006ljwMiM"",
      ""GSC最新!A:F""
    ),
    5,
    FALSE
  ),
  0
)
"),10.0)</f>
        <v>10</v>
      </c>
      <c r="J31" s="50">
        <f t="shared" ref="J31:K31" si="146">IFERROR(F31/H31,"-")</f>
        <v>2.6</v>
      </c>
      <c r="K31" s="50">
        <f t="shared" si="146"/>
        <v>2.8</v>
      </c>
      <c r="L31" s="6">
        <f>IFERROR(__xludf.DUMMYFUNCTION("IFERROR(
  VLOOKUP(
    A31,
    IMPORTRANGE(
      ""1ZHMy3vVUd_0MrSduXTe1etBb1HNpAlGwQr006ljwMiM"",
      ""GSC最新!A:R""
    ),
    7,
    FALSE
  ),
  0
)
"),639.0)</f>
        <v>639</v>
      </c>
      <c r="M31" s="6">
        <f>IFERROR(__xludf.DUMMYFUNCTION("IFERROR(
  VLOOKUP(
    A31,
    IMPORTRANGE(
      ""1ZHMy3vVUd_0MrSduXTe1etBb1HNpAlGwQr006ljwMiM"",
      ""GSC最新!A:R""
    ),
    10,
    FALSE
  ),
  0
)
"),1749.0)</f>
        <v>1749</v>
      </c>
      <c r="N31" s="6">
        <f>IFERROR(__xludf.DUMMYFUNCTION("IFERROR(
  VLOOKUP(
    A31,
    IMPORTRANGE(
      ""1ZHMy3vVUd_0MrSduXTe1etBb1HNpAlGwQr006ljwMiM"",
      ""GSC最新!A:R""
    ),
    13,
    FALSE
  ),
  0
)
"),264.0)</f>
        <v>264</v>
      </c>
      <c r="O31" s="6">
        <f>IFERROR(__xludf.DUMMYFUNCTION("IFERROR(
  VLOOKUP(
    A31,
    IMPORTRANGE(
      ""1ZHMy3vVUd_0MrSduXTe1etBb1HNpAlGwQr006ljwMiM"",
      ""GSC最新!A:R""
    ),
    16,
    FALSE
  ),
  0
)
"),860.0)</f>
        <v>860</v>
      </c>
      <c r="P31" s="51">
        <f t="shared" ref="P31:Q31" si="147">IFERROR(L31/N31,"-")</f>
        <v>2.420454545</v>
      </c>
      <c r="Q31" s="51">
        <f t="shared" si="147"/>
        <v>2.03372093</v>
      </c>
      <c r="R31" s="9">
        <f>IFERROR(__xludf.DUMMYFUNCTION("IFERROR(
  VLOOKUP(
    A31,
    IMPORTRANGE(
      ""1ZHMy3vVUd_0MrSduXTe1etBb1HNpAlGwQr006ljwMiM"",
      ""GSC最新!A:R""
    ),
    8,
    FALSE
  ),
  0
)
"),0.02034428794992175)</f>
        <v>0.02034428795</v>
      </c>
      <c r="S31" s="9">
        <f>IFERROR(__xludf.DUMMYFUNCTION("IFERROR(
  VLOOKUP(
    A31,
    IMPORTRANGE(
      ""1ZHMy3vVUd_0MrSduXTe1etBb1HNpAlGwQr006ljwMiM"",
      ""GSC最新!A:R""
    ),
    11,
    FALSE
  ),
  0
)
"),0.016009148084619784)</f>
        <v>0.01600914808</v>
      </c>
      <c r="T31" s="9">
        <f>IFERROR(__xludf.DUMMYFUNCTION("IFERROR(
  VLOOKUP(
    A31,
    IMPORTRANGE(
      ""1ZHMy3vVUd_0MrSduXTe1etBb1HNpAlGwQr006ljwMiM"",
      ""GSC最新!A:R""
    ),
    14,
    FALSE
  ),
  0
)
"),0.01893939393939394)</f>
        <v>0.01893939394</v>
      </c>
      <c r="U31" s="9">
        <f>IFERROR(__xludf.DUMMYFUNCTION("IFERROR(
  VLOOKUP(
    A31,
    IMPORTRANGE(
      ""1ZHMy3vVUd_0MrSduXTe1etBb1HNpAlGwQr006ljwMiM"",
      ""GSC最新!A:R""
    ),
    17,
    FALSE
  ),
  0
)
"),0.011627906976744186)</f>
        <v>0.01162790698</v>
      </c>
      <c r="V31" s="9">
        <f t="shared" ref="V31:W31" si="148">IFERROR(R31-T31,"-")</f>
        <v>0.001404894011</v>
      </c>
      <c r="W31" s="9">
        <f t="shared" si="148"/>
        <v>0.004381241108</v>
      </c>
      <c r="X31" s="65">
        <f>IFERROR(__xludf.DUMMYFUNCTION("IFERROR(
  VLOOKUP(
    A31,
    IMPORTRANGE(
      ""1ZHMy3vVUd_0MrSduXTe1etBb1HNpAlGwQr006ljwMiM"",
      ""GSC最新!A:R""
    ),
    9,
    FALSE
  ),
  0
)
"),9.7981220657277)</f>
        <v>9.798122066</v>
      </c>
      <c r="Y31" s="65">
        <f>IFERROR(__xludf.DUMMYFUNCTION("IFERROR(
  VLOOKUP(
    A31,
    IMPORTRANGE(
      ""1ZHMy3vVUd_0MrSduXTe1etBb1HNpAlGwQr006ljwMiM"",
      ""GSC最新!A:R""
    ),
    12,
    FALSE
  ),
  0
)
"),8.4631217838765)</f>
        <v>8.463121784</v>
      </c>
      <c r="Z31" s="65">
        <f>IFERROR(__xludf.DUMMYFUNCTION("IFERROR(
  VLOOKUP(
    A31,
    IMPORTRANGE(
      ""1ZHMy3vVUd_0MrSduXTe1etBb1HNpAlGwQr006ljwMiM"",
      ""GSC最新!A:R""
    ),
    15,
    FALSE
  ),
  0
)
"),13.428030303030303)</f>
        <v>13.4280303</v>
      </c>
      <c r="AA31" s="65">
        <f>IFERROR(__xludf.DUMMYFUNCTION("IFERROR(
  VLOOKUP(
    A31,
    IMPORTRANGE(
      ""1ZHMy3vVUd_0MrSduXTe1etBb1HNpAlGwQr006ljwMiM"",
      ""GSC最新!A:R""
    ),
    18,
    FALSE
  ),
  0
)
"),20.67325581395349)</f>
        <v>20.67325581</v>
      </c>
      <c r="AB31" s="65">
        <f t="shared" ref="AB31:AC31" si="149">X31-Z31</f>
        <v>-3.629908237</v>
      </c>
      <c r="AC31" s="65">
        <f t="shared" si="149"/>
        <v>-12.21013403</v>
      </c>
      <c r="AD31" s="53">
        <f>IFERROR(__xludf.DUMMYFUNCTION("IFERROR(
  VLOOKUP(
    A31,
    IMPORTRANGE(
      ""1ZHMy3vVUd_0MrSduXTe1etBb1HNpAlGwQr006ljwMiM"",
      ""GSC最新!A:F""
    ),
    6,
    FALSE
  ),
  0
)
"),46081.0)</f>
        <v>46081</v>
      </c>
      <c r="AE31" s="54">
        <f>IFERROR(__xludf.DUMMYFUNCTION("IFERROR(
  VLOOKUP(
    A31,
    IMPORTRANGE(
      ""1SCYQd7_cobOYqT0r_F0IqD4tE4rYn5y8Eup4PJTH8es"",
      ""Snapshot!A:M""
    ),
    5,
    FALSE
  ),
  ""-""
)
"),8.0)</f>
        <v>8</v>
      </c>
      <c r="AF31" s="54">
        <f>IFERROR(__xludf.DUMMYFUNCTION("IFERROR(
  VLOOKUP(
    A31,
    IMPORTRANGE(
      ""1SCYQd7_cobOYqT0r_F0IqD4tE4rYn5y8Eup4PJTH8es"",
      ""Snapshot!A:M""
    ),
    6,
    FALSE
  ),
  0
)
"),6.0)</f>
        <v>6</v>
      </c>
      <c r="AG31" s="54">
        <f>IFERROR(__xludf.DUMMYFUNCTION("IFERROR(
  VLOOKUP(
    A31,
    IMPORTRANGE(
      ""1SCYQd7_cobOYqT0r_F0IqD4tE4rYn5y8Eup4PJTH8es"",
      ""Snapshot!A:M""
    ),
    7,
    FALSE
  ),
  0
)
"),2505.0)</f>
        <v>2505</v>
      </c>
      <c r="AH31" s="54">
        <f>IFERROR(__xludf.DUMMYFUNCTION("IFERROR(
  VLOOKUP(
    A31,
    IMPORTRANGE(
      ""1SCYQd7_cobOYqT0r_F0IqD4tE4rYn5y8Eup4PJTH8es"",
      ""Snapshot!A:M""
    ),
    8,
    FALSE
  ),
  0
)
"),26.0)</f>
        <v>26</v>
      </c>
      <c r="AI31" s="54">
        <f>IFERROR(__xludf.DUMMYFUNCTION("IFERROR(
  VLOOKUP(
    A31,
    IMPORTRANGE(
      ""1SCYQd7_cobOYqT0r_F0IqD4tE4rYn5y8Eup4PJTH8es"",
      ""Snapshot!A:M""
    ),
    9,
    FALSE
  ),
  0
)
"),9.0)</f>
        <v>9</v>
      </c>
      <c r="AJ31" s="54">
        <f>IFERROR(__xludf.DUMMYFUNCTION("IFERROR(
  VLOOKUP(
    A31,
    IMPORTRANGE(
      ""1SCYQd7_cobOYqT0r_F0IqD4tE4rYn5y8Eup4PJTH8es"",
      ""Snapshot!A:M""
    ),
    13,
    FALSE
  ),
  0
)
"),1.0)</f>
        <v>1</v>
      </c>
      <c r="AK31" s="49">
        <f t="shared" ref="AK31:AL31" si="150">LEN(C31)</f>
        <v>31</v>
      </c>
      <c r="AL31" s="49">
        <f t="shared" si="150"/>
        <v>63</v>
      </c>
    </row>
    <row r="32">
      <c r="A32" s="3" t="s">
        <v>974</v>
      </c>
      <c r="B32" s="1" t="str">
        <f>IFERROR(__xludf.DUMMYFUNCTION("IFERROR(
  VLOOKUP(
    A32,
    IMPORTRANGE(
      ""1ZygntHC1J6IxzKbTidmOyf5nUyW4GCLurHCjexrLm_o"",
      ""HTMLキャッシュ!A:F""
    ),
    2,
    FALSE
  ),
  0
)
"),"MC")</f>
        <v>MC</v>
      </c>
      <c r="C32" s="1" t="str">
        <f>IFERROR(__xludf.DUMMYFUNCTION("IFERROR(
  VLOOKUP(
    A32,
    IMPORTRANGE(
      ""1ZygntHC1J6IxzKbTidmOyf5nUyW4GCLurHCjexrLm_o"",
      ""HTMLキャッシュ!A:F""
    ),
    5,
    FALSE
  ),
  0
)
"),"STAGE2 Lesson12-1疑問文/仮定法(間接疑問)【ニュートレジャーの道案内】 - 受験英語専門ゼミ「Re-Write」(リライト)")</f>
        <v>STAGE2 Lesson12-1疑問文/仮定法(間接疑問)【ニュートレジャーの道案内】 - 受験英語専門ゼミ「Re-Write」(リライト)</v>
      </c>
      <c r="D32" s="1" t="str">
        <f>IFERROR(__xludf.DUMMYFUNCTION("IFERROR(
  VLOOKUP(
    A32,
    IMPORTRANGE(
      ""1ZygntHC1J6IxzKbTidmOyf5nUyW4GCLurHCjexrLm_o        "",
      ""HTMLキャッシュ!A:F""
    ),
    6,
    FALSE
  ),
  0
)
"),"Lesson12 では、まず疑問文について学習します。さまざまな種類の疑問文を学んだあとに、仮定法という少し特")</f>
        <v>Lesson12 では、まず疑問文について学習します。さまざまな種類の疑問文を学んだあとに、仮定法という少し特</v>
      </c>
      <c r="E32" s="32">
        <f>IFERROR(__xludf.DUMMYFUNCTION("IFERROR(
  VLOOKUP(
    A32,
    IMPORTRANGE(
      ""1ZygntHC1J6IxzKbTidmOyf5nUyW4GCLurHCjexrLm_o        "",
      ""HTMLキャッシュ!A:F""
    ),
    3,
    FALSE
  ),
  0
)
"),46043.601631944446)</f>
        <v>46043.60163</v>
      </c>
      <c r="F32" s="49">
        <f>IFERROR(__xludf.DUMMYFUNCTION("IFERROR(
  VLOOKUP(
    A32,
    IMPORTRANGE(
      ""1ZHMy3vVUd_0MrSduXTe1etBb1HNpAlGwQr006ljwMiM"",
      ""GSC最新!A:F""
    ),
    2,
    FALSE
  ),
  0
)
"),5.0)</f>
        <v>5</v>
      </c>
      <c r="G32" s="49">
        <f>IFERROR(__xludf.DUMMYFUNCTION("IFERROR(
  VLOOKUP(
    A32,
    IMPORTRANGE(
      ""1ZHMy3vVUd_0MrSduXTe1etBb1HNpAlGwQr006ljwMiM"",
      ""GSC最新!A:F""
    ),
    3,
    FALSE
  ),
  0
)
"),27.0)</f>
        <v>27</v>
      </c>
      <c r="H32" s="49">
        <f>IFERROR(__xludf.DUMMYFUNCTION("IFERROR(
  VLOOKUP(
    A32,
    IMPORTRANGE(
      ""1ZHMy3vVUd_0MrSduXTe1etBb1HNpAlGwQr006ljwMiM"",
      ""GSC最新!A:F""
    ),
    4,
    FALSE
  ),
  0
)
"),2.0)</f>
        <v>2</v>
      </c>
      <c r="I32" s="49">
        <f>IFERROR(__xludf.DUMMYFUNCTION("IFERROR(
  VLOOKUP(
    A32,
    IMPORTRANGE(
      ""1ZHMy3vVUd_0MrSduXTe1etBb1HNpAlGwQr006ljwMiM"",
      ""GSC最新!A:F""
    ),
    5,
    FALSE
  ),
  0
)
"),13.0)</f>
        <v>13</v>
      </c>
      <c r="J32" s="50">
        <f t="shared" ref="J32:K32" si="151">IFERROR(F32/H32,"-")</f>
        <v>2.5</v>
      </c>
      <c r="K32" s="50">
        <f t="shared" si="151"/>
        <v>2.076923077</v>
      </c>
      <c r="L32" s="6">
        <f>IFERROR(__xludf.DUMMYFUNCTION("IFERROR(
  VLOOKUP(
    A32,
    IMPORTRANGE(
      ""1ZHMy3vVUd_0MrSduXTe1etBb1HNpAlGwQr006ljwMiM"",
      ""GSC最新!A:R""
    ),
    7,
    FALSE
  ),
  0
)
"),1456.0)</f>
        <v>1456</v>
      </c>
      <c r="M32" s="6">
        <f>IFERROR(__xludf.DUMMYFUNCTION("IFERROR(
  VLOOKUP(
    A32,
    IMPORTRANGE(
      ""1ZHMy3vVUd_0MrSduXTe1etBb1HNpAlGwQr006ljwMiM"",
      ""GSC最新!A:R""
    ),
    10,
    FALSE
  ),
  0
)
"),4094.0)</f>
        <v>4094</v>
      </c>
      <c r="N32" s="6">
        <f>IFERROR(__xludf.DUMMYFUNCTION("IFERROR(
  VLOOKUP(
    A32,
    IMPORTRANGE(
      ""1ZHMy3vVUd_0MrSduXTe1etBb1HNpAlGwQr006ljwMiM"",
      ""GSC最新!A:R""
    ),
    13,
    FALSE
  ),
  0
)
"),145.0)</f>
        <v>145</v>
      </c>
      <c r="O32" s="6">
        <f>IFERROR(__xludf.DUMMYFUNCTION("IFERROR(
  VLOOKUP(
    A32,
    IMPORTRANGE(
      ""1ZHMy3vVUd_0MrSduXTe1etBb1HNpAlGwQr006ljwMiM"",
      ""GSC最新!A:R""
    ),
    16,
    FALSE
  ),
  0
)
"),646.0)</f>
        <v>646</v>
      </c>
      <c r="P32" s="51">
        <f t="shared" ref="P32:Q32" si="152">IFERROR(L32/N32,"-")</f>
        <v>10.04137931</v>
      </c>
      <c r="Q32" s="51">
        <f t="shared" si="152"/>
        <v>6.3374613</v>
      </c>
      <c r="R32" s="9">
        <f>IFERROR(__xludf.DUMMYFUNCTION("IFERROR(
  VLOOKUP(
    A32,
    IMPORTRANGE(
      ""1ZHMy3vVUd_0MrSduXTe1etBb1HNpAlGwQr006ljwMiM"",
      ""GSC最新!A:R""
    ),
    8,
    FALSE
  ),
  0
)
"),0.003434065934065934)</f>
        <v>0.003434065934</v>
      </c>
      <c r="S32" s="9">
        <f>IFERROR(__xludf.DUMMYFUNCTION("IFERROR(
  VLOOKUP(
    A32,
    IMPORTRANGE(
      ""1ZHMy3vVUd_0MrSduXTe1etBb1HNpAlGwQr006ljwMiM"",
      ""GSC最新!A:R""
    ),
    11,
    FALSE
  ),
  0
)
"),0.006595017098192477)</f>
        <v>0.006595017098</v>
      </c>
      <c r="T32" s="9">
        <f>IFERROR(__xludf.DUMMYFUNCTION("IFERROR(
  VLOOKUP(
    A32,
    IMPORTRANGE(
      ""1ZHMy3vVUd_0MrSduXTe1etBb1HNpAlGwQr006ljwMiM"",
      ""GSC最新!A:R""
    ),
    14,
    FALSE
  ),
  0
)
"),0.013793103448275862)</f>
        <v>0.01379310345</v>
      </c>
      <c r="U32" s="9">
        <f>IFERROR(__xludf.DUMMYFUNCTION("IFERROR(
  VLOOKUP(
    A32,
    IMPORTRANGE(
      ""1ZHMy3vVUd_0MrSduXTe1etBb1HNpAlGwQr006ljwMiM"",
      ""GSC最新!A:R""
    ),
    17,
    FALSE
  ),
  0
)
"),0.020123839009287926)</f>
        <v>0.02012383901</v>
      </c>
      <c r="V32" s="9">
        <f t="shared" ref="V32:W32" si="153">IFERROR(R32-T32,"-")</f>
        <v>-0.01035903751</v>
      </c>
      <c r="W32" s="9">
        <f t="shared" si="153"/>
        <v>-0.01352882191</v>
      </c>
      <c r="X32" s="65">
        <f>IFERROR(__xludf.DUMMYFUNCTION("IFERROR(
  VLOOKUP(
    A32,
    IMPORTRANGE(
      ""1ZHMy3vVUd_0MrSduXTe1etBb1HNpAlGwQr006ljwMiM"",
      ""GSC最新!A:R""
    ),
    9,
    FALSE
  ),
  0
)
"),3.356456043956044)</f>
        <v>3.356456044</v>
      </c>
      <c r="Y32" s="65">
        <f>IFERROR(__xludf.DUMMYFUNCTION("IFERROR(
  VLOOKUP(
    A32,
    IMPORTRANGE(
      ""1ZHMy3vVUd_0MrSduXTe1etBb1HNpAlGwQr006ljwMiM"",
      ""GSC最新!A:R""
    ),
    12,
    FALSE
  ),
  0
)
"),3.735955056179775)</f>
        <v>3.735955056</v>
      </c>
      <c r="Z32" s="65">
        <f>IFERROR(__xludf.DUMMYFUNCTION("IFERROR(
  VLOOKUP(
    A32,
    IMPORTRANGE(
      ""1ZHMy3vVUd_0MrSduXTe1etBb1HNpAlGwQr006ljwMiM"",
      ""GSC最新!A:R""
    ),
    15,
    FALSE
  ),
  0
)
"),8.055172413793104)</f>
        <v>8.055172414</v>
      </c>
      <c r="AA32" s="65">
        <f>IFERROR(__xludf.DUMMYFUNCTION("IFERROR(
  VLOOKUP(
    A32,
    IMPORTRANGE(
      ""1ZHMy3vVUd_0MrSduXTe1etBb1HNpAlGwQr006ljwMiM"",
      ""GSC最新!A:R""
    ),
    18,
    FALSE
  ),
  0
)
"),31.38235294117647)</f>
        <v>31.38235294</v>
      </c>
      <c r="AB32" s="65">
        <f t="shared" ref="AB32:AC32" si="154">X32-Z32</f>
        <v>-4.69871637</v>
      </c>
      <c r="AC32" s="65">
        <f t="shared" si="154"/>
        <v>-27.64639788</v>
      </c>
      <c r="AD32" s="53">
        <f>IFERROR(__xludf.DUMMYFUNCTION("IFERROR(
  VLOOKUP(
    A32,
    IMPORTRANGE(
      ""1ZHMy3vVUd_0MrSduXTe1etBb1HNpAlGwQr006ljwMiM"",
      ""GSC最新!A:F""
    ),
    6,
    FALSE
  ),
  0
)
"),46081.0)</f>
        <v>46081</v>
      </c>
      <c r="AE32" s="54">
        <f>IFERROR(__xludf.DUMMYFUNCTION("IFERROR(
  VLOOKUP(
    A32,
    IMPORTRANGE(
      ""1SCYQd7_cobOYqT0r_F0IqD4tE4rYn5y8Eup4PJTH8es"",
      ""Snapshot!A:M""
    ),
    5,
    FALSE
  ),
  ""-""
)
"),2.0)</f>
        <v>2</v>
      </c>
      <c r="AF32" s="54">
        <f>IFERROR(__xludf.DUMMYFUNCTION("IFERROR(
  VLOOKUP(
    A32,
    IMPORTRANGE(
      ""1SCYQd7_cobOYqT0r_F0IqD4tE4rYn5y8Eup4PJTH8es"",
      ""Snapshot!A:M""
    ),
    6,
    FALSE
  ),
  0
)
"),6.0)</f>
        <v>6</v>
      </c>
      <c r="AG32" s="54">
        <f>IFERROR(__xludf.DUMMYFUNCTION("IFERROR(
  VLOOKUP(
    A32,
    IMPORTRANGE(
      ""1SCYQd7_cobOYqT0r_F0IqD4tE4rYn5y8Eup4PJTH8es"",
      ""Snapshot!A:M""
    ),
    7,
    FALSE
  ),
  0
)
"),6409.0)</f>
        <v>6409</v>
      </c>
      <c r="AH32" s="54">
        <f>IFERROR(__xludf.DUMMYFUNCTION("IFERROR(
  VLOOKUP(
    A32,
    IMPORTRANGE(
      ""1SCYQd7_cobOYqT0r_F0IqD4tE4rYn5y8Eup4PJTH8es"",
      ""Snapshot!A:M""
    ),
    8,
    FALSE
  ),
  0
)
"),3.0)</f>
        <v>3</v>
      </c>
      <c r="AI32" s="54">
        <f>IFERROR(__xludf.DUMMYFUNCTION("IFERROR(
  VLOOKUP(
    A32,
    IMPORTRANGE(
      ""1SCYQd7_cobOYqT0r_F0IqD4tE4rYn5y8Eup4PJTH8es"",
      ""Snapshot!A:M""
    ),
    9,
    FALSE
  ),
  0
)
"),4.0)</f>
        <v>4</v>
      </c>
      <c r="AJ32" s="54">
        <f>IFERROR(__xludf.DUMMYFUNCTION("IFERROR(
  VLOOKUP(
    A32,
    IMPORTRANGE(
      ""1SCYQd7_cobOYqT0r_F0IqD4tE4rYn5y8Eup4PJTH8es"",
      ""Snapshot!A:M""
    ),
    13,
    FALSE
  ),
  0
)
"),1.0)</f>
        <v>1</v>
      </c>
      <c r="AK32" s="49">
        <f t="shared" ref="AK32:AL32" si="155">LEN(C32)</f>
        <v>71</v>
      </c>
      <c r="AL32" s="49">
        <f t="shared" si="155"/>
        <v>55</v>
      </c>
    </row>
    <row r="33">
      <c r="A33" s="3" t="s">
        <v>975</v>
      </c>
      <c r="B33" s="1" t="str">
        <f>IFERROR(__xludf.DUMMYFUNCTION("IFERROR(
  VLOOKUP(
    A33,
    IMPORTRANGE(
      ""1ZygntHC1J6IxzKbTidmOyf5nUyW4GCLurHCjexrLm_o"",
      ""HTMLキャッシュ!A:F""
    ),
    2,
    FALSE
  ),
  0
)
"),"ST")</f>
        <v>ST</v>
      </c>
      <c r="C33" s="1" t="str">
        <f>IFERROR(__xludf.DUMMYFUNCTION("IFERROR(
  VLOOKUP(
    A33,
    IMPORTRANGE(
      ""1ZygntHC1J6IxzKbTidmOyf5nUyW4GCLurHCjexrLm_o"",
      ""HTMLキャッシュ!A:F""
    ),
    5,
    FALSE
  ),
  0
)
"),"中尾憲吾プロフィール｜英作文を得点源にする添削・書き直し指導の背景｜開成・早慶高・都立自校作成校対応 Re-Write")</f>
        <v>中尾憲吾プロフィール｜英作文を得点源にする添削・書き直し指導の背景｜開成・早慶高・都立自校作成校対応 Re-Write</v>
      </c>
      <c r="D33" s="1" t="str">
        <f>IFERROR(__xludf.DUMMYFUNCTION("IFERROR(
  VLOOKUP(
    A33,
    IMPORTRANGE(
      ""1ZygntHC1J6IxzKbTidmOyf5nUyW4GCLurHCjexrLm_o        "",
      ""HTMLキャッシュ!A:F""
    ),
    6,
    FALSE
  ),
  0
)
"),"早稲田大在学中から英語・国語を指導。開成・早慶高・都立自校作成校などの志望校別コースを担当してきた中尾憲吾（憲吾）のプロフィールです。英作文を「添削で終わらせず書き直しで定着」させるRe-Writeの指導方針、学習設計の考え方、担当領域を要点で紹介します。")</f>
        <v>早稲田大在学中から英語・国語を指導。開成・早慶高・都立自校作成校などの志望校別コースを担当してきた中尾憲吾（憲吾）のプロフィールです。英作文を「添削で終わらせず書き直しで定着」させるRe-Writeの指導方針、学習設計の考え方、担当領域を要点で紹介します。</v>
      </c>
      <c r="E33" s="32">
        <f>IFERROR(__xludf.DUMMYFUNCTION("IFERROR(
  VLOOKUP(
    A33,
    IMPORTRANGE(
      ""1ZygntHC1J6IxzKbTidmOyf5nUyW4GCLurHCjexrLm_o        "",
      ""HTMLキャッシュ!A:F""
    ),
    3,
    FALSE
  ),
  0
)
"),46060.65615740741)</f>
        <v>46060.65616</v>
      </c>
      <c r="F33" s="49">
        <f>IFERROR(__xludf.DUMMYFUNCTION("IFERROR(
  VLOOKUP(
    A33,
    IMPORTRANGE(
      ""1ZHMy3vVUd_0MrSduXTe1etBb1HNpAlGwQr006ljwMiM"",
      ""GSC最新!A:F""
    ),
    2,
    FALSE
  ),
  0
)
"),18.0)</f>
        <v>18</v>
      </c>
      <c r="G33" s="49">
        <f>IFERROR(__xludf.DUMMYFUNCTION("IFERROR(
  VLOOKUP(
    A33,
    IMPORTRANGE(
      ""1ZHMy3vVUd_0MrSduXTe1etBb1HNpAlGwQr006ljwMiM"",
      ""GSC最新!A:F""
    ),
    3,
    FALSE
  ),
  0
)
"),31.0)</f>
        <v>31</v>
      </c>
      <c r="H33" s="49">
        <f>IFERROR(__xludf.DUMMYFUNCTION("IFERROR(
  VLOOKUP(
    A33,
    IMPORTRANGE(
      ""1ZHMy3vVUd_0MrSduXTe1etBb1HNpAlGwQr006ljwMiM"",
      ""GSC最新!A:F""
    ),
    4,
    FALSE
  ),
  0
)
"),12.0)</f>
        <v>12</v>
      </c>
      <c r="I33" s="49">
        <f>IFERROR(__xludf.DUMMYFUNCTION("IFERROR(
  VLOOKUP(
    A33,
    IMPORTRANGE(
      ""1ZHMy3vVUd_0MrSduXTe1etBb1HNpAlGwQr006ljwMiM"",
      ""GSC最新!A:F""
    ),
    5,
    FALSE
  ),
  0
)
"),24.0)</f>
        <v>24</v>
      </c>
      <c r="J33" s="50">
        <f t="shared" ref="J33:K33" si="156">IFERROR(F33/H33,"-")</f>
        <v>1.5</v>
      </c>
      <c r="K33" s="50">
        <f t="shared" si="156"/>
        <v>1.291666667</v>
      </c>
      <c r="L33" s="6">
        <f>IFERROR(__xludf.DUMMYFUNCTION("IFERROR(
  VLOOKUP(
    A33,
    IMPORTRANGE(
      ""1ZHMy3vVUd_0MrSduXTe1etBb1HNpAlGwQr006ljwMiM"",
      ""GSC最新!A:R""
    ),
    7,
    FALSE
  ),
  0
)
"),94.0)</f>
        <v>94</v>
      </c>
      <c r="M33" s="6">
        <f>IFERROR(__xludf.DUMMYFUNCTION("IFERROR(
  VLOOKUP(
    A33,
    IMPORTRANGE(
      ""1ZHMy3vVUd_0MrSduXTe1etBb1HNpAlGwQr006ljwMiM"",
      ""GSC最新!A:R""
    ),
    10,
    FALSE
  ),
  0
)
"),216.0)</f>
        <v>216</v>
      </c>
      <c r="N33" s="6">
        <f>IFERROR(__xludf.DUMMYFUNCTION("IFERROR(
  VLOOKUP(
    A33,
    IMPORTRANGE(
      ""1ZHMy3vVUd_0MrSduXTe1etBb1HNpAlGwQr006ljwMiM"",
      ""GSC最新!A:R""
    ),
    13,
    FALSE
  ),
  0
)
"),90.0)</f>
        <v>90</v>
      </c>
      <c r="O33" s="6">
        <f>IFERROR(__xludf.DUMMYFUNCTION("IFERROR(
  VLOOKUP(
    A33,
    IMPORTRANGE(
      ""1ZHMy3vVUd_0MrSduXTe1etBb1HNpAlGwQr006ljwMiM"",
      ""GSC最新!A:R""
    ),
    16,
    FALSE
  ),
  0
)
"),258.0)</f>
        <v>258</v>
      </c>
      <c r="P33" s="51">
        <f t="shared" ref="P33:Q33" si="157">IFERROR(L33/N33,"-")</f>
        <v>1.044444444</v>
      </c>
      <c r="Q33" s="51">
        <f t="shared" si="157"/>
        <v>0.8372093023</v>
      </c>
      <c r="R33" s="9">
        <f>IFERROR(__xludf.DUMMYFUNCTION("IFERROR(
  VLOOKUP(
    A33,
    IMPORTRANGE(
      ""1ZHMy3vVUd_0MrSduXTe1etBb1HNpAlGwQr006ljwMiM"",
      ""GSC最新!A:R""
    ),
    8,
    FALSE
  ),
  0
)
"),0.19148936170212766)</f>
        <v>0.1914893617</v>
      </c>
      <c r="S33" s="9">
        <f>IFERROR(__xludf.DUMMYFUNCTION("IFERROR(
  VLOOKUP(
    A33,
    IMPORTRANGE(
      ""1ZHMy3vVUd_0MrSduXTe1etBb1HNpAlGwQr006ljwMiM"",
      ""GSC最新!A:R""
    ),
    11,
    FALSE
  ),
  0
)
"),0.14351851851851852)</f>
        <v>0.1435185185</v>
      </c>
      <c r="T33" s="9">
        <f>IFERROR(__xludf.DUMMYFUNCTION("IFERROR(
  VLOOKUP(
    A33,
    IMPORTRANGE(
      ""1ZHMy3vVUd_0MrSduXTe1etBb1HNpAlGwQr006ljwMiM"",
      ""GSC最新!A:R""
    ),
    14,
    FALSE
  ),
  0
)
"),0.13333333333333333)</f>
        <v>0.1333333333</v>
      </c>
      <c r="U33" s="9">
        <f>IFERROR(__xludf.DUMMYFUNCTION("IFERROR(
  VLOOKUP(
    A33,
    IMPORTRANGE(
      ""1ZHMy3vVUd_0MrSduXTe1etBb1HNpAlGwQr006ljwMiM"",
      ""GSC最新!A:R""
    ),
    17,
    FALSE
  ),
  0
)
"),0.09302325581395349)</f>
        <v>0.09302325581</v>
      </c>
      <c r="V33" s="9">
        <f t="shared" ref="V33:W33" si="158">IFERROR(R33-T33,"-")</f>
        <v>0.05815602837</v>
      </c>
      <c r="W33" s="9">
        <f t="shared" si="158"/>
        <v>0.0504952627</v>
      </c>
      <c r="X33" s="65">
        <f>IFERROR(__xludf.DUMMYFUNCTION("IFERROR(
  VLOOKUP(
    A33,
    IMPORTRANGE(
      ""1ZHMy3vVUd_0MrSduXTe1etBb1HNpAlGwQr006ljwMiM"",
      ""GSC最新!A:R""
    ),
    9,
    FALSE
  ),
  0
)
"),2.7340425531914896)</f>
        <v>2.734042553</v>
      </c>
      <c r="Y33" s="65">
        <f>IFERROR(__xludf.DUMMYFUNCTION("IFERROR(
  VLOOKUP(
    A33,
    IMPORTRANGE(
      ""1ZHMy3vVUd_0MrSduXTe1etBb1HNpAlGwQr006ljwMiM"",
      ""GSC最新!A:R""
    ),
    12,
    FALSE
  ),
  0
)
"),4.0)</f>
        <v>4</v>
      </c>
      <c r="Z33" s="65">
        <f>IFERROR(__xludf.DUMMYFUNCTION("IFERROR(
  VLOOKUP(
    A33,
    IMPORTRANGE(
      ""1ZHMy3vVUd_0MrSduXTe1etBb1HNpAlGwQr006ljwMiM"",
      ""GSC最新!A:R""
    ),
    15,
    FALSE
  ),
  0
)
"),8.988888888888889)</f>
        <v>8.988888889</v>
      </c>
      <c r="AA33" s="65">
        <f>IFERROR(__xludf.DUMMYFUNCTION("IFERROR(
  VLOOKUP(
    A33,
    IMPORTRANGE(
      ""1ZHMy3vVUd_0MrSduXTe1etBb1HNpAlGwQr006ljwMiM"",
      ""GSC最新!A:R""
    ),
    18,
    FALSE
  ),
  0
)
"),10.286821705426357)</f>
        <v>10.28682171</v>
      </c>
      <c r="AB33" s="65">
        <f t="shared" ref="AB33:AC33" si="159">X33-Z33</f>
        <v>-6.254846336</v>
      </c>
      <c r="AC33" s="65">
        <f t="shared" si="159"/>
        <v>-6.286821705</v>
      </c>
      <c r="AD33" s="53">
        <f>IFERROR(__xludf.DUMMYFUNCTION("IFERROR(
  VLOOKUP(
    A33,
    IMPORTRANGE(
      ""1ZHMy3vVUd_0MrSduXTe1etBb1HNpAlGwQr006ljwMiM"",
      ""GSC最新!A:F""
    ),
    6,
    FALSE
  ),
  0
)
"),46081.0)</f>
        <v>46081</v>
      </c>
      <c r="AE33" s="54">
        <f>IFERROR(__xludf.DUMMYFUNCTION("IFERROR(
  VLOOKUP(
    A33,
    IMPORTRANGE(
      ""1SCYQd7_cobOYqT0r_F0IqD4tE4rYn5y8Eup4PJTH8es"",
      ""Snapshot!A:M""
    ),
    5,
    FALSE
  ),
  ""-""
)
"),5.0)</f>
        <v>5</v>
      </c>
      <c r="AF33" s="54">
        <f>IFERROR(__xludf.DUMMYFUNCTION("IFERROR(
  VLOOKUP(
    A33,
    IMPORTRANGE(
      ""1SCYQd7_cobOYqT0r_F0IqD4tE4rYn5y8Eup4PJTH8es"",
      ""Snapshot!A:M""
    ),
    6,
    FALSE
  ),
  0
)
"),7.0)</f>
        <v>7</v>
      </c>
      <c r="AG33" s="54">
        <f>IFERROR(__xludf.DUMMYFUNCTION("IFERROR(
  VLOOKUP(
    A33,
    IMPORTRANGE(
      ""1SCYQd7_cobOYqT0r_F0IqD4tE4rYn5y8Eup4PJTH8es"",
      ""Snapshot!A:M""
    ),
    7,
    FALSE
  ),
  0
)
"),1867.0)</f>
        <v>1867</v>
      </c>
      <c r="AH33" s="54">
        <f>IFERROR(__xludf.DUMMYFUNCTION("IFERROR(
  VLOOKUP(
    A33,
    IMPORTRANGE(
      ""1SCYQd7_cobOYqT0r_F0IqD4tE4rYn5y8Eup4PJTH8es"",
      ""Snapshot!A:M""
    ),
    8,
    FALSE
  ),
  0
)
"),3.0)</f>
        <v>3</v>
      </c>
      <c r="AI33" s="54">
        <f>IFERROR(__xludf.DUMMYFUNCTION("IFERROR(
  VLOOKUP(
    A33,
    IMPORTRANGE(
      ""1SCYQd7_cobOYqT0r_F0IqD4tE4rYn5y8Eup4PJTH8es"",
      ""Snapshot!A:M""
    ),
    9,
    FALSE
  ),
  0
)
"),2.0)</f>
        <v>2</v>
      </c>
      <c r="AJ33" s="54">
        <f>IFERROR(__xludf.DUMMYFUNCTION("IFERROR(
  VLOOKUP(
    A33,
    IMPORTRANGE(
      ""1SCYQd7_cobOYqT0r_F0IqD4tE4rYn5y8Eup4PJTH8es"",
      ""Snapshot!A:M""
    ),
    13,
    FALSE
  ),
  0
)
"),1.0)</f>
        <v>1</v>
      </c>
      <c r="AK33" s="49">
        <f t="shared" ref="AK33:AL33" si="160">LEN(C33)</f>
        <v>59</v>
      </c>
      <c r="AL33" s="49">
        <f t="shared" si="160"/>
        <v>128</v>
      </c>
    </row>
    <row r="34">
      <c r="A34" s="3" t="s">
        <v>976</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"),"STAGE2 Lesson6-3中学英文法SVOO・SVOCの受動態まとめ【ニュートレジャーの道案内】 - 受験英語専門ゼミ「Re-Write」(リライト)")</f>
        <v>STAGE2 Lesson6-3中学英文法SVOO・SVOCの受動態まとめ【ニュートレジャーの道案内】 - 受験英語専門ゼミ「Re-Write」(リライト)</v>
      </c>
      <c r="D34" s="1" t="str">
        <f>IFERROR(__xludf.DUMMYFUNCTION("IFERROR(
  VLOOKUP(
    A34,
    IMPORTRANGE(
      ""1ZygntHC1J6IxzKbTidmOyf5nUyW4GCLurHCjexrLm_o        "",
      ""HTMLキャッシュ!A:F""
    ),
    6,
    FALSE
  ),
  0
)
"),"SVOO・SVOCの受動態があいまいな中学生向け解説。give 人 物／make O C など典型パターンを表と例文で整理し、to・forの違いまで一気に復習できます。")</f>
        <v>SVOO・SVOCの受動態があいまいな中学生向け解説。give 人 物／make O C など典型パターンを表と例文で整理し、to・forの違いまで一気に復習できます。</v>
      </c>
      <c r="E34" s="32">
        <f>IFERROR(__xludf.DUMMYFUNCTION("IFERROR(
  VLOOKUP(
    A34,
    IMPORTRANGE(
      ""1ZygntHC1J6IxzKbTidmOyf5nUyW4GCLurHCjexrLm_o        "",
      ""HTMLキャッシュ!A:F""
    ),
    3,
    FALSE
  ),
  0
)
"),46052.65247685185)</f>
        <v>46052.65248</v>
      </c>
      <c r="F34" s="49">
        <f>IFERROR(__xludf.DUMMYFUNCTION("IFERROR(
  VLOOKUP(
    A34,
    IMPORTRANGE(
      ""1ZHMy3vVUd_0MrSduXTe1etBb1HNpAlGwQr006ljwMiM"",
      ""GSC最新!A:F""
    ),
    2,
    FALSE
  ),
  0
)
"),12.0)</f>
        <v>12</v>
      </c>
      <c r="G34" s="49">
        <f>IFERROR(__xludf.DUMMYFUNCTION("IFERROR(
  VLOOKUP(
    A34,
    IMPORTRANGE(
      ""1ZHMy3vVUd_0MrSduXTe1etBb1HNpAlGwQr006ljwMiM"",
      ""GSC最新!A:F""
    ),
    3,
    FALSE
  ),
  0
)
"),28.0)</f>
        <v>28</v>
      </c>
      <c r="H34" s="49">
        <f>IFERROR(__xludf.DUMMYFUNCTION("IFERROR(
  VLOOKUP(
    A34,
    IMPORTRANGE(
      ""1ZHMy3vVUd_0MrSduXTe1etBb1HNpAlGwQr006ljwMiM"",
      ""GSC最新!A:F""
    ),
    4,
    FALSE
  ),
  0
)
"),2.0)</f>
        <v>2</v>
      </c>
      <c r="I34" s="49">
        <f>IFERROR(__xludf.DUMMYFUNCTION("IFERROR(
  VLOOKUP(
    A34,
    IMPORTRANGE(
      ""1ZHMy3vVUd_0MrSduXTe1etBb1HNpAlGwQr006ljwMiM"",
      ""GSC最新!A:F""
    ),
    5,
    FALSE
  ),
  0
)
"),8.0)</f>
        <v>8</v>
      </c>
      <c r="J34" s="50">
        <f t="shared" ref="J34:K34" si="161">IFERROR(F34/H34,"-")</f>
        <v>6</v>
      </c>
      <c r="K34" s="50">
        <f t="shared" si="161"/>
        <v>3.5</v>
      </c>
      <c r="L34" s="6">
        <f>IFERROR(__xludf.DUMMYFUNCTION("IFERROR(
  VLOOKUP(
    A34,
    IMPORTRANGE(
      ""1ZHMy3vVUd_0MrSduXTe1etBb1HNpAlGwQr006ljwMiM"",
      ""GSC最新!A:R""
    ),
    7,
    FALSE
  ),
  0
)
"),1331.0)</f>
        <v>1331</v>
      </c>
      <c r="M34" s="6">
        <f>IFERROR(__xludf.DUMMYFUNCTION("IFERROR(
  VLOOKUP(
    A34,
    IMPORTRANGE(
      ""1ZHMy3vVUd_0MrSduXTe1etBb1HNpAlGwQr006ljwMiM"",
      ""GSC最新!A:R""
    ),
    10,
    FALSE
  ),
  0
)
"),3563.0)</f>
        <v>3563</v>
      </c>
      <c r="N34" s="6">
        <f>IFERROR(__xludf.DUMMYFUNCTION("IFERROR(
  VLOOKUP(
    A34,
    IMPORTRANGE(
      ""1ZHMy3vVUd_0MrSduXTe1etBb1HNpAlGwQr006ljwMiM"",
      ""GSC最新!A:R""
    ),
    13,
    FALSE
  ),
  0
)
"),206.0)</f>
        <v>206</v>
      </c>
      <c r="O34" s="6">
        <f>IFERROR(__xludf.DUMMYFUNCTION("IFERROR(
  VLOOKUP(
    A34,
    IMPORTRANGE(
      ""1ZHMy3vVUd_0MrSduXTe1etBb1HNpAlGwQr006ljwMiM"",
      ""GSC最新!A:R""
    ),
    16,
    FALSE
  ),
  0
)
"),746.0)</f>
        <v>746</v>
      </c>
      <c r="P34" s="51">
        <f t="shared" ref="P34:Q34" si="162">IFERROR(L34/N34,"-")</f>
        <v>6.461165049</v>
      </c>
      <c r="Q34" s="51">
        <f t="shared" si="162"/>
        <v>4.77613941</v>
      </c>
      <c r="R34" s="9">
        <f>IFERROR(__xludf.DUMMYFUNCTION("IFERROR(
  VLOOKUP(
    A34,
    IMPORTRANGE(
      ""1ZHMy3vVUd_0MrSduXTe1etBb1HNpAlGwQr006ljwMiM"",
      ""GSC最新!A:R""
    ),
    8,
    FALSE
  ),
  0
)
"),0.009015777610818933)</f>
        <v>0.009015777611</v>
      </c>
      <c r="S34" s="9">
        <f>IFERROR(__xludf.DUMMYFUNCTION("IFERROR(
  VLOOKUP(
    A34,
    IMPORTRANGE(
      ""1ZHMy3vVUd_0MrSduXTe1etBb1HNpAlGwQr006ljwMiM"",
      ""GSC最新!A:R""
    ),
    11,
    FALSE
  ),
  0
)
"),0.007858546168958742)</f>
        <v>0.007858546169</v>
      </c>
      <c r="T34" s="9">
        <f>IFERROR(__xludf.DUMMYFUNCTION("IFERROR(
  VLOOKUP(
    A34,
    IMPORTRANGE(
      ""1ZHMy3vVUd_0MrSduXTe1etBb1HNpAlGwQr006ljwMiM"",
      ""GSC最新!A:R""
    ),
    14,
    FALSE
  ),
  0
)
"),0.009708737864077669)</f>
        <v>0.009708737864</v>
      </c>
      <c r="U34" s="9">
        <f>IFERROR(__xludf.DUMMYFUNCTION("IFERROR(
  VLOOKUP(
    A34,
    IMPORTRANGE(
      ""1ZHMy3vVUd_0MrSduXTe1etBb1HNpAlGwQr006ljwMiM"",
      ""GSC最新!A:R""
    ),
    17,
    FALSE
  ),
  0
)
"),0.010723860589812333)</f>
        <v>0.01072386059</v>
      </c>
      <c r="V34" s="9">
        <f t="shared" ref="V34:W34" si="163">IFERROR(R34-T34,"-")</f>
        <v>-0.0006929602533</v>
      </c>
      <c r="W34" s="9">
        <f t="shared" si="163"/>
        <v>-0.002865314421</v>
      </c>
      <c r="X34" s="65">
        <f>IFERROR(__xludf.DUMMYFUNCTION("IFERROR(
  VLOOKUP(
    A34,
    IMPORTRANGE(
      ""1ZHMy3vVUd_0MrSduXTe1etBb1HNpAlGwQr006ljwMiM"",
      ""GSC最新!A:R""
    ),
    9,
    FALSE
  ),
  0
)
"),4.243425995492111)</f>
        <v>4.243425995</v>
      </c>
      <c r="Y34" s="65">
        <f>IFERROR(__xludf.DUMMYFUNCTION("IFERROR(
  VLOOKUP(
    A34,
    IMPORTRANGE(
      ""1ZHMy3vVUd_0MrSduXTe1etBb1HNpAlGwQr006ljwMiM"",
      ""GSC最新!A:R""
    ),
    12,
    FALSE
  ),
  0
)
"),4.965759191692394)</f>
        <v>4.965759192</v>
      </c>
      <c r="Z34" s="65">
        <f>IFERROR(__xludf.DUMMYFUNCTION("IFERROR(
  VLOOKUP(
    A34,
    IMPORTRANGE(
      ""1ZHMy3vVUd_0MrSduXTe1etBb1HNpAlGwQr006ljwMiM"",
      ""GSC最新!A:R""
    ),
    15,
    FALSE
  ),
  0
)
"),8.432038834951456)</f>
        <v>8.432038835</v>
      </c>
      <c r="AA34" s="65">
        <f>IFERROR(__xludf.DUMMYFUNCTION("IFERROR(
  VLOOKUP(
    A34,
    IMPORTRANGE(
      ""1ZHMy3vVUd_0MrSduXTe1etBb1HNpAlGwQr006ljwMiM"",
      ""GSC最新!A:R""
    ),
    18,
    FALSE
  ),
  0
)
"),9.601876675603217)</f>
        <v>9.601876676</v>
      </c>
      <c r="AB34" s="65">
        <f t="shared" ref="AB34:AC34" si="164">X34-Z34</f>
        <v>-4.188612839</v>
      </c>
      <c r="AC34" s="65">
        <f t="shared" si="164"/>
        <v>-4.636117484</v>
      </c>
      <c r="AD34" s="53">
        <f>IFERROR(__xludf.DUMMYFUNCTION("IFERROR(
  VLOOKUP(
    A34,
    IMPORTRANGE(
      ""1ZHMy3vVUd_0MrSduXTe1etBb1HNpAlGwQr006ljwMiM"",
      ""GSC最新!A:F""
    ),
    6,
    FALSE
  ),
  0
)
"),46081.0)</f>
        <v>46081</v>
      </c>
      <c r="AE34" s="54">
        <f>IFERROR(__xludf.DUMMYFUNCTION("IFERROR(
  VLOOKUP(
    A34,
    IMPORTRANGE(
      ""1SCYQd7_cobOYqT0r_F0IqD4tE4rYn5y8Eup4PJTH8es"",
      ""Snapshot!A:M""
    ),
    5,
    FALSE
  ),
  ""-""
)
"),2.0)</f>
        <v>2</v>
      </c>
      <c r="AF34" s="54">
        <f>IFERROR(__xludf.DUMMYFUNCTION("IFERROR(
  VLOOKUP(
    A34,
    IMPORTRANGE(
      ""1SCYQd7_cobOYqT0r_F0IqD4tE4rYn5y8Eup4PJTH8es"",
      ""Snapshot!A:M""
    ),
    6,
    FALSE
  ),
  0
)
"),0.0)</f>
        <v>0</v>
      </c>
      <c r="AG34" s="54">
        <f>IFERROR(__xludf.DUMMYFUNCTION("IFERROR(
  VLOOKUP(
    A34,
    IMPORTRANGE(
      ""1SCYQd7_cobOYqT0r_F0IqD4tE4rYn5y8Eup4PJTH8es"",
      ""Snapshot!A:M""
    ),
    7,
    FALSE
  ),
  0
)
"),6489.0)</f>
        <v>6489</v>
      </c>
      <c r="AH34" s="54">
        <f>IFERROR(__xludf.DUMMYFUNCTION("IFERROR(
  VLOOKUP(
    A34,
    IMPORTRANGE(
      ""1SCYQd7_cobOYqT0r_F0IqD4tE4rYn5y8Eup4PJTH8es"",
      ""Snapshot!A:M""
    ),
    8,
    FALSE
  ),
  0
)
"),2.0)</f>
        <v>2</v>
      </c>
      <c r="AI34" s="54">
        <f>IFERROR(__xludf.DUMMYFUNCTION("IFERROR(
  VLOOKUP(
    A34,
    IMPORTRANGE(
      ""1SCYQd7_cobOYqT0r_F0IqD4tE4rYn5y8Eup4PJTH8es"",
      ""Snapshot!A:M""
    ),
    9,
    FALSE
  ),
  0
)
"),1.0)</f>
        <v>1</v>
      </c>
      <c r="AJ34" s="54">
        <f>IFERROR(__xludf.DUMMYFUNCTION("IFERROR(
  VLOOKUP(
    A34,
    IMPORTRANGE(
      ""1SCYQd7_cobOYqT0r_F0IqD4tE4rYn5y8Eup4PJTH8es"",
      ""Snapshot!A:M""
    ),
    13,
    FALSE
  ),
  0
)
"),1.0)</f>
        <v>1</v>
      </c>
      <c r="AK34" s="49">
        <f t="shared" ref="AK34:AL34" si="165">LEN(C34)</f>
        <v>78</v>
      </c>
      <c r="AL34" s="49">
        <f t="shared" si="165"/>
        <v>84</v>
      </c>
    </row>
    <row r="35">
      <c r="A35" s="3" t="s">
        <v>977</v>
      </c>
      <c r="B35" s="1" t="str">
        <f>IFERROR(__xludf.DUMMYFUNCTION("IFERROR(
  VLOOKUP(
    A35,
    IMPORTRANGE(
      ""1ZygntHC1J6IxzKbTidmOyf5nUyW4GCLurHCjexrLm_o"",
      ""HTMLキャッシュ!A:F""
    ),
    2,
    FALSE
  ),
  0
)
"),"MC")</f>
        <v>MC</v>
      </c>
      <c r="C35" s="1" t="str">
        <f>IFERROR(__xludf.DUMMYFUNCTION("IFERROR(
  VLOOKUP(
    A35,
    IMPORTRANGE(
      ""1ZygntHC1J6IxzKbTidmOyf5nUyW4GCLurHCjexrLm_o"",
      ""HTMLキャッシュ!A:F""
    ),
    5,
    FALSE
  ),
  0
)
"),"STAGE2 Lesson3-3 中学英文法 第5文型SVOCをとる動詞一覧【ニュートレジャーの道案内】 - 受験英語専門ゼミ「Re-Write」(リライト)")</f>
        <v>STAGE2 Lesson3-3 中学英文法 第5文型SVOCをとる動詞一覧【ニュートレジャーの道案内】 - 受験英語専門ゼミ「Re-Write」(リライト)</v>
      </c>
      <c r="D35" s="1" t="str">
        <f>IFERROR(__xludf.DUMMYFUNCTION("IFERROR(
  VLOOKUP(
    A35,
    IMPORTRANGE(
      ""1ZygntHC1J6IxzKbTidmOyf5nUyW4GCLurHCjexrLm_o        "",
      ""HTMLキャッシュ!A:F""
    ),
    6,
    FALSE
  ),
  0
)
"),"第5文型SVOCをとる動詞を、中学生にも分かるように整理。tell, call, make など代表的な動詞の意味と語順、Cに入る形を例文付きで確認できます。")</f>
        <v>第5文型SVOCをとる動詞を、中学生にも分かるように整理。tell, call, make など代表的な動詞の意味と語順、Cに入る形を例文付きで確認できます。</v>
      </c>
      <c r="E35" s="32">
        <f>IFERROR(__xludf.DUMMYFUNCTION("IFERROR(
  VLOOKUP(
    A35,
    IMPORTRANGE(
      ""1ZygntHC1J6IxzKbTidmOyf5nUyW4GCLurHCjexrLm_o        "",
      ""HTMLキャッシュ!A:F""
    ),
    3,
    FALSE
  ),
  0
)
"),46059.588784722226)</f>
        <v>46059.58878</v>
      </c>
      <c r="F35" s="49">
        <f>IFERROR(__xludf.DUMMYFUNCTION("IFERROR(
  VLOOKUP(
    A35,
    IMPORTRANGE(
      ""1ZHMy3vVUd_0MrSduXTe1etBb1HNpAlGwQr006ljwMiM"",
      ""GSC最新!A:F""
    ),
    2,
    FALSE
  ),
  0
)
"),6.0)</f>
        <v>6</v>
      </c>
      <c r="G35" s="49">
        <f>IFERROR(__xludf.DUMMYFUNCTION("IFERROR(
  VLOOKUP(
    A35,
    IMPORTRANGE(
      ""1ZHMy3vVUd_0MrSduXTe1etBb1HNpAlGwQr006ljwMiM"",
      ""GSC最新!A:F""
    ),
    3,
    FALSE
  ),
  0
)
"),25.0)</f>
        <v>25</v>
      </c>
      <c r="H35" s="49">
        <f>IFERROR(__xludf.DUMMYFUNCTION("IFERROR(
  VLOOKUP(
    A35,
    IMPORTRANGE(
      ""1ZHMy3vVUd_0MrSduXTe1etBb1HNpAlGwQr006ljwMiM"",
      ""GSC最新!A:F""
    ),
    4,
    FALSE
  ),
  0
)
"),1.0)</f>
        <v>1</v>
      </c>
      <c r="I35" s="49">
        <f>IFERROR(__xludf.DUMMYFUNCTION("IFERROR(
  VLOOKUP(
    A35,
    IMPORTRANGE(
      ""1ZHMy3vVUd_0MrSduXTe1etBb1HNpAlGwQr006ljwMiM"",
      ""GSC最新!A:F""
    ),
    5,
    FALSE
  ),
  0
)
"),2.0)</f>
        <v>2</v>
      </c>
      <c r="J35" s="50">
        <f t="shared" ref="J35:K35" si="166">IFERROR(F35/H35,"-")</f>
        <v>6</v>
      </c>
      <c r="K35" s="50">
        <f t="shared" si="166"/>
        <v>12.5</v>
      </c>
      <c r="L35" s="6">
        <f>IFERROR(__xludf.DUMMYFUNCTION("IFERROR(
  VLOOKUP(
    A35,
    IMPORTRANGE(
      ""1ZHMy3vVUd_0MrSduXTe1etBb1HNpAlGwQr006ljwMiM"",
      ""GSC最新!A:R""
    ),
    7,
    FALSE
  ),
  0
)
"),1147.0)</f>
        <v>1147</v>
      </c>
      <c r="M35" s="6">
        <f>IFERROR(__xludf.DUMMYFUNCTION("IFERROR(
  VLOOKUP(
    A35,
    IMPORTRANGE(
      ""1ZHMy3vVUd_0MrSduXTe1etBb1HNpAlGwQr006ljwMiM"",
      ""GSC最新!A:R""
    ),
    10,
    FALSE
  ),
  0
)
"),3333.0)</f>
        <v>3333</v>
      </c>
      <c r="N35" s="6">
        <f>IFERROR(__xludf.DUMMYFUNCTION("IFERROR(
  VLOOKUP(
    A35,
    IMPORTRANGE(
      ""1ZHMy3vVUd_0MrSduXTe1etBb1HNpAlGwQr006ljwMiM"",
      ""GSC最新!A:R""
    ),
    13,
    FALSE
  ),
  0
)
"),115.0)</f>
        <v>115</v>
      </c>
      <c r="O35" s="6">
        <f>IFERROR(__xludf.DUMMYFUNCTION("IFERROR(
  VLOOKUP(
    A35,
    IMPORTRANGE(
      ""1ZHMy3vVUd_0MrSduXTe1etBb1HNpAlGwQr006ljwMiM"",
      ""GSC最新!A:R""
    ),
    16,
    FALSE
  ),
  0
)
"),218.0)</f>
        <v>218</v>
      </c>
      <c r="P35" s="51">
        <f t="shared" ref="P35:Q35" si="167">IFERROR(L35/N35,"-")</f>
        <v>9.973913043</v>
      </c>
      <c r="Q35" s="51">
        <f t="shared" si="167"/>
        <v>15.28899083</v>
      </c>
      <c r="R35" s="9">
        <f>IFERROR(__xludf.DUMMYFUNCTION("IFERROR(
  VLOOKUP(
    A35,
    IMPORTRANGE(
      ""1ZHMy3vVUd_0MrSduXTe1etBb1HNpAlGwQr006ljwMiM"",
      ""GSC最新!A:R""
    ),
    8,
    FALSE
  ),
  0
)
"),0.0052310374891020054)</f>
        <v>0.005231037489</v>
      </c>
      <c r="S35" s="9">
        <f>IFERROR(__xludf.DUMMYFUNCTION("IFERROR(
  VLOOKUP(
    A35,
    IMPORTRANGE(
      ""1ZHMy3vVUd_0MrSduXTe1etBb1HNpAlGwQr006ljwMiM"",
      ""GSC最新!A:R""
    ),
    11,
    FALSE
  ),
  0
)
"),0.007500750075007501)</f>
        <v>0.007500750075</v>
      </c>
      <c r="T35" s="9">
        <f>IFERROR(__xludf.DUMMYFUNCTION("IFERROR(
  VLOOKUP(
    A35,
    IMPORTRANGE(
      ""1ZHMy3vVUd_0MrSduXTe1etBb1HNpAlGwQr006ljwMiM"",
      ""GSC最新!A:R""
    ),
    14,
    FALSE
  ),
  0
)
"),0.008695652173913044)</f>
        <v>0.008695652174</v>
      </c>
      <c r="U35" s="9">
        <f>IFERROR(__xludf.DUMMYFUNCTION("IFERROR(
  VLOOKUP(
    A35,
    IMPORTRANGE(
      ""1ZHMy3vVUd_0MrSduXTe1etBb1HNpAlGwQr006ljwMiM"",
      ""GSC最新!A:R""
    ),
    17,
    FALSE
  ),
  0
)
"),0.009174311926605505)</f>
        <v>0.009174311927</v>
      </c>
      <c r="V35" s="9">
        <f t="shared" ref="V35:W35" si="168">IFERROR(R35-T35,"-")</f>
        <v>-0.003464614685</v>
      </c>
      <c r="W35" s="9">
        <f t="shared" si="168"/>
        <v>-0.001673561852</v>
      </c>
      <c r="X35" s="65">
        <f>IFERROR(__xludf.DUMMYFUNCTION("IFERROR(
  VLOOKUP(
    A35,
    IMPORTRANGE(
      ""1ZHMy3vVUd_0MrSduXTe1etBb1HNpAlGwQr006ljwMiM"",
      ""GSC最新!A:R""
    ),
    9,
    FALSE
  ),
  0
)
"),4.965998256320837)</f>
        <v>4.965998256</v>
      </c>
      <c r="Y35" s="65">
        <f>IFERROR(__xludf.DUMMYFUNCTION("IFERROR(
  VLOOKUP(
    A35,
    IMPORTRANGE(
      ""1ZHMy3vVUd_0MrSduXTe1etBb1HNpAlGwQr006ljwMiM"",
      ""GSC最新!A:R""
    ),
    12,
    FALSE
  ),
  0
)
"),6.452445244524452)</f>
        <v>6.452445245</v>
      </c>
      <c r="Z35" s="65">
        <f>IFERROR(__xludf.DUMMYFUNCTION("IFERROR(
  VLOOKUP(
    A35,
    IMPORTRANGE(
      ""1ZHMy3vVUd_0MrSduXTe1etBb1HNpAlGwQr006ljwMiM"",
      ""GSC最新!A:R""
    ),
    15,
    FALSE
  ),
  0
)
"),9.530434782608696)</f>
        <v>9.530434783</v>
      </c>
      <c r="AA35" s="65">
        <f>IFERROR(__xludf.DUMMYFUNCTION("IFERROR(
  VLOOKUP(
    A35,
    IMPORTRANGE(
      ""1ZHMy3vVUd_0MrSduXTe1etBb1HNpAlGwQr006ljwMiM"",
      ""GSC最新!A:R""
    ),
    18,
    FALSE
  ),
  0
)
"),10.059633027522937)</f>
        <v>10.05963303</v>
      </c>
      <c r="AB35" s="65">
        <f t="shared" ref="AB35:AC35" si="169">X35-Z35</f>
        <v>-4.564436526</v>
      </c>
      <c r="AC35" s="65">
        <f t="shared" si="169"/>
        <v>-3.607187783</v>
      </c>
      <c r="AD35" s="53">
        <f>IFERROR(__xludf.DUMMYFUNCTION("IFERROR(
  VLOOKUP(
    A35,
    IMPORTRANGE(
      ""1ZHMy3vVUd_0MrSduXTe1etBb1HNpAlGwQr006ljwMiM"",
      ""GSC最新!A:F""
    ),
    6,
    FALSE
  ),
  0
)
"),46081.0)</f>
        <v>46081</v>
      </c>
      <c r="AE35" s="54">
        <f>IFERROR(__xludf.DUMMYFUNCTION("IFERROR(
  VLOOKUP(
    A35,
    IMPORTRANGE(
      ""1SCYQd7_cobOYqT0r_F0IqD4tE4rYn5y8Eup4PJTH8es"",
      ""Snapshot!A:M""
    ),
    5,
    FALSE
  ),
  ""-""
)
"),2.0)</f>
        <v>2</v>
      </c>
      <c r="AF35" s="54">
        <f>IFERROR(__xludf.DUMMYFUNCTION("IFERROR(
  VLOOKUP(
    A35,
    IMPORTRANGE(
      ""1SCYQd7_cobOYqT0r_F0IqD4tE4rYn5y8Eup4PJTH8es"",
      ""Snapshot!A:M""
    ),
    6,
    FALSE
  ),
  0
)
"),0.0)</f>
        <v>0</v>
      </c>
      <c r="AG35" s="54">
        <f>IFERROR(__xludf.DUMMYFUNCTION("IFERROR(
  VLOOKUP(
    A35,
    IMPORTRANGE(
      ""1SCYQd7_cobOYqT0r_F0IqD4tE4rYn5y8Eup4PJTH8es"",
      ""Snapshot!A:M""
    ),
    7,
    FALSE
  ),
  0
)
"),3663.0)</f>
        <v>3663</v>
      </c>
      <c r="AH35" s="54">
        <f>IFERROR(__xludf.DUMMYFUNCTION("IFERROR(
  VLOOKUP(
    A35,
    IMPORTRANGE(
      ""1SCYQd7_cobOYqT0r_F0IqD4tE4rYn5y8Eup4PJTH8es"",
      ""Snapshot!A:M""
    ),
    8,
    FALSE
  ),
  0
)
"),3.0)</f>
        <v>3</v>
      </c>
      <c r="AI35" s="54">
        <f>IFERROR(__xludf.DUMMYFUNCTION("IFERROR(
  VLOOKUP(
    A35,
    IMPORTRANGE(
      ""1SCYQd7_cobOYqT0r_F0IqD4tE4rYn5y8Eup4PJTH8es"",
      ""Snapshot!A:M""
    ),
    9,
    FALSE
  ),
  0
)
"),2.0)</f>
        <v>2</v>
      </c>
      <c r="AJ35" s="54">
        <f>IFERROR(__xludf.DUMMYFUNCTION("IFERROR(
  VLOOKUP(
    A35,
    IMPORTRANGE(
      ""1SCYQd7_cobOYqT0r_F0IqD4tE4rYn5y8Eup4PJTH8es"",
      ""Snapshot!A:M""
    ),
    13,
    FALSE
  ),
  0
)
"),1.0)</f>
        <v>1</v>
      </c>
      <c r="AK35" s="49">
        <f t="shared" ref="AK35:AL35" si="170">LEN(C35)</f>
        <v>79</v>
      </c>
      <c r="AL35" s="49">
        <f t="shared" si="170"/>
        <v>79</v>
      </c>
    </row>
    <row r="36">
      <c r="A36" s="3" t="s">
        <v>978</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"),"STAGE3 Lesson3-4 不定詞を使った表現(that節と書換)【ニュートレジャーの道案内】 - 受験英語専門ゼミ「Re-Write」(リライト)")</f>
        <v>STAGE3 Lesson3-4 不定詞を使った表現(that節と書換)【ニュートレジャーの道案内】 - 受験英語専門ゼミ「Re-Write」(リライト)</v>
      </c>
      <c r="D36" s="1" t="str">
        <f>IFERROR(__xludf.DUMMYFUNCTION("IFERROR(
  VLOOKUP(
    A36,
    IMPORTRANGE(
      ""1ZygntHC1J6IxzKbTidmOyf5nUyW4GCLurHCjexrLm_o        "",
      ""HTMLキャッシュ!A:F""
    ),
    6,
    FALSE
  ),
  0
)
"),"不定詞とthat節の書き換えを解説！「It seems that」構文の変換、to不定詞の特殊形、to have過去分詞の使い方を詳しく説明。自然な英訳のポイントを学ぼう！")</f>
        <v>不定詞とthat節の書き換えを解説！「It seems that」構文の変換、to不定詞の特殊形、to have過去分詞の使い方を詳しく説明。自然な英訳のポイントを学ぼう！</v>
      </c>
      <c r="E36" s="32">
        <f>IFERROR(__xludf.DUMMYFUNCTION("IFERROR(
  VLOOKUP(
    A36,
    IMPORTRANGE(
      ""1ZygntHC1J6IxzKbTidmOyf5nUyW4GCLurHCjexrLm_o        "",
      ""HTMLキャッシュ!A:F""
    ),
    3,
    FALSE
  ),
  0
)
"),46080.81858796296)</f>
        <v>46080.81859</v>
      </c>
      <c r="F36" s="49">
        <f>IFERROR(__xludf.DUMMYFUNCTION("IFERROR(
  VLOOKUP(
    A36,
    IMPORTRANGE(
      ""1ZHMy3vVUd_0MrSduXTe1etBb1HNpAlGwQr006ljwMiM"",
      ""GSC最新!A:F""
    ),
    2,
    FALSE
  ),
  0
)
"),9.0)</f>
        <v>9</v>
      </c>
      <c r="G36" s="49">
        <f>IFERROR(__xludf.DUMMYFUNCTION("IFERROR(
  VLOOKUP(
    A36,
    IMPORTRANGE(
      ""1ZHMy3vVUd_0MrSduXTe1etBb1HNpAlGwQr006ljwMiM"",
      ""GSC最新!A:F""
    ),
    3,
    FALSE
  ),
  0
)
"),22.0)</f>
        <v>22</v>
      </c>
      <c r="H36" s="49">
        <f>IFERROR(__xludf.DUMMYFUNCTION("IFERROR(
  VLOOKUP(
    A36,
    IMPORTRANGE(
      ""1ZHMy3vVUd_0MrSduXTe1etBb1HNpAlGwQr006ljwMiM"",
      ""GSC最新!A:F""
    ),
    4,
    FALSE
  ),
  0
)
"),3.0)</f>
        <v>3</v>
      </c>
      <c r="I36" s="49">
        <f>IFERROR(__xludf.DUMMYFUNCTION("IFERROR(
  VLOOKUP(
    A36,
    IMPORTRANGE(
      ""1ZHMy3vVUd_0MrSduXTe1etBb1HNpAlGwQr006ljwMiM"",
      ""GSC最新!A:F""
    ),
    5,
    FALSE
  ),
  0
)
"),7.0)</f>
        <v>7</v>
      </c>
      <c r="J36" s="50">
        <f t="shared" ref="J36:K36" si="171">IFERROR(F36/H36,"-")</f>
        <v>3</v>
      </c>
      <c r="K36" s="50">
        <f t="shared" si="171"/>
        <v>3.142857143</v>
      </c>
      <c r="L36" s="6">
        <f>IFERROR(__xludf.DUMMYFUNCTION("IFERROR(
  VLOOKUP(
    A36,
    IMPORTRANGE(
      ""1ZHMy3vVUd_0MrSduXTe1etBb1HNpAlGwQr006ljwMiM"",
      ""GSC最新!A:R""
    ),
    7,
    FALSE
  ),
  0
)
"),2208.0)</f>
        <v>2208</v>
      </c>
      <c r="M36" s="6">
        <f>IFERROR(__xludf.DUMMYFUNCTION("IFERROR(
  VLOOKUP(
    A36,
    IMPORTRANGE(
      ""1ZHMy3vVUd_0MrSduXTe1etBb1HNpAlGwQr006ljwMiM"",
      ""GSC最新!A:R""
    ),
    10,
    FALSE
  ),
  0
)
"),6195.0)</f>
        <v>6195</v>
      </c>
      <c r="N36" s="6">
        <f>IFERROR(__xludf.DUMMYFUNCTION("IFERROR(
  VLOOKUP(
    A36,
    IMPORTRANGE(
      ""1ZHMy3vVUd_0MrSduXTe1etBb1HNpAlGwQr006ljwMiM"",
      ""GSC最新!A:R""
    ),
    13,
    FALSE
  ),
  0
)
"),98.0)</f>
        <v>98</v>
      </c>
      <c r="O36" s="6">
        <f>IFERROR(__xludf.DUMMYFUNCTION("IFERROR(
  VLOOKUP(
    A36,
    IMPORTRANGE(
      ""1ZHMy3vVUd_0MrSduXTe1etBb1HNpAlGwQr006ljwMiM"",
      ""GSC最新!A:R""
    ),
    16,
    FALSE
  ),
  0
)
"),194.0)</f>
        <v>194</v>
      </c>
      <c r="P36" s="51">
        <f t="shared" ref="P36:Q36" si="172">IFERROR(L36/N36,"-")</f>
        <v>22.53061224</v>
      </c>
      <c r="Q36" s="51">
        <f t="shared" si="172"/>
        <v>31.93298969</v>
      </c>
      <c r="R36" s="9">
        <f>IFERROR(__xludf.DUMMYFUNCTION("IFERROR(
  VLOOKUP(
    A36,
    IMPORTRANGE(
      ""1ZHMy3vVUd_0MrSduXTe1etBb1HNpAlGwQr006ljwMiM"",
      ""GSC最新!A:R""
    ),
    8,
    FALSE
  ),
  0
)
"),0.004076086956521739)</f>
        <v>0.004076086957</v>
      </c>
      <c r="S36" s="9">
        <f>IFERROR(__xludf.DUMMYFUNCTION("IFERROR(
  VLOOKUP(
    A36,
    IMPORTRANGE(
      ""1ZHMy3vVUd_0MrSduXTe1etBb1HNpAlGwQr006ljwMiM"",
      ""GSC最新!A:R""
    ),
    11,
    FALSE
  ),
  0
)
"),0.0035512510088781275)</f>
        <v>0.003551251009</v>
      </c>
      <c r="T36" s="9">
        <f>IFERROR(__xludf.DUMMYFUNCTION("IFERROR(
  VLOOKUP(
    A36,
    IMPORTRANGE(
      ""1ZHMy3vVUd_0MrSduXTe1etBb1HNpAlGwQr006ljwMiM"",
      ""GSC最新!A:R""
    ),
    14,
    FALSE
  ),
  0
)
"),0.030612244897959183)</f>
        <v>0.0306122449</v>
      </c>
      <c r="U36" s="9">
        <f>IFERROR(__xludf.DUMMYFUNCTION("IFERROR(
  VLOOKUP(
    A36,
    IMPORTRANGE(
      ""1ZHMy3vVUd_0MrSduXTe1etBb1HNpAlGwQr006ljwMiM"",
      ""GSC最新!A:R""
    ),
    17,
    FALSE
  ),
  0
)
"),0.03608247422680412)</f>
        <v>0.03608247423</v>
      </c>
      <c r="V36" s="9">
        <f t="shared" ref="V36:W36" si="173">IFERROR(R36-T36,"-")</f>
        <v>-0.02653615794</v>
      </c>
      <c r="W36" s="9">
        <f t="shared" si="173"/>
        <v>-0.03253122322</v>
      </c>
      <c r="X36" s="65">
        <f>IFERROR(__xludf.DUMMYFUNCTION("IFERROR(
  VLOOKUP(
    A36,
    IMPORTRANGE(
      ""1ZHMy3vVUd_0MrSduXTe1etBb1HNpAlGwQr006ljwMiM"",
      ""GSC最新!A:R""
    ),
    9,
    FALSE
  ),
  0
)
"),3.1634963768115942)</f>
        <v>3.163496377</v>
      </c>
      <c r="Y36" s="65">
        <f>IFERROR(__xludf.DUMMYFUNCTION("IFERROR(
  VLOOKUP(
    A36,
    IMPORTRANGE(
      ""1ZHMy3vVUd_0MrSduXTe1etBb1HNpAlGwQr006ljwMiM"",
      ""GSC最新!A:R""
    ),
    12,
    FALSE
  ),
  0
)
"),3.461985472154964)</f>
        <v>3.461985472</v>
      </c>
      <c r="Z36" s="65">
        <f>IFERROR(__xludf.DUMMYFUNCTION("IFERROR(
  VLOOKUP(
    A36,
    IMPORTRANGE(
      ""1ZHMy3vVUd_0MrSduXTe1etBb1HNpAlGwQr006ljwMiM"",
      ""GSC最新!A:R""
    ),
    15,
    FALSE
  ),
  0
)
"),8.816326530612244)</f>
        <v>8.816326531</v>
      </c>
      <c r="AA36" s="65">
        <f>IFERROR(__xludf.DUMMYFUNCTION("IFERROR(
  VLOOKUP(
    A36,
    IMPORTRANGE(
      ""1ZHMy3vVUd_0MrSduXTe1etBb1HNpAlGwQr006ljwMiM"",
      ""GSC最新!A:R""
    ),
    18,
    FALSE
  ),
  0
)
"),9.396907216494846)</f>
        <v>9.396907216</v>
      </c>
      <c r="AB36" s="65">
        <f t="shared" ref="AB36:AC36" si="174">X36-Z36</f>
        <v>-5.652830154</v>
      </c>
      <c r="AC36" s="65">
        <f t="shared" si="174"/>
        <v>-5.934921744</v>
      </c>
      <c r="AD36" s="53">
        <f>IFERROR(__xludf.DUMMYFUNCTION("IFERROR(
  VLOOKUP(
    A36,
    IMPORTRANGE(
      ""1ZHMy3vVUd_0MrSduXTe1etBb1HNpAlGwQr006ljwMiM"",
      ""GSC最新!A:F""
    ),
    6,
    FALSE
  ),
  0
)
"),46081.0)</f>
        <v>46081</v>
      </c>
      <c r="AE36" s="54">
        <f>IFERROR(__xludf.DUMMYFUNCTION("IFERROR(
  VLOOKUP(
    A36,
    IMPORTRANGE(
      ""1SCYQd7_cobOYqT0r_F0IqD4tE4rYn5y8Eup4PJTH8es"",
      ""Snapshot!A:M""
    ),
    5,
    FALSE
  ),
  ""-""
)
"),2.0)</f>
        <v>2</v>
      </c>
      <c r="AF36" s="54">
        <f>IFERROR(__xludf.DUMMYFUNCTION("IFERROR(
  VLOOKUP(
    A36,
    IMPORTRANGE(
      ""1SCYQd7_cobOYqT0r_F0IqD4tE4rYn5y8Eup4PJTH8es"",
      ""Snapshot!A:M""
    ),
    6,
    FALSE
  ),
  0
)
"),7.0)</f>
        <v>7</v>
      </c>
      <c r="AG36" s="54">
        <f>IFERROR(__xludf.DUMMYFUNCTION("IFERROR(
  VLOOKUP(
    A36,
    IMPORTRANGE(
      ""1SCYQd7_cobOYqT0r_F0IqD4tE4rYn5y8Eup4PJTH8es"",
      ""Snapshot!A:M""
    ),
    7,
    FALSE
  ),
  0
)
"),4559.0)</f>
        <v>4559</v>
      </c>
      <c r="AH36" s="54">
        <f>IFERROR(__xludf.DUMMYFUNCTION("IFERROR(
  VLOOKUP(
    A36,
    IMPORTRANGE(
      ""1SCYQd7_cobOYqT0r_F0IqD4tE4rYn5y8Eup4PJTH8es"",
      ""Snapshot!A:M""
    ),
    8,
    FALSE
  ),
  0
)
"),3.0)</f>
        <v>3</v>
      </c>
      <c r="AI36" s="54">
        <f>IFERROR(__xludf.DUMMYFUNCTION("IFERROR(
  VLOOKUP(
    A36,
    IMPORTRANGE(
      ""1SCYQd7_cobOYqT0r_F0IqD4tE4rYn5y8Eup4PJTH8es"",
      ""Snapshot!A:M""
    ),
    9,
    FALSE
  ),
  0
)
"),2.0)</f>
        <v>2</v>
      </c>
      <c r="AJ36" s="54">
        <f>IFERROR(__xludf.DUMMYFUNCTION("IFERROR(
  VLOOKUP(
    A36,
    IMPORTRANGE(
      ""1SCYQd7_cobOYqT0r_F0IqD4tE4rYn5y8Eup4PJTH8es"",
      ""Snapshot!A:M""
    ),
    13,
    FALSE
  ),
  0
)
"),1.0)</f>
        <v>1</v>
      </c>
      <c r="AK36" s="49">
        <f t="shared" ref="AK36:AL36" si="175">LEN(C36)</f>
        <v>77</v>
      </c>
      <c r="AL36" s="49">
        <f t="shared" si="175"/>
        <v>86</v>
      </c>
    </row>
    <row r="37">
      <c r="A37" s="3" t="s">
        <v>979</v>
      </c>
      <c r="B37" s="1" t="str">
        <f>IFERROR(__xludf.DUMMYFUNCTION("IFERROR(
  VLOOKUP(
    A37,
    IMPORTRANGE(
      ""1ZygntHC1J6IxzKbTidmOyf5nUyW4GCLurHCjexrLm_o"",
      ""HTMLキャッシュ!A:F""
    ),
    2,
    FALSE
  ),
  0
)
"),"MC")</f>
        <v>MC</v>
      </c>
      <c r="C37" s="1" t="str">
        <f>IFERROR(__xludf.DUMMYFUNCTION("IFERROR(
  VLOOKUP(
    A37,
    IMPORTRANGE(
      ""1ZygntHC1J6IxzKbTidmOyf5nUyW4GCLurHCjexrLm_o"",
      ""HTMLキャッシュ!A:F""
    ),
    5,
    FALSE
  ),
  0
)
"),"現在完了形〈経験〉｜ever/neverとbeen/gone｜中2英語")</f>
        <v>現在完了形〈経験〉｜ever/neverとbeen/gone｜中2英語</v>
      </c>
      <c r="D37" s="1" t="str">
        <f>IFERROR(__xludf.DUMMYFUNCTION("IFERROR(
  VLOOKUP(
    A37,
    IMPORTRANGE(
      ""1ZygntHC1J6IxzKbTidmOyf5nUyW4GCLurHCjexrLm_o        "",
      ""HTMLキャッシュ!A:F""
    ),
    6,
    FALSE
  ),
  0
)
"),"現在完了形〈経験〉を例文で整理。ever/never、回数、been to/gone to、thereの答えまで確認。10問クイズ付き。")</f>
        <v>現在完了形〈経験〉を例文で整理。ever/never、回数、been to/gone to、thereの答えまで確認。10問クイズ付き。</v>
      </c>
      <c r="E37" s="32">
        <f>IFERROR(__xludf.DUMMYFUNCTION("IFERROR(
  VLOOKUP(
    A37,
    IMPORTRANGE(
      ""1ZygntHC1J6IxzKbTidmOyf5nUyW4GCLurHCjexrLm_o        "",
      ""HTMLキャッシュ!A:F""
    ),
    3,
    FALSE
  ),
  0
)
"),46080.82377314815)</f>
        <v>46080.82377</v>
      </c>
      <c r="F37" s="49">
        <f>IFERROR(__xludf.DUMMYFUNCTION("IFERROR(
  VLOOKUP(
    A37,
    IMPORTRANGE(
      ""1ZHMy3vVUd_0MrSduXTe1etBb1HNpAlGwQr006ljwMiM"",
      ""GSC最新!A:F""
    ),
    2,
    FALSE
  ),
  0
)
"),11.0)</f>
        <v>11</v>
      </c>
      <c r="G37" s="49">
        <f>IFERROR(__xludf.DUMMYFUNCTION("IFERROR(
  VLOOKUP(
    A37,
    IMPORTRANGE(
      ""1ZHMy3vVUd_0MrSduXTe1etBb1HNpAlGwQr006ljwMiM"",
      ""GSC最新!A:F""
    ),
    3,
    FALSE
  ),
  0
)
"),20.0)</f>
        <v>20</v>
      </c>
      <c r="H37" s="49">
        <f>IFERROR(__xludf.DUMMYFUNCTION("IFERROR(
  VLOOKUP(
    A37,
    IMPORTRANGE(
      ""1ZHMy3vVUd_0MrSduXTe1etBb1HNpAlGwQr006ljwMiM"",
      ""GSC最新!A:F""
    ),
    4,
    FALSE
  ),
  0
)
"),3.0)</f>
        <v>3</v>
      </c>
      <c r="I37" s="49">
        <f>IFERROR(__xludf.DUMMYFUNCTION("IFERROR(
  VLOOKUP(
    A37,
    IMPORTRANGE(
      ""1ZHMy3vVUd_0MrSduXTe1etBb1HNpAlGwQr006ljwMiM"",
      ""GSC最新!A:F""
    ),
    5,
    FALSE
  ),
  0
)
"),11.0)</f>
        <v>11</v>
      </c>
      <c r="J37" s="50">
        <f t="shared" ref="J37:K37" si="176">IFERROR(F37/H37,"-")</f>
        <v>3.666666667</v>
      </c>
      <c r="K37" s="50">
        <f t="shared" si="176"/>
        <v>1.818181818</v>
      </c>
      <c r="L37" s="6">
        <f>IFERROR(__xludf.DUMMYFUNCTION("IFERROR(
  VLOOKUP(
    A37,
    IMPORTRANGE(
      ""1ZHMy3vVUd_0MrSduXTe1etBb1HNpAlGwQr006ljwMiM"",
      ""GSC最新!A:R""
    ),
    7,
    FALSE
  ),
  0
)
"),2521.0)</f>
        <v>2521</v>
      </c>
      <c r="M37" s="6">
        <f>IFERROR(__xludf.DUMMYFUNCTION("IFERROR(
  VLOOKUP(
    A37,
    IMPORTRANGE(
      ""1ZHMy3vVUd_0MrSduXTe1etBb1HNpAlGwQr006ljwMiM"",
      ""GSC最新!A:R""
    ),
    10,
    FALSE
  ),
  0
)
"),5675.0)</f>
        <v>5675</v>
      </c>
      <c r="N37" s="6">
        <f>IFERROR(__xludf.DUMMYFUNCTION("IFERROR(
  VLOOKUP(
    A37,
    IMPORTRANGE(
      ""1ZHMy3vVUd_0MrSduXTe1etBb1HNpAlGwQr006ljwMiM"",
      ""GSC最新!A:R""
    ),
    13,
    FALSE
  ),
  0
)
"),128.0)</f>
        <v>128</v>
      </c>
      <c r="O37" s="6">
        <f>IFERROR(__xludf.DUMMYFUNCTION("IFERROR(
  VLOOKUP(
    A37,
    IMPORTRANGE(
      ""1ZHMy3vVUd_0MrSduXTe1etBb1HNpAlGwQr006ljwMiM"",
      ""GSC最新!A:R""
    ),
    16,
    FALSE
  ),
  0
)
"),437.0)</f>
        <v>437</v>
      </c>
      <c r="P37" s="51">
        <f t="shared" ref="P37:Q37" si="177">IFERROR(L37/N37,"-")</f>
        <v>19.6953125</v>
      </c>
      <c r="Q37" s="51">
        <f t="shared" si="177"/>
        <v>12.98627002</v>
      </c>
      <c r="R37" s="9">
        <f>IFERROR(__xludf.DUMMYFUNCTION("IFERROR(
  VLOOKUP(
    A37,
    IMPORTRANGE(
      ""1ZHMy3vVUd_0MrSduXTe1etBb1HNpAlGwQr006ljwMiM"",
      ""GSC最新!A:R""
    ),
    8,
    FALSE
  ),
  0
)
"),0.00436334787782626)</f>
        <v>0.004363347878</v>
      </c>
      <c r="S37" s="9">
        <f>IFERROR(__xludf.DUMMYFUNCTION("IFERROR(
  VLOOKUP(
    A37,
    IMPORTRANGE(
      ""1ZHMy3vVUd_0MrSduXTe1etBb1HNpAlGwQr006ljwMiM"",
      ""GSC最新!A:R""
    ),
    11,
    FALSE
  ),
  0
)
"),0.003524229074889868)</f>
        <v>0.003524229075</v>
      </c>
      <c r="T37" s="9">
        <f>IFERROR(__xludf.DUMMYFUNCTION("IFERROR(
  VLOOKUP(
    A37,
    IMPORTRANGE(
      ""1ZHMy3vVUd_0MrSduXTe1etBb1HNpAlGwQr006ljwMiM"",
      ""GSC最新!A:R""
    ),
    14,
    FALSE
  ),
  0
)
"),0.0234375)</f>
        <v>0.0234375</v>
      </c>
      <c r="U37" s="9">
        <f>IFERROR(__xludf.DUMMYFUNCTION("IFERROR(
  VLOOKUP(
    A37,
    IMPORTRANGE(
      ""1ZHMy3vVUd_0MrSduXTe1etBb1HNpAlGwQr006ljwMiM"",
      ""GSC最新!A:R""
    ),
    17,
    FALSE
  ),
  0
)
"),0.02517162471395881)</f>
        <v>0.02517162471</v>
      </c>
      <c r="V37" s="9">
        <f t="shared" ref="V37:W37" si="178">IFERROR(R37-T37,"-")</f>
        <v>-0.01907415212</v>
      </c>
      <c r="W37" s="9">
        <f t="shared" si="178"/>
        <v>-0.02164739564</v>
      </c>
      <c r="X37" s="65">
        <f>IFERROR(__xludf.DUMMYFUNCTION("IFERROR(
  VLOOKUP(
    A37,
    IMPORTRANGE(
      ""1ZHMy3vVUd_0MrSduXTe1etBb1HNpAlGwQr006ljwMiM"",
      ""GSC最新!A:R""
    ),
    9,
    FALSE
  ),
  0
)
"),3.385164617215391)</f>
        <v>3.385164617</v>
      </c>
      <c r="Y37" s="65">
        <f>IFERROR(__xludf.DUMMYFUNCTION("IFERROR(
  VLOOKUP(
    A37,
    IMPORTRANGE(
      ""1ZHMy3vVUd_0MrSduXTe1etBb1HNpAlGwQr006ljwMiM"",
      ""GSC最新!A:R""
    ),
    12,
    FALSE
  ),
  0
)
"),3.20352422907489)</f>
        <v>3.203524229</v>
      </c>
      <c r="Z37" s="65">
        <f>IFERROR(__xludf.DUMMYFUNCTION("IFERROR(
  VLOOKUP(
    A37,
    IMPORTRANGE(
      ""1ZHMy3vVUd_0MrSduXTe1etBb1HNpAlGwQr006ljwMiM"",
      ""GSC最新!A:R""
    ),
    15,
    FALSE
  ),
  0
)
"),11.1875)</f>
        <v>11.1875</v>
      </c>
      <c r="AA37" s="65">
        <f>IFERROR(__xludf.DUMMYFUNCTION("IFERROR(
  VLOOKUP(
    A37,
    IMPORTRANGE(
      ""1ZHMy3vVUd_0MrSduXTe1etBb1HNpAlGwQr006ljwMiM"",
      ""GSC最新!A:R""
    ),
    18,
    FALSE
  ),
  0
)
"),12.860411899313501)</f>
        <v>12.8604119</v>
      </c>
      <c r="AB37" s="65">
        <f t="shared" ref="AB37:AC37" si="179">X37-Z37</f>
        <v>-7.802335383</v>
      </c>
      <c r="AC37" s="65">
        <f t="shared" si="179"/>
        <v>-9.65688767</v>
      </c>
      <c r="AD37" s="53">
        <f>IFERROR(__xludf.DUMMYFUNCTION("IFERROR(
  VLOOKUP(
    A37,
    IMPORTRANGE(
      ""1ZHMy3vVUd_0MrSduXTe1etBb1HNpAlGwQr006ljwMiM"",
      ""GSC最新!A:F""
    ),
    6,
    FALSE
  ),
  0
)
"),46081.0)</f>
        <v>46081</v>
      </c>
      <c r="AE37" s="54">
        <f>IFERROR(__xludf.DUMMYFUNCTION("IFERROR(
  VLOOKUP(
    A37,
    IMPORTRANGE(
      ""1SCYQd7_cobOYqT0r_F0IqD4tE4rYn5y8Eup4PJTH8es"",
      ""Snapshot!A:M""
    ),
    5,
    FALSE
  ),
  ""-""
)
"),3.0)</f>
        <v>3</v>
      </c>
      <c r="AF37" s="54">
        <f>IFERROR(__xludf.DUMMYFUNCTION("IFERROR(
  VLOOKUP(
    A37,
    IMPORTRANGE(
      ""1SCYQd7_cobOYqT0r_F0IqD4tE4rYn5y8Eup4PJTH8es"",
      ""Snapshot!A:M""
    ),
    6,
    FALSE
  ),
  0
)
"),3.0)</f>
        <v>3</v>
      </c>
      <c r="AG37" s="54">
        <f>IFERROR(__xludf.DUMMYFUNCTION("IFERROR(
  VLOOKUP(
    A37,
    IMPORTRANGE(
      ""1SCYQd7_cobOYqT0r_F0IqD4tE4rYn5y8Eup4PJTH8es"",
      ""Snapshot!A:M""
    ),
    7,
    FALSE
  ),
  0
)
"),8235.0)</f>
        <v>8235</v>
      </c>
      <c r="AH37" s="54">
        <f>IFERROR(__xludf.DUMMYFUNCTION("IFERROR(
  VLOOKUP(
    A37,
    IMPORTRANGE(
      ""1SCYQd7_cobOYqT0r_F0IqD4tE4rYn5y8Eup4PJTH8es"",
      ""Snapshot!A:M""
    ),
    8,
    FALSE
  ),
  0
)
"),4.0)</f>
        <v>4</v>
      </c>
      <c r="AI37" s="54">
        <f>IFERROR(__xludf.DUMMYFUNCTION("IFERROR(
  VLOOKUP(
    A37,
    IMPORTRANGE(
      ""1SCYQd7_cobOYqT0r_F0IqD4tE4rYn5y8Eup4PJTH8es"",
      ""Snapshot!A:M""
    ),
    9,
    FALSE
  ),
  0
)
"),3.0)</f>
        <v>3</v>
      </c>
      <c r="AJ37" s="54">
        <f>IFERROR(__xludf.DUMMYFUNCTION("IFERROR(
  VLOOKUP(
    A37,
    IMPORTRANGE(
      ""1SCYQd7_cobOYqT0r_F0IqD4tE4rYn5y8Eup4PJTH8es"",
      ""Snapshot!A:M""
    ),
    13,
    FALSE
  ),
  0
)
"),1.0)</f>
        <v>1</v>
      </c>
      <c r="AK37" s="49">
        <f t="shared" ref="AK37:AL37" si="180">LEN(C37)</f>
        <v>35</v>
      </c>
      <c r="AL37" s="49">
        <f t="shared" si="180"/>
        <v>68</v>
      </c>
    </row>
    <row r="38">
      <c r="A38" s="3" t="s">
        <v>980</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"),"stage1_Lesson5-3 所有代名詞/疑問詞2(Who～？)【ニュートレジャーの道案内】 - 受験英語専門ゼミ「Re-Write」(リライト)")</f>
        <v>stage1_Lesson5-3 所有代名詞/疑問詞2(Who～？)【ニュートレジャーの道案内】 - 受験英語専門ゼミ「Re-Write」(リライト)</v>
      </c>
      <c r="D38" s="1" t="str">
        <f>IFERROR(__xludf.DUMMYFUNCTION("IFERROR(
  VLOOKUP(
    A38,
    IMPORTRANGE(
      ""1ZygntHC1J6IxzKbTidmOyf5nUyW4GCLurHCjexrLm_o        "",
      ""HTMLキャッシュ!A:F""
    ),
    6,
    FALSE
  ),
  0
)
"),"NEW TREASURE STAGE1 の文法事項・Lesson一覧の全体像は、NEW TREASURE")</f>
        <v>NEW TREASURE STAGE1 の文法事項・Lesson一覧の全体像は、NEW TREASURE</v>
      </c>
      <c r="E38" s="32">
        <f>IFERROR(__xludf.DUMMYFUNCTION("IFERROR(
  VLOOKUP(
    A38,
    IMPORTRANGE(
      ""1ZygntHC1J6IxzKbTidmOyf5nUyW4GCLurHCjexrLm_o        "",
      ""HTMLキャッシュ!A:F""
    ),
    3,
    FALSE
  ),
  0
)
"),46043.59337962963)</f>
        <v>46043.59338</v>
      </c>
      <c r="F38" s="49">
        <f>IFERROR(__xludf.DUMMYFUNCTION("IFERROR(
  VLOOKUP(
    A38,
    IMPORTRANGE(
      ""1ZHMy3vVUd_0MrSduXTe1etBb1HNpAlGwQr006ljwMiM"",
      ""GSC最新!A:F""
    ),
    2,
    FALSE
  ),
  0
)
"),7.0)</f>
        <v>7</v>
      </c>
      <c r="G38" s="49">
        <f>IFERROR(__xludf.DUMMYFUNCTION("IFERROR(
  VLOOKUP(
    A38,
    IMPORTRANGE(
      ""1ZHMy3vVUd_0MrSduXTe1etBb1HNpAlGwQr006ljwMiM"",
      ""GSC最新!A:F""
    ),
    3,
    FALSE
  ),
  0
)
"),17.0)</f>
        <v>17</v>
      </c>
      <c r="H38" s="49">
        <f>IFERROR(__xludf.DUMMYFUNCTION("IFERROR(
  VLOOKUP(
    A38,
    IMPORTRANGE(
      ""1ZHMy3vVUd_0MrSduXTe1etBb1HNpAlGwQr006ljwMiM"",
      ""GSC最新!A:F""
    ),
    4,
    FALSE
  ),
  0
)
"),4.0)</f>
        <v>4</v>
      </c>
      <c r="I38" s="49">
        <f>IFERROR(__xludf.DUMMYFUNCTION("IFERROR(
  VLOOKUP(
    A38,
    IMPORTRANGE(
      ""1ZHMy3vVUd_0MrSduXTe1etBb1HNpAlGwQr006ljwMiM"",
      ""GSC最新!A:F""
    ),
    5,
    FALSE
  ),
  0
)
"),8.0)</f>
        <v>8</v>
      </c>
      <c r="J38" s="50">
        <f t="shared" ref="J38:K38" si="181">IFERROR(F38/H38,"-")</f>
        <v>1.75</v>
      </c>
      <c r="K38" s="50">
        <f t="shared" si="181"/>
        <v>2.125</v>
      </c>
      <c r="L38" s="6">
        <f>IFERROR(__xludf.DUMMYFUNCTION("IFERROR(
  VLOOKUP(
    A38,
    IMPORTRANGE(
      ""1ZHMy3vVUd_0MrSduXTe1etBb1HNpAlGwQr006ljwMiM"",
      ""GSC最新!A:R""
    ),
    7,
    FALSE
  ),
  0
)
"),4558.0)</f>
        <v>4558</v>
      </c>
      <c r="M38" s="6">
        <f>IFERROR(__xludf.DUMMYFUNCTION("IFERROR(
  VLOOKUP(
    A38,
    IMPORTRANGE(
      ""1ZHMy3vVUd_0MrSduXTe1etBb1HNpAlGwQr006ljwMiM"",
      ""GSC最新!A:R""
    ),
    10,
    FALSE
  ),
  0
)
"),11866.0)</f>
        <v>11866</v>
      </c>
      <c r="N38" s="6">
        <f>IFERROR(__xludf.DUMMYFUNCTION("IFERROR(
  VLOOKUP(
    A38,
    IMPORTRANGE(
      ""1ZHMy3vVUd_0MrSduXTe1etBb1HNpAlGwQr006ljwMiM"",
      ""GSC最新!A:R""
    ),
    13,
    FALSE
  ),
  0
)
"),313.0)</f>
        <v>313</v>
      </c>
      <c r="O38" s="6">
        <f>IFERROR(__xludf.DUMMYFUNCTION("IFERROR(
  VLOOKUP(
    A38,
    IMPORTRANGE(
      ""1ZHMy3vVUd_0MrSduXTe1etBb1HNpAlGwQr006ljwMiM"",
      ""GSC最新!A:R""
    ),
    16,
    FALSE
  ),
  0
)
"),877.0)</f>
        <v>877</v>
      </c>
      <c r="P38" s="51">
        <f t="shared" ref="P38:Q38" si="182">IFERROR(L38/N38,"-")</f>
        <v>14.56230032</v>
      </c>
      <c r="Q38" s="51">
        <f t="shared" si="182"/>
        <v>13.53021665</v>
      </c>
      <c r="R38" s="9">
        <f>IFERROR(__xludf.DUMMYFUNCTION("IFERROR(
  VLOOKUP(
    A38,
    IMPORTRANGE(
      ""1ZHMy3vVUd_0MrSduXTe1etBb1HNpAlGwQr006ljwMiM"",
      ""GSC最新!A:R""
    ),
    8,
    FALSE
  ),
  0
)
"),0.00153576129881527)</f>
        <v>0.001535761299</v>
      </c>
      <c r="S38" s="9">
        <f>IFERROR(__xludf.DUMMYFUNCTION("IFERROR(
  VLOOKUP(
    A38,
    IMPORTRANGE(
      ""1ZHMy3vVUd_0MrSduXTe1etBb1HNpAlGwQr006ljwMiM"",
      ""GSC最新!A:R""
    ),
    11,
    FALSE
  ),
  0
)
"),0.0014326647564469914)</f>
        <v>0.001432664756</v>
      </c>
      <c r="T38" s="9">
        <f>IFERROR(__xludf.DUMMYFUNCTION("IFERROR(
  VLOOKUP(
    A38,
    IMPORTRANGE(
      ""1ZHMy3vVUd_0MrSduXTe1etBb1HNpAlGwQr006ljwMiM"",
      ""GSC最新!A:R""
    ),
    14,
    FALSE
  ),
  0
)
"),0.012779552715654952)</f>
        <v>0.01277955272</v>
      </c>
      <c r="U38" s="9">
        <f>IFERROR(__xludf.DUMMYFUNCTION("IFERROR(
  VLOOKUP(
    A38,
    IMPORTRANGE(
      ""1ZHMy3vVUd_0MrSduXTe1etBb1HNpAlGwQr006ljwMiM"",
      ""GSC最新!A:R""
    ),
    17,
    FALSE
  ),
  0
)
"),0.009122006841505131)</f>
        <v>0.009122006842</v>
      </c>
      <c r="V38" s="9">
        <f t="shared" ref="V38:W38" si="183">IFERROR(R38-T38,"-")</f>
        <v>-0.01124379142</v>
      </c>
      <c r="W38" s="9">
        <f t="shared" si="183"/>
        <v>-0.007689342085</v>
      </c>
      <c r="X38" s="65">
        <f>IFERROR(__xludf.DUMMYFUNCTION("IFERROR(
  VLOOKUP(
    A38,
    IMPORTRANGE(
      ""1ZHMy3vVUd_0MrSduXTe1etBb1HNpAlGwQr006ljwMiM"",
      ""GSC最新!A:R""
    ),
    9,
    FALSE
  ),
  0
)
"),5.102457218078104)</f>
        <v>5.102457218</v>
      </c>
      <c r="Y38" s="65">
        <f>IFERROR(__xludf.DUMMYFUNCTION("IFERROR(
  VLOOKUP(
    A38,
    IMPORTRANGE(
      ""1ZHMy3vVUd_0MrSduXTe1etBb1HNpAlGwQr006ljwMiM"",
      ""GSC最新!A:R""
    ),
    12,
    FALSE
  ),
  0
)
"),5.055368279116804)</f>
        <v>5.055368279</v>
      </c>
      <c r="Z38" s="65">
        <f>IFERROR(__xludf.DUMMYFUNCTION("IFERROR(
  VLOOKUP(
    A38,
    IMPORTRANGE(
      ""1ZHMy3vVUd_0MrSduXTe1etBb1HNpAlGwQr006ljwMiM"",
      ""GSC最新!A:R""
    ),
    15,
    FALSE
  ),
  0
)
"),8.696485623003195)</f>
        <v>8.696485623</v>
      </c>
      <c r="AA38" s="65">
        <f>IFERROR(__xludf.DUMMYFUNCTION("IFERROR(
  VLOOKUP(
    A38,
    IMPORTRANGE(
      ""1ZHMy3vVUd_0MrSduXTe1etBb1HNpAlGwQr006ljwMiM"",
      ""GSC最新!A:R""
    ),
    18,
    FALSE
  ),
  0
)
"),9.475484606613454)</f>
        <v>9.475484607</v>
      </c>
      <c r="AB38" s="65">
        <f t="shared" ref="AB38:AC38" si="184">X38-Z38</f>
        <v>-3.594028405</v>
      </c>
      <c r="AC38" s="65">
        <f t="shared" si="184"/>
        <v>-4.420116327</v>
      </c>
      <c r="AD38" s="53">
        <f>IFERROR(__xludf.DUMMYFUNCTION("IFERROR(
  VLOOKUP(
    A38,
    IMPORTRANGE(
      ""1ZHMy3vVUd_0MrSduXTe1etBb1HNpAlGwQr006ljwMiM"",
      ""GSC最新!A:F""
    ),
    6,
    FALSE
  ),
  0
)
"),46081.0)</f>
        <v>46081</v>
      </c>
      <c r="AE38" s="54">
        <f>IFERROR(__xludf.DUMMYFUNCTION("IFERROR(
  VLOOKUP(
    A38,
    IMPORTRANGE(
      ""1SCYQd7_cobOYqT0r_F0IqD4tE4rYn5y8Eup4PJTH8es"",
      ""Snapshot!A:M""
    ),
    5,
    FALSE
  ),
  ""-""
)
"),0.0)</f>
        <v>0</v>
      </c>
      <c r="AF38" s="54">
        <f>IFERROR(__xludf.DUMMYFUNCTION("IFERROR(
  VLOOKUP(
    A38,
    IMPORTRANGE(
      ""1SCYQd7_cobOYqT0r_F0IqD4tE4rYn5y8Eup4PJTH8es"",
      ""Snapshot!A:M""
    ),
    6,
    FALSE
  ),
  0
)
"),0.0)</f>
        <v>0</v>
      </c>
      <c r="AG38" s="54">
        <f>IFERROR(__xludf.DUMMYFUNCTION("IFERROR(
  VLOOKUP(
    A38,
    IMPORTRANGE(
      ""1SCYQd7_cobOYqT0r_F0IqD4tE4rYn5y8Eup4PJTH8es"",
      ""Snapshot!A:M""
    ),
    7,
    FALSE
  ),
  0
)
"),5673.0)</f>
        <v>5673</v>
      </c>
      <c r="AH38" s="54">
        <f>IFERROR(__xludf.DUMMYFUNCTION("IFERROR(
  VLOOKUP(
    A38,
    IMPORTRANGE(
      ""1SCYQd7_cobOYqT0r_F0IqD4tE4rYn5y8Eup4PJTH8es"",
      ""Snapshot!A:M""
    ),
    8,
    FALSE
  ),
  0
)
"),3.0)</f>
        <v>3</v>
      </c>
      <c r="AI38" s="54">
        <f>IFERROR(__xludf.DUMMYFUNCTION("IFERROR(
  VLOOKUP(
    A38,
    IMPORTRANGE(
      ""1SCYQd7_cobOYqT0r_F0IqD4tE4rYn5y8Eup4PJTH8es"",
      ""Snapshot!A:M""
    ),
    9,
    FALSE
  ),
  0
)
"),2.0)</f>
        <v>2</v>
      </c>
      <c r="AJ38" s="54">
        <f>IFERROR(__xludf.DUMMYFUNCTION("IFERROR(
  VLOOKUP(
    A38,
    IMPORTRANGE(
      ""1SCYQd7_cobOYqT0r_F0IqD4tE4rYn5y8Eup4PJTH8es"",
      ""Snapshot!A:M""
    ),
    13,
    FALSE
  ),
  0
)
"),1.0)</f>
        <v>1</v>
      </c>
      <c r="AK38" s="49">
        <f t="shared" ref="AK38:AL38" si="185">LEN(C38)</f>
        <v>75</v>
      </c>
      <c r="AL38" s="49">
        <f t="shared" si="185"/>
        <v>52</v>
      </c>
    </row>
    <row r="39">
      <c r="A39" s="3" t="s">
        <v>981</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"),"itの特別用法｜日付・曜日・時刻・天気・距離の言い方｜中1英語")</f>
        <v>itの特別用法｜日付・曜日・時刻・天気・距離の言い方｜中1英語</v>
      </c>
      <c r="D39" s="1" t="str">
        <f>IFERROR(__xludf.DUMMYFUNCTION("IFERROR(
  VLOOKUP(
    A39,
    IMPORTRANGE(
      ""1ZygntHC1J6IxzKbTidmOyf5nUyW4GCLurHCjexrLm_o        "",
      ""HTMLキャッシュ!A:F""
    ),
    6,
    FALSE
  ),
  0
)
"),"itを「それ」と訳さない用法を5つで整理。日付・曜日・時刻・天気・距離の定番文型（What’s the date／It’s seven thirty／How far）と、What the date などの誤答、It was/It rained も確認。中1英語。")</f>
        <v>itを「それ」と訳さない用法を5つで整理。日付・曜日・時刻・天気・距離の定番文型（What’s the date／It’s seven thirty／How far）と、What the date などの誤答、It was/It rained も確認。中1英語。</v>
      </c>
      <c r="E39" s="32">
        <f>IFERROR(__xludf.DUMMYFUNCTION("IFERROR(
  VLOOKUP(
    A39,
    IMPORTRANGE(
      ""1ZygntHC1J6IxzKbTidmOyf5nUyW4GCLurHCjexrLm_o        "",
      ""HTMLキャッシュ!A:F""
    ),
    3,
    FALSE
  ),
  0
)
"),46043.59600694444)</f>
        <v>46043.59601</v>
      </c>
      <c r="F39" s="49">
        <f>IFERROR(__xludf.DUMMYFUNCTION("IFERROR(
  VLOOKUP(
    A39,
    IMPORTRANGE(
      ""1ZHMy3vVUd_0MrSduXTe1etBb1HNpAlGwQr006ljwMiM"",
      ""GSC最新!A:F""
    ),
    2,
    FALSE
  ),
  0
)
"),10.0)</f>
        <v>10</v>
      </c>
      <c r="G39" s="49">
        <f>IFERROR(__xludf.DUMMYFUNCTION("IFERROR(
  VLOOKUP(
    A39,
    IMPORTRANGE(
      ""1ZHMy3vVUd_0MrSduXTe1etBb1HNpAlGwQr006ljwMiM"",
      ""GSC最新!A:F""
    ),
    3,
    FALSE
  ),
  0
)
"),19.0)</f>
        <v>19</v>
      </c>
      <c r="H39" s="49">
        <f>IFERROR(__xludf.DUMMYFUNCTION("IFERROR(
  VLOOKUP(
    A39,
    IMPORTRANGE(
      ""1ZHMy3vVUd_0MrSduXTe1etBb1HNpAlGwQr006ljwMiM"",
      ""GSC最新!A:F""
    ),
    4,
    FALSE
  ),
  0
)
"),4.0)</f>
        <v>4</v>
      </c>
      <c r="I39" s="49">
        <f>IFERROR(__xludf.DUMMYFUNCTION("IFERROR(
  VLOOKUP(
    A39,
    IMPORTRANGE(
      ""1ZHMy3vVUd_0MrSduXTe1etBb1HNpAlGwQr006ljwMiM"",
      ""GSC最新!A:F""
    ),
    5,
    FALSE
  ),
  0
)
"),9.0)</f>
        <v>9</v>
      </c>
      <c r="J39" s="50">
        <f t="shared" ref="J39:K39" si="186">IFERROR(F39/H39,"-")</f>
        <v>2.5</v>
      </c>
      <c r="K39" s="50">
        <f t="shared" si="186"/>
        <v>2.111111111</v>
      </c>
      <c r="L39" s="6">
        <f>IFERROR(__xludf.DUMMYFUNCTION("IFERROR(
  VLOOKUP(
    A39,
    IMPORTRANGE(
      ""1ZHMy3vVUd_0MrSduXTe1etBb1HNpAlGwQr006ljwMiM"",
      ""GSC最新!A:R""
    ),
    7,
    FALSE
  ),
  0
)
"),1290.0)</f>
        <v>1290</v>
      </c>
      <c r="M39" s="6">
        <f>IFERROR(__xludf.DUMMYFUNCTION("IFERROR(
  VLOOKUP(
    A39,
    IMPORTRANGE(
      ""1ZHMy3vVUd_0MrSduXTe1etBb1HNpAlGwQr006ljwMiM"",
      ""GSC最新!A:R""
    ),
    10,
    FALSE
  ),
  0
)
"),2615.0)</f>
        <v>2615</v>
      </c>
      <c r="N39" s="6">
        <f>IFERROR(__xludf.DUMMYFUNCTION("IFERROR(
  VLOOKUP(
    A39,
    IMPORTRANGE(
      ""1ZHMy3vVUd_0MrSduXTe1etBb1HNpAlGwQr006ljwMiM"",
      ""GSC最新!A:R""
    ),
    13,
    FALSE
  ),
  0
)
"),412.0)</f>
        <v>412</v>
      </c>
      <c r="O39" s="6">
        <f>IFERROR(__xludf.DUMMYFUNCTION("IFERROR(
  VLOOKUP(
    A39,
    IMPORTRANGE(
      ""1ZHMy3vVUd_0MrSduXTe1etBb1HNpAlGwQr006ljwMiM"",
      ""GSC最新!A:R""
    ),
    16,
    FALSE
  ),
  0
)
"),1138.0)</f>
        <v>1138</v>
      </c>
      <c r="P39" s="51">
        <f t="shared" ref="P39:Q39" si="187">IFERROR(L39/N39,"-")</f>
        <v>3.131067961</v>
      </c>
      <c r="Q39" s="51">
        <f t="shared" si="187"/>
        <v>2.297891037</v>
      </c>
      <c r="R39" s="9">
        <f>IFERROR(__xludf.DUMMYFUNCTION("IFERROR(
  VLOOKUP(
    A39,
    IMPORTRANGE(
      ""1ZHMy3vVUd_0MrSduXTe1etBb1HNpAlGwQr006ljwMiM"",
      ""GSC最新!A:R""
    ),
    8,
    FALSE
  ),
  0
)
"),0.007751937984496124)</f>
        <v>0.007751937984</v>
      </c>
      <c r="S39" s="9">
        <f>IFERROR(__xludf.DUMMYFUNCTION("IFERROR(
  VLOOKUP(
    A39,
    IMPORTRANGE(
      ""1ZHMy3vVUd_0MrSduXTe1etBb1HNpAlGwQr006ljwMiM"",
      ""GSC最新!A:R""
    ),
    11,
    FALSE
  ),
  0
)
"),0.007265774378585086)</f>
        <v>0.007265774379</v>
      </c>
      <c r="T39" s="9">
        <f>IFERROR(__xludf.DUMMYFUNCTION("IFERROR(
  VLOOKUP(
    A39,
    IMPORTRANGE(
      ""1ZHMy3vVUd_0MrSduXTe1etBb1HNpAlGwQr006ljwMiM"",
      ""GSC最新!A:R""
    ),
    14,
    FALSE
  ),
  0
)
"),0.009708737864077669)</f>
        <v>0.009708737864</v>
      </c>
      <c r="U39" s="9">
        <f>IFERROR(__xludf.DUMMYFUNCTION("IFERROR(
  VLOOKUP(
    A39,
    IMPORTRANGE(
      ""1ZHMy3vVUd_0MrSduXTe1etBb1HNpAlGwQr006ljwMiM"",
      ""GSC最新!A:R""
    ),
    17,
    FALSE
  ),
  0
)
"),0.007908611599297012)</f>
        <v>0.007908611599</v>
      </c>
      <c r="V39" s="9">
        <f t="shared" ref="V39:W39" si="188">IFERROR(R39-T39,"-")</f>
        <v>-0.00195679988</v>
      </c>
      <c r="W39" s="9">
        <f t="shared" si="188"/>
        <v>-0.0006428372207</v>
      </c>
      <c r="X39" s="65">
        <f>IFERROR(__xludf.DUMMYFUNCTION("IFERROR(
  VLOOKUP(
    A39,
    IMPORTRANGE(
      ""1ZHMy3vVUd_0MrSduXTe1etBb1HNpAlGwQr006ljwMiM"",
      ""GSC最新!A:R""
    ),
    9,
    FALSE
  ),
  0
)
"),5.2015503875969)</f>
        <v>5.201550388</v>
      </c>
      <c r="Y39" s="65">
        <f>IFERROR(__xludf.DUMMYFUNCTION("IFERROR(
  VLOOKUP(
    A39,
    IMPORTRANGE(
      ""1ZHMy3vVUd_0MrSduXTe1etBb1HNpAlGwQr006ljwMiM"",
      ""GSC最新!A:R""
    ),
    12,
    FALSE
  ),
  0
)
"),5.375143403441682)</f>
        <v>5.375143403</v>
      </c>
      <c r="Z39" s="65">
        <f>IFERROR(__xludf.DUMMYFUNCTION("IFERROR(
  VLOOKUP(
    A39,
    IMPORTRANGE(
      ""1ZHMy3vVUd_0MrSduXTe1etBb1HNpAlGwQr006ljwMiM"",
      ""GSC最新!A:R""
    ),
    15,
    FALSE
  ),
  0
)
"),8.126213592233011)</f>
        <v>8.126213592</v>
      </c>
      <c r="AA39" s="65">
        <f>IFERROR(__xludf.DUMMYFUNCTION("IFERROR(
  VLOOKUP(
    A39,
    IMPORTRANGE(
      ""1ZHMy3vVUd_0MrSduXTe1etBb1HNpAlGwQr006ljwMiM"",
      ""GSC最新!A:R""
    ),
    18,
    FALSE
  ),
  0
)
"),9.127416520210897)</f>
        <v>9.12741652</v>
      </c>
      <c r="AB39" s="65">
        <f t="shared" ref="AB39:AC39" si="189">X39-Z39</f>
        <v>-2.924663205</v>
      </c>
      <c r="AC39" s="65">
        <f t="shared" si="189"/>
        <v>-3.752273117</v>
      </c>
      <c r="AD39" s="53">
        <f>IFERROR(__xludf.DUMMYFUNCTION("IFERROR(
  VLOOKUP(
    A39,
    IMPORTRANGE(
      ""1ZHMy3vVUd_0MrSduXTe1etBb1HNpAlGwQr006ljwMiM"",
      ""GSC最新!A:F""
    ),
    6,
    FALSE
  ),
  0
)
"),46081.0)</f>
        <v>46081</v>
      </c>
      <c r="AE39" s="54">
        <f>IFERROR(__xludf.DUMMYFUNCTION("IFERROR(
  VLOOKUP(
    A39,
    IMPORTRANGE(
      ""1SCYQd7_cobOYqT0r_F0IqD4tE4rYn5y8Eup4PJTH8es"",
      ""Snapshot!A:M""
    ),
    5,
    FALSE
  ),
  ""-""
)
"),1.0)</f>
        <v>1</v>
      </c>
      <c r="AF39" s="54">
        <f>IFERROR(__xludf.DUMMYFUNCTION("IFERROR(
  VLOOKUP(
    A39,
    IMPORTRANGE(
      ""1SCYQd7_cobOYqT0r_F0IqD4tE4rYn5y8Eup4PJTH8es"",
      ""Snapshot!A:M""
    ),
    6,
    FALSE
  ),
  0
)
"),0.0)</f>
        <v>0</v>
      </c>
      <c r="AG39" s="54">
        <f>IFERROR(__xludf.DUMMYFUNCTION("IFERROR(
  VLOOKUP(
    A39,
    IMPORTRANGE(
      ""1SCYQd7_cobOYqT0r_F0IqD4tE4rYn5y8Eup4PJTH8es"",
      ""Snapshot!A:M""
    ),
    7,
    FALSE
  ),
  0
)
"),7165.0)</f>
        <v>7165</v>
      </c>
      <c r="AH39" s="54">
        <f>IFERROR(__xludf.DUMMYFUNCTION("IFERROR(
  VLOOKUP(
    A39,
    IMPORTRANGE(
      ""1SCYQd7_cobOYqT0r_F0IqD4tE4rYn5y8Eup4PJTH8es"",
      ""Snapshot!A:M""
    ),
    8,
    FALSE
  ),
  0
)
"),3.0)</f>
        <v>3</v>
      </c>
      <c r="AI39" s="54">
        <f>IFERROR(__xludf.DUMMYFUNCTION("IFERROR(
  VLOOKUP(
    A39,
    IMPORTRANGE(
      ""1SCYQd7_cobOYqT0r_F0IqD4tE4rYn5y8Eup4PJTH8es"",
      ""Snapshot!A:M""
    ),
    9,
    FALSE
  ),
  0
)
"),2.0)</f>
        <v>2</v>
      </c>
      <c r="AJ39" s="54">
        <f>IFERROR(__xludf.DUMMYFUNCTION("IFERROR(
  VLOOKUP(
    A39,
    IMPORTRANGE(
      ""1SCYQd7_cobOYqT0r_F0IqD4tE4rYn5y8Eup4PJTH8es"",
      ""Snapshot!A:M""
    ),
    13,
    FALSE
  ),
  0
)
"),1.0)</f>
        <v>1</v>
      </c>
      <c r="AK39" s="49">
        <f t="shared" ref="AK39:AL39" si="190">LEN(C39)</f>
        <v>31</v>
      </c>
      <c r="AL39" s="49">
        <f t="shared" si="190"/>
        <v>131</v>
      </c>
    </row>
    <row r="40">
      <c r="A40" s="3" t="s">
        <v>982</v>
      </c>
      <c r="B40" s="1" t="str">
        <f>IFERROR(__xludf.DUMMYFUNCTION("IFERROR(
  VLOOKUP(
    A40,
    IMPORTRANGE(
      ""1ZygntHC1J6IxzKbTidmOyf5nUyW4GCLurHCjexrLm_o"",
      ""HTMLキャッシュ!A:F""
    ),
    2,
    FALSE
  ),
  0
)
"),"MC")</f>
        <v>MC</v>
      </c>
      <c r="C40" s="1" t="str">
        <f>IFERROR(__xludf.DUMMYFUNCTION("IFERROR(
  VLOOKUP(
    A40,
    IMPORTRANGE(
      ""1ZygntHC1J6IxzKbTidmOyf5nUyW4GCLurHCjexrLm_o"",
      ""HTMLキャッシュ!A:F""
    ),
    5,
    FALSE
  ),
  0
)
"),"三人称単数現在形（三単現のs）ルール｜主語の見分け方・s/es一覧と例外has")</f>
        <v>三人称単数現在形（三単現のs）ルール｜主語の見分け方・s/es一覧と例外has</v>
      </c>
      <c r="D40" s="1" t="str">
        <f>IFERROR(__xludf.DUMMYFUNCTION("IFERROR(
  VLOOKUP(
    A40,
    IMPORTRANGE(
      ""1ZygntHC1J6IxzKbTidmOyf5nUyW4GCLurHCjexrLm_o        "",
      ""HTMLキャッシュ!A:F""
    ),
    6,
    FALSE
  ),
  0
)
"),"三人称単数現在形（三単現のs）を中1向けに整理。主語が「私・あなた以外で一人/一つ」かを見分け、s/es（s,sh,ch,x,o）と子音＋y（study→studies）、have→hasまで一覧で確認。名詞複数sとの違いとクイズ10問で定着。Stage1 Lesson4-1対応。")</f>
        <v>三人称単数現在形（三単現のs）を中1向けに整理。主語が「私・あなた以外で一人/一つ」かを見分け、s/es（s,sh,ch,x,o）と子音＋y（study→studies）、have→hasまで一覧で確認。名詞複数sとの違いとクイズ10問で定着。Stage1 Lesson4-1対応。</v>
      </c>
      <c r="E40" s="32">
        <f>IFERROR(__xludf.DUMMYFUNCTION("IFERROR(
  VLOOKUP(
    A40,
    IMPORTRANGE(
      ""1ZygntHC1J6IxzKbTidmOyf5nUyW4GCLurHCjexrLm_o        "",
      ""HTMLキャッシュ!A:F""
    ),
    3,
    FALSE
  ),
  0
)
"),46043.59243055555)</f>
        <v>46043.59243</v>
      </c>
      <c r="F40" s="49">
        <f>IFERROR(__xludf.DUMMYFUNCTION("IFERROR(
  VLOOKUP(
    A40,
    IMPORTRANGE(
      ""1ZHMy3vVUd_0MrSduXTe1etBb1HNpAlGwQr006ljwMiM"",
      ""GSC最新!A:F""
    ),
    2,
    FALSE
  ),
  0
)
"),13.0)</f>
        <v>13</v>
      </c>
      <c r="G40" s="49">
        <f>IFERROR(__xludf.DUMMYFUNCTION("IFERROR(
  VLOOKUP(
    A40,
    IMPORTRANGE(
      ""1ZHMy3vVUd_0MrSduXTe1etBb1HNpAlGwQr006ljwMiM"",
      ""GSC最新!A:F""
    ),
    3,
    FALSE
  ),
  0
)
"),17.0)</f>
        <v>17</v>
      </c>
      <c r="H40" s="49">
        <f>IFERROR(__xludf.DUMMYFUNCTION("IFERROR(
  VLOOKUP(
    A40,
    IMPORTRANGE(
      ""1ZHMy3vVUd_0MrSduXTe1etBb1HNpAlGwQr006ljwMiM"",
      ""GSC最新!A:F""
    ),
    4,
    FALSE
  ),
  0
)
"),0.0)</f>
        <v>0</v>
      </c>
      <c r="I40" s="49">
        <f>IFERROR(__xludf.DUMMYFUNCTION("IFERROR(
  VLOOKUP(
    A40,
    IMPORTRANGE(
      ""1ZHMy3vVUd_0MrSduXTe1etBb1HNpAlGwQr006ljwMiM"",
      ""GSC最新!A:F""
    ),
    5,
    FALSE
  ),
  0
)
"),0.0)</f>
        <v>0</v>
      </c>
      <c r="J40" s="50" t="str">
        <f t="shared" ref="J40:K40" si="191">IFERROR(F40/H40,"-")</f>
        <v>-</v>
      </c>
      <c r="K40" s="50" t="str">
        <f t="shared" si="191"/>
        <v>-</v>
      </c>
      <c r="L40" s="6">
        <f>IFERROR(__xludf.DUMMYFUNCTION("IFERROR(
  VLOOKUP(
    A40,
    IMPORTRANGE(
      ""1ZHMy3vVUd_0MrSduXTe1etBb1HNpAlGwQr006ljwMiM"",
      ""GSC最新!A:R""
    ),
    7,
    FALSE
  ),
  0
)
"),11718.0)</f>
        <v>11718</v>
      </c>
      <c r="M40" s="6">
        <f>IFERROR(__xludf.DUMMYFUNCTION("IFERROR(
  VLOOKUP(
    A40,
    IMPORTRANGE(
      ""1ZHMy3vVUd_0MrSduXTe1etBb1HNpAlGwQr006ljwMiM"",
      ""GSC最新!A:R""
    ),
    10,
    FALSE
  ),
  0
)
"),21081.0)</f>
        <v>21081</v>
      </c>
      <c r="N40" s="6">
        <f>IFERROR(__xludf.DUMMYFUNCTION("IFERROR(
  VLOOKUP(
    A40,
    IMPORTRANGE(
      ""1ZHMy3vVUd_0MrSduXTe1etBb1HNpAlGwQr006ljwMiM"",
      ""GSC最新!A:R""
    ),
    13,
    FALSE
  ),
  0
)
"),431.0)</f>
        <v>431</v>
      </c>
      <c r="O40" s="6">
        <f>IFERROR(__xludf.DUMMYFUNCTION("IFERROR(
  VLOOKUP(
    A40,
    IMPORTRANGE(
      ""1ZHMy3vVUd_0MrSduXTe1etBb1HNpAlGwQr006ljwMiM"",
      ""GSC最新!A:R""
    ),
    16,
    FALSE
  ),
  0
)
"),1197.0)</f>
        <v>1197</v>
      </c>
      <c r="P40" s="51">
        <f t="shared" ref="P40:Q40" si="192">IFERROR(L40/N40,"-")</f>
        <v>27.18793503</v>
      </c>
      <c r="Q40" s="51">
        <f t="shared" si="192"/>
        <v>17.61152882</v>
      </c>
      <c r="R40" s="9">
        <f>IFERROR(__xludf.DUMMYFUNCTION("IFERROR(
  VLOOKUP(
    A40,
    IMPORTRANGE(
      ""1ZHMy3vVUd_0MrSduXTe1etBb1HNpAlGwQr006ljwMiM"",
      ""GSC最新!A:R""
    ),
    8,
    FALSE
  ),
  0
)
"),0.001109404335210787)</f>
        <v>0.001109404335</v>
      </c>
      <c r="S40" s="9">
        <f>IFERROR(__xludf.DUMMYFUNCTION("IFERROR(
  VLOOKUP(
    A40,
    IMPORTRANGE(
      ""1ZHMy3vVUd_0MrSduXTe1etBb1HNpAlGwQr006ljwMiM"",
      ""GSC最新!A:R""
    ),
    11,
    FALSE
  ),
  0
)
"),8.064133580000949E-4)</f>
        <v>0.000806413358</v>
      </c>
      <c r="T40" s="9">
        <f>IFERROR(__xludf.DUMMYFUNCTION("IFERROR(
  VLOOKUP(
    A40,
    IMPORTRANGE(
      ""1ZHMy3vVUd_0MrSduXTe1etBb1HNpAlGwQr006ljwMiM"",
      ""GSC最新!A:R""
    ),
    14,
    FALSE
  ),
  0
)
"),0.0)</f>
        <v>0</v>
      </c>
      <c r="U40" s="9">
        <f>IFERROR(__xludf.DUMMYFUNCTION("IFERROR(
  VLOOKUP(
    A40,
    IMPORTRANGE(
      ""1ZHMy3vVUd_0MrSduXTe1etBb1HNpAlGwQr006ljwMiM"",
      ""GSC最新!A:R""
    ),
    17,
    FALSE
  ),
  0
)
"),0.0)</f>
        <v>0</v>
      </c>
      <c r="V40" s="9">
        <f t="shared" ref="V40:W40" si="193">IFERROR(R40-T40,"-")</f>
        <v>0.001109404335</v>
      </c>
      <c r="W40" s="9">
        <f t="shared" si="193"/>
        <v>0.000806413358</v>
      </c>
      <c r="X40" s="65">
        <f>IFERROR(__xludf.DUMMYFUNCTION("IFERROR(
  VLOOKUP(
    A40,
    IMPORTRANGE(
      ""1ZHMy3vVUd_0MrSduXTe1etBb1HNpAlGwQr006ljwMiM"",
      ""GSC最新!A:R""
    ),
    9,
    FALSE
  ),
  0
)
"),3.8457927974057005)</f>
        <v>3.845792797</v>
      </c>
      <c r="Y40" s="65">
        <f>IFERROR(__xludf.DUMMYFUNCTION("IFERROR(
  VLOOKUP(
    A40,
    IMPORTRANGE(
      ""1ZHMy3vVUd_0MrSduXTe1etBb1HNpAlGwQr006ljwMiM"",
      ""GSC最新!A:R""
    ),
    12,
    FALSE
  ),
  0
)
"),4.195816137754376)</f>
        <v>4.195816138</v>
      </c>
      <c r="Z40" s="65">
        <f>IFERROR(__xludf.DUMMYFUNCTION("IFERROR(
  VLOOKUP(
    A40,
    IMPORTRANGE(
      ""1ZHMy3vVUd_0MrSduXTe1etBb1HNpAlGwQr006ljwMiM"",
      ""GSC最新!A:R""
    ),
    15,
    FALSE
  ),
  0
)
"),6.921113689095128)</f>
        <v>6.921113689</v>
      </c>
      <c r="AA40" s="65">
        <f>IFERROR(__xludf.DUMMYFUNCTION("IFERROR(
  VLOOKUP(
    A40,
    IMPORTRANGE(
      ""1ZHMy3vVUd_0MrSduXTe1etBb1HNpAlGwQr006ljwMiM"",
      ""GSC最新!A:R""
    ),
    18,
    FALSE
  ),
  0
)
"),13.863826232247284)</f>
        <v>13.86382623</v>
      </c>
      <c r="AB40" s="65">
        <f t="shared" ref="AB40:AC40" si="194">X40-Z40</f>
        <v>-3.075320892</v>
      </c>
      <c r="AC40" s="65">
        <f t="shared" si="194"/>
        <v>-9.668010094</v>
      </c>
      <c r="AD40" s="53">
        <f>IFERROR(__xludf.DUMMYFUNCTION("IFERROR(
  VLOOKUP(
    A40,
    IMPORTRANGE(
      ""1ZHMy3vVUd_0MrSduXTe1etBb1HNpAlGwQr006ljwMiM"",
      ""GSC最新!A:F""
    ),
    6,
    FALSE
  ),
  0
)
"),46081.0)</f>
        <v>46081</v>
      </c>
      <c r="AE40" s="54">
        <f>IFERROR(__xludf.DUMMYFUNCTION("IFERROR(
  VLOOKUP(
    A40,
    IMPORTRANGE(
      ""1SCYQd7_cobOYqT0r_F0IqD4tE4rYn5y8Eup4PJTH8es"",
      ""Snapshot!A:M""
    ),
    5,
    FALSE
  ),
  ""-""
)
"),0.0)</f>
        <v>0</v>
      </c>
      <c r="AF40" s="54">
        <f>IFERROR(__xludf.DUMMYFUNCTION("IFERROR(
  VLOOKUP(
    A40,
    IMPORTRANGE(
      ""1SCYQd7_cobOYqT0r_F0IqD4tE4rYn5y8Eup4PJTH8es"",
      ""Snapshot!A:M""
    ),
    6,
    FALSE
  ),
  0
)
"),0.0)</f>
        <v>0</v>
      </c>
      <c r="AG40" s="54">
        <f>IFERROR(__xludf.DUMMYFUNCTION("IFERROR(
  VLOOKUP(
    A40,
    IMPORTRANGE(
      ""1SCYQd7_cobOYqT0r_F0IqD4tE4rYn5y8Eup4PJTH8es"",
      ""Snapshot!A:M""
    ),
    7,
    FALSE
  ),
  0
)
"),5428.0)</f>
        <v>5428</v>
      </c>
      <c r="AH40" s="54">
        <f>IFERROR(__xludf.DUMMYFUNCTION("IFERROR(
  VLOOKUP(
    A40,
    IMPORTRANGE(
      ""1SCYQd7_cobOYqT0r_F0IqD4tE4rYn5y8Eup4PJTH8es"",
      ""Snapshot!A:M""
    ),
    8,
    FALSE
  ),
  0
)
"),2.0)</f>
        <v>2</v>
      </c>
      <c r="AI40" s="54">
        <f>IFERROR(__xludf.DUMMYFUNCTION("IFERROR(
  VLOOKUP(
    A40,
    IMPORTRANGE(
      ""1SCYQd7_cobOYqT0r_F0IqD4tE4rYn5y8Eup4PJTH8es"",
      ""Snapshot!A:M""
    ),
    9,
    FALSE
  ),
  0
)
"),1.0)</f>
        <v>1</v>
      </c>
      <c r="AJ40" s="54">
        <f>IFERROR(__xludf.DUMMYFUNCTION("IFERROR(
  VLOOKUP(
    A40,
    IMPORTRANGE(
      ""1SCYQd7_cobOYqT0r_F0IqD4tE4rYn5y8Eup4PJTH8es"",
      ""Snapshot!A:M""
    ),
    13,
    FALSE
  ),
  0
)
"),1.0)</f>
        <v>1</v>
      </c>
      <c r="AK40" s="49">
        <f t="shared" ref="AK40:AL40" si="195">LEN(C40)</f>
        <v>39</v>
      </c>
      <c r="AL40" s="49">
        <f t="shared" si="195"/>
        <v>141</v>
      </c>
    </row>
    <row r="41">
      <c r="A41" s="3" t="s">
        <v>983</v>
      </c>
      <c r="B41" s="1" t="str">
        <f>IFERROR(__xludf.DUMMYFUNCTION("IFERROR(
  VLOOKUP(
    A41,
    IMPORTRANGE(
      ""1ZygntHC1J6IxzKbTidmOyf5nUyW4GCLurHCjexrLm_o"",
      ""HTMLキャッシュ!A:F""
    ),
    2,
    FALSE
  ),
  0
)
"),"MC")</f>
        <v>MC</v>
      </c>
      <c r="C41" s="1" t="str">
        <f>IFERROR(__xludf.DUMMYFUNCTION("IFERROR(
  VLOOKUP(
    A41,
    IMPORTRANGE(
      ""1ZygntHC1J6IxzKbTidmOyf5nUyW4GCLurHCjexrLm_o"",
      ""HTMLキャッシュ!A:F""
    ),
    5,
    FALSE
  ),
  0
)
"),"不可算名詞is/are｜there構文｜英語10問")</f>
        <v>不可算名詞is/are｜there構文｜英語10問</v>
      </c>
      <c r="D41" s="1" t="str">
        <f>IFERROR(__xludf.DUMMYFUNCTION("IFERROR(
  VLOOKUP(
    A41,
    IMPORTRANGE(
      ""1ZygntHC1J6IxzKbTidmOyf5nUyW4GCLurHCjexrLm_o        "",
      ""HTMLキャッシュ!A:F""
    ),
    6,
    FALSE
  ),
  0
)
"),"不可算名詞は単数扱いでthere is。How much/How many、is/areの選び分け、a cup of・a glass ofを例文+10問で確認。")</f>
        <v>不可算名詞は単数扱いでthere is。How much/How many、is/areの選び分け、a cup of・a glass ofを例文+10問で確認。</v>
      </c>
      <c r="E41" s="32">
        <f>IFERROR(__xludf.DUMMYFUNCTION("IFERROR(
  VLOOKUP(
    A41,
    IMPORTRANGE(
      ""1ZygntHC1J6IxzKbTidmOyf5nUyW4GCLurHCjexrLm_o        "",
      ""HTMLキャッシュ!A:F""
    ),
    3,
    FALSE
  ),
  0
)
"),46078.68616898148)</f>
        <v>46078.68617</v>
      </c>
      <c r="F41" s="49">
        <f>IFERROR(__xludf.DUMMYFUNCTION("IFERROR(
  VLOOKUP(
    A41,
    IMPORTRANGE(
      ""1ZHMy3vVUd_0MrSduXTe1etBb1HNpAlGwQr006ljwMiM"",
      ""GSC最新!A:F""
    ),
    2,
    FALSE
  ),
  0
)
"),9.0)</f>
        <v>9</v>
      </c>
      <c r="G41" s="49">
        <f>IFERROR(__xludf.DUMMYFUNCTION("IFERROR(
  VLOOKUP(
    A41,
    IMPORTRANGE(
      ""1ZHMy3vVUd_0MrSduXTe1etBb1HNpAlGwQr006ljwMiM"",
      ""GSC最新!A:F""
    ),
    3,
    FALSE
  ),
  0
)
"),17.0)</f>
        <v>17</v>
      </c>
      <c r="H41" s="49">
        <f>IFERROR(__xludf.DUMMYFUNCTION("IFERROR(
  VLOOKUP(
    A41,
    IMPORTRANGE(
      ""1ZHMy3vVUd_0MrSduXTe1etBb1HNpAlGwQr006ljwMiM"",
      ""GSC最新!A:F""
    ),
    4,
    FALSE
  ),
  0
)
"),10.0)</f>
        <v>10</v>
      </c>
      <c r="I41" s="49">
        <f>IFERROR(__xludf.DUMMYFUNCTION("IFERROR(
  VLOOKUP(
    A41,
    IMPORTRANGE(
      ""1ZHMy3vVUd_0MrSduXTe1etBb1HNpAlGwQr006ljwMiM"",
      ""GSC最新!A:F""
    ),
    5,
    FALSE
  ),
  0
)
"),18.0)</f>
        <v>18</v>
      </c>
      <c r="J41" s="50">
        <f t="shared" ref="J41:K41" si="196">IFERROR(F41/H41,"-")</f>
        <v>0.9</v>
      </c>
      <c r="K41" s="50">
        <f t="shared" si="196"/>
        <v>0.9444444444</v>
      </c>
      <c r="L41" s="6">
        <f>IFERROR(__xludf.DUMMYFUNCTION("IFERROR(
  VLOOKUP(
    A41,
    IMPORTRANGE(
      ""1ZHMy3vVUd_0MrSduXTe1etBb1HNpAlGwQr006ljwMiM"",
      ""GSC最新!A:R""
    ),
    7,
    FALSE
  ),
  0
)
"),1920.0)</f>
        <v>1920</v>
      </c>
      <c r="M41" s="6">
        <f>IFERROR(__xludf.DUMMYFUNCTION("IFERROR(
  VLOOKUP(
    A41,
    IMPORTRANGE(
      ""1ZHMy3vVUd_0MrSduXTe1etBb1HNpAlGwQr006ljwMiM"",
      ""GSC最新!A:R""
    ),
    10,
    FALSE
  ),
  0
)
"),4538.0)</f>
        <v>4538</v>
      </c>
      <c r="N41" s="6">
        <f>IFERROR(__xludf.DUMMYFUNCTION("IFERROR(
  VLOOKUP(
    A41,
    IMPORTRANGE(
      ""1ZHMy3vVUd_0MrSduXTe1etBb1HNpAlGwQr006ljwMiM"",
      ""GSC最新!A:R""
    ),
    13,
    FALSE
  ),
  0
)
"),454.0)</f>
        <v>454</v>
      </c>
      <c r="O41" s="6">
        <f>IFERROR(__xludf.DUMMYFUNCTION("IFERROR(
  VLOOKUP(
    A41,
    IMPORTRANGE(
      ""1ZHMy3vVUd_0MrSduXTe1etBb1HNpAlGwQr006ljwMiM"",
      ""GSC最新!A:R""
    ),
    16,
    FALSE
  ),
  0
)
"),1012.0)</f>
        <v>1012</v>
      </c>
      <c r="P41" s="51">
        <f t="shared" ref="P41:Q41" si="197">IFERROR(L41/N41,"-")</f>
        <v>4.22907489</v>
      </c>
      <c r="Q41" s="51">
        <f t="shared" si="197"/>
        <v>4.484189723</v>
      </c>
      <c r="R41" s="9">
        <f>IFERROR(__xludf.DUMMYFUNCTION("IFERROR(
  VLOOKUP(
    A41,
    IMPORTRANGE(
      ""1ZHMy3vVUd_0MrSduXTe1etBb1HNpAlGwQr006ljwMiM"",
      ""GSC最新!A:R""
    ),
    8,
    FALSE
  ),
  0
)
"),0.0046875)</f>
        <v>0.0046875</v>
      </c>
      <c r="S41" s="9">
        <f>IFERROR(__xludf.DUMMYFUNCTION("IFERROR(
  VLOOKUP(
    A41,
    IMPORTRANGE(
      ""1ZHMy3vVUd_0MrSduXTe1etBb1HNpAlGwQr006ljwMiM"",
      ""GSC最新!A:R""
    ),
    11,
    FALSE
  ),
  0
)
"),0.00374614367562803)</f>
        <v>0.003746143676</v>
      </c>
      <c r="T41" s="9">
        <f>IFERROR(__xludf.DUMMYFUNCTION("IFERROR(
  VLOOKUP(
    A41,
    IMPORTRANGE(
      ""1ZHMy3vVUd_0MrSduXTe1etBb1HNpAlGwQr006ljwMiM"",
      ""GSC最新!A:R""
    ),
    14,
    FALSE
  ),
  0
)
"),0.022026431718061675)</f>
        <v>0.02202643172</v>
      </c>
      <c r="U41" s="9">
        <f>IFERROR(__xludf.DUMMYFUNCTION("IFERROR(
  VLOOKUP(
    A41,
    IMPORTRANGE(
      ""1ZHMy3vVUd_0MrSduXTe1etBb1HNpAlGwQr006ljwMiM"",
      ""GSC最新!A:R""
    ),
    17,
    FALSE
  ),
  0
)
"),0.017786561264822136)</f>
        <v>0.01778656126</v>
      </c>
      <c r="V41" s="9">
        <f t="shared" ref="V41:W41" si="198">IFERROR(R41-T41,"-")</f>
        <v>-0.01733893172</v>
      </c>
      <c r="W41" s="9">
        <f t="shared" si="198"/>
        <v>-0.01404041759</v>
      </c>
      <c r="X41" s="65">
        <f>IFERROR(__xludf.DUMMYFUNCTION("IFERROR(
  VLOOKUP(
    A41,
    IMPORTRANGE(
      ""1ZHMy3vVUd_0MrSduXTe1etBb1HNpAlGwQr006ljwMiM"",
      ""GSC最新!A:R""
    ),
    9,
    FALSE
  ),
  0
)
"),5.768229166666667)</f>
        <v>5.768229167</v>
      </c>
      <c r="Y41" s="65">
        <f>IFERROR(__xludf.DUMMYFUNCTION("IFERROR(
  VLOOKUP(
    A41,
    IMPORTRANGE(
      ""1ZHMy3vVUd_0MrSduXTe1etBb1HNpAlGwQr006ljwMiM"",
      ""GSC最新!A:R""
    ),
    12,
    FALSE
  ),
  0
)
"),5.694799471132658)</f>
        <v>5.694799471</v>
      </c>
      <c r="Z41" s="65">
        <f>IFERROR(__xludf.DUMMYFUNCTION("IFERROR(
  VLOOKUP(
    A41,
    IMPORTRANGE(
      ""1ZHMy3vVUd_0MrSduXTe1etBb1HNpAlGwQr006ljwMiM"",
      ""GSC最新!A:R""
    ),
    15,
    FALSE
  ),
  0
)
"),9.834801762114537)</f>
        <v>9.834801762</v>
      </c>
      <c r="AA41" s="65">
        <f>IFERROR(__xludf.DUMMYFUNCTION("IFERROR(
  VLOOKUP(
    A41,
    IMPORTRANGE(
      ""1ZHMy3vVUd_0MrSduXTe1etBb1HNpAlGwQr006ljwMiM"",
      ""GSC最新!A:R""
    ),
    18,
    FALSE
  ),
  0
)
"),12.704545454545455)</f>
        <v>12.70454545</v>
      </c>
      <c r="AB41" s="65">
        <f t="shared" ref="AB41:AC41" si="199">X41-Z41</f>
        <v>-4.066572595</v>
      </c>
      <c r="AC41" s="65">
        <f t="shared" si="199"/>
        <v>-7.009745983</v>
      </c>
      <c r="AD41" s="53">
        <f>IFERROR(__xludf.DUMMYFUNCTION("IFERROR(
  VLOOKUP(
    A41,
    IMPORTRANGE(
      ""1ZHMy3vVUd_0MrSduXTe1etBb1HNpAlGwQr006ljwMiM"",
      ""GSC最新!A:F""
    ),
    6,
    FALSE
  ),
  0
)
"),46081.0)</f>
        <v>46081</v>
      </c>
      <c r="AE41" s="54">
        <f>IFERROR(__xludf.DUMMYFUNCTION("IFERROR(
  VLOOKUP(
    A41,
    IMPORTRANGE(
      ""1SCYQd7_cobOYqT0r_F0IqD4tE4rYn5y8Eup4PJTH8es"",
      ""Snapshot!A:M""
    ),
    5,
    FALSE
  ),
  ""-""
)
"),0.0)</f>
        <v>0</v>
      </c>
      <c r="AF41" s="54">
        <f>IFERROR(__xludf.DUMMYFUNCTION("IFERROR(
  VLOOKUP(
    A41,
    IMPORTRANGE(
      ""1SCYQd7_cobOYqT0r_F0IqD4tE4rYn5y8Eup4PJTH8es"",
      ""Snapshot!A:M""
    ),
    6,
    FALSE
  ),
  0
)
"),0.0)</f>
        <v>0</v>
      </c>
      <c r="AG41" s="54">
        <f>IFERROR(__xludf.DUMMYFUNCTION("IFERROR(
  VLOOKUP(
    A41,
    IMPORTRANGE(
      ""1SCYQd7_cobOYqT0r_F0IqD4tE4rYn5y8Eup4PJTH8es"",
      ""Snapshot!A:M""
    ),
    7,
    FALSE
  ),
  0
)
"),6613.0)</f>
        <v>6613</v>
      </c>
      <c r="AH41" s="54">
        <f>IFERROR(__xludf.DUMMYFUNCTION("IFERROR(
  VLOOKUP(
    A41,
    IMPORTRANGE(
      ""1SCYQd7_cobOYqT0r_F0IqD4tE4rYn5y8Eup4PJTH8es"",
      ""Snapshot!A:M""
    ),
    8,
    FALSE
  ),
  0
)
"),4.0)</f>
        <v>4</v>
      </c>
      <c r="AI41" s="54">
        <f>IFERROR(__xludf.DUMMYFUNCTION("IFERROR(
  VLOOKUP(
    A41,
    IMPORTRANGE(
      ""1SCYQd7_cobOYqT0r_F0IqD4tE4rYn5y8Eup4PJTH8es"",
      ""Snapshot!A:M""
    ),
    9,
    FALSE
  ),
  0
)
"),3.0)</f>
        <v>3</v>
      </c>
      <c r="AJ41" s="54">
        <f>IFERROR(__xludf.DUMMYFUNCTION("IFERROR(
  VLOOKUP(
    A41,
    IMPORTRANGE(
      ""1SCYQd7_cobOYqT0r_F0IqD4tE4rYn5y8Eup4PJTH8es"",
      ""Snapshot!A:M""
    ),
    13,
    FALSE
  ),
  0
)
"),1.0)</f>
        <v>1</v>
      </c>
      <c r="AK41" s="49">
        <f t="shared" ref="AK41:AL41" si="200">LEN(C41)</f>
        <v>25</v>
      </c>
      <c r="AL41" s="49">
        <f t="shared" si="200"/>
        <v>80</v>
      </c>
    </row>
    <row r="42">
      <c r="A42" s="3" t="s">
        <v>984</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"),"STAGE3 Lesson4-1受動態の発展(復習/助動詞を含む)【ニュートレジャーの道案内】 - 受験英語専門ゼミ「Re-Write」(リライト)")</f>
        <v>STAGE3 Lesson4-1受動態の発展(復習/助動詞を含む)【ニュートレジャーの道案内】 - 受験英語専門ゼミ「Re-Write」(リライト)</v>
      </c>
      <c r="D42" s="1" t="str">
        <f>IFERROR(__xludf.DUMMYFUNCTION("IFERROR(
  VLOOKUP(
    A42,
    IMPORTRANGE(
      ""1ZygntHC1J6IxzKbTidmOyf5nUyW4GCLurHCjexrLm_o        "",
      ""HTMLキャッシュ!A:F""
    ),
    6,
    FALSE
  ),
  0
)
"),"助動詞・進行形・完了形の受動態を徹底解説！「will be done」などの助動詞の受動態や「is being repaired」の進行形受動態の使い方を学び、英作文に活かそう！")</f>
        <v>助動詞・進行形・完了形の受動態を徹底解説！「will be done」などの助動詞の受動態や「is being repaired」の進行形受動態の使い方を学び、英作文に活かそう！</v>
      </c>
      <c r="E42" s="32">
        <f>IFERROR(__xludf.DUMMYFUNCTION("IFERROR(
  VLOOKUP(
    A42,
    IMPORTRANGE(
      ""1ZygntHC1J6IxzKbTidmOyf5nUyW4GCLurHCjexrLm_o        "",
      ""HTMLキャッシュ!A:F""
    ),
    3,
    FALSE
  ),
  0
)
"),46080.81935185185)</f>
        <v>46080.81935</v>
      </c>
      <c r="F42" s="49">
        <f>IFERROR(__xludf.DUMMYFUNCTION("IFERROR(
  VLOOKUP(
    A42,
    IMPORTRANGE(
      ""1ZHMy3vVUd_0MrSduXTe1etBb1HNpAlGwQr006ljwMiM"",
      ""GSC最新!A:F""
    ),
    2,
    FALSE
  ),
  0
)
"),4.0)</f>
        <v>4</v>
      </c>
      <c r="G42" s="49">
        <f>IFERROR(__xludf.DUMMYFUNCTION("IFERROR(
  VLOOKUP(
    A42,
    IMPORTRANGE(
      ""1ZHMy3vVUd_0MrSduXTe1etBb1HNpAlGwQr006ljwMiM"",
      ""GSC最新!A:F""
    ),
    3,
    FALSE
  ),
  0
)
"),18.0)</f>
        <v>18</v>
      </c>
      <c r="H42" s="49">
        <f>IFERROR(__xludf.DUMMYFUNCTION("IFERROR(
  VLOOKUP(
    A42,
    IMPORTRANGE(
      ""1ZHMy3vVUd_0MrSduXTe1etBb1HNpAlGwQr006ljwMiM"",
      ""GSC最新!A:F""
    ),
    4,
    FALSE
  ),
  0
)
"),2.0)</f>
        <v>2</v>
      </c>
      <c r="I42" s="49">
        <f>IFERROR(__xludf.DUMMYFUNCTION("IFERROR(
  VLOOKUP(
    A42,
    IMPORTRANGE(
      ""1ZHMy3vVUd_0MrSduXTe1etBb1HNpAlGwQr006ljwMiM"",
      ""GSC最新!A:F""
    ),
    5,
    FALSE
  ),
  0
)
"),11.0)</f>
        <v>11</v>
      </c>
      <c r="J42" s="50">
        <f t="shared" ref="J42:K42" si="201">IFERROR(F42/H42,"-")</f>
        <v>2</v>
      </c>
      <c r="K42" s="50">
        <f t="shared" si="201"/>
        <v>1.636363636</v>
      </c>
      <c r="L42" s="6">
        <f>IFERROR(__xludf.DUMMYFUNCTION("IFERROR(
  VLOOKUP(
    A42,
    IMPORTRANGE(
      ""1ZHMy3vVUd_0MrSduXTe1etBb1HNpAlGwQr006ljwMiM"",
      ""GSC最新!A:R""
    ),
    7,
    FALSE
  ),
  0
)
"),1290.0)</f>
        <v>1290</v>
      </c>
      <c r="M42" s="6">
        <f>IFERROR(__xludf.DUMMYFUNCTION("IFERROR(
  VLOOKUP(
    A42,
    IMPORTRANGE(
      ""1ZHMy3vVUd_0MrSduXTe1etBb1HNpAlGwQr006ljwMiM"",
      ""GSC最新!A:R""
    ),
    10,
    FALSE
  ),
  0
)
"),2858.0)</f>
        <v>2858</v>
      </c>
      <c r="N42" s="6">
        <f>IFERROR(__xludf.DUMMYFUNCTION("IFERROR(
  VLOOKUP(
    A42,
    IMPORTRANGE(
      ""1ZHMy3vVUd_0MrSduXTe1etBb1HNpAlGwQr006ljwMiM"",
      ""GSC最新!A:R""
    ),
    13,
    FALSE
  ),
  0
)
"),120.0)</f>
        <v>120</v>
      </c>
      <c r="O42" s="6">
        <f>IFERROR(__xludf.DUMMYFUNCTION("IFERROR(
  VLOOKUP(
    A42,
    IMPORTRANGE(
      ""1ZHMy3vVUd_0MrSduXTe1etBb1HNpAlGwQr006ljwMiM"",
      ""GSC最新!A:R""
    ),
    16,
    FALSE
  ),
  0
)
"),379.0)</f>
        <v>379</v>
      </c>
      <c r="P42" s="51">
        <f t="shared" ref="P42:Q42" si="202">IFERROR(L42/N42,"-")</f>
        <v>10.75</v>
      </c>
      <c r="Q42" s="51">
        <f t="shared" si="202"/>
        <v>7.540897098</v>
      </c>
      <c r="R42" s="9">
        <f>IFERROR(__xludf.DUMMYFUNCTION("IFERROR(
  VLOOKUP(
    A42,
    IMPORTRANGE(
      ""1ZHMy3vVUd_0MrSduXTe1etBb1HNpAlGwQr006ljwMiM"",
      ""GSC最新!A:R""
    ),
    8,
    FALSE
  ),
  0
)
"),0.0031007751937984496)</f>
        <v>0.003100775194</v>
      </c>
      <c r="S42" s="9">
        <f>IFERROR(__xludf.DUMMYFUNCTION("IFERROR(
  VLOOKUP(
    A42,
    IMPORTRANGE(
      ""1ZHMy3vVUd_0MrSduXTe1etBb1HNpAlGwQr006ljwMiM"",
      ""GSC最新!A:R""
    ),
    11,
    FALSE
  ),
  0
)
"),0.006298110566829951)</f>
        <v>0.006298110567</v>
      </c>
      <c r="T42" s="9">
        <f>IFERROR(__xludf.DUMMYFUNCTION("IFERROR(
  VLOOKUP(
    A42,
    IMPORTRANGE(
      ""1ZHMy3vVUd_0MrSduXTe1etBb1HNpAlGwQr006ljwMiM"",
      ""GSC最新!A:R""
    ),
    14,
    FALSE
  ),
  0
)
"),0.016666666666666666)</f>
        <v>0.01666666667</v>
      </c>
      <c r="U42" s="9">
        <f>IFERROR(__xludf.DUMMYFUNCTION("IFERROR(
  VLOOKUP(
    A42,
    IMPORTRANGE(
      ""1ZHMy3vVUd_0MrSduXTe1etBb1HNpAlGwQr006ljwMiM"",
      ""GSC最新!A:R""
    ),
    17,
    FALSE
  ),
  0
)
"),0.029023746701846966)</f>
        <v>0.0290237467</v>
      </c>
      <c r="V42" s="9">
        <f t="shared" ref="V42:W42" si="203">IFERROR(R42-T42,"-")</f>
        <v>-0.01356589147</v>
      </c>
      <c r="W42" s="9">
        <f t="shared" si="203"/>
        <v>-0.02272563614</v>
      </c>
      <c r="X42" s="65">
        <f>IFERROR(__xludf.DUMMYFUNCTION("IFERROR(
  VLOOKUP(
    A42,
    IMPORTRANGE(
      ""1ZHMy3vVUd_0MrSduXTe1etBb1HNpAlGwQr006ljwMiM"",
      ""GSC最新!A:R""
    ),
    9,
    FALSE
  ),
  0
)
"),1.9248062015503877)</f>
        <v>1.924806202</v>
      </c>
      <c r="Y42" s="65">
        <f>IFERROR(__xludf.DUMMYFUNCTION("IFERROR(
  VLOOKUP(
    A42,
    IMPORTRANGE(
      ""1ZHMy3vVUd_0MrSduXTe1etBb1HNpAlGwQr006ljwMiM"",
      ""GSC最新!A:R""
    ),
    12,
    FALSE
  ),
  0
)
"),2.1843946815955215)</f>
        <v>2.184394682</v>
      </c>
      <c r="Z42" s="65">
        <f>IFERROR(__xludf.DUMMYFUNCTION("IFERROR(
  VLOOKUP(
    A42,
    IMPORTRANGE(
      ""1ZHMy3vVUd_0MrSduXTe1etBb1HNpAlGwQr006ljwMiM"",
      ""GSC最新!A:R""
    ),
    15,
    FALSE
  ),
  0
)
"),9.008333333333333)</f>
        <v>9.008333333</v>
      </c>
      <c r="AA42" s="65">
        <f>IFERROR(__xludf.DUMMYFUNCTION("IFERROR(
  VLOOKUP(
    A42,
    IMPORTRANGE(
      ""1ZHMy3vVUd_0MrSduXTe1etBb1HNpAlGwQr006ljwMiM"",
      ""GSC最新!A:R""
    ),
    18,
    FALSE
  ),
  0
)
"),11.11873350923483)</f>
        <v>11.11873351</v>
      </c>
      <c r="AB42" s="65">
        <f t="shared" ref="AB42:AC42" si="204">X42-Z42</f>
        <v>-7.083527132</v>
      </c>
      <c r="AC42" s="65">
        <f t="shared" si="204"/>
        <v>-8.934338828</v>
      </c>
      <c r="AD42" s="53">
        <f>IFERROR(__xludf.DUMMYFUNCTION("IFERROR(
  VLOOKUP(
    A42,
    IMPORTRANGE(
      ""1ZHMy3vVUd_0MrSduXTe1etBb1HNpAlGwQr006ljwMiM"",
      ""GSC最新!A:F""
    ),
    6,
    FALSE
  ),
  0
)
"),46081.0)</f>
        <v>46081</v>
      </c>
      <c r="AE42" s="54">
        <f>IFERROR(__xludf.DUMMYFUNCTION("IFERROR(
  VLOOKUP(
    A42,
    IMPORTRANGE(
      ""1SCYQd7_cobOYqT0r_F0IqD4tE4rYn5y8Eup4PJTH8es"",
      ""Snapshot!A:M""
    ),
    5,
    FALSE
  ),
  ""-""
)
"),3.0)</f>
        <v>3</v>
      </c>
      <c r="AF42" s="54">
        <f>IFERROR(__xludf.DUMMYFUNCTION("IFERROR(
  VLOOKUP(
    A42,
    IMPORTRANGE(
      ""1SCYQd7_cobOYqT0r_F0IqD4tE4rYn5y8Eup4PJTH8es"",
      ""Snapshot!A:M""
    ),
    6,
    FALSE
  ),
  0
)
"),5.0)</f>
        <v>5</v>
      </c>
      <c r="AG42" s="54">
        <f>IFERROR(__xludf.DUMMYFUNCTION("IFERROR(
  VLOOKUP(
    A42,
    IMPORTRANGE(
      ""1SCYQd7_cobOYqT0r_F0IqD4tE4rYn5y8Eup4PJTH8es"",
      ""Snapshot!A:M""
    ),
    7,
    FALSE
  ),
  0
)
"),4542.0)</f>
        <v>4542</v>
      </c>
      <c r="AH42" s="54">
        <f>IFERROR(__xludf.DUMMYFUNCTION("IFERROR(
  VLOOKUP(
    A42,
    IMPORTRANGE(
      ""1SCYQd7_cobOYqT0r_F0IqD4tE4rYn5y8Eup4PJTH8es"",
      ""Snapshot!A:M""
    ),
    8,
    FALSE
  ),
  0
)
"),3.0)</f>
        <v>3</v>
      </c>
      <c r="AI42" s="54">
        <f>IFERROR(__xludf.DUMMYFUNCTION("IFERROR(
  VLOOKUP(
    A42,
    IMPORTRANGE(
      ""1SCYQd7_cobOYqT0r_F0IqD4tE4rYn5y8Eup4PJTH8es"",
      ""Snapshot!A:M""
    ),
    9,
    FALSE
  ),
  0
)
"),2.0)</f>
        <v>2</v>
      </c>
      <c r="AJ42" s="54">
        <f>IFERROR(__xludf.DUMMYFUNCTION("IFERROR(
  VLOOKUP(
    A42,
    IMPORTRANGE(
      ""1SCYQd7_cobOYqT0r_F0IqD4tE4rYn5y8Eup4PJTH8es"",
      ""Snapshot!A:M""
    ),
    13,
    FALSE
  ),
  0
)
"),1.0)</f>
        <v>1</v>
      </c>
      <c r="AK42" s="49">
        <f t="shared" ref="AK42:AL42" si="205">LEN(C42)</f>
        <v>74</v>
      </c>
      <c r="AL42" s="49">
        <f t="shared" si="205"/>
        <v>89</v>
      </c>
    </row>
    <row r="43">
      <c r="A43" s="3" t="s">
        <v>985</v>
      </c>
      <c r="B43" s="1" t="str">
        <f>IFERROR(__xludf.DUMMYFUNCTION("IFERROR(
  VLOOKUP(
    A43,
    IMPORTRANGE(
      ""1ZygntHC1J6IxzKbTidmOyf5nUyW4GCLurHCjexrLm_o"",
      ""HTMLキャッシュ!A:F""
    ),
    2,
    FALSE
  ),
  0
)
"),"MC")</f>
        <v>MC</v>
      </c>
      <c r="C43" s="1" t="str">
        <f>IFERROR(__xludf.DUMMYFUNCTION("IFERROR(
  VLOOKUP(
    A43,
    IMPORTRANGE(
      ""1ZygntHC1J6IxzKbTidmOyf5nUyW4GCLurHCjexrLm_o"",
      ""HTMLキャッシュ!A:F""
    ),
    5,
    FALSE
  ),
  0
)
"),"英語J-英作文学習法 英作力を鍛える基本と実践テクニック")</f>
        <v>英語J-英作文学習法 英作力を鍛える基本と実践テクニック</v>
      </c>
      <c r="D43" s="1" t="str">
        <f>IFERROR(__xludf.DUMMYFUNCTION("IFERROR(
  VLOOKUP(
    A43,
    IMPORTRANGE(
      ""1ZygntHC1J6IxzKbTidmOyf5nUyW4GCLurHCjexrLm_o        "",
      ""HTMLキャッシュ!A:F""
    ),
    6,
    FALSE
  ),
  0
)
"),"高校受験の英作文が書けない中学生向け。時間不足の原因を整理し、典型表現と例で「確実に伝わる英文」にするコツをまとめます。")</f>
        <v>高校受験の英作文が書けない中学生向け。時間不足の原因を整理し、典型表現と例で「確実に伝わる英文」にするコツをまとめます。</v>
      </c>
      <c r="E43" s="32">
        <f>IFERROR(__xludf.DUMMYFUNCTION("IFERROR(
  VLOOKUP(
    A43,
    IMPORTRANGE(
      ""1ZygntHC1J6IxzKbTidmOyf5nUyW4GCLurHCjexrLm_o        "",
      ""HTMLキャッシュ!A:F""
    ),
    3,
    FALSE
  ),
  0
)
"),46073.5553125)</f>
        <v>46073.55531</v>
      </c>
      <c r="F43" s="49">
        <f>IFERROR(__xludf.DUMMYFUNCTION("IFERROR(
  VLOOKUP(
    A43,
    IMPORTRANGE(
      ""1ZHMy3vVUd_0MrSduXTe1etBb1HNpAlGwQr006ljwMiM"",
      ""GSC最新!A:F""
    ),
    2,
    FALSE
  ),
  0
)
"),11.0)</f>
        <v>11</v>
      </c>
      <c r="G43" s="49">
        <f>IFERROR(__xludf.DUMMYFUNCTION("IFERROR(
  VLOOKUP(
    A43,
    IMPORTRANGE(
      ""1ZHMy3vVUd_0MrSduXTe1etBb1HNpAlGwQr006ljwMiM"",
      ""GSC最新!A:F""
    ),
    3,
    FALSE
  ),
  0
)
"),18.0)</f>
        <v>18</v>
      </c>
      <c r="H43" s="49">
        <f>IFERROR(__xludf.DUMMYFUNCTION("IFERROR(
  VLOOKUP(
    A43,
    IMPORTRANGE(
      ""1ZHMy3vVUd_0MrSduXTe1etBb1HNpAlGwQr006ljwMiM"",
      ""GSC最新!A:F""
    ),
    4,
    FALSE
  ),
  0
)
"),6.0)</f>
        <v>6</v>
      </c>
      <c r="I43" s="49">
        <f>IFERROR(__xludf.DUMMYFUNCTION("IFERROR(
  VLOOKUP(
    A43,
    IMPORTRANGE(
      ""1ZHMy3vVUd_0MrSduXTe1etBb1HNpAlGwQr006ljwMiM"",
      ""GSC最新!A:F""
    ),
    5,
    FALSE
  ),
  0
)
"),11.0)</f>
        <v>11</v>
      </c>
      <c r="J43" s="50">
        <f t="shared" ref="J43:K43" si="206">IFERROR(F43/H43,"-")</f>
        <v>1.833333333</v>
      </c>
      <c r="K43" s="50">
        <f t="shared" si="206"/>
        <v>1.636363636</v>
      </c>
      <c r="L43" s="6">
        <f>IFERROR(__xludf.DUMMYFUNCTION("IFERROR(
  VLOOKUP(
    A43,
    IMPORTRANGE(
      ""1ZHMy3vVUd_0MrSduXTe1etBb1HNpAlGwQr006ljwMiM"",
      ""GSC最新!A:R""
    ),
    7,
    FALSE
  ),
  0
)
"),566.0)</f>
        <v>566</v>
      </c>
      <c r="M43" s="6">
        <f>IFERROR(__xludf.DUMMYFUNCTION("IFERROR(
  VLOOKUP(
    A43,
    IMPORTRANGE(
      ""1ZHMy3vVUd_0MrSduXTe1etBb1HNpAlGwQr006ljwMiM"",
      ""GSC最新!A:R""
    ),
    10,
    FALSE
  ),
  0
)
"),831.0)</f>
        <v>831</v>
      </c>
      <c r="N43" s="6">
        <f>IFERROR(__xludf.DUMMYFUNCTION("IFERROR(
  VLOOKUP(
    A43,
    IMPORTRANGE(
      ""1ZHMy3vVUd_0MrSduXTe1etBb1HNpAlGwQr006ljwMiM"",
      ""GSC最新!A:R""
    ),
    13,
    FALSE
  ),
  0
)
"),257.0)</f>
        <v>257</v>
      </c>
      <c r="O43" s="6">
        <f>IFERROR(__xludf.DUMMYFUNCTION("IFERROR(
  VLOOKUP(
    A43,
    IMPORTRANGE(
      ""1ZHMy3vVUd_0MrSduXTe1etBb1HNpAlGwQr006ljwMiM"",
      ""GSC最新!A:R""
    ),
    16,
    FALSE
  ),
  0
)
"),1074.0)</f>
        <v>1074</v>
      </c>
      <c r="P43" s="51">
        <f t="shared" ref="P43:Q43" si="207">IFERROR(L43/N43,"-")</f>
        <v>2.20233463</v>
      </c>
      <c r="Q43" s="51">
        <f t="shared" si="207"/>
        <v>0.7737430168</v>
      </c>
      <c r="R43" s="9">
        <f>IFERROR(__xludf.DUMMYFUNCTION("IFERROR(
  VLOOKUP(
    A43,
    IMPORTRANGE(
      ""1ZHMy3vVUd_0MrSduXTe1etBb1HNpAlGwQr006ljwMiM"",
      ""GSC最新!A:R""
    ),
    8,
    FALSE
  ),
  0
)
"),0.019434628975265017)</f>
        <v>0.01943462898</v>
      </c>
      <c r="S43" s="9">
        <f>IFERROR(__xludf.DUMMYFUNCTION("IFERROR(
  VLOOKUP(
    A43,
    IMPORTRANGE(
      ""1ZHMy3vVUd_0MrSduXTe1etBb1HNpAlGwQr006ljwMiM"",
      ""GSC最新!A:R""
    ),
    11,
    FALSE
  ),
  0
)
"),0.021660649819494584)</f>
        <v>0.02166064982</v>
      </c>
      <c r="T43" s="9">
        <f>IFERROR(__xludf.DUMMYFUNCTION("IFERROR(
  VLOOKUP(
    A43,
    IMPORTRANGE(
      ""1ZHMy3vVUd_0MrSduXTe1etBb1HNpAlGwQr006ljwMiM"",
      ""GSC最新!A:R""
    ),
    14,
    FALSE
  ),
  0
)
"),0.023346303501945526)</f>
        <v>0.0233463035</v>
      </c>
      <c r="U43" s="9">
        <f>IFERROR(__xludf.DUMMYFUNCTION("IFERROR(
  VLOOKUP(
    A43,
    IMPORTRANGE(
      ""1ZHMy3vVUd_0MrSduXTe1etBb1HNpAlGwQr006ljwMiM"",
      ""GSC最新!A:R""
    ),
    17,
    FALSE
  ),
  0
)
"),0.010242085661080074)</f>
        <v>0.01024208566</v>
      </c>
      <c r="V43" s="9">
        <f t="shared" ref="V43:W43" si="208">IFERROR(R43-T43,"-")</f>
        <v>-0.003911674527</v>
      </c>
      <c r="W43" s="9">
        <f t="shared" si="208"/>
        <v>0.01141856416</v>
      </c>
      <c r="X43" s="65">
        <f>IFERROR(__xludf.DUMMYFUNCTION("IFERROR(
  VLOOKUP(
    A43,
    IMPORTRANGE(
      ""1ZHMy3vVUd_0MrSduXTe1etBb1HNpAlGwQr006ljwMiM"",
      ""GSC最新!A:R""
    ),
    9,
    FALSE
  ),
  0
)
"),9.901060070671377)</f>
        <v>9.901060071</v>
      </c>
      <c r="Y43" s="65">
        <f>IFERROR(__xludf.DUMMYFUNCTION("IFERROR(
  VLOOKUP(
    A43,
    IMPORTRANGE(
      ""1ZHMy3vVUd_0MrSduXTe1etBb1HNpAlGwQr006ljwMiM"",
      ""GSC最新!A:R""
    ),
    12,
    FALSE
  ),
  0
)
"),10.736462093862816)</f>
        <v>10.73646209</v>
      </c>
      <c r="Z43" s="65">
        <f>IFERROR(__xludf.DUMMYFUNCTION("IFERROR(
  VLOOKUP(
    A43,
    IMPORTRANGE(
      ""1ZHMy3vVUd_0MrSduXTe1etBb1HNpAlGwQr006ljwMiM"",
      ""GSC最新!A:R""
    ),
    15,
    FALSE
  ),
  0
)
"),26.291828793774318)</f>
        <v>26.29182879</v>
      </c>
      <c r="AA43" s="65">
        <f>IFERROR(__xludf.DUMMYFUNCTION("IFERROR(
  VLOOKUP(
    A43,
    IMPORTRANGE(
      ""1ZHMy3vVUd_0MrSduXTe1etBb1HNpAlGwQr006ljwMiM"",
      ""GSC最新!A:R""
    ),
    18,
    FALSE
  ),
  0
)
"),40.26443202979516)</f>
        <v>40.26443203</v>
      </c>
      <c r="AB43" s="65">
        <f t="shared" ref="AB43:AC43" si="209">X43-Z43</f>
        <v>-16.39076872</v>
      </c>
      <c r="AC43" s="65">
        <f t="shared" si="209"/>
        <v>-29.52796994</v>
      </c>
      <c r="AD43" s="53">
        <f>IFERROR(__xludf.DUMMYFUNCTION("IFERROR(
  VLOOKUP(
    A43,
    IMPORTRANGE(
      ""1ZHMy3vVUd_0MrSduXTe1etBb1HNpAlGwQr006ljwMiM"",
      ""GSC最新!A:F""
    ),
    6,
    FALSE
  ),
  0
)
"),46081.0)</f>
        <v>46081</v>
      </c>
      <c r="AE43" s="54">
        <f>IFERROR(__xludf.DUMMYFUNCTION("IFERROR(
  VLOOKUP(
    A43,
    IMPORTRANGE(
      ""1SCYQd7_cobOYqT0r_F0IqD4tE4rYn5y8Eup4PJTH8es"",
      ""Snapshot!A:M""
    ),
    5,
    FALSE
  ),
  ""-""
)
"),2.0)</f>
        <v>2</v>
      </c>
      <c r="AF43" s="54">
        <f>IFERROR(__xludf.DUMMYFUNCTION("IFERROR(
  VLOOKUP(
    A43,
    IMPORTRANGE(
      ""1SCYQd7_cobOYqT0r_F0IqD4tE4rYn5y8Eup4PJTH8es"",
      ""Snapshot!A:M""
    ),
    6,
    FALSE
  ),
  0
)
"),0.0)</f>
        <v>0</v>
      </c>
      <c r="AG43" s="54">
        <f>IFERROR(__xludf.DUMMYFUNCTION("IFERROR(
  VLOOKUP(
    A43,
    IMPORTRANGE(
      ""1SCYQd7_cobOYqT0r_F0IqD4tE4rYn5y8Eup4PJTH8es"",
      ""Snapshot!A:M""
    ),
    7,
    FALSE
  ),
  0
)
"),1810.0)</f>
        <v>1810</v>
      </c>
      <c r="AH43" s="54">
        <f>IFERROR(__xludf.DUMMYFUNCTION("IFERROR(
  VLOOKUP(
    A43,
    IMPORTRANGE(
      ""1SCYQd7_cobOYqT0r_F0IqD4tE4rYn5y8Eup4PJTH8es"",
      ""Snapshot!A:M""
    ),
    8,
    FALSE
  ),
  0
)
"),2.0)</f>
        <v>2</v>
      </c>
      <c r="AI43" s="54">
        <f>IFERROR(__xludf.DUMMYFUNCTION("IFERROR(
  VLOOKUP(
    A43,
    IMPORTRANGE(
      ""1SCYQd7_cobOYqT0r_F0IqD4tE4rYn5y8Eup4PJTH8es"",
      ""Snapshot!A:M""
    ),
    9,
    FALSE
  ),
  0
)
"),1.0)</f>
        <v>1</v>
      </c>
      <c r="AJ43" s="54">
        <f>IFERROR(__xludf.DUMMYFUNCTION("IFERROR(
  VLOOKUP(
    A43,
    IMPORTRANGE(
      ""1SCYQd7_cobOYqT0r_F0IqD4tE4rYn5y8Eup4PJTH8es"",
      ""Snapshot!A:M""
    ),
    13,
    FALSE
  ),
  0
)
"),1.0)</f>
        <v>1</v>
      </c>
      <c r="AK43" s="49">
        <f t="shared" ref="AK43:AL43" si="210">LEN(C43)</f>
        <v>28</v>
      </c>
      <c r="AL43" s="49">
        <f t="shared" si="210"/>
        <v>60</v>
      </c>
    </row>
    <row r="44">
      <c r="A44" s="3" t="s">
        <v>986</v>
      </c>
      <c r="B44" s="1" t="str">
        <f>IFERROR(__xludf.DUMMYFUNCTION("IFERROR(
  VLOOKUP(
    A44,
    IMPORTRANGE(
      ""1ZygntHC1J6IxzKbTidmOyf5nUyW4GCLurHCjexrLm_o"",
      ""HTMLキャッシュ!A:F""
    ),
    2,
    FALSE
  ),
  0
)
"),"MC")</f>
        <v>MC</v>
      </c>
      <c r="C44" s="1" t="str">
        <f>IFERROR(__xludf.DUMMYFUNCTION("IFERROR(
  VLOOKUP(
    A44,
    IMPORTRANGE(
      ""1ZygntHC1J6IxzKbTidmOyf5nUyW4GCLurHCjexrLm_o"",
      ""HTMLキャッシュ!A:F""
    ),
    5,
    FALSE
  ),
  0
)
"),"cannot と can't の違いを助動詞で整理｜canの後ろは原形・三単現でもs不要・否定文とnot veryまで")</f>
        <v>cannot と can't の違いを助動詞で整理｜canの後ろは原形・三単現でもs不要・否定文とnot veryまで</v>
      </c>
      <c r="D44" s="1" t="str">
        <f>IFERROR(__xludf.DUMMYFUNCTION("IFERROR(
  VLOOKUP(
    A44,
    IMPORTRANGE(
      ""1ZygntHC1J6IxzKbTidmOyf5nUyW4GCLurHCjexrLm_o        "",
      ""HTMLキャッシュ!A:F""
    ),
    6,
    FALSE
  ),
  0
)
"),"助動詞canの基本を中1向けに整理。cannotとcan’tの違い（短縮形）に加え、can not が二語になる場面も確認。canは三人称単数でもs不要、後ろは動詞の原形。否定文（cannot/can’t）とnot very＝あまり〜ないまで、例文・表・クイズで定着。")</f>
        <v>助動詞canの基本を中1向けに整理。cannotとcan’tの違い（短縮形）に加え、can not が二語になる場面も確認。canは三人称単数でもs不要、後ろは動詞の原形。否定文（cannot/can’t）とnot very＝あまり〜ないまで、例文・表・クイズで定着。</v>
      </c>
      <c r="E44" s="32">
        <f>IFERROR(__xludf.DUMMYFUNCTION("IFERROR(
  VLOOKUP(
    A44,
    IMPORTRANGE(
      ""1ZygntHC1J6IxzKbTidmOyf5nUyW4GCLurHCjexrLm_o        "",
      ""HTMLキャッシュ!A:F""
    ),
    3,
    FALSE
  ),
  0
)
"),46080.81151620371)</f>
        <v>46080.81152</v>
      </c>
      <c r="F44" s="49">
        <f>IFERROR(__xludf.DUMMYFUNCTION("IFERROR(
  VLOOKUP(
    A44,
    IMPORTRANGE(
      ""1ZHMy3vVUd_0MrSduXTe1etBb1HNpAlGwQr006ljwMiM"",
      ""GSC最新!A:F""
    ),
    2,
    FALSE
  ),
  0
)
"),3.0)</f>
        <v>3</v>
      </c>
      <c r="G44" s="49">
        <f>IFERROR(__xludf.DUMMYFUNCTION("IFERROR(
  VLOOKUP(
    A44,
    IMPORTRANGE(
      ""1ZHMy3vVUd_0MrSduXTe1etBb1HNpAlGwQr006ljwMiM"",
      ""GSC最新!A:F""
    ),
    3,
    FALSE
  ),
  0
)
"),16.0)</f>
        <v>16</v>
      </c>
      <c r="H44" s="49">
        <f>IFERROR(__xludf.DUMMYFUNCTION("IFERROR(
  VLOOKUP(
    A44,
    IMPORTRANGE(
      ""1ZHMy3vVUd_0MrSduXTe1etBb1HNpAlGwQr006ljwMiM"",
      ""GSC最新!A:F""
    ),
    4,
    FALSE
  ),
  0
)
"),0.0)</f>
        <v>0</v>
      </c>
      <c r="I44" s="49">
        <f>IFERROR(__xludf.DUMMYFUNCTION("IFERROR(
  VLOOKUP(
    A44,
    IMPORTRANGE(
      ""1ZHMy3vVUd_0MrSduXTe1etBb1HNpAlGwQr006ljwMiM"",
      ""GSC最新!A:F""
    ),
    5,
    FALSE
  ),
  0
)
"),5.0)</f>
        <v>5</v>
      </c>
      <c r="J44" s="50" t="str">
        <f t="shared" ref="J44:K44" si="211">IFERROR(F44/H44,"-")</f>
        <v>-</v>
      </c>
      <c r="K44" s="50">
        <f t="shared" si="211"/>
        <v>3.2</v>
      </c>
      <c r="L44" s="6">
        <f>IFERROR(__xludf.DUMMYFUNCTION("IFERROR(
  VLOOKUP(
    A44,
    IMPORTRANGE(
      ""1ZHMy3vVUd_0MrSduXTe1etBb1HNpAlGwQr006ljwMiM"",
      ""GSC最新!A:R""
    ),
    7,
    FALSE
  ),
  0
)
"),3602.0)</f>
        <v>3602</v>
      </c>
      <c r="M44" s="6">
        <f>IFERROR(__xludf.DUMMYFUNCTION("IFERROR(
  VLOOKUP(
    A44,
    IMPORTRANGE(
      ""1ZHMy3vVUd_0MrSduXTe1etBb1HNpAlGwQr006ljwMiM"",
      ""GSC最新!A:R""
    ),
    10,
    FALSE
  ),
  0
)
"),8013.0)</f>
        <v>8013</v>
      </c>
      <c r="N44" s="6">
        <f>IFERROR(__xludf.DUMMYFUNCTION("IFERROR(
  VLOOKUP(
    A44,
    IMPORTRANGE(
      ""1ZHMy3vVUd_0MrSduXTe1etBb1HNpAlGwQr006ljwMiM"",
      ""GSC最新!A:R""
    ),
    13,
    FALSE
  ),
  0
)
"),72.0)</f>
        <v>72</v>
      </c>
      <c r="O44" s="6">
        <f>IFERROR(__xludf.DUMMYFUNCTION("IFERROR(
  VLOOKUP(
    A44,
    IMPORTRANGE(
      ""1ZHMy3vVUd_0MrSduXTe1etBb1HNpAlGwQr006ljwMiM"",
      ""GSC最新!A:R""
    ),
    16,
    FALSE
  ),
  0
)
"),291.0)</f>
        <v>291</v>
      </c>
      <c r="P44" s="51">
        <f t="shared" ref="P44:Q44" si="212">IFERROR(L44/N44,"-")</f>
        <v>50.02777778</v>
      </c>
      <c r="Q44" s="51">
        <f t="shared" si="212"/>
        <v>27.53608247</v>
      </c>
      <c r="R44" s="9">
        <f>IFERROR(__xludf.DUMMYFUNCTION("IFERROR(
  VLOOKUP(
    A44,
    IMPORTRANGE(
      ""1ZHMy3vVUd_0MrSduXTe1etBb1HNpAlGwQr006ljwMiM"",
      ""GSC最新!A:R""
    ),
    8,
    FALSE
  ),
  0
)
"),8.32870627429206E-4)</f>
        <v>0.0008328706274</v>
      </c>
      <c r="S44" s="9">
        <f>IFERROR(__xludf.DUMMYFUNCTION("IFERROR(
  VLOOKUP(
    A44,
    IMPORTRANGE(
      ""1ZHMy3vVUd_0MrSduXTe1etBb1HNpAlGwQr006ljwMiM"",
      ""GSC最新!A:R""
    ),
    11,
    FALSE
  ),
  0
)
"),0.001996755272681892)</f>
        <v>0.001996755273</v>
      </c>
      <c r="T44" s="9">
        <f>IFERROR(__xludf.DUMMYFUNCTION("IFERROR(
  VLOOKUP(
    A44,
    IMPORTRANGE(
      ""1ZHMy3vVUd_0MrSduXTe1etBb1HNpAlGwQr006ljwMiM"",
      ""GSC最新!A:R""
    ),
    14,
    FALSE
  ),
  0
)
"),0.0)</f>
        <v>0</v>
      </c>
      <c r="U44" s="9">
        <f>IFERROR(__xludf.DUMMYFUNCTION("IFERROR(
  VLOOKUP(
    A44,
    IMPORTRANGE(
      ""1ZHMy3vVUd_0MrSduXTe1etBb1HNpAlGwQr006ljwMiM"",
      ""GSC最新!A:R""
    ),
    17,
    FALSE
  ),
  0
)
"),0.01718213058419244)</f>
        <v>0.01718213058</v>
      </c>
      <c r="V44" s="9">
        <f t="shared" ref="V44:W44" si="213">IFERROR(R44-T44,"-")</f>
        <v>0.0008328706274</v>
      </c>
      <c r="W44" s="9">
        <f t="shared" si="213"/>
        <v>-0.01518537531</v>
      </c>
      <c r="X44" s="65">
        <f>IFERROR(__xludf.DUMMYFUNCTION("IFERROR(
  VLOOKUP(
    A44,
    IMPORTRANGE(
      ""1ZHMy3vVUd_0MrSduXTe1etBb1HNpAlGwQr006ljwMiM"",
      ""GSC最新!A:R""
    ),
    9,
    FALSE
  ),
  0
)
"),5.720155469183787)</f>
        <v>5.720155469</v>
      </c>
      <c r="Y44" s="65">
        <f>IFERROR(__xludf.DUMMYFUNCTION("IFERROR(
  VLOOKUP(
    A44,
    IMPORTRANGE(
      ""1ZHMy3vVUd_0MrSduXTe1etBb1HNpAlGwQr006ljwMiM"",
      ""GSC最新!A:R""
    ),
    12,
    FALSE
  ),
  0
)
"),5.615749407213278)</f>
        <v>5.615749407</v>
      </c>
      <c r="Z44" s="65">
        <f>IFERROR(__xludf.DUMMYFUNCTION("IFERROR(
  VLOOKUP(
    A44,
    IMPORTRANGE(
      ""1ZHMy3vVUd_0MrSduXTe1etBb1HNpAlGwQr006ljwMiM"",
      ""GSC最新!A:R""
    ),
    15,
    FALSE
  ),
  0
)
"),10.555555555555555)</f>
        <v>10.55555556</v>
      </c>
      <c r="AA44" s="65">
        <f>IFERROR(__xludf.DUMMYFUNCTION("IFERROR(
  VLOOKUP(
    A44,
    IMPORTRANGE(
      ""1ZHMy3vVUd_0MrSduXTe1etBb1HNpAlGwQr006ljwMiM"",
      ""GSC最新!A:R""
    ),
    18,
    FALSE
  ),
  0
)
"),16.2680412371134)</f>
        <v>16.26804124</v>
      </c>
      <c r="AB44" s="65">
        <f t="shared" ref="AB44:AC44" si="214">X44-Z44</f>
        <v>-4.835400086</v>
      </c>
      <c r="AC44" s="65">
        <f t="shared" si="214"/>
        <v>-10.65229183</v>
      </c>
      <c r="AD44" s="53">
        <f>IFERROR(__xludf.DUMMYFUNCTION("IFERROR(
  VLOOKUP(
    A44,
    IMPORTRANGE(
      ""1ZHMy3vVUd_0MrSduXTe1etBb1HNpAlGwQr006ljwMiM"",
      ""GSC最新!A:F""
    ),
    6,
    FALSE
  ),
  0
)
"),46081.0)</f>
        <v>46081</v>
      </c>
      <c r="AE44" s="54">
        <f>IFERROR(__xludf.DUMMYFUNCTION("IFERROR(
  VLOOKUP(
    A44,
    IMPORTRANGE(
      ""1SCYQd7_cobOYqT0r_F0IqD4tE4rYn5y8Eup4PJTH8es"",
      ""Snapshot!A:M""
    ),
    5,
    FALSE
  ),
  ""-""
)
"),2.0)</f>
        <v>2</v>
      </c>
      <c r="AF44" s="54">
        <f>IFERROR(__xludf.DUMMYFUNCTION("IFERROR(
  VLOOKUP(
    A44,
    IMPORTRANGE(
      ""1SCYQd7_cobOYqT0r_F0IqD4tE4rYn5y8Eup4PJTH8es"",
      ""Snapshot!A:M""
    ),
    6,
    FALSE
  ),
  0
)
"),0.0)</f>
        <v>0</v>
      </c>
      <c r="AG44" s="54">
        <f>IFERROR(__xludf.DUMMYFUNCTION("IFERROR(
  VLOOKUP(
    A44,
    IMPORTRANGE(
      ""1SCYQd7_cobOYqT0r_F0IqD4tE4rYn5y8Eup4PJTH8es"",
      ""Snapshot!A:M""
    ),
    7,
    FALSE
  ),
  0
)
"),5191.0)</f>
        <v>5191</v>
      </c>
      <c r="AH44" s="54">
        <f>IFERROR(__xludf.DUMMYFUNCTION("IFERROR(
  VLOOKUP(
    A44,
    IMPORTRANGE(
      ""1SCYQd7_cobOYqT0r_F0IqD4tE4rYn5y8Eup4PJTH8es"",
      ""Snapshot!A:M""
    ),
    8,
    FALSE
  ),
  0
)
"),3.0)</f>
        <v>3</v>
      </c>
      <c r="AI44" s="54">
        <f>IFERROR(__xludf.DUMMYFUNCTION("IFERROR(
  VLOOKUP(
    A44,
    IMPORTRANGE(
      ""1SCYQd7_cobOYqT0r_F0IqD4tE4rYn5y8Eup4PJTH8es"",
      ""Snapshot!A:M""
    ),
    9,
    FALSE
  ),
  0
)
"),2.0)</f>
        <v>2</v>
      </c>
      <c r="AJ44" s="54">
        <f>IFERROR(__xludf.DUMMYFUNCTION("IFERROR(
  VLOOKUP(
    A44,
    IMPORTRANGE(
      ""1SCYQd7_cobOYqT0r_F0IqD4tE4rYn5y8Eup4PJTH8es"",
      ""Snapshot!A:M""
    ),
    13,
    FALSE
  ),
  0
)
"),1.0)</f>
        <v>1</v>
      </c>
      <c r="AK44" s="49">
        <f t="shared" ref="AK44:AL44" si="215">LEN(C44)</f>
        <v>59</v>
      </c>
      <c r="AL44" s="49">
        <f t="shared" si="215"/>
        <v>134</v>
      </c>
    </row>
    <row r="45">
      <c r="A45" s="3" t="s">
        <v>987</v>
      </c>
      <c r="B45" s="1" t="str">
        <f>IFERROR(__xludf.DUMMYFUNCTION("IFERROR(
  VLOOKUP(
    A45,
    IMPORTRANGE(
      ""1ZygntHC1J6IxzKbTidmOyf5nUyW4GCLurHCjexrLm_o"",
      ""HTMLキャッシュ!A:F""
    ),
    2,
    FALSE
  ),
  0
)
"),"MC")</f>
        <v>MC</v>
      </c>
      <c r="C45" s="1" t="str">
        <f>IFERROR(__xludf.DUMMYFUNCTION("IFERROR(
  VLOOKUP(
    A45,
    IMPORTRANGE(
      ""1ZygntHC1J6IxzKbTidmOyf5nUyW4GCLurHCjexrLm_o"",
      ""HTMLキャッシュ!A:F""
    ),
    5,
    FALSE
  ),
  0
)
"),"stage1_Lesson12-3 比較(最上級/不規則変化を用いた比較)【ニュートレジャーの道案内】 - 受験英語専門ゼミ「Re-Write」(リライト)")</f>
        <v>stage1_Lesson12-3 比較(最上級/不規則変化を用いた比較)【ニュートレジャーの道案内】 - 受験英語専門ゼミ「Re-Write」(リライト)</v>
      </c>
      <c r="D45" s="1" t="str">
        <f>IFERROR(__xludf.DUMMYFUNCTION("IFERROR(
  VLOOKUP(
    A45,
    IMPORTRANGE(
      ""1ZygntHC1J6IxzKbTidmOyf5nUyW4GCLurHCjexrLm_o        "",
      ""HTMLキャッシュ!A:F""
    ),
    6,
    FALSE
  ),
  0
)
"),"それではLesson12セクション3を進めていきましょう。 NEW TREASURE STAGE1 の文法")</f>
        <v>それではLesson12セクション3を進めていきましょう。 NEW TREASURE STAGE1 の文法</v>
      </c>
      <c r="E45" s="32">
        <f>IFERROR(__xludf.DUMMYFUNCTION("IFERROR(
  VLOOKUP(
    A45,
    IMPORTRANGE(
      ""1ZygntHC1J6IxzKbTidmOyf5nUyW4GCLurHCjexrLm_o        "",
      ""HTMLキャッシュ!A:F""
    ),
    3,
    FALSE
  ),
  0
)
"),46043.59155092593)</f>
        <v>46043.59155</v>
      </c>
      <c r="F45" s="49">
        <f>IFERROR(__xludf.DUMMYFUNCTION("IFERROR(
  VLOOKUP(
    A45,
    IMPORTRANGE(
      ""1ZHMy3vVUd_0MrSduXTe1etBb1HNpAlGwQr006ljwMiM"",
      ""GSC最新!A:F""
    ),
    2,
    FALSE
  ),
  0
)
"),6.0)</f>
        <v>6</v>
      </c>
      <c r="G45" s="49">
        <f>IFERROR(__xludf.DUMMYFUNCTION("IFERROR(
  VLOOKUP(
    A45,
    IMPORTRANGE(
      ""1ZHMy3vVUd_0MrSduXTe1etBb1HNpAlGwQr006ljwMiM"",
      ""GSC最新!A:F""
    ),
    3,
    FALSE
  ),
  0
)
"),16.0)</f>
        <v>16</v>
      </c>
      <c r="H45" s="49">
        <f>IFERROR(__xludf.DUMMYFUNCTION("IFERROR(
  VLOOKUP(
    A45,
    IMPORTRANGE(
      ""1ZHMy3vVUd_0MrSduXTe1etBb1HNpAlGwQr006ljwMiM"",
      ""GSC最新!A:F""
    ),
    4,
    FALSE
  ),
  0
)
"),1.0)</f>
        <v>1</v>
      </c>
      <c r="I45" s="49">
        <f>IFERROR(__xludf.DUMMYFUNCTION("IFERROR(
  VLOOKUP(
    A45,
    IMPORTRANGE(
      ""1ZHMy3vVUd_0MrSduXTe1etBb1HNpAlGwQr006ljwMiM"",
      ""GSC最新!A:F""
    ),
    5,
    FALSE
  ),
  0
)
"),1.0)</f>
        <v>1</v>
      </c>
      <c r="J45" s="50">
        <f t="shared" ref="J45:K45" si="216">IFERROR(F45/H45,"-")</f>
        <v>6</v>
      </c>
      <c r="K45" s="50">
        <f t="shared" si="216"/>
        <v>16</v>
      </c>
      <c r="L45" s="6">
        <f>IFERROR(__xludf.DUMMYFUNCTION("IFERROR(
  VLOOKUP(
    A45,
    IMPORTRANGE(
      ""1ZHMy3vVUd_0MrSduXTe1etBb1HNpAlGwQr006ljwMiM"",
      ""GSC最新!A:R""
    ),
    7,
    FALSE
  ),
  0
)
"),2629.0)</f>
        <v>2629</v>
      </c>
      <c r="M45" s="6">
        <f>IFERROR(__xludf.DUMMYFUNCTION("IFERROR(
  VLOOKUP(
    A45,
    IMPORTRANGE(
      ""1ZHMy3vVUd_0MrSduXTe1etBb1HNpAlGwQr006ljwMiM"",
      ""GSC最新!A:R""
    ),
    10,
    FALSE
  ),
  0
)
"),6394.0)</f>
        <v>6394</v>
      </c>
      <c r="N45" s="6">
        <f>IFERROR(__xludf.DUMMYFUNCTION("IFERROR(
  VLOOKUP(
    A45,
    IMPORTRANGE(
      ""1ZHMy3vVUd_0MrSduXTe1etBb1HNpAlGwQr006ljwMiM"",
      ""GSC最新!A:R""
    ),
    13,
    FALSE
  ),
  0
)
"),85.0)</f>
        <v>85</v>
      </c>
      <c r="O45" s="6">
        <f>IFERROR(__xludf.DUMMYFUNCTION("IFERROR(
  VLOOKUP(
    A45,
    IMPORTRANGE(
      ""1ZHMy3vVUd_0MrSduXTe1etBb1HNpAlGwQr006ljwMiM"",
      ""GSC最新!A:R""
    ),
    16,
    FALSE
  ),
  0
)
"),252.0)</f>
        <v>252</v>
      </c>
      <c r="P45" s="51">
        <f t="shared" ref="P45:Q45" si="217">IFERROR(L45/N45,"-")</f>
        <v>30.92941176</v>
      </c>
      <c r="Q45" s="51">
        <f t="shared" si="217"/>
        <v>25.37301587</v>
      </c>
      <c r="R45" s="9">
        <f>IFERROR(__xludf.DUMMYFUNCTION("IFERROR(
  VLOOKUP(
    A45,
    IMPORTRANGE(
      ""1ZHMy3vVUd_0MrSduXTe1etBb1HNpAlGwQr006ljwMiM"",
      ""GSC最新!A:R""
    ),
    8,
    FALSE
  ),
  0
)
"),0.002282236591860023)</f>
        <v>0.002282236592</v>
      </c>
      <c r="S45" s="9">
        <f>IFERROR(__xludf.DUMMYFUNCTION("IFERROR(
  VLOOKUP(
    A45,
    IMPORTRANGE(
      ""1ZHMy3vVUd_0MrSduXTe1etBb1HNpAlGwQr006ljwMiM"",
      ""GSC最新!A:R""
    ),
    11,
    FALSE
  ),
  0
)
"),0.0025023459493274947)</f>
        <v>0.002502345949</v>
      </c>
      <c r="T45" s="9">
        <f>IFERROR(__xludf.DUMMYFUNCTION("IFERROR(
  VLOOKUP(
    A45,
    IMPORTRANGE(
      ""1ZHMy3vVUd_0MrSduXTe1etBb1HNpAlGwQr006ljwMiM"",
      ""GSC最新!A:R""
    ),
    14,
    FALSE
  ),
  0
)
"),0.011764705882352941)</f>
        <v>0.01176470588</v>
      </c>
      <c r="U45" s="9">
        <f>IFERROR(__xludf.DUMMYFUNCTION("IFERROR(
  VLOOKUP(
    A45,
    IMPORTRANGE(
      ""1ZHMy3vVUd_0MrSduXTe1etBb1HNpAlGwQr006ljwMiM"",
      ""GSC最新!A:R""
    ),
    17,
    FALSE
  ),
  0
)
"),0.003968253968253968)</f>
        <v>0.003968253968</v>
      </c>
      <c r="V45" s="9">
        <f t="shared" ref="V45:W45" si="218">IFERROR(R45-T45,"-")</f>
        <v>-0.00948246929</v>
      </c>
      <c r="W45" s="9">
        <f t="shared" si="218"/>
        <v>-0.001465908019</v>
      </c>
      <c r="X45" s="65">
        <f>IFERROR(__xludf.DUMMYFUNCTION("IFERROR(
  VLOOKUP(
    A45,
    IMPORTRANGE(
      ""1ZHMy3vVUd_0MrSduXTe1etBb1HNpAlGwQr006ljwMiM"",
      ""GSC最新!A:R""
    ),
    9,
    FALSE
  ),
  0
)
"),2.413084823126664)</f>
        <v>2.413084823</v>
      </c>
      <c r="Y45" s="65">
        <f>IFERROR(__xludf.DUMMYFUNCTION("IFERROR(
  VLOOKUP(
    A45,
    IMPORTRANGE(
      ""1ZHMy3vVUd_0MrSduXTe1etBb1HNpAlGwQr006ljwMiM"",
      ""GSC最新!A:R""
    ),
    12,
    FALSE
  ),
  0
)
"),2.7345949327494523)</f>
        <v>2.734594933</v>
      </c>
      <c r="Z45" s="65">
        <f>IFERROR(__xludf.DUMMYFUNCTION("IFERROR(
  VLOOKUP(
    A45,
    IMPORTRANGE(
      ""1ZHMy3vVUd_0MrSduXTe1etBb1HNpAlGwQr006ljwMiM"",
      ""GSC最新!A:R""
    ),
    15,
    FALSE
  ),
  0
)
"),13.0)</f>
        <v>13</v>
      </c>
      <c r="AA45" s="65">
        <f>IFERROR(__xludf.DUMMYFUNCTION("IFERROR(
  VLOOKUP(
    A45,
    IMPORTRANGE(
      ""1ZHMy3vVUd_0MrSduXTe1etBb1HNpAlGwQr006ljwMiM"",
      ""GSC最新!A:R""
    ),
    18,
    FALSE
  ),
  0
)
"),17.654761904761905)</f>
        <v>17.6547619</v>
      </c>
      <c r="AB45" s="65">
        <f t="shared" ref="AB45:AC45" si="219">X45-Z45</f>
        <v>-10.58691518</v>
      </c>
      <c r="AC45" s="65">
        <f t="shared" si="219"/>
        <v>-14.92016697</v>
      </c>
      <c r="AD45" s="53">
        <f>IFERROR(__xludf.DUMMYFUNCTION("IFERROR(
  VLOOKUP(
    A45,
    IMPORTRANGE(
      ""1ZHMy3vVUd_0MrSduXTe1etBb1HNpAlGwQr006ljwMiM"",
      ""GSC最新!A:F""
    ),
    6,
    FALSE
  ),
  0
)
"),46081.0)</f>
        <v>46081</v>
      </c>
      <c r="AE45" s="54">
        <f>IFERROR(__xludf.DUMMYFUNCTION("IFERROR(
  VLOOKUP(
    A45,
    IMPORTRANGE(
      ""1SCYQd7_cobOYqT0r_F0IqD4tE4rYn5y8Eup4PJTH8es"",
      ""Snapshot!A:M""
    ),
    5,
    FALSE
  ),
  ""-""
)
"),2.0)</f>
        <v>2</v>
      </c>
      <c r="AF45" s="54">
        <f>IFERROR(__xludf.DUMMYFUNCTION("IFERROR(
  VLOOKUP(
    A45,
    IMPORTRANGE(
      ""1SCYQd7_cobOYqT0r_F0IqD4tE4rYn5y8Eup4PJTH8es"",
      ""Snapshot!A:M""
    ),
    6,
    FALSE
  ),
  0
)
"),0.0)</f>
        <v>0</v>
      </c>
      <c r="AG45" s="54">
        <f>IFERROR(__xludf.DUMMYFUNCTION("IFERROR(
  VLOOKUP(
    A45,
    IMPORTRANGE(
      ""1SCYQd7_cobOYqT0r_F0IqD4tE4rYn5y8Eup4PJTH8es"",
      ""Snapshot!A:M""
    ),
    7,
    FALSE
  ),
  0
)
"),11401.0)</f>
        <v>11401</v>
      </c>
      <c r="AH45" s="54">
        <f>IFERROR(__xludf.DUMMYFUNCTION("IFERROR(
  VLOOKUP(
    A45,
    IMPORTRANGE(
      ""1SCYQd7_cobOYqT0r_F0IqD4tE4rYn5y8Eup4PJTH8es"",
      ""Snapshot!A:M""
    ),
    8,
    FALSE
  ),
  0
)
"),3.0)</f>
        <v>3</v>
      </c>
      <c r="AI45" s="54">
        <f>IFERROR(__xludf.DUMMYFUNCTION("IFERROR(
  VLOOKUP(
    A45,
    IMPORTRANGE(
      ""1SCYQd7_cobOYqT0r_F0IqD4tE4rYn5y8Eup4PJTH8es"",
      ""Snapshot!A:M""
    ),
    9,
    FALSE
  ),
  0
)
"),2.0)</f>
        <v>2</v>
      </c>
      <c r="AJ45" s="54">
        <f>IFERROR(__xludf.DUMMYFUNCTION("IFERROR(
  VLOOKUP(
    A45,
    IMPORTRANGE(
      ""1SCYQd7_cobOYqT0r_F0IqD4tE4rYn5y8Eup4PJTH8es"",
      ""Snapshot!A:M""
    ),
    13,
    FALSE
  ),
  0
)
"),1.0)</f>
        <v>1</v>
      </c>
      <c r="AK45" s="49">
        <f t="shared" ref="AK45:AL45" si="220">LEN(C45)</f>
        <v>78</v>
      </c>
      <c r="AL45" s="49">
        <f t="shared" si="220"/>
        <v>53</v>
      </c>
    </row>
    <row r="46">
      <c r="A46" s="3" t="s">
        <v>988</v>
      </c>
      <c r="B46" s="1" t="str">
        <f>IFERROR(__xludf.DUMMYFUNCTION("IFERROR(
  VLOOKUP(
    A46,
    IMPORTRANGE(
      ""1ZygntHC1J6IxzKbTidmOyf5nUyW4GCLurHCjexrLm_o"",
      ""HTMLキャッシュ!A:F""
    ),
    2,
    FALSE
  ),
  0
)
"),"MC")</f>
        <v>MC</v>
      </c>
      <c r="C46" s="1" t="str">
        <f>IFERROR(__xludf.DUMMYFUNCTION("IFERROR(
  VLOOKUP(
    A46,
    IMPORTRANGE(
      ""1ZygntHC1J6IxzKbTidmOyf5nUyW4GCLurHCjexrLm_o"",
      ""HTMLキャッシュ!A:F""
    ),
    5,
    FALSE
  ),
  0
)
"),"現在完了形 継続｜訳し方とfor/since｜中2英語")</f>
        <v>現在完了形 継続｜訳し方とfor/since｜中2英語</v>
      </c>
      <c r="D46" s="1" t="str">
        <f>IFERROR(__xludf.DUMMYFUNCTION("IFERROR(
  VLOOKUP(
    A46,
    IMPORTRANGE(
      ""1ZygntHC1J6IxzKbTidmOyf5nUyW4GCLurHCjexrLm_o        "",
      ""HTMLキャッシュ!A:F""
    ),
    6,
    FALSE
  ),
  0
)
"),"現在完了形の継続の訳し方を整理。for＋期間、since＋起点、since節、How long、last year/ago不可もクイズで確認。中2英語。")</f>
        <v>現在完了形の継続の訳し方を整理。for＋期間、since＋起点、since節、How long、last year/ago不可もクイズで確認。中2英語。</v>
      </c>
      <c r="E46" s="32">
        <f>IFERROR(__xludf.DUMMYFUNCTION("IFERROR(
  VLOOKUP(
    A46,
    IMPORTRANGE(
      ""1ZygntHC1J6IxzKbTidmOyf5nUyW4GCLurHCjexrLm_o        "",
      ""HTMLキャッシュ!A:F""
    ),
    3,
    FALSE
  ),
  0
)
"),46056.6606712963)</f>
        <v>46056.66067</v>
      </c>
      <c r="F46" s="49">
        <f>IFERROR(__xludf.DUMMYFUNCTION("IFERROR(
  VLOOKUP(
    A46,
    IMPORTRANGE(
      ""1ZHMy3vVUd_0MrSduXTe1etBb1HNpAlGwQr006ljwMiM"",
      ""GSC最新!A:F""
    ),
    2,
    FALSE
  ),
  0
)
"),10.0)</f>
        <v>10</v>
      </c>
      <c r="G46" s="49">
        <f>IFERROR(__xludf.DUMMYFUNCTION("IFERROR(
  VLOOKUP(
    A46,
    IMPORTRANGE(
      ""1ZHMy3vVUd_0MrSduXTe1etBb1HNpAlGwQr006ljwMiM"",
      ""GSC最新!A:F""
    ),
    3,
    FALSE
  ),
  0
)
"),16.0)</f>
        <v>16</v>
      </c>
      <c r="H46" s="49">
        <f>IFERROR(__xludf.DUMMYFUNCTION("IFERROR(
  VLOOKUP(
    A46,
    IMPORTRANGE(
      ""1ZHMy3vVUd_0MrSduXTe1etBb1HNpAlGwQr006ljwMiM"",
      ""GSC最新!A:F""
    ),
    4,
    FALSE
  ),
  0
)
"),0.0)</f>
        <v>0</v>
      </c>
      <c r="I46" s="49">
        <f>IFERROR(__xludf.DUMMYFUNCTION("IFERROR(
  VLOOKUP(
    A46,
    IMPORTRANGE(
      ""1ZHMy3vVUd_0MrSduXTe1etBb1HNpAlGwQr006ljwMiM"",
      ""GSC最新!A:F""
    ),
    5,
    FALSE
  ),
  0
)
"),2.0)</f>
        <v>2</v>
      </c>
      <c r="J46" s="50" t="str">
        <f t="shared" ref="J46:K46" si="221">IFERROR(F46/H46,"-")</f>
        <v>-</v>
      </c>
      <c r="K46" s="50">
        <f t="shared" si="221"/>
        <v>8</v>
      </c>
      <c r="L46" s="6">
        <f>IFERROR(__xludf.DUMMYFUNCTION("IFERROR(
  VLOOKUP(
    A46,
    IMPORTRANGE(
      ""1ZHMy3vVUd_0MrSduXTe1etBb1HNpAlGwQr006ljwMiM"",
      ""GSC最新!A:R""
    ),
    7,
    FALSE
  ),
  0
)
"),1749.0)</f>
        <v>1749</v>
      </c>
      <c r="M46" s="6">
        <f>IFERROR(__xludf.DUMMYFUNCTION("IFERROR(
  VLOOKUP(
    A46,
    IMPORTRANGE(
      ""1ZHMy3vVUd_0MrSduXTe1etBb1HNpAlGwQr006ljwMiM"",
      ""GSC最新!A:R""
    ),
    10,
    FALSE
  ),
  0
)
"),3599.0)</f>
        <v>3599</v>
      </c>
      <c r="N46" s="6">
        <f>IFERROR(__xludf.DUMMYFUNCTION("IFERROR(
  VLOOKUP(
    A46,
    IMPORTRANGE(
      ""1ZHMy3vVUd_0MrSduXTe1etBb1HNpAlGwQr006ljwMiM"",
      ""GSC最新!A:R""
    ),
    13,
    FALSE
  ),
  0
)
"),44.0)</f>
        <v>44</v>
      </c>
      <c r="O46" s="6">
        <f>IFERROR(__xludf.DUMMYFUNCTION("IFERROR(
  VLOOKUP(
    A46,
    IMPORTRANGE(
      ""1ZHMy3vVUd_0MrSduXTe1etBb1HNpAlGwQr006ljwMiM"",
      ""GSC最新!A:R""
    ),
    16,
    FALSE
  ),
  0
)
"),88.0)</f>
        <v>88</v>
      </c>
      <c r="P46" s="51">
        <f t="shared" ref="P46:Q46" si="222">IFERROR(L46/N46,"-")</f>
        <v>39.75</v>
      </c>
      <c r="Q46" s="51">
        <f t="shared" si="222"/>
        <v>40.89772727</v>
      </c>
      <c r="R46" s="9">
        <f>IFERROR(__xludf.DUMMYFUNCTION("IFERROR(
  VLOOKUP(
    A46,
    IMPORTRANGE(
      ""1ZHMy3vVUd_0MrSduXTe1etBb1HNpAlGwQr006ljwMiM"",
      ""GSC最新!A:R""
    ),
    8,
    FALSE
  ),
  0
)
"),0.005717552887364208)</f>
        <v>0.005717552887</v>
      </c>
      <c r="S46" s="9">
        <f>IFERROR(__xludf.DUMMYFUNCTION("IFERROR(
  VLOOKUP(
    A46,
    IMPORTRANGE(
      ""1ZHMy3vVUd_0MrSduXTe1etBb1HNpAlGwQr006ljwMiM"",
      ""GSC最新!A:R""
    ),
    11,
    FALSE
  ),
  0
)
"),0.004445679355376493)</f>
        <v>0.004445679355</v>
      </c>
      <c r="T46" s="9">
        <f>IFERROR(__xludf.DUMMYFUNCTION("IFERROR(
  VLOOKUP(
    A46,
    IMPORTRANGE(
      ""1ZHMy3vVUd_0MrSduXTe1etBb1HNpAlGwQr006ljwMiM"",
      ""GSC最新!A:R""
    ),
    14,
    FALSE
  ),
  0
)
"),0.0)</f>
        <v>0</v>
      </c>
      <c r="U46" s="9">
        <f>IFERROR(__xludf.DUMMYFUNCTION("IFERROR(
  VLOOKUP(
    A46,
    IMPORTRANGE(
      ""1ZHMy3vVUd_0MrSduXTe1etBb1HNpAlGwQr006ljwMiM"",
      ""GSC最新!A:R""
    ),
    17,
    FALSE
  ),
  0
)
"),0.022727272727272728)</f>
        <v>0.02272727273</v>
      </c>
      <c r="V46" s="9">
        <f t="shared" ref="V46:W46" si="223">IFERROR(R46-T46,"-")</f>
        <v>0.005717552887</v>
      </c>
      <c r="W46" s="9">
        <f t="shared" si="223"/>
        <v>-0.01828159337</v>
      </c>
      <c r="X46" s="65">
        <f>IFERROR(__xludf.DUMMYFUNCTION("IFERROR(
  VLOOKUP(
    A46,
    IMPORTRANGE(
      ""1ZHMy3vVUd_0MrSduXTe1etBb1HNpAlGwQr006ljwMiM"",
      ""GSC最新!A:R""
    ),
    9,
    FALSE
  ),
  0
)
"),4.553459119496855)</f>
        <v>4.553459119</v>
      </c>
      <c r="Y46" s="65">
        <f>IFERROR(__xludf.DUMMYFUNCTION("IFERROR(
  VLOOKUP(
    A46,
    IMPORTRANGE(
      ""1ZHMy3vVUd_0MrSduXTe1etBb1HNpAlGwQr006ljwMiM"",
      ""GSC最新!A:R""
    ),
    12,
    FALSE
  ),
  0
)
"),5.069741594887469)</f>
        <v>5.069741595</v>
      </c>
      <c r="Z46" s="65">
        <f>IFERROR(__xludf.DUMMYFUNCTION("IFERROR(
  VLOOKUP(
    A46,
    IMPORTRANGE(
      ""1ZHMy3vVUd_0MrSduXTe1etBb1HNpAlGwQr006ljwMiM"",
      ""GSC最新!A:R""
    ),
    15,
    FALSE
  ),
  0
)
"),12.295454545454545)</f>
        <v>12.29545455</v>
      </c>
      <c r="AA46" s="65">
        <f>IFERROR(__xludf.DUMMYFUNCTION("IFERROR(
  VLOOKUP(
    A46,
    IMPORTRANGE(
      ""1ZHMy3vVUd_0MrSduXTe1etBb1HNpAlGwQr006ljwMiM"",
      ""GSC最新!A:R""
    ),
    18,
    FALSE
  ),
  0
)
"),21.886363636363637)</f>
        <v>21.88636364</v>
      </c>
      <c r="AB46" s="65">
        <f t="shared" ref="AB46:AC46" si="224">X46-Z46</f>
        <v>-7.741995426</v>
      </c>
      <c r="AC46" s="65">
        <f t="shared" si="224"/>
        <v>-16.81662204</v>
      </c>
      <c r="AD46" s="53">
        <f>IFERROR(__xludf.DUMMYFUNCTION("IFERROR(
  VLOOKUP(
    A46,
    IMPORTRANGE(
      ""1ZHMy3vVUd_0MrSduXTe1etBb1HNpAlGwQr006ljwMiM"",
      ""GSC最新!A:F""
    ),
    6,
    FALSE
  ),
  0
)
"),46081.0)</f>
        <v>46081</v>
      </c>
      <c r="AE46" s="54">
        <f>IFERROR(__xludf.DUMMYFUNCTION("IFERROR(
  VLOOKUP(
    A46,
    IMPORTRANGE(
      ""1SCYQd7_cobOYqT0r_F0IqD4tE4rYn5y8Eup4PJTH8es"",
      ""Snapshot!A:M""
    ),
    5,
    FALSE
  ),
  ""-""
)
"),0.0)</f>
        <v>0</v>
      </c>
      <c r="AF46" s="54">
        <f>IFERROR(__xludf.DUMMYFUNCTION("IFERROR(
  VLOOKUP(
    A46,
    IMPORTRANGE(
      ""1SCYQd7_cobOYqT0r_F0IqD4tE4rYn5y8Eup4PJTH8es"",
      ""Snapshot!A:M""
    ),
    6,
    FALSE
  ),
  0
)
"),0.0)</f>
        <v>0</v>
      </c>
      <c r="AG46" s="54">
        <f>IFERROR(__xludf.DUMMYFUNCTION("IFERROR(
  VLOOKUP(
    A46,
    IMPORTRANGE(
      ""1SCYQd7_cobOYqT0r_F0IqD4tE4rYn5y8Eup4PJTH8es"",
      ""Snapshot!A:M""
    ),
    7,
    FALSE
  ),
  0
)
"),5063.0)</f>
        <v>5063</v>
      </c>
      <c r="AH46" s="54">
        <f>IFERROR(__xludf.DUMMYFUNCTION("IFERROR(
  VLOOKUP(
    A46,
    IMPORTRANGE(
      ""1SCYQd7_cobOYqT0r_F0IqD4tE4rYn5y8Eup4PJTH8es"",
      ""Snapshot!A:M""
    ),
    8,
    FALSE
  ),
  0
)
"),3.0)</f>
        <v>3</v>
      </c>
      <c r="AI46" s="54">
        <f>IFERROR(__xludf.DUMMYFUNCTION("IFERROR(
  VLOOKUP(
    A46,
    IMPORTRANGE(
      ""1SCYQd7_cobOYqT0r_F0IqD4tE4rYn5y8Eup4PJTH8es"",
      ""Snapshot!A:M""
    ),
    9,
    FALSE
  ),
  0
)
"),2.0)</f>
        <v>2</v>
      </c>
      <c r="AJ46" s="54">
        <f>IFERROR(__xludf.DUMMYFUNCTION("IFERROR(
  VLOOKUP(
    A46,
    IMPORTRANGE(
      ""1SCYQd7_cobOYqT0r_F0IqD4tE4rYn5y8Eup4PJTH8es"",
      ""Snapshot!A:M""
    ),
    13,
    FALSE
  ),
  0
)
"),1.0)</f>
        <v>1</v>
      </c>
      <c r="AK46" s="49">
        <f t="shared" ref="AK46:AL46" si="225">LEN(C46)</f>
        <v>27</v>
      </c>
      <c r="AL46" s="49">
        <f t="shared" si="225"/>
        <v>76</v>
      </c>
    </row>
    <row r="47">
      <c r="A47" s="3" t="s">
        <v>989</v>
      </c>
      <c r="B47" s="1" t="str">
        <f>IFERROR(__xludf.DUMMYFUNCTION("IFERROR(
  VLOOKUP(
    A47,
    IMPORTRANGE(
      ""1ZygntHC1J6IxzKbTidmOyf5nUyW4GCLurHCjexrLm_o"",
      ""HTMLキャッシュ!A:F""
    ),
    2,
    FALSE
  ),
  0
)
"),"MC")</f>
        <v>MC</v>
      </c>
      <c r="C47" s="1" t="str">
        <f>IFERROR(__xludf.DUMMYFUNCTION("IFERROR(
  VLOOKUP(
    A47,
    IMPORTRANGE(
      ""1ZygntHC1J6IxzKbTidmOyf5nUyW4GCLurHCjexrLm_o"",
      ""HTMLキャッシュ!A:F""
    ),
    5,
    FALSE
  ),
  0
)
"),"知覚動詞の使い方｜原形・ing・受動態｜高校英文法")</f>
        <v>知覚動詞の使い方｜原形・ing・受動態｜高校英文法</v>
      </c>
      <c r="D47" s="1" t="str">
        <f>IFERROR(__xludf.DUMMYFUNCTION("IFERROR(
  VLOOKUP(
    A47,
    IMPORTRANGE(
      ""1ZygntHC1J6IxzKbTidmOyf5nUyW4GCLurHCjexrLm_o        "",
      ""HTMLキャッシュ!A:F""
    ),
    6,
    FALSE
  ),
  0
)
"),"知覚動詞の使い方を高校英文法で解説。see/hear/watch/feelの語順、目的語の後ろの原形・ing・過去分詞の違い、受動態でto不定詞になる点を例文とクイズで確認。")</f>
        <v>知覚動詞の使い方を高校英文法で解説。see/hear/watch/feelの語順、目的語の後ろの原形・ing・過去分詞の違い、受動態でto不定詞になる点を例文とクイズで確認。</v>
      </c>
      <c r="E47" s="32">
        <f>IFERROR(__xludf.DUMMYFUNCTION("IFERROR(
  VLOOKUP(
    A47,
    IMPORTRANGE(
      ""1ZygntHC1J6IxzKbTidmOyf5nUyW4GCLurHCjexrLm_o        "",
      ""HTMLキャッシュ!A:F""
    ),
    3,
    FALSE
  ),
  0
)
"),46078.68672453704)</f>
        <v>46078.68672</v>
      </c>
      <c r="F47" s="49">
        <f>IFERROR(__xludf.DUMMYFUNCTION("IFERROR(
  VLOOKUP(
    A47,
    IMPORTRANGE(
      ""1ZHMy3vVUd_0MrSduXTe1etBb1HNpAlGwQr006ljwMiM"",
      ""GSC最新!A:F""
    ),
    2,
    FALSE
  ),
  0
)
"),5.0)</f>
        <v>5</v>
      </c>
      <c r="G47" s="49">
        <f>IFERROR(__xludf.DUMMYFUNCTION("IFERROR(
  VLOOKUP(
    A47,
    IMPORTRANGE(
      ""1ZHMy3vVUd_0MrSduXTe1etBb1HNpAlGwQr006ljwMiM"",
      ""GSC最新!A:F""
    ),
    3,
    FALSE
  ),
  0
)
"),15.0)</f>
        <v>15</v>
      </c>
      <c r="H47" s="49">
        <f>IFERROR(__xludf.DUMMYFUNCTION("IFERROR(
  VLOOKUP(
    A47,
    IMPORTRANGE(
      ""1ZHMy3vVUd_0MrSduXTe1etBb1HNpAlGwQr006ljwMiM"",
      ""GSC最新!A:F""
    ),
    4,
    FALSE
  ),
  0
)
"),5.0)</f>
        <v>5</v>
      </c>
      <c r="I47" s="49">
        <f>IFERROR(__xludf.DUMMYFUNCTION("IFERROR(
  VLOOKUP(
    A47,
    IMPORTRANGE(
      ""1ZHMy3vVUd_0MrSduXTe1etBb1HNpAlGwQr006ljwMiM"",
      ""GSC最新!A:F""
    ),
    5,
    FALSE
  ),
  0
)
"),13.0)</f>
        <v>13</v>
      </c>
      <c r="J47" s="50">
        <f t="shared" ref="J47:K47" si="226">IFERROR(F47/H47,"-")</f>
        <v>1</v>
      </c>
      <c r="K47" s="50">
        <f t="shared" si="226"/>
        <v>1.153846154</v>
      </c>
      <c r="L47" s="6">
        <f>IFERROR(__xludf.DUMMYFUNCTION("IFERROR(
  VLOOKUP(
    A47,
    IMPORTRANGE(
      ""1ZHMy3vVUd_0MrSduXTe1etBb1HNpAlGwQr006ljwMiM"",
      ""GSC最新!A:R""
    ),
    7,
    FALSE
  ),
  0
)
"),1476.0)</f>
        <v>1476</v>
      </c>
      <c r="M47" s="6">
        <f>IFERROR(__xludf.DUMMYFUNCTION("IFERROR(
  VLOOKUP(
    A47,
    IMPORTRANGE(
      ""1ZHMy3vVUd_0MrSduXTe1etBb1HNpAlGwQr006ljwMiM"",
      ""GSC最新!A:R""
    ),
    10,
    FALSE
  ),
  0
)
"),2450.0)</f>
        <v>2450</v>
      </c>
      <c r="N47" s="6">
        <f>IFERROR(__xludf.DUMMYFUNCTION("IFERROR(
  VLOOKUP(
    A47,
    IMPORTRANGE(
      ""1ZHMy3vVUd_0MrSduXTe1etBb1HNpAlGwQr006ljwMiM"",
      ""GSC最新!A:R""
    ),
    13,
    FALSE
  ),
  0
)
"),38.0)</f>
        <v>38</v>
      </c>
      <c r="O47" s="6">
        <f>IFERROR(__xludf.DUMMYFUNCTION("IFERROR(
  VLOOKUP(
    A47,
    IMPORTRANGE(
      ""1ZHMy3vVUd_0MrSduXTe1etBb1HNpAlGwQr006ljwMiM"",
      ""GSC最新!A:R""
    ),
    16,
    FALSE
  ),
  0
)
"),153.0)</f>
        <v>153</v>
      </c>
      <c r="P47" s="51">
        <f t="shared" ref="P47:Q47" si="227">IFERROR(L47/N47,"-")</f>
        <v>38.84210526</v>
      </c>
      <c r="Q47" s="51">
        <f t="shared" si="227"/>
        <v>16.0130719</v>
      </c>
      <c r="R47" s="9">
        <f>IFERROR(__xludf.DUMMYFUNCTION("IFERROR(
  VLOOKUP(
    A47,
    IMPORTRANGE(
      ""1ZHMy3vVUd_0MrSduXTe1etBb1HNpAlGwQr006ljwMiM"",
      ""GSC最新!A:R""
    ),
    8,
    FALSE
  ),
  0
)
"),0.0033875338753387536)</f>
        <v>0.003387533875</v>
      </c>
      <c r="S47" s="9">
        <f>IFERROR(__xludf.DUMMYFUNCTION("IFERROR(
  VLOOKUP(
    A47,
    IMPORTRANGE(
      ""1ZHMy3vVUd_0MrSduXTe1etBb1HNpAlGwQr006ljwMiM"",
      ""GSC最新!A:R""
    ),
    11,
    FALSE
  ),
  0
)
"),0.006122448979591836)</f>
        <v>0.00612244898</v>
      </c>
      <c r="T47" s="9">
        <f>IFERROR(__xludf.DUMMYFUNCTION("IFERROR(
  VLOOKUP(
    A47,
    IMPORTRANGE(
      ""1ZHMy3vVUd_0MrSduXTe1etBb1HNpAlGwQr006ljwMiM"",
      ""GSC最新!A:R""
    ),
    14,
    FALSE
  ),
  0
)
"),0.13157894736842105)</f>
        <v>0.1315789474</v>
      </c>
      <c r="U47" s="9">
        <f>IFERROR(__xludf.DUMMYFUNCTION("IFERROR(
  VLOOKUP(
    A47,
    IMPORTRANGE(
      ""1ZHMy3vVUd_0MrSduXTe1etBb1HNpAlGwQr006ljwMiM"",
      ""GSC最新!A:R""
    ),
    17,
    FALSE
  ),
  0
)
"),0.08496732026143791)</f>
        <v>0.08496732026</v>
      </c>
      <c r="V47" s="9">
        <f t="shared" ref="V47:W47" si="228">IFERROR(R47-T47,"-")</f>
        <v>-0.1281914135</v>
      </c>
      <c r="W47" s="9">
        <f t="shared" si="228"/>
        <v>-0.07884487128</v>
      </c>
      <c r="X47" s="65">
        <f>IFERROR(__xludf.DUMMYFUNCTION("IFERROR(
  VLOOKUP(
    A47,
    IMPORTRANGE(
      ""1ZHMy3vVUd_0MrSduXTe1etBb1HNpAlGwQr006ljwMiM"",
      ""GSC最新!A:R""
    ),
    9,
    FALSE
  ),
  0
)
"),1.6463414634146343)</f>
        <v>1.646341463</v>
      </c>
      <c r="Y47" s="65">
        <f>IFERROR(__xludf.DUMMYFUNCTION("IFERROR(
  VLOOKUP(
    A47,
    IMPORTRANGE(
      ""1ZHMy3vVUd_0MrSduXTe1etBb1HNpAlGwQr006ljwMiM"",
      ""GSC最新!A:R""
    ),
    12,
    FALSE
  ),
  0
)
"),1.7310204081632654)</f>
        <v>1.731020408</v>
      </c>
      <c r="Z47" s="65">
        <f>IFERROR(__xludf.DUMMYFUNCTION("IFERROR(
  VLOOKUP(
    A47,
    IMPORTRANGE(
      ""1ZHMy3vVUd_0MrSduXTe1etBb1HNpAlGwQr006ljwMiM"",
      ""GSC最新!A:R""
    ),
    15,
    FALSE
  ),
  0
)
"),6.7105263157894735)</f>
        <v>6.710526316</v>
      </c>
      <c r="AA47" s="65">
        <f>IFERROR(__xludf.DUMMYFUNCTION("IFERROR(
  VLOOKUP(
    A47,
    IMPORTRANGE(
      ""1ZHMy3vVUd_0MrSduXTe1etBb1HNpAlGwQr006ljwMiM"",
      ""GSC最新!A:R""
    ),
    18,
    FALSE
  ),
  0
)
"),9.300653594771243)</f>
        <v>9.300653595</v>
      </c>
      <c r="AB47" s="65">
        <f t="shared" ref="AB47:AC47" si="229">X47-Z47</f>
        <v>-5.064184852</v>
      </c>
      <c r="AC47" s="65">
        <f t="shared" si="229"/>
        <v>-7.569633187</v>
      </c>
      <c r="AD47" s="53">
        <f>IFERROR(__xludf.DUMMYFUNCTION("IFERROR(
  VLOOKUP(
    A47,
    IMPORTRANGE(
      ""1ZHMy3vVUd_0MrSduXTe1etBb1HNpAlGwQr006ljwMiM"",
      ""GSC最新!A:F""
    ),
    6,
    FALSE
  ),
  0
)
"),46081.0)</f>
        <v>46081</v>
      </c>
      <c r="AE47" s="54">
        <f>IFERROR(__xludf.DUMMYFUNCTION("IFERROR(
  VLOOKUP(
    A47,
    IMPORTRANGE(
      ""1SCYQd7_cobOYqT0r_F0IqD4tE4rYn5y8Eup4PJTH8es"",
      ""Snapshot!A:M""
    ),
    5,
    FALSE
  ),
  ""-""
)
"),2.0)</f>
        <v>2</v>
      </c>
      <c r="AF47" s="54">
        <f>IFERROR(__xludf.DUMMYFUNCTION("IFERROR(
  VLOOKUP(
    A47,
    IMPORTRANGE(
      ""1SCYQd7_cobOYqT0r_F0IqD4tE4rYn5y8Eup4PJTH8es"",
      ""Snapshot!A:M""
    ),
    6,
    FALSE
  ),
  0
)
"),4.0)</f>
        <v>4</v>
      </c>
      <c r="AG47" s="54">
        <f>IFERROR(__xludf.DUMMYFUNCTION("IFERROR(
  VLOOKUP(
    A47,
    IMPORTRANGE(
      ""1SCYQd7_cobOYqT0r_F0IqD4tE4rYn5y8Eup4PJTH8es"",
      ""Snapshot!A:M""
    ),
    7,
    FALSE
  ),
  0
)
"),2968.0)</f>
        <v>2968</v>
      </c>
      <c r="AH47" s="54">
        <f>IFERROR(__xludf.DUMMYFUNCTION("IFERROR(
  VLOOKUP(
    A47,
    IMPORTRANGE(
      ""1SCYQd7_cobOYqT0r_F0IqD4tE4rYn5y8Eup4PJTH8es"",
      ""Snapshot!A:M""
    ),
    8,
    FALSE
  ),
  0
)
"),4.0)</f>
        <v>4</v>
      </c>
      <c r="AI47" s="54">
        <f>IFERROR(__xludf.DUMMYFUNCTION("IFERROR(
  VLOOKUP(
    A47,
    IMPORTRANGE(
      ""1SCYQd7_cobOYqT0r_F0IqD4tE4rYn5y8Eup4PJTH8es"",
      ""Snapshot!A:M""
    ),
    9,
    FALSE
  ),
  0
)
"),3.0)</f>
        <v>3</v>
      </c>
      <c r="AJ47" s="54">
        <f>IFERROR(__xludf.DUMMYFUNCTION("IFERROR(
  VLOOKUP(
    A47,
    IMPORTRANGE(
      ""1SCYQd7_cobOYqT0r_F0IqD4tE4rYn5y8Eup4PJTH8es"",
      ""Snapshot!A:M""
    ),
    13,
    FALSE
  ),
  0
)
"),1.0)</f>
        <v>1</v>
      </c>
      <c r="AK47" s="49">
        <f t="shared" ref="AK47:AL47" si="230">LEN(C47)</f>
        <v>25</v>
      </c>
      <c r="AL47" s="49">
        <f t="shared" si="230"/>
        <v>87</v>
      </c>
    </row>
    <row r="48">
      <c r="A48" s="3" t="s">
        <v>990</v>
      </c>
      <c r="B48" s="1" t="str">
        <f>IFERROR(__xludf.DUMMYFUNCTION("IFERROR(
  VLOOKUP(
    A48,
    IMPORTRANGE(
      ""1ZygntHC1J6IxzKbTidmOyf5nUyW4GCLurHCjexrLm_o"",
      ""HTMLキャッシュ!A:F""
    ),
    2,
    FALSE
  ),
  0
)
"),"MC")</f>
        <v>MC</v>
      </c>
      <c r="C48" s="1" t="str">
        <f>IFERROR(__xludf.DUMMYFUNCTION("IFERROR(
  VLOOKUP(
    A48,
    IMPORTRANGE(
      ""1ZygntHC1J6IxzKbTidmOyf5nUyW4GCLurHCjexrLm_o"",
      ""HTMLキャッシュ!A:F""
    ),
    5,
    FALSE
  ),
  0
)
"),"STAGE3 Lesson4-2受動態の発展(復習/助動詞を含む)【ニュートレジャーの道案内】 - 受験英語専門ゼミ「Re-Write」(リライト)")</f>
        <v>STAGE3 Lesson4-2受動態の発展(復習/助動詞を含む)【ニュートレジャーの道案内】 - 受験英語専門ゼミ「Re-Write」(リライト)</v>
      </c>
      <c r="D48" s="1" t="str">
        <f>IFERROR(__xludf.DUMMYFUNCTION("IFERROR(
  VLOOKUP(
    A48,
    IMPORTRANGE(
      ""1ZygntHC1J6IxzKbTidmOyf5nUyW4GCLurHCjexrLm_o        "",
      ""HTMLキャッシュ!A:F""
    ),
    6,
    FALSE
  ),
  0
)
"),"句動詞・知覚動詞・使役動詞の受動態を徹底解説！「take care of」や「make him stand up」の受動態の作り方を学び、スムーズな英作文を目指そう！")</f>
        <v>句動詞・知覚動詞・使役動詞の受動態を徹底解説！「take care of」や「make him stand up」の受動態の作り方を学び、スムーズな英作文を目指そう！</v>
      </c>
      <c r="E48" s="32">
        <f>IFERROR(__xludf.DUMMYFUNCTION("IFERROR(
  VLOOKUP(
    A48,
    IMPORTRANGE(
      ""1ZygntHC1J6IxzKbTidmOyf5nUyW4GCLurHCjexrLm_o        "",
      ""HTMLキャッシュ!A:F""
    ),
    3,
    FALSE
  ),
  0
)
"),46080.819548611114)</f>
        <v>46080.81955</v>
      </c>
      <c r="F48" s="49">
        <f>IFERROR(__xludf.DUMMYFUNCTION("IFERROR(
  VLOOKUP(
    A48,
    IMPORTRANGE(
      ""1ZHMy3vVUd_0MrSduXTe1etBb1HNpAlGwQr006ljwMiM"",
      ""GSC最新!A:F""
    ),
    2,
    FALSE
  ),
  0
)
"),7.0)</f>
        <v>7</v>
      </c>
      <c r="G48" s="49">
        <f>IFERROR(__xludf.DUMMYFUNCTION("IFERROR(
  VLOOKUP(
    A48,
    IMPORTRANGE(
      ""1ZHMy3vVUd_0MrSduXTe1etBb1HNpAlGwQr006ljwMiM"",
      ""GSC最新!A:F""
    ),
    3,
    FALSE
  ),
  0
)
"),16.0)</f>
        <v>16</v>
      </c>
      <c r="H48" s="49">
        <f>IFERROR(__xludf.DUMMYFUNCTION("IFERROR(
  VLOOKUP(
    A48,
    IMPORTRANGE(
      ""1ZHMy3vVUd_0MrSduXTe1etBb1HNpAlGwQr006ljwMiM"",
      ""GSC最新!A:F""
    ),
    4,
    FALSE
  ),
  0
)
"),1.0)</f>
        <v>1</v>
      </c>
      <c r="I48" s="49">
        <f>IFERROR(__xludf.DUMMYFUNCTION("IFERROR(
  VLOOKUP(
    A48,
    IMPORTRANGE(
      ""1ZHMy3vVUd_0MrSduXTe1etBb1HNpAlGwQr006ljwMiM"",
      ""GSC最新!A:F""
    ),
    5,
    FALSE
  ),
  0
)
"),1.0)</f>
        <v>1</v>
      </c>
      <c r="J48" s="50">
        <f t="shared" ref="J48:K48" si="231">IFERROR(F48/H48,"-")</f>
        <v>7</v>
      </c>
      <c r="K48" s="50">
        <f t="shared" si="231"/>
        <v>16</v>
      </c>
      <c r="L48" s="6">
        <f>IFERROR(__xludf.DUMMYFUNCTION("IFERROR(
  VLOOKUP(
    A48,
    IMPORTRANGE(
      ""1ZHMy3vVUd_0MrSduXTe1etBb1HNpAlGwQr006ljwMiM"",
      ""GSC最新!A:R""
    ),
    7,
    FALSE
  ),
  0
)
"),914.0)</f>
        <v>914</v>
      </c>
      <c r="M48" s="6">
        <f>IFERROR(__xludf.DUMMYFUNCTION("IFERROR(
  VLOOKUP(
    A48,
    IMPORTRANGE(
      ""1ZHMy3vVUd_0MrSduXTe1etBb1HNpAlGwQr006ljwMiM"",
      ""GSC最新!A:R""
    ),
    10,
    FALSE
  ),
  0
)
"),1531.0)</f>
        <v>1531</v>
      </c>
      <c r="N48" s="6">
        <f>IFERROR(__xludf.DUMMYFUNCTION("IFERROR(
  VLOOKUP(
    A48,
    IMPORTRANGE(
      ""1ZHMy3vVUd_0MrSduXTe1etBb1HNpAlGwQr006ljwMiM"",
      ""GSC最新!A:R""
    ),
    13,
    FALSE
  ),
  0
)
"),24.0)</f>
        <v>24</v>
      </c>
      <c r="O48" s="6">
        <f>IFERROR(__xludf.DUMMYFUNCTION("IFERROR(
  VLOOKUP(
    A48,
    IMPORTRANGE(
      ""1ZHMy3vVUd_0MrSduXTe1etBb1HNpAlGwQr006ljwMiM"",
      ""GSC最新!A:R""
    ),
    16,
    FALSE
  ),
  0
)
"),133.0)</f>
        <v>133</v>
      </c>
      <c r="P48" s="51">
        <f t="shared" ref="P48:Q48" si="232">IFERROR(L48/N48,"-")</f>
        <v>38.08333333</v>
      </c>
      <c r="Q48" s="51">
        <f t="shared" si="232"/>
        <v>11.5112782</v>
      </c>
      <c r="R48" s="9">
        <f>IFERROR(__xludf.DUMMYFUNCTION("IFERROR(
  VLOOKUP(
    A48,
    IMPORTRANGE(
      ""1ZHMy3vVUd_0MrSduXTe1etBb1HNpAlGwQr006ljwMiM"",
      ""GSC最新!A:R""
    ),
    8,
    FALSE
  ),
  0
)
"),0.007658643326039387)</f>
        <v>0.007658643326</v>
      </c>
      <c r="S48" s="9">
        <f>IFERROR(__xludf.DUMMYFUNCTION("IFERROR(
  VLOOKUP(
    A48,
    IMPORTRANGE(
      ""1ZHMy3vVUd_0MrSduXTe1etBb1HNpAlGwQr006ljwMiM"",
      ""GSC最新!A:R""
    ),
    11,
    FALSE
  ),
  0
)
"),0.010450685826257348)</f>
        <v>0.01045068583</v>
      </c>
      <c r="T48" s="9">
        <f>IFERROR(__xludf.DUMMYFUNCTION("IFERROR(
  VLOOKUP(
    A48,
    IMPORTRANGE(
      ""1ZHMy3vVUd_0MrSduXTe1etBb1HNpAlGwQr006ljwMiM"",
      ""GSC最新!A:R""
    ),
    14,
    FALSE
  ),
  0
)
"),0.041666666666666664)</f>
        <v>0.04166666667</v>
      </c>
      <c r="U48" s="9">
        <f>IFERROR(__xludf.DUMMYFUNCTION("IFERROR(
  VLOOKUP(
    A48,
    IMPORTRANGE(
      ""1ZHMy3vVUd_0MrSduXTe1etBb1HNpAlGwQr006ljwMiM"",
      ""GSC最新!A:R""
    ),
    17,
    FALSE
  ),
  0
)
"),0.007518796992481203)</f>
        <v>0.007518796992</v>
      </c>
      <c r="V48" s="9">
        <f t="shared" ref="V48:W48" si="233">IFERROR(R48-T48,"-")</f>
        <v>-0.03400802334</v>
      </c>
      <c r="W48" s="9">
        <f t="shared" si="233"/>
        <v>0.002931888834</v>
      </c>
      <c r="X48" s="65">
        <f>IFERROR(__xludf.DUMMYFUNCTION("IFERROR(
  VLOOKUP(
    A48,
    IMPORTRANGE(
      ""1ZHMy3vVUd_0MrSduXTe1etBb1HNpAlGwQr006ljwMiM"",
      ""GSC最新!A:R""
    ),
    9,
    FALSE
  ),
  0
)
"),1.7253829321663021)</f>
        <v>1.725382932</v>
      </c>
      <c r="Y48" s="65">
        <f>IFERROR(__xludf.DUMMYFUNCTION("IFERROR(
  VLOOKUP(
    A48,
    IMPORTRANGE(
      ""1ZHMy3vVUd_0MrSduXTe1etBb1HNpAlGwQr006ljwMiM"",
      ""GSC最新!A:R""
    ),
    12,
    FALSE
  ),
  0
)
"),2.3657740039190074)</f>
        <v>2.365774004</v>
      </c>
      <c r="Z48" s="65">
        <f>IFERROR(__xludf.DUMMYFUNCTION("IFERROR(
  VLOOKUP(
    A48,
    IMPORTRANGE(
      ""1ZHMy3vVUd_0MrSduXTe1etBb1HNpAlGwQr006ljwMiM"",
      ""GSC最新!A:R""
    ),
    15,
    FALSE
  ),
  0
)
"),9.291666666666666)</f>
        <v>9.291666667</v>
      </c>
      <c r="AA48" s="65">
        <f>IFERROR(__xludf.DUMMYFUNCTION("IFERROR(
  VLOOKUP(
    A48,
    IMPORTRANGE(
      ""1ZHMy3vVUd_0MrSduXTe1etBb1HNpAlGwQr006ljwMiM"",
      ""GSC最新!A:R""
    ),
    18,
    FALSE
  ),
  0
)
"),39.1203007518797)</f>
        <v>39.12030075</v>
      </c>
      <c r="AB48" s="65">
        <f t="shared" ref="AB48:AC48" si="234">X48-Z48</f>
        <v>-7.566283735</v>
      </c>
      <c r="AC48" s="65">
        <f t="shared" si="234"/>
        <v>-36.75452675</v>
      </c>
      <c r="AD48" s="53">
        <f>IFERROR(__xludf.DUMMYFUNCTION("IFERROR(
  VLOOKUP(
    A48,
    IMPORTRANGE(
      ""1ZHMy3vVUd_0MrSduXTe1etBb1HNpAlGwQr006ljwMiM"",
      ""GSC最新!A:F""
    ),
    6,
    FALSE
  ),
  0
)
"),46081.0)</f>
        <v>46081</v>
      </c>
      <c r="AE48" s="54">
        <f>IFERROR(__xludf.DUMMYFUNCTION("IFERROR(
  VLOOKUP(
    A48,
    IMPORTRANGE(
      ""1SCYQd7_cobOYqT0r_F0IqD4tE4rYn5y8Eup4PJTH8es"",
      ""Snapshot!A:M""
    ),
    5,
    FALSE
  ),
  ""-""
)
"),2.0)</f>
        <v>2</v>
      </c>
      <c r="AF48" s="54">
        <f>IFERROR(__xludf.DUMMYFUNCTION("IFERROR(
  VLOOKUP(
    A48,
    IMPORTRANGE(
      ""1SCYQd7_cobOYqT0r_F0IqD4tE4rYn5y8Eup4PJTH8es"",
      ""Snapshot!A:M""
    ),
    6,
    FALSE
  ),
  0
)
"),7.0)</f>
        <v>7</v>
      </c>
      <c r="AG48" s="54">
        <f>IFERROR(__xludf.DUMMYFUNCTION("IFERROR(
  VLOOKUP(
    A48,
    IMPORTRANGE(
      ""1SCYQd7_cobOYqT0r_F0IqD4tE4rYn5y8Eup4PJTH8es"",
      ""Snapshot!A:M""
    ),
    7,
    FALSE
  ),
  0
)
"),5515.0)</f>
        <v>5515</v>
      </c>
      <c r="AH48" s="54">
        <f>IFERROR(__xludf.DUMMYFUNCTION("IFERROR(
  VLOOKUP(
    A48,
    IMPORTRANGE(
      ""1SCYQd7_cobOYqT0r_F0IqD4tE4rYn5y8Eup4PJTH8es"",
      ""Snapshot!A:M""
    ),
    8,
    FALSE
  ),
  0
)
"),3.0)</f>
        <v>3</v>
      </c>
      <c r="AI48" s="54">
        <f>IFERROR(__xludf.DUMMYFUNCTION("IFERROR(
  VLOOKUP(
    A48,
    IMPORTRANGE(
      ""1SCYQd7_cobOYqT0r_F0IqD4tE4rYn5y8Eup4PJTH8es"",
      ""Snapshot!A:M""
    ),
    9,
    FALSE
  ),
  0
)
"),2.0)</f>
        <v>2</v>
      </c>
      <c r="AJ48" s="54">
        <f>IFERROR(__xludf.DUMMYFUNCTION("IFERROR(
  VLOOKUP(
    A48,
    IMPORTRANGE(
      ""1SCYQd7_cobOYqT0r_F0IqD4tE4rYn5y8Eup4PJTH8es"",
      ""Snapshot!A:M""
    ),
    13,
    FALSE
  ),
  0
)
"),1.0)</f>
        <v>1</v>
      </c>
      <c r="AK48" s="49">
        <f t="shared" ref="AK48:AL48" si="235">LEN(C48)</f>
        <v>74</v>
      </c>
      <c r="AL48" s="49">
        <f t="shared" si="235"/>
        <v>83</v>
      </c>
    </row>
    <row r="49">
      <c r="A49" s="3" t="s">
        <v>991</v>
      </c>
      <c r="B49" s="1" t="str">
        <f>IFERROR(__xludf.DUMMYFUNCTION("IFERROR(
  VLOOKUP(
    A49,
    IMPORTRANGE(
      ""1ZygntHC1J6IxzKbTidmOyf5nUyW4GCLurHCjexrLm_o"",
      ""HTMLキャッシュ!A:F""
    ),
    2,
    FALSE
  ),
  0
)
"),"MC")</f>
        <v>MC</v>
      </c>
      <c r="C49" s="1" t="str">
        <f>IFERROR(__xludf.DUMMYFUNCTION("IFERROR(
  VLOOKUP(
    A49,
    IMPORTRANGE(
      ""1ZygntHC1J6IxzKbTidmOyf5nUyW4GCLurHCjexrLm_o"",
      ""HTMLキャッシュ!A:F""
    ),
    5,
    FALSE
  ),
  0
)
"),"the wayと関係副詞howの違いを整理｜併用しない理由・That’s howの訳｜高校英文法（")</f>
        <v>the wayと関係副詞howの違いを整理｜併用しない理由・That’s howの訳｜高校英文法（</v>
      </c>
      <c r="D49" s="1" t="str">
        <f>IFERROR(__xludf.DUMMYFUNCTION("IFERROR(
  VLOOKUP(
    A49,
    IMPORTRANGE(
      ""1ZygntHC1J6IxzKbTidmOyf5nUyW4GCLurHCjexrLm_o        "",
      ""HTMLキャッシュ!A:F""
    ),
    6,
    FALSE
  ),
  0
)
"),"the wayと関係副詞howの関係を整理。意味が重なるため併用しにくい理由を明確化し、That’s how ～は直訳より「そのようにして」で自然に訳すコツを例文で確認。さらに非制限用法（, when／, where）は「そしてその時／そこで」を補う読み方で安定させます。クイズ10問付き。")</f>
        <v>the wayと関係副詞howの関係を整理。意味が重なるため併用しにくい理由を明確化し、That’s how ～は直訳より「そのようにして」で自然に訳すコツを例文で確認。さらに非制限用法（, when／, where）は「そしてその時／そこで」を補う読み方で安定させます。クイズ10問付き。</v>
      </c>
      <c r="E49" s="32">
        <f>IFERROR(__xludf.DUMMYFUNCTION("IFERROR(
  VLOOKUP(
    A49,
    IMPORTRANGE(
      ""1ZygntHC1J6IxzKbTidmOyf5nUyW4GCLurHCjexrLm_o        "",
      ""HTMLキャッシュ!A:F""
    ),
    3,
    FALSE
  ),
  0
)
"),46043.620104166665)</f>
        <v>46043.6201</v>
      </c>
      <c r="F49" s="49">
        <f>IFERROR(__xludf.DUMMYFUNCTION("IFERROR(
  VLOOKUP(
    A49,
    IMPORTRANGE(
      ""1ZHMy3vVUd_0MrSduXTe1etBb1HNpAlGwQr006ljwMiM"",
      ""GSC最新!A:F""
    ),
    2,
    FALSE
  ),
  0
)
"),11.0)</f>
        <v>11</v>
      </c>
      <c r="G49" s="49">
        <f>IFERROR(__xludf.DUMMYFUNCTION("IFERROR(
  VLOOKUP(
    A49,
    IMPORTRANGE(
      ""1ZHMy3vVUd_0MrSduXTe1etBb1HNpAlGwQr006ljwMiM"",
      ""GSC最新!A:F""
    ),
    3,
    FALSE
  ),
  0
)
"),16.0)</f>
        <v>16</v>
      </c>
      <c r="H49" s="49">
        <f>IFERROR(__xludf.DUMMYFUNCTION("IFERROR(
  VLOOKUP(
    A49,
    IMPORTRANGE(
      ""1ZHMy3vVUd_0MrSduXTe1etBb1HNpAlGwQr006ljwMiM"",
      ""GSC最新!A:F""
    ),
    4,
    FALSE
  ),
  0
)
"),0.0)</f>
        <v>0</v>
      </c>
      <c r="I49" s="49">
        <f>IFERROR(__xludf.DUMMYFUNCTION("IFERROR(
  VLOOKUP(
    A49,
    IMPORTRANGE(
      ""1ZHMy3vVUd_0MrSduXTe1etBb1HNpAlGwQr006ljwMiM"",
      ""GSC最新!A:F""
    ),
    5,
    FALSE
  ),
  0
)
"),0.0)</f>
        <v>0</v>
      </c>
      <c r="J49" s="50" t="str">
        <f t="shared" ref="J49:K49" si="236">IFERROR(F49/H49,"-")</f>
        <v>-</v>
      </c>
      <c r="K49" s="50" t="str">
        <f t="shared" si="236"/>
        <v>-</v>
      </c>
      <c r="L49" s="6">
        <f>IFERROR(__xludf.DUMMYFUNCTION("IFERROR(
  VLOOKUP(
    A49,
    IMPORTRANGE(
      ""1ZHMy3vVUd_0MrSduXTe1etBb1HNpAlGwQr006ljwMiM"",
      ""GSC最新!A:R""
    ),
    7,
    FALSE
  ),
  0
)
"),558.0)</f>
        <v>558</v>
      </c>
      <c r="M49" s="6">
        <f>IFERROR(__xludf.DUMMYFUNCTION("IFERROR(
  VLOOKUP(
    A49,
    IMPORTRANGE(
      ""1ZHMy3vVUd_0MrSduXTe1etBb1HNpAlGwQr006ljwMiM"",
      ""GSC最新!A:R""
    ),
    10,
    FALSE
  ),
  0
)
"),1012.0)</f>
        <v>1012</v>
      </c>
      <c r="N49" s="6">
        <f>IFERROR(__xludf.DUMMYFUNCTION("IFERROR(
  VLOOKUP(
    A49,
    IMPORTRANGE(
      ""1ZHMy3vVUd_0MrSduXTe1etBb1HNpAlGwQr006ljwMiM"",
      ""GSC最新!A:R""
    ),
    13,
    FALSE
  ),
  0
)
"),0.0)</f>
        <v>0</v>
      </c>
      <c r="O49" s="6">
        <f>IFERROR(__xludf.DUMMYFUNCTION("IFERROR(
  VLOOKUP(
    A49,
    IMPORTRANGE(
      ""1ZHMy3vVUd_0MrSduXTe1etBb1HNpAlGwQr006ljwMiM"",
      ""GSC最新!A:R""
    ),
    16,
    FALSE
  ),
  0
)
"),13.0)</f>
        <v>13</v>
      </c>
      <c r="P49" s="51" t="str">
        <f t="shared" ref="P49:Q49" si="237">IFERROR(L49/N49,"-")</f>
        <v>-</v>
      </c>
      <c r="Q49" s="51">
        <f t="shared" si="237"/>
        <v>77.84615385</v>
      </c>
      <c r="R49" s="9">
        <f>IFERROR(__xludf.DUMMYFUNCTION("IFERROR(
  VLOOKUP(
    A49,
    IMPORTRANGE(
      ""1ZHMy3vVUd_0MrSduXTe1etBb1HNpAlGwQr006ljwMiM"",
      ""GSC最新!A:R""
    ),
    8,
    FALSE
  ),
  0
)
"),0.01971326164874552)</f>
        <v>0.01971326165</v>
      </c>
      <c r="S49" s="9">
        <f>IFERROR(__xludf.DUMMYFUNCTION("IFERROR(
  VLOOKUP(
    A49,
    IMPORTRANGE(
      ""1ZHMy3vVUd_0MrSduXTe1etBb1HNpAlGwQr006ljwMiM"",
      ""GSC最新!A:R""
    ),
    11,
    FALSE
  ),
  0
)
"),0.015810276679841896)</f>
        <v>0.01581027668</v>
      </c>
      <c r="T49" s="9">
        <f>IFERROR(__xludf.DUMMYFUNCTION("IFERROR(
  VLOOKUP(
    A49,
    IMPORTRANGE(
      ""1ZHMy3vVUd_0MrSduXTe1etBb1HNpAlGwQr006ljwMiM"",
      ""GSC最新!A:R""
    ),
    14,
    FALSE
  ),
  0
)
"),0.0)</f>
        <v>0</v>
      </c>
      <c r="U49" s="9">
        <f>IFERROR(__xludf.DUMMYFUNCTION("IFERROR(
  VLOOKUP(
    A49,
    IMPORTRANGE(
      ""1ZHMy3vVUd_0MrSduXTe1etBb1HNpAlGwQr006ljwMiM"",
      ""GSC最新!A:R""
    ),
    17,
    FALSE
  ),
  0
)
"),0.0)</f>
        <v>0</v>
      </c>
      <c r="V49" s="9">
        <f t="shared" ref="V49:W49" si="238">IFERROR(R49-T49,"-")</f>
        <v>0.01971326165</v>
      </c>
      <c r="W49" s="9">
        <f t="shared" si="238"/>
        <v>0.01581027668</v>
      </c>
      <c r="X49" s="65">
        <f>IFERROR(__xludf.DUMMYFUNCTION("IFERROR(
  VLOOKUP(
    A49,
    IMPORTRANGE(
      ""1ZHMy3vVUd_0MrSduXTe1etBb1HNpAlGwQr006ljwMiM"",
      ""GSC最新!A:R""
    ),
    9,
    FALSE
  ),
  0
)
"),4.974910394265233)</f>
        <v>4.974910394</v>
      </c>
      <c r="Y49" s="65">
        <f>IFERROR(__xludf.DUMMYFUNCTION("IFERROR(
  VLOOKUP(
    A49,
    IMPORTRANGE(
      ""1ZHMy3vVUd_0MrSduXTe1etBb1HNpAlGwQr006ljwMiM"",
      ""GSC最新!A:R""
    ),
    12,
    FALSE
  ),
  0
)
"),4.936758893280633)</f>
        <v>4.936758893</v>
      </c>
      <c r="Z49" s="65" t="str">
        <f>IFERROR(__xludf.DUMMYFUNCTION("IFERROR(
  VLOOKUP(
    A49,
    IMPORTRANGE(
      ""1ZHMy3vVUd_0MrSduXTe1etBb1HNpAlGwQr006ljwMiM"",
      ""GSC最新!A:R""
    ),
    15,
    FALSE
  ),
  0
)
"),"")</f>
        <v/>
      </c>
      <c r="AA49" s="65">
        <f>IFERROR(__xludf.DUMMYFUNCTION("IFERROR(
  VLOOKUP(
    A49,
    IMPORTRANGE(
      ""1ZHMy3vVUd_0MrSduXTe1etBb1HNpAlGwQr006ljwMiM"",
      ""GSC最新!A:R""
    ),
    18,
    FALSE
  ),
  0
)
"),6.615384615384615)</f>
        <v>6.615384615</v>
      </c>
      <c r="AB49" s="65">
        <f t="shared" ref="AB49:AC49" si="239">X49-Z49</f>
        <v>4.974910394</v>
      </c>
      <c r="AC49" s="65">
        <f t="shared" si="239"/>
        <v>-1.678625722</v>
      </c>
      <c r="AD49" s="53">
        <f>IFERROR(__xludf.DUMMYFUNCTION("IFERROR(
  VLOOKUP(
    A49,
    IMPORTRANGE(
      ""1ZHMy3vVUd_0MrSduXTe1etBb1HNpAlGwQr006ljwMiM"",
      ""GSC最新!A:F""
    ),
    6,
    FALSE
  ),
  0
)
"),46081.0)</f>
        <v>46081</v>
      </c>
      <c r="AE49" s="54">
        <f>IFERROR(__xludf.DUMMYFUNCTION("IFERROR(
  VLOOKUP(
    A49,
    IMPORTRANGE(
      ""1SCYQd7_cobOYqT0r_F0IqD4tE4rYn5y8Eup4PJTH8es"",
      ""Snapshot!A:M""
    ),
    5,
    FALSE
  ),
  ""-""
)
"),2.0)</f>
        <v>2</v>
      </c>
      <c r="AF49" s="54">
        <f>IFERROR(__xludf.DUMMYFUNCTION("IFERROR(
  VLOOKUP(
    A49,
    IMPORTRANGE(
      ""1SCYQd7_cobOYqT0r_F0IqD4tE4rYn5y8Eup4PJTH8es"",
      ""Snapshot!A:M""
    ),
    6,
    FALSE
  ),
  0
)
"),10.0)</f>
        <v>10</v>
      </c>
      <c r="AG49" s="54">
        <f>IFERROR(__xludf.DUMMYFUNCTION("IFERROR(
  VLOOKUP(
    A49,
    IMPORTRANGE(
      ""1SCYQd7_cobOYqT0r_F0IqD4tE4rYn5y8Eup4PJTH8es"",
      ""Snapshot!A:M""
    ),
    7,
    FALSE
  ),
  0
)
"),3894.0)</f>
        <v>3894</v>
      </c>
      <c r="AH49" s="54">
        <f>IFERROR(__xludf.DUMMYFUNCTION("IFERROR(
  VLOOKUP(
    A49,
    IMPORTRANGE(
      ""1SCYQd7_cobOYqT0r_F0IqD4tE4rYn5y8Eup4PJTH8es"",
      ""Snapshot!A:M""
    ),
    8,
    FALSE
  ),
  0
)
"),3.0)</f>
        <v>3</v>
      </c>
      <c r="AI49" s="54">
        <f>IFERROR(__xludf.DUMMYFUNCTION("IFERROR(
  VLOOKUP(
    A49,
    IMPORTRANGE(
      ""1SCYQd7_cobOYqT0r_F0IqD4tE4rYn5y8Eup4PJTH8es"",
      ""Snapshot!A:M""
    ),
    9,
    FALSE
  ),
  0
)
"),2.0)</f>
        <v>2</v>
      </c>
      <c r="AJ49" s="54">
        <f>IFERROR(__xludf.DUMMYFUNCTION("IFERROR(
  VLOOKUP(
    A49,
    IMPORTRANGE(
      ""1SCYQd7_cobOYqT0r_F0IqD4tE4rYn5y8Eup4PJTH8es"",
      ""Snapshot!A:M""
    ),
    13,
    FALSE
  ),
  0
)
"),1.0)</f>
        <v>1</v>
      </c>
      <c r="AK49" s="49">
        <f t="shared" ref="AK49:AL49" si="240">LEN(C49)</f>
        <v>49</v>
      </c>
      <c r="AL49" s="49">
        <f t="shared" si="240"/>
        <v>145</v>
      </c>
    </row>
    <row r="50">
      <c r="A50" s="3" t="s">
        <v>992</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"),"stage1_Lesson10-4 助動詞(may/mustの色々な用法)【ニュートレジャーの道案内】 - 受験英語専門ゼミ「Re-Write」(リライト)")</f>
        <v>stage1_Lesson10-4 助動詞(may/mustの色々な用法)【ニュートレジャーの道案内】 - 受験英語専門ゼミ「Re-Write」(リライト)</v>
      </c>
      <c r="D50" s="1" t="str">
        <f>IFERROR(__xludf.DUMMYFUNCTION("IFERROR(
  VLOOKUP(
    A50,
    IMPORTRANGE(
      ""1ZygntHC1J6IxzKbTidmOyf5nUyW4GCLurHCjexrLm_o        "",
      ""HTMLキャッシュ!A:F""
    ),
    6,
    FALSE
  ),
  0
)
"),"それでは Lesson10 セクション4 の学習を進めていきましょう。 NEW TREASURE STA")</f>
        <v>それでは Lesson10 セクション4 の学習を進めていきましょう。 NEW TREASURE STA</v>
      </c>
      <c r="E50" s="32">
        <f>IFERROR(__xludf.DUMMYFUNCTION("IFERROR(
  VLOOKUP(
    A50,
    IMPORTRANGE(
      ""1ZygntHC1J6IxzKbTidmOyf5nUyW4GCLurHCjexrLm_o        "",
      ""HTMLキャッシュ!A:F""
    ),
    3,
    FALSE
  ),
  0
)
"),46043.58903935185)</f>
        <v>46043.58904</v>
      </c>
      <c r="F50" s="49">
        <f>IFERROR(__xludf.DUMMYFUNCTION("IFERROR(
  VLOOKUP(
    A50,
    IMPORTRANGE(
      ""1ZHMy3vVUd_0MrSduXTe1etBb1HNpAlGwQr006ljwMiM"",
      ""GSC最新!A:F""
    ),
    2,
    FALSE
  ),
  0
)
"),8.0)</f>
        <v>8</v>
      </c>
      <c r="G50" s="49">
        <f>IFERROR(__xludf.DUMMYFUNCTION("IFERROR(
  VLOOKUP(
    A50,
    IMPORTRANGE(
      ""1ZHMy3vVUd_0MrSduXTe1etBb1HNpAlGwQr006ljwMiM"",
      ""GSC最新!A:F""
    ),
    3,
    FALSE
  ),
  0
)
"),14.0)</f>
        <v>14</v>
      </c>
      <c r="H50" s="49">
        <f>IFERROR(__xludf.DUMMYFUNCTION("IFERROR(
  VLOOKUP(
    A50,
    IMPORTRANGE(
      ""1ZHMy3vVUd_0MrSduXTe1etBb1HNpAlGwQr006ljwMiM"",
      ""GSC最新!A:F""
    ),
    4,
    FALSE
  ),
  0
)
"),3.0)</f>
        <v>3</v>
      </c>
      <c r="I50" s="49">
        <f>IFERROR(__xludf.DUMMYFUNCTION("IFERROR(
  VLOOKUP(
    A50,
    IMPORTRANGE(
      ""1ZHMy3vVUd_0MrSduXTe1etBb1HNpAlGwQr006ljwMiM"",
      ""GSC最新!A:F""
    ),
    5,
    FALSE
  ),
  0
)
"),5.0)</f>
        <v>5</v>
      </c>
      <c r="J50" s="50">
        <f t="shared" ref="J50:K50" si="241">IFERROR(F50/H50,"-")</f>
        <v>2.666666667</v>
      </c>
      <c r="K50" s="50">
        <f t="shared" si="241"/>
        <v>2.8</v>
      </c>
      <c r="L50" s="6">
        <f>IFERROR(__xludf.DUMMYFUNCTION("IFERROR(
  VLOOKUP(
    A50,
    IMPORTRANGE(
      ""1ZHMy3vVUd_0MrSduXTe1etBb1HNpAlGwQr006ljwMiM"",
      ""GSC最新!A:R""
    ),
    7,
    FALSE
  ),
  0
)
"),2489.0)</f>
        <v>2489</v>
      </c>
      <c r="M50" s="6">
        <f>IFERROR(__xludf.DUMMYFUNCTION("IFERROR(
  VLOOKUP(
    A50,
    IMPORTRANGE(
      ""1ZHMy3vVUd_0MrSduXTe1etBb1HNpAlGwQr006ljwMiM"",
      ""GSC最新!A:R""
    ),
    10,
    FALSE
  ),
  0
)
"),6250.0)</f>
        <v>6250</v>
      </c>
      <c r="N50" s="6">
        <f>IFERROR(__xludf.DUMMYFUNCTION("IFERROR(
  VLOOKUP(
    A50,
    IMPORTRANGE(
      ""1ZHMy3vVUd_0MrSduXTe1etBb1HNpAlGwQr006ljwMiM"",
      ""GSC最新!A:R""
    ),
    13,
    FALSE
  ),
  0
)
"),76.0)</f>
        <v>76</v>
      </c>
      <c r="O50" s="6">
        <f>IFERROR(__xludf.DUMMYFUNCTION("IFERROR(
  VLOOKUP(
    A50,
    IMPORTRANGE(
      ""1ZHMy3vVUd_0MrSduXTe1etBb1HNpAlGwQr006ljwMiM"",
      ""GSC最新!A:R""
    ),
    16,
    FALSE
  ),
  0
)
"),135.0)</f>
        <v>135</v>
      </c>
      <c r="P50" s="51">
        <f t="shared" ref="P50:Q50" si="242">IFERROR(L50/N50,"-")</f>
        <v>32.75</v>
      </c>
      <c r="Q50" s="51">
        <f t="shared" si="242"/>
        <v>46.2962963</v>
      </c>
      <c r="R50" s="9">
        <f>IFERROR(__xludf.DUMMYFUNCTION("IFERROR(
  VLOOKUP(
    A50,
    IMPORTRANGE(
      ""1ZHMy3vVUd_0MrSduXTe1etBb1HNpAlGwQr006ljwMiM"",
      ""GSC最新!A:R""
    ),
    8,
    FALSE
  ),
  0
)
"),0.0032141422257934912)</f>
        <v>0.003214142226</v>
      </c>
      <c r="S50" s="9">
        <f>IFERROR(__xludf.DUMMYFUNCTION("IFERROR(
  VLOOKUP(
    A50,
    IMPORTRANGE(
      ""1ZHMy3vVUd_0MrSduXTe1etBb1HNpAlGwQr006ljwMiM"",
      ""GSC最新!A:R""
    ),
    11,
    FALSE
  ),
  0
)
"),0.00224)</f>
        <v>0.00224</v>
      </c>
      <c r="T50" s="9">
        <f>IFERROR(__xludf.DUMMYFUNCTION("IFERROR(
  VLOOKUP(
    A50,
    IMPORTRANGE(
      ""1ZHMy3vVUd_0MrSduXTe1etBb1HNpAlGwQr006ljwMiM"",
      ""GSC最新!A:R""
    ),
    14,
    FALSE
  ),
  0
)
"),0.039473684210526314)</f>
        <v>0.03947368421</v>
      </c>
      <c r="U50" s="9">
        <f>IFERROR(__xludf.DUMMYFUNCTION("IFERROR(
  VLOOKUP(
    A50,
    IMPORTRANGE(
      ""1ZHMy3vVUd_0MrSduXTe1etBb1HNpAlGwQr006ljwMiM"",
      ""GSC最新!A:R""
    ),
    17,
    FALSE
  ),
  0
)
"),0.037037037037037035)</f>
        <v>0.03703703704</v>
      </c>
      <c r="V50" s="9">
        <f t="shared" ref="V50:W50" si="243">IFERROR(R50-T50,"-")</f>
        <v>-0.03625954198</v>
      </c>
      <c r="W50" s="9">
        <f t="shared" si="243"/>
        <v>-0.03479703704</v>
      </c>
      <c r="X50" s="65">
        <f>IFERROR(__xludf.DUMMYFUNCTION("IFERROR(
  VLOOKUP(
    A50,
    IMPORTRANGE(
      ""1ZHMy3vVUd_0MrSduXTe1etBb1HNpAlGwQr006ljwMiM"",
      ""GSC最新!A:R""
    ),
    9,
    FALSE
  ),
  0
)
"),4.64965849738851)</f>
        <v>4.649658497</v>
      </c>
      <c r="Y50" s="65">
        <f>IFERROR(__xludf.DUMMYFUNCTION("IFERROR(
  VLOOKUP(
    A50,
    IMPORTRANGE(
      ""1ZHMy3vVUd_0MrSduXTe1etBb1HNpAlGwQr006ljwMiM"",
      ""GSC最新!A:R""
    ),
    12,
    FALSE
  ),
  0
)
"),4.55616)</f>
        <v>4.55616</v>
      </c>
      <c r="Z50" s="65">
        <f>IFERROR(__xludf.DUMMYFUNCTION("IFERROR(
  VLOOKUP(
    A50,
    IMPORTRANGE(
      ""1ZHMy3vVUd_0MrSduXTe1etBb1HNpAlGwQr006ljwMiM"",
      ""GSC最新!A:R""
    ),
    15,
    FALSE
  ),
  0
)
"),8.210526315789473)</f>
        <v>8.210526316</v>
      </c>
      <c r="AA50" s="65">
        <f>IFERROR(__xludf.DUMMYFUNCTION("IFERROR(
  VLOOKUP(
    A50,
    IMPORTRANGE(
      ""1ZHMy3vVUd_0MrSduXTe1etBb1HNpAlGwQr006ljwMiM"",
      ""GSC最新!A:R""
    ),
    18,
    FALSE
  ),
  0
)
"),12.62962962962963)</f>
        <v>12.62962963</v>
      </c>
      <c r="AB50" s="65">
        <f t="shared" ref="AB50:AC50" si="244">X50-Z50</f>
        <v>-3.560867818</v>
      </c>
      <c r="AC50" s="65">
        <f t="shared" si="244"/>
        <v>-8.07346963</v>
      </c>
      <c r="AD50" s="53">
        <f>IFERROR(__xludf.DUMMYFUNCTION("IFERROR(
  VLOOKUP(
    A50,
    IMPORTRANGE(
      ""1ZHMy3vVUd_0MrSduXTe1etBb1HNpAlGwQr006ljwMiM"",
      ""GSC最新!A:F""
    ),
    6,
    FALSE
  ),
  0
)
"),46081.0)</f>
        <v>46081</v>
      </c>
      <c r="AE50" s="54">
        <f>IFERROR(__xludf.DUMMYFUNCTION("IFERROR(
  VLOOKUP(
    A50,
    IMPORTRANGE(
      ""1SCYQd7_cobOYqT0r_F0IqD4tE4rYn5y8Eup4PJTH8es"",
      ""Snapshot!A:M""
    ),
    5,
    FALSE
  ),
  ""-""
)
"),2.0)</f>
        <v>2</v>
      </c>
      <c r="AF50" s="54">
        <f>IFERROR(__xludf.DUMMYFUNCTION("IFERROR(
  VLOOKUP(
    A50,
    IMPORTRANGE(
      ""1SCYQd7_cobOYqT0r_F0IqD4tE4rYn5y8Eup4PJTH8es"",
      ""Snapshot!A:M""
    ),
    6,
    FALSE
  ),
  0
)
"),0.0)</f>
        <v>0</v>
      </c>
      <c r="AG50" s="54">
        <f>IFERROR(__xludf.DUMMYFUNCTION("IFERROR(
  VLOOKUP(
    A50,
    IMPORTRANGE(
      ""1SCYQd7_cobOYqT0r_F0IqD4tE4rYn5y8Eup4PJTH8es"",
      ""Snapshot!A:M""
    ),
    7,
    FALSE
  ),
  0
)
"),6712.0)</f>
        <v>6712</v>
      </c>
      <c r="AH50" s="54">
        <f>IFERROR(__xludf.DUMMYFUNCTION("IFERROR(
  VLOOKUP(
    A50,
    IMPORTRANGE(
      ""1SCYQd7_cobOYqT0r_F0IqD4tE4rYn5y8Eup4PJTH8es"",
      ""Snapshot!A:M""
    ),
    8,
    FALSE
  ),
  0
)
"),3.0)</f>
        <v>3</v>
      </c>
      <c r="AI50" s="54">
        <f>IFERROR(__xludf.DUMMYFUNCTION("IFERROR(
  VLOOKUP(
    A50,
    IMPORTRANGE(
      ""1SCYQd7_cobOYqT0r_F0IqD4tE4rYn5y8Eup4PJTH8es"",
      ""Snapshot!A:M""
    ),
    9,
    FALSE
  ),
  0
)
"),2.0)</f>
        <v>2</v>
      </c>
      <c r="AJ50" s="54">
        <f>IFERROR(__xludf.DUMMYFUNCTION("IFERROR(
  VLOOKUP(
    A50,
    IMPORTRANGE(
      ""1SCYQd7_cobOYqT0r_F0IqD4tE4rYn5y8Eup4PJTH8es"",
      ""Snapshot!A:M""
    ),
    13,
    FALSE
  ),
  0
)
"),1.0)</f>
        <v>1</v>
      </c>
      <c r="AK50" s="49">
        <f t="shared" ref="AK50:AL50" si="245">LEN(C50)</f>
        <v>78</v>
      </c>
      <c r="AL50" s="49">
        <f t="shared" si="245"/>
        <v>52</v>
      </c>
    </row>
    <row r="51">
      <c r="A51" s="3" t="s">
        <v>993</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"),"There is/There areの違い｜is/areの決め方と不可算名詞｜中1英語（NEW TREASURE Stage1）")</f>
        <v>There is/There areの違い｜is/areの決め方と不可算名詞｜中1英語（NEW TREASURE Stage1）</v>
      </c>
      <c r="D51" s="1" t="str">
        <f>IFERROR(__xludf.DUMMYFUNCTION("IFERROR(
  VLOOKUP(
    A51,
    IMPORTRANGE(
      ""1ZygntHC1J6IxzKbTidmOyf5nUyW4GCLurHCjexrLm_o        "",
      ""HTMLキャッシュ!A:F""
    ),
    6,
    FALSE
  ),
  0
)
"),"There is/There areで一番多い失点は、is/are（was/were）を名詞で決められないこと。不可算名詞（milk など）は単数扱い、a lot of があっても名詞を見て判断します。There は訳さない注意点、in/on/at など場所表現も整理。まとめ表＋クイズ10問で確認まで。")</f>
        <v>There is/There areで一番多い失点は、is/are（was/were）を名詞で決められないこと。不可算名詞（milk など）は単数扱い、a lot of があっても名詞を見て判断します。There は訳さない注意点、in/on/at など場所表現も整理。まとめ表＋クイズ10問で確認まで。</v>
      </c>
      <c r="E51" s="32">
        <f>IFERROR(__xludf.DUMMYFUNCTION("IFERROR(
  VLOOKUP(
    A51,
    IMPORTRANGE(
      ""1ZygntHC1J6IxzKbTidmOyf5nUyW4GCLurHCjexrLm_o        "",
      ""HTMLキャッシュ!A:F""
    ),
    3,
    FALSE
  ),
  0
)
"),46043.590162037035)</f>
        <v>46043.59016</v>
      </c>
      <c r="F51" s="49">
        <f>IFERROR(__xludf.DUMMYFUNCTION("IFERROR(
  VLOOKUP(
    A51,
    IMPORTRANGE(
      ""1ZHMy3vVUd_0MrSduXTe1etBb1HNpAlGwQr006ljwMiM"",
      ""GSC最新!A:F""
    ),
    2,
    FALSE
  ),
  0
)
"),7.0)</f>
        <v>7</v>
      </c>
      <c r="G51" s="49">
        <f>IFERROR(__xludf.DUMMYFUNCTION("IFERROR(
  VLOOKUP(
    A51,
    IMPORTRANGE(
      ""1ZHMy3vVUd_0MrSduXTe1etBb1HNpAlGwQr006ljwMiM"",
      ""GSC最新!A:F""
    ),
    3,
    FALSE
  ),
  0
)
"),15.0)</f>
        <v>15</v>
      </c>
      <c r="H51" s="49">
        <f>IFERROR(__xludf.DUMMYFUNCTION("IFERROR(
  VLOOKUP(
    A51,
    IMPORTRANGE(
      ""1ZHMy3vVUd_0MrSduXTe1etBb1HNpAlGwQr006ljwMiM"",
      ""GSC最新!A:F""
    ),
    4,
    FALSE
  ),
  0
)
"),0.0)</f>
        <v>0</v>
      </c>
      <c r="I51" s="49">
        <f>IFERROR(__xludf.DUMMYFUNCTION("IFERROR(
  VLOOKUP(
    A51,
    IMPORTRANGE(
      ""1ZHMy3vVUd_0MrSduXTe1etBb1HNpAlGwQr006ljwMiM"",
      ""GSC最新!A:F""
    ),
    5,
    FALSE
  ),
  0
)
"),2.0)</f>
        <v>2</v>
      </c>
      <c r="J51" s="50" t="str">
        <f t="shared" ref="J51:K51" si="246">IFERROR(F51/H51,"-")</f>
        <v>-</v>
      </c>
      <c r="K51" s="50">
        <f t="shared" si="246"/>
        <v>7.5</v>
      </c>
      <c r="L51" s="6">
        <f>IFERROR(__xludf.DUMMYFUNCTION("IFERROR(
  VLOOKUP(
    A51,
    IMPORTRANGE(
      ""1ZHMy3vVUd_0MrSduXTe1etBb1HNpAlGwQr006ljwMiM"",
      ""GSC最新!A:R""
    ),
    7,
    FALSE
  ),
  0
)
"),1761.0)</f>
        <v>1761</v>
      </c>
      <c r="M51" s="6">
        <f>IFERROR(__xludf.DUMMYFUNCTION("IFERROR(
  VLOOKUP(
    A51,
    IMPORTRANGE(
      ""1ZHMy3vVUd_0MrSduXTe1etBb1HNpAlGwQr006ljwMiM"",
      ""GSC最新!A:R""
    ),
    10,
    FALSE
  ),
  0
)
"),3100.0)</f>
        <v>3100</v>
      </c>
      <c r="N51" s="6">
        <f>IFERROR(__xludf.DUMMYFUNCTION("IFERROR(
  VLOOKUP(
    A51,
    IMPORTRANGE(
      ""1ZHMy3vVUd_0MrSduXTe1etBb1HNpAlGwQr006ljwMiM"",
      ""GSC最新!A:R""
    ),
    13,
    FALSE
  ),
  0
)
"),89.0)</f>
        <v>89</v>
      </c>
      <c r="O51" s="6">
        <f>IFERROR(__xludf.DUMMYFUNCTION("IFERROR(
  VLOOKUP(
    A51,
    IMPORTRANGE(
      ""1ZHMy3vVUd_0MrSduXTe1etBb1HNpAlGwQr006ljwMiM"",
      ""GSC最新!A:R""
    ),
    16,
    FALSE
  ),
  0
)
"),229.0)</f>
        <v>229</v>
      </c>
      <c r="P51" s="51">
        <f t="shared" ref="P51:Q51" si="247">IFERROR(L51/N51,"-")</f>
        <v>19.78651685</v>
      </c>
      <c r="Q51" s="51">
        <f t="shared" si="247"/>
        <v>13.5371179</v>
      </c>
      <c r="R51" s="9">
        <f>IFERROR(__xludf.DUMMYFUNCTION("IFERROR(
  VLOOKUP(
    A51,
    IMPORTRANGE(
      ""1ZHMy3vVUd_0MrSduXTe1etBb1HNpAlGwQr006ljwMiM"",
      ""GSC最新!A:R""
    ),
    8,
    FALSE
  ),
  0
)
"),0.003975014196479273)</f>
        <v>0.003975014196</v>
      </c>
      <c r="S51" s="9">
        <f>IFERROR(__xludf.DUMMYFUNCTION("IFERROR(
  VLOOKUP(
    A51,
    IMPORTRANGE(
      ""1ZHMy3vVUd_0MrSduXTe1etBb1HNpAlGwQr006ljwMiM"",
      ""GSC最新!A:R""
    ),
    11,
    FALSE
  ),
  0
)
"),0.004838709677419355)</f>
        <v>0.004838709677</v>
      </c>
      <c r="T51" s="9">
        <f>IFERROR(__xludf.DUMMYFUNCTION("IFERROR(
  VLOOKUP(
    A51,
    IMPORTRANGE(
      ""1ZHMy3vVUd_0MrSduXTe1etBb1HNpAlGwQr006ljwMiM"",
      ""GSC最新!A:R""
    ),
    14,
    FALSE
  ),
  0
)
"),0.0)</f>
        <v>0</v>
      </c>
      <c r="U51" s="9">
        <f>IFERROR(__xludf.DUMMYFUNCTION("IFERROR(
  VLOOKUP(
    A51,
    IMPORTRANGE(
      ""1ZHMy3vVUd_0MrSduXTe1etBb1HNpAlGwQr006ljwMiM"",
      ""GSC最新!A:R""
    ),
    17,
    FALSE
  ),
  0
)
"),0.008733624454148471)</f>
        <v>0.008733624454</v>
      </c>
      <c r="V51" s="9">
        <f t="shared" ref="V51:W51" si="248">IFERROR(R51-T51,"-")</f>
        <v>0.003975014196</v>
      </c>
      <c r="W51" s="9">
        <f t="shared" si="248"/>
        <v>-0.003894914777</v>
      </c>
      <c r="X51" s="65">
        <f>IFERROR(__xludf.DUMMYFUNCTION("IFERROR(
  VLOOKUP(
    A51,
    IMPORTRANGE(
      ""1ZHMy3vVUd_0MrSduXTe1etBb1HNpAlGwQr006ljwMiM"",
      ""GSC最新!A:R""
    ),
    9,
    FALSE
  ),
  0
)
"),7.830777967064168)</f>
        <v>7.830777967</v>
      </c>
      <c r="Y51" s="65">
        <f>IFERROR(__xludf.DUMMYFUNCTION("IFERROR(
  VLOOKUP(
    A51,
    IMPORTRANGE(
      ""1ZHMy3vVUd_0MrSduXTe1etBb1HNpAlGwQr006ljwMiM"",
      ""GSC最新!A:R""
    ),
    12,
    FALSE
  ),
  0
)
"),7.065161290322581)</f>
        <v>7.06516129</v>
      </c>
      <c r="Z51" s="65">
        <f>IFERROR(__xludf.DUMMYFUNCTION("IFERROR(
  VLOOKUP(
    A51,
    IMPORTRANGE(
      ""1ZHMy3vVUd_0MrSduXTe1etBb1HNpAlGwQr006ljwMiM"",
      ""GSC最新!A:R""
    ),
    15,
    FALSE
  ),
  0
)
"),12.0)</f>
        <v>12</v>
      </c>
      <c r="AA51" s="65">
        <f>IFERROR(__xludf.DUMMYFUNCTION("IFERROR(
  VLOOKUP(
    A51,
    IMPORTRANGE(
      ""1ZHMy3vVUd_0MrSduXTe1etBb1HNpAlGwQr006ljwMiM"",
      ""GSC最新!A:R""
    ),
    18,
    FALSE
  ),
  0
)
"),24.048034934497817)</f>
        <v>24.04803493</v>
      </c>
      <c r="AB51" s="65">
        <f t="shared" ref="AB51:AC51" si="249">X51-Z51</f>
        <v>-4.169222033</v>
      </c>
      <c r="AC51" s="65">
        <f t="shared" si="249"/>
        <v>-16.98287364</v>
      </c>
      <c r="AD51" s="53">
        <f>IFERROR(__xludf.DUMMYFUNCTION("IFERROR(
  VLOOKUP(
    A51,
    IMPORTRANGE(
      ""1ZHMy3vVUd_0MrSduXTe1etBb1HNpAlGwQr006ljwMiM"",
      ""GSC最新!A:F""
    ),
    6,
    FALSE
  ),
  0
)
"),46081.0)</f>
        <v>46081</v>
      </c>
      <c r="AE51" s="54">
        <f>IFERROR(__xludf.DUMMYFUNCTION("IFERROR(
  VLOOKUP(
    A51,
    IMPORTRANGE(
      ""1SCYQd7_cobOYqT0r_F0IqD4tE4rYn5y8Eup4PJTH8es"",
      ""Snapshot!A:M""
    ),
    5,
    FALSE
  ),
  ""-""
)
"),2.0)</f>
        <v>2</v>
      </c>
      <c r="AF51" s="54">
        <f>IFERROR(__xludf.DUMMYFUNCTION("IFERROR(
  VLOOKUP(
    A51,
    IMPORTRANGE(
      ""1SCYQd7_cobOYqT0r_F0IqD4tE4rYn5y8Eup4PJTH8es"",
      ""Snapshot!A:M""
    ),
    6,
    FALSE
  ),
  0
)
"),0.0)</f>
        <v>0</v>
      </c>
      <c r="AG51" s="54">
        <f>IFERROR(__xludf.DUMMYFUNCTION("IFERROR(
  VLOOKUP(
    A51,
    IMPORTRANGE(
      ""1SCYQd7_cobOYqT0r_F0IqD4tE4rYn5y8Eup4PJTH8es"",
      ""Snapshot!A:M""
    ),
    7,
    FALSE
  ),
  0
)
"),4145.0)</f>
        <v>4145</v>
      </c>
      <c r="AH51" s="54">
        <f>IFERROR(__xludf.DUMMYFUNCTION("IFERROR(
  VLOOKUP(
    A51,
    IMPORTRANGE(
      ""1SCYQd7_cobOYqT0r_F0IqD4tE4rYn5y8Eup4PJTH8es"",
      ""Snapshot!A:M""
    ),
    8,
    FALSE
  ),
  0
)
"),2.0)</f>
        <v>2</v>
      </c>
      <c r="AI51" s="54">
        <f>IFERROR(__xludf.DUMMYFUNCTION("IFERROR(
  VLOOKUP(
    A51,
    IMPORTRANGE(
      ""1SCYQd7_cobOYqT0r_F0IqD4tE4rYn5y8Eup4PJTH8es"",
      ""Snapshot!A:M""
    ),
    9,
    FALSE
  ),
  0
)
"),1.0)</f>
        <v>1</v>
      </c>
      <c r="AJ51" s="54">
        <f>IFERROR(__xludf.DUMMYFUNCTION("IFERROR(
  VLOOKUP(
    A51,
    IMPORTRANGE(
      ""1SCYQd7_cobOYqT0r_F0IqD4tE4rYn5y8Eup4PJTH8es"",
      ""Snapshot!A:M""
    ),
    13,
    FALSE
  ),
  0
)
"),1.0)</f>
        <v>1</v>
      </c>
      <c r="AK51" s="49">
        <f t="shared" ref="AK51:AL51" si="250">LEN(C51)</f>
        <v>64</v>
      </c>
      <c r="AL51" s="49">
        <f t="shared" si="250"/>
        <v>152</v>
      </c>
    </row>
    <row r="52">
      <c r="A52" s="3" t="s">
        <v>994</v>
      </c>
      <c r="B52" s="1" t="str">
        <f>IFERROR(__xludf.DUMMYFUNCTION("IFERROR(
  VLOOKUP(
    A52,
    IMPORTRANGE(
      ""1ZygntHC1J6IxzKbTidmOyf5nUyW4GCLurHCjexrLm_o"",
      ""HTMLキャッシュ!A:F""
    ),
    2,
    FALSE
  ),
  0
)
"),"MC")</f>
        <v>MC</v>
      </c>
      <c r="C52" s="1" t="str">
        <f>IFERROR(__xludf.DUMMYFUNCTION("IFERROR(
  VLOOKUP(
    A52,
    IMPORTRANGE(
      ""1ZygntHC1J6IxzKbTidmOyf5nUyW4GCLurHCjexrLm_o"",
      ""HTMLキャッシュ!A:F""
    ),
    5,
    FALSE
  ),
  0
)
"),"stage1_Lesson12-1 比較(原級を用いた比較)【ニュートレジャーの道案内】 - 受験英語専門ゼミ「Re-Write」(リライト)")</f>
        <v>stage1_Lesson12-1 比較(原級を用いた比較)【ニュートレジャーの道案内】 - 受験英語専門ゼミ「Re-Write」(リライト)</v>
      </c>
      <c r="D52" s="1" t="str">
        <f>IFERROR(__xludf.DUMMYFUNCTION("IFERROR(
  VLOOKUP(
    A52,
    IMPORTRANGE(
      ""1ZygntHC1J6IxzKbTidmOyf5nUyW4GCLurHCjexrLm_o        "",
      ""HTMLキャッシュ!A:F""
    ),
    6,
    FALSE
  ),
  0
)
"),"それでは Lesson12 セクション1 を進めていきましょう。 NEW TREASURE STAGE1")</f>
        <v>それでは Lesson12 セクション1 を進めていきましょう。 NEW TREASURE STAGE1</v>
      </c>
      <c r="E52" s="32">
        <f>IFERROR(__xludf.DUMMYFUNCTION("IFERROR(
  VLOOKUP(
    A52,
    IMPORTRANGE(
      ""1ZygntHC1J6IxzKbTidmOyf5nUyW4GCLurHCjexrLm_o        "",
      ""HTMLキャッシュ!A:F""
    ),
    3,
    FALSE
  ),
  0
)
"),46043.59033564815)</f>
        <v>46043.59034</v>
      </c>
      <c r="F52" s="49">
        <f>IFERROR(__xludf.DUMMYFUNCTION("IFERROR(
  VLOOKUP(
    A52,
    IMPORTRANGE(
      ""1ZHMy3vVUd_0MrSduXTe1etBb1HNpAlGwQr006ljwMiM"",
      ""GSC最新!A:F""
    ),
    2,
    FALSE
  ),
  0
)
"),8.0)</f>
        <v>8</v>
      </c>
      <c r="G52" s="49">
        <f>IFERROR(__xludf.DUMMYFUNCTION("IFERROR(
  VLOOKUP(
    A52,
    IMPORTRANGE(
      ""1ZHMy3vVUd_0MrSduXTe1etBb1HNpAlGwQr006ljwMiM"",
      ""GSC最新!A:F""
    ),
    3,
    FALSE
  ),
  0
)
"),15.0)</f>
        <v>15</v>
      </c>
      <c r="H52" s="49">
        <f>IFERROR(__xludf.DUMMYFUNCTION("IFERROR(
  VLOOKUP(
    A52,
    IMPORTRANGE(
      ""1ZHMy3vVUd_0MrSduXTe1etBb1HNpAlGwQr006ljwMiM"",
      ""GSC最新!A:F""
    ),
    4,
    FALSE
  ),
  0
)
"),1.0)</f>
        <v>1</v>
      </c>
      <c r="I52" s="49">
        <f>IFERROR(__xludf.DUMMYFUNCTION("IFERROR(
  VLOOKUP(
    A52,
    IMPORTRANGE(
      ""1ZHMy3vVUd_0MrSduXTe1etBb1HNpAlGwQr006ljwMiM"",
      ""GSC最新!A:F""
    ),
    5,
    FALSE
  ),
  0
)
"),4.0)</f>
        <v>4</v>
      </c>
      <c r="J52" s="50">
        <f t="shared" ref="J52:K52" si="251">IFERROR(F52/H52,"-")</f>
        <v>8</v>
      </c>
      <c r="K52" s="50">
        <f t="shared" si="251"/>
        <v>3.75</v>
      </c>
      <c r="L52" s="6">
        <f>IFERROR(__xludf.DUMMYFUNCTION("IFERROR(
  VLOOKUP(
    A52,
    IMPORTRANGE(
      ""1ZHMy3vVUd_0MrSduXTe1etBb1HNpAlGwQr006ljwMiM"",
      ""GSC最新!A:R""
    ),
    7,
    FALSE
  ),
  0
)
"),949.0)</f>
        <v>949</v>
      </c>
      <c r="M52" s="6">
        <f>IFERROR(__xludf.DUMMYFUNCTION("IFERROR(
  VLOOKUP(
    A52,
    IMPORTRANGE(
      ""1ZHMy3vVUd_0MrSduXTe1etBb1HNpAlGwQr006ljwMiM"",
      ""GSC最新!A:R""
    ),
    10,
    FALSE
  ),
  0
)
"),1953.0)</f>
        <v>1953</v>
      </c>
      <c r="N52" s="6">
        <f>IFERROR(__xludf.DUMMYFUNCTION("IFERROR(
  VLOOKUP(
    A52,
    IMPORTRANGE(
      ""1ZHMy3vVUd_0MrSduXTe1etBb1HNpAlGwQr006ljwMiM"",
      ""GSC最新!A:R""
    ),
    13,
    FALSE
  ),
  0
)
"),92.0)</f>
        <v>92</v>
      </c>
      <c r="O52" s="6">
        <f>IFERROR(__xludf.DUMMYFUNCTION("IFERROR(
  VLOOKUP(
    A52,
    IMPORTRANGE(
      ""1ZHMy3vVUd_0MrSduXTe1etBb1HNpAlGwQr006ljwMiM"",
      ""GSC最新!A:R""
    ),
    16,
    FALSE
  ),
  0
)
"),347.0)</f>
        <v>347</v>
      </c>
      <c r="P52" s="51">
        <f t="shared" ref="P52:Q52" si="252">IFERROR(L52/N52,"-")</f>
        <v>10.31521739</v>
      </c>
      <c r="Q52" s="51">
        <f t="shared" si="252"/>
        <v>5.628242075</v>
      </c>
      <c r="R52" s="9">
        <f>IFERROR(__xludf.DUMMYFUNCTION("IFERROR(
  VLOOKUP(
    A52,
    IMPORTRANGE(
      ""1ZHMy3vVUd_0MrSduXTe1etBb1HNpAlGwQr006ljwMiM"",
      ""GSC最新!A:R""
    ),
    8,
    FALSE
  ),
  0
)
"),0.008429926238145416)</f>
        <v>0.008429926238</v>
      </c>
      <c r="S52" s="9">
        <f>IFERROR(__xludf.DUMMYFUNCTION("IFERROR(
  VLOOKUP(
    A52,
    IMPORTRANGE(
      ""1ZHMy3vVUd_0MrSduXTe1etBb1HNpAlGwQr006ljwMiM"",
      ""GSC最新!A:R""
    ),
    11,
    FALSE
  ),
  0
)
"),0.007680491551459293)</f>
        <v>0.007680491551</v>
      </c>
      <c r="T52" s="9">
        <f>IFERROR(__xludf.DUMMYFUNCTION("IFERROR(
  VLOOKUP(
    A52,
    IMPORTRANGE(
      ""1ZHMy3vVUd_0MrSduXTe1etBb1HNpAlGwQr006ljwMiM"",
      ""GSC最新!A:R""
    ),
    14,
    FALSE
  ),
  0
)
"),0.010869565217391304)</f>
        <v>0.01086956522</v>
      </c>
      <c r="U52" s="9">
        <f>IFERROR(__xludf.DUMMYFUNCTION("IFERROR(
  VLOOKUP(
    A52,
    IMPORTRANGE(
      ""1ZHMy3vVUd_0MrSduXTe1etBb1HNpAlGwQr006ljwMiM"",
      ""GSC最新!A:R""
    ),
    17,
    FALSE
  ),
  0
)
"),0.011527377521613832)</f>
        <v>0.01152737752</v>
      </c>
      <c r="V52" s="9">
        <f t="shared" ref="V52:W52" si="253">IFERROR(R52-T52,"-")</f>
        <v>-0.002439638979</v>
      </c>
      <c r="W52" s="9">
        <f t="shared" si="253"/>
        <v>-0.00384688597</v>
      </c>
      <c r="X52" s="65">
        <f>IFERROR(__xludf.DUMMYFUNCTION("IFERROR(
  VLOOKUP(
    A52,
    IMPORTRANGE(
      ""1ZHMy3vVUd_0MrSduXTe1etBb1HNpAlGwQr006ljwMiM"",
      ""GSC最新!A:R""
    ),
    9,
    FALSE
  ),
  0
)
"),3.2233930453108535)</f>
        <v>3.223393045</v>
      </c>
      <c r="Y52" s="65">
        <f>IFERROR(__xludf.DUMMYFUNCTION("IFERROR(
  VLOOKUP(
    A52,
    IMPORTRANGE(
      ""1ZHMy3vVUd_0MrSduXTe1etBb1HNpAlGwQr006ljwMiM"",
      ""GSC最新!A:R""
    ),
    12,
    FALSE
  ),
  0
)
"),3.2201740911418333)</f>
        <v>3.220174091</v>
      </c>
      <c r="Z52" s="65">
        <f>IFERROR(__xludf.DUMMYFUNCTION("IFERROR(
  VLOOKUP(
    A52,
    IMPORTRANGE(
      ""1ZHMy3vVUd_0MrSduXTe1etBb1HNpAlGwQr006ljwMiM"",
      ""GSC最新!A:R""
    ),
    15,
    FALSE
  ),
  0
)
"),9.565217391304348)</f>
        <v>9.565217391</v>
      </c>
      <c r="AA52" s="65">
        <f>IFERROR(__xludf.DUMMYFUNCTION("IFERROR(
  VLOOKUP(
    A52,
    IMPORTRANGE(
      ""1ZHMy3vVUd_0MrSduXTe1etBb1HNpAlGwQr006ljwMiM"",
      ""GSC最新!A:R""
    ),
    18,
    FALSE
  ),
  0
)
"),20.397694524495677)</f>
        <v>20.39769452</v>
      </c>
      <c r="AB52" s="65">
        <f t="shared" ref="AB52:AC52" si="254">X52-Z52</f>
        <v>-6.341824346</v>
      </c>
      <c r="AC52" s="65">
        <f t="shared" si="254"/>
        <v>-17.17752043</v>
      </c>
      <c r="AD52" s="53">
        <f>IFERROR(__xludf.DUMMYFUNCTION("IFERROR(
  VLOOKUP(
    A52,
    IMPORTRANGE(
      ""1ZHMy3vVUd_0MrSduXTe1etBb1HNpAlGwQr006ljwMiM"",
      ""GSC最新!A:F""
    ),
    6,
    FALSE
  ),
  0
)
"),46081.0)</f>
        <v>46081</v>
      </c>
      <c r="AE52" s="54">
        <f>IFERROR(__xludf.DUMMYFUNCTION("IFERROR(
  VLOOKUP(
    A52,
    IMPORTRANGE(
      ""1SCYQd7_cobOYqT0r_F0IqD4tE4rYn5y8Eup4PJTH8es"",
      ""Snapshot!A:M""
    ),
    5,
    FALSE
  ),
  ""-""
)
"),2.0)</f>
        <v>2</v>
      </c>
      <c r="AF52" s="54">
        <f>IFERROR(__xludf.DUMMYFUNCTION("IFERROR(
  VLOOKUP(
    A52,
    IMPORTRANGE(
      ""1SCYQd7_cobOYqT0r_F0IqD4tE4rYn5y8Eup4PJTH8es"",
      ""Snapshot!A:M""
    ),
    6,
    FALSE
  ),
  0
)
"),1.0)</f>
        <v>1</v>
      </c>
      <c r="AG52" s="54">
        <f>IFERROR(__xludf.DUMMYFUNCTION("IFERROR(
  VLOOKUP(
    A52,
    IMPORTRANGE(
      ""1SCYQd7_cobOYqT0r_F0IqD4tE4rYn5y8Eup4PJTH8es"",
      ""Snapshot!A:M""
    ),
    7,
    FALSE
  ),
  0
)
"),9009.0)</f>
        <v>9009</v>
      </c>
      <c r="AH52" s="54">
        <f>IFERROR(__xludf.DUMMYFUNCTION("IFERROR(
  VLOOKUP(
    A52,
    IMPORTRANGE(
      ""1SCYQd7_cobOYqT0r_F0IqD4tE4rYn5y8Eup4PJTH8es"",
      ""Snapshot!A:M""
    ),
    8,
    FALSE
  ),
  0
)
"),2.0)</f>
        <v>2</v>
      </c>
      <c r="AI52" s="54">
        <f>IFERROR(__xludf.DUMMYFUNCTION("IFERROR(
  VLOOKUP(
    A52,
    IMPORTRANGE(
      ""1SCYQd7_cobOYqT0r_F0IqD4tE4rYn5y8Eup4PJTH8es"",
      ""Snapshot!A:M""
    ),
    9,
    FALSE
  ),
  0
)
"),1.0)</f>
        <v>1</v>
      </c>
      <c r="AJ52" s="54">
        <f>IFERROR(__xludf.DUMMYFUNCTION("IFERROR(
  VLOOKUP(
    A52,
    IMPORTRANGE(
      ""1SCYQd7_cobOYqT0r_F0IqD4tE4rYn5y8Eup4PJTH8es"",
      ""Snapshot!A:M""
    ),
    13,
    FALSE
  ),
  0
)
"),1.0)</f>
        <v>1</v>
      </c>
      <c r="AK52" s="49">
        <f t="shared" ref="AK52:AL52" si="255">LEN(C52)</f>
        <v>71</v>
      </c>
      <c r="AL52" s="49">
        <f t="shared" si="255"/>
        <v>52</v>
      </c>
    </row>
    <row r="53">
      <c r="A53" s="3" t="s">
        <v>995</v>
      </c>
      <c r="B53" s="1" t="str">
        <f>IFERROR(__xludf.DUMMYFUNCTION("IFERROR(
  VLOOKUP(
    A53,
    IMPORTRANGE(
      ""1ZygntHC1J6IxzKbTidmOyf5nUyW4GCLurHCjexrLm_o"",
      ""HTMLキャッシュ!A:F""
    ),
    2,
    FALSE
  ),
  0
)
"),"MC")</f>
        <v>MC</v>
      </c>
      <c r="C53" s="1" t="str">
        <f>IFERROR(__xludf.DUMMYFUNCTION("IFERROR(
  VLOOKUP(
    A53,
    IMPORTRANGE(
      ""1ZygntHC1J6IxzKbTidmOyf5nUyW4GCLurHCjexrLm_o"",
      ""HTMLキャッシュ!A:F""
    ),
    5,
    FALSE
  ),
  0
)
"),"英作文の例文暗記のやり方｜そのまま覚えない使える暗記法｜高校・受験英語")</f>
        <v>英作文の例文暗記のやり方｜そのまま覚えない使える暗記法｜高校・受験英語</v>
      </c>
      <c r="D53" s="1" t="str">
        <f>IFERROR(__xludf.DUMMYFUNCTION("IFERROR(
  VLOOKUP(
    A53,
    IMPORTRANGE(
      ""1ZygntHC1J6IxzKbTidmOyf5nUyW4GCLurHCjexrLm_o        "",
      ""HTMLキャッシュ!A:F""
    ),
    6,
    FALSE
  ),
  0
)
"),"英作文が書けない原因は、例文暗記のやり方にあります。丸暗記ではなく、自分用にアレンジして覚えることで、英作文は速く・安定して書けるようになります。音読・シャドーイング・和訳暗記を使った具体的な例文暗記法を、受験英語向けに整理します。")</f>
        <v>英作文が書けない原因は、例文暗記のやり方にあります。丸暗記ではなく、自分用にアレンジして覚えることで、英作文は速く・安定して書けるようになります。音読・シャドーイング・和訳暗記を使った具体的な例文暗記法を、受験英語向けに整理します。</v>
      </c>
      <c r="E53" s="32">
        <f>IFERROR(__xludf.DUMMYFUNCTION("IFERROR(
  VLOOKUP(
    A53,
    IMPORTRANGE(
      ""1ZygntHC1J6IxzKbTidmOyf5nUyW4GCLurHCjexrLm_o        "",
      ""HTMLキャッシュ!A:F""
    ),
    3,
    FALSE
  ),
  0
)
"),46043.58137731482)</f>
        <v>46043.58138</v>
      </c>
      <c r="F53" s="49">
        <f>IFERROR(__xludf.DUMMYFUNCTION("IFERROR(
  VLOOKUP(
    A53,
    IMPORTRANGE(
      ""1ZHMy3vVUd_0MrSduXTe1etBb1HNpAlGwQr006ljwMiM"",
      ""GSC最新!A:F""
    ),
    2,
    FALSE
  ),
  0
)
"),9.0)</f>
        <v>9</v>
      </c>
      <c r="G53" s="49">
        <f>IFERROR(__xludf.DUMMYFUNCTION("IFERROR(
  VLOOKUP(
    A53,
    IMPORTRANGE(
      ""1ZHMy3vVUd_0MrSduXTe1etBb1HNpAlGwQr006ljwMiM"",
      ""GSC最新!A:F""
    ),
    3,
    FALSE
  ),
  0
)
"),15.0)</f>
        <v>15</v>
      </c>
      <c r="H53" s="49">
        <f>IFERROR(__xludf.DUMMYFUNCTION("IFERROR(
  VLOOKUP(
    A53,
    IMPORTRANGE(
      ""1ZHMy3vVUd_0MrSduXTe1etBb1HNpAlGwQr006ljwMiM"",
      ""GSC最新!A:F""
    ),
    4,
    FALSE
  ),
  0
)
"),5.0)</f>
        <v>5</v>
      </c>
      <c r="I53" s="49">
        <f>IFERROR(__xludf.DUMMYFUNCTION("IFERROR(
  VLOOKUP(
    A53,
    IMPORTRANGE(
      ""1ZHMy3vVUd_0MrSduXTe1etBb1HNpAlGwQr006ljwMiM"",
      ""GSC最新!A:F""
    ),
    5,
    FALSE
  ),
  0
)
"),7.0)</f>
        <v>7</v>
      </c>
      <c r="J53" s="50">
        <f t="shared" ref="J53:K53" si="256">IFERROR(F53/H53,"-")</f>
        <v>1.8</v>
      </c>
      <c r="K53" s="50">
        <f t="shared" si="256"/>
        <v>2.142857143</v>
      </c>
      <c r="L53" s="6">
        <f>IFERROR(__xludf.DUMMYFUNCTION("IFERROR(
  VLOOKUP(
    A53,
    IMPORTRANGE(
      ""1ZHMy3vVUd_0MrSduXTe1etBb1HNpAlGwQr006ljwMiM"",
      ""GSC最新!A:R""
    ),
    7,
    FALSE
  ),
  0
)
"),500.0)</f>
        <v>500</v>
      </c>
      <c r="M53" s="6">
        <f>IFERROR(__xludf.DUMMYFUNCTION("IFERROR(
  VLOOKUP(
    A53,
    IMPORTRANGE(
      ""1ZHMy3vVUd_0MrSduXTe1etBb1HNpAlGwQr006ljwMiM"",
      ""GSC最新!A:R""
    ),
    10,
    FALSE
  ),
  0
)
"),887.0)</f>
        <v>887</v>
      </c>
      <c r="N53" s="6">
        <f>IFERROR(__xludf.DUMMYFUNCTION("IFERROR(
  VLOOKUP(
    A53,
    IMPORTRANGE(
      ""1ZHMy3vVUd_0MrSduXTe1etBb1HNpAlGwQr006ljwMiM"",
      ""GSC最新!A:R""
    ),
    13,
    FALSE
  ),
  0
)
"),60.0)</f>
        <v>60</v>
      </c>
      <c r="O53" s="6">
        <f>IFERROR(__xludf.DUMMYFUNCTION("IFERROR(
  VLOOKUP(
    A53,
    IMPORTRANGE(
      ""1ZHMy3vVUd_0MrSduXTe1etBb1HNpAlGwQr006ljwMiM"",
      ""GSC最新!A:R""
    ),
    16,
    FALSE
  ),
  0
)
"),162.0)</f>
        <v>162</v>
      </c>
      <c r="P53" s="51">
        <f t="shared" ref="P53:Q53" si="257">IFERROR(L53/N53,"-")</f>
        <v>8.333333333</v>
      </c>
      <c r="Q53" s="51">
        <f t="shared" si="257"/>
        <v>5.475308642</v>
      </c>
      <c r="R53" s="9">
        <f>IFERROR(__xludf.DUMMYFUNCTION("IFERROR(
  VLOOKUP(
    A53,
    IMPORTRANGE(
      ""1ZHMy3vVUd_0MrSduXTe1etBb1HNpAlGwQr006ljwMiM"",
      ""GSC最新!A:R""
    ),
    8,
    FALSE
  ),
  0
)
"),0.018)</f>
        <v>0.018</v>
      </c>
      <c r="S53" s="9">
        <f>IFERROR(__xludf.DUMMYFUNCTION("IFERROR(
  VLOOKUP(
    A53,
    IMPORTRANGE(
      ""1ZHMy3vVUd_0MrSduXTe1etBb1HNpAlGwQr006ljwMiM"",
      ""GSC最新!A:R""
    ),
    11,
    FALSE
  ),
  0
)
"),0.016910935738444193)</f>
        <v>0.01691093574</v>
      </c>
      <c r="T53" s="9">
        <f>IFERROR(__xludf.DUMMYFUNCTION("IFERROR(
  VLOOKUP(
    A53,
    IMPORTRANGE(
      ""1ZHMy3vVUd_0MrSduXTe1etBb1HNpAlGwQr006ljwMiM"",
      ""GSC最新!A:R""
    ),
    14,
    FALSE
  ),
  0
)
"),0.08333333333333333)</f>
        <v>0.08333333333</v>
      </c>
      <c r="U53" s="9">
        <f>IFERROR(__xludf.DUMMYFUNCTION("IFERROR(
  VLOOKUP(
    A53,
    IMPORTRANGE(
      ""1ZHMy3vVUd_0MrSduXTe1etBb1HNpAlGwQr006ljwMiM"",
      ""GSC最新!A:R""
    ),
    17,
    FALSE
  ),
  0
)
"),0.043209876543209874)</f>
        <v>0.04320987654</v>
      </c>
      <c r="V53" s="9">
        <f t="shared" ref="V53:W53" si="258">IFERROR(R53-T53,"-")</f>
        <v>-0.06533333333</v>
      </c>
      <c r="W53" s="9">
        <f t="shared" si="258"/>
        <v>-0.0262989408</v>
      </c>
      <c r="X53" s="65">
        <f>IFERROR(__xludf.DUMMYFUNCTION("IFERROR(
  VLOOKUP(
    A53,
    IMPORTRANGE(
      ""1ZHMy3vVUd_0MrSduXTe1etBb1HNpAlGwQr006ljwMiM"",
      ""GSC最新!A:R""
    ),
    9,
    FALSE
  ),
  0
)
"),4.438000000000001)</f>
        <v>4.438</v>
      </c>
      <c r="Y53" s="65">
        <f>IFERROR(__xludf.DUMMYFUNCTION("IFERROR(
  VLOOKUP(
    A53,
    IMPORTRANGE(
      ""1ZHMy3vVUd_0MrSduXTe1etBb1HNpAlGwQr006ljwMiM"",
      ""GSC最新!A:R""
    ),
    12,
    FALSE
  ),
  0
)
"),6.225479143179256)</f>
        <v>6.225479143</v>
      </c>
      <c r="Z53" s="65">
        <f>IFERROR(__xludf.DUMMYFUNCTION("IFERROR(
  VLOOKUP(
    A53,
    IMPORTRANGE(
      ""1ZHMy3vVUd_0MrSduXTe1etBb1HNpAlGwQr006ljwMiM"",
      ""GSC最新!A:R""
    ),
    15,
    FALSE
  ),
  0
)
"),12.516666666666667)</f>
        <v>12.51666667</v>
      </c>
      <c r="AA53" s="65">
        <f>IFERROR(__xludf.DUMMYFUNCTION("IFERROR(
  VLOOKUP(
    A53,
    IMPORTRANGE(
      ""1ZHMy3vVUd_0MrSduXTe1etBb1HNpAlGwQr006ljwMiM"",
      ""GSC最新!A:R""
    ),
    18,
    FALSE
  ),
  0
)
"),34.925925925925924)</f>
        <v>34.92592593</v>
      </c>
      <c r="AB53" s="65">
        <f t="shared" ref="AB53:AC53" si="259">X53-Z53</f>
        <v>-8.078666667</v>
      </c>
      <c r="AC53" s="65">
        <f t="shared" si="259"/>
        <v>-28.70044678</v>
      </c>
      <c r="AD53" s="53">
        <f>IFERROR(__xludf.DUMMYFUNCTION("IFERROR(
  VLOOKUP(
    A53,
    IMPORTRANGE(
      ""1ZHMy3vVUd_0MrSduXTe1etBb1HNpAlGwQr006ljwMiM"",
      ""GSC最新!A:F""
    ),
    6,
    FALSE
  ),
  0
)
"),46081.0)</f>
        <v>46081</v>
      </c>
      <c r="AE53" s="54">
        <f>IFERROR(__xludf.DUMMYFUNCTION("IFERROR(
  VLOOKUP(
    A53,
    IMPORTRANGE(
      ""1SCYQd7_cobOYqT0r_F0IqD4tE4rYn5y8Eup4PJTH8es"",
      ""Snapshot!A:M""
    ),
    5,
    FALSE
  ),
  ""-""
)
"),1.0)</f>
        <v>1</v>
      </c>
      <c r="AF53" s="54">
        <f>IFERROR(__xludf.DUMMYFUNCTION("IFERROR(
  VLOOKUP(
    A53,
    IMPORTRANGE(
      ""1SCYQd7_cobOYqT0r_F0IqD4tE4rYn5y8Eup4PJTH8es"",
      ""Snapshot!A:M""
    ),
    6,
    FALSE
  ),
  0
)
"),0.0)</f>
        <v>0</v>
      </c>
      <c r="AG53" s="54">
        <f>IFERROR(__xludf.DUMMYFUNCTION("IFERROR(
  VLOOKUP(
    A53,
    IMPORTRANGE(
      ""1SCYQd7_cobOYqT0r_F0IqD4tE4rYn5y8Eup4PJTH8es"",
      ""Snapshot!A:M""
    ),
    7,
    FALSE
  ),
  0
)
"),1136.0)</f>
        <v>1136</v>
      </c>
      <c r="AH53" s="54">
        <f>IFERROR(__xludf.DUMMYFUNCTION("IFERROR(
  VLOOKUP(
    A53,
    IMPORTRANGE(
      ""1SCYQd7_cobOYqT0r_F0IqD4tE4rYn5y8Eup4PJTH8es"",
      ""Snapshot!A:M""
    ),
    8,
    FALSE
  ),
  0
)
"),2.0)</f>
        <v>2</v>
      </c>
      <c r="AI53" s="54">
        <f>IFERROR(__xludf.DUMMYFUNCTION("IFERROR(
  VLOOKUP(
    A53,
    IMPORTRANGE(
      ""1SCYQd7_cobOYqT0r_F0IqD4tE4rYn5y8Eup4PJTH8es"",
      ""Snapshot!A:M""
    ),
    9,
    FALSE
  ),
  0
)
"),1.0)</f>
        <v>1</v>
      </c>
      <c r="AJ53" s="54">
        <f>IFERROR(__xludf.DUMMYFUNCTION("IFERROR(
  VLOOKUP(
    A53,
    IMPORTRANGE(
      ""1SCYQd7_cobOYqT0r_F0IqD4tE4rYn5y8Eup4PJTH8es"",
      ""Snapshot!A:M""
    ),
    13,
    FALSE
  ),
  0
)
"),1.0)</f>
        <v>1</v>
      </c>
      <c r="AK53" s="49">
        <f t="shared" ref="AK53:AL53" si="260">LEN(C53)</f>
        <v>35</v>
      </c>
      <c r="AL53" s="49">
        <f t="shared" si="260"/>
        <v>116</v>
      </c>
    </row>
    <row r="54">
      <c r="A54" s="3" t="s">
        <v>996</v>
      </c>
      <c r="B54" s="1" t="str">
        <f>IFERROR(__xludf.DUMMYFUNCTION("IFERROR(
  VLOOKUP(
    A54,
    IMPORTRANGE(
      ""1ZygntHC1J6IxzKbTidmOyf5nUyW4GCLurHCjexrLm_o"",
      ""HTMLキャッシュ!A:F""
    ),
    2,
    FALSE
  ),
  0
)
"),"MC")</f>
        <v>MC</v>
      </c>
      <c r="C54" s="1" t="str">
        <f>IFERROR(__xludf.DUMMYFUNCTION("IFERROR(
  VLOOKUP(
    A54,
    IMPORTRANGE(
      ""1ZygntHC1J6IxzKbTidmOyf5nUyW4GCLurHCjexrLm_o"",
      ""HTMLキャッシュ!A:F""
    ),
    5,
    FALSE
  ),
  0
)
"),"STAGE3 Lesson3-1不定詞の判断の根拠｜It is 形容詞 of/for 人 to の使い分け【ニュートレジャーの道案内】 - 受験英語専門ゼミ「Re-Write」(リライト)")</f>
        <v>STAGE3 Lesson3-1不定詞の判断の根拠｜It is 形容詞 of/for 人 to の使い分け【ニュートレジャーの道案内】 - 受験英語専門ゼミ「Re-Write」(リライト)</v>
      </c>
      <c r="D54" s="1" t="str">
        <f>IFERROR(__xludf.DUMMYFUNCTION("IFERROR(
  VLOOKUP(
    A54,
    IMPORTRANGE(
      ""1ZygntHC1J6IxzKbTidmOyf5nUyW4GCLurHCjexrLm_o        "",
      ""HTMLキャッシュ!A:F""
    ),
    6,
    FALSE
  ),
  0
)
"),"ニュートレジャーStage3 Lesson3-1に対応。不定詞の判断の根拠として使う It is 形容詞 of/for 人 to の意味と違いを、kind / careless などの例文付きで整理し、入試レベルまで分かりやすく解説します。")</f>
        <v>ニュートレジャーStage3 Lesson3-1に対応。不定詞の判断の根拠として使う It is 形容詞 of/for 人 to の意味と違いを、kind / careless などの例文付きで整理し、入試レベルまで分かりやすく解説します。</v>
      </c>
      <c r="E54" s="32">
        <f>IFERROR(__xludf.DUMMYFUNCTION("IFERROR(
  VLOOKUP(
    A54,
    IMPORTRANGE(
      ""1ZygntHC1J6IxzKbTidmOyf5nUyW4GCLurHCjexrLm_o        "",
      ""HTMLキャッシュ!A:F""
    ),
    3,
    FALSE
  ),
  0
)
"),46043.61696759259)</f>
        <v>46043.61697</v>
      </c>
      <c r="F54" s="49">
        <f>IFERROR(__xludf.DUMMYFUNCTION("IFERROR(
  VLOOKUP(
    A54,
    IMPORTRANGE(
      ""1ZHMy3vVUd_0MrSduXTe1etBb1HNpAlGwQr006ljwMiM"",
      ""GSC最新!A:F""
    ),
    2,
    FALSE
  ),
  0
)
"),9.0)</f>
        <v>9</v>
      </c>
      <c r="G54" s="49">
        <f>IFERROR(__xludf.DUMMYFUNCTION("IFERROR(
  VLOOKUP(
    A54,
    IMPORTRANGE(
      ""1ZHMy3vVUd_0MrSduXTe1etBb1HNpAlGwQr006ljwMiM"",
      ""GSC最新!A:F""
    ),
    3,
    FALSE
  ),
  0
)
"),14.0)</f>
        <v>14</v>
      </c>
      <c r="H54" s="49">
        <f>IFERROR(__xludf.DUMMYFUNCTION("IFERROR(
  VLOOKUP(
    A54,
    IMPORTRANGE(
      ""1ZHMy3vVUd_0MrSduXTe1etBb1HNpAlGwQr006ljwMiM"",
      ""GSC最新!A:F""
    ),
    4,
    FALSE
  ),
  0
)
"),1.0)</f>
        <v>1</v>
      </c>
      <c r="I54" s="49">
        <f>IFERROR(__xludf.DUMMYFUNCTION("IFERROR(
  VLOOKUP(
    A54,
    IMPORTRANGE(
      ""1ZHMy3vVUd_0MrSduXTe1etBb1HNpAlGwQr006ljwMiM"",
      ""GSC最新!A:F""
    ),
    5,
    FALSE
  ),
  0
)
"),5.0)</f>
        <v>5</v>
      </c>
      <c r="J54" s="50">
        <f t="shared" ref="J54:K54" si="261">IFERROR(F54/H54,"-")</f>
        <v>9</v>
      </c>
      <c r="K54" s="50">
        <f t="shared" si="261"/>
        <v>2.8</v>
      </c>
      <c r="L54" s="6">
        <f>IFERROR(__xludf.DUMMYFUNCTION("IFERROR(
  VLOOKUP(
    A54,
    IMPORTRANGE(
      ""1ZHMy3vVUd_0MrSduXTe1etBb1HNpAlGwQr006ljwMiM"",
      ""GSC最新!A:R""
    ),
    7,
    FALSE
  ),
  0
)
"),5558.0)</f>
        <v>5558</v>
      </c>
      <c r="M54" s="6">
        <f>IFERROR(__xludf.DUMMYFUNCTION("IFERROR(
  VLOOKUP(
    A54,
    IMPORTRANGE(
      ""1ZHMy3vVUd_0MrSduXTe1etBb1HNpAlGwQr006ljwMiM"",
      ""GSC最新!A:R""
    ),
    10,
    FALSE
  ),
  0
)
"),9628.0)</f>
        <v>9628</v>
      </c>
      <c r="N54" s="6">
        <f>IFERROR(__xludf.DUMMYFUNCTION("IFERROR(
  VLOOKUP(
    A54,
    IMPORTRANGE(
      ""1ZHMy3vVUd_0MrSduXTe1etBb1HNpAlGwQr006ljwMiM"",
      ""GSC最新!A:R""
    ),
    13,
    FALSE
  ),
  0
)
"),236.0)</f>
        <v>236</v>
      </c>
      <c r="O54" s="6">
        <f>IFERROR(__xludf.DUMMYFUNCTION("IFERROR(
  VLOOKUP(
    A54,
    IMPORTRANGE(
      ""1ZHMy3vVUd_0MrSduXTe1etBb1HNpAlGwQr006ljwMiM"",
      ""GSC最新!A:R""
    ),
    16,
    FALSE
  ),
  0
)
"),602.0)</f>
        <v>602</v>
      </c>
      <c r="P54" s="51">
        <f t="shared" ref="P54:Q54" si="262">IFERROR(L54/N54,"-")</f>
        <v>23.55084746</v>
      </c>
      <c r="Q54" s="51">
        <f t="shared" si="262"/>
        <v>15.99335548</v>
      </c>
      <c r="R54" s="9">
        <f>IFERROR(__xludf.DUMMYFUNCTION("IFERROR(
  VLOOKUP(
    A54,
    IMPORTRANGE(
      ""1ZHMy3vVUd_0MrSduXTe1etBb1HNpAlGwQr006ljwMiM"",
      ""GSC最新!A:R""
    ),
    8,
    FALSE
  ),
  0
)
"),0.0016192875134940627)</f>
        <v>0.001619287513</v>
      </c>
      <c r="S54" s="9">
        <f>IFERROR(__xludf.DUMMYFUNCTION("IFERROR(
  VLOOKUP(
    A54,
    IMPORTRANGE(
      ""1ZHMy3vVUd_0MrSduXTe1etBb1HNpAlGwQr006ljwMiM"",
      ""GSC最新!A:R""
    ),
    11,
    FALSE
  ),
  0
)
"),0.0014540922309929372)</f>
        <v>0.001454092231</v>
      </c>
      <c r="T54" s="9">
        <f>IFERROR(__xludf.DUMMYFUNCTION("IFERROR(
  VLOOKUP(
    A54,
    IMPORTRANGE(
      ""1ZHMy3vVUd_0MrSduXTe1etBb1HNpAlGwQr006ljwMiM"",
      ""GSC最新!A:R""
    ),
    14,
    FALSE
  ),
  0
)
"),0.00423728813559322)</f>
        <v>0.004237288136</v>
      </c>
      <c r="U54" s="9">
        <f>IFERROR(__xludf.DUMMYFUNCTION("IFERROR(
  VLOOKUP(
    A54,
    IMPORTRANGE(
      ""1ZHMy3vVUd_0MrSduXTe1etBb1HNpAlGwQr006ljwMiM"",
      ""GSC最新!A:R""
    ),
    17,
    FALSE
  ),
  0
)
"),0.008305647840531562)</f>
        <v>0.008305647841</v>
      </c>
      <c r="V54" s="9">
        <f t="shared" ref="V54:W54" si="263">IFERROR(R54-T54,"-")</f>
        <v>-0.002618000622</v>
      </c>
      <c r="W54" s="9">
        <f t="shared" si="263"/>
        <v>-0.00685155561</v>
      </c>
      <c r="X54" s="65">
        <f>IFERROR(__xludf.DUMMYFUNCTION("IFERROR(
  VLOOKUP(
    A54,
    IMPORTRANGE(
      ""1ZHMy3vVUd_0MrSduXTe1etBb1HNpAlGwQr006ljwMiM"",
      ""GSC最新!A:R""
    ),
    9,
    FALSE
  ),
  0
)
"),3.328355523569629)</f>
        <v>3.328355524</v>
      </c>
      <c r="Y54" s="65">
        <f>IFERROR(__xludf.DUMMYFUNCTION("IFERROR(
  VLOOKUP(
    A54,
    IMPORTRANGE(
      ""1ZHMy3vVUd_0MrSduXTe1etBb1HNpAlGwQr006ljwMiM"",
      ""GSC最新!A:R""
    ),
    12,
    FALSE
  ),
  0
)
"),3.6414624013294556)</f>
        <v>3.641462401</v>
      </c>
      <c r="Z54" s="65">
        <f>IFERROR(__xludf.DUMMYFUNCTION("IFERROR(
  VLOOKUP(
    A54,
    IMPORTRANGE(
      ""1ZHMy3vVUd_0MrSduXTe1etBb1HNpAlGwQr006ljwMiM"",
      ""GSC最新!A:R""
    ),
    15,
    FALSE
  ),
  0
)
"),8.64406779661017)</f>
        <v>8.644067797</v>
      </c>
      <c r="AA54" s="65">
        <f>IFERROR(__xludf.DUMMYFUNCTION("IFERROR(
  VLOOKUP(
    A54,
    IMPORTRANGE(
      ""1ZHMy3vVUd_0MrSduXTe1etBb1HNpAlGwQr006ljwMiM"",
      ""GSC最新!A:R""
    ),
    18,
    FALSE
  ),
  0
)
"),10.491694352159469)</f>
        <v>10.49169435</v>
      </c>
      <c r="AB54" s="65">
        <f t="shared" ref="AB54:AC54" si="264">X54-Z54</f>
        <v>-5.315712273</v>
      </c>
      <c r="AC54" s="65">
        <f t="shared" si="264"/>
        <v>-6.850231951</v>
      </c>
      <c r="AD54" s="53">
        <f>IFERROR(__xludf.DUMMYFUNCTION("IFERROR(
  VLOOKUP(
    A54,
    IMPORTRANGE(
      ""1ZHMy3vVUd_0MrSduXTe1etBb1HNpAlGwQr006ljwMiM"",
      ""GSC最新!A:F""
    ),
    6,
    FALSE
  ),
  0
)
"),46081.0)</f>
        <v>46081</v>
      </c>
      <c r="AE54" s="54">
        <f>IFERROR(__xludf.DUMMYFUNCTION("IFERROR(
  VLOOKUP(
    A54,
    IMPORTRANGE(
      ""1SCYQd7_cobOYqT0r_F0IqD4tE4rYn5y8Eup4PJTH8es"",
      ""Snapshot!A:M""
    ),
    5,
    FALSE
  ),
  ""-""
)
"),1.0)</f>
        <v>1</v>
      </c>
      <c r="AF54" s="54">
        <f>IFERROR(__xludf.DUMMYFUNCTION("IFERROR(
  VLOOKUP(
    A54,
    IMPORTRANGE(
      ""1SCYQd7_cobOYqT0r_F0IqD4tE4rYn5y8Eup4PJTH8es"",
      ""Snapshot!A:M""
    ),
    6,
    FALSE
  ),
  0
)
"),5.0)</f>
        <v>5</v>
      </c>
      <c r="AG54" s="54">
        <f>IFERROR(__xludf.DUMMYFUNCTION("IFERROR(
  VLOOKUP(
    A54,
    IMPORTRANGE(
      ""1SCYQd7_cobOYqT0r_F0IqD4tE4rYn5y8Eup4PJTH8es"",
      ""Snapshot!A:M""
    ),
    7,
    FALSE
  ),
  0
)
"),4566.0)</f>
        <v>4566</v>
      </c>
      <c r="AH54" s="54">
        <f>IFERROR(__xludf.DUMMYFUNCTION("IFERROR(
  VLOOKUP(
    A54,
    IMPORTRANGE(
      ""1SCYQd7_cobOYqT0r_F0IqD4tE4rYn5y8Eup4PJTH8es"",
      ""Snapshot!A:M""
    ),
    8,
    FALSE
  ),
  0
)
"),2.0)</f>
        <v>2</v>
      </c>
      <c r="AI54" s="54">
        <f>IFERROR(__xludf.DUMMYFUNCTION("IFERROR(
  VLOOKUP(
    A54,
    IMPORTRANGE(
      ""1SCYQd7_cobOYqT0r_F0IqD4tE4rYn5y8Eup4PJTH8es"",
      ""Snapshot!A:M""
    ),
    9,
    FALSE
  ),
  0
)
"),1.0)</f>
        <v>1</v>
      </c>
      <c r="AJ54" s="54">
        <f>IFERROR(__xludf.DUMMYFUNCTION("IFERROR(
  VLOOKUP(
    A54,
    IMPORTRANGE(
      ""1SCYQd7_cobOYqT0r_F0IqD4tE4rYn5y8Eup4PJTH8es"",
      ""Snapshot!A:M""
    ),
    13,
    FALSE
  ),
  0
)
"),1.0)</f>
        <v>1</v>
      </c>
      <c r="AK54" s="49">
        <f t="shared" ref="AK54:AL54" si="265">LEN(C54)</f>
        <v>94</v>
      </c>
      <c r="AL54" s="49">
        <f t="shared" si="265"/>
        <v>120</v>
      </c>
    </row>
    <row r="55">
      <c r="A55" s="3" t="s">
        <v>997</v>
      </c>
      <c r="B55" s="1" t="str">
        <f>IFERROR(__xludf.DUMMYFUNCTION("IFERROR(
  VLOOKUP(
    A55,
    IMPORTRANGE(
      ""1ZygntHC1J6IxzKbTidmOyf5nUyW4GCLurHCjexrLm_o"",
      ""HTMLキャッシュ!A:F""
    ),
    2,
    FALSE
  ),
  0
)
"),"MC")</f>
        <v>MC</v>
      </c>
      <c r="C55" s="1" t="str">
        <f>IFERROR(__xludf.DUMMYFUNCTION("IFERROR(
  VLOOKUP(
    A55,
    IMPORTRANGE(
      ""1ZygntHC1J6IxzKbTidmOyf5nUyW4GCLurHCjexrLm_o"",
      ""HTMLキャッシュ!A:F""
    ),
    5,
    FALSE
  ),
  0
)
"),"感嘆文How/Whatの作り方｜語順・a/an・複数形のミス整理｜中学英語（New Treasure Stage2）")</f>
        <v>感嘆文How/Whatの作り方｜語順・a/an・複数形のミス整理｜中学英語（New Treasure Stage2）</v>
      </c>
      <c r="D55" s="1" t="str">
        <f>IFERROR(__xludf.DUMMYFUNCTION("IFERROR(
  VLOOKUP(
    A55,
    IMPORTRANGE(
      ""1ZygntHC1J6IxzKbTidmOyf5nUyW4GCLurHCjexrLm_o        "",
      ""HTMLキャッシュ!A:F""
    ),
    6,
    FALSE
  ),
  0
)
"),"感嘆文（How/What）の作り方を整理。veryをHow/Whatに変えて塊ごと文頭へ。疑問文ではないので語順はそのまま。Whatではa/an（母音）と複数形に注意。例文とクイズで確認。New Treasure Stage2対応。")</f>
        <v>感嘆文（How/What）の作り方を整理。veryをHow/Whatに変えて塊ごと文頭へ。疑問文ではないので語順はそのまま。Whatではa/an（母音）と複数形に注意。例文とクイズで確認。New Treasure Stage2対応。</v>
      </c>
      <c r="E55" s="32">
        <f>IFERROR(__xludf.DUMMYFUNCTION("IFERROR(
  VLOOKUP(
    A55,
    IMPORTRANGE(
      ""1ZygntHC1J6IxzKbTidmOyf5nUyW4GCLurHCjexrLm_o        "",
      ""HTMLキャッシュ!A:F""
    ),
    3,
    FALSE
  ),
  0
)
"),46067.84190972222)</f>
        <v>46067.84191</v>
      </c>
      <c r="F55" s="49">
        <f>IFERROR(__xludf.DUMMYFUNCTION("IFERROR(
  VLOOKUP(
    A55,
    IMPORTRANGE(
      ""1ZHMy3vVUd_0MrSduXTe1etBb1HNpAlGwQr006ljwMiM"",
      ""GSC最新!A:F""
    ),
    2,
    FALSE
  ),
  0
)
"),10.0)</f>
        <v>10</v>
      </c>
      <c r="G55" s="49">
        <f>IFERROR(__xludf.DUMMYFUNCTION("IFERROR(
  VLOOKUP(
    A55,
    IMPORTRANGE(
      ""1ZHMy3vVUd_0MrSduXTe1etBb1HNpAlGwQr006ljwMiM"",
      ""GSC最新!A:F""
    ),
    3,
    FALSE
  ),
  0
)
"),14.0)</f>
        <v>14</v>
      </c>
      <c r="H55" s="49">
        <f>IFERROR(__xludf.DUMMYFUNCTION("IFERROR(
  VLOOKUP(
    A55,
    IMPORTRANGE(
      ""1ZHMy3vVUd_0MrSduXTe1etBb1HNpAlGwQr006ljwMiM"",
      ""GSC最新!A:F""
    ),
    4,
    FALSE
  ),
  0
)
"),1.0)</f>
        <v>1</v>
      </c>
      <c r="I55" s="49">
        <f>IFERROR(__xludf.DUMMYFUNCTION("IFERROR(
  VLOOKUP(
    A55,
    IMPORTRANGE(
      ""1ZHMy3vVUd_0MrSduXTe1etBb1HNpAlGwQr006ljwMiM"",
      ""GSC最新!A:F""
    ),
    5,
    FALSE
  ),
  0
)
"),6.0)</f>
        <v>6</v>
      </c>
      <c r="J55" s="50">
        <f t="shared" ref="J55:K55" si="266">IFERROR(F55/H55,"-")</f>
        <v>10</v>
      </c>
      <c r="K55" s="50">
        <f t="shared" si="266"/>
        <v>2.333333333</v>
      </c>
      <c r="L55" s="6">
        <f>IFERROR(__xludf.DUMMYFUNCTION("IFERROR(
  VLOOKUP(
    A55,
    IMPORTRANGE(
      ""1ZHMy3vVUd_0MrSduXTe1etBb1HNpAlGwQr006ljwMiM"",
      ""GSC最新!A:R""
    ),
    7,
    FALSE
  ),
  0
)
"),2481.0)</f>
        <v>2481</v>
      </c>
      <c r="M55" s="6">
        <f>IFERROR(__xludf.DUMMYFUNCTION("IFERROR(
  VLOOKUP(
    A55,
    IMPORTRANGE(
      ""1ZHMy3vVUd_0MrSduXTe1etBb1HNpAlGwQr006ljwMiM"",
      ""GSC最新!A:R""
    ),
    10,
    FALSE
  ),
  0
)
"),4581.0)</f>
        <v>4581</v>
      </c>
      <c r="N55" s="6">
        <f>IFERROR(__xludf.DUMMYFUNCTION("IFERROR(
  VLOOKUP(
    A55,
    IMPORTRANGE(
      ""1ZHMy3vVUd_0MrSduXTe1etBb1HNpAlGwQr006ljwMiM"",
      ""GSC最新!A:R""
    ),
    13,
    FALSE
  ),
  0
)
"),406.0)</f>
        <v>406</v>
      </c>
      <c r="O55" s="6">
        <f>IFERROR(__xludf.DUMMYFUNCTION("IFERROR(
  VLOOKUP(
    A55,
    IMPORTRANGE(
      ""1ZHMy3vVUd_0MrSduXTe1etBb1HNpAlGwQr006ljwMiM"",
      ""GSC最新!A:R""
    ),
    16,
    FALSE
  ),
  0
)
"),1015.0)</f>
        <v>1015</v>
      </c>
      <c r="P55" s="51">
        <f t="shared" ref="P55:Q55" si="267">IFERROR(L55/N55,"-")</f>
        <v>6.110837438</v>
      </c>
      <c r="Q55" s="51">
        <f t="shared" si="267"/>
        <v>4.513300493</v>
      </c>
      <c r="R55" s="9">
        <f>IFERROR(__xludf.DUMMYFUNCTION("IFERROR(
  VLOOKUP(
    A55,
    IMPORTRANGE(
      ""1ZHMy3vVUd_0MrSduXTe1etBb1HNpAlGwQr006ljwMiM"",
      ""GSC最新!A:R""
    ),
    8,
    FALSE
  ),
  0
)
"),0.004030632809351068)</f>
        <v>0.004030632809</v>
      </c>
      <c r="S55" s="9">
        <f>IFERROR(__xludf.DUMMYFUNCTION("IFERROR(
  VLOOKUP(
    A55,
    IMPORTRANGE(
      ""1ZHMy3vVUd_0MrSduXTe1etBb1HNpAlGwQr006ljwMiM"",
      ""GSC最新!A:R""
    ),
    11,
    FALSE
  ),
  0
)
"),0.0030561012879283997)</f>
        <v>0.003056101288</v>
      </c>
      <c r="T55" s="9">
        <f>IFERROR(__xludf.DUMMYFUNCTION("IFERROR(
  VLOOKUP(
    A55,
    IMPORTRANGE(
      ""1ZHMy3vVUd_0MrSduXTe1etBb1HNpAlGwQr006ljwMiM"",
      ""GSC最新!A:R""
    ),
    14,
    FALSE
  ),
  0
)
"),0.0024630541871921183)</f>
        <v>0.002463054187</v>
      </c>
      <c r="U55" s="9">
        <f>IFERROR(__xludf.DUMMYFUNCTION("IFERROR(
  VLOOKUP(
    A55,
    IMPORTRANGE(
      ""1ZHMy3vVUd_0MrSduXTe1etBb1HNpAlGwQr006ljwMiM"",
      ""GSC最新!A:R""
    ),
    17,
    FALSE
  ),
  0
)
"),0.005911330049261084)</f>
        <v>0.005911330049</v>
      </c>
      <c r="V55" s="9">
        <f t="shared" ref="V55:W55" si="268">IFERROR(R55-T55,"-")</f>
        <v>0.001567578622</v>
      </c>
      <c r="W55" s="9">
        <f t="shared" si="268"/>
        <v>-0.002855228761</v>
      </c>
      <c r="X55" s="65">
        <f>IFERROR(__xludf.DUMMYFUNCTION("IFERROR(
  VLOOKUP(
    A55,
    IMPORTRANGE(
      ""1ZHMy3vVUd_0MrSduXTe1etBb1HNpAlGwQr006ljwMiM"",
      ""GSC最新!A:R""
    ),
    9,
    FALSE
  ),
  0
)
"),5.873841193067312)</f>
        <v>5.873841193</v>
      </c>
      <c r="Y55" s="65">
        <f>IFERROR(__xludf.DUMMYFUNCTION("IFERROR(
  VLOOKUP(
    A55,
    IMPORTRANGE(
      ""1ZHMy3vVUd_0MrSduXTe1etBb1HNpAlGwQr006ljwMiM"",
      ""GSC最新!A:R""
    ),
    12,
    FALSE
  ),
  0
)
"),5.667103252564942)</f>
        <v>5.667103253</v>
      </c>
      <c r="Z55" s="65">
        <f>IFERROR(__xludf.DUMMYFUNCTION("IFERROR(
  VLOOKUP(
    A55,
    IMPORTRANGE(
      ""1ZHMy3vVUd_0MrSduXTe1etBb1HNpAlGwQr006ljwMiM"",
      ""GSC最新!A:R""
    ),
    15,
    FALSE
  ),
  0
)
"),16.049261083743843)</f>
        <v>16.04926108</v>
      </c>
      <c r="AA55" s="65">
        <f>IFERROR(__xludf.DUMMYFUNCTION("IFERROR(
  VLOOKUP(
    A55,
    IMPORTRANGE(
      ""1ZHMy3vVUd_0MrSduXTe1etBb1HNpAlGwQr006ljwMiM"",
      ""GSC最新!A:R""
    ),
    18,
    FALSE
  ),
  0
)
"),21.63152709359606)</f>
        <v>21.63152709</v>
      </c>
      <c r="AB55" s="65">
        <f t="shared" ref="AB55:AC55" si="269">X55-Z55</f>
        <v>-10.17541989</v>
      </c>
      <c r="AC55" s="65">
        <f t="shared" si="269"/>
        <v>-15.96442384</v>
      </c>
      <c r="AD55" s="53">
        <f>IFERROR(__xludf.DUMMYFUNCTION("IFERROR(
  VLOOKUP(
    A55,
    IMPORTRANGE(
      ""1ZHMy3vVUd_0MrSduXTe1etBb1HNpAlGwQr006ljwMiM"",
      ""GSC最新!A:F""
    ),
    6,
    FALSE
  ),
  0
)
"),46081.0)</f>
        <v>46081</v>
      </c>
      <c r="AE55" s="54">
        <f>IFERROR(__xludf.DUMMYFUNCTION("IFERROR(
  VLOOKUP(
    A55,
    IMPORTRANGE(
      ""1SCYQd7_cobOYqT0r_F0IqD4tE4rYn5y8Eup4PJTH8es"",
      ""Snapshot!A:M""
    ),
    5,
    FALSE
  ),
  ""-""
)
"),0.0)</f>
        <v>0</v>
      </c>
      <c r="AF55" s="54">
        <f>IFERROR(__xludf.DUMMYFUNCTION("IFERROR(
  VLOOKUP(
    A55,
    IMPORTRANGE(
      ""1SCYQd7_cobOYqT0r_F0IqD4tE4rYn5y8Eup4PJTH8es"",
      ""Snapshot!A:M""
    ),
    6,
    FALSE
  ),
  0
)
"),0.0)</f>
        <v>0</v>
      </c>
      <c r="AG55" s="54">
        <f>IFERROR(__xludf.DUMMYFUNCTION("IFERROR(
  VLOOKUP(
    A55,
    IMPORTRANGE(
      ""1SCYQd7_cobOYqT0r_F0IqD4tE4rYn5y8Eup4PJTH8es"",
      ""Snapshot!A:M""
    ),
    7,
    FALSE
  ),
  0
)
"),5645.0)</f>
        <v>5645</v>
      </c>
      <c r="AH55" s="54">
        <f>IFERROR(__xludf.DUMMYFUNCTION("IFERROR(
  VLOOKUP(
    A55,
    IMPORTRANGE(
      ""1SCYQd7_cobOYqT0r_F0IqD4tE4rYn5y8Eup4PJTH8es"",
      ""Snapshot!A:M""
    ),
    8,
    FALSE
  ),
  0
)
"),3.0)</f>
        <v>3</v>
      </c>
      <c r="AI55" s="54">
        <f>IFERROR(__xludf.DUMMYFUNCTION("IFERROR(
  VLOOKUP(
    A55,
    IMPORTRANGE(
      ""1SCYQd7_cobOYqT0r_F0IqD4tE4rYn5y8Eup4PJTH8es"",
      ""Snapshot!A:M""
    ),
    9,
    FALSE
  ),
  0
)
"),2.0)</f>
        <v>2</v>
      </c>
      <c r="AJ55" s="54">
        <f>IFERROR(__xludf.DUMMYFUNCTION("IFERROR(
  VLOOKUP(
    A55,
    IMPORTRANGE(
      ""1SCYQd7_cobOYqT0r_F0IqD4tE4rYn5y8Eup4PJTH8es"",
      ""Snapshot!A:M""
    ),
    13,
    FALSE
  ),
  0
)
"),1.0)</f>
        <v>1</v>
      </c>
      <c r="AK55" s="49">
        <f t="shared" ref="AK55:AL55" si="270">LEN(C55)</f>
        <v>58</v>
      </c>
      <c r="AL55" s="49">
        <f t="shared" si="270"/>
        <v>116</v>
      </c>
    </row>
    <row r="56">
      <c r="A56" s="3" t="s">
        <v>998</v>
      </c>
      <c r="B56" s="1" t="str">
        <f>IFERROR(__xludf.DUMMYFUNCTION("IFERROR(
  VLOOKUP(
    A56,
    IMPORTRANGE(
      ""1ZygntHC1J6IxzKbTidmOyf5nUyW4GCLurHCjexrLm_o"",
      ""HTMLキャッシュ!A:F""
    ),
    2,
    FALSE
  ),
  0
)
"),"MC")</f>
        <v>MC</v>
      </c>
      <c r="C56" s="1" t="str">
        <f>IFERROR(__xludf.DUMMYFUNCTION("IFERROR(
  VLOOKUP(
    A56,
    IMPORTRANGE(
      ""1ZygntHC1J6IxzKbTidmOyf5nUyW4GCLurHCjexrLm_o"",
      ""HTMLキャッシュ!A:F""
    ),
    5,
    FALSE
  ),
  0
)
"),"Stage1 Lesson12-2 英語表現の意味と訳し方徹底")</f>
        <v>Stage1 Lesson12-2 英語表現の意味と訳し方徹底</v>
      </c>
      <c r="D56" s="1" t="str">
        <f>IFERROR(__xludf.DUMMYFUNCTION("IFERROR(
  VLOOKUP(
    A56,
    IMPORTRANGE(
      ""1ZygntHC1J6IxzKbTidmOyf5nUyW4GCLurHCjexrLm_o        "",
      ""HTMLキャッシュ!A:F""
    ),
    6,
    FALSE
  ),
  0
)
"),"比較級・最上級を例文で整理。-er/more、big→biggerのつづり、than＋比較対象、mine/oneまで。")</f>
        <v>比較級・最上級を例文で整理。-er/more、big→biggerのつづり、than＋比較対象、mine/oneまで。</v>
      </c>
      <c r="E56" s="32">
        <f>IFERROR(__xludf.DUMMYFUNCTION("IFERROR(
  VLOOKUP(
    A56,
    IMPORTRANGE(
      ""1ZygntHC1J6IxzKbTidmOyf5nUyW4GCLurHCjexrLm_o        "",
      ""HTMLキャッシュ!A:F""
    ),
    3,
    FALSE
  ),
  0
)
"),46073.6346412037)</f>
        <v>46073.63464</v>
      </c>
      <c r="F56" s="49">
        <f>IFERROR(__xludf.DUMMYFUNCTION("IFERROR(
  VLOOKUP(
    A56,
    IMPORTRANGE(
      ""1ZHMy3vVUd_0MrSduXTe1etBb1HNpAlGwQr006ljwMiM"",
      ""GSC最新!A:F""
    ),
    2,
    FALSE
  ),
  0
)
"),3.0)</f>
        <v>3</v>
      </c>
      <c r="G56" s="49">
        <f>IFERROR(__xludf.DUMMYFUNCTION("IFERROR(
  VLOOKUP(
    A56,
    IMPORTRANGE(
      ""1ZHMy3vVUd_0MrSduXTe1etBb1HNpAlGwQr006ljwMiM"",
      ""GSC最新!A:F""
    ),
    3,
    FALSE
  ),
  0
)
"),14.0)</f>
        <v>14</v>
      </c>
      <c r="H56" s="49">
        <f>IFERROR(__xludf.DUMMYFUNCTION("IFERROR(
  VLOOKUP(
    A56,
    IMPORTRANGE(
      ""1ZHMy3vVUd_0MrSduXTe1etBb1HNpAlGwQr006ljwMiM"",
      ""GSC最新!A:F""
    ),
    4,
    FALSE
  ),
  0
)
"),0.0)</f>
        <v>0</v>
      </c>
      <c r="I56" s="49">
        <f>IFERROR(__xludf.DUMMYFUNCTION("IFERROR(
  VLOOKUP(
    A56,
    IMPORTRANGE(
      ""1ZHMy3vVUd_0MrSduXTe1etBb1HNpAlGwQr006ljwMiM"",
      ""GSC最新!A:F""
    ),
    5,
    FALSE
  ),
  0
)
"),0.0)</f>
        <v>0</v>
      </c>
      <c r="J56" s="50" t="str">
        <f t="shared" ref="J56:K56" si="271">IFERROR(F56/H56,"-")</f>
        <v>-</v>
      </c>
      <c r="K56" s="50" t="str">
        <f t="shared" si="271"/>
        <v>-</v>
      </c>
      <c r="L56" s="6">
        <f>IFERROR(__xludf.DUMMYFUNCTION("IFERROR(
  VLOOKUP(
    A56,
    IMPORTRANGE(
      ""1ZHMy3vVUd_0MrSduXTe1etBb1HNpAlGwQr006ljwMiM"",
      ""GSC最新!A:R""
    ),
    7,
    FALSE
  ),
  0
)
"),1427.0)</f>
        <v>1427</v>
      </c>
      <c r="M56" s="6">
        <f>IFERROR(__xludf.DUMMYFUNCTION("IFERROR(
  VLOOKUP(
    A56,
    IMPORTRANGE(
      ""1ZHMy3vVUd_0MrSduXTe1etBb1HNpAlGwQr006ljwMiM"",
      ""GSC最新!A:R""
    ),
    10,
    FALSE
  ),
  0
)
"),3222.0)</f>
        <v>3222</v>
      </c>
      <c r="N56" s="6">
        <f>IFERROR(__xludf.DUMMYFUNCTION("IFERROR(
  VLOOKUP(
    A56,
    IMPORTRANGE(
      ""1ZHMy3vVUd_0MrSduXTe1etBb1HNpAlGwQr006ljwMiM"",
      ""GSC最新!A:R""
    ),
    13,
    FALSE
  ),
  0
)
"),49.0)</f>
        <v>49</v>
      </c>
      <c r="O56" s="6">
        <f>IFERROR(__xludf.DUMMYFUNCTION("IFERROR(
  VLOOKUP(
    A56,
    IMPORTRANGE(
      ""1ZHMy3vVUd_0MrSduXTe1etBb1HNpAlGwQr006ljwMiM"",
      ""GSC最新!A:R""
    ),
    16,
    FALSE
  ),
  0
)
"),110.0)</f>
        <v>110</v>
      </c>
      <c r="P56" s="51">
        <f t="shared" ref="P56:Q56" si="272">IFERROR(L56/N56,"-")</f>
        <v>29.12244898</v>
      </c>
      <c r="Q56" s="51">
        <f t="shared" si="272"/>
        <v>29.29090909</v>
      </c>
      <c r="R56" s="9">
        <f>IFERROR(__xludf.DUMMYFUNCTION("IFERROR(
  VLOOKUP(
    A56,
    IMPORTRANGE(
      ""1ZHMy3vVUd_0MrSduXTe1etBb1HNpAlGwQr006ljwMiM"",
      ""GSC最新!A:R""
    ),
    8,
    FALSE
  ),
  0
)
"),0.002102312543798178)</f>
        <v>0.002102312544</v>
      </c>
      <c r="S56" s="9">
        <f>IFERROR(__xludf.DUMMYFUNCTION("IFERROR(
  VLOOKUP(
    A56,
    IMPORTRANGE(
      ""1ZHMy3vVUd_0MrSduXTe1etBb1HNpAlGwQr006ljwMiM"",
      ""GSC最新!A:R""
    ),
    11,
    FALSE
  ),
  0
)
"),0.004345127250155183)</f>
        <v>0.00434512725</v>
      </c>
      <c r="T56" s="9">
        <f>IFERROR(__xludf.DUMMYFUNCTION("IFERROR(
  VLOOKUP(
    A56,
    IMPORTRANGE(
      ""1ZHMy3vVUd_0MrSduXTe1etBb1HNpAlGwQr006ljwMiM"",
      ""GSC最新!A:R""
    ),
    14,
    FALSE
  ),
  0
)
"),0.0)</f>
        <v>0</v>
      </c>
      <c r="U56" s="9">
        <f>IFERROR(__xludf.DUMMYFUNCTION("IFERROR(
  VLOOKUP(
    A56,
    IMPORTRANGE(
      ""1ZHMy3vVUd_0MrSduXTe1etBb1HNpAlGwQr006ljwMiM"",
      ""GSC最新!A:R""
    ),
    17,
    FALSE
  ),
  0
)
"),0.0)</f>
        <v>0</v>
      </c>
      <c r="V56" s="9">
        <f t="shared" ref="V56:W56" si="273">IFERROR(R56-T56,"-")</f>
        <v>0.002102312544</v>
      </c>
      <c r="W56" s="9">
        <f t="shared" si="273"/>
        <v>0.00434512725</v>
      </c>
      <c r="X56" s="65">
        <f>IFERROR(__xludf.DUMMYFUNCTION("IFERROR(
  VLOOKUP(
    A56,
    IMPORTRANGE(
      ""1ZHMy3vVUd_0MrSduXTe1etBb1HNpAlGwQr006ljwMiM"",
      ""GSC最新!A:R""
    ),
    9,
    FALSE
  ),
  0
)
"),2.2585844428871757)</f>
        <v>2.258584443</v>
      </c>
      <c r="Y56" s="65">
        <f>IFERROR(__xludf.DUMMYFUNCTION("IFERROR(
  VLOOKUP(
    A56,
    IMPORTRANGE(
      ""1ZHMy3vVUd_0MrSduXTe1etBb1HNpAlGwQr006ljwMiM"",
      ""GSC最新!A:R""
    ),
    12,
    FALSE
  ),
  0
)
"),2.639975170701428)</f>
        <v>2.639975171</v>
      </c>
      <c r="Z56" s="65">
        <f>IFERROR(__xludf.DUMMYFUNCTION("IFERROR(
  VLOOKUP(
    A56,
    IMPORTRANGE(
      ""1ZHMy3vVUd_0MrSduXTe1etBb1HNpAlGwQr006ljwMiM"",
      ""GSC最新!A:R""
    ),
    15,
    FALSE
  ),
  0
)
"),14.46938775510204)</f>
        <v>14.46938776</v>
      </c>
      <c r="AA56" s="65">
        <f>IFERROR(__xludf.DUMMYFUNCTION("IFERROR(
  VLOOKUP(
    A56,
    IMPORTRANGE(
      ""1ZHMy3vVUd_0MrSduXTe1etBb1HNpAlGwQr006ljwMiM"",
      ""GSC最新!A:R""
    ),
    18,
    FALSE
  ),
  0
)
"),11.5)</f>
        <v>11.5</v>
      </c>
      <c r="AB56" s="65">
        <f t="shared" ref="AB56:AC56" si="274">X56-Z56</f>
        <v>-12.21080331</v>
      </c>
      <c r="AC56" s="65">
        <f t="shared" si="274"/>
        <v>-8.860024829</v>
      </c>
      <c r="AD56" s="53">
        <f>IFERROR(__xludf.DUMMYFUNCTION("IFERROR(
  VLOOKUP(
    A56,
    IMPORTRANGE(
      ""1ZHMy3vVUd_0MrSduXTe1etBb1HNpAlGwQr006ljwMiM"",
      ""GSC最新!A:F""
    ),
    6,
    FALSE
  ),
  0
)
"),46081.0)</f>
        <v>46081</v>
      </c>
      <c r="AE56" s="54">
        <f>IFERROR(__xludf.DUMMYFUNCTION("IFERROR(
  VLOOKUP(
    A56,
    IMPORTRANGE(
      ""1SCYQd7_cobOYqT0r_F0IqD4tE4rYn5y8Eup4PJTH8es"",
      ""Snapshot!A:M""
    ),
    5,
    FALSE
  ),
  ""-""
)
"),2.0)</f>
        <v>2</v>
      </c>
      <c r="AF56" s="54">
        <f>IFERROR(__xludf.DUMMYFUNCTION("IFERROR(
  VLOOKUP(
    A56,
    IMPORTRANGE(
      ""1SCYQd7_cobOYqT0r_F0IqD4tE4rYn5y8Eup4PJTH8es"",
      ""Snapshot!A:M""
    ),
    6,
    FALSE
  ),
  0
)
"),3.0)</f>
        <v>3</v>
      </c>
      <c r="AG56" s="54">
        <f>IFERROR(__xludf.DUMMYFUNCTION("IFERROR(
  VLOOKUP(
    A56,
    IMPORTRANGE(
      ""1SCYQd7_cobOYqT0r_F0IqD4tE4rYn5y8Eup4PJTH8es"",
      ""Snapshot!A:M""
    ),
    7,
    FALSE
  ),
  0
)
"),6258.0)</f>
        <v>6258</v>
      </c>
      <c r="AH56" s="54">
        <f>IFERROR(__xludf.DUMMYFUNCTION("IFERROR(
  VLOOKUP(
    A56,
    IMPORTRANGE(
      ""1SCYQd7_cobOYqT0r_F0IqD4tE4rYn5y8Eup4PJTH8es"",
      ""Snapshot!A:M""
    ),
    8,
    FALSE
  ),
  0
)
"),3.0)</f>
        <v>3</v>
      </c>
      <c r="AI56" s="54">
        <f>IFERROR(__xludf.DUMMYFUNCTION("IFERROR(
  VLOOKUP(
    A56,
    IMPORTRANGE(
      ""1SCYQd7_cobOYqT0r_F0IqD4tE4rYn5y8Eup4PJTH8es"",
      ""Snapshot!A:M""
    ),
    9,
    FALSE
  ),
  0
)
"),2.0)</f>
        <v>2</v>
      </c>
      <c r="AJ56" s="54">
        <f>IFERROR(__xludf.DUMMYFUNCTION("IFERROR(
  VLOOKUP(
    A56,
    IMPORTRANGE(
      ""1SCYQd7_cobOYqT0r_F0IqD4tE4rYn5y8Eup4PJTH8es"",
      ""Snapshot!A:M""
    ),
    13,
    FALSE
  ),
  0
)
"),1.0)</f>
        <v>1</v>
      </c>
      <c r="AK56" s="49">
        <f t="shared" ref="AK56:AL56" si="275">LEN(C56)</f>
        <v>31</v>
      </c>
      <c r="AL56" s="49">
        <f t="shared" si="275"/>
        <v>59</v>
      </c>
    </row>
    <row r="57">
      <c r="A57" s="3" t="s">
        <v>999</v>
      </c>
      <c r="B57" s="1" t="str">
        <f>IFERROR(__xludf.DUMMYFUNCTION("IFERROR(
  VLOOKUP(
    A57,
    IMPORTRANGE(
      ""1ZygntHC1J6IxzKbTidmOyf5nUyW4GCLurHCjexrLm_o"",
      ""HTMLキャッシュ!A:F""
    ),
    2,
    FALSE
  ),
  0
)
"),"MC")</f>
        <v>MC</v>
      </c>
      <c r="C57" s="1" t="str">
        <f>IFERROR(__xludf.DUMMYFUNCTION("IFERROR(
  VLOOKUP(
    A57,
    IMPORTRANGE(
      ""1ZygntHC1J6IxzKbTidmOyf5nUyW4GCLurHCjexrLm_o"",
      ""HTMLキャッシュ!A:F""
    ),
    5,
    FALSE
  ),
  0
)
"),"butterは不可算名詞｜可算・不可算の見分け方と数え方｜中学英語")</f>
        <v>butterは不可算名詞｜可算・不可算の見分け方と数え方｜中学英語</v>
      </c>
      <c r="D57" s="1" t="str">
        <f>IFERROR(__xludf.DUMMYFUNCTION("IFERROR(
  VLOOKUP(
    A57,
    IMPORTRANGE(
      ""1ZygntHC1J6IxzKbTidmOyf5nUyW4GCLurHCjexrLm_o        "",
      ""HTMLキャッシュ!A:F""
    ),
    6,
    FALSE
  ),
  0
)
"),"butterは不可算名詞で、複数形にせず two pounds of butter のように「単位」に-sを付けて数えます。可算／不可算の判断を「一定の形」で整理し、homework・money・advice・paperの扱い、some＋不可算、a cup of／two glasses of まで例文で確認できます。")</f>
        <v>butterは不可算名詞で、複数形にせず two pounds of butter のように「単位」に-sを付けて数えます。可算／不可算の判断を「一定の形」で整理し、homework・money・advice・paperの扱い、some＋不可算、a cup of／two glasses of まで例文で確認できます。</v>
      </c>
      <c r="E57" s="32">
        <f>IFERROR(__xludf.DUMMYFUNCTION("IFERROR(
  VLOOKUP(
    A57,
    IMPORTRANGE(
      ""1ZygntHC1J6IxzKbTidmOyf5nUyW4GCLurHCjexrLm_o        "",
      ""HTMLキャッシュ!A:F""
    ),
    3,
    FALSE
  ),
  0
)
"),46043.60768518518)</f>
        <v>46043.60769</v>
      </c>
      <c r="F57" s="49">
        <f>IFERROR(__xludf.DUMMYFUNCTION("IFERROR(
  VLOOKUP(
    A57,
    IMPORTRANGE(
      ""1ZHMy3vVUd_0MrSduXTe1etBb1HNpAlGwQr006ljwMiM"",
      ""GSC最新!A:F""
    ),
    2,
    FALSE
  ),
  0
)
"),4.0)</f>
        <v>4</v>
      </c>
      <c r="G57" s="49">
        <f>IFERROR(__xludf.DUMMYFUNCTION("IFERROR(
  VLOOKUP(
    A57,
    IMPORTRANGE(
      ""1ZHMy3vVUd_0MrSduXTe1etBb1HNpAlGwQr006ljwMiM"",
      ""GSC最新!A:F""
    ),
    3,
    FALSE
  ),
  0
)
"),14.0)</f>
        <v>14</v>
      </c>
      <c r="H57" s="49">
        <f>IFERROR(__xludf.DUMMYFUNCTION("IFERROR(
  VLOOKUP(
    A57,
    IMPORTRANGE(
      ""1ZHMy3vVUd_0MrSduXTe1etBb1HNpAlGwQr006ljwMiM"",
      ""GSC最新!A:F""
    ),
    4,
    FALSE
  ),
  0
)
"),2.0)</f>
        <v>2</v>
      </c>
      <c r="I57" s="49">
        <f>IFERROR(__xludf.DUMMYFUNCTION("IFERROR(
  VLOOKUP(
    A57,
    IMPORTRANGE(
      ""1ZHMy3vVUd_0MrSduXTe1etBb1HNpAlGwQr006ljwMiM"",
      ""GSC最新!A:F""
    ),
    5,
    FALSE
  ),
  0
)
"),8.0)</f>
        <v>8</v>
      </c>
      <c r="J57" s="50">
        <f t="shared" ref="J57:K57" si="276">IFERROR(F57/H57,"-")</f>
        <v>2</v>
      </c>
      <c r="K57" s="50">
        <f t="shared" si="276"/>
        <v>1.75</v>
      </c>
      <c r="L57" s="6">
        <f>IFERROR(__xludf.DUMMYFUNCTION("IFERROR(
  VLOOKUP(
    A57,
    IMPORTRANGE(
      ""1ZHMy3vVUd_0MrSduXTe1etBb1HNpAlGwQr006ljwMiM"",
      ""GSC最新!A:R""
    ),
    7,
    FALSE
  ),
  0
)
"),1196.0)</f>
        <v>1196</v>
      </c>
      <c r="M57" s="6">
        <f>IFERROR(__xludf.DUMMYFUNCTION("IFERROR(
  VLOOKUP(
    A57,
    IMPORTRANGE(
      ""1ZHMy3vVUd_0MrSduXTe1etBb1HNpAlGwQr006ljwMiM"",
      ""GSC最新!A:R""
    ),
    10,
    FALSE
  ),
  0
)
"),3136.0)</f>
        <v>3136</v>
      </c>
      <c r="N57" s="6">
        <f>IFERROR(__xludf.DUMMYFUNCTION("IFERROR(
  VLOOKUP(
    A57,
    IMPORTRANGE(
      ""1ZHMy3vVUd_0MrSduXTe1etBb1HNpAlGwQr006ljwMiM"",
      ""GSC最新!A:R""
    ),
    13,
    FALSE
  ),
  0
)
"),941.0)</f>
        <v>941</v>
      </c>
      <c r="O57" s="6">
        <f>IFERROR(__xludf.DUMMYFUNCTION("IFERROR(
  VLOOKUP(
    A57,
    IMPORTRANGE(
      ""1ZHMy3vVUd_0MrSduXTe1etBb1HNpAlGwQr006ljwMiM"",
      ""GSC最新!A:R""
    ),
    16,
    FALSE
  ),
  0
)
"),3028.0)</f>
        <v>3028</v>
      </c>
      <c r="P57" s="51">
        <f t="shared" ref="P57:Q57" si="277">IFERROR(L57/N57,"-")</f>
        <v>1.27098831</v>
      </c>
      <c r="Q57" s="51">
        <f t="shared" si="277"/>
        <v>1.035667107</v>
      </c>
      <c r="R57" s="9">
        <f>IFERROR(__xludf.DUMMYFUNCTION("IFERROR(
  VLOOKUP(
    A57,
    IMPORTRANGE(
      ""1ZHMy3vVUd_0MrSduXTe1etBb1HNpAlGwQr006ljwMiM"",
      ""GSC最新!A:R""
    ),
    8,
    FALSE
  ),
  0
)
"),0.0033444816053511705)</f>
        <v>0.003344481605</v>
      </c>
      <c r="S57" s="9">
        <f>IFERROR(__xludf.DUMMYFUNCTION("IFERROR(
  VLOOKUP(
    A57,
    IMPORTRANGE(
      ""1ZHMy3vVUd_0MrSduXTe1etBb1HNpAlGwQr006ljwMiM"",
      ""GSC最新!A:R""
    ),
    11,
    FALSE
  ),
  0
)
"),0.004464285714285714)</f>
        <v>0.004464285714</v>
      </c>
      <c r="T57" s="9">
        <f>IFERROR(__xludf.DUMMYFUNCTION("IFERROR(
  VLOOKUP(
    A57,
    IMPORTRANGE(
      ""1ZHMy3vVUd_0MrSduXTe1etBb1HNpAlGwQr006ljwMiM"",
      ""GSC最新!A:R""
    ),
    14,
    FALSE
  ),
  0
)
"),0.0021253985122210413)</f>
        <v>0.002125398512</v>
      </c>
      <c r="U57" s="9">
        <f>IFERROR(__xludf.DUMMYFUNCTION("IFERROR(
  VLOOKUP(
    A57,
    IMPORTRANGE(
      ""1ZHMy3vVUd_0MrSduXTe1etBb1HNpAlGwQr006ljwMiM"",
      ""GSC最新!A:R""
    ),
    17,
    FALSE
  ),
  0
)
"),0.002642007926023778)</f>
        <v>0.002642007926</v>
      </c>
      <c r="V57" s="9">
        <f t="shared" ref="V57:W57" si="278">IFERROR(R57-T57,"-")</f>
        <v>0.001219083093</v>
      </c>
      <c r="W57" s="9">
        <f t="shared" si="278"/>
        <v>0.001822277788</v>
      </c>
      <c r="X57" s="65">
        <f>IFERROR(__xludf.DUMMYFUNCTION("IFERROR(
  VLOOKUP(
    A57,
    IMPORTRANGE(
      ""1ZHMy3vVUd_0MrSduXTe1etBb1HNpAlGwQr006ljwMiM"",
      ""GSC最新!A:R""
    ),
    9,
    FALSE
  ),
  0
)
"),4.7842809364548495)</f>
        <v>4.784280936</v>
      </c>
      <c r="Y57" s="65">
        <f>IFERROR(__xludf.DUMMYFUNCTION("IFERROR(
  VLOOKUP(
    A57,
    IMPORTRANGE(
      ""1ZHMy3vVUd_0MrSduXTe1etBb1HNpAlGwQr006ljwMiM"",
      ""GSC最新!A:R""
    ),
    12,
    FALSE
  ),
  0
)
"),5.294005102040816)</f>
        <v>5.294005102</v>
      </c>
      <c r="Z57" s="65">
        <f>IFERROR(__xludf.DUMMYFUNCTION("IFERROR(
  VLOOKUP(
    A57,
    IMPORTRANGE(
      ""1ZHMy3vVUd_0MrSduXTe1etBb1HNpAlGwQr006ljwMiM"",
      ""GSC最新!A:R""
    ),
    15,
    FALSE
  ),
  0
)
"),15.496280552603613)</f>
        <v>15.49628055</v>
      </c>
      <c r="AA57" s="65">
        <f>IFERROR(__xludf.DUMMYFUNCTION("IFERROR(
  VLOOKUP(
    A57,
    IMPORTRANGE(
      ""1ZHMy3vVUd_0MrSduXTe1etBb1HNpAlGwQr006ljwMiM"",
      ""GSC最新!A:R""
    ),
    18,
    FALSE
  ),
  0
)
"),17.543593130779392)</f>
        <v>17.54359313</v>
      </c>
      <c r="AB57" s="65">
        <f t="shared" ref="AB57:AC57" si="279">X57-Z57</f>
        <v>-10.71199962</v>
      </c>
      <c r="AC57" s="65">
        <f t="shared" si="279"/>
        <v>-12.24958803</v>
      </c>
      <c r="AD57" s="53">
        <f>IFERROR(__xludf.DUMMYFUNCTION("IFERROR(
  VLOOKUP(
    A57,
    IMPORTRANGE(
      ""1ZHMy3vVUd_0MrSduXTe1etBb1HNpAlGwQr006ljwMiM"",
      ""GSC最新!A:F""
    ),
    6,
    FALSE
  ),
  0
)
"),46081.0)</f>
        <v>46081</v>
      </c>
      <c r="AE57" s="54">
        <f>IFERROR(__xludf.DUMMYFUNCTION("IFERROR(
  VLOOKUP(
    A57,
    IMPORTRANGE(
      ""1SCYQd7_cobOYqT0r_F0IqD4tE4rYn5y8Eup4PJTH8es"",
      ""Snapshot!A:M""
    ),
    5,
    FALSE
  ),
  ""-""
)
"),2.0)</f>
        <v>2</v>
      </c>
      <c r="AF57" s="54">
        <f>IFERROR(__xludf.DUMMYFUNCTION("IFERROR(
  VLOOKUP(
    A57,
    IMPORTRANGE(
      ""1SCYQd7_cobOYqT0r_F0IqD4tE4rYn5y8Eup4PJTH8es"",
      ""Snapshot!A:M""
    ),
    6,
    FALSE
  ),
  0
)
"),0.0)</f>
        <v>0</v>
      </c>
      <c r="AG57" s="54">
        <f>IFERROR(__xludf.DUMMYFUNCTION("IFERROR(
  VLOOKUP(
    A57,
    IMPORTRANGE(
      ""1SCYQd7_cobOYqT0r_F0IqD4tE4rYn5y8Eup4PJTH8es"",
      ""Snapshot!A:M""
    ),
    7,
    FALSE
  ),
  0
)
"),8653.0)</f>
        <v>8653</v>
      </c>
      <c r="AH57" s="54">
        <f>IFERROR(__xludf.DUMMYFUNCTION("IFERROR(
  VLOOKUP(
    A57,
    IMPORTRANGE(
      ""1SCYQd7_cobOYqT0r_F0IqD4tE4rYn5y8Eup4PJTH8es"",
      ""Snapshot!A:M""
    ),
    8,
    FALSE
  ),
  0
)
"),2.0)</f>
        <v>2</v>
      </c>
      <c r="AI57" s="54">
        <f>IFERROR(__xludf.DUMMYFUNCTION("IFERROR(
  VLOOKUP(
    A57,
    IMPORTRANGE(
      ""1SCYQd7_cobOYqT0r_F0IqD4tE4rYn5y8Eup4PJTH8es"",
      ""Snapshot!A:M""
    ),
    9,
    FALSE
  ),
  0
)
"),1.0)</f>
        <v>1</v>
      </c>
      <c r="AJ57" s="54">
        <f>IFERROR(__xludf.DUMMYFUNCTION("IFERROR(
  VLOOKUP(
    A57,
    IMPORTRANGE(
      ""1SCYQd7_cobOYqT0r_F0IqD4tE4rYn5y8Eup4PJTH8es"",
      ""Snapshot!A:M""
    ),
    13,
    FALSE
  ),
  0
)
"),1.0)</f>
        <v>1</v>
      </c>
      <c r="AK57" s="49">
        <f t="shared" ref="AK57:AL57" si="280">LEN(C57)</f>
        <v>33</v>
      </c>
      <c r="AL57" s="49">
        <f t="shared" si="280"/>
        <v>159</v>
      </c>
    </row>
    <row r="58">
      <c r="A58" s="3" t="s">
        <v>1000</v>
      </c>
      <c r="B58" s="1" t="str">
        <f>IFERROR(__xludf.DUMMYFUNCTION("IFERROR(
  VLOOKUP(
    A58,
    IMPORTRANGE(
      ""1ZygntHC1J6IxzKbTidmOyf5nUyW4GCLurHCjexrLm_o"",
      ""HTMLキャッシュ!A:F""
    ),
    2,
    FALSE
  ),
  0
)
"),"MC")</f>
        <v>MC</v>
      </c>
      <c r="C58" s="1" t="str">
        <f>IFERROR(__xludf.DUMMYFUNCTION("IFERROR(
  VLOOKUP(
    A58,
    IMPORTRANGE(
      ""1ZygntHC1J6IxzKbTidmOyf5nUyW4GCLurHCjexrLm_o"",
      ""HTMLキャッシュ!A:F""
    ),
    5,
    FALSE
  ),
  0
)
"),"stage1_Lesson6-3 命令文 canの文(疑問文/be動詞の命令文)【ニュートレジャーの道案内】 - 受験英語専門ゼミ「Re-Write」(リライト)")</f>
        <v>stage1_Lesson6-3 命令文 canの文(疑問文/be動詞の命令文)【ニュートレジャーの道案内】 - 受験英語専門ゼミ「Re-Write」(リライト)</v>
      </c>
      <c r="D58" s="1" t="str">
        <f>IFERROR(__xludf.DUMMYFUNCTION("IFERROR(
  VLOOKUP(
    A58,
    IMPORTRANGE(
      ""1ZygntHC1J6IxzKbTidmOyf5nUyW4GCLurHCjexrLm_o        "",
      ""HTMLキャッシュ!A:F""
    ),
    6,
    FALSE
  ),
  0
)
"),"NEW TREASURE STAGE1 の文法事項・Lesson一覧の全体像は、NEW TREASURE")</f>
        <v>NEW TREASURE STAGE1 の文法事項・Lesson一覧の全体像は、NEW TREASURE</v>
      </c>
      <c r="E58" s="32">
        <f>IFERROR(__xludf.DUMMYFUNCTION("IFERROR(
  VLOOKUP(
    A58,
    IMPORTRANGE(
      ""1ZygntHC1J6IxzKbTidmOyf5nUyW4GCLurHCjexrLm_o        "",
      ""HTMLキャッシュ!A:F""
    ),
    3,
    FALSE
  ),
  0
)
"),46080.81291666667)</f>
        <v>46080.81292</v>
      </c>
      <c r="F58" s="49">
        <f>IFERROR(__xludf.DUMMYFUNCTION("IFERROR(
  VLOOKUP(
    A58,
    IMPORTRANGE(
      ""1ZHMy3vVUd_0MrSduXTe1etBb1HNpAlGwQr006ljwMiM"",
      ""GSC最新!A:F""
    ),
    2,
    FALSE
  ),
  0
)
"),4.0)</f>
        <v>4</v>
      </c>
      <c r="G58" s="49">
        <f>IFERROR(__xludf.DUMMYFUNCTION("IFERROR(
  VLOOKUP(
    A58,
    IMPORTRANGE(
      ""1ZHMy3vVUd_0MrSduXTe1etBb1HNpAlGwQr006ljwMiM"",
      ""GSC最新!A:F""
    ),
    3,
    FALSE
  ),
  0
)
"),13.0)</f>
        <v>13</v>
      </c>
      <c r="H58" s="49">
        <f>IFERROR(__xludf.DUMMYFUNCTION("IFERROR(
  VLOOKUP(
    A58,
    IMPORTRANGE(
      ""1ZHMy3vVUd_0MrSduXTe1etBb1HNpAlGwQr006ljwMiM"",
      ""GSC最新!A:F""
    ),
    4,
    FALSE
  ),
  0
)
"),1.0)</f>
        <v>1</v>
      </c>
      <c r="I58" s="49">
        <f>IFERROR(__xludf.DUMMYFUNCTION("IFERROR(
  VLOOKUP(
    A58,
    IMPORTRANGE(
      ""1ZHMy3vVUd_0MrSduXTe1etBb1HNpAlGwQr006ljwMiM"",
      ""GSC最新!A:F""
    ),
    5,
    FALSE
  ),
  0
)
"),2.0)</f>
        <v>2</v>
      </c>
      <c r="J58" s="50">
        <f t="shared" ref="J58:K58" si="281">IFERROR(F58/H58,"-")</f>
        <v>4</v>
      </c>
      <c r="K58" s="50">
        <f t="shared" si="281"/>
        <v>6.5</v>
      </c>
      <c r="L58" s="6">
        <f>IFERROR(__xludf.DUMMYFUNCTION("IFERROR(
  VLOOKUP(
    A58,
    IMPORTRANGE(
      ""1ZHMy3vVUd_0MrSduXTe1etBb1HNpAlGwQr006ljwMiM"",
      ""GSC最新!A:R""
    ),
    7,
    FALSE
  ),
  0
)
"),2223.0)</f>
        <v>2223</v>
      </c>
      <c r="M58" s="6">
        <f>IFERROR(__xludf.DUMMYFUNCTION("IFERROR(
  VLOOKUP(
    A58,
    IMPORTRANGE(
      ""1ZHMy3vVUd_0MrSduXTe1etBb1HNpAlGwQr006ljwMiM"",
      ""GSC最新!A:R""
    ),
    10,
    FALSE
  ),
  0
)
"),7650.0)</f>
        <v>7650</v>
      </c>
      <c r="N58" s="6">
        <f>IFERROR(__xludf.DUMMYFUNCTION("IFERROR(
  VLOOKUP(
    A58,
    IMPORTRANGE(
      ""1ZHMy3vVUd_0MrSduXTe1etBb1HNpAlGwQr006ljwMiM"",
      ""GSC最新!A:R""
    ),
    13,
    FALSE
  ),
  0
)
"),140.0)</f>
        <v>140</v>
      </c>
      <c r="O58" s="6">
        <f>IFERROR(__xludf.DUMMYFUNCTION("IFERROR(
  VLOOKUP(
    A58,
    IMPORTRANGE(
      ""1ZHMy3vVUd_0MrSduXTe1etBb1HNpAlGwQr006ljwMiM"",
      ""GSC最新!A:R""
    ),
    16,
    FALSE
  ),
  0
)
"),279.0)</f>
        <v>279</v>
      </c>
      <c r="P58" s="51">
        <f t="shared" ref="P58:Q58" si="282">IFERROR(L58/N58,"-")</f>
        <v>15.87857143</v>
      </c>
      <c r="Q58" s="51">
        <f t="shared" si="282"/>
        <v>27.41935484</v>
      </c>
      <c r="R58" s="9">
        <f>IFERROR(__xludf.DUMMYFUNCTION("IFERROR(
  VLOOKUP(
    A58,
    IMPORTRANGE(
      ""1ZHMy3vVUd_0MrSduXTe1etBb1HNpAlGwQr006ljwMiM"",
      ""GSC最新!A:R""
    ),
    8,
    FALSE
  ),
  0
)
"),0.001799370220422852)</f>
        <v>0.00179937022</v>
      </c>
      <c r="S58" s="9">
        <f>IFERROR(__xludf.DUMMYFUNCTION("IFERROR(
  VLOOKUP(
    A58,
    IMPORTRANGE(
      ""1ZHMy3vVUd_0MrSduXTe1etBb1HNpAlGwQr006ljwMiM"",
      ""GSC最新!A:R""
    ),
    11,
    FALSE
  ),
  0
)
"),0.0016993464052287581)</f>
        <v>0.001699346405</v>
      </c>
      <c r="T58" s="9">
        <f>IFERROR(__xludf.DUMMYFUNCTION("IFERROR(
  VLOOKUP(
    A58,
    IMPORTRANGE(
      ""1ZHMy3vVUd_0MrSduXTe1etBb1HNpAlGwQr006ljwMiM"",
      ""GSC最新!A:R""
    ),
    14,
    FALSE
  ),
  0
)
"),0.007142857142857143)</f>
        <v>0.007142857143</v>
      </c>
      <c r="U58" s="9">
        <f>IFERROR(__xludf.DUMMYFUNCTION("IFERROR(
  VLOOKUP(
    A58,
    IMPORTRANGE(
      ""1ZHMy3vVUd_0MrSduXTe1etBb1HNpAlGwQr006ljwMiM"",
      ""GSC最新!A:R""
    ),
    17,
    FALSE
  ),
  0
)
"),0.007168458781362007)</f>
        <v>0.007168458781</v>
      </c>
      <c r="V58" s="9">
        <f t="shared" ref="V58:W58" si="283">IFERROR(R58-T58,"-")</f>
        <v>-0.005343486922</v>
      </c>
      <c r="W58" s="9">
        <f t="shared" si="283"/>
        <v>-0.005469112376</v>
      </c>
      <c r="X58" s="65">
        <f>IFERROR(__xludf.DUMMYFUNCTION("IFERROR(
  VLOOKUP(
    A58,
    IMPORTRANGE(
      ""1ZHMy3vVUd_0MrSduXTe1etBb1HNpAlGwQr006ljwMiM"",
      ""GSC最新!A:R""
    ),
    9,
    FALSE
  ),
  0
)
"),3.5915429599640127)</f>
        <v>3.59154296</v>
      </c>
      <c r="Y58" s="65">
        <f>IFERROR(__xludf.DUMMYFUNCTION("IFERROR(
  VLOOKUP(
    A58,
    IMPORTRANGE(
      ""1ZHMy3vVUd_0MrSduXTe1etBb1HNpAlGwQr006ljwMiM"",
      ""GSC最新!A:R""
    ),
    12,
    FALSE
  ),
  0
)
"),3.6427450980392155)</f>
        <v>3.642745098</v>
      </c>
      <c r="Z58" s="65">
        <f>IFERROR(__xludf.DUMMYFUNCTION("IFERROR(
  VLOOKUP(
    A58,
    IMPORTRANGE(
      ""1ZHMy3vVUd_0MrSduXTe1etBb1HNpAlGwQr006ljwMiM"",
      ""GSC最新!A:R""
    ),
    15,
    FALSE
  ),
  0
)
"),11.142857142857142)</f>
        <v>11.14285714</v>
      </c>
      <c r="AA58" s="65">
        <f>IFERROR(__xludf.DUMMYFUNCTION("IFERROR(
  VLOOKUP(
    A58,
    IMPORTRANGE(
      ""1ZHMy3vVUd_0MrSduXTe1etBb1HNpAlGwQr006ljwMiM"",
      ""GSC最新!A:R""
    ),
    18,
    FALSE
  ),
  0
)
"),14.577060931899641)</f>
        <v>14.57706093</v>
      </c>
      <c r="AB58" s="65">
        <f t="shared" ref="AB58:AC58" si="284">X58-Z58</f>
        <v>-7.551314183</v>
      </c>
      <c r="AC58" s="65">
        <f t="shared" si="284"/>
        <v>-10.93431583</v>
      </c>
      <c r="AD58" s="53">
        <f>IFERROR(__xludf.DUMMYFUNCTION("IFERROR(
  VLOOKUP(
    A58,
    IMPORTRANGE(
      ""1ZHMy3vVUd_0MrSduXTe1etBb1HNpAlGwQr006ljwMiM"",
      ""GSC最新!A:F""
    ),
    6,
    FALSE
  ),
  0
)
"),46081.0)</f>
        <v>46081</v>
      </c>
      <c r="AE58" s="54">
        <f>IFERROR(__xludf.DUMMYFUNCTION("IFERROR(
  VLOOKUP(
    A58,
    IMPORTRANGE(
      ""1SCYQd7_cobOYqT0r_F0IqD4tE4rYn5y8Eup4PJTH8es"",
      ""Snapshot!A:M""
    ),
    5,
    FALSE
  ),
  ""-""
)
"),2.0)</f>
        <v>2</v>
      </c>
      <c r="AF58" s="54">
        <f>IFERROR(__xludf.DUMMYFUNCTION("IFERROR(
  VLOOKUP(
    A58,
    IMPORTRANGE(
      ""1SCYQd7_cobOYqT0r_F0IqD4tE4rYn5y8Eup4PJTH8es"",
      ""Snapshot!A:M""
    ),
    6,
    FALSE
  ),
  0
)
"),0.0)</f>
        <v>0</v>
      </c>
      <c r="AG58" s="54">
        <f>IFERROR(__xludf.DUMMYFUNCTION("IFERROR(
  VLOOKUP(
    A58,
    IMPORTRANGE(
      ""1SCYQd7_cobOYqT0r_F0IqD4tE4rYn5y8Eup4PJTH8es"",
      ""Snapshot!A:M""
    ),
    7,
    FALSE
  ),
  0
)
"),5160.0)</f>
        <v>5160</v>
      </c>
      <c r="AH58" s="54">
        <f>IFERROR(__xludf.DUMMYFUNCTION("IFERROR(
  VLOOKUP(
    A58,
    IMPORTRANGE(
      ""1SCYQd7_cobOYqT0r_F0IqD4tE4rYn5y8Eup4PJTH8es"",
      ""Snapshot!A:M""
    ),
    8,
    FALSE
  ),
  0
)
"),2.0)</f>
        <v>2</v>
      </c>
      <c r="AI58" s="54">
        <f>IFERROR(__xludf.DUMMYFUNCTION("IFERROR(
  VLOOKUP(
    A58,
    IMPORTRANGE(
      ""1SCYQd7_cobOYqT0r_F0IqD4tE4rYn5y8Eup4PJTH8es"",
      ""Snapshot!A:M""
    ),
    9,
    FALSE
  ),
  0
)
"),1.0)</f>
        <v>1</v>
      </c>
      <c r="AJ58" s="54">
        <f>IFERROR(__xludf.DUMMYFUNCTION("IFERROR(
  VLOOKUP(
    A58,
    IMPORTRANGE(
      ""1SCYQd7_cobOYqT0r_F0IqD4tE4rYn5y8Eup4PJTH8es"",
      ""Snapshot!A:M""
    ),
    13,
    FALSE
  ),
  0
)
"),1.0)</f>
        <v>1</v>
      </c>
      <c r="AK58" s="49">
        <f t="shared" ref="AK58:AL58" si="285">LEN(C58)</f>
        <v>81</v>
      </c>
      <c r="AL58" s="49">
        <f t="shared" si="285"/>
        <v>52</v>
      </c>
    </row>
    <row r="59">
      <c r="A59" s="3" t="s">
        <v>1001</v>
      </c>
      <c r="B59" s="1" t="str">
        <f>IFERROR(__xludf.DUMMYFUNCTION("IFERROR(
  VLOOKUP(
    A59,
    IMPORTRANGE(
      ""1ZygntHC1J6IxzKbTidmOyf5nUyW4GCLurHCjexrLm_o"",
      ""HTMLキャッシュ!A:F""
    ),
    2,
    FALSE
  ),
  0
)
"),"MC")</f>
        <v>MC</v>
      </c>
      <c r="C59" s="1" t="str">
        <f>IFERROR(__xludf.DUMMYFUNCTION("IFERROR(
  VLOOKUP(
    A59,
    IMPORTRANGE(
      ""1ZygntHC1J6IxzKbTidmOyf5nUyW4GCLurHCjexrLm_o"",
      ""HTMLキャッシュ!A:F""
    ),
    5,
    FALSE
  ),
  0
)
"),"現在進行形の使い方｜意味・語順・例文で基本を徹底整理")</f>
        <v>現在進行形の使い方｜意味・語順・例文で基本を徹底整理</v>
      </c>
      <c r="D59" s="1" t="str">
        <f>IFERROR(__xludf.DUMMYFUNCTION("IFERROR(
  VLOOKUP(
    A59,
    IMPORTRANGE(
      ""1ZygntHC1J6IxzKbTidmOyf5nUyW4GCLurHCjexrLm_o        "",
      ""HTMLキャッシュ!A:F""
    ),
    6,
    FALSE
  ),
  0
)
"),"Pleaseは文頭ならカンマ不要、文末は「, please」。Please don’t、Let’s返答まで例文＋10問で確認。")</f>
        <v>Pleaseは文頭ならカンマ不要、文末は「, please」。Please don’t、Let’s返答まで例文＋10問で確認。</v>
      </c>
      <c r="E59" s="32">
        <f>IFERROR(__xludf.DUMMYFUNCTION("IFERROR(
  VLOOKUP(
    A59,
    IMPORTRANGE(
      ""1ZygntHC1J6IxzKbTidmOyf5nUyW4GCLurHCjexrLm_o        "",
      ""HTMLキャッシュ!A:F""
    ),
    3,
    FALSE
  ),
  0
)
"),46081.607615740744)</f>
        <v>46081.60762</v>
      </c>
      <c r="F59" s="49">
        <f>IFERROR(__xludf.DUMMYFUNCTION("IFERROR(
  VLOOKUP(
    A59,
    IMPORTRANGE(
      ""1ZHMy3vVUd_0MrSduXTe1etBb1HNpAlGwQr006ljwMiM"",
      ""GSC最新!A:F""
    ),
    2,
    FALSE
  ),
  0
)
"),7.0)</f>
        <v>7</v>
      </c>
      <c r="G59" s="49">
        <f>IFERROR(__xludf.DUMMYFUNCTION("IFERROR(
  VLOOKUP(
    A59,
    IMPORTRANGE(
      ""1ZHMy3vVUd_0MrSduXTe1etBb1HNpAlGwQr006ljwMiM"",
      ""GSC最新!A:F""
    ),
    3,
    FALSE
  ),
  0
)
"),13.0)</f>
        <v>13</v>
      </c>
      <c r="H59" s="49">
        <f>IFERROR(__xludf.DUMMYFUNCTION("IFERROR(
  VLOOKUP(
    A59,
    IMPORTRANGE(
      ""1ZHMy3vVUd_0MrSduXTe1etBb1HNpAlGwQr006ljwMiM"",
      ""GSC最新!A:F""
    ),
    4,
    FALSE
  ),
  0
)
"),4.0)</f>
        <v>4</v>
      </c>
      <c r="I59" s="49">
        <f>IFERROR(__xludf.DUMMYFUNCTION("IFERROR(
  VLOOKUP(
    A59,
    IMPORTRANGE(
      ""1ZHMy3vVUd_0MrSduXTe1etBb1HNpAlGwQr006ljwMiM"",
      ""GSC最新!A:F""
    ),
    5,
    FALSE
  ),
  0
)
"),12.0)</f>
        <v>12</v>
      </c>
      <c r="J59" s="50">
        <f t="shared" ref="J59:K59" si="286">IFERROR(F59/H59,"-")</f>
        <v>1.75</v>
      </c>
      <c r="K59" s="50">
        <f t="shared" si="286"/>
        <v>1.083333333</v>
      </c>
      <c r="L59" s="6">
        <f>IFERROR(__xludf.DUMMYFUNCTION("IFERROR(
  VLOOKUP(
    A59,
    IMPORTRANGE(
      ""1ZHMy3vVUd_0MrSduXTe1etBb1HNpAlGwQr006ljwMiM"",
      ""GSC最新!A:R""
    ),
    7,
    FALSE
  ),
  0
)
"),2414.0)</f>
        <v>2414</v>
      </c>
      <c r="M59" s="6">
        <f>IFERROR(__xludf.DUMMYFUNCTION("IFERROR(
  VLOOKUP(
    A59,
    IMPORTRANGE(
      ""1ZHMy3vVUd_0MrSduXTe1etBb1HNpAlGwQr006ljwMiM"",
      ""GSC最新!A:R""
    ),
    10,
    FALSE
  ),
  0
)
"),5185.0)</f>
        <v>5185</v>
      </c>
      <c r="N59" s="6">
        <f>IFERROR(__xludf.DUMMYFUNCTION("IFERROR(
  VLOOKUP(
    A59,
    IMPORTRANGE(
      ""1ZHMy3vVUd_0MrSduXTe1etBb1HNpAlGwQr006ljwMiM"",
      ""GSC最新!A:R""
    ),
    13,
    FALSE
  ),
  0
)
"),139.0)</f>
        <v>139</v>
      </c>
      <c r="O59" s="6">
        <f>IFERROR(__xludf.DUMMYFUNCTION("IFERROR(
  VLOOKUP(
    A59,
    IMPORTRANGE(
      ""1ZHMy3vVUd_0MrSduXTe1etBb1HNpAlGwQr006ljwMiM"",
      ""GSC最新!A:R""
    ),
    16,
    FALSE
  ),
  0
)
"),611.0)</f>
        <v>611</v>
      </c>
      <c r="P59" s="51">
        <f t="shared" ref="P59:Q59" si="287">IFERROR(L59/N59,"-")</f>
        <v>17.36690647</v>
      </c>
      <c r="Q59" s="51">
        <f t="shared" si="287"/>
        <v>8.48608838</v>
      </c>
      <c r="R59" s="9">
        <f>IFERROR(__xludf.DUMMYFUNCTION("IFERROR(
  VLOOKUP(
    A59,
    IMPORTRANGE(
      ""1ZHMy3vVUd_0MrSduXTe1etBb1HNpAlGwQr006ljwMiM"",
      ""GSC最新!A:R""
    ),
    8,
    FALSE
  ),
  0
)
"),0.002899751449875725)</f>
        <v>0.00289975145</v>
      </c>
      <c r="S59" s="9">
        <f>IFERROR(__xludf.DUMMYFUNCTION("IFERROR(
  VLOOKUP(
    A59,
    IMPORTRANGE(
      ""1ZHMy3vVUd_0MrSduXTe1etBb1HNpAlGwQr006ljwMiM"",
      ""GSC最新!A:R""
    ),
    11,
    FALSE
  ),
  0
)
"),0.002507232401157184)</f>
        <v>0.002507232401</v>
      </c>
      <c r="T59" s="9">
        <f>IFERROR(__xludf.DUMMYFUNCTION("IFERROR(
  VLOOKUP(
    A59,
    IMPORTRANGE(
      ""1ZHMy3vVUd_0MrSduXTe1etBb1HNpAlGwQr006ljwMiM"",
      ""GSC最新!A:R""
    ),
    14,
    FALSE
  ),
  0
)
"),0.02877697841726619)</f>
        <v>0.02877697842</v>
      </c>
      <c r="U59" s="9">
        <f>IFERROR(__xludf.DUMMYFUNCTION("IFERROR(
  VLOOKUP(
    A59,
    IMPORTRANGE(
      ""1ZHMy3vVUd_0MrSduXTe1etBb1HNpAlGwQr006ljwMiM"",
      ""GSC最新!A:R""
    ),
    17,
    FALSE
  ),
  0
)
"),0.019639934533551555)</f>
        <v>0.01963993453</v>
      </c>
      <c r="V59" s="9">
        <f t="shared" ref="V59:W59" si="288">IFERROR(R59-T59,"-")</f>
        <v>-0.02587722697</v>
      </c>
      <c r="W59" s="9">
        <f t="shared" si="288"/>
        <v>-0.01713270213</v>
      </c>
      <c r="X59" s="65">
        <f>IFERROR(__xludf.DUMMYFUNCTION("IFERROR(
  VLOOKUP(
    A59,
    IMPORTRANGE(
      ""1ZHMy3vVUd_0MrSduXTe1etBb1HNpAlGwQr006ljwMiM"",
      ""GSC最新!A:R""
    ),
    9,
    FALSE
  ),
  0
)
"),4.912593206296603)</f>
        <v>4.912593206</v>
      </c>
      <c r="Y59" s="65">
        <f>IFERROR(__xludf.DUMMYFUNCTION("IFERROR(
  VLOOKUP(
    A59,
    IMPORTRANGE(
      ""1ZHMy3vVUd_0MrSduXTe1etBb1HNpAlGwQr006ljwMiM"",
      ""GSC最新!A:R""
    ),
    12,
    FALSE
  ),
  0
)
"),4.998457087753135)</f>
        <v>4.998457088</v>
      </c>
      <c r="Z59" s="65">
        <f>IFERROR(__xludf.DUMMYFUNCTION("IFERROR(
  VLOOKUP(
    A59,
    IMPORTRANGE(
      ""1ZHMy3vVUd_0MrSduXTe1etBb1HNpAlGwQr006ljwMiM"",
      ""GSC最新!A:R""
    ),
    15,
    FALSE
  ),
  0
)
"),10.151079136690647)</f>
        <v>10.15107914</v>
      </c>
      <c r="AA59" s="65">
        <f>IFERROR(__xludf.DUMMYFUNCTION("IFERROR(
  VLOOKUP(
    A59,
    IMPORTRANGE(
      ""1ZHMy3vVUd_0MrSduXTe1etBb1HNpAlGwQr006ljwMiM"",
      ""GSC最新!A:R""
    ),
    18,
    FALSE
  ),
  0
)
"),18.415711947626843)</f>
        <v>18.41571195</v>
      </c>
      <c r="AB59" s="65">
        <f t="shared" ref="AB59:AC59" si="289">X59-Z59</f>
        <v>-5.23848593</v>
      </c>
      <c r="AC59" s="65">
        <f t="shared" si="289"/>
        <v>-13.41725486</v>
      </c>
      <c r="AD59" s="53">
        <f>IFERROR(__xludf.DUMMYFUNCTION("IFERROR(
  VLOOKUP(
    A59,
    IMPORTRANGE(
      ""1ZHMy3vVUd_0MrSduXTe1etBb1HNpAlGwQr006ljwMiM"",
      ""GSC最新!A:F""
    ),
    6,
    FALSE
  ),
  0
)
"),46081.0)</f>
        <v>46081</v>
      </c>
      <c r="AE59" s="54">
        <f>IFERROR(__xludf.DUMMYFUNCTION("IFERROR(
  VLOOKUP(
    A59,
    IMPORTRANGE(
      ""1SCYQd7_cobOYqT0r_F0IqD4tE4rYn5y8Eup4PJTH8es"",
      ""Snapshot!A:M""
    ),
    5,
    FALSE
  ),
  ""-""
)
"),0.0)</f>
        <v>0</v>
      </c>
      <c r="AF59" s="54">
        <f>IFERROR(__xludf.DUMMYFUNCTION("IFERROR(
  VLOOKUP(
    A59,
    IMPORTRANGE(
      ""1SCYQd7_cobOYqT0r_F0IqD4tE4rYn5y8Eup4PJTH8es"",
      ""Snapshot!A:M""
    ),
    6,
    FALSE
  ),
  0
)
"),0.0)</f>
        <v>0</v>
      </c>
      <c r="AG59" s="54">
        <f>IFERROR(__xludf.DUMMYFUNCTION("IFERROR(
  VLOOKUP(
    A59,
    IMPORTRANGE(
      ""1SCYQd7_cobOYqT0r_F0IqD4tE4rYn5y8Eup4PJTH8es"",
      ""Snapshot!A:M""
    ),
    7,
    FALSE
  ),
  0
)
"),4061.0)</f>
        <v>4061</v>
      </c>
      <c r="AH59" s="54">
        <f>IFERROR(__xludf.DUMMYFUNCTION("IFERROR(
  VLOOKUP(
    A59,
    IMPORTRANGE(
      ""1SCYQd7_cobOYqT0r_F0IqD4tE4rYn5y8Eup4PJTH8es"",
      ""Snapshot!A:M""
    ),
    8,
    FALSE
  ),
  0
)
"),2.0)</f>
        <v>2</v>
      </c>
      <c r="AI59" s="54">
        <f>IFERROR(__xludf.DUMMYFUNCTION("IFERROR(
  VLOOKUP(
    A59,
    IMPORTRANGE(
      ""1SCYQd7_cobOYqT0r_F0IqD4tE4rYn5y8Eup4PJTH8es"",
      ""Snapshot!A:M""
    ),
    9,
    FALSE
  ),
  0
)
"),1.0)</f>
        <v>1</v>
      </c>
      <c r="AJ59" s="54">
        <f>IFERROR(__xludf.DUMMYFUNCTION("IFERROR(
  VLOOKUP(
    A59,
    IMPORTRANGE(
      ""1SCYQd7_cobOYqT0r_F0IqD4tE4rYn5y8Eup4PJTH8es"",
      ""Snapshot!A:M""
    ),
    13,
    FALSE
  ),
  0
)
"),1.0)</f>
        <v>1</v>
      </c>
      <c r="AK59" s="49">
        <f t="shared" ref="AK59:AL59" si="290">LEN(C59)</f>
        <v>26</v>
      </c>
      <c r="AL59" s="49">
        <f t="shared" si="290"/>
        <v>63</v>
      </c>
    </row>
    <row r="60">
      <c r="A60" s="3" t="s">
        <v>1002</v>
      </c>
      <c r="B60" s="1" t="str">
        <f>IFERROR(__xludf.DUMMYFUNCTION("IFERROR(
  VLOOKUP(
    A60,
    IMPORTRANGE(
      ""1ZygntHC1J6IxzKbTidmOyf5nUyW4GCLurHCjexrLm_o"",
      ""HTMLキャッシュ!A:F""
    ),
    2,
    FALSE
  ),
  0
)
"),"MC")</f>
        <v>MC</v>
      </c>
      <c r="C60" s="1" t="str">
        <f>IFERROR(__xludf.DUMMYFUNCTION("IFERROR(
  VLOOKUP(
    A60,
    IMPORTRANGE(
      ""1ZygntHC1J6IxzKbTidmOyf5nUyW4GCLurHCjexrLm_o"",
      ""HTMLキャッシュ!A:F""
    ),
    5,
    FALSE
  ),
  0
)
"),"前置詞のtoと不定詞のtoを見分ける｜to V原＋前置詞・例文整理")</f>
        <v>前置詞のtoと不定詞のtoを見分ける｜to V原＋前置詞・例文整理</v>
      </c>
      <c r="D60" s="1" t="str">
        <f>IFERROR(__xludf.DUMMYFUNCTION("IFERROR(
  VLOOKUP(
    A60,
    IMPORTRANGE(
      ""1ZygntHC1J6IxzKbTidmOyf5nUyW4GCLurHCjexrLm_o        "",
      ""HTMLキャッシュ!A:F""
    ),
    6,
    FALSE
  ),
  0
)
"),"前置詞のtoと不定詞のtoを例文で区別。to write withのwithを残す理由、a bench to sit onの形、came to／seem to／appear toを整理。")</f>
        <v>前置詞のtoと不定詞のtoを例文で区別。to write withのwithを残す理由、a bench to sit onの形、came to／seem to／appear toを整理。</v>
      </c>
      <c r="E60" s="32">
        <f>IFERROR(__xludf.DUMMYFUNCTION("IFERROR(
  VLOOKUP(
    A60,
    IMPORTRANGE(
      ""1ZygntHC1J6IxzKbTidmOyf5nUyW4GCLurHCjexrLm_o        "",
      ""HTMLキャッシュ!A:F""
    ),
    3,
    FALSE
  ),
  0
)
"),46077.82832175926)</f>
        <v>46077.82832</v>
      </c>
      <c r="F60" s="49">
        <f>IFERROR(__xludf.DUMMYFUNCTION("IFERROR(
  VLOOKUP(
    A60,
    IMPORTRANGE(
      ""1ZHMy3vVUd_0MrSduXTe1etBb1HNpAlGwQr006ljwMiM"",
      ""GSC最新!A:F""
    ),
    2,
    FALSE
  ),
  0
)
"),4.0)</f>
        <v>4</v>
      </c>
      <c r="G60" s="49">
        <f>IFERROR(__xludf.DUMMYFUNCTION("IFERROR(
  VLOOKUP(
    A60,
    IMPORTRANGE(
      ""1ZHMy3vVUd_0MrSduXTe1etBb1HNpAlGwQr006ljwMiM"",
      ""GSC最新!A:F""
    ),
    3,
    FALSE
  ),
  0
)
"),13.0)</f>
        <v>13</v>
      </c>
      <c r="H60" s="49">
        <f>IFERROR(__xludf.DUMMYFUNCTION("IFERROR(
  VLOOKUP(
    A60,
    IMPORTRANGE(
      ""1ZHMy3vVUd_0MrSduXTe1etBb1HNpAlGwQr006ljwMiM"",
      ""GSC最新!A:F""
    ),
    4,
    FALSE
  ),
  0
)
"),1.0)</f>
        <v>1</v>
      </c>
      <c r="I60" s="49">
        <f>IFERROR(__xludf.DUMMYFUNCTION("IFERROR(
  VLOOKUP(
    A60,
    IMPORTRANGE(
      ""1ZHMy3vVUd_0MrSduXTe1etBb1HNpAlGwQr006ljwMiM"",
      ""GSC最新!A:F""
    ),
    5,
    FALSE
  ),
  0
)
"),1.0)</f>
        <v>1</v>
      </c>
      <c r="J60" s="50">
        <f t="shared" ref="J60:K60" si="291">IFERROR(F60/H60,"-")</f>
        <v>4</v>
      </c>
      <c r="K60" s="50">
        <f t="shared" si="291"/>
        <v>13</v>
      </c>
      <c r="L60" s="6">
        <f>IFERROR(__xludf.DUMMYFUNCTION("IFERROR(
  VLOOKUP(
    A60,
    IMPORTRANGE(
      ""1ZHMy3vVUd_0MrSduXTe1etBb1HNpAlGwQr006ljwMiM"",
      ""GSC最新!A:R""
    ),
    7,
    FALSE
  ),
  0
)
"),1717.0)</f>
        <v>1717</v>
      </c>
      <c r="M60" s="6">
        <f>IFERROR(__xludf.DUMMYFUNCTION("IFERROR(
  VLOOKUP(
    A60,
    IMPORTRANGE(
      ""1ZHMy3vVUd_0MrSduXTe1etBb1HNpAlGwQr006ljwMiM"",
      ""GSC最新!A:R""
    ),
    10,
    FALSE
  ),
  0
)
"),3162.0)</f>
        <v>3162</v>
      </c>
      <c r="N60" s="6">
        <f>IFERROR(__xludf.DUMMYFUNCTION("IFERROR(
  VLOOKUP(
    A60,
    IMPORTRANGE(
      ""1ZHMy3vVUd_0MrSduXTe1etBb1HNpAlGwQr006ljwMiM"",
      ""GSC最新!A:R""
    ),
    13,
    FALSE
  ),
  0
)
"),185.0)</f>
        <v>185</v>
      </c>
      <c r="O60" s="6">
        <f>IFERROR(__xludf.DUMMYFUNCTION("IFERROR(
  VLOOKUP(
    A60,
    IMPORTRANGE(
      ""1ZHMy3vVUd_0MrSduXTe1etBb1HNpAlGwQr006ljwMiM"",
      ""GSC最新!A:R""
    ),
    16,
    FALSE
  ),
  0
)
"),528.0)</f>
        <v>528</v>
      </c>
      <c r="P60" s="51">
        <f t="shared" ref="P60:Q60" si="292">IFERROR(L60/N60,"-")</f>
        <v>9.281081081</v>
      </c>
      <c r="Q60" s="51">
        <f t="shared" si="292"/>
        <v>5.988636364</v>
      </c>
      <c r="R60" s="9">
        <f>IFERROR(__xludf.DUMMYFUNCTION("IFERROR(
  VLOOKUP(
    A60,
    IMPORTRANGE(
      ""1ZHMy3vVUd_0MrSduXTe1etBb1HNpAlGwQr006ljwMiM"",
      ""GSC最新!A:R""
    ),
    8,
    FALSE
  ),
  0
)
"),0.0023296447291788003)</f>
        <v>0.002329644729</v>
      </c>
      <c r="S60" s="9">
        <f>IFERROR(__xludf.DUMMYFUNCTION("IFERROR(
  VLOOKUP(
    A60,
    IMPORTRANGE(
      ""1ZHMy3vVUd_0MrSduXTe1etBb1HNpAlGwQr006ljwMiM"",
      ""GSC最新!A:R""
    ),
    11,
    FALSE
  ),
  0
)
"),0.004111321948134092)</f>
        <v>0.004111321948</v>
      </c>
      <c r="T60" s="9">
        <f>IFERROR(__xludf.DUMMYFUNCTION("IFERROR(
  VLOOKUP(
    A60,
    IMPORTRANGE(
      ""1ZHMy3vVUd_0MrSduXTe1etBb1HNpAlGwQr006ljwMiM"",
      ""GSC最新!A:R""
    ),
    14,
    FALSE
  ),
  0
)
"),0.005405405405405406)</f>
        <v>0.005405405405</v>
      </c>
      <c r="U60" s="9">
        <f>IFERROR(__xludf.DUMMYFUNCTION("IFERROR(
  VLOOKUP(
    A60,
    IMPORTRANGE(
      ""1ZHMy3vVUd_0MrSduXTe1etBb1HNpAlGwQr006ljwMiM"",
      ""GSC最新!A:R""
    ),
    17,
    FALSE
  ),
  0
)
"),0.001893939393939394)</f>
        <v>0.001893939394</v>
      </c>
      <c r="V60" s="9">
        <f t="shared" ref="V60:W60" si="293">IFERROR(R60-T60,"-")</f>
        <v>-0.003075760676</v>
      </c>
      <c r="W60" s="9">
        <f t="shared" si="293"/>
        <v>0.002217382554</v>
      </c>
      <c r="X60" s="65">
        <f>IFERROR(__xludf.DUMMYFUNCTION("IFERROR(
  VLOOKUP(
    A60,
    IMPORTRANGE(
      ""1ZHMy3vVUd_0MrSduXTe1etBb1HNpAlGwQr006ljwMiM"",
      ""GSC最新!A:R""
    ),
    9,
    FALSE
  ),
  0
)
"),4.372743156668609)</f>
        <v>4.372743157</v>
      </c>
      <c r="Y60" s="65">
        <f>IFERROR(__xludf.DUMMYFUNCTION("IFERROR(
  VLOOKUP(
    A60,
    IMPORTRANGE(
      ""1ZHMy3vVUd_0MrSduXTe1etBb1HNpAlGwQr006ljwMiM"",
      ""GSC最新!A:R""
    ),
    12,
    FALSE
  ),
  0
)
"),4.860847564832385)</f>
        <v>4.860847565</v>
      </c>
      <c r="Z60" s="65">
        <f>IFERROR(__xludf.DUMMYFUNCTION("IFERROR(
  VLOOKUP(
    A60,
    IMPORTRANGE(
      ""1ZHMy3vVUd_0MrSduXTe1etBb1HNpAlGwQr006ljwMiM"",
      ""GSC最新!A:R""
    ),
    15,
    FALSE
  ),
  0
)
"),8.18918918918919)</f>
        <v>8.189189189</v>
      </c>
      <c r="AA60" s="65">
        <f>IFERROR(__xludf.DUMMYFUNCTION("IFERROR(
  VLOOKUP(
    A60,
    IMPORTRANGE(
      ""1ZHMy3vVUd_0MrSduXTe1etBb1HNpAlGwQr006ljwMiM"",
      ""GSC最新!A:R""
    ),
    18,
    FALSE
  ),
  0
)
"),9.657196969696969)</f>
        <v>9.65719697</v>
      </c>
      <c r="AB60" s="65">
        <f t="shared" ref="AB60:AC60" si="294">X60-Z60</f>
        <v>-3.816446033</v>
      </c>
      <c r="AC60" s="65">
        <f t="shared" si="294"/>
        <v>-4.796349405</v>
      </c>
      <c r="AD60" s="53">
        <f>IFERROR(__xludf.DUMMYFUNCTION("IFERROR(
  VLOOKUP(
    A60,
    IMPORTRANGE(
      ""1ZHMy3vVUd_0MrSduXTe1etBb1HNpAlGwQr006ljwMiM"",
      ""GSC最新!A:F""
    ),
    6,
    FALSE
  ),
  0
)
"),46081.0)</f>
        <v>46081</v>
      </c>
      <c r="AE60" s="54">
        <f>IFERROR(__xludf.DUMMYFUNCTION("IFERROR(
  VLOOKUP(
    A60,
    IMPORTRANGE(
      ""1SCYQd7_cobOYqT0r_F0IqD4tE4rYn5y8Eup4PJTH8es"",
      ""Snapshot!A:M""
    ),
    5,
    FALSE
  ),
  ""-""
)
"),1.0)</f>
        <v>1</v>
      </c>
      <c r="AF60" s="54">
        <f>IFERROR(__xludf.DUMMYFUNCTION("IFERROR(
  VLOOKUP(
    A60,
    IMPORTRANGE(
      ""1SCYQd7_cobOYqT0r_F0IqD4tE4rYn5y8Eup4PJTH8es"",
      ""Snapshot!A:M""
    ),
    6,
    FALSE
  ),
  0
)
"),6.0)</f>
        <v>6</v>
      </c>
      <c r="AG60" s="54">
        <f>IFERROR(__xludf.DUMMYFUNCTION("IFERROR(
  VLOOKUP(
    A60,
    IMPORTRANGE(
      ""1SCYQd7_cobOYqT0r_F0IqD4tE4rYn5y8Eup4PJTH8es"",
      ""Snapshot!A:M""
    ),
    7,
    FALSE
  ),
  0
)
"),4058.0)</f>
        <v>4058</v>
      </c>
      <c r="AH60" s="54">
        <f>IFERROR(__xludf.DUMMYFUNCTION("IFERROR(
  VLOOKUP(
    A60,
    IMPORTRANGE(
      ""1SCYQd7_cobOYqT0r_F0IqD4tE4rYn5y8Eup4PJTH8es"",
      ""Snapshot!A:M""
    ),
    8,
    FALSE
  ),
  0
)
"),2.0)</f>
        <v>2</v>
      </c>
      <c r="AI60" s="54">
        <f>IFERROR(__xludf.DUMMYFUNCTION("IFERROR(
  VLOOKUP(
    A60,
    IMPORTRANGE(
      ""1SCYQd7_cobOYqT0r_F0IqD4tE4rYn5y8Eup4PJTH8es"",
      ""Snapshot!A:M""
    ),
    9,
    FALSE
  ),
  0
)
"),1.0)</f>
        <v>1</v>
      </c>
      <c r="AJ60" s="54">
        <f>IFERROR(__xludf.DUMMYFUNCTION("IFERROR(
  VLOOKUP(
    A60,
    IMPORTRANGE(
      ""1SCYQd7_cobOYqT0r_F0IqD4tE4rYn5y8Eup4PJTH8es"",
      ""Snapshot!A:M""
    ),
    13,
    FALSE
  ),
  0
)
"),1.0)</f>
        <v>1</v>
      </c>
      <c r="AK60" s="49">
        <f t="shared" ref="AK60:AL60" si="295">LEN(C60)</f>
        <v>33</v>
      </c>
      <c r="AL60" s="49">
        <f t="shared" si="295"/>
        <v>93</v>
      </c>
    </row>
    <row r="61">
      <c r="A61" s="3" t="s">
        <v>1003</v>
      </c>
      <c r="B61" s="1" t="str">
        <f>IFERROR(__xludf.DUMMYFUNCTION("IFERROR(
  VLOOKUP(
    A61,
    IMPORTRANGE(
      ""1ZygntHC1J6IxzKbTidmOyf5nUyW4GCLurHCjexrLm_o"",
      ""HTMLキャッシュ!A:F""
    ),
    2,
    FALSE
  ),
  0
)
"),"MC")</f>
        <v>MC</v>
      </c>
      <c r="C61" s="1" t="str">
        <f>IFERROR(__xludf.DUMMYFUNCTION("IFERROR(
  VLOOKUP(
    A61,
    IMPORTRANGE(
      ""1ZygntHC1J6IxzKbTidmOyf5nUyW4GCLurHCjexrLm_o"",
      ""HTMLキャッシュ!A:F""
    ),
    5,
    FALSE
  ),
  0
)
"),"関係代名詞の目的格｜whom/which/that の用法と省略ルール")</f>
        <v>関係代名詞の目的格｜whom/which/that の用法と省略ルール</v>
      </c>
      <c r="D61" s="1" t="str">
        <f>IFERROR(__xludf.DUMMYFUNCTION("IFERROR(
  VLOOKUP(
    A61,
    IMPORTRANGE(
      ""1ZygntHC1J6IxzKbTidmOyf5nUyW4GCLurHCjexrLm_o        "",
      ""HTMLキャッシュ!A:F""
    ),
    6,
    FALSE
  ),
  0
)
"),"シーハーハー（she/her/hers）の違いを表で整理。her＝目的格から関係代名詞whom/thatへつなげて例文で確認。")</f>
        <v>シーハーハー（she/her/hers）の違いを表で整理。her＝目的格から関係代名詞whom/thatへつなげて例文で確認。</v>
      </c>
      <c r="E61" s="32">
        <f>IFERROR(__xludf.DUMMYFUNCTION("IFERROR(
  VLOOKUP(
    A61,
    IMPORTRANGE(
      ""1ZygntHC1J6IxzKbTidmOyf5nUyW4GCLurHCjexrLm_o        "",
      ""HTMLキャッシュ!A:F""
    ),
    3,
    FALSE
  ),
  0
)
"),46074.55809027778)</f>
        <v>46074.55809</v>
      </c>
      <c r="F61" s="49">
        <f>IFERROR(__xludf.DUMMYFUNCTION("IFERROR(
  VLOOKUP(
    A61,
    IMPORTRANGE(
      ""1ZHMy3vVUd_0MrSduXTe1etBb1HNpAlGwQr006ljwMiM"",
      ""GSC最新!A:F""
    ),
    2,
    FALSE
  ),
  0
)
"),2.0)</f>
        <v>2</v>
      </c>
      <c r="G61" s="49">
        <f>IFERROR(__xludf.DUMMYFUNCTION("IFERROR(
  VLOOKUP(
    A61,
    IMPORTRANGE(
      ""1ZHMy3vVUd_0MrSduXTe1etBb1HNpAlGwQr006ljwMiM"",
      ""GSC最新!A:F""
    ),
    3,
    FALSE
  ),
  0
)
"),12.0)</f>
        <v>12</v>
      </c>
      <c r="H61" s="49">
        <f>IFERROR(__xludf.DUMMYFUNCTION("IFERROR(
  VLOOKUP(
    A61,
    IMPORTRANGE(
      ""1ZHMy3vVUd_0MrSduXTe1etBb1HNpAlGwQr006ljwMiM"",
      ""GSC最新!A:F""
    ),
    4,
    FALSE
  ),
  0
)
"),3.0)</f>
        <v>3</v>
      </c>
      <c r="I61" s="49">
        <f>IFERROR(__xludf.DUMMYFUNCTION("IFERROR(
  VLOOKUP(
    A61,
    IMPORTRANGE(
      ""1ZHMy3vVUd_0MrSduXTe1etBb1HNpAlGwQr006ljwMiM"",
      ""GSC最新!A:F""
    ),
    5,
    FALSE
  ),
  0
)
"),5.0)</f>
        <v>5</v>
      </c>
      <c r="J61" s="50">
        <f t="shared" ref="J61:K61" si="296">IFERROR(F61/H61,"-")</f>
        <v>0.6666666667</v>
      </c>
      <c r="K61" s="50">
        <f t="shared" si="296"/>
        <v>2.4</v>
      </c>
      <c r="L61" s="6">
        <f>IFERROR(__xludf.DUMMYFUNCTION("IFERROR(
  VLOOKUP(
    A61,
    IMPORTRANGE(
      ""1ZHMy3vVUd_0MrSduXTe1etBb1HNpAlGwQr006ljwMiM"",
      ""GSC最新!A:R""
    ),
    7,
    FALSE
  ),
  0
)
"),1408.0)</f>
        <v>1408</v>
      </c>
      <c r="M61" s="6">
        <f>IFERROR(__xludf.DUMMYFUNCTION("IFERROR(
  VLOOKUP(
    A61,
    IMPORTRANGE(
      ""1ZHMy3vVUd_0MrSduXTe1etBb1HNpAlGwQr006ljwMiM"",
      ""GSC最新!A:R""
    ),
    10,
    FALSE
  ),
  0
)
"),2644.0)</f>
        <v>2644</v>
      </c>
      <c r="N61" s="6">
        <f>IFERROR(__xludf.DUMMYFUNCTION("IFERROR(
  VLOOKUP(
    A61,
    IMPORTRANGE(
      ""1ZHMy3vVUd_0MrSduXTe1etBb1HNpAlGwQr006ljwMiM"",
      ""GSC最新!A:R""
    ),
    13,
    FALSE
  ),
  0
)
"),189.0)</f>
        <v>189</v>
      </c>
      <c r="O61" s="6">
        <f>IFERROR(__xludf.DUMMYFUNCTION("IFERROR(
  VLOOKUP(
    A61,
    IMPORTRANGE(
      ""1ZHMy3vVUd_0MrSduXTe1etBb1HNpAlGwQr006ljwMiM"",
      ""GSC最新!A:R""
    ),
    16,
    FALSE
  ),
  0
)
"),468.0)</f>
        <v>468</v>
      </c>
      <c r="P61" s="51">
        <f t="shared" ref="P61:Q61" si="297">IFERROR(L61/N61,"-")</f>
        <v>7.44973545</v>
      </c>
      <c r="Q61" s="51">
        <f t="shared" si="297"/>
        <v>5.64957265</v>
      </c>
      <c r="R61" s="9">
        <f>IFERROR(__xludf.DUMMYFUNCTION("IFERROR(
  VLOOKUP(
    A61,
    IMPORTRANGE(
      ""1ZHMy3vVUd_0MrSduXTe1etBb1HNpAlGwQr006ljwMiM"",
      ""GSC最新!A:R""
    ),
    8,
    FALSE
  ),
  0
)
"),0.0014204545454545455)</f>
        <v>0.001420454545</v>
      </c>
      <c r="S61" s="9">
        <f>IFERROR(__xludf.DUMMYFUNCTION("IFERROR(
  VLOOKUP(
    A61,
    IMPORTRANGE(
      ""1ZHMy3vVUd_0MrSduXTe1etBb1HNpAlGwQr006ljwMiM"",
      ""GSC最新!A:R""
    ),
    11,
    FALSE
  ),
  0
)
"),0.0045385779122541605)</f>
        <v>0.004538577912</v>
      </c>
      <c r="T61" s="9">
        <f>IFERROR(__xludf.DUMMYFUNCTION("IFERROR(
  VLOOKUP(
    A61,
    IMPORTRANGE(
      ""1ZHMy3vVUd_0MrSduXTe1etBb1HNpAlGwQr006ljwMiM"",
      ""GSC最新!A:R""
    ),
    14,
    FALSE
  ),
  0
)
"),0.015873015873015872)</f>
        <v>0.01587301587</v>
      </c>
      <c r="U61" s="9">
        <f>IFERROR(__xludf.DUMMYFUNCTION("IFERROR(
  VLOOKUP(
    A61,
    IMPORTRANGE(
      ""1ZHMy3vVUd_0MrSduXTe1etBb1HNpAlGwQr006ljwMiM"",
      ""GSC最新!A:R""
    ),
    17,
    FALSE
  ),
  0
)
"),0.010683760683760684)</f>
        <v>0.01068376068</v>
      </c>
      <c r="V61" s="9">
        <f t="shared" ref="V61:W61" si="298">IFERROR(R61-T61,"-")</f>
        <v>-0.01445256133</v>
      </c>
      <c r="W61" s="9">
        <f t="shared" si="298"/>
        <v>-0.006145182772</v>
      </c>
      <c r="X61" s="65">
        <f>IFERROR(__xludf.DUMMYFUNCTION("IFERROR(
  VLOOKUP(
    A61,
    IMPORTRANGE(
      ""1ZHMy3vVUd_0MrSduXTe1etBb1HNpAlGwQr006ljwMiM"",
      ""GSC最新!A:R""
    ),
    9,
    FALSE
  ),
  0
)
"),7.703125)</f>
        <v>7.703125</v>
      </c>
      <c r="Y61" s="65">
        <f>IFERROR(__xludf.DUMMYFUNCTION("IFERROR(
  VLOOKUP(
    A61,
    IMPORTRANGE(
      ""1ZHMy3vVUd_0MrSduXTe1etBb1HNpAlGwQr006ljwMiM"",
      ""GSC最新!A:R""
    ),
    12,
    FALSE
  ),
  0
)
"),6.50642965204236)</f>
        <v>6.506429652</v>
      </c>
      <c r="Z61" s="65">
        <f>IFERROR(__xludf.DUMMYFUNCTION("IFERROR(
  VLOOKUP(
    A61,
    IMPORTRANGE(
      ""1ZHMy3vVUd_0MrSduXTe1etBb1HNpAlGwQr006ljwMiM"",
      ""GSC最新!A:R""
    ),
    15,
    FALSE
  ),
  0
)
"),7.338624338624339)</f>
        <v>7.338624339</v>
      </c>
      <c r="AA61" s="65">
        <f>IFERROR(__xludf.DUMMYFUNCTION("IFERROR(
  VLOOKUP(
    A61,
    IMPORTRANGE(
      ""1ZHMy3vVUd_0MrSduXTe1etBb1HNpAlGwQr006ljwMiM"",
      ""GSC最新!A:R""
    ),
    18,
    FALSE
  ),
  0
)
"),15.066239316239317)</f>
        <v>15.06623932</v>
      </c>
      <c r="AB61" s="65">
        <f t="shared" ref="AB61:AC61" si="299">X61-Z61</f>
        <v>0.3645006614</v>
      </c>
      <c r="AC61" s="65">
        <f t="shared" si="299"/>
        <v>-8.559809664</v>
      </c>
      <c r="AD61" s="53">
        <f>IFERROR(__xludf.DUMMYFUNCTION("IFERROR(
  VLOOKUP(
    A61,
    IMPORTRANGE(
      ""1ZHMy3vVUd_0MrSduXTe1etBb1HNpAlGwQr006ljwMiM"",
      ""GSC最新!A:F""
    ),
    6,
    FALSE
  ),
  0
)
"),46081.0)</f>
        <v>46081</v>
      </c>
      <c r="AE61" s="54">
        <f>IFERROR(__xludf.DUMMYFUNCTION("IFERROR(
  VLOOKUP(
    A61,
    IMPORTRANGE(
      ""1SCYQd7_cobOYqT0r_F0IqD4tE4rYn5y8Eup4PJTH8es"",
      ""Snapshot!A:M""
    ),
    5,
    FALSE
  ),
  ""-""
)
"),2.0)</f>
        <v>2</v>
      </c>
      <c r="AF61" s="54">
        <f>IFERROR(__xludf.DUMMYFUNCTION("IFERROR(
  VLOOKUP(
    A61,
    IMPORTRANGE(
      ""1SCYQd7_cobOYqT0r_F0IqD4tE4rYn5y8Eup4PJTH8es"",
      ""Snapshot!A:M""
    ),
    6,
    FALSE
  ),
  0
)
"),0.0)</f>
        <v>0</v>
      </c>
      <c r="AG61" s="54">
        <f>IFERROR(__xludf.DUMMYFUNCTION("IFERROR(
  VLOOKUP(
    A61,
    IMPORTRANGE(
      ""1SCYQd7_cobOYqT0r_F0IqD4tE4rYn5y8Eup4PJTH8es"",
      ""Snapshot!A:M""
    ),
    7,
    FALSE
  ),
  0
)
"),9809.0)</f>
        <v>9809</v>
      </c>
      <c r="AH61" s="54">
        <f>IFERROR(__xludf.DUMMYFUNCTION("IFERROR(
  VLOOKUP(
    A61,
    IMPORTRANGE(
      ""1SCYQd7_cobOYqT0r_F0IqD4tE4rYn5y8Eup4PJTH8es"",
      ""Snapshot!A:M""
    ),
    8,
    FALSE
  ),
  0
)
"),3.0)</f>
        <v>3</v>
      </c>
      <c r="AI61" s="54">
        <f>IFERROR(__xludf.DUMMYFUNCTION("IFERROR(
  VLOOKUP(
    A61,
    IMPORTRANGE(
      ""1SCYQd7_cobOYqT0r_F0IqD4tE4rYn5y8Eup4PJTH8es"",
      ""Snapshot!A:M""
    ),
    9,
    FALSE
  ),
  0
)
"),2.0)</f>
        <v>2</v>
      </c>
      <c r="AJ61" s="54">
        <f>IFERROR(__xludf.DUMMYFUNCTION("IFERROR(
  VLOOKUP(
    A61,
    IMPORTRANGE(
      ""1SCYQd7_cobOYqT0r_F0IqD4tE4rYn5y8Eup4PJTH8es"",
      ""Snapshot!A:M""
    ),
    13,
    FALSE
  ),
  0
)
"),1.0)</f>
        <v>1</v>
      </c>
      <c r="AK61" s="49">
        <f t="shared" ref="AK61:AL61" si="300">LEN(C61)</f>
        <v>35</v>
      </c>
      <c r="AL61" s="49">
        <f t="shared" si="300"/>
        <v>63</v>
      </c>
    </row>
    <row r="62">
      <c r="A62" s="3" t="s">
        <v>1004</v>
      </c>
      <c r="B62" s="1" t="str">
        <f>IFERROR(__xludf.DUMMYFUNCTION("IFERROR(
  VLOOKUP(
    A62,
    IMPORTRANGE(
      ""1ZygntHC1J6IxzKbTidmOyf5nUyW4GCLurHCjexrLm_o"",
      ""HTMLキャッシュ!A:F""
    ),
    2,
    FALSE
  ),
  0
)
"),"MC")</f>
        <v>MC</v>
      </c>
      <c r="C62" s="1" t="str">
        <f>IFERROR(__xludf.DUMMYFUNCTION("IFERROR(
  VLOOKUP(
    A62,
    IMPORTRANGE(
      ""1ZygntHC1J6IxzKbTidmOyf5nUyW4GCLurHCjexrLm_o"",
      ""HTMLキャッシュ!A:F""
    ),
    5,
    FALSE
  ),
  0
)
"),"【英語の長文】読解力を強化するための勉強法 - 受験英語専門ゼミ「Re-Write」(リライト)")</f>
        <v>【英語の長文】読解力を強化するための勉強法 - 受験英語専門ゼミ「Re-Write」(リライト)</v>
      </c>
      <c r="D62" s="1" t="str">
        <f>IFERROR(__xludf.DUMMYFUNCTION("IFERROR(
  VLOOKUP(
    A62,
    IMPORTRANGE(
      ""1ZygntHC1J6IxzKbTidmOyf5nUyW4GCLurHCjexrLm_o        "",
      ""HTMLキャッシュ!A:F""
    ),
    6,
    FALSE
  ),
  0
)
"),"都立独自作成校の入試は文章量が非常に多いことが特徴として挙げられます。そのため、英文を早く読むことと同時に内容")</f>
        <v>都立独自作成校の入試は文章量が非常に多いことが特徴として挙げられます。そのため、英文を早く読むことと同時に内容</v>
      </c>
      <c r="E62" s="32">
        <f>IFERROR(__xludf.DUMMYFUNCTION("IFERROR(
  VLOOKUP(
    A62,
    IMPORTRANGE(
      ""1ZygntHC1J6IxzKbTidmOyf5nUyW4GCLurHCjexrLm_o        "",
      ""HTMLキャッシュ!A:F""
    ),
    3,
    FALSE
  ),
  0
)
"),46043.56548611111)</f>
        <v>46043.56549</v>
      </c>
      <c r="F62" s="49">
        <f>IFERROR(__xludf.DUMMYFUNCTION("IFERROR(
  VLOOKUP(
    A62,
    IMPORTRANGE(
      ""1ZHMy3vVUd_0MrSduXTe1etBb1HNpAlGwQr006ljwMiM"",
      ""GSC最新!A:F""
    ),
    2,
    FALSE
  ),
  0
)
"),2.0)</f>
        <v>2</v>
      </c>
      <c r="G62" s="49">
        <f>IFERROR(__xludf.DUMMYFUNCTION("IFERROR(
  VLOOKUP(
    A62,
    IMPORTRANGE(
      ""1ZHMy3vVUd_0MrSduXTe1etBb1HNpAlGwQr006ljwMiM"",
      ""GSC最新!A:F""
    ),
    3,
    FALSE
  ),
  0
)
"),12.0)</f>
        <v>12</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"),1.0)</f>
        <v>1</v>
      </c>
      <c r="J62" s="50" t="str">
        <f t="shared" ref="J62:K62" si="301">IFERROR(F62/H62,"-")</f>
        <v>-</v>
      </c>
      <c r="K62" s="50">
        <f t="shared" si="301"/>
        <v>12</v>
      </c>
      <c r="L62" s="6">
        <f>IFERROR(__xludf.DUMMYFUNCTION("IFERROR(
  VLOOKUP(
    A62,
    IMPORTRANGE(
      ""1ZHMy3vVUd_0MrSduXTe1etBb1HNpAlGwQr006ljwMiM"",
      ""GSC最新!A:R""
    ),
    7,
    FALSE
  ),
  0
)
"),208.0)</f>
        <v>208</v>
      </c>
      <c r="M62" s="6">
        <f>IFERROR(__xludf.DUMMYFUNCTION("IFERROR(
  VLOOKUP(
    A62,
    IMPORTRANGE(
      ""1ZHMy3vVUd_0MrSduXTe1etBb1HNpAlGwQr006ljwMiM"",
      ""GSC最新!A:R""
    ),
    10,
    FALSE
  ),
  0
)
"),451.0)</f>
        <v>451</v>
      </c>
      <c r="N62" s="6">
        <f>IFERROR(__xludf.DUMMYFUNCTION("IFERROR(
  VLOOKUP(
    A62,
    IMPORTRANGE(
      ""1ZHMy3vVUd_0MrSduXTe1etBb1HNpAlGwQr006ljwMiM"",
      ""GSC最新!A:R""
    ),
    13,
    FALSE
  ),
  0
)
"),43.0)</f>
        <v>43</v>
      </c>
      <c r="O62" s="6">
        <f>IFERROR(__xludf.DUMMYFUNCTION("IFERROR(
  VLOOKUP(
    A62,
    IMPORTRANGE(
      ""1ZHMy3vVUd_0MrSduXTe1etBb1HNpAlGwQr006ljwMiM"",
      ""GSC最新!A:R""
    ),
    16,
    FALSE
  ),
  0
)
"),113.0)</f>
        <v>113</v>
      </c>
      <c r="P62" s="51">
        <f t="shared" ref="P62:Q62" si="302">IFERROR(L62/N62,"-")</f>
        <v>4.837209302</v>
      </c>
      <c r="Q62" s="51">
        <f t="shared" si="302"/>
        <v>3.991150442</v>
      </c>
      <c r="R62" s="9">
        <f>IFERROR(__xludf.DUMMYFUNCTION("IFERROR(
  VLOOKUP(
    A62,
    IMPORTRANGE(
      ""1ZHMy3vVUd_0MrSduXTe1etBb1HNpAlGwQr006ljwMiM"",
      ""GSC最新!A:R""
    ),
    8,
    FALSE
  ),
  0
)
"),0.009615384615384616)</f>
        <v>0.009615384615</v>
      </c>
      <c r="S62" s="9">
        <f>IFERROR(__xludf.DUMMYFUNCTION("IFERROR(
  VLOOKUP(
    A62,
    IMPORTRANGE(
      ""1ZHMy3vVUd_0MrSduXTe1etBb1HNpAlGwQr006ljwMiM"",
      ""GSC最新!A:R""
    ),
    11,
    FALSE
  ),
  0
)
"),0.026607538802660754)</f>
        <v>0.0266075388</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"),0.008849557522123894)</f>
        <v>0.008849557522</v>
      </c>
      <c r="V62" s="9">
        <f t="shared" ref="V62:W62" si="303">IFERROR(R62-T62,"-")</f>
        <v>0.009615384615</v>
      </c>
      <c r="W62" s="9">
        <f t="shared" si="303"/>
        <v>0.01775798128</v>
      </c>
      <c r="X62" s="65">
        <f>IFERROR(__xludf.DUMMYFUNCTION("IFERROR(
  VLOOKUP(
    A62,
    IMPORTRANGE(
      ""1ZHMy3vVUd_0MrSduXTe1etBb1HNpAlGwQr006ljwMiM"",
      ""GSC最新!A:R""
    ),
    9,
    FALSE
  ),
  0
)
"),7.168269230769231)</f>
        <v>7.168269231</v>
      </c>
      <c r="Y62" s="65">
        <f>IFERROR(__xludf.DUMMYFUNCTION("IFERROR(
  VLOOKUP(
    A62,
    IMPORTRANGE(
      ""1ZHMy3vVUd_0MrSduXTe1etBb1HNpAlGwQr006ljwMiM"",
      ""GSC最新!A:R""
    ),
    12,
    FALSE
  ),
  0
)
"),9.42350332594235)</f>
        <v>9.423503326</v>
      </c>
      <c r="Z62" s="65">
        <f>IFERROR(__xludf.DUMMYFUNCTION("IFERROR(
  VLOOKUP(
    A62,
    IMPORTRANGE(
      ""1ZHMy3vVUd_0MrSduXTe1etBb1HNpAlGwQr006ljwMiM"",
      ""GSC最新!A:R""
    ),
    15,
    FALSE
  ),
  0
)
"),25.11627906976744)</f>
        <v>25.11627907</v>
      </c>
      <c r="AA62" s="65">
        <f>IFERROR(__xludf.DUMMYFUNCTION("IFERROR(
  VLOOKUP(
    A62,
    IMPORTRANGE(
      ""1ZHMy3vVUd_0MrSduXTe1etBb1HNpAlGwQr006ljwMiM"",
      ""GSC最新!A:R""
    ),
    18,
    FALSE
  ),
  0
)
"),27.52212389380531)</f>
        <v>27.52212389</v>
      </c>
      <c r="AB62" s="65">
        <f t="shared" ref="AB62:AC62" si="304">X62-Z62</f>
        <v>-17.94800984</v>
      </c>
      <c r="AC62" s="65">
        <f t="shared" si="304"/>
        <v>-18.09862057</v>
      </c>
      <c r="AD62" s="53">
        <f>IFERROR(__xludf.DUMMYFUNCTION("IFERROR(
  VLOOKUP(
    A62,
    IMPORTRANGE(
      ""1ZHMy3vVUd_0MrSduXTe1etBb1HNpAlGwQr006ljwMiM"",
      ""GSC最新!A:F""
    ),
    6,
    FALSE
  ),
  0
)
"),46081.0)</f>
        <v>46081</v>
      </c>
      <c r="AE62" s="54">
        <f>IFERROR(__xludf.DUMMYFUNCTION("IFERROR(
  VLOOKUP(
    A62,
    IMPORTRANGE(
      ""1SCYQd7_cobOYqT0r_F0IqD4tE4rYn5y8Eup4PJTH8es"",
      ""Snapshot!A:M""
    ),
    5,
    FALSE
  ),
  ""-""
)
"),0.0)</f>
        <v>0</v>
      </c>
      <c r="AF62" s="54">
        <f>IFERROR(__xludf.DUMMYFUNCTION("IFERROR(
  VLOOKUP(
    A62,
    IMPORTRANGE(
      ""1SCYQd7_cobOYqT0r_F0IqD4tE4rYn5y8Eup4PJTH8es"",
      ""Snapshot!A:M""
    ),
    6,
    FALSE
  ),
  0
)
"),5.0)</f>
        <v>5</v>
      </c>
      <c r="AG62" s="54">
        <f>IFERROR(__xludf.DUMMYFUNCTION("IFERROR(
  VLOOKUP(
    A62,
    IMPORTRANGE(
      ""1SCYQd7_cobOYqT0r_F0IqD4tE4rYn5y8Eup4PJTH8es"",
      ""Snapshot!A:M""
    ),
    7,
    FALSE
  ),
  0
)
"),1112.0)</f>
        <v>1112</v>
      </c>
      <c r="AH62" s="54">
        <f>IFERROR(__xludf.DUMMYFUNCTION("IFERROR(
  VLOOKUP(
    A62,
    IMPORTRANGE(
      ""1SCYQd7_cobOYqT0r_F0IqD4tE4rYn5y8Eup4PJTH8es"",
      ""Snapshot!A:M""
    ),
    8,
    FALSE
  ),
  0
)
"),3.0)</f>
        <v>3</v>
      </c>
      <c r="AI62" s="54">
        <f>IFERROR(__xludf.DUMMYFUNCTION("IFERROR(
  VLOOKUP(
    A62,
    IMPORTRANGE(
      ""1SCYQd7_cobOYqT0r_F0IqD4tE4rYn5y8Eup4PJTH8es"",
      ""Snapshot!A:M""
    ),
    9,
    FALSE
  ),
  0
)
"),2.0)</f>
        <v>2</v>
      </c>
      <c r="AJ62" s="54">
        <f>IFERROR(__xludf.DUMMYFUNCTION("IFERROR(
  VLOOKUP(
    A62,
    IMPORTRANGE(
      ""1SCYQd7_cobOYqT0r_F0IqD4tE4rYn5y8Eup4PJTH8es"",
      ""Snapshot!A:M""
    ),
    13,
    FALSE
  ),
  0
)
"),1.0)</f>
        <v>1</v>
      </c>
      <c r="AK62" s="49">
        <f t="shared" ref="AK62:AL62" si="305">LEN(C62)</f>
        <v>48</v>
      </c>
      <c r="AL62" s="49">
        <f t="shared" si="305"/>
        <v>55</v>
      </c>
    </row>
    <row r="63">
      <c r="A63" s="3" t="s">
        <v>1005</v>
      </c>
      <c r="B63" s="1" t="str">
        <f>IFERROR(__xludf.DUMMYFUNCTION("IFERROR(
  VLOOKUP(
    A63,
    IMPORTRANGE(
      ""1ZygntHC1J6IxzKbTidmOyf5nUyW4GCLurHCjexrLm_o"",
      ""HTMLキャッシュ!A:F""
    ),
    2,
    FALSE
  ),
  0
)
"),"MC")</f>
        <v>MC</v>
      </c>
      <c r="C63" s="1" t="str">
        <f>IFERROR(__xludf.DUMMYFUNCTION("IFERROR(
  VLOOKUP(
    A63,
    IMPORTRANGE(
      ""1ZygntHC1J6IxzKbTidmOyf5nUyW4GCLurHCjexrLm_o"",
      ""HTMLキャッシュ!A:F""
    ),
    5,
    FALSE
  ),
  0
)
"),"so that構文｜in order to違い｜英語教えて")</f>
        <v>so that構文｜in order to違い｜英語教えて</v>
      </c>
      <c r="D63" s="1" t="str">
        <f>IFERROR(__xludf.DUMMYFUNCTION("IFERROR(
  VLOOKUP(
    A63,
    IMPORTRANGE(
      ""1ZygntHC1J6IxzKbTidmOyf5nUyW4GCLurHCjexrLm_o        "",
      ""HTMLキャッシュ!A:F""
    ),
    6,
    FALSE
  ),
  0
)
"),"英語教えて：so that構文の意味と用法3つ、in order toとの違いを例文で確認。書き換えと語数の感覚もクイズで整理。")</f>
        <v>英語教えて：so that構文の意味と用法3つ、in order toとの違いを例文で確認。書き換えと語数の感覚もクイズで整理。</v>
      </c>
      <c r="E63" s="32">
        <f>IFERROR(__xludf.DUMMYFUNCTION("IFERROR(
  VLOOKUP(
    A63,
    IMPORTRANGE(
      ""1ZygntHC1J6IxzKbTidmOyf5nUyW4GCLurHCjexrLm_o        "",
      ""HTMLキャッシュ!A:F""
    ),
    3,
    FALSE
  ),
  0
)
"),46061.89255787037)</f>
        <v>46061.89256</v>
      </c>
      <c r="F63" s="49">
        <f>IFERROR(__xludf.DUMMYFUNCTION("IFERROR(
  VLOOKUP(
    A63,
    IMPORTRANGE(
      ""1ZHMy3vVUd_0MrSduXTe1etBb1HNpAlGwQr006ljwMiM"",
      ""GSC最新!A:F""
    ),
    2,
    FALSE
  ),
  0
)
"),6.0)</f>
        <v>6</v>
      </c>
      <c r="G63" s="49">
        <f>IFERROR(__xludf.DUMMYFUNCTION("IFERROR(
  VLOOKUP(
    A63,
    IMPORTRANGE(
      ""1ZHMy3vVUd_0MrSduXTe1etBb1HNpAlGwQr006ljwMiM"",
      ""GSC最新!A:F""
    ),
    3,
    FALSE
  ),
  0
)
"),11.0)</f>
        <v>11</v>
      </c>
      <c r="H63" s="49">
        <f>IFERROR(__xludf.DUMMYFUNCTION("IFERROR(
  VLOOKUP(
    A63,
    IMPORTRANGE(
      ""1ZHMy3vVUd_0MrSduXTe1etBb1HNpAlGwQr006ljwMiM"",
      ""GSC最新!A:F""
    ),
    4,
    FALSE
  ),
  0
)
"),2.0)</f>
        <v>2</v>
      </c>
      <c r="I63" s="49">
        <f>IFERROR(__xludf.DUMMYFUNCTION("IFERROR(
  VLOOKUP(
    A63,
    IMPORTRANGE(
      ""1ZHMy3vVUd_0MrSduXTe1etBb1HNpAlGwQr006ljwMiM"",
      ""GSC最新!A:F""
    ),
    5,
    FALSE
  ),
  0
)
"),9.0)</f>
        <v>9</v>
      </c>
      <c r="J63" s="50">
        <f t="shared" ref="J63:K63" si="306">IFERROR(F63/H63,"-")</f>
        <v>3</v>
      </c>
      <c r="K63" s="50">
        <f t="shared" si="306"/>
        <v>1.222222222</v>
      </c>
      <c r="L63" s="6">
        <f>IFERROR(__xludf.DUMMYFUNCTION("IFERROR(
  VLOOKUP(
    A63,
    IMPORTRANGE(
      ""1ZHMy3vVUd_0MrSduXTe1etBb1HNpAlGwQr006ljwMiM"",
      ""GSC最新!A:R""
    ),
    7,
    FALSE
  ),
  0
)
"),42.0)</f>
        <v>42</v>
      </c>
      <c r="M63" s="6">
        <f>IFERROR(__xludf.DUMMYFUNCTION("IFERROR(
  VLOOKUP(
    A63,
    IMPORTRANGE(
      ""1ZHMy3vVUd_0MrSduXTe1etBb1HNpAlGwQr006ljwMiM"",
      ""GSC最新!A:R""
    ),
    10,
    FALSE
  ),
  0
)
"),101.0)</f>
        <v>101</v>
      </c>
      <c r="N63" s="6">
        <f>IFERROR(__xludf.DUMMYFUNCTION("IFERROR(
  VLOOKUP(
    A63,
    IMPORTRANGE(
      ""1ZHMy3vVUd_0MrSduXTe1etBb1HNpAlGwQr006ljwMiM"",
      ""GSC最新!A:R""
    ),
    13,
    FALSE
  ),
  0
)
"),45.0)</f>
        <v>45</v>
      </c>
      <c r="O63" s="6">
        <f>IFERROR(__xludf.DUMMYFUNCTION("IFERROR(
  VLOOKUP(
    A63,
    IMPORTRANGE(
      ""1ZHMy3vVUd_0MrSduXTe1etBb1HNpAlGwQr006ljwMiM"",
      ""GSC最新!A:R""
    ),
    16,
    FALSE
  ),
  0
)
"),143.0)</f>
        <v>143</v>
      </c>
      <c r="P63" s="51">
        <f t="shared" ref="P63:Q63" si="307">IFERROR(L63/N63,"-")</f>
        <v>0.9333333333</v>
      </c>
      <c r="Q63" s="51">
        <f t="shared" si="307"/>
        <v>0.7062937063</v>
      </c>
      <c r="R63" s="9">
        <f>IFERROR(__xludf.DUMMYFUNCTION("IFERROR(
  VLOOKUP(
    A63,
    IMPORTRANGE(
      ""1ZHMy3vVUd_0MrSduXTe1etBb1HNpAlGwQr006ljwMiM"",
      ""GSC最新!A:R""
    ),
    8,
    FALSE
  ),
  0
)
"),0.14285714285714285)</f>
        <v>0.1428571429</v>
      </c>
      <c r="S63" s="9">
        <f>IFERROR(__xludf.DUMMYFUNCTION("IFERROR(
  VLOOKUP(
    A63,
    IMPORTRANGE(
      ""1ZHMy3vVUd_0MrSduXTe1etBb1HNpAlGwQr006ljwMiM"",
      ""GSC最新!A:R""
    ),
    11,
    FALSE
  ),
  0
)
"),0.10891089108910891)</f>
        <v>0.1089108911</v>
      </c>
      <c r="T63" s="9">
        <f>IFERROR(__xludf.DUMMYFUNCTION("IFERROR(
  VLOOKUP(
    A63,
    IMPORTRANGE(
      ""1ZHMy3vVUd_0MrSduXTe1etBb1HNpAlGwQr006ljwMiM"",
      ""GSC最新!A:R""
    ),
    14,
    FALSE
  ),
  0
)
"),0.044444444444444446)</f>
        <v>0.04444444444</v>
      </c>
      <c r="U63" s="9">
        <f>IFERROR(__xludf.DUMMYFUNCTION("IFERROR(
  VLOOKUP(
    A63,
    IMPORTRANGE(
      ""1ZHMy3vVUd_0MrSduXTe1etBb1HNpAlGwQr006ljwMiM"",
      ""GSC最新!A:R""
    ),
    17,
    FALSE
  ),
  0
)
"),0.06293706293706294)</f>
        <v>0.06293706294</v>
      </c>
      <c r="V63" s="9">
        <f t="shared" ref="V63:W63" si="308">IFERROR(R63-T63,"-")</f>
        <v>0.09841269841</v>
      </c>
      <c r="W63" s="9">
        <f t="shared" si="308"/>
        <v>0.04597382815</v>
      </c>
      <c r="X63" s="65">
        <f>IFERROR(__xludf.DUMMYFUNCTION("IFERROR(
  VLOOKUP(
    A63,
    IMPORTRANGE(
      ""1ZHMy3vVUd_0MrSduXTe1etBb1HNpAlGwQr006ljwMiM"",
      ""GSC最新!A:R""
    ),
    9,
    FALSE
  ),
  0
)
"),5.119047619047619)</f>
        <v>5.119047619</v>
      </c>
      <c r="Y63" s="65">
        <f>IFERROR(__xludf.DUMMYFUNCTION("IFERROR(
  VLOOKUP(
    A63,
    IMPORTRANGE(
      ""1ZHMy3vVUd_0MrSduXTe1etBb1HNpAlGwQr006ljwMiM"",
      ""GSC最新!A:R""
    ),
    12,
    FALSE
  ),
  0
)
"),5.316831683168317)</f>
        <v>5.316831683</v>
      </c>
      <c r="Z63" s="65">
        <f>IFERROR(__xludf.DUMMYFUNCTION("IFERROR(
  VLOOKUP(
    A63,
    IMPORTRANGE(
      ""1ZHMy3vVUd_0MrSduXTe1etBb1HNpAlGwQr006ljwMiM"",
      ""GSC最新!A:R""
    ),
    15,
    FALSE
  ),
  0
)
"),9.044444444444444)</f>
        <v>9.044444444</v>
      </c>
      <c r="AA63" s="65">
        <f>IFERROR(__xludf.DUMMYFUNCTION("IFERROR(
  VLOOKUP(
    A63,
    IMPORTRANGE(
      ""1ZHMy3vVUd_0MrSduXTe1etBb1HNpAlGwQr006ljwMiM"",
      ""GSC最新!A:R""
    ),
    18,
    FALSE
  ),
  0
)
"),11.426573426573427)</f>
        <v>11.42657343</v>
      </c>
      <c r="AB63" s="65">
        <f t="shared" ref="AB63:AC63" si="309">X63-Z63</f>
        <v>-3.925396825</v>
      </c>
      <c r="AC63" s="65">
        <f t="shared" si="309"/>
        <v>-6.109741743</v>
      </c>
      <c r="AD63" s="53">
        <f>IFERROR(__xludf.DUMMYFUNCTION("IFERROR(
  VLOOKUP(
    A63,
    IMPORTRANGE(
      ""1ZHMy3vVUd_0MrSduXTe1etBb1HNpAlGwQr006ljwMiM"",
      ""GSC最新!A:F""
    ),
    6,
    FALSE
  ),
  0
)
"),46081.0)</f>
        <v>46081</v>
      </c>
      <c r="AE63" s="54">
        <f>IFERROR(__xludf.DUMMYFUNCTION("IFERROR(
  VLOOKUP(
    A63,
    IMPORTRANGE(
      ""1SCYQd7_cobOYqT0r_F0IqD4tE4rYn5y8Eup4PJTH8es"",
      ""Snapshot!A:M""
    ),
    5,
    FALSE
  ),
  ""-""
)
"),1.0)</f>
        <v>1</v>
      </c>
      <c r="AF63" s="54">
        <f>IFERROR(__xludf.DUMMYFUNCTION("IFERROR(
  VLOOKUP(
    A63,
    IMPORTRANGE(
      ""1SCYQd7_cobOYqT0r_F0IqD4tE4rYn5y8Eup4PJTH8es"",
      ""Snapshot!A:M""
    ),
    6,
    FALSE
  ),
  0
)
"),5.0)</f>
        <v>5</v>
      </c>
      <c r="AG63" s="54">
        <f>IFERROR(__xludf.DUMMYFUNCTION("IFERROR(
  VLOOKUP(
    A63,
    IMPORTRANGE(
      ""1SCYQd7_cobOYqT0r_F0IqD4tE4rYn5y8Eup4PJTH8es"",
      ""Snapshot!A:M""
    ),
    7,
    FALSE
  ),
  0
)
"),1551.0)</f>
        <v>1551</v>
      </c>
      <c r="AH63" s="54">
        <f>IFERROR(__xludf.DUMMYFUNCTION("IFERROR(
  VLOOKUP(
    A63,
    IMPORTRANGE(
      ""1SCYQd7_cobOYqT0r_F0IqD4tE4rYn5y8Eup4PJTH8es"",
      ""Snapshot!A:M""
    ),
    8,
    FALSE
  ),
  0
)
"),3.0)</f>
        <v>3</v>
      </c>
      <c r="AI63" s="54">
        <f>IFERROR(__xludf.DUMMYFUNCTION("IFERROR(
  VLOOKUP(
    A63,
    IMPORTRANGE(
      ""1SCYQd7_cobOYqT0r_F0IqD4tE4rYn5y8Eup4PJTH8es"",
      ""Snapshot!A:M""
    ),
    9,
    FALSE
  ),
  0
)
"),2.0)</f>
        <v>2</v>
      </c>
      <c r="AJ63" s="54">
        <f>IFERROR(__xludf.DUMMYFUNCTION("IFERROR(
  VLOOKUP(
    A63,
    IMPORTRANGE(
      ""1SCYQd7_cobOYqT0r_F0IqD4tE4rYn5y8Eup4PJTH8es"",
      ""Snapshot!A:M""
    ),
    13,
    FALSE
  ),
  0
)
"),1.0)</f>
        <v>1</v>
      </c>
      <c r="AK63" s="49">
        <f t="shared" ref="AK63:AL63" si="310">LEN(C63)</f>
        <v>29</v>
      </c>
      <c r="AL63" s="49">
        <f t="shared" si="310"/>
        <v>64</v>
      </c>
    </row>
    <row r="64">
      <c r="A64" s="3" t="s">
        <v>1006</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"),"疑問詞＋to不定詞の語順と訳し方総整理")</f>
        <v>疑問詞＋to不定詞の語順と訳し方総整理</v>
      </c>
      <c r="D64" s="1" t="str">
        <f>IFERROR(__xludf.DUMMYFUNCTION("IFERROR(
  VLOOKUP(
    A64,
    IMPORTRANGE(
      ""1ZygntHC1J6IxzKbTidmOyf5nUyW4GCLurHCjexrLm_o        "",
      ""HTMLキャッシュ!A:F""
    ),
    6,
    FALSE
  ),
  0
)
"),"疑問詞＋to不定詞を名詞のまとまりで理解。訳と語順、動詞の後ろ・beの後ろ、how to＝方法も例文3本で確認。")</f>
        <v>疑問詞＋to不定詞を名詞のまとまりで理解。訳と語順、動詞の後ろ・beの後ろ、how to＝方法も例文3本で確認。</v>
      </c>
      <c r="E64" s="32">
        <f>IFERROR(__xludf.DUMMYFUNCTION("IFERROR(
  VLOOKUP(
    A64,
    IMPORTRANGE(
      ""1ZygntHC1J6IxzKbTidmOyf5nUyW4GCLurHCjexrLm_o        "",
      ""HTMLキャッシュ!A:F""
    ),
    3,
    FALSE
  ),
  0
)
"),46073.66542824074)</f>
        <v>46073.66543</v>
      </c>
      <c r="F64" s="49">
        <f>IFERROR(__xludf.DUMMYFUNCTION("IFERROR(
  VLOOKUP(
    A64,
    IMPORTRANGE(
      ""1ZHMy3vVUd_0MrSduXTe1etBb1HNpAlGwQr006ljwMiM"",
      ""GSC最新!A:F""
    ),
    2,
    FALSE
  ),
  0
)
"),4.0)</f>
        <v>4</v>
      </c>
      <c r="G64" s="49">
        <f>IFERROR(__xludf.DUMMYFUNCTION("IFERROR(
  VLOOKUP(
    A64,
    IMPORTRANGE(
      ""1ZHMy3vVUd_0MrSduXTe1etBb1HNpAlGwQr006ljwMiM"",
      ""GSC最新!A:F""
    ),
    3,
    FALSE
  ),
  0
)
"),11.0)</f>
        <v>11</v>
      </c>
      <c r="H64" s="49">
        <f>IFERROR(__xludf.DUMMYFUNCTION("IFERROR(
  VLOOKUP(
    A64,
    IMPORTRANGE(
      ""1ZHMy3vVUd_0MrSduXTe1etBb1HNpAlGwQr006ljwMiM"",
      ""GSC最新!A:F""
    ),
    4,
    FALSE
  ),
  0
)
"),4.0)</f>
        <v>4</v>
      </c>
      <c r="I64" s="49">
        <f>IFERROR(__xludf.DUMMYFUNCTION("IFERROR(
  VLOOKUP(
    A64,
    IMPORTRANGE(
      ""1ZHMy3vVUd_0MrSduXTe1etBb1HNpAlGwQr006ljwMiM"",
      ""GSC最新!A:F""
    ),
    5,
    FALSE
  ),
  0
)
"),9.0)</f>
        <v>9</v>
      </c>
      <c r="J64" s="50">
        <f t="shared" ref="J64:K64" si="311">IFERROR(F64/H64,"-")</f>
        <v>1</v>
      </c>
      <c r="K64" s="50">
        <f t="shared" si="311"/>
        <v>1.222222222</v>
      </c>
      <c r="L64" s="6">
        <f>IFERROR(__xludf.DUMMYFUNCTION("IFERROR(
  VLOOKUP(
    A64,
    IMPORTRANGE(
      ""1ZHMy3vVUd_0MrSduXTe1etBb1HNpAlGwQr006ljwMiM"",
      ""GSC最新!A:R""
    ),
    7,
    FALSE
  ),
  0
)
"),416.0)</f>
        <v>416</v>
      </c>
      <c r="M64" s="6">
        <f>IFERROR(__xludf.DUMMYFUNCTION("IFERROR(
  VLOOKUP(
    A64,
    IMPORTRANGE(
      ""1ZHMy3vVUd_0MrSduXTe1etBb1HNpAlGwQr006ljwMiM"",
      ""GSC最新!A:R""
    ),
    10,
    FALSE
  ),
  0
)
"),955.0)</f>
        <v>955</v>
      </c>
      <c r="N64" s="6">
        <f>IFERROR(__xludf.DUMMYFUNCTION("IFERROR(
  VLOOKUP(
    A64,
    IMPORTRANGE(
      ""1ZHMy3vVUd_0MrSduXTe1etBb1HNpAlGwQr006ljwMiM"",
      ""GSC最新!A:R""
    ),
    13,
    FALSE
  ),
  0
)
"),155.0)</f>
        <v>155</v>
      </c>
      <c r="O64" s="6">
        <f>IFERROR(__xludf.DUMMYFUNCTION("IFERROR(
  VLOOKUP(
    A64,
    IMPORTRANGE(
      ""1ZHMy3vVUd_0MrSduXTe1etBb1HNpAlGwQr006ljwMiM"",
      ""GSC最新!A:R""
    ),
    16,
    FALSE
  ),
  0
)
"),323.0)</f>
        <v>323</v>
      </c>
      <c r="P64" s="51">
        <f t="shared" ref="P64:Q64" si="312">IFERROR(L64/N64,"-")</f>
        <v>2.683870968</v>
      </c>
      <c r="Q64" s="51">
        <f t="shared" si="312"/>
        <v>2.956656347</v>
      </c>
      <c r="R64" s="9">
        <f>IFERROR(__xludf.DUMMYFUNCTION("IFERROR(
  VLOOKUP(
    A64,
    IMPORTRANGE(
      ""1ZHMy3vVUd_0MrSduXTe1etBb1HNpAlGwQr006ljwMiM"",
      ""GSC最新!A:R""
    ),
    8,
    FALSE
  ),
  0
)
"),0.009615384615384616)</f>
        <v>0.009615384615</v>
      </c>
      <c r="S64" s="9">
        <f>IFERROR(__xludf.DUMMYFUNCTION("IFERROR(
  VLOOKUP(
    A64,
    IMPORTRANGE(
      ""1ZHMy3vVUd_0MrSduXTe1etBb1HNpAlGwQr006ljwMiM"",
      ""GSC最新!A:R""
    ),
    11,
    FALSE
  ),
  0
)
"),0.011518324607329843)</f>
        <v>0.01151832461</v>
      </c>
      <c r="T64" s="9">
        <f>IFERROR(__xludf.DUMMYFUNCTION("IFERROR(
  VLOOKUP(
    A64,
    IMPORTRANGE(
      ""1ZHMy3vVUd_0MrSduXTe1etBb1HNpAlGwQr006ljwMiM"",
      ""GSC最新!A:R""
    ),
    14,
    FALSE
  ),
  0
)
"),0.025806451612903226)</f>
        <v>0.02580645161</v>
      </c>
      <c r="U64" s="9">
        <f>IFERROR(__xludf.DUMMYFUNCTION("IFERROR(
  VLOOKUP(
    A64,
    IMPORTRANGE(
      ""1ZHMy3vVUd_0MrSduXTe1etBb1HNpAlGwQr006ljwMiM"",
      ""GSC最新!A:R""
    ),
    17,
    FALSE
  ),
  0
)
"),0.02786377708978328)</f>
        <v>0.02786377709</v>
      </c>
      <c r="V64" s="9">
        <f t="shared" ref="V64:W64" si="313">IFERROR(R64-T64,"-")</f>
        <v>-0.016191067</v>
      </c>
      <c r="W64" s="9">
        <f t="shared" si="313"/>
        <v>-0.01634545248</v>
      </c>
      <c r="X64" s="65">
        <f>IFERROR(__xludf.DUMMYFUNCTION("IFERROR(
  VLOOKUP(
    A64,
    IMPORTRANGE(
      ""1ZHMy3vVUd_0MrSduXTe1etBb1HNpAlGwQr006ljwMiM"",
      ""GSC最新!A:R""
    ),
    9,
    FALSE
  ),
  0
)
"),5.545673076923077)</f>
        <v>5.545673077</v>
      </c>
      <c r="Y64" s="65">
        <f>IFERROR(__xludf.DUMMYFUNCTION("IFERROR(
  VLOOKUP(
    A64,
    IMPORTRANGE(
      ""1ZHMy3vVUd_0MrSduXTe1etBb1HNpAlGwQr006ljwMiM"",
      ""GSC最新!A:R""
    ),
    12,
    FALSE
  ),
  0
)
"),6.136125654450262)</f>
        <v>6.136125654</v>
      </c>
      <c r="Z64" s="65">
        <f>IFERROR(__xludf.DUMMYFUNCTION("IFERROR(
  VLOOKUP(
    A64,
    IMPORTRANGE(
      ""1ZHMy3vVUd_0MrSduXTe1etBb1HNpAlGwQr006ljwMiM"",
      ""GSC最新!A:R""
    ),
    15,
    FALSE
  ),
  0
)
"),6.438709677419355)</f>
        <v>6.438709677</v>
      </c>
      <c r="AA64" s="65">
        <f>IFERROR(__xludf.DUMMYFUNCTION("IFERROR(
  VLOOKUP(
    A64,
    IMPORTRANGE(
      ""1ZHMy3vVUd_0MrSduXTe1etBb1HNpAlGwQr006ljwMiM"",
      ""GSC最新!A:R""
    ),
    18,
    FALSE
  ),
  0
)
"),6.185758513931889)</f>
        <v>6.185758514</v>
      </c>
      <c r="AB64" s="65">
        <f t="shared" ref="AB64:AC64" si="314">X64-Z64</f>
        <v>-0.8930366005</v>
      </c>
      <c r="AC64" s="65">
        <f t="shared" si="314"/>
        <v>-0.04963285948</v>
      </c>
      <c r="AD64" s="53">
        <f>IFERROR(__xludf.DUMMYFUNCTION("IFERROR(
  VLOOKUP(
    A64,
    IMPORTRANGE(
      ""1ZHMy3vVUd_0MrSduXTe1etBb1HNpAlGwQr006ljwMiM"",
      ""GSC最新!A:F""
    ),
    6,
    FALSE
  ),
  0
)
"),46081.0)</f>
        <v>46081</v>
      </c>
      <c r="AE64" s="54">
        <f>IFERROR(__xludf.DUMMYFUNCTION("IFERROR(
  VLOOKUP(
    A64,
    IMPORTRANGE(
      ""1SCYQd7_cobOYqT0r_F0IqD4tE4rYn5y8Eup4PJTH8es"",
      ""Snapshot!A:M""
    ),
    5,
    FALSE
  ),
  ""-""
)
"),0.0)</f>
        <v>0</v>
      </c>
      <c r="AF64" s="54">
        <f>IFERROR(__xludf.DUMMYFUNCTION("IFERROR(
  VLOOKUP(
    A64,
    IMPORTRANGE(
      ""1SCYQd7_cobOYqT0r_F0IqD4tE4rYn5y8Eup4PJTH8es"",
      ""Snapshot!A:M""
    ),
    6,
    FALSE
  ),
  0
)
"),0.0)</f>
        <v>0</v>
      </c>
      <c r="AG64" s="54">
        <f>IFERROR(__xludf.DUMMYFUNCTION("IFERROR(
  VLOOKUP(
    A64,
    IMPORTRANGE(
      ""1SCYQd7_cobOYqT0r_F0IqD4tE4rYn5y8Eup4PJTH8es"",
      ""Snapshot!A:M""
    ),
    7,
    FALSE
  ),
  0
)
"),2145.0)</f>
        <v>2145</v>
      </c>
      <c r="AH64" s="54">
        <f>IFERROR(__xludf.DUMMYFUNCTION("IFERROR(
  VLOOKUP(
    A64,
    IMPORTRANGE(
      ""1SCYQd7_cobOYqT0r_F0IqD4tE4rYn5y8Eup4PJTH8es"",
      ""Snapshot!A:M""
    ),
    8,
    FALSE
  ),
  0
)
"),2.0)</f>
        <v>2</v>
      </c>
      <c r="AI64" s="54">
        <f>IFERROR(__xludf.DUMMYFUNCTION("IFERROR(
  VLOOKUP(
    A64,
    IMPORTRANGE(
      ""1SCYQd7_cobOYqT0r_F0IqD4tE4rYn5y8Eup4PJTH8es"",
      ""Snapshot!A:M""
    ),
    9,
    FALSE
  ),
  0
)
"),1.0)</f>
        <v>1</v>
      </c>
      <c r="AJ64" s="54">
        <f>IFERROR(__xludf.DUMMYFUNCTION("IFERROR(
  VLOOKUP(
    A64,
    IMPORTRANGE(
      ""1SCYQd7_cobOYqT0r_F0IqD4tE4rYn5y8Eup4PJTH8es"",
      ""Snapshot!A:M""
    ),
    13,
    FALSE
  ),
  0
)
"),1.0)</f>
        <v>1</v>
      </c>
      <c r="AK64" s="49">
        <f t="shared" ref="AK64:AL64" si="315">LEN(C64)</f>
        <v>19</v>
      </c>
      <c r="AL64" s="49">
        <f t="shared" si="315"/>
        <v>56</v>
      </c>
    </row>
    <row r="65">
      <c r="A65" s="3" t="s">
        <v>1007</v>
      </c>
      <c r="B65" s="1" t="str">
        <f>IFERROR(__xludf.DUMMYFUNCTION("IFERROR(
  VLOOKUP(
    A65,
    IMPORTRANGE(
      ""1ZygntHC1J6IxzKbTidmOyf5nUyW4GCLurHCjexrLm_o"",
      ""HTMLキャッシュ!A:F""
    ),
    2,
    FALSE
  ),
  0
)
"),"MC")</f>
        <v>MC</v>
      </c>
      <c r="C65" s="1" t="str">
        <f>IFERROR(__xludf.DUMMYFUNCTION("IFERROR(
  VLOOKUP(
    A65,
    IMPORTRANGE(
      ""1ZygntHC1J6IxzKbTidmOyf5nUyW4GCLurHCjexrLm_o"",
      ""HTMLキャッシュ!A:F""
    ),
    5,
    FALSE
  ),
  0
)
"),"動名詞と不定詞の使い分け｜stop・remember・forgetまで例文判定")</f>
        <v>動名詞と不定詞の使い分け｜stop・remember・forgetまで例文判定</v>
      </c>
      <c r="D65" s="1" t="str">
        <f>IFERROR(__xludf.DUMMYFUNCTION("IFERROR(
  VLOOKUP(
    A65,
    IMPORTRANGE(
      ""1ZygntHC1J6IxzKbTidmOyf5nUyW4GCLurHCjexrLm_o        "",
      ""HTMLキャッシュ!A:F""
    ),
    6,
    FALSE
  ),
  0
)
"),"動名詞と不定詞の目的語を整理。want/decideはto、enjoy/finishはing。stop・remember・forgetの意味差、look forward to ing等も例文で判定。")</f>
        <v>動名詞と不定詞の目的語を整理。want/decideはto、enjoy/finishはing。stop・remember・forgetの意味差、look forward to ing等も例文で判定。</v>
      </c>
      <c r="E65" s="32">
        <f>IFERROR(__xludf.DUMMYFUNCTION("IFERROR(
  VLOOKUP(
    A65,
    IMPORTRANGE(
      ""1ZygntHC1J6IxzKbTidmOyf5nUyW4GCLurHCjexrLm_o        "",
      ""HTMLキャッシュ!A:F""
    ),
    3,
    FALSE
  ),
  0
)
"),46077.82063657408)</f>
        <v>46077.82064</v>
      </c>
      <c r="F65" s="49">
        <f>IFERROR(__xludf.DUMMYFUNCTION("IFERROR(
  VLOOKUP(
    A65,
    IMPORTRANGE(
      ""1ZHMy3vVUd_0MrSduXTe1etBb1HNpAlGwQr006ljwMiM"",
      ""GSC最新!A:F""
    ),
    2,
    FALSE
  ),
  0
)
"),4.0)</f>
        <v>4</v>
      </c>
      <c r="G65" s="49">
        <f>IFERROR(__xludf.DUMMYFUNCTION("IFERROR(
  VLOOKUP(
    A65,
    IMPORTRANGE(
      ""1ZHMy3vVUd_0MrSduXTe1etBb1HNpAlGwQr006ljwMiM"",
      ""GSC最新!A:F""
    ),
    3,
    FALSE
  ),
  0
)
"),10.0)</f>
        <v>10</v>
      </c>
      <c r="H65" s="49">
        <f>IFERROR(__xludf.DUMMYFUNCTION("IFERROR(
  VLOOKUP(
    A65,
    IMPORTRANGE(
      ""1ZHMy3vVUd_0MrSduXTe1etBb1HNpAlGwQr006ljwMiM"",
      ""GSC最新!A:F""
    ),
    4,
    FALSE
  ),
  0
)
"),1.0)</f>
        <v>1</v>
      </c>
      <c r="I65" s="49">
        <f>IFERROR(__xludf.DUMMYFUNCTION("IFERROR(
  VLOOKUP(
    A65,
    IMPORTRANGE(
      ""1ZHMy3vVUd_0MrSduXTe1etBb1HNpAlGwQr006ljwMiM"",
      ""GSC最新!A:F""
    ),
    5,
    FALSE
  ),
  0
)
"),4.0)</f>
        <v>4</v>
      </c>
      <c r="J65" s="50">
        <f t="shared" ref="J65:K65" si="316">IFERROR(F65/H65,"-")</f>
        <v>4</v>
      </c>
      <c r="K65" s="50">
        <f t="shared" si="316"/>
        <v>2.5</v>
      </c>
      <c r="L65" s="6">
        <f>IFERROR(__xludf.DUMMYFUNCTION("IFERROR(
  VLOOKUP(
    A65,
    IMPORTRANGE(
      ""1ZHMy3vVUd_0MrSduXTe1etBb1HNpAlGwQr006ljwMiM"",
      ""GSC最新!A:R""
    ),
    7,
    FALSE
  ),
  0
)
"),3018.0)</f>
        <v>3018</v>
      </c>
      <c r="M65" s="6">
        <f>IFERROR(__xludf.DUMMYFUNCTION("IFERROR(
  VLOOKUP(
    A65,
    IMPORTRANGE(
      ""1ZHMy3vVUd_0MrSduXTe1etBb1HNpAlGwQr006ljwMiM"",
      ""GSC最新!A:R""
    ),
    10,
    FALSE
  ),
  0
)
"),4126.0)</f>
        <v>4126</v>
      </c>
      <c r="N65" s="6">
        <f>IFERROR(__xludf.DUMMYFUNCTION("IFERROR(
  VLOOKUP(
    A65,
    IMPORTRANGE(
      ""1ZHMy3vVUd_0MrSduXTe1etBb1HNpAlGwQr006ljwMiM"",
      ""GSC最新!A:R""
    ),
    13,
    FALSE
  ),
  0
)
"),76.0)</f>
        <v>76</v>
      </c>
      <c r="O65" s="6">
        <f>IFERROR(__xludf.DUMMYFUNCTION("IFERROR(
  VLOOKUP(
    A65,
    IMPORTRANGE(
      ""1ZHMy3vVUd_0MrSduXTe1etBb1HNpAlGwQr006ljwMiM"",
      ""GSC最新!A:R""
    ),
    16,
    FALSE
  ),
  0
)
"),232.0)</f>
        <v>232</v>
      </c>
      <c r="P65" s="51">
        <f t="shared" ref="P65:Q65" si="317">IFERROR(L65/N65,"-")</f>
        <v>39.71052632</v>
      </c>
      <c r="Q65" s="51">
        <f t="shared" si="317"/>
        <v>17.78448276</v>
      </c>
      <c r="R65" s="9">
        <f>IFERROR(__xludf.DUMMYFUNCTION("IFERROR(
  VLOOKUP(
    A65,
    IMPORTRANGE(
      ""1ZHMy3vVUd_0MrSduXTe1etBb1HNpAlGwQr006ljwMiM"",
      ""GSC最新!A:R""
    ),
    8,
    FALSE
  ),
  0
)
"),0.0013253810470510272)</f>
        <v>0.001325381047</v>
      </c>
      <c r="S65" s="9">
        <f>IFERROR(__xludf.DUMMYFUNCTION("IFERROR(
  VLOOKUP(
    A65,
    IMPORTRANGE(
      ""1ZHMy3vVUd_0MrSduXTe1etBb1HNpAlGwQr006ljwMiM"",
      ""GSC最新!A:R""
    ),
    11,
    FALSE
  ),
  0
)
"),0.0024236548715462916)</f>
        <v>0.002423654872</v>
      </c>
      <c r="T65" s="9">
        <f>IFERROR(__xludf.DUMMYFUNCTION("IFERROR(
  VLOOKUP(
    A65,
    IMPORTRANGE(
      ""1ZHMy3vVUd_0MrSduXTe1etBb1HNpAlGwQr006ljwMiM"",
      ""GSC最新!A:R""
    ),
    14,
    FALSE
  ),
  0
)
"),0.013157894736842105)</f>
        <v>0.01315789474</v>
      </c>
      <c r="U65" s="9">
        <f>IFERROR(__xludf.DUMMYFUNCTION("IFERROR(
  VLOOKUP(
    A65,
    IMPORTRANGE(
      ""1ZHMy3vVUd_0MrSduXTe1etBb1HNpAlGwQr006ljwMiM"",
      ""GSC最新!A:R""
    ),
    17,
    FALSE
  ),
  0
)
"),0.017241379310344827)</f>
        <v>0.01724137931</v>
      </c>
      <c r="V65" s="9">
        <f t="shared" ref="V65:W65" si="318">IFERROR(R65-T65,"-")</f>
        <v>-0.01183251369</v>
      </c>
      <c r="W65" s="9">
        <f t="shared" si="318"/>
        <v>-0.01481772444</v>
      </c>
      <c r="X65" s="65">
        <f>IFERROR(__xludf.DUMMYFUNCTION("IFERROR(
  VLOOKUP(
    A65,
    IMPORTRANGE(
      ""1ZHMy3vVUd_0MrSduXTe1etBb1HNpAlGwQr006ljwMiM"",
      ""GSC最新!A:R""
    ),
    9,
    FALSE
  ),
  0
)
"),3.211066931742876)</f>
        <v>3.211066932</v>
      </c>
      <c r="Y65" s="65">
        <f>IFERROR(__xludf.DUMMYFUNCTION("IFERROR(
  VLOOKUP(
    A65,
    IMPORTRANGE(
      ""1ZHMy3vVUd_0MrSduXTe1etBb1HNpAlGwQr006ljwMiM"",
      ""GSC最新!A:R""
    ),
    12,
    FALSE
  ),
  0
)
"),3.5317498788172563)</f>
        <v>3.531749879</v>
      </c>
      <c r="Z65" s="65">
        <f>IFERROR(__xludf.DUMMYFUNCTION("IFERROR(
  VLOOKUP(
    A65,
    IMPORTRANGE(
      ""1ZHMy3vVUd_0MrSduXTe1etBb1HNpAlGwQr006ljwMiM"",
      ""GSC最新!A:R""
    ),
    15,
    FALSE
  ),
  0
)
"),14.513157894736842)</f>
        <v>14.51315789</v>
      </c>
      <c r="AA65" s="65">
        <f>IFERROR(__xludf.DUMMYFUNCTION("IFERROR(
  VLOOKUP(
    A65,
    IMPORTRANGE(
      ""1ZHMy3vVUd_0MrSduXTe1etBb1HNpAlGwQr006ljwMiM"",
      ""GSC最新!A:R""
    ),
    18,
    FALSE
  ),
  0
)
"),12.043103448275861)</f>
        <v>12.04310345</v>
      </c>
      <c r="AB65" s="65">
        <f t="shared" ref="AB65:AC65" si="319">X65-Z65</f>
        <v>-11.30209096</v>
      </c>
      <c r="AC65" s="65">
        <f t="shared" si="319"/>
        <v>-8.511353569</v>
      </c>
      <c r="AD65" s="53">
        <f>IFERROR(__xludf.DUMMYFUNCTION("IFERROR(
  VLOOKUP(
    A65,
    IMPORTRANGE(
      ""1ZHMy3vVUd_0MrSduXTe1etBb1HNpAlGwQr006ljwMiM"",
      ""GSC最新!A:F""
    ),
    6,
    FALSE
  ),
  0
)
"),46081.0)</f>
        <v>46081</v>
      </c>
      <c r="AE65" s="54">
        <f>IFERROR(__xludf.DUMMYFUNCTION("IFERROR(
  VLOOKUP(
    A65,
    IMPORTRANGE(
      ""1SCYQd7_cobOYqT0r_F0IqD4tE4rYn5y8Eup4PJTH8es"",
      ""Snapshot!A:M""
    ),
    5,
    FALSE
  ),
  ""-""
)
"),2.0)</f>
        <v>2</v>
      </c>
      <c r="AF65" s="54">
        <f>IFERROR(__xludf.DUMMYFUNCTION("IFERROR(
  VLOOKUP(
    A65,
    IMPORTRANGE(
      ""1SCYQd7_cobOYqT0r_F0IqD4tE4rYn5y8Eup4PJTH8es"",
      ""Snapshot!A:M""
    ),
    6,
    FALSE
  ),
  0
)
"),0.0)</f>
        <v>0</v>
      </c>
      <c r="AG65" s="54">
        <f>IFERROR(__xludf.DUMMYFUNCTION("IFERROR(
  VLOOKUP(
    A65,
    IMPORTRANGE(
      ""1SCYQd7_cobOYqT0r_F0IqD4tE4rYn5y8Eup4PJTH8es"",
      ""Snapshot!A:M""
    ),
    7,
    FALSE
  ),
  0
)
"),12048.0)</f>
        <v>12048</v>
      </c>
      <c r="AH65" s="54">
        <f>IFERROR(__xludf.DUMMYFUNCTION("IFERROR(
  VLOOKUP(
    A65,
    IMPORTRANGE(
      ""1SCYQd7_cobOYqT0r_F0IqD4tE4rYn5y8Eup4PJTH8es"",
      ""Snapshot!A:M""
    ),
    8,
    FALSE
  ),
  0
)
"),3.0)</f>
        <v>3</v>
      </c>
      <c r="AI65" s="54">
        <f>IFERROR(__xludf.DUMMYFUNCTION("IFERROR(
  VLOOKUP(
    A65,
    IMPORTRANGE(
      ""1SCYQd7_cobOYqT0r_F0IqD4tE4rYn5y8Eup4PJTH8es"",
      ""Snapshot!A:M""
    ),
    9,
    FALSE
  ),
  0
)
"),3.0)</f>
        <v>3</v>
      </c>
      <c r="AJ65" s="54">
        <f>IFERROR(__xludf.DUMMYFUNCTION("IFERROR(
  VLOOKUP(
    A65,
    IMPORTRANGE(
      ""1SCYQd7_cobOYqT0r_F0IqD4tE4rYn5y8Eup4PJTH8es"",
      ""Snapshot!A:M""
    ),
    13,
    FALSE
  ),
  0
)
"),1.0)</f>
        <v>1</v>
      </c>
      <c r="AK65" s="49">
        <f t="shared" ref="AK65:AL65" si="320">LEN(C65)</f>
        <v>39</v>
      </c>
      <c r="AL65" s="49">
        <f t="shared" si="320"/>
        <v>99</v>
      </c>
    </row>
    <row r="66">
      <c r="A66" s="3" t="s">
        <v>1008</v>
      </c>
      <c r="B66" s="1" t="str">
        <f>IFERROR(__xludf.DUMMYFUNCTION("IFERROR(
  VLOOKUP(
    A66,
    IMPORTRANGE(
      ""1ZygntHC1J6IxzKbTidmOyf5nUyW4GCLurHCjexrLm_o"",
      ""HTMLキャッシュ!A:F""
    ),
    2,
    FALSE
  ),
  0
)
"),"MC")</f>
        <v>MC</v>
      </c>
      <c r="C66" s="1" t="str">
        <f>IFERROR(__xludf.DUMMYFUNCTION("IFERROR(
  VLOOKUP(
    A66,
    IMPORTRANGE(
      ""1ZygntHC1J6IxzKbTidmOyf5nUyW4GCLurHCjexrLm_o"",
      ""HTMLキャッシュ!A:F""
    ),
    5,
    FALSE
  ),
  0
)
"),"接続詞のあとに来る形｜when after before")</f>
        <v>接続詞のあとに来る形｜when after before</v>
      </c>
      <c r="D66" s="1" t="str">
        <f>IFERROR(__xludf.DUMMYFUNCTION("IFERROR(
  VLOOKUP(
    A66,
    IMPORTRANGE(
      ""1ZygntHC1J6IxzKbTidmOyf5nUyW4GCLurHCjexrLm_o        "",
      ""HTMLキャッシュ!A:F""
    ),
    6,
    FALSE
  ),
  0
)
"),"when・after・beforeは接続詞。あとには必ず主語＋動詞が続く。文頭と文中のカンマ、従位節と主節の関係を例文で整理。")</f>
        <v>when・after・beforeは接続詞。あとには必ず主語＋動詞が続く。文頭と文中のカンマ、従位節と主節の関係を例文で整理。</v>
      </c>
      <c r="E66" s="32">
        <f>IFERROR(__xludf.DUMMYFUNCTION("IFERROR(
  VLOOKUP(
    A66,
    IMPORTRANGE(
      ""1ZygntHC1J6IxzKbTidmOyf5nUyW4GCLurHCjexrLm_o        "",
      ""HTMLキャッシュ!A:F""
    ),
    3,
    FALSE
  ),
  0
)
"),46081.612025462964)</f>
        <v>46081.61203</v>
      </c>
      <c r="F66" s="49">
        <f>IFERROR(__xludf.DUMMYFUNCTION("IFERROR(
  VLOOKUP(
    A66,
    IMPORTRANGE(
      ""1ZHMy3vVUd_0MrSduXTe1etBb1HNpAlGwQr006ljwMiM"",
      ""GSC最新!A:F""
    ),
    2,
    FALSE
  ),
  0
)
"),9.0)</f>
        <v>9</v>
      </c>
      <c r="G66" s="49">
        <f>IFERROR(__xludf.DUMMYFUNCTION("IFERROR(
  VLOOKUP(
    A66,
    IMPORTRANGE(
      ""1ZHMy3vVUd_0MrSduXTe1etBb1HNpAlGwQr006ljwMiM"",
      ""GSC最新!A:F""
    ),
    3,
    FALSE
  ),
  0
)
"),10.0)</f>
        <v>10</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"),1.0)</f>
        <v>1</v>
      </c>
      <c r="J66" s="50" t="str">
        <f t="shared" ref="J66:K66" si="321">IFERROR(F66/H66,"-")</f>
        <v>-</v>
      </c>
      <c r="K66" s="50">
        <f t="shared" si="321"/>
        <v>10</v>
      </c>
      <c r="L66" s="6">
        <f>IFERROR(__xludf.DUMMYFUNCTION("IFERROR(
  VLOOKUP(
    A66,
    IMPORTRANGE(
      ""1ZHMy3vVUd_0MrSduXTe1etBb1HNpAlGwQr006ljwMiM"",
      ""GSC最新!A:R""
    ),
    7,
    FALSE
  ),
  0
)
"),2672.0)</f>
        <v>2672</v>
      </c>
      <c r="M66" s="6">
        <f>IFERROR(__xludf.DUMMYFUNCTION("IFERROR(
  VLOOKUP(
    A66,
    IMPORTRANGE(
      ""1ZHMy3vVUd_0MrSduXTe1etBb1HNpAlGwQr006ljwMiM"",
      ""GSC最新!A:R""
    ),
    10,
    FALSE
  ),
  0
)
"),3455.0)</f>
        <v>3455</v>
      </c>
      <c r="N66" s="6">
        <f>IFERROR(__xludf.DUMMYFUNCTION("IFERROR(
  VLOOKUP(
    A66,
    IMPORTRANGE(
      ""1ZHMy3vVUd_0MrSduXTe1etBb1HNpAlGwQr006ljwMiM"",
      ""GSC最新!A:R""
    ),
    13,
    FALSE
  ),
  0
)
"),103.0)</f>
        <v>103</v>
      </c>
      <c r="O66" s="6">
        <f>IFERROR(__xludf.DUMMYFUNCTION("IFERROR(
  VLOOKUP(
    A66,
    IMPORTRANGE(
      ""1ZHMy3vVUd_0MrSduXTe1etBb1HNpAlGwQr006ljwMiM"",
      ""GSC最新!A:R""
    ),
    16,
    FALSE
  ),
  0
)
"),191.0)</f>
        <v>191</v>
      </c>
      <c r="P66" s="51">
        <f t="shared" ref="P66:Q66" si="322">IFERROR(L66/N66,"-")</f>
        <v>25.94174757</v>
      </c>
      <c r="Q66" s="51">
        <f t="shared" si="322"/>
        <v>18.08900524</v>
      </c>
      <c r="R66" s="9">
        <f>IFERROR(__xludf.DUMMYFUNCTION("IFERROR(
  VLOOKUP(
    A66,
    IMPORTRANGE(
      ""1ZHMy3vVUd_0MrSduXTe1etBb1HNpAlGwQr006ljwMiM"",
      ""GSC最新!A:R""
    ),
    8,
    FALSE
  ),
  0
)
"),0.0033682634730538923)</f>
        <v>0.003368263473</v>
      </c>
      <c r="S66" s="9">
        <f>IFERROR(__xludf.DUMMYFUNCTION("IFERROR(
  VLOOKUP(
    A66,
    IMPORTRANGE(
      ""1ZHMy3vVUd_0MrSduXTe1etBb1HNpAlGwQr006ljwMiM"",
      ""GSC最新!A:R""
    ),
    11,
    FALSE
  ),
  0
)
"),0.002894356005788712)</f>
        <v>0.002894356006</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"),0.005235602094240838)</f>
        <v>0.005235602094</v>
      </c>
      <c r="V66" s="9">
        <f t="shared" ref="V66:W66" si="323">IFERROR(R66-T66,"-")</f>
        <v>0.003368263473</v>
      </c>
      <c r="W66" s="9">
        <f t="shared" si="323"/>
        <v>-0.002341246088</v>
      </c>
      <c r="X66" s="65">
        <f>IFERROR(__xludf.DUMMYFUNCTION("IFERROR(
  VLOOKUP(
    A66,
    IMPORTRANGE(
      ""1ZHMy3vVUd_0MrSduXTe1etBb1HNpAlGwQr006ljwMiM"",
      ""GSC最新!A:R""
    ),
    9,
    FALSE
  ),
  0
)
"),3.506362275449102)</f>
        <v>3.506362275</v>
      </c>
      <c r="Y66" s="65">
        <f>IFERROR(__xludf.DUMMYFUNCTION("IFERROR(
  VLOOKUP(
    A66,
    IMPORTRANGE(
      ""1ZHMy3vVUd_0MrSduXTe1etBb1HNpAlGwQr006ljwMiM"",
      ""GSC最新!A:R""
    ),
    12,
    FALSE
  ),
  0
)
"),3.9878437047756874)</f>
        <v>3.987843705</v>
      </c>
      <c r="Z66" s="65">
        <f>IFERROR(__xludf.DUMMYFUNCTION("IFERROR(
  VLOOKUP(
    A66,
    IMPORTRANGE(
      ""1ZHMy3vVUd_0MrSduXTe1etBb1HNpAlGwQr006ljwMiM"",
      ""GSC最新!A:R""
    ),
    15,
    FALSE
  ),
  0
)
"),22.194174757281555)</f>
        <v>22.19417476</v>
      </c>
      <c r="AA66" s="65">
        <f>IFERROR(__xludf.DUMMYFUNCTION("IFERROR(
  VLOOKUP(
    A66,
    IMPORTRANGE(
      ""1ZHMy3vVUd_0MrSduXTe1etBb1HNpAlGwQr006ljwMiM"",
      ""GSC最新!A:R""
    ),
    18,
    FALSE
  ),
  0
)
"),20.083769633507853)</f>
        <v>20.08376963</v>
      </c>
      <c r="AB66" s="65">
        <f t="shared" ref="AB66:AC66" si="324">X66-Z66</f>
        <v>-18.68781248</v>
      </c>
      <c r="AC66" s="65">
        <f t="shared" si="324"/>
        <v>-16.09592593</v>
      </c>
      <c r="AD66" s="53">
        <f>IFERROR(__xludf.DUMMYFUNCTION("IFERROR(
  VLOOKUP(
    A66,
    IMPORTRANGE(
      ""1ZHMy3vVUd_0MrSduXTe1etBb1HNpAlGwQr006ljwMiM"",
      ""GSC最新!A:F""
    ),
    6,
    FALSE
  ),
  0
)
"),46081.0)</f>
        <v>46081</v>
      </c>
      <c r="AE66" s="54">
        <f>IFERROR(__xludf.DUMMYFUNCTION("IFERROR(
  VLOOKUP(
    A66,
    IMPORTRANGE(
      ""1SCYQd7_cobOYqT0r_F0IqD4tE4rYn5y8Eup4PJTH8es"",
      ""Snapshot!A:M""
    ),
    5,
    FALSE
  ),
  ""-""
)
"),0.0)</f>
        <v>0</v>
      </c>
      <c r="AF66" s="54">
        <f>IFERROR(__xludf.DUMMYFUNCTION("IFERROR(
  VLOOKUP(
    A66,
    IMPORTRANGE(
      ""1SCYQd7_cobOYqT0r_F0IqD4tE4rYn5y8Eup4PJTH8es"",
      ""Snapshot!A:M""
    ),
    6,
    FALSE
  ),
  0
)
"),0.0)</f>
        <v>0</v>
      </c>
      <c r="AG66" s="54">
        <f>IFERROR(__xludf.DUMMYFUNCTION("IFERROR(
  VLOOKUP(
    A66,
    IMPORTRANGE(
      ""1SCYQd7_cobOYqT0r_F0IqD4tE4rYn5y8Eup4PJTH8es"",
      ""Snapshot!A:M""
    ),
    7,
    FALSE
  ),
  0
)
"),5882.0)</f>
        <v>5882</v>
      </c>
      <c r="AH66" s="54">
        <f>IFERROR(__xludf.DUMMYFUNCTION("IFERROR(
  VLOOKUP(
    A66,
    IMPORTRANGE(
      ""1SCYQd7_cobOYqT0r_F0IqD4tE4rYn5y8Eup4PJTH8es"",
      ""Snapshot!A:M""
    ),
    8,
    FALSE
  ),
  0
)
"),2.0)</f>
        <v>2</v>
      </c>
      <c r="AI66" s="54">
        <f>IFERROR(__xludf.DUMMYFUNCTION("IFERROR(
  VLOOKUP(
    A66,
    IMPORTRANGE(
      ""1SCYQd7_cobOYqT0r_F0IqD4tE4rYn5y8Eup4PJTH8es"",
      ""Snapshot!A:M""
    ),
    9,
    FALSE
  ),
  0
)
"),1.0)</f>
        <v>1</v>
      </c>
      <c r="AJ66" s="54">
        <f>IFERROR(__xludf.DUMMYFUNCTION("IFERROR(
  VLOOKUP(
    A66,
    IMPORTRANGE(
      ""1SCYQd7_cobOYqT0r_F0IqD4tE4rYn5y8Eup4PJTH8es"",
      ""Snapshot!A:M""
    ),
    13,
    FALSE
  ),
  0
)
"),1.0)</f>
        <v>1</v>
      </c>
      <c r="AK66" s="49">
        <f t="shared" ref="AK66:AL66" si="325">LEN(C66)</f>
        <v>28</v>
      </c>
      <c r="AL66" s="49">
        <f t="shared" si="325"/>
        <v>63</v>
      </c>
    </row>
    <row r="67">
      <c r="A67" s="3" t="s">
        <v>1009</v>
      </c>
      <c r="B67" s="1" t="str">
        <f>IFERROR(__xludf.DUMMYFUNCTION("IFERROR(
  VLOOKUP(
    A67,
    IMPORTRANGE(
      ""1ZygntHC1J6IxzKbTidmOyf5nUyW4GCLurHCjexrLm_o"",
      ""HTMLキャッシュ!A:F""
    ),
    2,
    FALSE
  ),
  0
)
"),"MC")</f>
        <v>MC</v>
      </c>
      <c r="C67" s="1" t="str">
        <f>IFERROR(__xludf.DUMMYFUNCTION("IFERROR(
  VLOOKUP(
    A67,
    IMPORTRANGE(
      ""1ZygntHC1J6IxzKbTidmOyf5nUyW4GCLurHCjexrLm_o"",
      ""HTMLキャッシュ!A:F""
    ),
    5,
    FALSE
  ),
  0
)
"),"Stage2 Lesson4-1 不定詞名詞的用法の意味と訳し方")</f>
        <v>Stage2 Lesson4-1 不定詞名詞的用法の意味と訳し方</v>
      </c>
      <c r="D67" s="1" t="str">
        <f>IFERROR(__xludf.DUMMYFUNCTION("IFERROR(
  VLOOKUP(
    A67,
    IMPORTRANGE(
      ""1ZygntHC1J6IxzKbTidmOyf5nUyW4GCLurHCjexrLm_o        "",
      ""HTMLキャッシュ!A:F""
    ),
    6,
    FALSE
  ),
  0
)
"),"不定詞の名詞的用法を整理。主語・目的語・補語の3か所と訳し方「〜すること／〜したい」を例文で確認。")</f>
        <v>不定詞の名詞的用法を整理。主語・目的語・補語の3か所と訳し方「〜すること／〜したい」を例文で確認。</v>
      </c>
      <c r="E67" s="32">
        <f>IFERROR(__xludf.DUMMYFUNCTION("IFERROR(
  VLOOKUP(
    A67,
    IMPORTRANGE(
      ""1ZygntHC1J6IxzKbTidmOyf5nUyW4GCLurHCjexrLm_o        "",
      ""HTMLキャッシュ!A:F""
    ),
    3,
    FALSE
  ),
  0
)
"),46073.585023148145)</f>
        <v>46073.58502</v>
      </c>
      <c r="F67" s="49">
        <f>IFERROR(__xludf.DUMMYFUNCTION("IFERROR(
  VLOOKUP(
    A67,
    IMPORTRANGE(
      ""1ZHMy3vVUd_0MrSduXTe1etBb1HNpAlGwQr006ljwMiM"",
      ""GSC最新!A:F""
    ),
    2,
    FALSE
  ),
  0
)
"),3.0)</f>
        <v>3</v>
      </c>
      <c r="G67" s="49">
        <f>IFERROR(__xludf.DUMMYFUNCTION("IFERROR(
  VLOOKUP(
    A67,
    IMPORTRANGE(
      ""1ZHMy3vVUd_0MrSduXTe1etBb1HNpAlGwQr006ljwMiM"",
      ""GSC最新!A:F""
    ),
    3,
    FALSE
  ),
  0
)
"),10.0)</f>
        <v>10</v>
      </c>
      <c r="H67" s="49">
        <f>IFERROR(__xludf.DUMMYFUNCTION("IFERROR(
  VLOOKUP(
    A67,
    IMPORTRANGE(
      ""1ZHMy3vVUd_0MrSduXTe1etBb1HNpAlGwQr006ljwMiM"",
      ""GSC最新!A:F""
    ),
    4,
    FALSE
  ),
  0
)
"),1.0)</f>
        <v>1</v>
      </c>
      <c r="I67" s="49">
        <f>IFERROR(__xludf.DUMMYFUNCTION("IFERROR(
  VLOOKUP(
    A67,
    IMPORTRANGE(
      ""1ZHMy3vVUd_0MrSduXTe1etBb1HNpAlGwQr006ljwMiM"",
      ""GSC最新!A:F""
    ),
    5,
    FALSE
  ),
  0
)
"),1.0)</f>
        <v>1</v>
      </c>
      <c r="J67" s="50">
        <f t="shared" ref="J67:K67" si="326">IFERROR(F67/H67,"-")</f>
        <v>3</v>
      </c>
      <c r="K67" s="50">
        <f t="shared" si="326"/>
        <v>10</v>
      </c>
      <c r="L67" s="6">
        <f>IFERROR(__xludf.DUMMYFUNCTION("IFERROR(
  VLOOKUP(
    A67,
    IMPORTRANGE(
      ""1ZHMy3vVUd_0MrSduXTe1etBb1HNpAlGwQr006ljwMiM"",
      ""GSC最新!A:R""
    ),
    7,
    FALSE
  ),
  0
)
"),712.0)</f>
        <v>712</v>
      </c>
      <c r="M67" s="6">
        <f>IFERROR(__xludf.DUMMYFUNCTION("IFERROR(
  VLOOKUP(
    A67,
    IMPORTRANGE(
      ""1ZHMy3vVUd_0MrSduXTe1etBb1HNpAlGwQr006ljwMiM"",
      ""GSC最新!A:R""
    ),
    10,
    FALSE
  ),
  0
)
"),1312.0)</f>
        <v>1312</v>
      </c>
      <c r="N67" s="6">
        <f>IFERROR(__xludf.DUMMYFUNCTION("IFERROR(
  VLOOKUP(
    A67,
    IMPORTRANGE(
      ""1ZHMy3vVUd_0MrSduXTe1etBb1HNpAlGwQr006ljwMiM"",
      ""GSC最新!A:R""
    ),
    13,
    FALSE
  ),
  0
)
"),116.0)</f>
        <v>116</v>
      </c>
      <c r="O67" s="6">
        <f>IFERROR(__xludf.DUMMYFUNCTION("IFERROR(
  VLOOKUP(
    A67,
    IMPORTRANGE(
      ""1ZHMy3vVUd_0MrSduXTe1etBb1HNpAlGwQr006ljwMiM"",
      ""GSC最新!A:R""
    ),
    16,
    FALSE
  ),
  0
)
"),308.0)</f>
        <v>308</v>
      </c>
      <c r="P67" s="51">
        <f t="shared" ref="P67:Q67" si="327">IFERROR(L67/N67,"-")</f>
        <v>6.137931034</v>
      </c>
      <c r="Q67" s="51">
        <f t="shared" si="327"/>
        <v>4.25974026</v>
      </c>
      <c r="R67" s="9">
        <f>IFERROR(__xludf.DUMMYFUNCTION("IFERROR(
  VLOOKUP(
    A67,
    IMPORTRANGE(
      ""1ZHMy3vVUd_0MrSduXTe1etBb1HNpAlGwQr006ljwMiM"",
      ""GSC最新!A:R""
    ),
    8,
    FALSE
  ),
  0
)
"),0.004213483146067416)</f>
        <v>0.004213483146</v>
      </c>
      <c r="S67" s="9">
        <f>IFERROR(__xludf.DUMMYFUNCTION("IFERROR(
  VLOOKUP(
    A67,
    IMPORTRANGE(
      ""1ZHMy3vVUd_0MrSduXTe1etBb1HNpAlGwQr006ljwMiM"",
      ""GSC最新!A:R""
    ),
    11,
    FALSE
  ),
  0
)
"),0.007621951219512195)</f>
        <v>0.00762195122</v>
      </c>
      <c r="T67" s="9">
        <f>IFERROR(__xludf.DUMMYFUNCTION("IFERROR(
  VLOOKUP(
    A67,
    IMPORTRANGE(
      ""1ZHMy3vVUd_0MrSduXTe1etBb1HNpAlGwQr006ljwMiM"",
      ""GSC最新!A:R""
    ),
    14,
    FALSE
  ),
  0
)
"),0.008620689655172414)</f>
        <v>0.008620689655</v>
      </c>
      <c r="U67" s="9">
        <f>IFERROR(__xludf.DUMMYFUNCTION("IFERROR(
  VLOOKUP(
    A67,
    IMPORTRANGE(
      ""1ZHMy3vVUd_0MrSduXTe1etBb1HNpAlGwQr006ljwMiM"",
      ""GSC最新!A:R""
    ),
    17,
    FALSE
  ),
  0
)
"),0.003246753246753247)</f>
        <v>0.003246753247</v>
      </c>
      <c r="V67" s="9">
        <f t="shared" ref="V67:W67" si="328">IFERROR(R67-T67,"-")</f>
        <v>-0.004407206509</v>
      </c>
      <c r="W67" s="9">
        <f t="shared" si="328"/>
        <v>0.004375197973</v>
      </c>
      <c r="X67" s="65">
        <f>IFERROR(__xludf.DUMMYFUNCTION("IFERROR(
  VLOOKUP(
    A67,
    IMPORTRANGE(
      ""1ZHMy3vVUd_0MrSduXTe1etBb1HNpAlGwQr006ljwMiM"",
      ""GSC最新!A:R""
    ),
    9,
    FALSE
  ),
  0
)
"),4.676966292134832)</f>
        <v>4.676966292</v>
      </c>
      <c r="Y67" s="65">
        <f>IFERROR(__xludf.DUMMYFUNCTION("IFERROR(
  VLOOKUP(
    A67,
    IMPORTRANGE(
      ""1ZHMy3vVUd_0MrSduXTe1etBb1HNpAlGwQr006ljwMiM"",
      ""GSC最新!A:R""
    ),
    12,
    FALSE
  ),
  0
)
"),4.869664634146341)</f>
        <v>4.869664634</v>
      </c>
      <c r="Z67" s="65">
        <f>IFERROR(__xludf.DUMMYFUNCTION("IFERROR(
  VLOOKUP(
    A67,
    IMPORTRANGE(
      ""1ZHMy3vVUd_0MrSduXTe1etBb1HNpAlGwQr006ljwMiM"",
      ""GSC最新!A:R""
    ),
    15,
    FALSE
  ),
  0
)
"),21.801724137931036)</f>
        <v>21.80172414</v>
      </c>
      <c r="AA67" s="65">
        <f>IFERROR(__xludf.DUMMYFUNCTION("IFERROR(
  VLOOKUP(
    A67,
    IMPORTRANGE(
      ""1ZHMy3vVUd_0MrSduXTe1etBb1HNpAlGwQr006ljwMiM"",
      ""GSC最新!A:R""
    ),
    18,
    FALSE
  ),
  0
)
"),29.84090909090909)</f>
        <v>29.84090909</v>
      </c>
      <c r="AB67" s="65">
        <f t="shared" ref="AB67:AC67" si="329">X67-Z67</f>
        <v>-17.12475785</v>
      </c>
      <c r="AC67" s="65">
        <f t="shared" si="329"/>
        <v>-24.97124446</v>
      </c>
      <c r="AD67" s="53">
        <f>IFERROR(__xludf.DUMMYFUNCTION("IFERROR(
  VLOOKUP(
    A67,
    IMPORTRANGE(
      ""1ZHMy3vVUd_0MrSduXTe1etBb1HNpAlGwQr006ljwMiM"",
      ""GSC最新!A:F""
    ),
    6,
    FALSE
  ),
  0
)
"),46081.0)</f>
        <v>46081</v>
      </c>
      <c r="AE67" s="54">
        <f>IFERROR(__xludf.DUMMYFUNCTION("IFERROR(
  VLOOKUP(
    A67,
    IMPORTRANGE(
      ""1SCYQd7_cobOYqT0r_F0IqD4tE4rYn5y8Eup4PJTH8es"",
      ""Snapshot!A:M""
    ),
    5,
    FALSE
  ),
  ""-""
)
"),2.0)</f>
        <v>2</v>
      </c>
      <c r="AF67" s="54">
        <f>IFERROR(__xludf.DUMMYFUNCTION("IFERROR(
  VLOOKUP(
    A67,
    IMPORTRANGE(
      ""1SCYQd7_cobOYqT0r_F0IqD4tE4rYn5y8Eup4PJTH8es"",
      ""Snapshot!A:M""
    ),
    6,
    FALSE
  ),
  0
)
"),0.0)</f>
        <v>0</v>
      </c>
      <c r="AG67" s="54">
        <f>IFERROR(__xludf.DUMMYFUNCTION("IFERROR(
  VLOOKUP(
    A67,
    IMPORTRANGE(
      ""1SCYQd7_cobOYqT0r_F0IqD4tE4rYn5y8Eup4PJTH8es"",
      ""Snapshot!A:M""
    ),
    7,
    FALSE
  ),
  0
)
"),5989.0)</f>
        <v>5989</v>
      </c>
      <c r="AH67" s="54">
        <f>IFERROR(__xludf.DUMMYFUNCTION("IFERROR(
  VLOOKUP(
    A67,
    IMPORTRANGE(
      ""1SCYQd7_cobOYqT0r_F0IqD4tE4rYn5y8Eup4PJTH8es"",
      ""Snapshot!A:M""
    ),
    8,
    FALSE
  ),
  0
)
"),3.0)</f>
        <v>3</v>
      </c>
      <c r="AI67" s="54">
        <f>IFERROR(__xludf.DUMMYFUNCTION("IFERROR(
  VLOOKUP(
    A67,
    IMPORTRANGE(
      ""1SCYQd7_cobOYqT0r_F0IqD4tE4rYn5y8Eup4PJTH8es"",
      ""Snapshot!A:M""
    ),
    9,
    FALSE
  ),
  0
)
"),2.0)</f>
        <v>2</v>
      </c>
      <c r="AJ67" s="54">
        <f>IFERROR(__xludf.DUMMYFUNCTION("IFERROR(
  VLOOKUP(
    A67,
    IMPORTRANGE(
      ""1SCYQd7_cobOYqT0r_F0IqD4tE4rYn5y8Eup4PJTH8es"",
      ""Snapshot!A:M""
    ),
    13,
    FALSE
  ),
  0
)
"),1.0)</f>
        <v>1</v>
      </c>
      <c r="AK67" s="49">
        <f t="shared" ref="AK67:AL67" si="330">LEN(C67)</f>
        <v>32</v>
      </c>
      <c r="AL67" s="49">
        <f t="shared" si="330"/>
        <v>49</v>
      </c>
    </row>
    <row r="68">
      <c r="A68" s="3" t="s">
        <v>1010</v>
      </c>
      <c r="B68" s="1" t="str">
        <f>IFERROR(__xludf.DUMMYFUNCTION("IFERROR(
  VLOOKUP(
    A68,
    IMPORTRANGE(
      ""1ZygntHC1J6IxzKbTidmOyf5nUyW4GCLurHCjexrLm_o"",
      ""HTMLキャッシュ!A:F""
    ),
    2,
    FALSE
  ),
  0
)
"),"MC")</f>
        <v>MC</v>
      </c>
      <c r="C68" s="1" t="str">
        <f>IFERROR(__xludf.DUMMYFUNCTION("IFERROR(
  VLOOKUP(
    A68,
    IMPORTRANGE(
      ""1ZygntHC1J6IxzKbTidmOyf5nUyW4GCLurHCjexrLm_o"",
      ""HTMLキャッシュ!A:F""
    ),
    5,
    FALSE
  ),
  0
)
"),"関係代名詞｜前置詞＋which/whom・省略｜高校英文法")</f>
        <v>関係代名詞｜前置詞＋which/whom・省略｜高校英文法</v>
      </c>
      <c r="D68" s="1" t="str">
        <f>IFERROR(__xludf.DUMMYFUNCTION("IFERROR(
  VLOOKUP(
    A68,
    IMPORTRANGE(
      ""1ZygntHC1J6IxzKbTidmOyf5nUyW4GCLurHCjexrLm_o        "",
      ""HTMLキャッシュ!A:F""
    ),
    6,
    FALSE
  ),
  0
)
"),"前置詞＋関係代名詞を例文で整理。in which / to which / with whom、thatが使えない場面、前置詞を後ろに置く形と省略条件、関係副詞との違いを高校英文法として確認。")</f>
        <v>前置詞＋関係代名詞を例文で整理。in which / to which / with whom、thatが使えない場面、前置詞を後ろに置く形と省略条件、関係副詞との違いを高校英文法として確認。</v>
      </c>
      <c r="E68" s="32">
        <f>IFERROR(__xludf.DUMMYFUNCTION("IFERROR(
  VLOOKUP(
    A68,
    IMPORTRANGE(
      ""1ZygntHC1J6IxzKbTidmOyf5nUyW4GCLurHCjexrLm_o        "",
      ""HTMLキャッシュ!A:F""
    ),
    3,
    FALSE
  ),
  0
)
"),46078.738391203704)</f>
        <v>46078.73839</v>
      </c>
      <c r="F68" s="49">
        <f>IFERROR(__xludf.DUMMYFUNCTION("IFERROR(
  VLOOKUP(
    A68,
    IMPORTRANGE(
      ""1ZHMy3vVUd_0MrSduXTe1etBb1HNpAlGwQr006ljwMiM"",
      ""GSC最新!A:F""
    ),
    2,
    FALSE
  ),
  0
)
"),7.0)</f>
        <v>7</v>
      </c>
      <c r="G68" s="49">
        <f>IFERROR(__xludf.DUMMYFUNCTION("IFERROR(
  VLOOKUP(
    A68,
    IMPORTRANGE(
      ""1ZHMy3vVUd_0MrSduXTe1etBb1HNpAlGwQr006ljwMiM"",
      ""GSC最新!A:F""
    ),
    3,
    FALSE
  ),
  0
)
"),10.0)</f>
        <v>10</v>
      </c>
      <c r="H68" s="49">
        <f>IFERROR(__xludf.DUMMYFUNCTION("IFERROR(
  VLOOKUP(
    A68,
    IMPORTRANGE(
      ""1ZHMy3vVUd_0MrSduXTe1etBb1HNpAlGwQr006ljwMiM"",
      ""GSC最新!A:F""
    ),
    4,
    FALSE
  ),
  0
)
"),0.0)</f>
        <v>0</v>
      </c>
      <c r="I68" s="49">
        <f>IFERROR(__xludf.DUMMYFUNCTION("IFERROR(
  VLOOKUP(
    A68,
    IMPORTRANGE(
      ""1ZHMy3vVUd_0MrSduXTe1etBb1HNpAlGwQr006ljwMiM"",
      ""GSC最新!A:F""
    ),
    5,
    FALSE
  ),
  0
)
"),0.0)</f>
        <v>0</v>
      </c>
      <c r="J68" s="50" t="str">
        <f t="shared" ref="J68:K68" si="331">IFERROR(F68/H68,"-")</f>
        <v>-</v>
      </c>
      <c r="K68" s="50" t="str">
        <f t="shared" si="331"/>
        <v>-</v>
      </c>
      <c r="L68" s="6">
        <f>IFERROR(__xludf.DUMMYFUNCTION("IFERROR(
  VLOOKUP(
    A68,
    IMPORTRANGE(
      ""1ZHMy3vVUd_0MrSduXTe1etBb1HNpAlGwQr006ljwMiM"",
      ""GSC最新!A:R""
    ),
    7,
    FALSE
  ),
  0
)
"),3866.0)</f>
        <v>3866</v>
      </c>
      <c r="M68" s="6">
        <f>IFERROR(__xludf.DUMMYFUNCTION("IFERROR(
  VLOOKUP(
    A68,
    IMPORTRANGE(
      ""1ZHMy3vVUd_0MrSduXTe1etBb1HNpAlGwQr006ljwMiM"",
      ""GSC最新!A:R""
    ),
    10,
    FALSE
  ),
  0
)
"),5586.0)</f>
        <v>5586</v>
      </c>
      <c r="N68" s="6">
        <f>IFERROR(__xludf.DUMMYFUNCTION("IFERROR(
  VLOOKUP(
    A68,
    IMPORTRANGE(
      ""1ZHMy3vVUd_0MrSduXTe1etBb1HNpAlGwQr006ljwMiM"",
      ""GSC最新!A:R""
    ),
    13,
    FALSE
  ),
  0
)
"),0.0)</f>
        <v>0</v>
      </c>
      <c r="O68" s="6">
        <f>IFERROR(__xludf.DUMMYFUNCTION("IFERROR(
  VLOOKUP(
    A68,
    IMPORTRANGE(
      ""1ZHMy3vVUd_0MrSduXTe1etBb1HNpAlGwQr006ljwMiM"",
      ""GSC最新!A:R""
    ),
    16,
    FALSE
  ),
  0
)
"),1.0)</f>
        <v>1</v>
      </c>
      <c r="P68" s="51" t="str">
        <f t="shared" ref="P68:Q68" si="332">IFERROR(L68/N68,"-")</f>
        <v>-</v>
      </c>
      <c r="Q68" s="51">
        <f t="shared" si="332"/>
        <v>5586</v>
      </c>
      <c r="R68" s="9">
        <f>IFERROR(__xludf.DUMMYFUNCTION("IFERROR(
  VLOOKUP(
    A68,
    IMPORTRANGE(
      ""1ZHMy3vVUd_0MrSduXTe1etBb1HNpAlGwQr006ljwMiM"",
      ""GSC最新!A:R""
    ),
    8,
    FALSE
  ),
  0
)
"),0.0018106570098292809)</f>
        <v>0.00181065701</v>
      </c>
      <c r="S68" s="9">
        <f>IFERROR(__xludf.DUMMYFUNCTION("IFERROR(
  VLOOKUP(
    A68,
    IMPORTRANGE(
      ""1ZHMy3vVUd_0MrSduXTe1etBb1HNpAlGwQr006ljwMiM"",
      ""GSC最新!A:R""
    ),
    11,
    FALSE
  ),
  0
)
"),0.0017901897601145722)</f>
        <v>0.00179018976</v>
      </c>
      <c r="T68" s="9">
        <f>IFERROR(__xludf.DUMMYFUNCTION("IFERROR(
  VLOOKUP(
    A68,
    IMPORTRANGE(
      ""1ZHMy3vVUd_0MrSduXTe1etBb1HNpAlGwQr006ljwMiM"",
      ""GSC最新!A:R""
    ),
    14,
    FALSE
  ),
  0
)
"),0.0)</f>
        <v>0</v>
      </c>
      <c r="U68" s="9">
        <f>IFERROR(__xludf.DUMMYFUNCTION("IFERROR(
  VLOOKUP(
    A68,
    IMPORTRANGE(
      ""1ZHMy3vVUd_0MrSduXTe1etBb1HNpAlGwQr006ljwMiM"",
      ""GSC最新!A:R""
    ),
    17,
    FALSE
  ),
  0
)
"),0.0)</f>
        <v>0</v>
      </c>
      <c r="V68" s="9">
        <f t="shared" ref="V68:W68" si="333">IFERROR(R68-T68,"-")</f>
        <v>0.00181065701</v>
      </c>
      <c r="W68" s="9">
        <f t="shared" si="333"/>
        <v>0.00179018976</v>
      </c>
      <c r="X68" s="65">
        <f>IFERROR(__xludf.DUMMYFUNCTION("IFERROR(
  VLOOKUP(
    A68,
    IMPORTRANGE(
      ""1ZHMy3vVUd_0MrSduXTe1etBb1HNpAlGwQr006ljwMiM"",
      ""GSC最新!A:R""
    ),
    9,
    FALSE
  ),
  0
)
"),4.26849456802897)</f>
        <v>4.268494568</v>
      </c>
      <c r="Y68" s="65">
        <f>IFERROR(__xludf.DUMMYFUNCTION("IFERROR(
  VLOOKUP(
    A68,
    IMPORTRANGE(
      ""1ZHMy3vVUd_0MrSduXTe1etBb1HNpAlGwQr006ljwMiM"",
      ""GSC最新!A:R""
    ),
    12,
    FALSE
  ),
  0
)
"),4.458288578589331)</f>
        <v>4.458288579</v>
      </c>
      <c r="Z68" s="65" t="str">
        <f>IFERROR(__xludf.DUMMYFUNCTION("IFERROR(
  VLOOKUP(
    A68,
    IMPORTRANGE(
      ""1ZHMy3vVUd_0MrSduXTe1etBb1HNpAlGwQr006ljwMiM"",
      ""GSC最新!A:R""
    ),
    15,
    FALSE
  ),
  0
)
"),"")</f>
        <v/>
      </c>
      <c r="AA68" s="65">
        <f>IFERROR(__xludf.DUMMYFUNCTION("IFERROR(
  VLOOKUP(
    A68,
    IMPORTRANGE(
      ""1ZHMy3vVUd_0MrSduXTe1etBb1HNpAlGwQr006ljwMiM"",
      ""GSC最新!A:R""
    ),
    18,
    FALSE
  ),
  0
)
"),9.0)</f>
        <v>9</v>
      </c>
      <c r="AB68" s="65">
        <f t="shared" ref="AB68:AC68" si="334">X68-Z68</f>
        <v>4.268494568</v>
      </c>
      <c r="AC68" s="65">
        <f t="shared" si="334"/>
        <v>-4.541711421</v>
      </c>
      <c r="AD68" s="53">
        <f>IFERROR(__xludf.DUMMYFUNCTION("IFERROR(
  VLOOKUP(
    A68,
    IMPORTRANGE(
      ""1ZHMy3vVUd_0MrSduXTe1etBb1HNpAlGwQr006ljwMiM"",
      ""GSC最新!A:F""
    ),
    6,
    FALSE
  ),
  0
)
"),46081.0)</f>
        <v>46081</v>
      </c>
      <c r="AE68" s="54">
        <f>IFERROR(__xludf.DUMMYFUNCTION("IFERROR(
  VLOOKUP(
    A68,
    IMPORTRANGE(
      ""1SCYQd7_cobOYqT0r_F0IqD4tE4rYn5y8Eup4PJTH8es"",
      ""Snapshot!A:M""
    ),
    5,
    FALSE
  ),
  ""-""
)
"),2.0)</f>
        <v>2</v>
      </c>
      <c r="AF68" s="54">
        <f>IFERROR(__xludf.DUMMYFUNCTION("IFERROR(
  VLOOKUP(
    A68,
    IMPORTRANGE(
      ""1SCYQd7_cobOYqT0r_F0IqD4tE4rYn5y8Eup4PJTH8es"",
      ""Snapshot!A:M""
    ),
    6,
    FALSE
  ),
  0
)
"),11.0)</f>
        <v>11</v>
      </c>
      <c r="AG68" s="54">
        <f>IFERROR(__xludf.DUMMYFUNCTION("IFERROR(
  VLOOKUP(
    A68,
    IMPORTRANGE(
      ""1SCYQd7_cobOYqT0r_F0IqD4tE4rYn5y8Eup4PJTH8es"",
      ""Snapshot!A:M""
    ),
    7,
    FALSE
  ),
  0
)
"),6036.0)</f>
        <v>6036</v>
      </c>
      <c r="AH68" s="54">
        <f>IFERROR(__xludf.DUMMYFUNCTION("IFERROR(
  VLOOKUP(
    A68,
    IMPORTRANGE(
      ""1SCYQd7_cobOYqT0r_F0IqD4tE4rYn5y8Eup4PJTH8es"",
      ""Snapshot!A:M""
    ),
    8,
    FALSE
  ),
  0
)
"),3.0)</f>
        <v>3</v>
      </c>
      <c r="AI68" s="54">
        <f>IFERROR(__xludf.DUMMYFUNCTION("IFERROR(
  VLOOKUP(
    A68,
    IMPORTRANGE(
      ""1SCYQd7_cobOYqT0r_F0IqD4tE4rYn5y8Eup4PJTH8es"",
      ""Snapshot!A:M""
    ),
    9,
    FALSE
  ),
  0
)
"),2.0)</f>
        <v>2</v>
      </c>
      <c r="AJ68" s="54">
        <f>IFERROR(__xludf.DUMMYFUNCTION("IFERROR(
  VLOOKUP(
    A68,
    IMPORTRANGE(
      ""1SCYQd7_cobOYqT0r_F0IqD4tE4rYn5y8Eup4PJTH8es"",
      ""Snapshot!A:M""
    ),
    13,
    FALSE
  ),
  0
)
"),1.0)</f>
        <v>1</v>
      </c>
      <c r="AK68" s="49">
        <f t="shared" ref="AK68:AL68" si="335">LEN(C68)</f>
        <v>29</v>
      </c>
      <c r="AL68" s="49">
        <f t="shared" si="335"/>
        <v>96</v>
      </c>
    </row>
    <row r="69">
      <c r="A69" s="3" t="s">
        <v>1011</v>
      </c>
      <c r="B69" s="1" t="str">
        <f>IFERROR(__xludf.DUMMYFUNCTION("IFERROR(
  VLOOKUP(
    A69,
    IMPORTRANGE(
      ""1ZygntHC1J6IxzKbTidmOyf5nUyW4GCLurHCjexrLm_o"",
      ""HTMLキャッシュ!A:F""
    ),
    2,
    FALSE
  ),
  0
)
"),"MC")</f>
        <v>MC</v>
      </c>
      <c r="C69" s="1" t="str">
        <f>IFERROR(__xludf.DUMMYFUNCTION("IFERROR(
  VLOOKUP(
    A69,
    IMPORTRANGE(
      ""1ZygntHC1J6IxzKbTidmOyf5nUyW4GCLurHCjexrLm_o"",
      ""HTMLキャッシュ!A:F""
    ),
    5,
    FALSE
  ),
  0
)
"),"Who is she の意味と答え方｜She is ～で主語をそろえるルール")</f>
        <v>Who is she の意味と答え方｜She is ～で主語をそろえるルール</v>
      </c>
      <c r="D69" s="1" t="str">
        <f>IFERROR(__xludf.DUMMYFUNCTION("IFERROR(
  VLOOKUP(
    A69,
    IMPORTRANGE(
      ""1ZygntHC1J6IxzKbTidmOyf5nUyW4GCLurHCjexrLm_o        "",
      ""HTMLキャッシュ!A:F""
    ),
    6,
    FALSE
  ),
  0
)
"),"Who is she は「彼女は誰ですか」。答えるときは疑問文の主語に合わせて She is Maria. の形にします。Who＋be動詞＋主語の作り方、主語をそろえるルールを例文で整理。二択の Is she A or B の読み方（A↗orB↘）も確認問題10問で定着。中1英語対応。")</f>
        <v>Who is she は「彼女は誰ですか」。答えるときは疑問文の主語に合わせて She is Maria. の形にします。Who＋be動詞＋主語の作り方、主語をそろえるルールを例文で整理。二択の Is she A or B の読み方（A↗orB↘）も確認問題10問で定着。中1英語対応。</v>
      </c>
      <c r="E69" s="32">
        <f>IFERROR(__xludf.DUMMYFUNCTION("IFERROR(
  VLOOKUP(
    A69,
    IMPORTRANGE(
      ""1ZygntHC1J6IxzKbTidmOyf5nUyW4GCLurHCjexrLm_o        "",
      ""HTMLキャッシュ!A:F""
    ),
    3,
    FALSE
  ),
  0
)
"),46055.70767361111)</f>
        <v>46055.70767</v>
      </c>
      <c r="F69" s="49">
        <f>IFERROR(__xludf.DUMMYFUNCTION("IFERROR(
  VLOOKUP(
    A69,
    IMPORTRANGE(
      ""1ZHMy3vVUd_0MrSduXTe1etBb1HNpAlGwQr006ljwMiM"",
      ""GSC最新!A:F""
    ),
    2,
    FALSE
  ),
  0
)
"),7.0)</f>
        <v>7</v>
      </c>
      <c r="G69" s="49">
        <f>IFERROR(__xludf.DUMMYFUNCTION("IFERROR(
  VLOOKUP(
    A69,
    IMPORTRANGE(
      ""1ZHMy3vVUd_0MrSduXTe1etBb1HNpAlGwQr006ljwMiM"",
      ""GSC最新!A:F""
    ),
    3,
    FALSE
  ),
  0
)
"),9.0)</f>
        <v>9</v>
      </c>
      <c r="H69" s="49">
        <f>IFERROR(__xludf.DUMMYFUNCTION("IFERROR(
  VLOOKUP(
    A69,
    IMPORTRANGE(
      ""1ZHMy3vVUd_0MrSduXTe1etBb1HNpAlGwQr006ljwMiM"",
      ""GSC最新!A:F""
    ),
    4,
    FALSE
  ),
  0
)
"),1.0)</f>
        <v>1</v>
      </c>
      <c r="I69" s="49">
        <f>IFERROR(__xludf.DUMMYFUNCTION("IFERROR(
  VLOOKUP(
    A69,
    IMPORTRANGE(
      ""1ZHMy3vVUd_0MrSduXTe1etBb1HNpAlGwQr006ljwMiM"",
      ""GSC最新!A:F""
    ),
    5,
    FALSE
  ),
  0
)
"),4.0)</f>
        <v>4</v>
      </c>
      <c r="J69" s="50">
        <f t="shared" ref="J69:K69" si="336">IFERROR(F69/H69,"-")</f>
        <v>7</v>
      </c>
      <c r="K69" s="50">
        <f t="shared" si="336"/>
        <v>2.25</v>
      </c>
      <c r="L69" s="6">
        <f>IFERROR(__xludf.DUMMYFUNCTION("IFERROR(
  VLOOKUP(
    A69,
    IMPORTRANGE(
      ""1ZHMy3vVUd_0MrSduXTe1etBb1HNpAlGwQr006ljwMiM"",
      ""GSC最新!A:R""
    ),
    7,
    FALSE
  ),
  0
)
"),3452.0)</f>
        <v>3452</v>
      </c>
      <c r="M69" s="6">
        <f>IFERROR(__xludf.DUMMYFUNCTION("IFERROR(
  VLOOKUP(
    A69,
    IMPORTRANGE(
      ""1ZHMy3vVUd_0MrSduXTe1etBb1HNpAlGwQr006ljwMiM"",
      ""GSC最新!A:R""
    ),
    10,
    FALSE
  ),
  0
)
"),4947.0)</f>
        <v>4947</v>
      </c>
      <c r="N69" s="6">
        <f>IFERROR(__xludf.DUMMYFUNCTION("IFERROR(
  VLOOKUP(
    A69,
    IMPORTRANGE(
      ""1ZHMy3vVUd_0MrSduXTe1etBb1HNpAlGwQr006ljwMiM"",
      ""GSC最新!A:R""
    ),
    13,
    FALSE
  ),
  0
)
"),157.0)</f>
        <v>157</v>
      </c>
      <c r="O69" s="6">
        <f>IFERROR(__xludf.DUMMYFUNCTION("IFERROR(
  VLOOKUP(
    A69,
    IMPORTRANGE(
      ""1ZHMy3vVUd_0MrSduXTe1etBb1HNpAlGwQr006ljwMiM"",
      ""GSC最新!A:R""
    ),
    16,
    FALSE
  ),
  0
)
"),490.0)</f>
        <v>490</v>
      </c>
      <c r="P69" s="51">
        <f t="shared" ref="P69:Q69" si="337">IFERROR(L69/N69,"-")</f>
        <v>21.98726115</v>
      </c>
      <c r="Q69" s="51">
        <f t="shared" si="337"/>
        <v>10.09591837</v>
      </c>
      <c r="R69" s="9">
        <f>IFERROR(__xludf.DUMMYFUNCTION("IFERROR(
  VLOOKUP(
    A69,
    IMPORTRANGE(
      ""1ZHMy3vVUd_0MrSduXTe1etBb1HNpAlGwQr006ljwMiM"",
      ""GSC最新!A:R""
    ),
    8,
    FALSE
  ),
  0
)
"),0.0020278099652375433)</f>
        <v>0.002027809965</v>
      </c>
      <c r="S69" s="9">
        <f>IFERROR(__xludf.DUMMYFUNCTION("IFERROR(
  VLOOKUP(
    A69,
    IMPORTRANGE(
      ""1ZHMy3vVUd_0MrSduXTe1etBb1HNpAlGwQr006ljwMiM"",
      ""GSC最新!A:R""
    ),
    11,
    FALSE
  ),
  0
)
"),0.0018192844147968466)</f>
        <v>0.001819284415</v>
      </c>
      <c r="T69" s="9">
        <f>IFERROR(__xludf.DUMMYFUNCTION("IFERROR(
  VLOOKUP(
    A69,
    IMPORTRANGE(
      ""1ZHMy3vVUd_0MrSduXTe1etBb1HNpAlGwQr006ljwMiM"",
      ""GSC最新!A:R""
    ),
    14,
    FALSE
  ),
  0
)
"),0.006369426751592357)</f>
        <v>0.006369426752</v>
      </c>
      <c r="U69" s="9">
        <f>IFERROR(__xludf.DUMMYFUNCTION("IFERROR(
  VLOOKUP(
    A69,
    IMPORTRANGE(
      ""1ZHMy3vVUd_0MrSduXTe1etBb1HNpAlGwQr006ljwMiM"",
      ""GSC最新!A:R""
    ),
    17,
    FALSE
  ),
  0
)
"),0.00816326530612245)</f>
        <v>0.008163265306</v>
      </c>
      <c r="V69" s="9">
        <f t="shared" ref="V69:W69" si="338">IFERROR(R69-T69,"-")</f>
        <v>-0.004341616786</v>
      </c>
      <c r="W69" s="9">
        <f t="shared" si="338"/>
        <v>-0.006343980891</v>
      </c>
      <c r="X69" s="65">
        <f>IFERROR(__xludf.DUMMYFUNCTION("IFERROR(
  VLOOKUP(
    A69,
    IMPORTRANGE(
      ""1ZHMy3vVUd_0MrSduXTe1etBb1HNpAlGwQr006ljwMiM"",
      ""GSC最新!A:R""
    ),
    9,
    FALSE
  ),
  0
)
"),4.912804171494786)</f>
        <v>4.912804171</v>
      </c>
      <c r="Y69" s="65">
        <f>IFERROR(__xludf.DUMMYFUNCTION("IFERROR(
  VLOOKUP(
    A69,
    IMPORTRANGE(
      ""1ZHMy3vVUd_0MrSduXTe1etBb1HNpAlGwQr006ljwMiM"",
      ""GSC最新!A:R""
    ),
    12,
    FALSE
  ),
  0
)
"),4.828582979583587)</f>
        <v>4.82858298</v>
      </c>
      <c r="Z69" s="65">
        <f>IFERROR(__xludf.DUMMYFUNCTION("IFERROR(
  VLOOKUP(
    A69,
    IMPORTRANGE(
      ""1ZHMy3vVUd_0MrSduXTe1etBb1HNpAlGwQr006ljwMiM"",
      ""GSC最新!A:R""
    ),
    15,
    FALSE
  ),
  0
)
"),7.611464968152866)</f>
        <v>7.611464968</v>
      </c>
      <c r="AA69" s="65">
        <f>IFERROR(__xludf.DUMMYFUNCTION("IFERROR(
  VLOOKUP(
    A69,
    IMPORTRANGE(
      ""1ZHMy3vVUd_0MrSduXTe1etBb1HNpAlGwQr006ljwMiM"",
      ""GSC最新!A:R""
    ),
    18,
    FALSE
  ),
  0
)
"),8.853061224489796)</f>
        <v>8.853061224</v>
      </c>
      <c r="AB69" s="65">
        <f t="shared" ref="AB69:AC69" si="339">X69-Z69</f>
        <v>-2.698660797</v>
      </c>
      <c r="AC69" s="65">
        <f t="shared" si="339"/>
        <v>-4.024478245</v>
      </c>
      <c r="AD69" s="53">
        <f>IFERROR(__xludf.DUMMYFUNCTION("IFERROR(
  VLOOKUP(
    A69,
    IMPORTRANGE(
      ""1ZHMy3vVUd_0MrSduXTe1etBb1HNpAlGwQr006ljwMiM"",
      ""GSC最新!A:F""
    ),
    6,
    FALSE
  ),
  0
)
"),46081.0)</f>
        <v>46081</v>
      </c>
      <c r="AE69" s="54">
        <f>IFERROR(__xludf.DUMMYFUNCTION("IFERROR(
  VLOOKUP(
    A69,
    IMPORTRANGE(
      ""1SCYQd7_cobOYqT0r_F0IqD4tE4rYn5y8Eup4PJTH8es"",
      ""Snapshot!A:M""
    ),
    5,
    FALSE
  ),
  ""-""
)
"),3.0)</f>
        <v>3</v>
      </c>
      <c r="AF69" s="54">
        <f>IFERROR(__xludf.DUMMYFUNCTION("IFERROR(
  VLOOKUP(
    A69,
    IMPORTRANGE(
      ""1SCYQd7_cobOYqT0r_F0IqD4tE4rYn5y8Eup4PJTH8es"",
      ""Snapshot!A:M""
    ),
    6,
    FALSE
  ),
  0
)
"),0.0)</f>
        <v>0</v>
      </c>
      <c r="AG69" s="54">
        <f>IFERROR(__xludf.DUMMYFUNCTION("IFERROR(
  VLOOKUP(
    A69,
    IMPORTRANGE(
      ""1SCYQd7_cobOYqT0r_F0IqD4tE4rYn5y8Eup4PJTH8es"",
      ""Snapshot!A:M""
    ),
    7,
    FALSE
  ),
  0
)
"),6439.0)</f>
        <v>6439</v>
      </c>
      <c r="AH69" s="54">
        <f>IFERROR(__xludf.DUMMYFUNCTION("IFERROR(
  VLOOKUP(
    A69,
    IMPORTRANGE(
      ""1SCYQd7_cobOYqT0r_F0IqD4tE4rYn5y8Eup4PJTH8es"",
      ""Snapshot!A:M""
    ),
    8,
    FALSE
  ),
  0
)
"),3.0)</f>
        <v>3</v>
      </c>
      <c r="AI69" s="54">
        <f>IFERROR(__xludf.DUMMYFUNCTION("IFERROR(
  VLOOKUP(
    A69,
    IMPORTRANGE(
      ""1SCYQd7_cobOYqT0r_F0IqD4tE4rYn5y8Eup4PJTH8es"",
      ""Snapshot!A:M""
    ),
    9,
    FALSE
  ),
  0
)
"),2.0)</f>
        <v>2</v>
      </c>
      <c r="AJ69" s="54">
        <f>IFERROR(__xludf.DUMMYFUNCTION("IFERROR(
  VLOOKUP(
    A69,
    IMPORTRANGE(
      ""1SCYQd7_cobOYqT0r_F0IqD4tE4rYn5y8Eup4PJTH8es"",
      ""Snapshot!A:M""
    ),
    13,
    FALSE
  ),
  0
)
"),1.0)</f>
        <v>1</v>
      </c>
      <c r="AK69" s="49">
        <f t="shared" ref="AK69:AL69" si="340">LEN(C69)</f>
        <v>38</v>
      </c>
      <c r="AL69" s="49">
        <f t="shared" si="340"/>
        <v>143</v>
      </c>
    </row>
    <row r="70">
      <c r="A70" s="3" t="s">
        <v>1012</v>
      </c>
      <c r="B70" s="1" t="str">
        <f>IFERROR(__xludf.DUMMYFUNCTION("IFERROR(
  VLOOKUP(
    A70,
    IMPORTRANGE(
      ""1ZygntHC1J6IxzKbTidmOyf5nUyW4GCLurHCjexrLm_o"",
      ""HTMLキャッシュ!A:F""
    ),
    2,
    FALSE
  ),
  0
)
"),"MC")</f>
        <v>MC</v>
      </c>
      <c r="C70" s="1" t="str">
        <f>IFERROR(__xludf.DUMMYFUNCTION("IFERROR(
  VLOOKUP(
    A70,
    IMPORTRANGE(
      ""1ZygntHC1J6IxzKbTidmOyf5nUyW4GCLurHCjexrLm_o"",
      ""HTMLキャッシュ!A:F""
    ),
    5,
    FALSE
  ),
  0
)
"),"Stage3 Lesson1-2 英語文法と語法の徹底解説")</f>
        <v>Stage3 Lesson1-2 英語文法と語法の徹底解説</v>
      </c>
      <c r="D70" s="1" t="str">
        <f>IFERROR(__xludf.DUMMYFUNCTION("IFERROR(
  VLOOKUP(
    A70,
    IMPORTRANGE(
      ""1ZygntHC1J6IxzKbTidmOyf5nUyW4GCLurHCjexrLm_o        "",
      ""HTMLキャッシュ!A:F""
    ),
    6,
    FALSE
  ),
  0
)
"),"過去完了had＋過去分詞と現在完了have＋過去分詞の時系列を図で整理。過去完了進行形had been＋ing、否定・疑問も例文で確認。")</f>
        <v>過去完了had＋過去分詞と現在完了have＋過去分詞の時系列を図で整理。過去完了進行形had been＋ing、否定・疑問も例文で確認。</v>
      </c>
      <c r="E70" s="32">
        <f>IFERROR(__xludf.DUMMYFUNCTION("IFERROR(
  VLOOKUP(
    A70,
    IMPORTRANGE(
      ""1ZygntHC1J6IxzKbTidmOyf5nUyW4GCLurHCjexrLm_o        "",
      ""HTMLキャッシュ!A:F""
    ),
    3,
    FALSE
  ),
  0
)
"),46073.6387962963)</f>
        <v>46073.6388</v>
      </c>
      <c r="F70" s="49">
        <f>IFERROR(__xludf.DUMMYFUNCTION("IFERROR(
  VLOOKUP(
    A70,
    IMPORTRANGE(
      ""1ZHMy3vVUd_0MrSduXTe1etBb1HNpAlGwQr006ljwMiM"",
      ""GSC最新!A:F""
    ),
    2,
    FALSE
  ),
  0
)
"),4.0)</f>
        <v>4</v>
      </c>
      <c r="G70" s="49">
        <f>IFERROR(__xludf.DUMMYFUNCTION("IFERROR(
  VLOOKUP(
    A70,
    IMPORTRANGE(
      ""1ZHMy3vVUd_0MrSduXTe1etBb1HNpAlGwQr006ljwMiM"",
      ""GSC最新!A:F""
    ),
    3,
    FALSE
  ),
  0
)
"),9.0)</f>
        <v>9</v>
      </c>
      <c r="H70" s="49">
        <f>IFERROR(__xludf.DUMMYFUNCTION("IFERROR(
  VLOOKUP(
    A70,
    IMPORTRANGE(
      ""1ZHMy3vVUd_0MrSduXTe1etBb1HNpAlGwQr006ljwMiM"",
      ""GSC最新!A:F""
    ),
    4,
    FALSE
  ),
  0
)
"),2.0)</f>
        <v>2</v>
      </c>
      <c r="I70" s="49">
        <f>IFERROR(__xludf.DUMMYFUNCTION("IFERROR(
  VLOOKUP(
    A70,
    IMPORTRANGE(
      ""1ZHMy3vVUd_0MrSduXTe1etBb1HNpAlGwQr006ljwMiM"",
      ""GSC最新!A:F""
    ),
    5,
    FALSE
  ),
  0
)
"),8.0)</f>
        <v>8</v>
      </c>
      <c r="J70" s="50">
        <f t="shared" ref="J70:K70" si="341">IFERROR(F70/H70,"-")</f>
        <v>2</v>
      </c>
      <c r="K70" s="50">
        <f t="shared" si="341"/>
        <v>1.125</v>
      </c>
      <c r="L70" s="6">
        <f>IFERROR(__xludf.DUMMYFUNCTION("IFERROR(
  VLOOKUP(
    A70,
    IMPORTRANGE(
      ""1ZHMy3vVUd_0MrSduXTe1etBb1HNpAlGwQr006ljwMiM"",
      ""GSC最新!A:R""
    ),
    7,
    FALSE
  ),
  0
)
"),910.0)</f>
        <v>910</v>
      </c>
      <c r="M70" s="6">
        <f>IFERROR(__xludf.DUMMYFUNCTION("IFERROR(
  VLOOKUP(
    A70,
    IMPORTRANGE(
      ""1ZHMy3vVUd_0MrSduXTe1etBb1HNpAlGwQr006ljwMiM"",
      ""GSC最新!A:R""
    ),
    10,
    FALSE
  ),
  0
)
"),2280.0)</f>
        <v>2280</v>
      </c>
      <c r="N70" s="6">
        <f>IFERROR(__xludf.DUMMYFUNCTION("IFERROR(
  VLOOKUP(
    A70,
    IMPORTRANGE(
      ""1ZHMy3vVUd_0MrSduXTe1etBb1HNpAlGwQr006ljwMiM"",
      ""GSC最新!A:R""
    ),
    13,
    FALSE
  ),
  0
)
"),61.0)</f>
        <v>61</v>
      </c>
      <c r="O70" s="6">
        <f>IFERROR(__xludf.DUMMYFUNCTION("IFERROR(
  VLOOKUP(
    A70,
    IMPORTRANGE(
      ""1ZHMy3vVUd_0MrSduXTe1etBb1HNpAlGwQr006ljwMiM"",
      ""GSC最新!A:R""
    ),
    16,
    FALSE
  ),
  0
)
"),210.0)</f>
        <v>210</v>
      </c>
      <c r="P70" s="51">
        <f t="shared" ref="P70:Q70" si="342">IFERROR(L70/N70,"-")</f>
        <v>14.91803279</v>
      </c>
      <c r="Q70" s="51">
        <f t="shared" si="342"/>
        <v>10.85714286</v>
      </c>
      <c r="R70" s="9">
        <f>IFERROR(__xludf.DUMMYFUNCTION("IFERROR(
  VLOOKUP(
    A70,
    IMPORTRANGE(
      ""1ZHMy3vVUd_0MrSduXTe1etBb1HNpAlGwQr006ljwMiM"",
      ""GSC最新!A:R""
    ),
    8,
    FALSE
  ),
  0
)
"),0.004395604395604396)</f>
        <v>0.004395604396</v>
      </c>
      <c r="S70" s="9">
        <f>IFERROR(__xludf.DUMMYFUNCTION("IFERROR(
  VLOOKUP(
    A70,
    IMPORTRANGE(
      ""1ZHMy3vVUd_0MrSduXTe1etBb1HNpAlGwQr006ljwMiM"",
      ""GSC最新!A:R""
    ),
    11,
    FALSE
  ),
  0
)
"),0.003947368421052632)</f>
        <v>0.003947368421</v>
      </c>
      <c r="T70" s="9">
        <f>IFERROR(__xludf.DUMMYFUNCTION("IFERROR(
  VLOOKUP(
    A70,
    IMPORTRANGE(
      ""1ZHMy3vVUd_0MrSduXTe1etBb1HNpAlGwQr006ljwMiM"",
      ""GSC最新!A:R""
    ),
    14,
    FALSE
  ),
  0
)
"),0.03278688524590164)</f>
        <v>0.03278688525</v>
      </c>
      <c r="U70" s="9">
        <f>IFERROR(__xludf.DUMMYFUNCTION("IFERROR(
  VLOOKUP(
    A70,
    IMPORTRANGE(
      ""1ZHMy3vVUd_0MrSduXTe1etBb1HNpAlGwQr006ljwMiM"",
      ""GSC最新!A:R""
    ),
    17,
    FALSE
  ),
  0
)
"),0.0380952380952381)</f>
        <v>0.0380952381</v>
      </c>
      <c r="V70" s="9">
        <f t="shared" ref="V70:W70" si="343">IFERROR(R70-T70,"-")</f>
        <v>-0.02839128085</v>
      </c>
      <c r="W70" s="9">
        <f t="shared" si="343"/>
        <v>-0.03414786967</v>
      </c>
      <c r="X70" s="65">
        <f>IFERROR(__xludf.DUMMYFUNCTION("IFERROR(
  VLOOKUP(
    A70,
    IMPORTRANGE(
      ""1ZHMy3vVUd_0MrSduXTe1etBb1HNpAlGwQr006ljwMiM"",
      ""GSC最新!A:R""
    ),
    9,
    FALSE
  ),
  0
)
"),2.2857142857142856)</f>
        <v>2.285714286</v>
      </c>
      <c r="Y70" s="65">
        <f>IFERROR(__xludf.DUMMYFUNCTION("IFERROR(
  VLOOKUP(
    A70,
    IMPORTRANGE(
      ""1ZHMy3vVUd_0MrSduXTe1etBb1HNpAlGwQr006ljwMiM"",
      ""GSC最新!A:R""
    ),
    12,
    FALSE
  ),
  0
)
"),2.512719298245614)</f>
        <v>2.512719298</v>
      </c>
      <c r="Z70" s="65">
        <f>IFERROR(__xludf.DUMMYFUNCTION("IFERROR(
  VLOOKUP(
    A70,
    IMPORTRANGE(
      ""1ZHMy3vVUd_0MrSduXTe1etBb1HNpAlGwQr006ljwMiM"",
      ""GSC最新!A:R""
    ),
    15,
    FALSE
  ),
  0
)
"),12.80327868852459)</f>
        <v>12.80327869</v>
      </c>
      <c r="AA70" s="65">
        <f>IFERROR(__xludf.DUMMYFUNCTION("IFERROR(
  VLOOKUP(
    A70,
    IMPORTRANGE(
      ""1ZHMy3vVUd_0MrSduXTe1etBb1HNpAlGwQr006ljwMiM"",
      ""GSC最新!A:R""
    ),
    18,
    FALSE
  ),
  0
)
"),15.004761904761905)</f>
        <v>15.0047619</v>
      </c>
      <c r="AB70" s="65">
        <f t="shared" ref="AB70:AC70" si="344">X70-Z70</f>
        <v>-10.5175644</v>
      </c>
      <c r="AC70" s="65">
        <f t="shared" si="344"/>
        <v>-12.49204261</v>
      </c>
      <c r="AD70" s="53">
        <f>IFERROR(__xludf.DUMMYFUNCTION("IFERROR(
  VLOOKUP(
    A70,
    IMPORTRANGE(
      ""1ZHMy3vVUd_0MrSduXTe1etBb1HNpAlGwQr006ljwMiM"",
      ""GSC最新!A:F""
    ),
    6,
    FALSE
  ),
  0
)
"),46081.0)</f>
        <v>46081</v>
      </c>
      <c r="AE70" s="54">
        <f>IFERROR(__xludf.DUMMYFUNCTION("IFERROR(
  VLOOKUP(
    A70,
    IMPORTRANGE(
      ""1SCYQd7_cobOYqT0r_F0IqD4tE4rYn5y8Eup4PJTH8es"",
      ""Snapshot!A:M""
    ),
    5,
    FALSE
  ),
  ""-""
)
"),0.0)</f>
        <v>0</v>
      </c>
      <c r="AF70" s="54">
        <f>IFERROR(__xludf.DUMMYFUNCTION("IFERROR(
  VLOOKUP(
    A70,
    IMPORTRANGE(
      ""1SCYQd7_cobOYqT0r_F0IqD4tE4rYn5y8Eup4PJTH8es"",
      ""Snapshot!A:M""
    ),
    6,
    FALSE
  ),
  0
)
"),5.0)</f>
        <v>5</v>
      </c>
      <c r="AG70" s="54">
        <f>IFERROR(__xludf.DUMMYFUNCTION("IFERROR(
  VLOOKUP(
    A70,
    IMPORTRANGE(
      ""1SCYQd7_cobOYqT0r_F0IqD4tE4rYn5y8Eup4PJTH8es"",
      ""Snapshot!A:M""
    ),
    7,
    FALSE
  ),
  0
)
"),3560.0)</f>
        <v>3560</v>
      </c>
      <c r="AH70" s="54">
        <f>IFERROR(__xludf.DUMMYFUNCTION("IFERROR(
  VLOOKUP(
    A70,
    IMPORTRANGE(
      ""1SCYQd7_cobOYqT0r_F0IqD4tE4rYn5y8Eup4PJTH8es"",
      ""Snapshot!A:M""
    ),
    8,
    FALSE
  ),
  0
)
"),4.0)</f>
        <v>4</v>
      </c>
      <c r="AI70" s="54">
        <f>IFERROR(__xludf.DUMMYFUNCTION("IFERROR(
  VLOOKUP(
    A70,
    IMPORTRANGE(
      ""1SCYQd7_cobOYqT0r_F0IqD4tE4rYn5y8Eup4PJTH8es"",
      ""Snapshot!A:M""
    ),
    9,
    FALSE
  ),
  0
)
"),3.0)</f>
        <v>3</v>
      </c>
      <c r="AJ70" s="54">
        <f>IFERROR(__xludf.DUMMYFUNCTION("IFERROR(
  VLOOKUP(
    A70,
    IMPORTRANGE(
      ""1SCYQd7_cobOYqT0r_F0IqD4tE4rYn5y8Eup4PJTH8es"",
      ""Snapshot!A:M""
    ),
    13,
    FALSE
  ),
  0
)
"),1.0)</f>
        <v>1</v>
      </c>
      <c r="AK70" s="49">
        <f t="shared" ref="AK70:AL70" si="345">LEN(C70)</f>
        <v>29</v>
      </c>
      <c r="AL70" s="49">
        <f t="shared" si="345"/>
        <v>68</v>
      </c>
    </row>
    <row r="71">
      <c r="A71" s="3" t="s">
        <v>1013</v>
      </c>
      <c r="B71" s="1" t="str">
        <f>IFERROR(__xludf.DUMMYFUNCTION("IFERROR(
  VLOOKUP(
    A71,
    IMPORTRANGE(
      ""1ZygntHC1J6IxzKbTidmOyf5nUyW4GCLurHCjexrLm_o"",
      ""HTMLキャッシュ!A:F""
    ),
    2,
    FALSE
  ),
  0
)
"),"MC")</f>
        <v>MC</v>
      </c>
      <c r="C71" s="1" t="str">
        <f>IFERROR(__xludf.DUMMYFUNCTION("IFERROR(
  VLOOKUP(
    A71,
    IMPORTRANGE(
      ""1ZygntHC1J6IxzKbTidmOyf5nUyW4GCLurHCjexrLm_o"",
      ""HTMLキャッシュ!A:F""
    ),
    5,
    FALSE
  ),
  0
)
"),"How manyの答え方｜many＋名詞の注意｜中1英語")</f>
        <v>How manyの答え方｜many＋名詞の注意｜中1英語</v>
      </c>
      <c r="D71" s="1" t="str">
        <f>IFERROR(__xludf.DUMMYFUNCTION("IFERROR(
  VLOOKUP(
    A71,
    IMPORTRANGE(
      ""1ZygntHC1J6IxzKbTidmOyf5nUyW4GCLurHCjexrLm_o        "",
      ""HTMLキャッシュ!A:F""
    ),
    6,
    FALSE
  ),
  0
)
"),"How manyの答え方を例文で整理。many＋名詞は離さない、数だけで返す。How old/How tallも同様に確認。中1向け。")</f>
        <v>How manyの答え方を例文で整理。many＋名詞は離さない、数だけで返す。How old/How tallも同様に確認。中1向け。</v>
      </c>
      <c r="E71" s="32">
        <f>IFERROR(__xludf.DUMMYFUNCTION("IFERROR(
  VLOOKUP(
    A71,
    IMPORTRANGE(
      ""1ZygntHC1J6IxzKbTidmOyf5nUyW4GCLurHCjexrLm_o        "",
      ""HTMLキャッシュ!A:F""
    ),
    3,
    FALSE
  ),
  0
)
"),46077.805081018516)</f>
        <v>46077.80508</v>
      </c>
      <c r="F71" s="49">
        <f>IFERROR(__xludf.DUMMYFUNCTION("IFERROR(
  VLOOKUP(
    A71,
    IMPORTRANGE(
      ""1ZHMy3vVUd_0MrSduXTe1etBb1HNpAlGwQr006ljwMiM"",
      ""GSC最新!A:F""
    ),
    2,
    FALSE
  ),
  0
)
"),2.0)</f>
        <v>2</v>
      </c>
      <c r="G71" s="49">
        <f>IFERROR(__xludf.DUMMYFUNCTION("IFERROR(
  VLOOKUP(
    A71,
    IMPORTRANGE(
      ""1ZHMy3vVUd_0MrSduXTe1etBb1HNpAlGwQr006ljwMiM"",
      ""GSC最新!A:F""
    ),
    3,
    FALSE
  ),
  0
)
"),8.0)</f>
        <v>8</v>
      </c>
      <c r="H71" s="49">
        <f>IFERROR(__xludf.DUMMYFUNCTION("IFERROR(
  VLOOKUP(
    A71,
    IMPORTRANGE(
      ""1ZHMy3vVUd_0MrSduXTe1etBb1HNpAlGwQr006ljwMiM"",
      ""GSC最新!A:F""
    ),
    4,
    FALSE
  ),
  0
)
"),2.0)</f>
        <v>2</v>
      </c>
      <c r="I71" s="49">
        <f>IFERROR(__xludf.DUMMYFUNCTION("IFERROR(
  VLOOKUP(
    A71,
    IMPORTRANGE(
      ""1ZHMy3vVUd_0MrSduXTe1etBb1HNpAlGwQr006ljwMiM"",
      ""GSC最新!A:F""
    ),
    5,
    FALSE
  ),
  0
)
"),8.0)</f>
        <v>8</v>
      </c>
      <c r="J71" s="50">
        <f t="shared" ref="J71:K71" si="346">IFERROR(F71/H71,"-")</f>
        <v>1</v>
      </c>
      <c r="K71" s="50">
        <f t="shared" si="346"/>
        <v>1</v>
      </c>
      <c r="L71" s="6">
        <f>IFERROR(__xludf.DUMMYFUNCTION("IFERROR(
  VLOOKUP(
    A71,
    IMPORTRANGE(
      ""1ZHMy3vVUd_0MrSduXTe1etBb1HNpAlGwQr006ljwMiM"",
      ""GSC最新!A:R""
    ),
    7,
    FALSE
  ),
  0
)
"),2785.0)</f>
        <v>2785</v>
      </c>
      <c r="M71" s="6">
        <f>IFERROR(__xludf.DUMMYFUNCTION("IFERROR(
  VLOOKUP(
    A71,
    IMPORTRANGE(
      ""1ZHMy3vVUd_0MrSduXTe1etBb1HNpAlGwQr006ljwMiM"",
      ""GSC最新!A:R""
    ),
    10,
    FALSE
  ),
  0
)
"),6895.0)</f>
        <v>6895</v>
      </c>
      <c r="N71" s="6">
        <f>IFERROR(__xludf.DUMMYFUNCTION("IFERROR(
  VLOOKUP(
    A71,
    IMPORTRANGE(
      ""1ZHMy3vVUd_0MrSduXTe1etBb1HNpAlGwQr006ljwMiM"",
      ""GSC最新!A:R""
    ),
    13,
    FALSE
  ),
  0
)
"),302.0)</f>
        <v>302</v>
      </c>
      <c r="O71" s="6">
        <f>IFERROR(__xludf.DUMMYFUNCTION("IFERROR(
  VLOOKUP(
    A71,
    IMPORTRANGE(
      ""1ZHMy3vVUd_0MrSduXTe1etBb1HNpAlGwQr006ljwMiM"",
      ""GSC最新!A:R""
    ),
    16,
    FALSE
  ),
  0
)
"),959.0)</f>
        <v>959</v>
      </c>
      <c r="P71" s="51">
        <f t="shared" ref="P71:Q71" si="347">IFERROR(L71/N71,"-")</f>
        <v>9.221854305</v>
      </c>
      <c r="Q71" s="51">
        <f t="shared" si="347"/>
        <v>7.189781022</v>
      </c>
      <c r="R71" s="9">
        <f>IFERROR(__xludf.DUMMYFUNCTION("IFERROR(
  VLOOKUP(
    A71,
    IMPORTRANGE(
      ""1ZHMy3vVUd_0MrSduXTe1etBb1HNpAlGwQr006ljwMiM"",
      ""GSC最新!A:R""
    ),
    8,
    FALSE
  ),
  0
)
"),7.18132854578097E-4)</f>
        <v>0.0007181328546</v>
      </c>
      <c r="S71" s="9">
        <f>IFERROR(__xludf.DUMMYFUNCTION("IFERROR(
  VLOOKUP(
    A71,
    IMPORTRANGE(
      ""1ZHMy3vVUd_0MrSduXTe1etBb1HNpAlGwQr006ljwMiM"",
      ""GSC最新!A:R""
    ),
    11,
    FALSE
  ),
  0
)
"),0.001160261058738216)</f>
        <v>0.001160261059</v>
      </c>
      <c r="T71" s="9">
        <f>IFERROR(__xludf.DUMMYFUNCTION("IFERROR(
  VLOOKUP(
    A71,
    IMPORTRANGE(
      ""1ZHMy3vVUd_0MrSduXTe1etBb1HNpAlGwQr006ljwMiM"",
      ""GSC最新!A:R""
    ),
    14,
    FALSE
  ),
  0
)
"),0.006622516556291391)</f>
        <v>0.006622516556</v>
      </c>
      <c r="U71" s="9">
        <f>IFERROR(__xludf.DUMMYFUNCTION("IFERROR(
  VLOOKUP(
    A71,
    IMPORTRANGE(
      ""1ZHMy3vVUd_0MrSduXTe1etBb1HNpAlGwQr006ljwMiM"",
      ""GSC最新!A:R""
    ),
    17,
    FALSE
  ),
  0
)
"),0.008342022940563087)</f>
        <v>0.008342022941</v>
      </c>
      <c r="V71" s="9">
        <f t="shared" ref="V71:W71" si="348">IFERROR(R71-T71,"-")</f>
        <v>-0.005904383702</v>
      </c>
      <c r="W71" s="9">
        <f t="shared" si="348"/>
        <v>-0.007181761882</v>
      </c>
      <c r="X71" s="65">
        <f>IFERROR(__xludf.DUMMYFUNCTION("IFERROR(
  VLOOKUP(
    A71,
    IMPORTRANGE(
      ""1ZHMy3vVUd_0MrSduXTe1etBb1HNpAlGwQr006ljwMiM"",
      ""GSC最新!A:R""
    ),
    9,
    FALSE
  ),
  0
)
"),5.4754039497307)</f>
        <v>5.47540395</v>
      </c>
      <c r="Y71" s="65">
        <f>IFERROR(__xludf.DUMMYFUNCTION("IFERROR(
  VLOOKUP(
    A71,
    IMPORTRANGE(
      ""1ZHMy3vVUd_0MrSduXTe1etBb1HNpAlGwQr006ljwMiM"",
      ""GSC最新!A:R""
    ),
    12,
    FALSE
  ),
  0
)
"),5.18665699782451)</f>
        <v>5.186656998</v>
      </c>
      <c r="Z71" s="65">
        <f>IFERROR(__xludf.DUMMYFUNCTION("IFERROR(
  VLOOKUP(
    A71,
    IMPORTRANGE(
      ""1ZHMy3vVUd_0MrSduXTe1etBb1HNpAlGwQr006ljwMiM"",
      ""GSC最新!A:R""
    ),
    15,
    FALSE
  ),
  0
)
"),10.986754966887418)</f>
        <v>10.98675497</v>
      </c>
      <c r="AA71" s="65">
        <f>IFERROR(__xludf.DUMMYFUNCTION("IFERROR(
  VLOOKUP(
    A71,
    IMPORTRANGE(
      ""1ZHMy3vVUd_0MrSduXTe1etBb1HNpAlGwQr006ljwMiM"",
      ""GSC最新!A:R""
    ),
    18,
    FALSE
  ),
  0
)
"),11.773722627737227)</f>
        <v>11.77372263</v>
      </c>
      <c r="AB71" s="65">
        <f t="shared" ref="AB71:AC71" si="349">X71-Z71</f>
        <v>-5.511351017</v>
      </c>
      <c r="AC71" s="65">
        <f t="shared" si="349"/>
        <v>-6.58706563</v>
      </c>
      <c r="AD71" s="53">
        <f>IFERROR(__xludf.DUMMYFUNCTION("IFERROR(
  VLOOKUP(
    A71,
    IMPORTRANGE(
      ""1ZHMy3vVUd_0MrSduXTe1etBb1HNpAlGwQr006ljwMiM"",
      ""GSC最新!A:F""
    ),
    6,
    FALSE
  ),
  0
)
"),46081.0)</f>
        <v>46081</v>
      </c>
      <c r="AE71" s="54">
        <f>IFERROR(__xludf.DUMMYFUNCTION("IFERROR(
  VLOOKUP(
    A71,
    IMPORTRANGE(
      ""1SCYQd7_cobOYqT0r_F0IqD4tE4rYn5y8Eup4PJTH8es"",
      ""Snapshot!A:M""
    ),
    5,
    FALSE
  ),
  ""-""
)
"),0.0)</f>
        <v>0</v>
      </c>
      <c r="AF71" s="54">
        <f>IFERROR(__xludf.DUMMYFUNCTION("IFERROR(
  VLOOKUP(
    A71,
    IMPORTRANGE(
      ""1SCYQd7_cobOYqT0r_F0IqD4tE4rYn5y8Eup4PJTH8es"",
      ""Snapshot!A:M""
    ),
    6,
    FALSE
  ),
  0
)
"),0.0)</f>
        <v>0</v>
      </c>
      <c r="AG71" s="54">
        <f>IFERROR(__xludf.DUMMYFUNCTION("IFERROR(
  VLOOKUP(
    A71,
    IMPORTRANGE(
      ""1SCYQd7_cobOYqT0r_F0IqD4tE4rYn5y8Eup4PJTH8es"",
      ""Snapshot!A:M""
    ),
    7,
    FALSE
  ),
  0
)
"),4256.0)</f>
        <v>4256</v>
      </c>
      <c r="AH71" s="54">
        <f>IFERROR(__xludf.DUMMYFUNCTION("IFERROR(
  VLOOKUP(
    A71,
    IMPORTRANGE(
      ""1SCYQd7_cobOYqT0r_F0IqD4tE4rYn5y8Eup4PJTH8es"",
      ""Snapshot!A:M""
    ),
    8,
    FALSE
  ),
  0
)
"),2.0)</f>
        <v>2</v>
      </c>
      <c r="AI71" s="54">
        <f>IFERROR(__xludf.DUMMYFUNCTION("IFERROR(
  VLOOKUP(
    A71,
    IMPORTRANGE(
      ""1SCYQd7_cobOYqT0r_F0IqD4tE4rYn5y8Eup4PJTH8es"",
      ""Snapshot!A:M""
    ),
    9,
    FALSE
  ),
  0
)
"),1.0)</f>
        <v>1</v>
      </c>
      <c r="AJ71" s="54">
        <f>IFERROR(__xludf.DUMMYFUNCTION("IFERROR(
  VLOOKUP(
    A71,
    IMPORTRANGE(
      ""1SCYQd7_cobOYqT0r_F0IqD4tE4rYn5y8Eup4PJTH8es"",
      ""Snapshot!A:M""
    ),
    13,
    FALSE
  ),
  0
)
"),1.0)</f>
        <v>1</v>
      </c>
      <c r="AK71" s="49">
        <f t="shared" ref="AK71:AL71" si="350">LEN(C71)</f>
        <v>28</v>
      </c>
      <c r="AL71" s="49">
        <f t="shared" si="350"/>
        <v>67</v>
      </c>
    </row>
    <row r="72">
      <c r="A72" s="3" t="s">
        <v>1014</v>
      </c>
      <c r="B72" s="1" t="str">
        <f>IFERROR(__xludf.DUMMYFUNCTION("IFERROR(
  VLOOKUP(
    A72,
    IMPORTRANGE(
      ""1ZygntHC1J6IxzKbTidmOyf5nUyW4GCLurHCjexrLm_o"",
      ""HTMLキャッシュ!A:F""
    ),
    2,
    FALSE
  ),
  0
)
"),"MC")</f>
        <v>MC</v>
      </c>
      <c r="C72" s="1" t="str">
        <f>IFERROR(__xludf.DUMMYFUNCTION("IFERROR(
  VLOOKUP(
    A72,
    IMPORTRANGE(
      ""1ZygntHC1J6IxzKbTidmOyf5nUyW4GCLurHCjexrLm_o"",
      ""HTMLキャッシュ!A:F""
    ),
    5,
    FALSE
  ),
  0
)
"),"規則動詞の過去形を整理｜ed付け方＋y→iも確認｜中1英語")</f>
        <v>規則動詞の過去形を整理｜ed付け方＋y→iも確認｜中1英語</v>
      </c>
      <c r="D72" s="1" t="str">
        <f>IFERROR(__xludf.DUMMYFUNCTION("IFERROR(
  VLOOKUP(
    A72,
    IMPORTRANGE(
      ""1ZygntHC1J6IxzKbTidmOyf5nUyW4GCLurHCjexrLm_o        "",
      ""HTMLキャッシュ!A:F""
    ),
    6,
    FALSE
  ),
  0
)
"),"規則動詞の過去形-edを一気に整理。eで終わる語はdだけ、子音+yはy→i、短母音+子音は重ねてed。carry/drop/live/arriveで確認。")</f>
        <v>規則動詞の過去形-edを一気に整理。eで終わる語はdだけ、子音+yはy→i、短母音+子音は重ねてed。carry/drop/live/arriveで確認。</v>
      </c>
      <c r="E72" s="32">
        <f>IFERROR(__xludf.DUMMYFUNCTION("IFERROR(
  VLOOKUP(
    A72,
    IMPORTRANGE(
      ""1ZygntHC1J6IxzKbTidmOyf5nUyW4GCLurHCjexrLm_o        "",
      ""HTMLキャッシュ!A:F""
    ),
    3,
    FALSE
  ),
  0
)
"),46080.8227662037)</f>
        <v>46080.82277</v>
      </c>
      <c r="F72" s="49">
        <f>IFERROR(__xludf.DUMMYFUNCTION("IFERROR(
  VLOOKUP(
    A72,
    IMPORTRANGE(
      ""1ZHMy3vVUd_0MrSduXTe1etBb1HNpAlGwQr006ljwMiM"",
      ""GSC最新!A:F""
    ),
    2,
    FALSE
  ),
  0
)
"),3.0)</f>
        <v>3</v>
      </c>
      <c r="G72" s="49">
        <f>IFERROR(__xludf.DUMMYFUNCTION("IFERROR(
  VLOOKUP(
    A72,
    IMPORTRANGE(
      ""1ZHMy3vVUd_0MrSduXTe1etBb1HNpAlGwQr006ljwMiM"",
      ""GSC最新!A:F""
    ),
    3,
    FALSE
  ),
  0
)
"),9.0)</f>
        <v>9</v>
      </c>
      <c r="H72" s="49">
        <f>IFERROR(__xludf.DUMMYFUNCTION("IFERROR(
  VLOOKUP(
    A72,
    IMPORTRANGE(
      ""1ZHMy3vVUd_0MrSduXTe1etBb1HNpAlGwQr006ljwMiM"",
      ""GSC最新!A:F""
    ),
    4,
    FALSE
  ),
  0
)
"),2.0)</f>
        <v>2</v>
      </c>
      <c r="I72" s="49">
        <f>IFERROR(__xludf.DUMMYFUNCTION("IFERROR(
  VLOOKUP(
    A72,
    IMPORTRANGE(
      ""1ZHMy3vVUd_0MrSduXTe1etBb1HNpAlGwQr006ljwMiM"",
      ""GSC最新!A:F""
    ),
    5,
    FALSE
  ),
  0
)
"),4.0)</f>
        <v>4</v>
      </c>
      <c r="J72" s="50">
        <f t="shared" ref="J72:K72" si="351">IFERROR(F72/H72,"-")</f>
        <v>1.5</v>
      </c>
      <c r="K72" s="50">
        <f t="shared" si="351"/>
        <v>2.25</v>
      </c>
      <c r="L72" s="6">
        <f>IFERROR(__xludf.DUMMYFUNCTION("IFERROR(
  VLOOKUP(
    A72,
    IMPORTRANGE(
      ""1ZHMy3vVUd_0MrSduXTe1etBb1HNpAlGwQr006ljwMiM"",
      ""GSC最新!A:R""
    ),
    7,
    FALSE
  ),
  0
)
"),2301.0)</f>
        <v>2301</v>
      </c>
      <c r="M72" s="6">
        <f>IFERROR(__xludf.DUMMYFUNCTION("IFERROR(
  VLOOKUP(
    A72,
    IMPORTRANGE(
      ""1ZHMy3vVUd_0MrSduXTe1etBb1HNpAlGwQr006ljwMiM"",
      ""GSC最新!A:R""
    ),
    10,
    FALSE
  ),
  0
)
"),5565.0)</f>
        <v>5565</v>
      </c>
      <c r="N72" s="6">
        <f>IFERROR(__xludf.DUMMYFUNCTION("IFERROR(
  VLOOKUP(
    A72,
    IMPORTRANGE(
      ""1ZHMy3vVUd_0MrSduXTe1etBb1HNpAlGwQr006ljwMiM"",
      ""GSC最新!A:R""
    ),
    13,
    FALSE
  ),
  0
)
"),145.0)</f>
        <v>145</v>
      </c>
      <c r="O72" s="6">
        <f>IFERROR(__xludf.DUMMYFUNCTION("IFERROR(
  VLOOKUP(
    A72,
    IMPORTRANGE(
      ""1ZHMy3vVUd_0MrSduXTe1etBb1HNpAlGwQr006ljwMiM"",
      ""GSC最新!A:R""
    ),
    16,
    FALSE
  ),
  0
)
"),379.0)</f>
        <v>379</v>
      </c>
      <c r="P72" s="51">
        <f t="shared" ref="P72:Q72" si="352">IFERROR(L72/N72,"-")</f>
        <v>15.86896552</v>
      </c>
      <c r="Q72" s="51">
        <f t="shared" si="352"/>
        <v>14.68337731</v>
      </c>
      <c r="R72" s="9">
        <f>IFERROR(__xludf.DUMMYFUNCTION("IFERROR(
  VLOOKUP(
    A72,
    IMPORTRANGE(
      ""1ZHMy3vVUd_0MrSduXTe1etBb1HNpAlGwQr006ljwMiM"",
      ""GSC最新!A:R""
    ),
    8,
    FALSE
  ),
  0
)
"),0.001303780964797914)</f>
        <v>0.001303780965</v>
      </c>
      <c r="S72" s="9">
        <f>IFERROR(__xludf.DUMMYFUNCTION("IFERROR(
  VLOOKUP(
    A72,
    IMPORTRANGE(
      ""1ZHMy3vVUd_0MrSduXTe1etBb1HNpAlGwQr006ljwMiM"",
      ""GSC最新!A:R""
    ),
    11,
    FALSE
  ),
  0
)
"),0.0016172506738544475)</f>
        <v>0.001617250674</v>
      </c>
      <c r="T72" s="9">
        <f>IFERROR(__xludf.DUMMYFUNCTION("IFERROR(
  VLOOKUP(
    A72,
    IMPORTRANGE(
      ""1ZHMy3vVUd_0MrSduXTe1etBb1HNpAlGwQr006ljwMiM"",
      ""GSC最新!A:R""
    ),
    14,
    FALSE
  ),
  0
)
"),0.013793103448275862)</f>
        <v>0.01379310345</v>
      </c>
      <c r="U72" s="9">
        <f>IFERROR(__xludf.DUMMYFUNCTION("IFERROR(
  VLOOKUP(
    A72,
    IMPORTRANGE(
      ""1ZHMy3vVUd_0MrSduXTe1etBb1HNpAlGwQr006ljwMiM"",
      ""GSC最新!A:R""
    ),
    17,
    FALSE
  ),
  0
)
"),0.010554089709762533)</f>
        <v>0.01055408971</v>
      </c>
      <c r="V72" s="9">
        <f t="shared" ref="V72:W72" si="353">IFERROR(R72-T72,"-")</f>
        <v>-0.01248932248</v>
      </c>
      <c r="W72" s="9">
        <f t="shared" si="353"/>
        <v>-0.008936839036</v>
      </c>
      <c r="X72" s="65">
        <f>IFERROR(__xludf.DUMMYFUNCTION("IFERROR(
  VLOOKUP(
    A72,
    IMPORTRANGE(
      ""1ZHMy3vVUd_0MrSduXTe1etBb1HNpAlGwQr006ljwMiM"",
      ""GSC最新!A:R""
    ),
    9,
    FALSE
  ),
  0
)
"),3.2451108213820077)</f>
        <v>3.245110821</v>
      </c>
      <c r="Y72" s="65">
        <f>IFERROR(__xludf.DUMMYFUNCTION("IFERROR(
  VLOOKUP(
    A72,
    IMPORTRANGE(
      ""1ZHMy3vVUd_0MrSduXTe1etBb1HNpAlGwQr006ljwMiM"",
      ""GSC最新!A:R""
    ),
    12,
    FALSE
  ),
  0
)
"),4.0531895777178795)</f>
        <v>4.053189578</v>
      </c>
      <c r="Z72" s="65">
        <f>IFERROR(__xludf.DUMMYFUNCTION("IFERROR(
  VLOOKUP(
    A72,
    IMPORTRANGE(
      ""1ZHMy3vVUd_0MrSduXTe1etBb1HNpAlGwQr006ljwMiM"",
      ""GSC最新!A:R""
    ),
    15,
    FALSE
  ),
  0
)
"),11.944827586206896)</f>
        <v>11.94482759</v>
      </c>
      <c r="AA72" s="65">
        <f>IFERROR(__xludf.DUMMYFUNCTION("IFERROR(
  VLOOKUP(
    A72,
    IMPORTRANGE(
      ""1ZHMy3vVUd_0MrSduXTe1etBb1HNpAlGwQr006ljwMiM"",
      ""GSC最新!A:R""
    ),
    18,
    FALSE
  ),
  0
)
"),23.862796833773086)</f>
        <v>23.86279683</v>
      </c>
      <c r="AB72" s="65">
        <f t="shared" ref="AB72:AC72" si="354">X72-Z72</f>
        <v>-8.699716765</v>
      </c>
      <c r="AC72" s="65">
        <f t="shared" si="354"/>
        <v>-19.80960726</v>
      </c>
      <c r="AD72" s="53">
        <f>IFERROR(__xludf.DUMMYFUNCTION("IFERROR(
  VLOOKUP(
    A72,
    IMPORTRANGE(
      ""1ZHMy3vVUd_0MrSduXTe1etBb1HNpAlGwQr006ljwMiM"",
      ""GSC最新!A:F""
    ),
    6,
    FALSE
  ),
  0
)
"),46081.0)</f>
        <v>46081</v>
      </c>
      <c r="AE72" s="54">
        <f>IFERROR(__xludf.DUMMYFUNCTION("IFERROR(
  VLOOKUP(
    A72,
    IMPORTRANGE(
      ""1SCYQd7_cobOYqT0r_F0IqD4tE4rYn5y8Eup4PJTH8es"",
      ""Snapshot!A:M""
    ),
    5,
    FALSE
  ),
  ""-""
)
"),2.0)</f>
        <v>2</v>
      </c>
      <c r="AF72" s="54">
        <f>IFERROR(__xludf.DUMMYFUNCTION("IFERROR(
  VLOOKUP(
    A72,
    IMPORTRANGE(
      ""1SCYQd7_cobOYqT0r_F0IqD4tE4rYn5y8Eup4PJTH8es"",
      ""Snapshot!A:M""
    ),
    6,
    FALSE
  ),
  0
)
"),0.0)</f>
        <v>0</v>
      </c>
      <c r="AG72" s="54">
        <f>IFERROR(__xludf.DUMMYFUNCTION("IFERROR(
  VLOOKUP(
    A72,
    IMPORTRANGE(
      ""1SCYQd7_cobOYqT0r_F0IqD4tE4rYn5y8Eup4PJTH8es"",
      ""Snapshot!A:M""
    ),
    7,
    FALSE
  ),
  0
)
"),3796.0)</f>
        <v>3796</v>
      </c>
      <c r="AH72" s="54">
        <f>IFERROR(__xludf.DUMMYFUNCTION("IFERROR(
  VLOOKUP(
    A72,
    IMPORTRANGE(
      ""1SCYQd7_cobOYqT0r_F0IqD4tE4rYn5y8Eup4PJTH8es"",
      ""Snapshot!A:M""
    ),
    8,
    FALSE
  ),
  0
)
"),2.0)</f>
        <v>2</v>
      </c>
      <c r="AI72" s="54">
        <f>IFERROR(__xludf.DUMMYFUNCTION("IFERROR(
  VLOOKUP(
    A72,
    IMPORTRANGE(
      ""1SCYQd7_cobOYqT0r_F0IqD4tE4rYn5y8Eup4PJTH8es"",
      ""Snapshot!A:M""
    ),
    9,
    FALSE
  ),
  0
)
"),1.0)</f>
        <v>1</v>
      </c>
      <c r="AJ72" s="54">
        <f>IFERROR(__xludf.DUMMYFUNCTION("IFERROR(
  VLOOKUP(
    A72,
    IMPORTRANGE(
      ""1SCYQd7_cobOYqT0r_F0IqD4tE4rYn5y8Eup4PJTH8es"",
      ""Snapshot!A:M""
    ),
    13,
    FALSE
  ),
  0
)
"),1.0)</f>
        <v>1</v>
      </c>
      <c r="AK72" s="49">
        <f t="shared" ref="AK72:AL72" si="355">LEN(C72)</f>
        <v>29</v>
      </c>
      <c r="AL72" s="49">
        <f t="shared" si="355"/>
        <v>77</v>
      </c>
    </row>
    <row r="73">
      <c r="A73" s="3" t="s">
        <v>1015</v>
      </c>
      <c r="B73" s="1" t="str">
        <f>IFERROR(__xludf.DUMMYFUNCTION("IFERROR(
  VLOOKUP(
    A73,
    IMPORTRANGE(
      ""1ZygntHC1J6IxzKbTidmOyf5nUyW4GCLurHCjexrLm_o"",
      ""HTMLキャッシュ!A:F""
    ),
    2,
    FALSE
  ),
  0
)
"),"MC")</f>
        <v>MC</v>
      </c>
      <c r="C73" s="1" t="str">
        <f>IFERROR(__xludf.DUMMYFUNCTION("IFERROR(
  VLOOKUP(
    A73,
    IMPORTRANGE(
      ""1ZygntHC1J6IxzKbTidmOyf5nUyW4GCLurHCjexrLm_o"",
      ""HTMLキャッシュ!A:F""
    ),
    5,
    FALSE
  ),
  0
)
"),"willn’tは誤り｜won’t整理｜中1英語")</f>
        <v>willn’tは誤り｜won’t整理｜中1英語</v>
      </c>
      <c r="D73" s="1" t="str">
        <f>IFERROR(__xludf.DUMMYFUNCTION("IFERROR(
  VLOOKUP(
    A73,
    IMPORTRANGE(
      ""1ZygntHC1J6IxzKbTidmOyf5nUyW4GCLurHCjexrLm_o        "",
      ""HTMLキャッシュ!A:F""
    ),
    6,
    FALSE
  ),
  0
)
"),"willn’t（willn）は誤り。won’t＝will not、will＋原形、天気の未来表現、canとの違いを例文で整理。")</f>
        <v>willn’t（willn）は誤り。won’t＝will not、will＋原形、天気の未来表現、canとの違いを例文で整理。</v>
      </c>
      <c r="E73" s="32">
        <f>IFERROR(__xludf.DUMMYFUNCTION("IFERROR(
  VLOOKUP(
    A73,
    IMPORTRANGE(
      ""1ZygntHC1J6IxzKbTidmOyf5nUyW4GCLurHCjexrLm_o        "",
      ""HTMLキャッシュ!A:F""
    ),
    3,
    FALSE
  ),
  0
)
"),46064.54721064815)</f>
        <v>46064.54721</v>
      </c>
      <c r="F73" s="49">
        <f>IFERROR(__xludf.DUMMYFUNCTION("IFERROR(
  VLOOKUP(
    A73,
    IMPORTRANGE(
      ""1ZHMy3vVUd_0MrSduXTe1etBb1HNpAlGwQr006ljwMiM"",
      ""GSC最新!A:F""
    ),
    2,
    FALSE
  ),
  0
)
"),4.0)</f>
        <v>4</v>
      </c>
      <c r="G73" s="49">
        <f>IFERROR(__xludf.DUMMYFUNCTION("IFERROR(
  VLOOKUP(
    A73,
    IMPORTRANGE(
      ""1ZHMy3vVUd_0MrSduXTe1etBb1HNpAlGwQr006ljwMiM"",
      ""GSC最新!A:F""
    ),
    3,
    FALSE
  ),
  0
)
"),8.0)</f>
        <v>8</v>
      </c>
      <c r="H73" s="49">
        <f>IFERROR(__xludf.DUMMYFUNCTION("IFERROR(
  VLOOKUP(
    A73,
    IMPORTRANGE(
      ""1ZHMy3vVUd_0MrSduXTe1etBb1HNpAlGwQr006ljwMiM"",
      ""GSC最新!A:F""
    ),
    4,
    FALSE
  ),
  0
)
"),1.0)</f>
        <v>1</v>
      </c>
      <c r="I73" s="49">
        <f>IFERROR(__xludf.DUMMYFUNCTION("IFERROR(
  VLOOKUP(
    A73,
    IMPORTRANGE(
      ""1ZHMy3vVUd_0MrSduXTe1etBb1HNpAlGwQr006ljwMiM"",
      ""GSC最新!A:F""
    ),
    5,
    FALSE
  ),
  0
)
"),3.0)</f>
        <v>3</v>
      </c>
      <c r="J73" s="50">
        <f t="shared" ref="J73:K73" si="356">IFERROR(F73/H73,"-")</f>
        <v>4</v>
      </c>
      <c r="K73" s="50">
        <f t="shared" si="356"/>
        <v>2.666666667</v>
      </c>
      <c r="L73" s="6">
        <f>IFERROR(__xludf.DUMMYFUNCTION("IFERROR(
  VLOOKUP(
    A73,
    IMPORTRANGE(
      ""1ZHMy3vVUd_0MrSduXTe1etBb1HNpAlGwQr006ljwMiM"",
      ""GSC最新!A:R""
    ),
    7,
    FALSE
  ),
  0
)
"),2609.0)</f>
        <v>2609</v>
      </c>
      <c r="M73" s="6">
        <f>IFERROR(__xludf.DUMMYFUNCTION("IFERROR(
  VLOOKUP(
    A73,
    IMPORTRANGE(
      ""1ZHMy3vVUd_0MrSduXTe1etBb1HNpAlGwQr006ljwMiM"",
      ""GSC最新!A:R""
    ),
    10,
    FALSE
  ),
  0
)
"),4886.0)</f>
        <v>4886</v>
      </c>
      <c r="N73" s="6">
        <f>IFERROR(__xludf.DUMMYFUNCTION("IFERROR(
  VLOOKUP(
    A73,
    IMPORTRANGE(
      ""1ZHMy3vVUd_0MrSduXTe1etBb1HNpAlGwQr006ljwMiM"",
      ""GSC最新!A:R""
    ),
    13,
    FALSE
  ),
  0
)
"),211.0)</f>
        <v>211</v>
      </c>
      <c r="O73" s="6">
        <f>IFERROR(__xludf.DUMMYFUNCTION("IFERROR(
  VLOOKUP(
    A73,
    IMPORTRANGE(
      ""1ZHMy3vVUd_0MrSduXTe1etBb1HNpAlGwQr006ljwMiM"",
      ""GSC最新!A:R""
    ),
    16,
    FALSE
  ),
  0
)
"),856.0)</f>
        <v>856</v>
      </c>
      <c r="P73" s="51">
        <f t="shared" ref="P73:Q73" si="357">IFERROR(L73/N73,"-")</f>
        <v>12.36492891</v>
      </c>
      <c r="Q73" s="51">
        <f t="shared" si="357"/>
        <v>5.707943925</v>
      </c>
      <c r="R73" s="9">
        <f>IFERROR(__xludf.DUMMYFUNCTION("IFERROR(
  VLOOKUP(
    A73,
    IMPORTRANGE(
      ""1ZHMy3vVUd_0MrSduXTe1etBb1HNpAlGwQr006ljwMiM"",
      ""GSC最新!A:R""
    ),
    8,
    FALSE
  ),
  0
)
"),0.0015331544653123803)</f>
        <v>0.001533154465</v>
      </c>
      <c r="S73" s="9">
        <f>IFERROR(__xludf.DUMMYFUNCTION("IFERROR(
  VLOOKUP(
    A73,
    IMPORTRANGE(
      ""1ZHMy3vVUd_0MrSduXTe1etBb1HNpAlGwQr006ljwMiM"",
      ""GSC最新!A:R""
    ),
    11,
    FALSE
  ),
  0
)
"),0.001637331150225133)</f>
        <v>0.00163733115</v>
      </c>
      <c r="T73" s="9">
        <f>IFERROR(__xludf.DUMMYFUNCTION("IFERROR(
  VLOOKUP(
    A73,
    IMPORTRANGE(
      ""1ZHMy3vVUd_0MrSduXTe1etBb1HNpAlGwQr006ljwMiM"",
      ""GSC最新!A:R""
    ),
    14,
    FALSE
  ),
  0
)
"),0.004739336492890996)</f>
        <v>0.004739336493</v>
      </c>
      <c r="U73" s="9">
        <f>IFERROR(__xludf.DUMMYFUNCTION("IFERROR(
  VLOOKUP(
    A73,
    IMPORTRANGE(
      ""1ZHMy3vVUd_0MrSduXTe1etBb1HNpAlGwQr006ljwMiM"",
      ""GSC最新!A:R""
    ),
    17,
    FALSE
  ),
  0
)
"),0.0035046728971962616)</f>
        <v>0.003504672897</v>
      </c>
      <c r="V73" s="9">
        <f t="shared" ref="V73:W73" si="358">IFERROR(R73-T73,"-")</f>
        <v>-0.003206182028</v>
      </c>
      <c r="W73" s="9">
        <f t="shared" si="358"/>
        <v>-0.001867341747</v>
      </c>
      <c r="X73" s="65">
        <f>IFERROR(__xludf.DUMMYFUNCTION("IFERROR(
  VLOOKUP(
    A73,
    IMPORTRANGE(
      ""1ZHMy3vVUd_0MrSduXTe1etBb1HNpAlGwQr006ljwMiM"",
      ""GSC最新!A:R""
    ),
    9,
    FALSE
  ),
  0
)
"),6.183595247221158)</f>
        <v>6.183595247</v>
      </c>
      <c r="Y73" s="65">
        <f>IFERROR(__xludf.DUMMYFUNCTION("IFERROR(
  VLOOKUP(
    A73,
    IMPORTRANGE(
      ""1ZHMy3vVUd_0MrSduXTe1etBb1HNpAlGwQr006ljwMiM"",
      ""GSC最新!A:R""
    ),
    12,
    FALSE
  ),
  0
)
"),7.1189111747851)</f>
        <v>7.118911175</v>
      </c>
      <c r="Z73" s="65">
        <f>IFERROR(__xludf.DUMMYFUNCTION("IFERROR(
  VLOOKUP(
    A73,
    IMPORTRANGE(
      ""1ZHMy3vVUd_0MrSduXTe1etBb1HNpAlGwQr006ljwMiM"",
      ""GSC最新!A:R""
    ),
    15,
    FALSE
  ),
  0
)
"),8.161137440758294)</f>
        <v>8.161137441</v>
      </c>
      <c r="AA73" s="65">
        <f>IFERROR(__xludf.DUMMYFUNCTION("IFERROR(
  VLOOKUP(
    A73,
    IMPORTRANGE(
      ""1ZHMy3vVUd_0MrSduXTe1etBb1HNpAlGwQr006ljwMiM"",
      ""GSC最新!A:R""
    ),
    18,
    FALSE
  ),
  0
)
"),13.485981308411215)</f>
        <v>13.48598131</v>
      </c>
      <c r="AB73" s="65">
        <f t="shared" ref="AB73:AC73" si="359">X73-Z73</f>
        <v>-1.977542194</v>
      </c>
      <c r="AC73" s="65">
        <f t="shared" si="359"/>
        <v>-6.367070134</v>
      </c>
      <c r="AD73" s="53">
        <f>IFERROR(__xludf.DUMMYFUNCTION("IFERROR(
  VLOOKUP(
    A73,
    IMPORTRANGE(
      ""1ZHMy3vVUd_0MrSduXTe1etBb1HNpAlGwQr006ljwMiM"",
      ""GSC最新!A:F""
    ),
    6,
    FALSE
  ),
  0
)
"),46081.0)</f>
        <v>46081</v>
      </c>
      <c r="AE73" s="54">
        <f>IFERROR(__xludf.DUMMYFUNCTION("IFERROR(
  VLOOKUP(
    A73,
    IMPORTRANGE(
      ""1SCYQd7_cobOYqT0r_F0IqD4tE4rYn5y8Eup4PJTH8es"",
      ""Snapshot!A:M""
    ),
    5,
    FALSE
  ),
  ""-""
)
"),2.0)</f>
        <v>2</v>
      </c>
      <c r="AF73" s="54">
        <f>IFERROR(__xludf.DUMMYFUNCTION("IFERROR(
  VLOOKUP(
    A73,
    IMPORTRANGE(
      ""1SCYQd7_cobOYqT0r_F0IqD4tE4rYn5y8Eup4PJTH8es"",
      ""Snapshot!A:M""
    ),
    6,
    FALSE
  ),
  0
)
"),0.0)</f>
        <v>0</v>
      </c>
      <c r="AG73" s="54">
        <f>IFERROR(__xludf.DUMMYFUNCTION("IFERROR(
  VLOOKUP(
    A73,
    IMPORTRANGE(
      ""1SCYQd7_cobOYqT0r_F0IqD4tE4rYn5y8Eup4PJTH8es"",
      ""Snapshot!A:M""
    ),
    7,
    FALSE
  ),
  0
)
"),6143.0)</f>
        <v>6143</v>
      </c>
      <c r="AH73" s="54">
        <f>IFERROR(__xludf.DUMMYFUNCTION("IFERROR(
  VLOOKUP(
    A73,
    IMPORTRANGE(
      ""1SCYQd7_cobOYqT0r_F0IqD4tE4rYn5y8Eup4PJTH8es"",
      ""Snapshot!A:M""
    ),
    8,
    FALSE
  ),
  0
)
"),3.0)</f>
        <v>3</v>
      </c>
      <c r="AI73" s="54">
        <f>IFERROR(__xludf.DUMMYFUNCTION("IFERROR(
  VLOOKUP(
    A73,
    IMPORTRANGE(
      ""1SCYQd7_cobOYqT0r_F0IqD4tE4rYn5y8Eup4PJTH8es"",
      ""Snapshot!A:M""
    ),
    9,
    FALSE
  ),
  0
)
"),2.0)</f>
        <v>2</v>
      </c>
      <c r="AJ73" s="54">
        <f>IFERROR(__xludf.DUMMYFUNCTION("IFERROR(
  VLOOKUP(
    A73,
    IMPORTRANGE(
      ""1SCYQd7_cobOYqT0r_F0IqD4tE4rYn5y8Eup4PJTH8es"",
      ""Snapshot!A:M""
    ),
    13,
    FALSE
  ),
  0
)
"),1.0)</f>
        <v>1</v>
      </c>
      <c r="AK73" s="49">
        <f t="shared" ref="AK73:AL73" si="360">LEN(C73)</f>
        <v>23</v>
      </c>
      <c r="AL73" s="49">
        <f t="shared" si="360"/>
        <v>63</v>
      </c>
    </row>
    <row r="74">
      <c r="A74" s="3" t="s">
        <v>1016</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"),"仮定法でwasではなくwereを使う理由｜If節が過去形になる判定｜中3〜高1（New Treasure Stage2）")</f>
        <v>仮定法でwasではなくwereを使う理由｜If節が過去形になる判定｜中3〜高1（New Treasure Stage2）</v>
      </c>
      <c r="D74" s="1" t="str">
        <f>IFERROR(__xludf.DUMMYFUNCTION("IFERROR(
  VLOOKUP(
    A74,
    IMPORTRANGE(
      ""1ZygntHC1J6IxzKbTidmOyf5nUyW4GCLurHCjexrLm_o        "",
      ""HTMLキャッシュ!A:F""
    ),
    6,
    FALSE
  ),
  0
)
"),"仮定法で「Iなのにwasではなくwereなのか」「If節が過去形になるのはなぜか」を例文つきで整理します。If it rains tomorrow（直接法）との違い、Ifがなくても成り立つ仮定法（I wish／as if）の判定もまとめ、暗記ではなく“現実と距離”で読める状態を作ります。")</f>
        <v>仮定法で「Iなのにwasではなくwereなのか」「If節が過去形になるのはなぜか」を例文つきで整理します。If it rains tomorrow（直接法）との違い、Ifがなくても成り立つ仮定法（I wish／as if）の判定もまとめ、暗記ではなく“現実と距離”で読める状態を作ります。</v>
      </c>
      <c r="E74" s="32">
        <f>IFERROR(__xludf.DUMMYFUNCTION("IFERROR(
  VLOOKUP(
    A74,
    IMPORTRANGE(
      ""1ZygntHC1J6IxzKbTidmOyf5nUyW4GCLurHCjexrLm_o        "",
      ""HTMLキャッシュ!A:F""
    ),
    3,
    FALSE
  ),
  0
)
"),46043.60190972222)</f>
        <v>46043.60191</v>
      </c>
      <c r="F74" s="49">
        <f>IFERROR(__xludf.DUMMYFUNCTION("IFERROR(
  VLOOKUP(
    A74,
    IMPORTRANGE(
      ""1ZHMy3vVUd_0MrSduXTe1etBb1HNpAlGwQr006ljwMiM"",
      ""GSC最新!A:F""
    ),
    2,
    FALSE
  ),
  0
)
"),1.0)</f>
        <v>1</v>
      </c>
      <c r="G74" s="49">
        <f>IFERROR(__xludf.DUMMYFUNCTION("IFERROR(
  VLOOKUP(
    A74,
    IMPORTRANGE(
      ""1ZHMy3vVUd_0MrSduXTe1etBb1HNpAlGwQr006ljwMiM"",
      ""GSC最新!A:F""
    ),
    3,
    FALSE
  ),
  0
)
"),8.0)</f>
        <v>8</v>
      </c>
      <c r="H74" s="49">
        <f>IFERROR(__xludf.DUMMYFUNCTION("IFERROR(
  VLOOKUP(
    A74,
    IMPORTRANGE(
      ""1ZHMy3vVUd_0MrSduXTe1etBb1HNpAlGwQr006ljwMiM"",
      ""GSC最新!A:F""
    ),
    4,
    FALSE
  ),
  0
)
"),4.0)</f>
        <v>4</v>
      </c>
      <c r="I74" s="49">
        <f>IFERROR(__xludf.DUMMYFUNCTION("IFERROR(
  VLOOKUP(
    A74,
    IMPORTRANGE(
      ""1ZHMy3vVUd_0MrSduXTe1etBb1HNpAlGwQr006ljwMiM"",
      ""GSC最新!A:F""
    ),
    5,
    FALSE
  ),
  0
)
"),7.0)</f>
        <v>7</v>
      </c>
      <c r="J74" s="50">
        <f t="shared" ref="J74:K74" si="361">IFERROR(F74/H74,"-")</f>
        <v>0.25</v>
      </c>
      <c r="K74" s="50">
        <f t="shared" si="361"/>
        <v>1.142857143</v>
      </c>
      <c r="L74" s="6">
        <f>IFERROR(__xludf.DUMMYFUNCTION("IFERROR(
  VLOOKUP(
    A74,
    IMPORTRANGE(
      ""1ZHMy3vVUd_0MrSduXTe1etBb1HNpAlGwQr006ljwMiM"",
      ""GSC最新!A:R""
    ),
    7,
    FALSE
  ),
  0
)
"),3147.0)</f>
        <v>3147</v>
      </c>
      <c r="M74" s="6">
        <f>IFERROR(__xludf.DUMMYFUNCTION("IFERROR(
  VLOOKUP(
    A74,
    IMPORTRANGE(
      ""1ZHMy3vVUd_0MrSduXTe1etBb1HNpAlGwQr006ljwMiM"",
      ""GSC最新!A:R""
    ),
    10,
    FALSE
  ),
  0
)
"),4119.0)</f>
        <v>4119</v>
      </c>
      <c r="N74" s="6">
        <f>IFERROR(__xludf.DUMMYFUNCTION("IFERROR(
  VLOOKUP(
    A74,
    IMPORTRANGE(
      ""1ZHMy3vVUd_0MrSduXTe1etBb1HNpAlGwQr006ljwMiM"",
      ""GSC最新!A:R""
    ),
    13,
    FALSE
  ),
  0
)
"),131.0)</f>
        <v>131</v>
      </c>
      <c r="O74" s="6">
        <f>IFERROR(__xludf.DUMMYFUNCTION("IFERROR(
  VLOOKUP(
    A74,
    IMPORTRANGE(
      ""1ZHMy3vVUd_0MrSduXTe1etBb1HNpAlGwQr006ljwMiM"",
      ""GSC最新!A:R""
    ),
    16,
    FALSE
  ),
  0
)
"),207.0)</f>
        <v>207</v>
      </c>
      <c r="P74" s="51">
        <f t="shared" ref="P74:Q74" si="362">IFERROR(L74/N74,"-")</f>
        <v>24.02290076</v>
      </c>
      <c r="Q74" s="51">
        <f t="shared" si="362"/>
        <v>19.89855072</v>
      </c>
      <c r="R74" s="9">
        <f>IFERROR(__xludf.DUMMYFUNCTION("IFERROR(
  VLOOKUP(
    A74,
    IMPORTRANGE(
      ""1ZHMy3vVUd_0MrSduXTe1etBb1HNpAlGwQr006ljwMiM"",
      ""GSC最新!A:R""
    ),
    8,
    FALSE
  ),
  0
)
"),3.1776294884016526E-4)</f>
        <v>0.0003177629488</v>
      </c>
      <c r="S74" s="9">
        <f>IFERROR(__xludf.DUMMYFUNCTION("IFERROR(
  VLOOKUP(
    A74,
    IMPORTRANGE(
      ""1ZHMy3vVUd_0MrSduXTe1etBb1HNpAlGwQr006ljwMiM"",
      ""GSC最新!A:R""
    ),
    11,
    FALSE
  ),
  0
)
"),0.0019422189851905803)</f>
        <v>0.001942218985</v>
      </c>
      <c r="T74" s="9">
        <f>IFERROR(__xludf.DUMMYFUNCTION("IFERROR(
  VLOOKUP(
    A74,
    IMPORTRANGE(
      ""1ZHMy3vVUd_0MrSduXTe1etBb1HNpAlGwQr006ljwMiM"",
      ""GSC最新!A:R""
    ),
    14,
    FALSE
  ),
  0
)
"),0.030534351145038167)</f>
        <v>0.03053435115</v>
      </c>
      <c r="U74" s="9">
        <f>IFERROR(__xludf.DUMMYFUNCTION("IFERROR(
  VLOOKUP(
    A74,
    IMPORTRANGE(
      ""1ZHMy3vVUd_0MrSduXTe1etBb1HNpAlGwQr006ljwMiM"",
      ""GSC最新!A:R""
    ),
    17,
    FALSE
  ),
  0
)
"),0.033816425120772944)</f>
        <v>0.03381642512</v>
      </c>
      <c r="V74" s="9">
        <f t="shared" ref="V74:W74" si="363">IFERROR(R74-T74,"-")</f>
        <v>-0.0302165882</v>
      </c>
      <c r="W74" s="9">
        <f t="shared" si="363"/>
        <v>-0.03187420614</v>
      </c>
      <c r="X74" s="65">
        <f>IFERROR(__xludf.DUMMYFUNCTION("IFERROR(
  VLOOKUP(
    A74,
    IMPORTRANGE(
      ""1ZHMy3vVUd_0MrSduXTe1etBb1HNpAlGwQr006ljwMiM"",
      ""GSC最新!A:R""
    ),
    9,
    FALSE
  ),
  0
)
"),3.6514140451223387)</f>
        <v>3.651414045</v>
      </c>
      <c r="Y74" s="65">
        <f>IFERROR(__xludf.DUMMYFUNCTION("IFERROR(
  VLOOKUP(
    A74,
    IMPORTRANGE(
      ""1ZHMy3vVUd_0MrSduXTe1etBb1HNpAlGwQr006ljwMiM"",
      ""GSC最新!A:R""
    ),
    12,
    FALSE
  ),
  0
)
"),3.7256615683418306)</f>
        <v>3.725661568</v>
      </c>
      <c r="Z74" s="65">
        <f>IFERROR(__xludf.DUMMYFUNCTION("IFERROR(
  VLOOKUP(
    A74,
    IMPORTRANGE(
      ""1ZHMy3vVUd_0MrSduXTe1etBb1HNpAlGwQr006ljwMiM"",
      ""GSC最新!A:R""
    ),
    15,
    FALSE
  ),
  0
)
"),6.290076335877862)</f>
        <v>6.290076336</v>
      </c>
      <c r="AA74" s="65">
        <f>IFERROR(__xludf.DUMMYFUNCTION("IFERROR(
  VLOOKUP(
    A74,
    IMPORTRANGE(
      ""1ZHMy3vVUd_0MrSduXTe1etBb1HNpAlGwQr006ljwMiM"",
      ""GSC最新!A:R""
    ),
    18,
    FALSE
  ),
  0
)
"),8.169082125603865)</f>
        <v>8.169082126</v>
      </c>
      <c r="AB74" s="65">
        <f t="shared" ref="AB74:AC74" si="364">X74-Z74</f>
        <v>-2.638662291</v>
      </c>
      <c r="AC74" s="65">
        <f t="shared" si="364"/>
        <v>-4.443420557</v>
      </c>
      <c r="AD74" s="53">
        <f>IFERROR(__xludf.DUMMYFUNCTION("IFERROR(
  VLOOKUP(
    A74,
    IMPORTRANGE(
      ""1ZHMy3vVUd_0MrSduXTe1etBb1HNpAlGwQr006ljwMiM"",
      ""GSC最新!A:F""
    ),
    6,
    FALSE
  ),
  0
)
"),46081.0)</f>
        <v>46081</v>
      </c>
      <c r="AE74" s="54">
        <f>IFERROR(__xludf.DUMMYFUNCTION("IFERROR(
  VLOOKUP(
    A74,
    IMPORTRANGE(
      ""1SCYQd7_cobOYqT0r_F0IqD4tE4rYn5y8Eup4PJTH8es"",
      ""Snapshot!A:M""
    ),
    5,
    FALSE
  ),
  ""-""
)
"),2.0)</f>
        <v>2</v>
      </c>
      <c r="AF74" s="54">
        <f>IFERROR(__xludf.DUMMYFUNCTION("IFERROR(
  VLOOKUP(
    A74,
    IMPORTRANGE(
      ""1SCYQd7_cobOYqT0r_F0IqD4tE4rYn5y8Eup4PJTH8es"",
      ""Snapshot!A:M""
    ),
    6,
    FALSE
  ),
  0
)
"),0.0)</f>
        <v>0</v>
      </c>
      <c r="AG74" s="54">
        <f>IFERROR(__xludf.DUMMYFUNCTION("IFERROR(
  VLOOKUP(
    A74,
    IMPORTRANGE(
      ""1SCYQd7_cobOYqT0r_F0IqD4tE4rYn5y8Eup4PJTH8es"",
      ""Snapshot!A:M""
    ),
    7,
    FALSE
  ),
  0
)
"),6690.0)</f>
        <v>6690</v>
      </c>
      <c r="AH74" s="54">
        <f>IFERROR(__xludf.DUMMYFUNCTION("IFERROR(
  VLOOKUP(
    A74,
    IMPORTRANGE(
      ""1SCYQd7_cobOYqT0r_F0IqD4tE4rYn5y8Eup4PJTH8es"",
      ""Snapshot!A:M""
    ),
    8,
    FALSE
  ),
  0
)
"),3.0)</f>
        <v>3</v>
      </c>
      <c r="AI74" s="54">
        <f>IFERROR(__xludf.DUMMYFUNCTION("IFERROR(
  VLOOKUP(
    A74,
    IMPORTRANGE(
      ""1SCYQd7_cobOYqT0r_F0IqD4tE4rYn5y8Eup4PJTH8es"",
      ""Snapshot!A:M""
    ),
    9,
    FALSE
  ),
  0
)
"),2.0)</f>
        <v>2</v>
      </c>
      <c r="AJ74" s="54">
        <f>IFERROR(__xludf.DUMMYFUNCTION("IFERROR(
  VLOOKUP(
    A74,
    IMPORTRANGE(
      ""1SCYQd7_cobOYqT0r_F0IqD4tE4rYn5y8Eup4PJTH8es"",
      ""Snapshot!A:M""
    ),
    13,
    FALSE
  ),
  0
)
"),1.0)</f>
        <v>1</v>
      </c>
      <c r="AK74" s="49">
        <f t="shared" ref="AK74:AL74" si="365">LEN(C74)</f>
        <v>60</v>
      </c>
      <c r="AL74" s="49">
        <f t="shared" si="365"/>
        <v>144</v>
      </c>
    </row>
    <row r="75">
      <c r="A75" s="3" t="s">
        <v>1017</v>
      </c>
      <c r="B75" s="1" t="str">
        <f>IFERROR(__xludf.DUMMYFUNCTION("IFERROR(
  VLOOKUP(
    A75,
    IMPORTRANGE(
      ""1ZygntHC1J6IxzKbTidmOyf5nUyW4GCLurHCjexrLm_o"",
      ""HTMLキャッシュ!A:F""
    ),
    2,
    FALSE
  ),
  0
)
"),"MC")</f>
        <v>MC</v>
      </c>
      <c r="C75" s="1" t="str">
        <f>IFERROR(__xludf.DUMMYFUNCTION("IFERROR(
  VLOOKUP(
    A75,
    IMPORTRANGE(
      ""1ZygntHC1J6IxzKbTidmOyf5nUyW4GCLurHCjexrLm_o"",
      ""HTMLキャッシュ!A:F""
    ),
    5,
    FALSE
  ),
  0
)
"),"STAGE3 Lesson2-1 助動詞の発展用法(推量/義務)【ニュートレジャーの道案内】 - 受験英語専門ゼミ「Re-Write」(リライト)")</f>
        <v>STAGE3 Lesson2-1 助動詞の発展用法(推量/義務)【ニュートレジャーの道案内】 - 受験英語専門ゼミ「Re-Write」(リライト)</v>
      </c>
      <c r="D75" s="1" t="str">
        <f>IFERROR(__xludf.DUMMYFUNCTION("IFERROR(
  VLOOKUP(
    A75,
    IMPORTRANGE(
      ""1ZygntHC1J6IxzKbTidmOyf5nUyW4GCLurHCjexrLm_o        "",
      ""HTMLキャッシュ!A:F""
    ),
    6,
    FALSE
  ),
  0
)
"),"助動詞の新たな意味について Lesson2 セクション1では、助動詞の新しい意味に焦点を当てます。特に、")</f>
        <v>助動詞の新たな意味について Lesson2 セクション1では、助動詞の新しい意味に焦点を当てます。特に、</v>
      </c>
      <c r="E75" s="32">
        <f>IFERROR(__xludf.DUMMYFUNCTION("IFERROR(
  VLOOKUP(
    A75,
    IMPORTRANGE(
      ""1ZygntHC1J6IxzKbTidmOyf5nUyW4GCLurHCjexrLm_o        "",
      ""HTMLキャッシュ!A:F""
    ),
    3,
    FALSE
  ),
  0
)
"),46043.616689814815)</f>
        <v>46043.61669</v>
      </c>
      <c r="F75" s="49">
        <f>IFERROR(__xludf.DUMMYFUNCTION("IFERROR(
  VLOOKUP(
    A75,
    IMPORTRANGE(
      ""1ZHMy3vVUd_0MrSduXTe1etBb1HNpAlGwQr006ljwMiM"",
      ""GSC最新!A:F""
    ),
    2,
    FALSE
  ),
  0
)
"),3.0)</f>
        <v>3</v>
      </c>
      <c r="G75" s="49">
        <f>IFERROR(__xludf.DUMMYFUNCTION("IFERROR(
  VLOOKUP(
    A75,
    IMPORTRANGE(
      ""1ZHMy3vVUd_0MrSduXTe1etBb1HNpAlGwQr006ljwMiM"",
      ""GSC最新!A:F""
    ),
    3,
    FALSE
  ),
  0
)
"),8.0)</f>
        <v>8</v>
      </c>
      <c r="H75" s="49">
        <f>IFERROR(__xludf.DUMMYFUNCTION("IFERROR(
  VLOOKUP(
    A75,
    IMPORTRANGE(
      ""1ZHMy3vVUd_0MrSduXTe1etBb1HNpAlGwQr006ljwMiM"",
      ""GSC最新!A:F""
    ),
    4,
    FALSE
  ),
  0
)
"),4.0)</f>
        <v>4</v>
      </c>
      <c r="I75" s="49">
        <f>IFERROR(__xludf.DUMMYFUNCTION("IFERROR(
  VLOOKUP(
    A75,
    IMPORTRANGE(
      ""1ZHMy3vVUd_0MrSduXTe1etBb1HNpAlGwQr006ljwMiM"",
      ""GSC最新!A:F""
    ),
    5,
    FALSE
  ),
  0
)
"),8.0)</f>
        <v>8</v>
      </c>
      <c r="J75" s="50">
        <f t="shared" ref="J75:K75" si="366">IFERROR(F75/H75,"-")</f>
        <v>0.75</v>
      </c>
      <c r="K75" s="50">
        <f t="shared" si="366"/>
        <v>1</v>
      </c>
      <c r="L75" s="6">
        <f>IFERROR(__xludf.DUMMYFUNCTION("IFERROR(
  VLOOKUP(
    A75,
    IMPORTRANGE(
      ""1ZHMy3vVUd_0MrSduXTe1etBb1HNpAlGwQr006ljwMiM"",
      ""GSC最新!A:R""
    ),
    7,
    FALSE
  ),
  0
)
"),925.0)</f>
        <v>925</v>
      </c>
      <c r="M75" s="6">
        <f>IFERROR(__xludf.DUMMYFUNCTION("IFERROR(
  VLOOKUP(
    A75,
    IMPORTRANGE(
      ""1ZHMy3vVUd_0MrSduXTe1etBb1HNpAlGwQr006ljwMiM"",
      ""GSC最新!A:R""
    ),
    10,
    FALSE
  ),
  0
)
"),1696.0)</f>
        <v>1696</v>
      </c>
      <c r="N75" s="6">
        <f>IFERROR(__xludf.DUMMYFUNCTION("IFERROR(
  VLOOKUP(
    A75,
    IMPORTRANGE(
      ""1ZHMy3vVUd_0MrSduXTe1etBb1HNpAlGwQr006ljwMiM"",
      ""GSC最新!A:R""
    ),
    13,
    FALSE
  ),
  0
)
"),40.0)</f>
        <v>40</v>
      </c>
      <c r="O75" s="6">
        <f>IFERROR(__xludf.DUMMYFUNCTION("IFERROR(
  VLOOKUP(
    A75,
    IMPORTRANGE(
      ""1ZHMy3vVUd_0MrSduXTe1etBb1HNpAlGwQr006ljwMiM"",
      ""GSC最新!A:R""
    ),
    16,
    FALSE
  ),
  0
)
"),141.0)</f>
        <v>141</v>
      </c>
      <c r="P75" s="51">
        <f t="shared" ref="P75:Q75" si="367">IFERROR(L75/N75,"-")</f>
        <v>23.125</v>
      </c>
      <c r="Q75" s="51">
        <f t="shared" si="367"/>
        <v>12.02836879</v>
      </c>
      <c r="R75" s="9">
        <f>IFERROR(__xludf.DUMMYFUNCTION("IFERROR(
  VLOOKUP(
    A75,
    IMPORTRANGE(
      ""1ZHMy3vVUd_0MrSduXTe1etBb1HNpAlGwQr006ljwMiM"",
      ""GSC最新!A:R""
    ),
    8,
    FALSE
  ),
  0
)
"),0.003243243243243243)</f>
        <v>0.003243243243</v>
      </c>
      <c r="S75" s="9">
        <f>IFERROR(__xludf.DUMMYFUNCTION("IFERROR(
  VLOOKUP(
    A75,
    IMPORTRANGE(
      ""1ZHMy3vVUd_0MrSduXTe1etBb1HNpAlGwQr006ljwMiM"",
      ""GSC最新!A:R""
    ),
    11,
    FALSE
  ),
  0
)
"),0.0047169811320754715)</f>
        <v>0.004716981132</v>
      </c>
      <c r="T75" s="9">
        <f>IFERROR(__xludf.DUMMYFUNCTION("IFERROR(
  VLOOKUP(
    A75,
    IMPORTRANGE(
      ""1ZHMy3vVUd_0MrSduXTe1etBb1HNpAlGwQr006ljwMiM"",
      ""GSC最新!A:R""
    ),
    14,
    FALSE
  ),
  0
)
"),0.1)</f>
        <v>0.1</v>
      </c>
      <c r="U75" s="9">
        <f>IFERROR(__xludf.DUMMYFUNCTION("IFERROR(
  VLOOKUP(
    A75,
    IMPORTRANGE(
      ""1ZHMy3vVUd_0MrSduXTe1etBb1HNpAlGwQr006ljwMiM"",
      ""GSC最新!A:R""
    ),
    17,
    FALSE
  ),
  0
)
"),0.05673758865248227)</f>
        <v>0.05673758865</v>
      </c>
      <c r="V75" s="9">
        <f t="shared" ref="V75:W75" si="368">IFERROR(R75-T75,"-")</f>
        <v>-0.09675675676</v>
      </c>
      <c r="W75" s="9">
        <f t="shared" si="368"/>
        <v>-0.05202060752</v>
      </c>
      <c r="X75" s="65">
        <f>IFERROR(__xludf.DUMMYFUNCTION("IFERROR(
  VLOOKUP(
    A75,
    IMPORTRANGE(
      ""1ZHMy3vVUd_0MrSduXTe1etBb1HNpAlGwQr006ljwMiM"",
      ""GSC最新!A:R""
    ),
    9,
    FALSE
  ),
  0
)
"),2.104864864864865)</f>
        <v>2.104864865</v>
      </c>
      <c r="Y75" s="65">
        <f>IFERROR(__xludf.DUMMYFUNCTION("IFERROR(
  VLOOKUP(
    A75,
    IMPORTRANGE(
      ""1ZHMy3vVUd_0MrSduXTe1etBb1HNpAlGwQr006ljwMiM"",
      ""GSC最新!A:R""
    ),
    12,
    FALSE
  ),
  0
)
"),2.452830188679245)</f>
        <v>2.452830189</v>
      </c>
      <c r="Z75" s="65">
        <f>IFERROR(__xludf.DUMMYFUNCTION("IFERROR(
  VLOOKUP(
    A75,
    IMPORTRANGE(
      ""1ZHMy3vVUd_0MrSduXTe1etBb1HNpAlGwQr006ljwMiM"",
      ""GSC最新!A:R""
    ),
    15,
    FALSE
  ),
  0
)
"),8.75)</f>
        <v>8.75</v>
      </c>
      <c r="AA75" s="65">
        <f>IFERROR(__xludf.DUMMYFUNCTION("IFERROR(
  VLOOKUP(
    A75,
    IMPORTRANGE(
      ""1ZHMy3vVUd_0MrSduXTe1etBb1HNpAlGwQr006ljwMiM"",
      ""GSC最新!A:R""
    ),
    18,
    FALSE
  ),
  0
)
"),26.872340425531913)</f>
        <v>26.87234043</v>
      </c>
      <c r="AB75" s="65">
        <f t="shared" ref="AB75:AC75" si="369">X75-Z75</f>
        <v>-6.645135135</v>
      </c>
      <c r="AC75" s="65">
        <f t="shared" si="369"/>
        <v>-24.41951024</v>
      </c>
      <c r="AD75" s="53">
        <f>IFERROR(__xludf.DUMMYFUNCTION("IFERROR(
  VLOOKUP(
    A75,
    IMPORTRANGE(
      ""1ZHMy3vVUd_0MrSduXTe1etBb1HNpAlGwQr006ljwMiM"",
      ""GSC最新!A:F""
    ),
    6,
    FALSE
  ),
  0
)
"),46081.0)</f>
        <v>46081</v>
      </c>
      <c r="AE75" s="54">
        <f>IFERROR(__xludf.DUMMYFUNCTION("IFERROR(
  VLOOKUP(
    A75,
    IMPORTRANGE(
      ""1SCYQd7_cobOYqT0r_F0IqD4tE4rYn5y8Eup4PJTH8es"",
      ""Snapshot!A:M""
    ),
    5,
    FALSE
  ),
  ""-""
)
"),0.0)</f>
        <v>0</v>
      </c>
      <c r="AF75" s="54">
        <f>IFERROR(__xludf.DUMMYFUNCTION("IFERROR(
  VLOOKUP(
    A75,
    IMPORTRANGE(
      ""1SCYQd7_cobOYqT0r_F0IqD4tE4rYn5y8Eup4PJTH8es"",
      ""Snapshot!A:M""
    ),
    6,
    FALSE
  ),
  0
)
"),7.0)</f>
        <v>7</v>
      </c>
      <c r="AG75" s="54">
        <f>IFERROR(__xludf.DUMMYFUNCTION("IFERROR(
  VLOOKUP(
    A75,
    IMPORTRANGE(
      ""1SCYQd7_cobOYqT0r_F0IqD4tE4rYn5y8Eup4PJTH8es"",
      ""Snapshot!A:M""
    ),
    7,
    FALSE
  ),
  0
)
"),4733.0)</f>
        <v>4733</v>
      </c>
      <c r="AH75" s="54">
        <f>IFERROR(__xludf.DUMMYFUNCTION("IFERROR(
  VLOOKUP(
    A75,
    IMPORTRANGE(
      ""1SCYQd7_cobOYqT0r_F0IqD4tE4rYn5y8Eup4PJTH8es"",
      ""Snapshot!A:M""
    ),
    8,
    FALSE
  ),
  0
)
"),4.0)</f>
        <v>4</v>
      </c>
      <c r="AI75" s="54">
        <f>IFERROR(__xludf.DUMMYFUNCTION("IFERROR(
  VLOOKUP(
    A75,
    IMPORTRANGE(
      ""1SCYQd7_cobOYqT0r_F0IqD4tE4rYn5y8Eup4PJTH8es"",
      ""Snapshot!A:M""
    ),
    9,
    FALSE
  ),
  0
)
"),3.0)</f>
        <v>3</v>
      </c>
      <c r="AJ75" s="54">
        <f>IFERROR(__xludf.DUMMYFUNCTION("IFERROR(
  VLOOKUP(
    A75,
    IMPORTRANGE(
      ""1SCYQd7_cobOYqT0r_F0IqD4tE4rYn5y8Eup4PJTH8es"",
      ""Snapshot!A:M""
    ),
    13,
    FALSE
  ),
  0
)
"),1.0)</f>
        <v>1</v>
      </c>
      <c r="AK75" s="49">
        <f t="shared" ref="AK75:AL75" si="370">LEN(C75)</f>
        <v>73</v>
      </c>
      <c r="AL75" s="49">
        <f t="shared" si="370"/>
        <v>52</v>
      </c>
    </row>
    <row r="76">
      <c r="A76" s="3" t="s">
        <v>1018</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"),"英語の個別指導｜長文読解の読み方の癖を修正・アウトプットで定着｜中学生・高校生向け（ニュートレジャー対応可）")</f>
        <v>英語の個別指導｜長文読解の読み方の癖を修正・アウトプットで定着｜中学生・高校生向け（ニュートレジャー対応可）</v>
      </c>
      <c r="D76" s="1" t="str">
        <f>IFERROR(__xludf.DUMMYFUNCTION("IFERROR(
  VLOOKUP(
    A76,
    IMPORTRANGE(
      ""1ZygntHC1J6IxzKbTidmOyf5nUyW4GCLurHCjexrLm_o        "",
      ""HTMLキャッシュ!A:F""
    ),
    6,
    FALSE
  ),
  0
)
"),"英語の個別指導は読解に効くのかを「読解編」として整理。長文を単語の意味つなぎで読んでしまう“読み方の癖”を講師が見て修正できる点と、説明・設問回答などアウトプット量が増えて弱点が可視化される点を解説。中学生・高校生向け。")</f>
        <v>英語の個別指導は読解に効くのかを「読解編」として整理。長文を単語の意味つなぎで読んでしまう“読み方の癖”を講師が見て修正できる点と、説明・設問回答などアウトプット量が増えて弱点が可視化される点を解説。中学生・高校生向け。</v>
      </c>
      <c r="E76" s="32">
        <f>IFERROR(__xludf.DUMMYFUNCTION("IFERROR(
  VLOOKUP(
    A76,
    IMPORTRANGE(
      ""1ZygntHC1J6IxzKbTidmOyf5nUyW4GCLurHCjexrLm_o        "",
      ""HTMLキャッシュ!A:F""
    ),
    3,
    FALSE
  ),
  0
)
"),46077.79957175926)</f>
        <v>46077.79957</v>
      </c>
      <c r="F76" s="49">
        <f>IFERROR(__xludf.DUMMYFUNCTION("IFERROR(
  VLOOKUP(
    A76,
    IMPORTRANGE(
      ""1ZHMy3vVUd_0MrSduXTe1etBb1HNpAlGwQr006ljwMiM"",
      ""GSC最新!A:F""
    ),
    2,
    FALSE
  ),
  0
)
"),1.0)</f>
        <v>1</v>
      </c>
      <c r="G76" s="49">
        <f>IFERROR(__xludf.DUMMYFUNCTION("IFERROR(
  VLOOKUP(
    A76,
    IMPORTRANGE(
      ""1ZHMy3vVUd_0MrSduXTe1etBb1HNpAlGwQr006ljwMiM"",
      ""GSC最新!A:F""
    ),
    3,
    FALSE
  ),
  0
)
"),8.0)</f>
        <v>8</v>
      </c>
      <c r="H76" s="49">
        <f>IFERROR(__xludf.DUMMYFUNCTION("IFERROR(
  VLOOKUP(
    A76,
    IMPORTRANGE(
      ""1ZHMy3vVUd_0MrSduXTe1etBb1HNpAlGwQr006ljwMiM"",
      ""GSC最新!A:F""
    ),
    4,
    FALSE
  ),
  0
)
"),0.0)</f>
        <v>0</v>
      </c>
      <c r="I76" s="49">
        <f>IFERROR(__xludf.DUMMYFUNCTION("IFERROR(
  VLOOKUP(
    A76,
    IMPORTRANGE(
      ""1ZHMy3vVUd_0MrSduXTe1etBb1HNpAlGwQr006ljwMiM"",
      ""GSC最新!A:F""
    ),
    5,
    FALSE
  ),
  0
)
"),0.0)</f>
        <v>0</v>
      </c>
      <c r="J76" s="50" t="str">
        <f t="shared" ref="J76:K76" si="371">IFERROR(F76/H76,"-")</f>
        <v>-</v>
      </c>
      <c r="K76" s="50" t="str">
        <f t="shared" si="371"/>
        <v>-</v>
      </c>
      <c r="L76" s="6">
        <f>IFERROR(__xludf.DUMMYFUNCTION("IFERROR(
  VLOOKUP(
    A76,
    IMPORTRANGE(
      ""1ZHMy3vVUd_0MrSduXTe1etBb1HNpAlGwQr006ljwMiM"",
      ""GSC最新!A:R""
    ),
    7,
    FALSE
  ),
  0
)
"),278.0)</f>
        <v>278</v>
      </c>
      <c r="M76" s="6">
        <f>IFERROR(__xludf.DUMMYFUNCTION("IFERROR(
  VLOOKUP(
    A76,
    IMPORTRANGE(
      ""1ZHMy3vVUd_0MrSduXTe1etBb1HNpAlGwQr006ljwMiM"",
      ""GSC最新!A:R""
    ),
    10,
    FALSE
  ),
  0
)
"),455.0)</f>
        <v>455</v>
      </c>
      <c r="N76" s="6">
        <f>IFERROR(__xludf.DUMMYFUNCTION("IFERROR(
  VLOOKUP(
    A76,
    IMPORTRANGE(
      ""1ZHMy3vVUd_0MrSduXTe1etBb1HNpAlGwQr006ljwMiM"",
      ""GSC最新!A:R""
    ),
    13,
    FALSE
  ),
  0
)
"),81.0)</f>
        <v>81</v>
      </c>
      <c r="O76" s="6">
        <f>IFERROR(__xludf.DUMMYFUNCTION("IFERROR(
  VLOOKUP(
    A76,
    IMPORTRANGE(
      ""1ZHMy3vVUd_0MrSduXTe1etBb1HNpAlGwQr006ljwMiM"",
      ""GSC最新!A:R""
    ),
    16,
    FALSE
  ),
  0
)
"),226.0)</f>
        <v>226</v>
      </c>
      <c r="P76" s="51">
        <f t="shared" ref="P76:Q76" si="372">IFERROR(L76/N76,"-")</f>
        <v>3.432098765</v>
      </c>
      <c r="Q76" s="51">
        <f t="shared" si="372"/>
        <v>2.013274336</v>
      </c>
      <c r="R76" s="9">
        <f>IFERROR(__xludf.DUMMYFUNCTION("IFERROR(
  VLOOKUP(
    A76,
    IMPORTRANGE(
      ""1ZHMy3vVUd_0MrSduXTe1etBb1HNpAlGwQr006ljwMiM"",
      ""GSC最新!A:R""
    ),
    8,
    FALSE
  ),
  0
)
"),0.0035971223021582736)</f>
        <v>0.003597122302</v>
      </c>
      <c r="S76" s="9">
        <f>IFERROR(__xludf.DUMMYFUNCTION("IFERROR(
  VLOOKUP(
    A76,
    IMPORTRANGE(
      ""1ZHMy3vVUd_0MrSduXTe1etBb1HNpAlGwQr006ljwMiM"",
      ""GSC最新!A:R""
    ),
    11,
    FALSE
  ),
  0
)
"),0.017582417582417582)</f>
        <v>0.01758241758</v>
      </c>
      <c r="T76" s="9">
        <f>IFERROR(__xludf.DUMMYFUNCTION("IFERROR(
  VLOOKUP(
    A76,
    IMPORTRANGE(
      ""1ZHMy3vVUd_0MrSduXTe1etBb1HNpAlGwQr006ljwMiM"",
      ""GSC最新!A:R""
    ),
    14,
    FALSE
  ),
  0
)
"),0.0)</f>
        <v>0</v>
      </c>
      <c r="U76" s="9">
        <f>IFERROR(__xludf.DUMMYFUNCTION("IFERROR(
  VLOOKUP(
    A76,
    IMPORTRANGE(
      ""1ZHMy3vVUd_0MrSduXTe1etBb1HNpAlGwQr006ljwMiM"",
      ""GSC最新!A:R""
    ),
    17,
    FALSE
  ),
  0
)
"),0.0)</f>
        <v>0</v>
      </c>
      <c r="V76" s="9">
        <f t="shared" ref="V76:W76" si="373">IFERROR(R76-T76,"-")</f>
        <v>0.003597122302</v>
      </c>
      <c r="W76" s="9">
        <f t="shared" si="373"/>
        <v>0.01758241758</v>
      </c>
      <c r="X76" s="65">
        <f>IFERROR(__xludf.DUMMYFUNCTION("IFERROR(
  VLOOKUP(
    A76,
    IMPORTRANGE(
      ""1ZHMy3vVUd_0MrSduXTe1etBb1HNpAlGwQr006ljwMiM"",
      ""GSC最新!A:R""
    ),
    9,
    FALSE
  ),
  0
)
"),11.503597122302159)</f>
        <v>11.50359712</v>
      </c>
      <c r="Y76" s="65">
        <f>IFERROR(__xludf.DUMMYFUNCTION("IFERROR(
  VLOOKUP(
    A76,
    IMPORTRANGE(
      ""1ZHMy3vVUd_0MrSduXTe1etBb1HNpAlGwQr006ljwMiM"",
      ""GSC最新!A:R""
    ),
    12,
    FALSE
  ),
  0
)
"),13.345054945054946)</f>
        <v>13.34505495</v>
      </c>
      <c r="Z76" s="65">
        <f>IFERROR(__xludf.DUMMYFUNCTION("IFERROR(
  VLOOKUP(
    A76,
    IMPORTRANGE(
      ""1ZHMy3vVUd_0MrSduXTe1etBb1HNpAlGwQr006ljwMiM"",
      ""GSC最新!A:R""
    ),
    15,
    FALSE
  ),
  0
)
"),23.506172839506174)</f>
        <v>23.50617284</v>
      </c>
      <c r="AA76" s="65">
        <f>IFERROR(__xludf.DUMMYFUNCTION("IFERROR(
  VLOOKUP(
    A76,
    IMPORTRANGE(
      ""1ZHMy3vVUd_0MrSduXTe1etBb1HNpAlGwQr006ljwMiM"",
      ""GSC最新!A:R""
    ),
    18,
    FALSE
  ),
  0
)
"),28.561946902654867)</f>
        <v>28.5619469</v>
      </c>
      <c r="AB76" s="65">
        <f t="shared" ref="AB76:AC76" si="374">X76-Z76</f>
        <v>-12.00257572</v>
      </c>
      <c r="AC76" s="65">
        <f t="shared" si="374"/>
        <v>-15.21689196</v>
      </c>
      <c r="AD76" s="53">
        <f>IFERROR(__xludf.DUMMYFUNCTION("IFERROR(
  VLOOKUP(
    A76,
    IMPORTRANGE(
      ""1ZHMy3vVUd_0MrSduXTe1etBb1HNpAlGwQr006ljwMiM"",
      ""GSC最新!A:F""
    ),
    6,
    FALSE
  ),
  0
)
"),46081.0)</f>
        <v>46081</v>
      </c>
      <c r="AE76" s="54">
        <f>IFERROR(__xludf.DUMMYFUNCTION("IFERROR(
  VLOOKUP(
    A76,
    IMPORTRANGE(
      ""1SCYQd7_cobOYqT0r_F0IqD4tE4rYn5y8Eup4PJTH8es"",
      ""Snapshot!A:M""
    ),
    5,
    FALSE
  ),
  ""-""
)
"),5.0)</f>
        <v>5</v>
      </c>
      <c r="AF76" s="54">
        <f>IFERROR(__xludf.DUMMYFUNCTION("IFERROR(
  VLOOKUP(
    A76,
    IMPORTRANGE(
      ""1SCYQd7_cobOYqT0r_F0IqD4tE4rYn5y8Eup4PJTH8es"",
      ""Snapshot!A:M""
    ),
    6,
    FALSE
  ),
  0
)
"),8.0)</f>
        <v>8</v>
      </c>
      <c r="AG76" s="54">
        <f>IFERROR(__xludf.DUMMYFUNCTION("IFERROR(
  VLOOKUP(
    A76,
    IMPORTRANGE(
      ""1SCYQd7_cobOYqT0r_F0IqD4tE4rYn5y8Eup4PJTH8es"",
      ""Snapshot!A:M""
    ),
    7,
    FALSE
  ),
  0
)
"),2417.0)</f>
        <v>2417</v>
      </c>
      <c r="AH76" s="54">
        <f>IFERROR(__xludf.DUMMYFUNCTION("IFERROR(
  VLOOKUP(
    A76,
    IMPORTRANGE(
      ""1SCYQd7_cobOYqT0r_F0IqD4tE4rYn5y8Eup4PJTH8es"",
      ""Snapshot!A:M""
    ),
    8,
    FALSE
  ),
  0
)
"),3.0)</f>
        <v>3</v>
      </c>
      <c r="AI76" s="54">
        <f>IFERROR(__xludf.DUMMYFUNCTION("IFERROR(
  VLOOKUP(
    A76,
    IMPORTRANGE(
      ""1SCYQd7_cobOYqT0r_F0IqD4tE4rYn5y8Eup4PJTH8es"",
      ""Snapshot!A:M""
    ),
    9,
    FALSE
  ),
  0
)
"),1.0)</f>
        <v>1</v>
      </c>
      <c r="AJ76" s="54">
        <f>IFERROR(__xludf.DUMMYFUNCTION("IFERROR(
  VLOOKUP(
    A76,
    IMPORTRANGE(
      ""1SCYQd7_cobOYqT0r_F0IqD4tE4rYn5y8Eup4PJTH8es"",
      ""Snapshot!A:M""
    ),
    13,
    FALSE
  ),
  0
)
"),1.0)</f>
        <v>1</v>
      </c>
      <c r="AK76" s="49">
        <f t="shared" ref="AK76:AL76" si="375">LEN(C76)</f>
        <v>54</v>
      </c>
      <c r="AL76" s="49">
        <f t="shared" si="375"/>
        <v>110</v>
      </c>
    </row>
    <row r="77">
      <c r="A77" s="3" t="s">
        <v>1019</v>
      </c>
      <c r="B77" s="1" t="str">
        <f>IFERROR(__xludf.DUMMYFUNCTION("IFERROR(
  VLOOKUP(
    A77,
    IMPORTRANGE(
      ""1ZygntHC1J6IxzKbTidmOyf5nUyW4GCLurHCjexrLm_o"",
      ""HTMLキャッシュ!A:F""
    ),
    2,
    FALSE
  ),
  0
)
"),"MC")</f>
        <v>MC</v>
      </c>
      <c r="C77" s="1" t="str">
        <f>IFERROR(__xludf.DUMMYFUNCTION("IFERROR(
  VLOOKUP(
    A77,
    IMPORTRANGE(
      ""1ZygntHC1J6IxzKbTidmOyf5nUyW4GCLurHCjexrLm_o"",
      ""HTMLキャッシュ!A:F""
    ),
    5,
    FALSE
  ),
  0
)
"),"一般動詞の疑問文と否定文のルール徹底解説")</f>
        <v>一般動詞の疑問文と否定文のルール徹底解説</v>
      </c>
      <c r="D77" s="1" t="str">
        <f>IFERROR(__xludf.DUMMYFUNCTION("IFERROR(
  VLOOKUP(
    A77,
    IMPORTRANGE(
      ""1ZygntHC1J6IxzKbTidmOyf5nUyW4GCLurHCjexrLm_o        "",
      ""HTMLキャッシュ!A:F""
    ),
    6,
    FALSE
  ),
  0
)
"),"三人称単数でdoがdoesに。疑問文・否定文は動詞が原形、三単現のsは外れる。often位置、to＋目的格も確認。")</f>
        <v>三人称単数でdoがdoesに。疑問文・否定文は動詞が原形、三単現のsは外れる。often位置、to＋目的格も確認。</v>
      </c>
      <c r="E77" s="32">
        <f>IFERROR(__xludf.DUMMYFUNCTION("IFERROR(
  VLOOKUP(
    A77,
    IMPORTRANGE(
      ""1ZygntHC1J6IxzKbTidmOyf5nUyW4GCLurHCjexrLm_o        "",
      ""HTMLキャッシュ!A:F""
    ),
    3,
    FALSE
  ),
  0
)
"),46073.664375)</f>
        <v>46073.66438</v>
      </c>
      <c r="F77" s="49">
        <f>IFERROR(__xludf.DUMMYFUNCTION("IFERROR(
  VLOOKUP(
    A77,
    IMPORTRANGE(
      ""1ZHMy3vVUd_0MrSduXTe1etBb1HNpAlGwQr006ljwMiM"",
      ""GSC最新!A:F""
    ),
    2,
    FALSE
  ),
  0
)
"),3.0)</f>
        <v>3</v>
      </c>
      <c r="G77" s="49">
        <f>IFERROR(__xludf.DUMMYFUNCTION("IFERROR(
  VLOOKUP(
    A77,
    IMPORTRANGE(
      ""1ZHMy3vVUd_0MrSduXTe1etBb1HNpAlGwQr006ljwMiM"",
      ""GSC最新!A:F""
    ),
    3,
    FALSE
  ),
  0
)
"),6.0)</f>
        <v>6</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"),1.0)</f>
        <v>1</v>
      </c>
      <c r="J77" s="50" t="str">
        <f t="shared" ref="J77:K77" si="376">IFERROR(F77/H77,"-")</f>
        <v>-</v>
      </c>
      <c r="K77" s="50">
        <f t="shared" si="376"/>
        <v>6</v>
      </c>
      <c r="L77" s="6">
        <f>IFERROR(__xludf.DUMMYFUNCTION("IFERROR(
  VLOOKUP(
    A77,
    IMPORTRANGE(
      ""1ZHMy3vVUd_0MrSduXTe1etBb1HNpAlGwQr006ljwMiM"",
      ""GSC最新!A:R""
    ),
    7,
    FALSE
  ),
  0
)
"),3196.0)</f>
        <v>3196</v>
      </c>
      <c r="M77" s="6">
        <f>IFERROR(__xludf.DUMMYFUNCTION("IFERROR(
  VLOOKUP(
    A77,
    IMPORTRANGE(
      ""1ZHMy3vVUd_0MrSduXTe1etBb1HNpAlGwQr006ljwMiM"",
      ""GSC最新!A:R""
    ),
    10,
    FALSE
  ),
  0
)
"),4865.0)</f>
        <v>4865</v>
      </c>
      <c r="N77" s="6">
        <f>IFERROR(__xludf.DUMMYFUNCTION("IFERROR(
  VLOOKUP(
    A77,
    IMPORTRANGE(
      ""1ZHMy3vVUd_0MrSduXTe1etBb1HNpAlGwQr006ljwMiM"",
      ""GSC最新!A:R""
    ),
    13,
    FALSE
  ),
  0
)
"),89.0)</f>
        <v>89</v>
      </c>
      <c r="O77" s="6">
        <f>IFERROR(__xludf.DUMMYFUNCTION("IFERROR(
  VLOOKUP(
    A77,
    IMPORTRANGE(
      ""1ZHMy3vVUd_0MrSduXTe1etBb1HNpAlGwQr006ljwMiM"",
      ""GSC最新!A:R""
    ),
    16,
    FALSE
  ),
  0
)
"),317.0)</f>
        <v>317</v>
      </c>
      <c r="P77" s="51">
        <f t="shared" ref="P77:Q77" si="377">IFERROR(L77/N77,"-")</f>
        <v>35.91011236</v>
      </c>
      <c r="Q77" s="51">
        <f t="shared" si="377"/>
        <v>15.34700315</v>
      </c>
      <c r="R77" s="9">
        <f>IFERROR(__xludf.DUMMYFUNCTION("IFERROR(
  VLOOKUP(
    A77,
    IMPORTRANGE(
      ""1ZHMy3vVUd_0MrSduXTe1etBb1HNpAlGwQr006ljwMiM"",
      ""GSC最新!A:R""
    ),
    8,
    FALSE
  ),
  0
)
"),9.386733416770963E-4)</f>
        <v>0.0009386733417</v>
      </c>
      <c r="S77" s="9">
        <f>IFERROR(__xludf.DUMMYFUNCTION("IFERROR(
  VLOOKUP(
    A77,
    IMPORTRANGE(
      ""1ZHMy3vVUd_0MrSduXTe1etBb1HNpAlGwQr006ljwMiM"",
      ""GSC最新!A:R""
    ),
    11,
    FALSE
  ),
  0
)
"),0.0012332990750256938)</f>
        <v>0.001233299075</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"),0.0031545741324921135)</f>
        <v>0.003154574132</v>
      </c>
      <c r="V77" s="9">
        <f t="shared" ref="V77:W77" si="378">IFERROR(R77-T77,"-")</f>
        <v>0.0009386733417</v>
      </c>
      <c r="W77" s="9">
        <f t="shared" si="378"/>
        <v>-0.001921275057</v>
      </c>
      <c r="X77" s="65">
        <f>IFERROR(__xludf.DUMMYFUNCTION("IFERROR(
  VLOOKUP(
    A77,
    IMPORTRANGE(
      ""1ZHMy3vVUd_0MrSduXTe1etBb1HNpAlGwQr006ljwMiM"",
      ""GSC最新!A:R""
    ),
    9,
    FALSE
  ),
  0
)
"),3.2399874843554444)</f>
        <v>3.239987484</v>
      </c>
      <c r="Y77" s="65">
        <f>IFERROR(__xludf.DUMMYFUNCTION("IFERROR(
  VLOOKUP(
    A77,
    IMPORTRANGE(
      ""1ZHMy3vVUd_0MrSduXTe1etBb1HNpAlGwQr006ljwMiM"",
      ""GSC最新!A:R""
    ),
    12,
    FALSE
  ),
  0
)
"),3.943268242548818)</f>
        <v>3.943268243</v>
      </c>
      <c r="Z77" s="65">
        <f>IFERROR(__xludf.DUMMYFUNCTION("IFERROR(
  VLOOKUP(
    A77,
    IMPORTRANGE(
      ""1ZHMy3vVUd_0MrSduXTe1etBb1HNpAlGwQr006ljwMiM"",
      ""GSC最新!A:R""
    ),
    15,
    FALSE
  ),
  0
)
"),23.48314606741573)</f>
        <v>23.48314607</v>
      </c>
      <c r="AA77" s="65">
        <f>IFERROR(__xludf.DUMMYFUNCTION("IFERROR(
  VLOOKUP(
    A77,
    IMPORTRANGE(
      ""1ZHMy3vVUd_0MrSduXTe1etBb1HNpAlGwQr006ljwMiM"",
      ""GSC最新!A:R""
    ),
    18,
    FALSE
  ),
  0
)
"),33.07570977917981)</f>
        <v>33.07570978</v>
      </c>
      <c r="AB77" s="65">
        <f t="shared" ref="AB77:AC77" si="379">X77-Z77</f>
        <v>-20.24315858</v>
      </c>
      <c r="AC77" s="65">
        <f t="shared" si="379"/>
        <v>-29.13244154</v>
      </c>
      <c r="AD77" s="53">
        <f>IFERROR(__xludf.DUMMYFUNCTION("IFERROR(
  VLOOKUP(
    A77,
    IMPORTRANGE(
      ""1ZHMy3vVUd_0MrSduXTe1etBb1HNpAlGwQr006ljwMiM"",
      ""GSC最新!A:F""
    ),
    6,
    FALSE
  ),
  0
)
"),46081.0)</f>
        <v>46081</v>
      </c>
      <c r="AE77" s="54">
        <f>IFERROR(__xludf.DUMMYFUNCTION("IFERROR(
  VLOOKUP(
    A77,
    IMPORTRANGE(
      ""1SCYQd7_cobOYqT0r_F0IqD4tE4rYn5y8Eup4PJTH8es"",
      ""Snapshot!A:M""
    ),
    5,
    FALSE
  ),
  ""-""
)
"),0.0)</f>
        <v>0</v>
      </c>
      <c r="AF77" s="54">
        <f>IFERROR(__xludf.DUMMYFUNCTION("IFERROR(
  VLOOKUP(
    A77,
    IMPORTRANGE(
      ""1SCYQd7_cobOYqT0r_F0IqD4tE4rYn5y8Eup4PJTH8es"",
      ""Snapshot!A:M""
    ),
    6,
    FALSE
  ),
  0
)
"),0.0)</f>
        <v>0</v>
      </c>
      <c r="AG77" s="54">
        <f>IFERROR(__xludf.DUMMYFUNCTION("IFERROR(
  VLOOKUP(
    A77,
    IMPORTRANGE(
      ""1SCYQd7_cobOYqT0r_F0IqD4tE4rYn5y8Eup4PJTH8es"",
      ""Snapshot!A:M""
    ),
    7,
    FALSE
  ),
  0
)
"),5355.0)</f>
        <v>5355</v>
      </c>
      <c r="AH77" s="54">
        <f>IFERROR(__xludf.DUMMYFUNCTION("IFERROR(
  VLOOKUP(
    A77,
    IMPORTRANGE(
      ""1SCYQd7_cobOYqT0r_F0IqD4tE4rYn5y8Eup4PJTH8es"",
      ""Snapshot!A:M""
    ),
    8,
    FALSE
  ),
  0
)
"),3.0)</f>
        <v>3</v>
      </c>
      <c r="AI77" s="54">
        <f>IFERROR(__xludf.DUMMYFUNCTION("IFERROR(
  VLOOKUP(
    A77,
    IMPORTRANGE(
      ""1SCYQd7_cobOYqT0r_F0IqD4tE4rYn5y8Eup4PJTH8es"",
      ""Snapshot!A:M""
    ),
    9,
    FALSE
  ),
  0
)
"),2.0)</f>
        <v>2</v>
      </c>
      <c r="AJ77" s="54">
        <f>IFERROR(__xludf.DUMMYFUNCTION("IFERROR(
  VLOOKUP(
    A77,
    IMPORTRANGE(
      ""1SCYQd7_cobOYqT0r_F0IqD4tE4rYn5y8Eup4PJTH8es"",
      ""Snapshot!A:M""
    ),
    13,
    FALSE
  ),
  0
)
"),1.0)</f>
        <v>1</v>
      </c>
      <c r="AK77" s="49">
        <f t="shared" ref="AK77:AL77" si="380">LEN(C77)</f>
        <v>20</v>
      </c>
      <c r="AL77" s="49">
        <f t="shared" si="380"/>
        <v>57</v>
      </c>
    </row>
    <row r="78">
      <c r="A78" s="3" t="s">
        <v>1020</v>
      </c>
      <c r="B78" s="1" t="str">
        <f>IFERROR(__xludf.DUMMYFUNCTION("IFERROR(
  VLOOKUP(
    A78,
    IMPORTRANGE(
      ""1ZygntHC1J6IxzKbTidmOyf5nUyW4GCLurHCjexrLm_o"",
      ""HTMLキャッシュ!A:F""
    ),
    2,
    FALSE
  ),
  0
)
"),"MC")</f>
        <v>MC</v>
      </c>
      <c r="C78" s="1" t="str">
        <f>IFERROR(__xludf.DUMMYFUNCTION("IFERROR(
  VLOOKUP(
    A78,
    IMPORTRANGE(
      ""1ZygntHC1J6IxzKbTidmOyf5nUyW4GCLurHCjexrLm_o"",
      ""HTMLキャッシュ!A:F""
    ),
    5,
    FALSE
  ),
  0
)
"),"Are you from Chinaの基本文｜出身をたずねる英語の最初の形")</f>
        <v>Are you from Chinaの基本文｜出身をたずねる英語の最初の形</v>
      </c>
      <c r="D78" s="1" t="str">
        <f>IFERROR(__xludf.DUMMYFUNCTION("IFERROR(
  VLOOKUP(
    A78,
    IMPORTRANGE(
      ""1ZygntHC1J6IxzKbTidmOyf5nUyW4GCLurHCjexrLm_o        "",
      ""HTMLキャッシュ!A:F""
    ),
    6,
    FALSE
  ),
  0
)
"),"「出身をたずねたいとき」の英語表現Are you from Chinaを例文で整理。be動詞を前に出す疑問文、否定You are not from〜、答え方I’m from Japanまでまとめて確認します。中1英語の最初でつまずかないための基礎整理。")</f>
        <v>「出身をたずねたいとき」の英語表現Are you from Chinaを例文で整理。be動詞を前に出す疑問文、否定You are not from〜、答え方I’m from Japanまでまとめて確認します。中1英語の最初でつまずかないための基礎整理。</v>
      </c>
      <c r="E78" s="32">
        <f>IFERROR(__xludf.DUMMYFUNCTION("IFERROR(
  VLOOKUP(
    A78,
    IMPORTRANGE(
      ""1ZygntHC1J6IxzKbTidmOyf5nUyW4GCLurHCjexrLm_o        "",
      ""HTMLキャッシュ!A:F""
    ),
    3,
    FALSE
  ),
  0
)
"),46043.57958333333)</f>
        <v>46043.57958</v>
      </c>
      <c r="F78" s="49">
        <f>IFERROR(__xludf.DUMMYFUNCTION("IFERROR(
  VLOOKUP(
    A78,
    IMPORTRANGE(
      ""1ZHMy3vVUd_0MrSduXTe1etBb1HNpAlGwQr006ljwMiM"",
      ""GSC最新!A:F""
    ),
    2,
    FALSE
  ),
  0
)
"),2.0)</f>
        <v>2</v>
      </c>
      <c r="G78" s="49">
        <f>IFERROR(__xludf.DUMMYFUNCTION("IFERROR(
  VLOOKUP(
    A78,
    IMPORTRANGE(
      ""1ZHMy3vVUd_0MrSduXTe1etBb1HNpAlGwQr006ljwMiM"",
      ""GSC最新!A:F""
    ),
    3,
    FALSE
  ),
  0
)
"),7.0)</f>
        <v>7</v>
      </c>
      <c r="H78" s="49">
        <f>IFERROR(__xludf.DUMMYFUNCTION("IFERROR(
  VLOOKUP(
    A78,
    IMPORTRANGE(
      ""1ZHMy3vVUd_0MrSduXTe1etBb1HNpAlGwQr006ljwMiM"",
      ""GSC最新!A:F""
    ),
    4,
    FALSE
  ),
  0
)
"),2.0)</f>
        <v>2</v>
      </c>
      <c r="I78" s="49">
        <f>IFERROR(__xludf.DUMMYFUNCTION("IFERROR(
  VLOOKUP(
    A78,
    IMPORTRANGE(
      ""1ZHMy3vVUd_0MrSduXTe1etBb1HNpAlGwQr006ljwMiM"",
      ""GSC最新!A:F""
    ),
    5,
    FALSE
  ),
  0
)
"),3.0)</f>
        <v>3</v>
      </c>
      <c r="J78" s="50">
        <f t="shared" ref="J78:K78" si="381">IFERROR(F78/H78,"-")</f>
        <v>1</v>
      </c>
      <c r="K78" s="50">
        <f t="shared" si="381"/>
        <v>2.333333333</v>
      </c>
      <c r="L78" s="6">
        <f>IFERROR(__xludf.DUMMYFUNCTION("IFERROR(
  VLOOKUP(
    A78,
    IMPORTRANGE(
      ""1ZHMy3vVUd_0MrSduXTe1etBb1HNpAlGwQr006ljwMiM"",
      ""GSC最新!A:R""
    ),
    7,
    FALSE
  ),
  0
)
"),1612.0)</f>
        <v>1612</v>
      </c>
      <c r="M78" s="6">
        <f>IFERROR(__xludf.DUMMYFUNCTION("IFERROR(
  VLOOKUP(
    A78,
    IMPORTRANGE(
      ""1ZHMy3vVUd_0MrSduXTe1etBb1HNpAlGwQr006ljwMiM"",
      ""GSC最新!A:R""
    ),
    10,
    FALSE
  ),
  0
)
"),4272.0)</f>
        <v>4272</v>
      </c>
      <c r="N78" s="6">
        <f>IFERROR(__xludf.DUMMYFUNCTION("IFERROR(
  VLOOKUP(
    A78,
    IMPORTRANGE(
      ""1ZHMy3vVUd_0MrSduXTe1etBb1HNpAlGwQr006ljwMiM"",
      ""GSC最新!A:R""
    ),
    13,
    FALSE
  ),
  0
)
"),88.0)</f>
        <v>88</v>
      </c>
      <c r="O78" s="6">
        <f>IFERROR(__xludf.DUMMYFUNCTION("IFERROR(
  VLOOKUP(
    A78,
    IMPORTRANGE(
      ""1ZHMy3vVUd_0MrSduXTe1etBb1HNpAlGwQr006ljwMiM"",
      ""GSC最新!A:R""
    ),
    16,
    FALSE
  ),
  0
)
"),314.0)</f>
        <v>314</v>
      </c>
      <c r="P78" s="51">
        <f t="shared" ref="P78:Q78" si="382">IFERROR(L78/N78,"-")</f>
        <v>18.31818182</v>
      </c>
      <c r="Q78" s="51">
        <f t="shared" si="382"/>
        <v>13.60509554</v>
      </c>
      <c r="R78" s="9">
        <f>IFERROR(__xludf.DUMMYFUNCTION("IFERROR(
  VLOOKUP(
    A78,
    IMPORTRANGE(
      ""1ZHMy3vVUd_0MrSduXTe1etBb1HNpAlGwQr006ljwMiM"",
      ""GSC最新!A:R""
    ),
    8,
    FALSE
  ),
  0
)
"),0.0012406947890818859)</f>
        <v>0.001240694789</v>
      </c>
      <c r="S78" s="9">
        <f>IFERROR(__xludf.DUMMYFUNCTION("IFERROR(
  VLOOKUP(
    A78,
    IMPORTRANGE(
      ""1ZHMy3vVUd_0MrSduXTe1etBb1HNpAlGwQr006ljwMiM"",
      ""GSC最新!A:R""
    ),
    11,
    FALSE
  ),
  0
)
"),0.0016385767790262173)</f>
        <v>0.001638576779</v>
      </c>
      <c r="T78" s="9">
        <f>IFERROR(__xludf.DUMMYFUNCTION("IFERROR(
  VLOOKUP(
    A78,
    IMPORTRANGE(
      ""1ZHMy3vVUd_0MrSduXTe1etBb1HNpAlGwQr006ljwMiM"",
      ""GSC最新!A:R""
    ),
    14,
    FALSE
  ),
  0
)
"),0.022727272727272728)</f>
        <v>0.02272727273</v>
      </c>
      <c r="U78" s="9">
        <f>IFERROR(__xludf.DUMMYFUNCTION("IFERROR(
  VLOOKUP(
    A78,
    IMPORTRANGE(
      ""1ZHMy3vVUd_0MrSduXTe1etBb1HNpAlGwQr006ljwMiM"",
      ""GSC最新!A:R""
    ),
    17,
    FALSE
  ),
  0
)
"),0.009554140127388535)</f>
        <v>0.009554140127</v>
      </c>
      <c r="V78" s="9">
        <f t="shared" ref="V78:W78" si="383">IFERROR(R78-T78,"-")</f>
        <v>-0.02148657794</v>
      </c>
      <c r="W78" s="9">
        <f t="shared" si="383"/>
        <v>-0.007915563348</v>
      </c>
      <c r="X78" s="65">
        <f>IFERROR(__xludf.DUMMYFUNCTION("IFERROR(
  VLOOKUP(
    A78,
    IMPORTRANGE(
      ""1ZHMy3vVUd_0MrSduXTe1etBb1HNpAlGwQr006ljwMiM"",
      ""GSC最新!A:R""
    ),
    9,
    FALSE
  ),
  0
)
"),5.171836228287841)</f>
        <v>5.171836228</v>
      </c>
      <c r="Y78" s="65">
        <f>IFERROR(__xludf.DUMMYFUNCTION("IFERROR(
  VLOOKUP(
    A78,
    IMPORTRANGE(
      ""1ZHMy3vVUd_0MrSduXTe1etBb1HNpAlGwQr006ljwMiM"",
      ""GSC最新!A:R""
    ),
    12,
    FALSE
  ),
  0
)
"),6.328183520599251)</f>
        <v>6.328183521</v>
      </c>
      <c r="Z78" s="65">
        <f>IFERROR(__xludf.DUMMYFUNCTION("IFERROR(
  VLOOKUP(
    A78,
    IMPORTRANGE(
      ""1ZHMy3vVUd_0MrSduXTe1etBb1HNpAlGwQr006ljwMiM"",
      ""GSC最新!A:R""
    ),
    15,
    FALSE
  ),
  0
)
"),11.579545454545455)</f>
        <v>11.57954545</v>
      </c>
      <c r="AA78" s="65">
        <f>IFERROR(__xludf.DUMMYFUNCTION("IFERROR(
  VLOOKUP(
    A78,
    IMPORTRANGE(
      ""1ZHMy3vVUd_0MrSduXTe1etBb1HNpAlGwQr006ljwMiM"",
      ""GSC最新!A:R""
    ),
    18,
    FALSE
  ),
  0
)
"),10.0)</f>
        <v>10</v>
      </c>
      <c r="AB78" s="65">
        <f t="shared" ref="AB78:AC78" si="384">X78-Z78</f>
        <v>-6.407709226</v>
      </c>
      <c r="AC78" s="65">
        <f t="shared" si="384"/>
        <v>-3.671816479</v>
      </c>
      <c r="AD78" s="53">
        <f>IFERROR(__xludf.DUMMYFUNCTION("IFERROR(
  VLOOKUP(
    A78,
    IMPORTRANGE(
      ""1ZHMy3vVUd_0MrSduXTe1etBb1HNpAlGwQr006ljwMiM"",
      ""GSC最新!A:F""
    ),
    6,
    FALSE
  ),
  0
)
"),46081.0)</f>
        <v>46081</v>
      </c>
      <c r="AE78" s="54">
        <f>IFERROR(__xludf.DUMMYFUNCTION("IFERROR(
  VLOOKUP(
    A78,
    IMPORTRANGE(
      ""1SCYQd7_cobOYqT0r_F0IqD4tE4rYn5y8Eup4PJTH8es"",
      ""Snapshot!A:M""
    ),
    5,
    FALSE
  ),
  ""-""
)
"),2.0)</f>
        <v>2</v>
      </c>
      <c r="AF78" s="54">
        <f>IFERROR(__xludf.DUMMYFUNCTION("IFERROR(
  VLOOKUP(
    A78,
    IMPORTRANGE(
      ""1SCYQd7_cobOYqT0r_F0IqD4tE4rYn5y8Eup4PJTH8es"",
      ""Snapshot!A:M""
    ),
    6,
    FALSE
  ),
  0
)
"),0.0)</f>
        <v>0</v>
      </c>
      <c r="AG78" s="54">
        <f>IFERROR(__xludf.DUMMYFUNCTION("IFERROR(
  VLOOKUP(
    A78,
    IMPORTRANGE(
      ""1SCYQd7_cobOYqT0r_F0IqD4tE4rYn5y8Eup4PJTH8es"",
      ""Snapshot!A:M""
    ),
    7,
    FALSE
  ),
  0
)
"),3754.0)</f>
        <v>3754</v>
      </c>
      <c r="AH78" s="54">
        <f>IFERROR(__xludf.DUMMYFUNCTION("IFERROR(
  VLOOKUP(
    A78,
    IMPORTRANGE(
      ""1SCYQd7_cobOYqT0r_F0IqD4tE4rYn5y8Eup4PJTH8es"",
      ""Snapshot!A:M""
    ),
    8,
    FALSE
  ),
  0
)
"),4.0)</f>
        <v>4</v>
      </c>
      <c r="AI78" s="54">
        <f>IFERROR(__xludf.DUMMYFUNCTION("IFERROR(
  VLOOKUP(
    A78,
    IMPORTRANGE(
      ""1SCYQd7_cobOYqT0r_F0IqD4tE4rYn5y8Eup4PJTH8es"",
      ""Snapshot!A:M""
    ),
    9,
    FALSE
  ),
  0
)
"),3.0)</f>
        <v>3</v>
      </c>
      <c r="AJ78" s="54">
        <f>IFERROR(__xludf.DUMMYFUNCTION("IFERROR(
  VLOOKUP(
    A78,
    IMPORTRANGE(
      ""1SCYQd7_cobOYqT0r_F0IqD4tE4rYn5y8Eup4PJTH8es"",
      ""Snapshot!A:M""
    ),
    13,
    FALSE
  ),
  0
)
"),1.0)</f>
        <v>1</v>
      </c>
      <c r="AK78" s="49">
        <f t="shared" ref="AK78:AL78" si="385">LEN(C78)</f>
        <v>37</v>
      </c>
      <c r="AL78" s="49">
        <f t="shared" si="385"/>
        <v>126</v>
      </c>
    </row>
    <row r="79">
      <c r="A79" s="3" t="s">
        <v>1021</v>
      </c>
      <c r="B79" s="1" t="str">
        <f>IFERROR(__xludf.DUMMYFUNCTION("IFERROR(
  VLOOKUP(
    A79,
    IMPORTRANGE(
      ""1ZygntHC1J6IxzKbTidmOyf5nUyW4GCLurHCjexrLm_o"",
      ""HTMLキャッシュ!A:F""
    ),
    2,
    FALSE
  ),
  0
)
"),"MC")</f>
        <v>MC</v>
      </c>
      <c r="C79" s="1" t="str">
        <f>IFERROR(__xludf.DUMMYFUNCTION("IFERROR(
  VLOOKUP(
    A79,
    IMPORTRANGE(
      ""1ZygntHC1J6IxzKbTidmOyf5nUyW4GCLurHCjexrLm_o"",
      ""HTMLキャッシュ!A:F""
    ),
    5,
    FALSE
  ),
  0
)
"),"isの使い方｜there is答え方・否定文書き換え")</f>
        <v>isの使い方｜there is答え方・否定文書き換え</v>
      </c>
      <c r="D79" s="1" t="str">
        <f>IFERROR(__xludf.DUMMYFUNCTION("IFERROR(
  VLOOKUP(
    A79,
    IMPORTRANGE(
      ""1ZygntHC1J6IxzKbTidmOyf5nUyW4GCLurHCjexrLm_o        "",
      ""HTMLキャッシュ!A:F""
    ),
    6,
    FALSE
  ),
  0
)
"),"isの使い方やthere isの答え方を解説。noへの書き換え、few/littleも網羅。テストで迷う点を凝縮した要点まとめと演習クイズ付。")</f>
        <v>isの使い方やthere isの答え方を解説。noへの書き換え、few/littleも網羅。テストで迷う点を凝縮した要点まとめと演習クイズ付。</v>
      </c>
      <c r="E79" s="32">
        <f>IFERROR(__xludf.DUMMYFUNCTION("IFERROR(
  VLOOKUP(
    A79,
    IMPORTRANGE(
      ""1ZygntHC1J6IxzKbTidmOyf5nUyW4GCLurHCjexrLm_o        "",
      ""HTMLキャッシュ!A:F""
    ),
    3,
    FALSE
  ),
  0
)
"),46055.71082175926)</f>
        <v>46055.71082</v>
      </c>
      <c r="F79" s="49">
        <f>IFERROR(__xludf.DUMMYFUNCTION("IFERROR(
  VLOOKUP(
    A79,
    IMPORTRANGE(
      ""1ZHMy3vVUd_0MrSduXTe1etBb1HNpAlGwQr006ljwMiM"",
      ""GSC最新!A:F""
    ),
    2,
    FALSE
  ),
  0
)
"),5.0)</f>
        <v>5</v>
      </c>
      <c r="G79" s="49">
        <f>IFERROR(__xludf.DUMMYFUNCTION("IFERROR(
  VLOOKUP(
    A79,
    IMPORTRANGE(
      ""1ZHMy3vVUd_0MrSduXTe1etBb1HNpAlGwQr006ljwMiM"",
      ""GSC最新!A:F""
    ),
    3,
    FALSE
  ),
  0
)
"),7.0)</f>
        <v>7</v>
      </c>
      <c r="H79" s="49">
        <f>IFERROR(__xludf.DUMMYFUNCTION("IFERROR(
  VLOOKUP(
    A79,
    IMPORTRANGE(
      ""1ZHMy3vVUd_0MrSduXTe1etBb1HNpAlGwQr006ljwMiM"",
      ""GSC最新!A:F""
    ),
    4,
    FALSE
  ),
  0
)
"),3.0)</f>
        <v>3</v>
      </c>
      <c r="I79" s="49">
        <f>IFERROR(__xludf.DUMMYFUNCTION("IFERROR(
  VLOOKUP(
    A79,
    IMPORTRANGE(
      ""1ZHMy3vVUd_0MrSduXTe1etBb1HNpAlGwQr006ljwMiM"",
      ""GSC最新!A:F""
    ),
    5,
    FALSE
  ),
  0
)
"),4.0)</f>
        <v>4</v>
      </c>
      <c r="J79" s="50">
        <f t="shared" ref="J79:K79" si="386">IFERROR(F79/H79,"-")</f>
        <v>1.666666667</v>
      </c>
      <c r="K79" s="50">
        <f t="shared" si="386"/>
        <v>1.75</v>
      </c>
      <c r="L79" s="6">
        <f>IFERROR(__xludf.DUMMYFUNCTION("IFERROR(
  VLOOKUP(
    A79,
    IMPORTRANGE(
      ""1ZHMy3vVUd_0MrSduXTe1etBb1HNpAlGwQr006ljwMiM"",
      ""GSC最新!A:R""
    ),
    7,
    FALSE
  ),
  0
)
"),1678.0)</f>
        <v>1678</v>
      </c>
      <c r="M79" s="6">
        <f>IFERROR(__xludf.DUMMYFUNCTION("IFERROR(
  VLOOKUP(
    A79,
    IMPORTRANGE(
      ""1ZHMy3vVUd_0MrSduXTe1etBb1HNpAlGwQr006ljwMiM"",
      ""GSC最新!A:R""
    ),
    10,
    FALSE
  ),
  0
)
"),2069.0)</f>
        <v>2069</v>
      </c>
      <c r="N79" s="6">
        <f>IFERROR(__xludf.DUMMYFUNCTION("IFERROR(
  VLOOKUP(
    A79,
    IMPORTRANGE(
      ""1ZHMy3vVUd_0MrSduXTe1etBb1HNpAlGwQr006ljwMiM"",
      ""GSC最新!A:R""
    ),
    13,
    FALSE
  ),
  0
)
"),60.0)</f>
        <v>60</v>
      </c>
      <c r="O79" s="6">
        <f>IFERROR(__xludf.DUMMYFUNCTION("IFERROR(
  VLOOKUP(
    A79,
    IMPORTRANGE(
      ""1ZHMy3vVUd_0MrSduXTe1etBb1HNpAlGwQr006ljwMiM"",
      ""GSC最新!A:R""
    ),
    16,
    FALSE
  ),
  0
)
"),147.0)</f>
        <v>147</v>
      </c>
      <c r="P79" s="51">
        <f t="shared" ref="P79:Q79" si="387">IFERROR(L79/N79,"-")</f>
        <v>27.96666667</v>
      </c>
      <c r="Q79" s="51">
        <f t="shared" si="387"/>
        <v>14.07482993</v>
      </c>
      <c r="R79" s="9">
        <f>IFERROR(__xludf.DUMMYFUNCTION("IFERROR(
  VLOOKUP(
    A79,
    IMPORTRANGE(
      ""1ZHMy3vVUd_0MrSduXTe1etBb1HNpAlGwQr006ljwMiM"",
      ""GSC最新!A:R""
    ),
    8,
    FALSE
  ),
  0
)
"),0.0029797377830750892)</f>
        <v>0.002979737783</v>
      </c>
      <c r="S79" s="9">
        <f>IFERROR(__xludf.DUMMYFUNCTION("IFERROR(
  VLOOKUP(
    A79,
    IMPORTRANGE(
      ""1ZHMy3vVUd_0MrSduXTe1etBb1HNpAlGwQr006ljwMiM"",
      ""GSC最新!A:R""
    ),
    11,
    FALSE
  ),
  0
)
"),0.0033832769453842437)</f>
        <v>0.003383276945</v>
      </c>
      <c r="T79" s="9">
        <f>IFERROR(__xludf.DUMMYFUNCTION("IFERROR(
  VLOOKUP(
    A79,
    IMPORTRANGE(
      ""1ZHMy3vVUd_0MrSduXTe1etBb1HNpAlGwQr006ljwMiM"",
      ""GSC最新!A:R""
    ),
    14,
    FALSE
  ),
  0
)
"),0.05)</f>
        <v>0.05</v>
      </c>
      <c r="U79" s="9">
        <f>IFERROR(__xludf.DUMMYFUNCTION("IFERROR(
  VLOOKUP(
    A79,
    IMPORTRANGE(
      ""1ZHMy3vVUd_0MrSduXTe1etBb1HNpAlGwQr006ljwMiM"",
      ""GSC最新!A:R""
    ),
    17,
    FALSE
  ),
  0
)
"),0.027210884353741496)</f>
        <v>0.02721088435</v>
      </c>
      <c r="V79" s="9">
        <f t="shared" ref="V79:W79" si="388">IFERROR(R79-T79,"-")</f>
        <v>-0.04702026222</v>
      </c>
      <c r="W79" s="9">
        <f t="shared" si="388"/>
        <v>-0.02382760741</v>
      </c>
      <c r="X79" s="65">
        <f>IFERROR(__xludf.DUMMYFUNCTION("IFERROR(
  VLOOKUP(
    A79,
    IMPORTRANGE(
      ""1ZHMy3vVUd_0MrSduXTe1etBb1HNpAlGwQr006ljwMiM"",
      ""GSC最新!A:R""
    ),
    9,
    FALSE
  ),
  0
)
"),5.527413587604291)</f>
        <v>5.527413588</v>
      </c>
      <c r="Y79" s="65">
        <f>IFERROR(__xludf.DUMMYFUNCTION("IFERROR(
  VLOOKUP(
    A79,
    IMPORTRANGE(
      ""1ZHMy3vVUd_0MrSduXTe1etBb1HNpAlGwQr006ljwMiM"",
      ""GSC最新!A:R""
    ),
    12,
    FALSE
  ),
  0
)
"),5.991300144997584)</f>
        <v>5.991300145</v>
      </c>
      <c r="Z79" s="65">
        <f>IFERROR(__xludf.DUMMYFUNCTION("IFERROR(
  VLOOKUP(
    A79,
    IMPORTRANGE(
      ""1ZHMy3vVUd_0MrSduXTe1etBb1HNpAlGwQr006ljwMiM"",
      ""GSC最新!A:R""
    ),
    15,
    FALSE
  ),
  0
)
"),13.766666666666667)</f>
        <v>13.76666667</v>
      </c>
      <c r="AA79" s="65">
        <f>IFERROR(__xludf.DUMMYFUNCTION("IFERROR(
  VLOOKUP(
    A79,
    IMPORTRANGE(
      ""1ZHMy3vVUd_0MrSduXTe1etBb1HNpAlGwQr006ljwMiM"",
      ""GSC最新!A:R""
    ),
    18,
    FALSE
  ),
  0
)
"),17.108843537414966)</f>
        <v>17.10884354</v>
      </c>
      <c r="AB79" s="65">
        <f t="shared" ref="AB79:AC79" si="389">X79-Z79</f>
        <v>-8.239253079</v>
      </c>
      <c r="AC79" s="65">
        <f t="shared" si="389"/>
        <v>-11.11754339</v>
      </c>
      <c r="AD79" s="53">
        <f>IFERROR(__xludf.DUMMYFUNCTION("IFERROR(
  VLOOKUP(
    A79,
    IMPORTRANGE(
      ""1ZHMy3vVUd_0MrSduXTe1etBb1HNpAlGwQr006ljwMiM"",
      ""GSC最新!A:F""
    ),
    6,
    FALSE
  ),
  0
)
"),46081.0)</f>
        <v>46081</v>
      </c>
      <c r="AE79" s="54">
        <f>IFERROR(__xludf.DUMMYFUNCTION("IFERROR(
  VLOOKUP(
    A79,
    IMPORTRANGE(
      ""1SCYQd7_cobOYqT0r_F0IqD4tE4rYn5y8Eup4PJTH8es"",
      ""Snapshot!A:M""
    ),
    5,
    FALSE
  ),
  ""-""
)
"),2.0)</f>
        <v>2</v>
      </c>
      <c r="AF79" s="54">
        <f>IFERROR(__xludf.DUMMYFUNCTION("IFERROR(
  VLOOKUP(
    A79,
    IMPORTRANGE(
      ""1SCYQd7_cobOYqT0r_F0IqD4tE4rYn5y8Eup4PJTH8es"",
      ""Snapshot!A:M""
    ),
    6,
    FALSE
  ),
  0
)
"),0.0)</f>
        <v>0</v>
      </c>
      <c r="AG79" s="54">
        <f>IFERROR(__xludf.DUMMYFUNCTION("IFERROR(
  VLOOKUP(
    A79,
    IMPORTRANGE(
      ""1SCYQd7_cobOYqT0r_F0IqD4tE4rYn5y8Eup4PJTH8es"",
      ""Snapshot!A:M""
    ),
    7,
    FALSE
  ),
  0
)
"),6745.0)</f>
        <v>6745</v>
      </c>
      <c r="AH79" s="54">
        <f>IFERROR(__xludf.DUMMYFUNCTION("IFERROR(
  VLOOKUP(
    A79,
    IMPORTRANGE(
      ""1SCYQd7_cobOYqT0r_F0IqD4tE4rYn5y8Eup4PJTH8es"",
      ""Snapshot!A:M""
    ),
    8,
    FALSE
  ),
  0
)
"),2.0)</f>
        <v>2</v>
      </c>
      <c r="AI79" s="54">
        <f>IFERROR(__xludf.DUMMYFUNCTION("IFERROR(
  VLOOKUP(
    A79,
    IMPORTRANGE(
      ""1SCYQd7_cobOYqT0r_F0IqD4tE4rYn5y8Eup4PJTH8es"",
      ""Snapshot!A:M""
    ),
    9,
    FALSE
  ),
  0
)
"),1.0)</f>
        <v>1</v>
      </c>
      <c r="AJ79" s="54">
        <f>IFERROR(__xludf.DUMMYFUNCTION("IFERROR(
  VLOOKUP(
    A79,
    IMPORTRANGE(
      ""1SCYQd7_cobOYqT0r_F0IqD4tE4rYn5y8Eup4PJTH8es"",
      ""Snapshot!A:M""
    ),
    13,
    FALSE
  ),
  0
)
"),1.0)</f>
        <v>1</v>
      </c>
      <c r="AK79" s="49">
        <f t="shared" ref="AK79:AL79" si="390">LEN(C79)</f>
        <v>26</v>
      </c>
      <c r="AL79" s="49">
        <f t="shared" si="390"/>
        <v>71</v>
      </c>
    </row>
    <row r="80">
      <c r="A80" s="3" t="s">
        <v>1022</v>
      </c>
      <c r="B80" s="1" t="str">
        <f>IFERROR(__xludf.DUMMYFUNCTION("IFERROR(
  VLOOKUP(
    A80,
    IMPORTRANGE(
      ""1ZygntHC1J6IxzKbTidmOyf5nUyW4GCLurHCjexrLm_o"",
      ""HTMLキャッシュ!A:F""
    ),
    2,
    FALSE
  ),
  0
)
"),"MC")</f>
        <v>MC</v>
      </c>
      <c r="C80" s="1" t="str">
        <f>IFERROR(__xludf.DUMMYFUNCTION("IFERROR(
  VLOOKUP(
    A80,
    IMPORTRANGE(
      ""1ZygntHC1J6IxzKbTidmOyf5nUyW4GCLurHCjexrLm_o"",
      ""HTMLキャッシュ!A:F""
    ),
    5,
    FALSE
  ),
  0
)
"),"相関接続詞｜either/neither・So/Neither｜高校英語")</f>
        <v>相関接続詞｜either/neither・So/Neither｜高校英語</v>
      </c>
      <c r="D80" s="1" t="str">
        <f>IFERROR(__xludf.DUMMYFUNCTION("IFERROR(
  VLOOKUP(
    A80,
    IMPORTRANGE(
      ""1ZygntHC1J6IxzKbTidmOyf5nUyW4GCLurHCjexrLm_o        "",
      ""HTMLキャッシュ!A:F""
    ),
    6,
    FALSE
  ),
  0
)
"),"相関接続詞を例文で整理。either or・neither nor・both、So do I・Neither do I の語順と動詞の選び方を高校英語向けに確認。")</f>
        <v>相関接続詞を例文で整理。either or・neither nor・both、So do I・Neither do I の語順と動詞の選び方を高校英語向けに確認。</v>
      </c>
      <c r="E80" s="32">
        <f>IFERROR(__xludf.DUMMYFUNCTION("IFERROR(
  VLOOKUP(
    A80,
    IMPORTRANGE(
      ""1ZygntHC1J6IxzKbTidmOyf5nUyW4GCLurHCjexrLm_o        "",
      ""HTMLキャッシュ!A:F""
    ),
    3,
    FALSE
  ),
  0
)
"),46078.75046296296)</f>
        <v>46078.75046</v>
      </c>
      <c r="F80" s="49">
        <f>IFERROR(__xludf.DUMMYFUNCTION("IFERROR(
  VLOOKUP(
    A80,
    IMPORTRANGE(
      ""1ZHMy3vVUd_0MrSduXTe1etBb1HNpAlGwQr006ljwMiM"",
      ""GSC最新!A:F""
    ),
    2,
    FALSE
  ),
  0
)
"),2.0)</f>
        <v>2</v>
      </c>
      <c r="G80" s="49">
        <f>IFERROR(__xludf.DUMMYFUNCTION("IFERROR(
  VLOOKUP(
    A80,
    IMPORTRANGE(
      ""1ZHMy3vVUd_0MrSduXTe1etBb1HNpAlGwQr006ljwMiM"",
      ""GSC最新!A:F""
    ),
    3,
    FALSE
  ),
  0
)
"),7.0)</f>
        <v>7</v>
      </c>
      <c r="H80" s="49">
        <f>IFERROR(__xludf.DUMMYFUNCTION("IFERROR(
  VLOOKUP(
    A80,
    IMPORTRANGE(
      ""1ZHMy3vVUd_0MrSduXTe1etBb1HNpAlGwQr006ljwMiM"",
      ""GSC最新!A:F""
    ),
    4,
    FALSE
  ),
  0
)
"),3.0)</f>
        <v>3</v>
      </c>
      <c r="I80" s="49">
        <f>IFERROR(__xludf.DUMMYFUNCTION("IFERROR(
  VLOOKUP(
    A80,
    IMPORTRANGE(
      ""1ZHMy3vVUd_0MrSduXTe1etBb1HNpAlGwQr006ljwMiM"",
      ""GSC最新!A:F""
    ),
    5,
    FALSE
  ),
  0
)
"),12.0)</f>
        <v>12</v>
      </c>
      <c r="J80" s="50">
        <f t="shared" ref="J80:K80" si="391">IFERROR(F80/H80,"-")</f>
        <v>0.6666666667</v>
      </c>
      <c r="K80" s="50">
        <f t="shared" si="391"/>
        <v>0.5833333333</v>
      </c>
      <c r="L80" s="6">
        <f>IFERROR(__xludf.DUMMYFUNCTION("IFERROR(
  VLOOKUP(
    A80,
    IMPORTRANGE(
      ""1ZHMy3vVUd_0MrSduXTe1etBb1HNpAlGwQr006ljwMiM"",
      ""GSC最新!A:R""
    ),
    7,
    FALSE
  ),
  0
)
"),846.0)</f>
        <v>846</v>
      </c>
      <c r="M80" s="6">
        <f>IFERROR(__xludf.DUMMYFUNCTION("IFERROR(
  VLOOKUP(
    A80,
    IMPORTRANGE(
      ""1ZHMy3vVUd_0MrSduXTe1etBb1HNpAlGwQr006ljwMiM"",
      ""GSC最新!A:R""
    ),
    10,
    FALSE
  ),
  0
)
"),1204.0)</f>
        <v>1204</v>
      </c>
      <c r="N80" s="6">
        <f>IFERROR(__xludf.DUMMYFUNCTION("IFERROR(
  VLOOKUP(
    A80,
    IMPORTRANGE(
      ""1ZHMy3vVUd_0MrSduXTe1etBb1HNpAlGwQr006ljwMiM"",
      ""GSC最新!A:R""
    ),
    13,
    FALSE
  ),
  0
)
"),39.0)</f>
        <v>39</v>
      </c>
      <c r="O80" s="6">
        <f>IFERROR(__xludf.DUMMYFUNCTION("IFERROR(
  VLOOKUP(
    A80,
    IMPORTRANGE(
      ""1ZHMy3vVUd_0MrSduXTe1etBb1HNpAlGwQr006ljwMiM"",
      ""GSC最新!A:R""
    ),
    16,
    FALSE
  ),
  0
)
"),143.0)</f>
        <v>143</v>
      </c>
      <c r="P80" s="51">
        <f t="shared" ref="P80:Q80" si="392">IFERROR(L80/N80,"-")</f>
        <v>21.69230769</v>
      </c>
      <c r="Q80" s="51">
        <f t="shared" si="392"/>
        <v>8.41958042</v>
      </c>
      <c r="R80" s="9">
        <f>IFERROR(__xludf.DUMMYFUNCTION("IFERROR(
  VLOOKUP(
    A80,
    IMPORTRANGE(
      ""1ZHMy3vVUd_0MrSduXTe1etBb1HNpAlGwQr006ljwMiM"",
      ""GSC最新!A:R""
    ),
    8,
    FALSE
  ),
  0
)
"),0.002364066193853428)</f>
        <v>0.002364066194</v>
      </c>
      <c r="S80" s="9">
        <f>IFERROR(__xludf.DUMMYFUNCTION("IFERROR(
  VLOOKUP(
    A80,
    IMPORTRANGE(
      ""1ZHMy3vVUd_0MrSduXTe1etBb1HNpAlGwQr006ljwMiM"",
      ""GSC最新!A:R""
    ),
    11,
    FALSE
  ),
  0
)
"),0.005813953488372093)</f>
        <v>0.005813953488</v>
      </c>
      <c r="T80" s="9">
        <f>IFERROR(__xludf.DUMMYFUNCTION("IFERROR(
  VLOOKUP(
    A80,
    IMPORTRANGE(
      ""1ZHMy3vVUd_0MrSduXTe1etBb1HNpAlGwQr006ljwMiM"",
      ""GSC最新!A:R""
    ),
    14,
    FALSE
  ),
  0
)
"),0.07692307692307693)</f>
        <v>0.07692307692</v>
      </c>
      <c r="U80" s="9">
        <f>IFERROR(__xludf.DUMMYFUNCTION("IFERROR(
  VLOOKUP(
    A80,
    IMPORTRANGE(
      ""1ZHMy3vVUd_0MrSduXTe1etBb1HNpAlGwQr006ljwMiM"",
      ""GSC最新!A:R""
    ),
    17,
    FALSE
  ),
  0
)
"),0.08391608391608392)</f>
        <v>0.08391608392</v>
      </c>
      <c r="V80" s="9">
        <f t="shared" ref="V80:W80" si="393">IFERROR(R80-T80,"-")</f>
        <v>-0.07455901073</v>
      </c>
      <c r="W80" s="9">
        <f t="shared" si="393"/>
        <v>-0.07810213043</v>
      </c>
      <c r="X80" s="65">
        <f>IFERROR(__xludf.DUMMYFUNCTION("IFERROR(
  VLOOKUP(
    A80,
    IMPORTRANGE(
      ""1ZHMy3vVUd_0MrSduXTe1etBb1HNpAlGwQr006ljwMiM"",
      ""GSC最新!A:R""
    ),
    9,
    FALSE
  ),
  0
)
"),2.445626477541371)</f>
        <v>2.445626478</v>
      </c>
      <c r="Y80" s="65">
        <f>IFERROR(__xludf.DUMMYFUNCTION("IFERROR(
  VLOOKUP(
    A80,
    IMPORTRANGE(
      ""1ZHMy3vVUd_0MrSduXTe1etBb1HNpAlGwQr006ljwMiM"",
      ""GSC最新!A:R""
    ),
    12,
    FALSE
  ),
  0
)
"),2.7325581395348837)</f>
        <v>2.73255814</v>
      </c>
      <c r="Z80" s="65">
        <f>IFERROR(__xludf.DUMMYFUNCTION("IFERROR(
  VLOOKUP(
    A80,
    IMPORTRANGE(
      ""1ZHMy3vVUd_0MrSduXTe1etBb1HNpAlGwQr006ljwMiM"",
      ""GSC最新!A:R""
    ),
    15,
    FALSE
  ),
  0
)
"),11.35897435897436)</f>
        <v>11.35897436</v>
      </c>
      <c r="AA80" s="65">
        <f>IFERROR(__xludf.DUMMYFUNCTION("IFERROR(
  VLOOKUP(
    A80,
    IMPORTRANGE(
      ""1ZHMy3vVUd_0MrSduXTe1etBb1HNpAlGwQr006ljwMiM"",
      ""GSC最新!A:R""
    ),
    18,
    FALSE
  ),
  0
)
"),13.79020979020979)</f>
        <v>13.79020979</v>
      </c>
      <c r="AB80" s="65">
        <f t="shared" ref="AB80:AC80" si="394">X80-Z80</f>
        <v>-8.913347881</v>
      </c>
      <c r="AC80" s="65">
        <f t="shared" si="394"/>
        <v>-11.05765165</v>
      </c>
      <c r="AD80" s="53">
        <f>IFERROR(__xludf.DUMMYFUNCTION("IFERROR(
  VLOOKUP(
    A80,
    IMPORTRANGE(
      ""1ZHMy3vVUd_0MrSduXTe1etBb1HNpAlGwQr006ljwMiM"",
      ""GSC最新!A:F""
    ),
    6,
    FALSE
  ),
  0
)
"),46081.0)</f>
        <v>46081</v>
      </c>
      <c r="AE80" s="54">
        <f>IFERROR(__xludf.DUMMYFUNCTION("IFERROR(
  VLOOKUP(
    A80,
    IMPORTRANGE(
      ""1SCYQd7_cobOYqT0r_F0IqD4tE4rYn5y8Eup4PJTH8es"",
      ""Snapshot!A:M""
    ),
    5,
    FALSE
  ),
  ""-""
)
"),1.0)</f>
        <v>1</v>
      </c>
      <c r="AF80" s="54">
        <f>IFERROR(__xludf.DUMMYFUNCTION("IFERROR(
  VLOOKUP(
    A80,
    IMPORTRANGE(
      ""1SCYQd7_cobOYqT0r_F0IqD4tE4rYn5y8Eup4PJTH8es"",
      ""Snapshot!A:M""
    ),
    6,
    FALSE
  ),
  0
)
"),10.0)</f>
        <v>10</v>
      </c>
      <c r="AG80" s="54">
        <f>IFERROR(__xludf.DUMMYFUNCTION("IFERROR(
  VLOOKUP(
    A80,
    IMPORTRANGE(
      ""1SCYQd7_cobOYqT0r_F0IqD4tE4rYn5y8Eup4PJTH8es"",
      ""Snapshot!A:M""
    ),
    7,
    FALSE
  ),
  0
)
"),2991.0)</f>
        <v>2991</v>
      </c>
      <c r="AH80" s="54">
        <f>IFERROR(__xludf.DUMMYFUNCTION("IFERROR(
  VLOOKUP(
    A80,
    IMPORTRANGE(
      ""1SCYQd7_cobOYqT0r_F0IqD4tE4rYn5y8Eup4PJTH8es"",
      ""Snapshot!A:M""
    ),
    8,
    FALSE
  ),
  0
)
"),2.0)</f>
        <v>2</v>
      </c>
      <c r="AI80" s="54">
        <f>IFERROR(__xludf.DUMMYFUNCTION("IFERROR(
  VLOOKUP(
    A80,
    IMPORTRANGE(
      ""1SCYQd7_cobOYqT0r_F0IqD4tE4rYn5y8Eup4PJTH8es"",
      ""Snapshot!A:M""
    ),
    9,
    FALSE
  ),
  0
)
"),1.0)</f>
        <v>1</v>
      </c>
      <c r="AJ80" s="54">
        <f>IFERROR(__xludf.DUMMYFUNCTION("IFERROR(
  VLOOKUP(
    A80,
    IMPORTRANGE(
      ""1SCYQd7_cobOYqT0r_F0IqD4tE4rYn5y8Eup4PJTH8es"",
      ""Snapshot!A:M""
    ),
    13,
    FALSE
  ),
  0
)
"),1.0)</f>
        <v>1</v>
      </c>
      <c r="AK80" s="49">
        <f t="shared" ref="AK80:AL80" si="395">LEN(C80)</f>
        <v>36</v>
      </c>
      <c r="AL80" s="49">
        <f t="shared" si="395"/>
        <v>81</v>
      </c>
    </row>
    <row r="81">
      <c r="A81" s="3" t="s">
        <v>1023</v>
      </c>
      <c r="B81" s="1" t="str">
        <f>IFERROR(__xludf.DUMMYFUNCTION("IFERROR(
  VLOOKUP(
    A81,
    IMPORTRANGE(
      ""1ZygntHC1J6IxzKbTidmOyf5nUyW4GCLurHCjexrLm_o"",
      ""HTMLキャッシュ!A:F""
    ),
    2,
    FALSE
  ),
  0
)
"),"MC")</f>
        <v>MC</v>
      </c>
      <c r="C81" s="1" t="str">
        <f>IFERROR(__xludf.DUMMYFUNCTION("IFERROR(
  VLOOKUP(
    A81,
    IMPORTRANGE(
      ""1ZygntHC1J6IxzKbTidmOyf5nUyW4GCLurHCjexrLm_o"",
      ""HTMLキャッシュ!A:F""
    ),
    5,
    FALSE
  ),
  0
)
"),"be動詞の疑問文Is that｜答え方itと短縮｜中1")</f>
        <v>be動詞の疑問文Is that｜答え方itと短縮｜中1</v>
      </c>
      <c r="D81" s="1" t="str">
        <f>IFERROR(__xludf.DUMMYFUNCTION("IFERROR(
  VLOOKUP(
    A81,
    IMPORTRANGE(
      ""1ZygntHC1J6IxzKbTidmOyf5nUyW4GCLurHCjexrLm_o        "",
      ""HTMLキャッシュ!A:F""
    ),
    6,
    FALSE
  ),
  0
)
"),"あれはレストランですかをbe動詞で作るIs that～を整理。答えはitに替えてNo, it isn’t。That’s/That isn’tの短縮と空欄補充の落とし穴も確認。")</f>
        <v>あれはレストランですかをbe動詞で作るIs that～を整理。答えはitに替えてNo, it isn’t。That’s/That isn’tの短縮と空欄補充の落とし穴も確認。</v>
      </c>
      <c r="E81" s="32">
        <f>IFERROR(__xludf.DUMMYFUNCTION("IFERROR(
  VLOOKUP(
    A81,
    IMPORTRANGE(
      ""1ZygntHC1J6IxzKbTidmOyf5nUyW4GCLurHCjexrLm_o        "",
      ""HTMLキャッシュ!A:F""
    ),
    3,
    FALSE
  ),
  0
)
"),46081.597349537034)</f>
        <v>46081.59735</v>
      </c>
      <c r="F81" s="49">
        <f>IFERROR(__xludf.DUMMYFUNCTION("IFERROR(
  VLOOKUP(
    A81,
    IMPORTRANGE(
      ""1ZHMy3vVUd_0MrSduXTe1etBb1HNpAlGwQr006ljwMiM"",
      ""GSC最新!A:F""
    ),
    2,
    FALSE
  ),
  0
)
"),3.0)</f>
        <v>3</v>
      </c>
      <c r="G81" s="49">
        <f>IFERROR(__xludf.DUMMYFUNCTION("IFERROR(
  VLOOKUP(
    A81,
    IMPORTRANGE(
      ""1ZHMy3vVUd_0MrSduXTe1etBb1HNpAlGwQr006ljwMiM"",
      ""GSC最新!A:F""
    ),
    3,
    FALSE
  ),
  0
)
"),6.0)</f>
        <v>6</v>
      </c>
      <c r="H81" s="49">
        <f>IFERROR(__xludf.DUMMYFUNCTION("IFERROR(
  VLOOKUP(
    A81,
    IMPORTRANGE(
      ""1ZHMy3vVUd_0MrSduXTe1etBb1HNpAlGwQr006ljwMiM"",
      ""GSC最新!A:F""
    ),
    4,
    FALSE
  ),
  0
)
"),2.0)</f>
        <v>2</v>
      </c>
      <c r="I81" s="49">
        <f>IFERROR(__xludf.DUMMYFUNCTION("IFERROR(
  VLOOKUP(
    A81,
    IMPORTRANGE(
      ""1ZHMy3vVUd_0MrSduXTe1etBb1HNpAlGwQr006ljwMiM"",
      ""GSC最新!A:F""
    ),
    5,
    FALSE
  ),
  0
)
"),5.0)</f>
        <v>5</v>
      </c>
      <c r="J81" s="50">
        <f t="shared" ref="J81:K81" si="396">IFERROR(F81/H81,"-")</f>
        <v>1.5</v>
      </c>
      <c r="K81" s="50">
        <f t="shared" si="396"/>
        <v>1.2</v>
      </c>
      <c r="L81" s="6">
        <f>IFERROR(__xludf.DUMMYFUNCTION("IFERROR(
  VLOOKUP(
    A81,
    IMPORTRANGE(
      ""1ZHMy3vVUd_0MrSduXTe1etBb1HNpAlGwQr006ljwMiM"",
      ""GSC最新!A:R""
    ),
    7,
    FALSE
  ),
  0
)
"),1976.0)</f>
        <v>1976</v>
      </c>
      <c r="M81" s="6">
        <f>IFERROR(__xludf.DUMMYFUNCTION("IFERROR(
  VLOOKUP(
    A81,
    IMPORTRANGE(
      ""1ZHMy3vVUd_0MrSduXTe1etBb1HNpAlGwQr006ljwMiM"",
      ""GSC最新!A:R""
    ),
    10,
    FALSE
  ),
  0
)
"),3630.0)</f>
        <v>3630</v>
      </c>
      <c r="N81" s="6">
        <f>IFERROR(__xludf.DUMMYFUNCTION("IFERROR(
  VLOOKUP(
    A81,
    IMPORTRANGE(
      ""1ZHMy3vVUd_0MrSduXTe1etBb1HNpAlGwQr006ljwMiM"",
      ""GSC最新!A:R""
    ),
    13,
    FALSE
  ),
  0
)
"),72.0)</f>
        <v>72</v>
      </c>
      <c r="O81" s="6">
        <f>IFERROR(__xludf.DUMMYFUNCTION("IFERROR(
  VLOOKUP(
    A81,
    IMPORTRANGE(
      ""1ZHMy3vVUd_0MrSduXTe1etBb1HNpAlGwQr006ljwMiM"",
      ""GSC最新!A:R""
    ),
    16,
    FALSE
  ),
  0
)
"),218.0)</f>
        <v>218</v>
      </c>
      <c r="P81" s="51">
        <f t="shared" ref="P81:Q81" si="397">IFERROR(L81/N81,"-")</f>
        <v>27.44444444</v>
      </c>
      <c r="Q81" s="51">
        <f t="shared" si="397"/>
        <v>16.65137615</v>
      </c>
      <c r="R81" s="9">
        <f>IFERROR(__xludf.DUMMYFUNCTION("IFERROR(
  VLOOKUP(
    A81,
    IMPORTRANGE(
      ""1ZHMy3vVUd_0MrSduXTe1etBb1HNpAlGwQr006ljwMiM"",
      ""GSC最新!A:R""
    ),
    8,
    FALSE
  ),
  0
)
"),0.0015182186234817814)</f>
        <v>0.001518218623</v>
      </c>
      <c r="S81" s="9">
        <f>IFERROR(__xludf.DUMMYFUNCTION("IFERROR(
  VLOOKUP(
    A81,
    IMPORTRANGE(
      ""1ZHMy3vVUd_0MrSduXTe1etBb1HNpAlGwQr006ljwMiM"",
      ""GSC最新!A:R""
    ),
    11,
    FALSE
  ),
  0
)
"),0.001652892561983471)</f>
        <v>0.001652892562</v>
      </c>
      <c r="T81" s="9">
        <f>IFERROR(__xludf.DUMMYFUNCTION("IFERROR(
  VLOOKUP(
    A81,
    IMPORTRANGE(
      ""1ZHMy3vVUd_0MrSduXTe1etBb1HNpAlGwQr006ljwMiM"",
      ""GSC最新!A:R""
    ),
    14,
    FALSE
  ),
  0
)
"),0.027777777777777776)</f>
        <v>0.02777777778</v>
      </c>
      <c r="U81" s="9">
        <f>IFERROR(__xludf.DUMMYFUNCTION("IFERROR(
  VLOOKUP(
    A81,
    IMPORTRANGE(
      ""1ZHMy3vVUd_0MrSduXTe1etBb1HNpAlGwQr006ljwMiM"",
      ""GSC最新!A:R""
    ),
    17,
    FALSE
  ),
  0
)
"),0.022935779816513763)</f>
        <v>0.02293577982</v>
      </c>
      <c r="V81" s="9">
        <f t="shared" ref="V81:W81" si="398">IFERROR(R81-T81,"-")</f>
        <v>-0.02625955915</v>
      </c>
      <c r="W81" s="9">
        <f t="shared" si="398"/>
        <v>-0.02128288725</v>
      </c>
      <c r="X81" s="65">
        <f>IFERROR(__xludf.DUMMYFUNCTION("IFERROR(
  VLOOKUP(
    A81,
    IMPORTRANGE(
      ""1ZHMy3vVUd_0MrSduXTe1etBb1HNpAlGwQr006ljwMiM"",
      ""GSC最新!A:R""
    ),
    9,
    FALSE
  ),
  0
)
"),2.840587044534413)</f>
        <v>2.840587045</v>
      </c>
      <c r="Y81" s="65">
        <f>IFERROR(__xludf.DUMMYFUNCTION("IFERROR(
  VLOOKUP(
    A81,
    IMPORTRANGE(
      ""1ZHMy3vVUd_0MrSduXTe1etBb1HNpAlGwQr006ljwMiM"",
      ""GSC最新!A:R""
    ),
    12,
    FALSE
  ),
  0
)
"),3.1986225895316807)</f>
        <v>3.19862259</v>
      </c>
      <c r="Z81" s="65">
        <f>IFERROR(__xludf.DUMMYFUNCTION("IFERROR(
  VLOOKUP(
    A81,
    IMPORTRANGE(
      ""1ZHMy3vVUd_0MrSduXTe1etBb1HNpAlGwQr006ljwMiM"",
      ""GSC最新!A:R""
    ),
    15,
    FALSE
  ),
  0
)
"),12.694444444444445)</f>
        <v>12.69444444</v>
      </c>
      <c r="AA81" s="65">
        <f>IFERROR(__xludf.DUMMYFUNCTION("IFERROR(
  VLOOKUP(
    A81,
    IMPORTRANGE(
      ""1ZHMy3vVUd_0MrSduXTe1etBb1HNpAlGwQr006ljwMiM"",
      ""GSC最新!A:R""
    ),
    18,
    FALSE
  ),
  0
)
"),13.811926605504587)</f>
        <v>13.81192661</v>
      </c>
      <c r="AB81" s="65">
        <f t="shared" ref="AB81:AC81" si="399">X81-Z81</f>
        <v>-9.8538574</v>
      </c>
      <c r="AC81" s="65">
        <f t="shared" si="399"/>
        <v>-10.61330402</v>
      </c>
      <c r="AD81" s="53">
        <f>IFERROR(__xludf.DUMMYFUNCTION("IFERROR(
  VLOOKUP(
    A81,
    IMPORTRANGE(
      ""1ZHMy3vVUd_0MrSduXTe1etBb1HNpAlGwQr006ljwMiM"",
      ""GSC最新!A:F""
    ),
    6,
    FALSE
  ),
  0
)
"),46081.0)</f>
        <v>46081</v>
      </c>
      <c r="AE81" s="54">
        <f>IFERROR(__xludf.DUMMYFUNCTION("IFERROR(
  VLOOKUP(
    A81,
    IMPORTRANGE(
      ""1SCYQd7_cobOYqT0r_F0IqD4tE4rYn5y8Eup4PJTH8es"",
      ""Snapshot!A:M""
    ),
    5,
    FALSE
  ),
  ""-""
)
"),0.0)</f>
        <v>0</v>
      </c>
      <c r="AF81" s="54">
        <f>IFERROR(__xludf.DUMMYFUNCTION("IFERROR(
  VLOOKUP(
    A81,
    IMPORTRANGE(
      ""1SCYQd7_cobOYqT0r_F0IqD4tE4rYn5y8Eup4PJTH8es"",
      ""Snapshot!A:M""
    ),
    6,
    FALSE
  ),
  0
)
"),0.0)</f>
        <v>0</v>
      </c>
      <c r="AG81" s="54">
        <f>IFERROR(__xludf.DUMMYFUNCTION("IFERROR(
  VLOOKUP(
    A81,
    IMPORTRANGE(
      ""1SCYQd7_cobOYqT0r_F0IqD4tE4rYn5y8Eup4PJTH8es"",
      ""Snapshot!A:M""
    ),
    7,
    FALSE
  ),
  0
)
"),6195.0)</f>
        <v>6195</v>
      </c>
      <c r="AH81" s="54">
        <f>IFERROR(__xludf.DUMMYFUNCTION("IFERROR(
  VLOOKUP(
    A81,
    IMPORTRANGE(
      ""1SCYQd7_cobOYqT0r_F0IqD4tE4rYn5y8Eup4PJTH8es"",
      ""Snapshot!A:M""
    ),
    8,
    FALSE
  ),
  0
)
"),2.0)</f>
        <v>2</v>
      </c>
      <c r="AI81" s="54">
        <f>IFERROR(__xludf.DUMMYFUNCTION("IFERROR(
  VLOOKUP(
    A81,
    IMPORTRANGE(
      ""1SCYQd7_cobOYqT0r_F0IqD4tE4rYn5y8Eup4PJTH8es"",
      ""Snapshot!A:M""
    ),
    9,
    FALSE
  ),
  0
)
"),1.0)</f>
        <v>1</v>
      </c>
      <c r="AJ81" s="54">
        <f>IFERROR(__xludf.DUMMYFUNCTION("IFERROR(
  VLOOKUP(
    A81,
    IMPORTRANGE(
      ""1SCYQd7_cobOYqT0r_F0IqD4tE4rYn5y8Eup4PJTH8es"",
      ""Snapshot!A:M""
    ),
    13,
    FALSE
  ),
  0
)
"),1.0)</f>
        <v>1</v>
      </c>
      <c r="AK81" s="49">
        <f t="shared" ref="AK81:AL81" si="400">LEN(C81)</f>
        <v>27</v>
      </c>
      <c r="AL81" s="49">
        <f t="shared" si="400"/>
        <v>87</v>
      </c>
    </row>
    <row r="82">
      <c r="A82" s="3" t="s">
        <v>1024</v>
      </c>
      <c r="B82" s="1" t="str">
        <f>IFERROR(__xludf.DUMMYFUNCTION("IFERROR(
  VLOOKUP(
    A82,
    IMPORTRANGE(
      ""1ZygntHC1J6IxzKbTidmOyf5nUyW4GCLurHCjexrLm_o"",
      ""HTMLキャッシュ!A:F""
    ),
    2,
    FALSE
  ),
  0
)
"),"MC")</f>
        <v>MC</v>
      </c>
      <c r="C82" s="1" t="str">
        <f>IFERROR(__xludf.DUMMYFUNCTION("IFERROR(
  VLOOKUP(
    A82,
    IMPORTRANGE(
      ""1ZygntHC1J6IxzKbTidmOyf5nUyW4GCLurHCjexrLm_o"",
      ""HTMLキャッシュ!A:F""
    ),
    5,
    FALSE
  ),
  0
)
"),"Stage2 Lesson2-2 英語文法の意味と使い方徹底ガイド")</f>
        <v>Stage2 Lesson2-2 英語文法の意味と使い方徹底ガイド</v>
      </c>
      <c r="D82" s="1" t="str">
        <f>IFERROR(__xludf.DUMMYFUNCTION("IFERROR(
  VLOOKUP(
    A82,
    IMPORTRANGE(
      ""1ZygntHC1J6IxzKbTidmOyf5nUyW4GCLurHCjexrLm_o        "",
      ""HTMLキャッシュ!A:F""
    ),
    6,
    FALSE
  ),
  0
)
"),"接続詞thatは「〜と/〜ということ」。直後はS+Vで名詞節。訳は「ということ」を省くのが自然。")</f>
        <v>接続詞thatは「〜と/〜ということ」。直後はS+Vで名詞節。訳は「ということ」を省くのが自然。</v>
      </c>
      <c r="E82" s="32">
        <f>IFERROR(__xludf.DUMMYFUNCTION("IFERROR(
  VLOOKUP(
    A82,
    IMPORTRANGE(
      ""1ZygntHC1J6IxzKbTidmOyf5nUyW4GCLurHCjexrLm_o        "",
      ""HTMLキャッシュ!A:F""
    ),
    3,
    FALSE
  ),
  0
)
"),46073.63597222222)</f>
        <v>46073.63597</v>
      </c>
      <c r="F82" s="49">
        <f>IFERROR(__xludf.DUMMYFUNCTION("IFERROR(
  VLOOKUP(
    A82,
    IMPORTRANGE(
      ""1ZHMy3vVUd_0MrSduXTe1etBb1HNpAlGwQr006ljwMiM"",
      ""GSC最新!A:F""
    ),
    2,
    FALSE
  ),
  0
)
"),5.0)</f>
        <v>5</v>
      </c>
      <c r="G82" s="49">
        <f>IFERROR(__xludf.DUMMYFUNCTION("IFERROR(
  VLOOKUP(
    A82,
    IMPORTRANGE(
      ""1ZHMy3vVUd_0MrSduXTe1etBb1HNpAlGwQr006ljwMiM"",
      ""GSC最新!A:F""
    ),
    3,
    FALSE
  ),
  0
)
"),6.0)</f>
        <v>6</v>
      </c>
      <c r="H82" s="49">
        <f>IFERROR(__xludf.DUMMYFUNCTION("IFERROR(
  VLOOKUP(
    A82,
    IMPORTRANGE(
      ""1ZHMy3vVUd_0MrSduXTe1etBb1HNpAlGwQr006ljwMiM"",
      ""GSC最新!A:F""
    ),
    4,
    FALSE
  ),
  0
)
"),0.0)</f>
        <v>0</v>
      </c>
      <c r="I82" s="49">
        <f>IFERROR(__xludf.DUMMYFUNCTION("IFERROR(
  VLOOKUP(
    A82,
    IMPORTRANGE(
      ""1ZHMy3vVUd_0MrSduXTe1etBb1HNpAlGwQr006ljwMiM"",
      ""GSC最新!A:F""
    ),
    5,
    FALSE
  ),
  0
)
"),2.0)</f>
        <v>2</v>
      </c>
      <c r="J82" s="50" t="str">
        <f t="shared" ref="J82:K82" si="401">IFERROR(F82/H82,"-")</f>
        <v>-</v>
      </c>
      <c r="K82" s="50">
        <f t="shared" si="401"/>
        <v>3</v>
      </c>
      <c r="L82" s="6">
        <f>IFERROR(__xludf.DUMMYFUNCTION("IFERROR(
  VLOOKUP(
    A82,
    IMPORTRANGE(
      ""1ZHMy3vVUd_0MrSduXTe1etBb1HNpAlGwQr006ljwMiM"",
      ""GSC最新!A:R""
    ),
    7,
    FALSE
  ),
  0
)
"),1994.0)</f>
        <v>1994</v>
      </c>
      <c r="M82" s="6">
        <f>IFERROR(__xludf.DUMMYFUNCTION("IFERROR(
  VLOOKUP(
    A82,
    IMPORTRANGE(
      ""1ZHMy3vVUd_0MrSduXTe1etBb1HNpAlGwQr006ljwMiM"",
      ""GSC最新!A:R""
    ),
    10,
    FALSE
  ),
  0
)
"),3401.0)</f>
        <v>3401</v>
      </c>
      <c r="N82" s="6">
        <f>IFERROR(__xludf.DUMMYFUNCTION("IFERROR(
  VLOOKUP(
    A82,
    IMPORTRANGE(
      ""1ZHMy3vVUd_0MrSduXTe1etBb1HNpAlGwQr006ljwMiM"",
      ""GSC最新!A:R""
    ),
    13,
    FALSE
  ),
  0
)
"),44.0)</f>
        <v>44</v>
      </c>
      <c r="O82" s="6">
        <f>IFERROR(__xludf.DUMMYFUNCTION("IFERROR(
  VLOOKUP(
    A82,
    IMPORTRANGE(
      ""1ZHMy3vVUd_0MrSduXTe1etBb1HNpAlGwQr006ljwMiM"",
      ""GSC最新!A:R""
    ),
    16,
    FALSE
  ),
  0
)
"),166.0)</f>
        <v>166</v>
      </c>
      <c r="P82" s="51">
        <f t="shared" ref="P82:Q82" si="402">IFERROR(L82/N82,"-")</f>
        <v>45.31818182</v>
      </c>
      <c r="Q82" s="51">
        <f t="shared" si="402"/>
        <v>20.48795181</v>
      </c>
      <c r="R82" s="9">
        <f>IFERROR(__xludf.DUMMYFUNCTION("IFERROR(
  VLOOKUP(
    A82,
    IMPORTRANGE(
      ""1ZHMy3vVUd_0MrSduXTe1etBb1HNpAlGwQr006ljwMiM"",
      ""GSC最新!A:R""
    ),
    8,
    FALSE
  ),
  0
)
"),0.0025075225677031092)</f>
        <v>0.002507522568</v>
      </c>
      <c r="S82" s="9">
        <f>IFERROR(__xludf.DUMMYFUNCTION("IFERROR(
  VLOOKUP(
    A82,
    IMPORTRANGE(
      ""1ZHMy3vVUd_0MrSduXTe1etBb1HNpAlGwQr006ljwMiM"",
      ""GSC最新!A:R""
    ),
    11,
    FALSE
  ),
  0
)
"),0.0017641870038224052)</f>
        <v>0.001764187004</v>
      </c>
      <c r="T82" s="9">
        <f>IFERROR(__xludf.DUMMYFUNCTION("IFERROR(
  VLOOKUP(
    A82,
    IMPORTRANGE(
      ""1ZHMy3vVUd_0MrSduXTe1etBb1HNpAlGwQr006ljwMiM"",
      ""GSC最新!A:R""
    ),
    14,
    FALSE
  ),
  0
)
"),0.0)</f>
        <v>0</v>
      </c>
      <c r="U82" s="9">
        <f>IFERROR(__xludf.DUMMYFUNCTION("IFERROR(
  VLOOKUP(
    A82,
    IMPORTRANGE(
      ""1ZHMy3vVUd_0MrSduXTe1etBb1HNpAlGwQr006ljwMiM"",
      ""GSC最新!A:R""
    ),
    17,
    FALSE
  ),
  0
)
"),0.012048192771084338)</f>
        <v>0.01204819277</v>
      </c>
      <c r="V82" s="9">
        <f t="shared" ref="V82:W82" si="403">IFERROR(R82-T82,"-")</f>
        <v>0.002507522568</v>
      </c>
      <c r="W82" s="9">
        <f t="shared" si="403"/>
        <v>-0.01028400577</v>
      </c>
      <c r="X82" s="65">
        <f>IFERROR(__xludf.DUMMYFUNCTION("IFERROR(
  VLOOKUP(
    A82,
    IMPORTRANGE(
      ""1ZHMy3vVUd_0MrSduXTe1etBb1HNpAlGwQr006ljwMiM"",
      ""GSC最新!A:R""
    ),
    9,
    FALSE
  ),
  0
)
"),2.5767301905717153)</f>
        <v>2.576730191</v>
      </c>
      <c r="Y82" s="65">
        <f>IFERROR(__xludf.DUMMYFUNCTION("IFERROR(
  VLOOKUP(
    A82,
    IMPORTRANGE(
      ""1ZHMy3vVUd_0MrSduXTe1etBb1HNpAlGwQr006ljwMiM"",
      ""GSC最新!A:R""
    ),
    12,
    FALSE
  ),
  0
)
"),3.1576007056748017)</f>
        <v>3.157600706</v>
      </c>
      <c r="Z82" s="65">
        <f>IFERROR(__xludf.DUMMYFUNCTION("IFERROR(
  VLOOKUP(
    A82,
    IMPORTRANGE(
      ""1ZHMy3vVUd_0MrSduXTe1etBb1HNpAlGwQr006ljwMiM"",
      ""GSC最新!A:R""
    ),
    15,
    FALSE
  ),
  0
)
"),8.818181818181818)</f>
        <v>8.818181818</v>
      </c>
      <c r="AA82" s="65">
        <f>IFERROR(__xludf.DUMMYFUNCTION("IFERROR(
  VLOOKUP(
    A82,
    IMPORTRANGE(
      ""1ZHMy3vVUd_0MrSduXTe1etBb1HNpAlGwQr006ljwMiM"",
      ""GSC最新!A:R""
    ),
    18,
    FALSE
  ),
  0
)
"),15.397590361445783)</f>
        <v>15.39759036</v>
      </c>
      <c r="AB82" s="65">
        <f t="shared" ref="AB82:AC82" si="404">X82-Z82</f>
        <v>-6.241451628</v>
      </c>
      <c r="AC82" s="65">
        <f t="shared" si="404"/>
        <v>-12.23998966</v>
      </c>
      <c r="AD82" s="53">
        <f>IFERROR(__xludf.DUMMYFUNCTION("IFERROR(
  VLOOKUP(
    A82,
    IMPORTRANGE(
      ""1ZHMy3vVUd_0MrSduXTe1etBb1HNpAlGwQr006ljwMiM"",
      ""GSC最新!A:F""
    ),
    6,
    FALSE
  ),
  0
)
"),46081.0)</f>
        <v>46081</v>
      </c>
      <c r="AE82" s="54">
        <f>IFERROR(__xludf.DUMMYFUNCTION("IFERROR(
  VLOOKUP(
    A82,
    IMPORTRANGE(
      ""1SCYQd7_cobOYqT0r_F0IqD4tE4rYn5y8Eup4PJTH8es"",
      ""Snapshot!A:M""
    ),
    5,
    FALSE
  ),
  ""-""
)
"),2.0)</f>
        <v>2</v>
      </c>
      <c r="AF82" s="54">
        <f>IFERROR(__xludf.DUMMYFUNCTION("IFERROR(
  VLOOKUP(
    A82,
    IMPORTRANGE(
      ""1SCYQd7_cobOYqT0r_F0IqD4tE4rYn5y8Eup4PJTH8es"",
      ""Snapshot!A:M""
    ),
    6,
    FALSE
  ),
  0
)
"),0.0)</f>
        <v>0</v>
      </c>
      <c r="AG82" s="54">
        <f>IFERROR(__xludf.DUMMYFUNCTION("IFERROR(
  VLOOKUP(
    A82,
    IMPORTRANGE(
      ""1SCYQd7_cobOYqT0r_F0IqD4tE4rYn5y8Eup4PJTH8es"",
      ""Snapshot!A:M""
    ),
    7,
    FALSE
  ),
  0
)
"),4986.0)</f>
        <v>4986</v>
      </c>
      <c r="AH82" s="54">
        <f>IFERROR(__xludf.DUMMYFUNCTION("IFERROR(
  VLOOKUP(
    A82,
    IMPORTRANGE(
      ""1SCYQd7_cobOYqT0r_F0IqD4tE4rYn5y8Eup4PJTH8es"",
      ""Snapshot!A:M""
    ),
    8,
    FALSE
  ),
  0
)
"),2.0)</f>
        <v>2</v>
      </c>
      <c r="AI82" s="54">
        <f>IFERROR(__xludf.DUMMYFUNCTION("IFERROR(
  VLOOKUP(
    A82,
    IMPORTRANGE(
      ""1SCYQd7_cobOYqT0r_F0IqD4tE4rYn5y8Eup4PJTH8es"",
      ""Snapshot!A:M""
    ),
    9,
    FALSE
  ),
  0
)
"),1.0)</f>
        <v>1</v>
      </c>
      <c r="AJ82" s="54">
        <f>IFERROR(__xludf.DUMMYFUNCTION("IFERROR(
  VLOOKUP(
    A82,
    IMPORTRANGE(
      ""1SCYQd7_cobOYqT0r_F0IqD4tE4rYn5y8Eup4PJTH8es"",
      ""Snapshot!A:M""
    ),
    13,
    FALSE
  ),
  0
)
"),1.0)</f>
        <v>1</v>
      </c>
      <c r="AK82" s="49">
        <f t="shared" ref="AK82:AL82" si="405">LEN(C82)</f>
        <v>33</v>
      </c>
      <c r="AL82" s="49">
        <f t="shared" si="405"/>
        <v>48</v>
      </c>
    </row>
    <row r="83">
      <c r="A83" s="3" t="s">
        <v>1025</v>
      </c>
      <c r="B83" s="1" t="str">
        <f>IFERROR(__xludf.DUMMYFUNCTION("IFERROR(
  VLOOKUP(
    A83,
    IMPORTRANGE(
      ""1ZygntHC1J6IxzKbTidmOyf5nUyW4GCLurHCjexrLm_o"",
      ""HTMLキャッシュ!A:F""
    ),
    2,
    FALSE
  ),
  0
)
"),"MC")</f>
        <v>MC</v>
      </c>
      <c r="C83" s="1" t="str">
        <f>IFERROR(__xludf.DUMMYFUNCTION("IFERROR(
  VLOOKUP(
    A83,
    IMPORTRANGE(
      ""1ZygntHC1J6IxzKbTidmOyf5nUyW4GCLurHCjexrLm_o"",
      ""HTMLキャッシュ!A:F""
    ),
    5,
    FALSE
  ),
  0
)
"),"SVOO（第4文型）｜to/forの使い分け｜例文と代表動詞")</f>
        <v>SVOO（第4文型）｜to/forの使い分け｜例文と代表動詞</v>
      </c>
      <c r="D83" s="1" t="str">
        <f>IFERROR(__xludf.DUMMYFUNCTION("IFERROR(
  VLOOKUP(
    A83,
    IMPORTRANGE(
      ""1ZygntHC1J6IxzKbTidmOyf5nUyW4GCLurHCjexrLm_o        "",
      ""HTMLキャッシュ!A:F""
    ),
    6,
    FALSE
  ),
  0
)
"),"SVOO（第4文型）をO1=人／O2=物の基本から例文で整理。第3文型への言い換えとto/forの目安、代表動詞まで確認。最後に10問クイズ。")</f>
        <v>SVOO（第4文型）をO1=人／O2=物の基本から例文で整理。第3文型への言い換えとto/forの目安、代表動詞まで確認。最後に10問クイズ。</v>
      </c>
      <c r="E83" s="32">
        <f>IFERROR(__xludf.DUMMYFUNCTION("IFERROR(
  VLOOKUP(
    A83,
    IMPORTRANGE(
      ""1ZygntHC1J6IxzKbTidmOyf5nUyW4GCLurHCjexrLm_o        "",
      ""HTMLキャッシュ!A:F""
    ),
    3,
    FALSE
  ),
  0
)
"),46078.618252314816)</f>
        <v>46078.61825</v>
      </c>
      <c r="F83" s="49">
        <f>IFERROR(__xludf.DUMMYFUNCTION("IFERROR(
  VLOOKUP(
    A83,
    IMPORTRANGE(
      ""1ZHMy3vVUd_0MrSduXTe1etBb1HNpAlGwQr006ljwMiM"",
      ""GSC最新!A:F""
    ),
    2,
    FALSE
  ),
  0
)
"),1.0)</f>
        <v>1</v>
      </c>
      <c r="G83" s="49">
        <f>IFERROR(__xludf.DUMMYFUNCTION("IFERROR(
  VLOOKUP(
    A83,
    IMPORTRANGE(
      ""1ZHMy3vVUd_0MrSduXTe1etBb1HNpAlGwQr006ljwMiM"",
      ""GSC最新!A:F""
    ),
    3,
    FALSE
  ),
  0
)
"),6.0)</f>
        <v>6</v>
      </c>
      <c r="H83" s="49">
        <f>IFERROR(__xludf.DUMMYFUNCTION("IFERROR(
  VLOOKUP(
    A83,
    IMPORTRANGE(
      ""1ZHMy3vVUd_0MrSduXTe1etBb1HNpAlGwQr006ljwMiM"",
      ""GSC最新!A:F""
    ),
    4,
    FALSE
  ),
  0
)
"),1.0)</f>
        <v>1</v>
      </c>
      <c r="I83" s="49">
        <f>IFERROR(__xludf.DUMMYFUNCTION("IFERROR(
  VLOOKUP(
    A83,
    IMPORTRANGE(
      ""1ZHMy3vVUd_0MrSduXTe1etBb1HNpAlGwQr006ljwMiM"",
      ""GSC最新!A:F""
    ),
    5,
    FALSE
  ),
  0
)
"),2.0)</f>
        <v>2</v>
      </c>
      <c r="J83" s="50">
        <f t="shared" ref="J83:K83" si="406">IFERROR(F83/H83,"-")</f>
        <v>1</v>
      </c>
      <c r="K83" s="50">
        <f t="shared" si="406"/>
        <v>3</v>
      </c>
      <c r="L83" s="6">
        <f>IFERROR(__xludf.DUMMYFUNCTION("IFERROR(
  VLOOKUP(
    A83,
    IMPORTRANGE(
      ""1ZHMy3vVUd_0MrSduXTe1etBb1HNpAlGwQr006ljwMiM"",
      ""GSC最新!A:R""
    ),
    7,
    FALSE
  ),
  0
)
"),792.0)</f>
        <v>792</v>
      </c>
      <c r="M83" s="6">
        <f>IFERROR(__xludf.DUMMYFUNCTION("IFERROR(
  VLOOKUP(
    A83,
    IMPORTRANGE(
      ""1ZHMy3vVUd_0MrSduXTe1etBb1HNpAlGwQr006ljwMiM"",
      ""GSC最新!A:R""
    ),
    10,
    FALSE
  ),
  0
)
"),1385.0)</f>
        <v>1385</v>
      </c>
      <c r="N83" s="6">
        <f>IFERROR(__xludf.DUMMYFUNCTION("IFERROR(
  VLOOKUP(
    A83,
    IMPORTRANGE(
      ""1ZHMy3vVUd_0MrSduXTe1etBb1HNpAlGwQr006ljwMiM"",
      ""GSC最新!A:R""
    ),
    13,
    FALSE
  ),
  0
)
"),63.0)</f>
        <v>63</v>
      </c>
      <c r="O83" s="6">
        <f>IFERROR(__xludf.DUMMYFUNCTION("IFERROR(
  VLOOKUP(
    A83,
    IMPORTRANGE(
      ""1ZHMy3vVUd_0MrSduXTe1etBb1HNpAlGwQr006ljwMiM"",
      ""GSC最新!A:R""
    ),
    16,
    FALSE
  ),
  0
)
"),209.0)</f>
        <v>209</v>
      </c>
      <c r="P83" s="51">
        <f t="shared" ref="P83:Q83" si="407">IFERROR(L83/N83,"-")</f>
        <v>12.57142857</v>
      </c>
      <c r="Q83" s="51">
        <f t="shared" si="407"/>
        <v>6.626794258</v>
      </c>
      <c r="R83" s="9">
        <f>IFERROR(__xludf.DUMMYFUNCTION("IFERROR(
  VLOOKUP(
    A83,
    IMPORTRANGE(
      ""1ZHMy3vVUd_0MrSduXTe1etBb1HNpAlGwQr006ljwMiM"",
      ""GSC最新!A:R""
    ),
    8,
    FALSE
  ),
  0
)
"),0.0012626262626262627)</f>
        <v>0.001262626263</v>
      </c>
      <c r="S83" s="9">
        <f>IFERROR(__xludf.DUMMYFUNCTION("IFERROR(
  VLOOKUP(
    A83,
    IMPORTRANGE(
      ""1ZHMy3vVUd_0MrSduXTe1etBb1HNpAlGwQr006ljwMiM"",
      ""GSC最新!A:R""
    ),
    11,
    FALSE
  ),
  0
)
"),0.004332129963898917)</f>
        <v>0.004332129964</v>
      </c>
      <c r="T83" s="9">
        <f>IFERROR(__xludf.DUMMYFUNCTION("IFERROR(
  VLOOKUP(
    A83,
    IMPORTRANGE(
      ""1ZHMy3vVUd_0MrSduXTe1etBb1HNpAlGwQr006ljwMiM"",
      ""GSC最新!A:R""
    ),
    14,
    FALSE
  ),
  0
)
"),0.015873015873015872)</f>
        <v>0.01587301587</v>
      </c>
      <c r="U83" s="9">
        <f>IFERROR(__xludf.DUMMYFUNCTION("IFERROR(
  VLOOKUP(
    A83,
    IMPORTRANGE(
      ""1ZHMy3vVUd_0MrSduXTe1etBb1HNpAlGwQr006ljwMiM"",
      ""GSC最新!A:R""
    ),
    17,
    FALSE
  ),
  0
)
"),0.009569377990430622)</f>
        <v>0.00956937799</v>
      </c>
      <c r="V83" s="9">
        <f t="shared" ref="V83:W83" si="408">IFERROR(R83-T83,"-")</f>
        <v>-0.01461038961</v>
      </c>
      <c r="W83" s="9">
        <f t="shared" si="408"/>
        <v>-0.005237248027</v>
      </c>
      <c r="X83" s="65">
        <f>IFERROR(__xludf.DUMMYFUNCTION("IFERROR(
  VLOOKUP(
    A83,
    IMPORTRANGE(
      ""1ZHMy3vVUd_0MrSduXTe1etBb1HNpAlGwQr006ljwMiM"",
      ""GSC最新!A:R""
    ),
    9,
    FALSE
  ),
  0
)
"),3.9684343434343434)</f>
        <v>3.968434343</v>
      </c>
      <c r="Y83" s="65">
        <f>IFERROR(__xludf.DUMMYFUNCTION("IFERROR(
  VLOOKUP(
    A83,
    IMPORTRANGE(
      ""1ZHMy3vVUd_0MrSduXTe1etBb1HNpAlGwQr006ljwMiM"",
      ""GSC最新!A:R""
    ),
    12,
    FALSE
  ),
  0
)
"),4.126353790613718)</f>
        <v>4.126353791</v>
      </c>
      <c r="Z83" s="65">
        <f>IFERROR(__xludf.DUMMYFUNCTION("IFERROR(
  VLOOKUP(
    A83,
    IMPORTRANGE(
      ""1ZHMy3vVUd_0MrSduXTe1etBb1HNpAlGwQr006ljwMiM"",
      ""GSC最新!A:R""
    ),
    15,
    FALSE
  ),
  0
)
"),12.714285714285714)</f>
        <v>12.71428571</v>
      </c>
      <c r="AA83" s="65">
        <f>IFERROR(__xludf.DUMMYFUNCTION("IFERROR(
  VLOOKUP(
    A83,
    IMPORTRANGE(
      ""1ZHMy3vVUd_0MrSduXTe1etBb1HNpAlGwQr006ljwMiM"",
      ""GSC最新!A:R""
    ),
    18,
    FALSE
  ),
  0
)
"),26.61244019138756)</f>
        <v>26.61244019</v>
      </c>
      <c r="AB83" s="65">
        <f t="shared" ref="AB83:AC83" si="409">X83-Z83</f>
        <v>-8.745851371</v>
      </c>
      <c r="AC83" s="65">
        <f t="shared" si="409"/>
        <v>-22.4860864</v>
      </c>
      <c r="AD83" s="53">
        <f>IFERROR(__xludf.DUMMYFUNCTION("IFERROR(
  VLOOKUP(
    A83,
    IMPORTRANGE(
      ""1ZHMy3vVUd_0MrSduXTe1etBb1HNpAlGwQr006ljwMiM"",
      ""GSC最新!A:F""
    ),
    6,
    FALSE
  ),
  0
)
"),46081.0)</f>
        <v>46081</v>
      </c>
      <c r="AE83" s="54">
        <f>IFERROR(__xludf.DUMMYFUNCTION("IFERROR(
  VLOOKUP(
    A83,
    IMPORTRANGE(
      ""1SCYQd7_cobOYqT0r_F0IqD4tE4rYn5y8Eup4PJTH8es"",
      ""Snapshot!A:M""
    ),
    5,
    FALSE
  ),
  ""-""
)
"),2.0)</f>
        <v>2</v>
      </c>
      <c r="AF83" s="54">
        <f>IFERROR(__xludf.DUMMYFUNCTION("IFERROR(
  VLOOKUP(
    A83,
    IMPORTRANGE(
      ""1SCYQd7_cobOYqT0r_F0IqD4tE4rYn5y8Eup4PJTH8es"",
      ""Snapshot!A:M""
    ),
    6,
    FALSE
  ),
  0
)
"),0.0)</f>
        <v>0</v>
      </c>
      <c r="AG83" s="54">
        <f>IFERROR(__xludf.DUMMYFUNCTION("IFERROR(
  VLOOKUP(
    A83,
    IMPORTRANGE(
      ""1SCYQd7_cobOYqT0r_F0IqD4tE4rYn5y8Eup4PJTH8es"",
      ""Snapshot!A:M""
    ),
    7,
    FALSE
  ),
  0
)
"),4840.0)</f>
        <v>4840</v>
      </c>
      <c r="AH83" s="54">
        <f>IFERROR(__xludf.DUMMYFUNCTION("IFERROR(
  VLOOKUP(
    A83,
    IMPORTRANGE(
      ""1SCYQd7_cobOYqT0r_F0IqD4tE4rYn5y8Eup4PJTH8es"",
      ""Snapshot!A:M""
    ),
    8,
    FALSE
  ),
  0
)
"),1.0)</f>
        <v>1</v>
      </c>
      <c r="AI83" s="54">
        <f>IFERROR(__xludf.DUMMYFUNCTION("IFERROR(
  VLOOKUP(
    A83,
    IMPORTRANGE(
      ""1SCYQd7_cobOYqT0r_F0IqD4tE4rYn5y8Eup4PJTH8es"",
      ""Snapshot!A:M""
    ),
    9,
    FALSE
  ),
  0
)
"),0.0)</f>
        <v>0</v>
      </c>
      <c r="AJ83" s="54">
        <f>IFERROR(__xludf.DUMMYFUNCTION("IFERROR(
  VLOOKUP(
    A83,
    IMPORTRANGE(
      ""1SCYQd7_cobOYqT0r_F0IqD4tE4rYn5y8Eup4PJTH8es"",
      ""Snapshot!A:M""
    ),
    13,
    FALSE
  ),
  0
)
"),1.0)</f>
        <v>1</v>
      </c>
      <c r="AK83" s="49">
        <f t="shared" ref="AK83:AL83" si="410">LEN(C83)</f>
        <v>30</v>
      </c>
      <c r="AL83" s="49">
        <f t="shared" si="410"/>
        <v>71</v>
      </c>
    </row>
    <row r="84">
      <c r="A84" s="3" t="s">
        <v>219</v>
      </c>
      <c r="B84" s="1" t="str">
        <f>IFERROR(__xludf.DUMMYFUNCTION("IFERROR(
  VLOOKUP(
    A84,
    IMPORTRANGE(
      ""1ZygntHC1J6IxzKbTidmOyf5nUyW4GCLurHCjexrLm_o"",
      ""HTMLキャッシュ!A:F""
    ),
    2,
    FALSE
  ),
  0
)
"),"-")</f>
        <v>-</v>
      </c>
      <c r="C84" s="1" t="str">
        <f>IFERROR(__xludf.DUMMYFUNCTION("IFERROR(
  VLOOKUP(
    A84,
    IMPORTRANGE(
      ""1ZygntHC1J6IxzKbTidmOyf5nUyW4GCLurHCjexrLm_o"",
      ""HTMLキャッシュ!A:F""
    ),
    5,
    FALSE
  ),
  0
)
"),"コラム - 受験英語専門ゼミ「Re-Write」(リライト)")</f>
        <v>コラム - 受験英語専門ゼミ「Re-Write」(リライト)</v>
      </c>
      <c r="D84" s="1" t="str">
        <f>IFERROR(__xludf.DUMMYFUNCTION("IFERROR(
  VLOOKUP(
    A84,
    IMPORTRANGE(
      ""1ZygntHC1J6IxzKbTidmOyf5nUyW4GCLurHCjexrLm_o        "",
      ""HTMLキャッシュ!A:F""
    ),
    6,
    FALSE
  ),
  0
)
"),"[1ページ目] コラム の記事 受験英語専門ゼミ「Re-Write」(リライト) 受験英語に特化した塾。完全１対１の個別指導から集団授業まで、様々なニーズに合わせた講座で英語の得点力を養います。")</f>
        <v>[1ページ目] コラム の記事 受験英語専門ゼミ「Re-Write」(リライト) 受験英語に特化した塾。完全１対１の個別指導から集団授業まで、様々なニーズに合わせた講座で英語の得点力を養います。</v>
      </c>
      <c r="E84" s="32">
        <f>IFERROR(__xludf.DUMMYFUNCTION("IFERROR(
  VLOOKUP(
    A84,
    IMPORTRANGE(
      ""1ZygntHC1J6IxzKbTidmOyf5nUyW4GCLurHCjexrLm_o        "",
      ""HTMLキャッシュ!A:F""
    ),
    3,
    FALSE
  ),
  0
)
"),46026.61980324074)</f>
        <v>46026.6198</v>
      </c>
      <c r="F84" s="49">
        <f>IFERROR(__xludf.DUMMYFUNCTION("IFERROR(
  VLOOKUP(
    A84,
    IMPORTRANGE(
      ""1ZHMy3vVUd_0MrSduXTe1etBb1HNpAlGwQr006ljwMiM"",
      ""GSC最新!A:F""
    ),
    2,
    FALSE
  ),
  0
)
"),6.0)</f>
        <v>6</v>
      </c>
      <c r="G84" s="49">
        <f>IFERROR(__xludf.DUMMYFUNCTION("IFERROR(
  VLOOKUP(
    A84,
    IMPORTRANGE(
      ""1ZHMy3vVUd_0MrSduXTe1etBb1HNpAlGwQr006ljwMiM"",
      ""GSC最新!A:F""
    ),
    3,
    FALSE
  ),
  0
)
"),8.0)</f>
        <v>8</v>
      </c>
      <c r="H84" s="49">
        <f>IFERROR(__xludf.DUMMYFUNCTION("IFERROR(
  VLOOKUP(
    A84,
    IMPORTRANGE(
      ""1ZHMy3vVUd_0MrSduXTe1etBb1HNpAlGwQr006ljwMiM"",
      ""GSC最新!A:F""
    ),
    4,
    FALSE
  ),
  0
)
"),2.0)</f>
        <v>2</v>
      </c>
      <c r="I84" s="49">
        <f>IFERROR(__xludf.DUMMYFUNCTION("IFERROR(
  VLOOKUP(
    A84,
    IMPORTRANGE(
      ""1ZHMy3vVUd_0MrSduXTe1etBb1HNpAlGwQr006ljwMiM"",
      ""GSC最新!A:F""
    ),
    5,
    FALSE
  ),
  0
)
"),2.0)</f>
        <v>2</v>
      </c>
      <c r="J84" s="50">
        <f t="shared" ref="J84:K84" si="411">IFERROR(F84/H84,"-")</f>
        <v>3</v>
      </c>
      <c r="K84" s="50">
        <f t="shared" si="411"/>
        <v>4</v>
      </c>
      <c r="L84" s="6">
        <f>IFERROR(__xludf.DUMMYFUNCTION("IFERROR(
  VLOOKUP(
    A84,
    IMPORTRANGE(
      ""1ZHMy3vVUd_0MrSduXTe1etBb1HNpAlGwQr006ljwMiM"",
      ""GSC最新!A:R""
    ),
    7,
    FALSE
  ),
  0
)
"),193.0)</f>
        <v>193</v>
      </c>
      <c r="M84" s="6">
        <f>IFERROR(__xludf.DUMMYFUNCTION("IFERROR(
  VLOOKUP(
    A84,
    IMPORTRANGE(
      ""1ZHMy3vVUd_0MrSduXTe1etBb1HNpAlGwQr006ljwMiM"",
      ""GSC最新!A:R""
    ),
    10,
    FALSE
  ),
  0
)
"),317.0)</f>
        <v>317</v>
      </c>
      <c r="N84" s="6">
        <f>IFERROR(__xludf.DUMMYFUNCTION("IFERROR(
  VLOOKUP(
    A84,
    IMPORTRANGE(
      ""1ZHMy3vVUd_0MrSduXTe1etBb1HNpAlGwQr006ljwMiM"",
      ""GSC最新!A:R""
    ),
    13,
    FALSE
  ),
  0
)
"),11.0)</f>
        <v>11</v>
      </c>
      <c r="O84" s="6">
        <f>IFERROR(__xludf.DUMMYFUNCTION("IFERROR(
  VLOOKUP(
    A84,
    IMPORTRANGE(
      ""1ZHMy3vVUd_0MrSduXTe1etBb1HNpAlGwQr006ljwMiM"",
      ""GSC最新!A:R""
    ),
    16,
    FALSE
  ),
  0
)
"),21.0)</f>
        <v>21</v>
      </c>
      <c r="P84" s="51">
        <f t="shared" ref="P84:Q84" si="412">IFERROR(L84/N84,"-")</f>
        <v>17.54545455</v>
      </c>
      <c r="Q84" s="51">
        <f t="shared" si="412"/>
        <v>15.0952381</v>
      </c>
      <c r="R84" s="9">
        <f>IFERROR(__xludf.DUMMYFUNCTION("IFERROR(
  VLOOKUP(
    A84,
    IMPORTRANGE(
      ""1ZHMy3vVUd_0MrSduXTe1etBb1HNpAlGwQr006ljwMiM"",
      ""GSC最新!A:R""
    ),
    8,
    FALSE
  ),
  0
)
"),0.031088082901554404)</f>
        <v>0.0310880829</v>
      </c>
      <c r="S84" s="9">
        <f>IFERROR(__xludf.DUMMYFUNCTION("IFERROR(
  VLOOKUP(
    A84,
    IMPORTRANGE(
      ""1ZHMy3vVUd_0MrSduXTe1etBb1HNpAlGwQr006ljwMiM"",
      ""GSC最新!A:R""
    ),
    11,
    FALSE
  ),
  0
)
"),0.025236593059936908)</f>
        <v>0.02523659306</v>
      </c>
      <c r="T84" s="9">
        <f>IFERROR(__xludf.DUMMYFUNCTION("IFERROR(
  VLOOKUP(
    A84,
    IMPORTRANGE(
      ""1ZHMy3vVUd_0MrSduXTe1etBb1HNpAlGwQr006ljwMiM"",
      ""GSC最新!A:R""
    ),
    14,
    FALSE
  ),
  0
)
"),0.18181818181818182)</f>
        <v>0.1818181818</v>
      </c>
      <c r="U84" s="9">
        <f>IFERROR(__xludf.DUMMYFUNCTION("IFERROR(
  VLOOKUP(
    A84,
    IMPORTRANGE(
      ""1ZHMy3vVUd_0MrSduXTe1etBb1HNpAlGwQr006ljwMiM"",
      ""GSC最新!A:R""
    ),
    17,
    FALSE
  ),
  0
)
"),0.09523809523809523)</f>
        <v>0.09523809524</v>
      </c>
      <c r="V84" s="9">
        <f t="shared" ref="V84:W84" si="413">IFERROR(R84-T84,"-")</f>
        <v>-0.1507300989</v>
      </c>
      <c r="W84" s="9">
        <f t="shared" si="413"/>
        <v>-0.07000150218</v>
      </c>
      <c r="X84" s="65">
        <f>IFERROR(__xludf.DUMMYFUNCTION("IFERROR(
  VLOOKUP(
    A84,
    IMPORTRANGE(
      ""1ZHMy3vVUd_0MrSduXTe1etBb1HNpAlGwQr006ljwMiM"",
      ""GSC最新!A:R""
    ),
    9,
    FALSE
  ),
  0
)
"),8.378238341968911)</f>
        <v>8.378238342</v>
      </c>
      <c r="Y84" s="65">
        <f>IFERROR(__xludf.DUMMYFUNCTION("IFERROR(
  VLOOKUP(
    A84,
    IMPORTRANGE(
      ""1ZHMy3vVUd_0MrSduXTe1etBb1HNpAlGwQr006ljwMiM"",
      ""GSC最新!A:R""
    ),
    12,
    FALSE
  ),
  0
)
"),10.46056782334385)</f>
        <v>10.46056782</v>
      </c>
      <c r="Z84" s="65">
        <f>IFERROR(__xludf.DUMMYFUNCTION("IFERROR(
  VLOOKUP(
    A84,
    IMPORTRANGE(
      ""1ZHMy3vVUd_0MrSduXTe1etBb1HNpAlGwQr006ljwMiM"",
      ""GSC最新!A:R""
    ),
    15,
    FALSE
  ),
  0
)
"),32.18181818181819)</f>
        <v>32.18181818</v>
      </c>
      <c r="AA84" s="65">
        <f>IFERROR(__xludf.DUMMYFUNCTION("IFERROR(
  VLOOKUP(
    A84,
    IMPORTRANGE(
      ""1ZHMy3vVUd_0MrSduXTe1etBb1HNpAlGwQr006ljwMiM"",
      ""GSC最新!A:R""
    ),
    18,
    FALSE
  ),
  0
)
"),23.80952380952381)</f>
        <v>23.80952381</v>
      </c>
      <c r="AB84" s="65">
        <f t="shared" ref="AB84:AC84" si="414">X84-Z84</f>
        <v>-23.80357984</v>
      </c>
      <c r="AC84" s="65">
        <f t="shared" si="414"/>
        <v>-13.34895599</v>
      </c>
      <c r="AD84" s="53">
        <f>IFERROR(__xludf.DUMMYFUNCTION("IFERROR(
  VLOOKUP(
    A84,
    IMPORTRANGE(
      ""1ZHMy3vVUd_0MrSduXTe1etBb1HNpAlGwQr006ljwMiM"",
      ""GSC最新!A:F""
    ),
    6,
    FALSE
  ),
  0
)
"),46081.0)</f>
        <v>46081</v>
      </c>
      <c r="AE84" s="54">
        <f>IFERROR(__xludf.DUMMYFUNCTION("IFERROR(
  VLOOKUP(
    A84,
    IMPORTRANGE(
      ""1SCYQd7_cobOYqT0r_F0IqD4tE4rYn5y8Eup4PJTH8es"",
      ""Snapshot!A:M""
    ),
    5,
    FALSE
  ),
  ""-""
)
"),0.0)</f>
        <v>0</v>
      </c>
      <c r="AF84" s="54">
        <f>IFERROR(__xludf.DUMMYFUNCTION("IFERROR(
  VLOOKUP(
    A84,
    IMPORTRANGE(
      ""1SCYQd7_cobOYqT0r_F0IqD4tE4rYn5y8Eup4PJTH8es"",
      ""Snapshot!A:M""
    ),
    6,
    FALSE
  ),
  0
)
"),0.0)</f>
        <v>0</v>
      </c>
      <c r="AG84" s="54">
        <f>IFERROR(__xludf.DUMMYFUNCTION("IFERROR(
  VLOOKUP(
    A84,
    IMPORTRANGE(
      ""1SCYQd7_cobOYqT0r_F0IqD4tE4rYn5y8Eup4PJTH8es"",
      ""Snapshot!A:M""
    ),
    7,
    FALSE
  ),
  0
)
"),0.0)</f>
        <v>0</v>
      </c>
      <c r="AH84" s="54">
        <f>IFERROR(__xludf.DUMMYFUNCTION("IFERROR(
  VLOOKUP(
    A84,
    IMPORTRANGE(
      ""1SCYQd7_cobOYqT0r_F0IqD4tE4rYn5y8Eup4PJTH8es"",
      ""Snapshot!A:M""
    ),
    8,
    FALSE
  ),
  0
)
"),0.0)</f>
        <v>0</v>
      </c>
      <c r="AI84" s="54">
        <f>IFERROR(__xludf.DUMMYFUNCTION("IFERROR(
  VLOOKUP(
    A84,
    IMPORTRANGE(
      ""1SCYQd7_cobOYqT0r_F0IqD4tE4rYn5y8Eup4PJTH8es"",
      ""Snapshot!A:M""
    ),
    9,
    FALSE
  ),
  0
)
"),0.0)</f>
        <v>0</v>
      </c>
      <c r="AJ84" s="54">
        <f>IFERROR(__xludf.DUMMYFUNCTION("IFERROR(
  VLOOKUP(
    A84,
    IMPORTRANGE(
      ""1SCYQd7_cobOYqT0r_F0IqD4tE4rYn5y8Eup4PJTH8es"",
      ""Snapshot!A:M""
    ),
    13,
    FALSE
  ),
  0
)
"),1.0)</f>
        <v>1</v>
      </c>
      <c r="AK84" s="49">
        <f t="shared" ref="AK84:AL84" si="415">LEN(C84)</f>
        <v>30</v>
      </c>
      <c r="AL84" s="49">
        <f t="shared" si="415"/>
        <v>97</v>
      </c>
    </row>
    <row r="85">
      <c r="A85" s="3" t="s">
        <v>1026</v>
      </c>
      <c r="B85" s="1" t="str">
        <f>IFERROR(__xludf.DUMMYFUNCTION("IFERROR(
  VLOOKUP(
    A85,
    IMPORTRANGE(
      ""1ZygntHC1J6IxzKbTidmOyf5nUyW4GCLurHCjexrLm_o"",
      ""HTMLキャッシュ!A:F""
    ),
    2,
    FALSE
  ),
  0
)
"),"MC")</f>
        <v>MC</v>
      </c>
      <c r="C85" s="1" t="str">
        <f>IFERROR(__xludf.DUMMYFUNCTION("IFERROR(
  VLOOKUP(
    A85,
    IMPORTRANGE(
      ""1ZygntHC1J6IxzKbTidmOyf5nUyW4GCLurHCjexrLm_o"",
      ""HTMLキャッシュ!A:F""
    ),
    5,
    FALSE
  ),
  0
)
"),"stage1_Lesson7-3 現在進行形(現在形と進行形)【ニュートレジャーの道案内】 - 受験英語専門ゼミ「Re-Write」(リライト)")</f>
        <v>stage1_Lesson7-3 現在進行形(現在形と進行形)【ニュートレジャーの道案内】 - 受験英語専門ゼミ「Re-Write」(リライト)</v>
      </c>
      <c r="D85" s="1" t="str">
        <f>IFERROR(__xludf.DUMMYFUNCTION("IFERROR(
  VLOOKUP(
    A85,
    IMPORTRANGE(
      ""1ZygntHC1J6IxzKbTidmOyf5nUyW4GCLurHCjexrLm_o        "",
      ""HTMLキャッシュ!A:F""
    ),
    6,
    FALSE
  ),
  0
)
"),"NEW TREASURE STAGE1 の文法事項・Lesson一覧の全体像は、NEW TREASURE")</f>
        <v>NEW TREASURE STAGE1 の文法事項・Lesson一覧の全体像は、NEW TREASURE</v>
      </c>
      <c r="E85" s="32">
        <f>IFERROR(__xludf.DUMMYFUNCTION("IFERROR(
  VLOOKUP(
    A85,
    IMPORTRANGE(
      ""1ZygntHC1J6IxzKbTidmOyf5nUyW4GCLurHCjexrLm_o        "",
      ""HTMLキャッシュ!A:F""
    ),
    3,
    FALSE
  ),
  0
)
"),46080.82215277778)</f>
        <v>46080.82215</v>
      </c>
      <c r="F85" s="49">
        <f>IFERROR(__xludf.DUMMYFUNCTION("IFERROR(
  VLOOKUP(
    A85,
    IMPORTRANGE(
      ""1ZHMy3vVUd_0MrSduXTe1etBb1HNpAlGwQr006ljwMiM"",
      ""GSC最新!A:F""
    ),
    2,
    FALSE
  ),
  0
)
"),1.0)</f>
        <v>1</v>
      </c>
      <c r="G85" s="49">
        <f>IFERROR(__xludf.DUMMYFUNCTION("IFERROR(
  VLOOKUP(
    A85,
    IMPORTRANGE(
      ""1ZHMy3vVUd_0MrSduXTe1etBb1HNpAlGwQr006ljwMiM"",
      ""GSC最新!A:F""
    ),
    3,
    FALSE
  ),
  0
)
"),5.0)</f>
        <v>5</v>
      </c>
      <c r="H85" s="49">
        <f>IFERROR(__xludf.DUMMYFUNCTION("IFERROR(
  VLOOKUP(
    A85,
    IMPORTRANGE(
      ""1ZHMy3vVUd_0MrSduXTe1etBb1HNpAlGwQr006ljwMiM"",
      ""GSC最新!A:F""
    ),
    4,
    FALSE
  ),
  0
)
"),0.0)</f>
        <v>0</v>
      </c>
      <c r="I85" s="49">
        <f>IFERROR(__xludf.DUMMYFUNCTION("IFERROR(
  VLOOKUP(
    A85,
    IMPORTRANGE(
      ""1ZHMy3vVUd_0MrSduXTe1etBb1HNpAlGwQr006ljwMiM"",
      ""GSC最新!A:F""
    ),
    5,
    FALSE
  ),
  0
)
"),0.0)</f>
        <v>0</v>
      </c>
      <c r="J85" s="50" t="str">
        <f t="shared" ref="J85:K85" si="416">IFERROR(F85/H85,"-")</f>
        <v>-</v>
      </c>
      <c r="K85" s="50" t="str">
        <f t="shared" si="416"/>
        <v>-</v>
      </c>
      <c r="L85" s="6">
        <f>IFERROR(__xludf.DUMMYFUNCTION("IFERROR(
  VLOOKUP(
    A85,
    IMPORTRANGE(
      ""1ZHMy3vVUd_0MrSduXTe1etBb1HNpAlGwQr006ljwMiM"",
      ""GSC最新!A:R""
    ),
    7,
    FALSE
  ),
  0
)
"),2271.0)</f>
        <v>2271</v>
      </c>
      <c r="M85" s="6">
        <f>IFERROR(__xludf.DUMMYFUNCTION("IFERROR(
  VLOOKUP(
    A85,
    IMPORTRANGE(
      ""1ZHMy3vVUd_0MrSduXTe1etBb1HNpAlGwQr006ljwMiM"",
      ""GSC最新!A:R""
    ),
    10,
    FALSE
  ),
  0
)
"),4944.0)</f>
        <v>4944</v>
      </c>
      <c r="N85" s="6">
        <f>IFERROR(__xludf.DUMMYFUNCTION("IFERROR(
  VLOOKUP(
    A85,
    IMPORTRANGE(
      ""1ZHMy3vVUd_0MrSduXTe1etBb1HNpAlGwQr006ljwMiM"",
      ""GSC最新!A:R""
    ),
    13,
    FALSE
  ),
  0
)
"),18.0)</f>
        <v>18</v>
      </c>
      <c r="O85" s="6">
        <f>IFERROR(__xludf.DUMMYFUNCTION("IFERROR(
  VLOOKUP(
    A85,
    IMPORTRANGE(
      ""1ZHMy3vVUd_0MrSduXTe1etBb1HNpAlGwQr006ljwMiM"",
      ""GSC最新!A:R""
    ),
    16,
    FALSE
  ),
  0
)
"),75.0)</f>
        <v>75</v>
      </c>
      <c r="P85" s="51">
        <f t="shared" ref="P85:Q85" si="417">IFERROR(L85/N85,"-")</f>
        <v>126.1666667</v>
      </c>
      <c r="Q85" s="51">
        <f t="shared" si="417"/>
        <v>65.92</v>
      </c>
      <c r="R85" s="9">
        <f>IFERROR(__xludf.DUMMYFUNCTION("IFERROR(
  VLOOKUP(
    A85,
    IMPORTRANGE(
      ""1ZHMy3vVUd_0MrSduXTe1etBb1HNpAlGwQr006ljwMiM"",
      ""GSC最新!A:R""
    ),
    8,
    FALSE
  ),
  0
)
"),4.4033465433729633E-4)</f>
        <v>0.0004403346543</v>
      </c>
      <c r="S85" s="9">
        <f>IFERROR(__xludf.DUMMYFUNCTION("IFERROR(
  VLOOKUP(
    A85,
    IMPORTRANGE(
      ""1ZHMy3vVUd_0MrSduXTe1etBb1HNpAlGwQr006ljwMiM"",
      ""GSC最新!A:R""
    ),
    11,
    FALSE
  ),
  0
)
"),0.0010113268608414239)</f>
        <v>0.001011326861</v>
      </c>
      <c r="T85" s="9">
        <f>IFERROR(__xludf.DUMMYFUNCTION("IFERROR(
  VLOOKUP(
    A85,
    IMPORTRANGE(
      ""1ZHMy3vVUd_0MrSduXTe1etBb1HNpAlGwQr006ljwMiM"",
      ""GSC最新!A:R""
    ),
    14,
    FALSE
  ),
  0
)
"),0.0)</f>
        <v>0</v>
      </c>
      <c r="U85" s="9">
        <f>IFERROR(__xludf.DUMMYFUNCTION("IFERROR(
  VLOOKUP(
    A85,
    IMPORTRANGE(
      ""1ZHMy3vVUd_0MrSduXTe1etBb1HNpAlGwQr006ljwMiM"",
      ""GSC最新!A:R""
    ),
    17,
    FALSE
  ),
  0
)
"),0.0)</f>
        <v>0</v>
      </c>
      <c r="V85" s="9">
        <f t="shared" ref="V85:W85" si="418">IFERROR(R85-T85,"-")</f>
        <v>0.0004403346543</v>
      </c>
      <c r="W85" s="9">
        <f t="shared" si="418"/>
        <v>0.001011326861</v>
      </c>
      <c r="X85" s="65">
        <f>IFERROR(__xludf.DUMMYFUNCTION("IFERROR(
  VLOOKUP(
    A85,
    IMPORTRANGE(
      ""1ZHMy3vVUd_0MrSduXTe1etBb1HNpAlGwQr006ljwMiM"",
      ""GSC最新!A:R""
    ),
    9,
    FALSE
  ),
  0
)
"),2.726111845002202)</f>
        <v>2.726111845</v>
      </c>
      <c r="Y85" s="65">
        <f>IFERROR(__xludf.DUMMYFUNCTION("IFERROR(
  VLOOKUP(
    A85,
    IMPORTRANGE(
      ""1ZHMy3vVUd_0MrSduXTe1etBb1HNpAlGwQr006ljwMiM"",
      ""GSC最新!A:R""
    ),
    12,
    FALSE
  ),
  0
)
"),3.114886731391586)</f>
        <v>3.114886731</v>
      </c>
      <c r="Z85" s="65">
        <f>IFERROR(__xludf.DUMMYFUNCTION("IFERROR(
  VLOOKUP(
    A85,
    IMPORTRANGE(
      ""1ZHMy3vVUd_0MrSduXTe1etBb1HNpAlGwQr006ljwMiM"",
      ""GSC最新!A:R""
    ),
    15,
    FALSE
  ),
  0
)
"),8.722222222222221)</f>
        <v>8.722222222</v>
      </c>
      <c r="AA85" s="65">
        <f>IFERROR(__xludf.DUMMYFUNCTION("IFERROR(
  VLOOKUP(
    A85,
    IMPORTRANGE(
      ""1ZHMy3vVUd_0MrSduXTe1etBb1HNpAlGwQr006ljwMiM"",
      ""GSC最新!A:R""
    ),
    18,
    FALSE
  ),
  0
)
"),11.693333333333333)</f>
        <v>11.69333333</v>
      </c>
      <c r="AB85" s="65">
        <f t="shared" ref="AB85:AC85" si="419">X85-Z85</f>
        <v>-5.996110377</v>
      </c>
      <c r="AC85" s="65">
        <f t="shared" si="419"/>
        <v>-8.578446602</v>
      </c>
      <c r="AD85" s="53">
        <f>IFERROR(__xludf.DUMMYFUNCTION("IFERROR(
  VLOOKUP(
    A85,
    IMPORTRANGE(
      ""1ZHMy3vVUd_0MrSduXTe1etBb1HNpAlGwQr006ljwMiM"",
      ""GSC最新!A:F""
    ),
    6,
    FALSE
  ),
  0
)
"),46081.0)</f>
        <v>46081</v>
      </c>
      <c r="AE85" s="54">
        <f>IFERROR(__xludf.DUMMYFUNCTION("IFERROR(
  VLOOKUP(
    A85,
    IMPORTRANGE(
      ""1SCYQd7_cobOYqT0r_F0IqD4tE4rYn5y8Eup4PJTH8es"",
      ""Snapshot!A:M""
    ),
    5,
    FALSE
  ),
  ""-""
)
"),2.0)</f>
        <v>2</v>
      </c>
      <c r="AF85" s="54">
        <f>IFERROR(__xludf.DUMMYFUNCTION("IFERROR(
  VLOOKUP(
    A85,
    IMPORTRANGE(
      ""1SCYQd7_cobOYqT0r_F0IqD4tE4rYn5y8Eup4PJTH8es"",
      ""Snapshot!A:M""
    ),
    6,
    FALSE
  ),
  0
)
"),0.0)</f>
        <v>0</v>
      </c>
      <c r="AG85" s="54">
        <f>IFERROR(__xludf.DUMMYFUNCTION("IFERROR(
  VLOOKUP(
    A85,
    IMPORTRANGE(
      ""1SCYQd7_cobOYqT0r_F0IqD4tE4rYn5y8Eup4PJTH8es"",
      ""Snapshot!A:M""
    ),
    7,
    FALSE
  ),
  0
)
"),4290.0)</f>
        <v>4290</v>
      </c>
      <c r="AH85" s="54">
        <f>IFERROR(__xludf.DUMMYFUNCTION("IFERROR(
  VLOOKUP(
    A85,
    IMPORTRANGE(
      ""1SCYQd7_cobOYqT0r_F0IqD4tE4rYn5y8Eup4PJTH8es"",
      ""Snapshot!A:M""
    ),
    8,
    FALSE
  ),
  0
)
"),3.0)</f>
        <v>3</v>
      </c>
      <c r="AI85" s="54">
        <f>IFERROR(__xludf.DUMMYFUNCTION("IFERROR(
  VLOOKUP(
    A85,
    IMPORTRANGE(
      ""1SCYQd7_cobOYqT0r_F0IqD4tE4rYn5y8Eup4PJTH8es"",
      ""Snapshot!A:M""
    ),
    9,
    FALSE
  ),
  0
)
"),2.0)</f>
        <v>2</v>
      </c>
      <c r="AJ85" s="54">
        <f>IFERROR(__xludf.DUMMYFUNCTION("IFERROR(
  VLOOKUP(
    A85,
    IMPORTRANGE(
      ""1SCYQd7_cobOYqT0r_F0IqD4tE4rYn5y8Eup4PJTH8es"",
      ""Snapshot!A:M""
    ),
    13,
    FALSE
  ),
  0
)
"),1.0)</f>
        <v>1</v>
      </c>
      <c r="AK85" s="49">
        <f t="shared" ref="AK85:AL85" si="420">LEN(C85)</f>
        <v>72</v>
      </c>
      <c r="AL85" s="49">
        <f t="shared" si="420"/>
        <v>52</v>
      </c>
    </row>
    <row r="86">
      <c r="A86" s="3" t="s">
        <v>1027</v>
      </c>
      <c r="B86" s="1" t="str">
        <f>IFERROR(__xludf.DUMMYFUNCTION("IFERROR(
  VLOOKUP(
    A86,
    IMPORTRANGE(
      ""1ZygntHC1J6IxzKbTidmOyf5nUyW4GCLurHCjexrLm_o"",
      ""HTMLキャッシュ!A:F""
    ),
    2,
    FALSE
  ),
  0
)
"),"MC")</f>
        <v>MC</v>
      </c>
      <c r="C86" s="1" t="str">
        <f>IFERROR(__xludf.DUMMYFUNCTION("IFERROR(
  VLOOKUP(
    A86,
    IMPORTRANGE(
      ""1ZygntHC1J6IxzKbTidmOyf5nUyW4GCLurHCjexrLm_o"",
      ""HTMLキャッシュ!A:F""
    ),
    5,
    FALSE
  ),
  0
)
"),"現在完了進行形とは｜have been＋ing の継続と用法解説")</f>
        <v>現在完了進行形とは｜have been＋ing の継続と用法解説</v>
      </c>
      <c r="D86" s="1" t="str">
        <f>IFERROR(__xludf.DUMMYFUNCTION("IFERROR(
  VLOOKUP(
    A86,
    IMPORTRANGE(
      ""1ZygntHC1J6IxzKbTidmOyf5nUyW4GCLurHCjexrLm_o        "",
      ""HTMLキャッシュ!A:F""
    ),
    6,
    FALSE
  ),
  0
)
"),"現在完了形と現在完了進行形。have been＋ing、since/for、How long、knowは進行形不可、have knownへの言い換えも確認。")</f>
        <v>現在完了形と現在完了進行形。have been＋ing、since/for、How long、knowは進行形不可、have knownへの言い換えも確認。</v>
      </c>
      <c r="E86" s="32">
        <f>IFERROR(__xludf.DUMMYFUNCTION("IFERROR(
  VLOOKUP(
    A86,
    IMPORTRANGE(
      ""1ZygntHC1J6IxzKbTidmOyf5nUyW4GCLurHCjexrLm_o        "",
      ""HTMLキャッシュ!A:F""
    ),
    3,
    FALSE
  ),
  0
)
"),46080.82420138889)</f>
        <v>46080.8242</v>
      </c>
      <c r="F86" s="49">
        <f>IFERROR(__xludf.DUMMYFUNCTION("IFERROR(
  VLOOKUP(
    A86,
    IMPORTRANGE(
      ""1ZHMy3vVUd_0MrSduXTe1etBb1HNpAlGwQr006ljwMiM"",
      ""GSC最新!A:F""
    ),
    2,
    FALSE
  ),
  0
)
"),2.0)</f>
        <v>2</v>
      </c>
      <c r="G86" s="49">
        <f>IFERROR(__xludf.DUMMYFUNCTION("IFERROR(
  VLOOKUP(
    A86,
    IMPORTRANGE(
      ""1ZHMy3vVUd_0MrSduXTe1etBb1HNpAlGwQr006ljwMiM"",
      ""GSC最新!A:F""
    ),
    3,
    FALSE
  ),
  0
)
"),5.0)</f>
        <v>5</v>
      </c>
      <c r="H86" s="49">
        <f>IFERROR(__xludf.DUMMYFUNCTION("IFERROR(
  VLOOKUP(
    A86,
    IMPORTRANGE(
      ""1ZHMy3vVUd_0MrSduXTe1etBb1HNpAlGwQr006ljwMiM"",
      ""GSC最新!A:F""
    ),
    4,
    FALSE
  ),
  0
)
"),2.0)</f>
        <v>2</v>
      </c>
      <c r="I86" s="49">
        <f>IFERROR(__xludf.DUMMYFUNCTION("IFERROR(
  VLOOKUP(
    A86,
    IMPORTRANGE(
      ""1ZHMy3vVUd_0MrSduXTe1etBb1HNpAlGwQr006ljwMiM"",
      ""GSC最新!A:F""
    ),
    5,
    FALSE
  ),
  0
)
"),8.0)</f>
        <v>8</v>
      </c>
      <c r="J86" s="50">
        <f t="shared" ref="J86:K86" si="421">IFERROR(F86/H86,"-")</f>
        <v>1</v>
      </c>
      <c r="K86" s="50">
        <f t="shared" si="421"/>
        <v>0.625</v>
      </c>
      <c r="L86" s="6">
        <f>IFERROR(__xludf.DUMMYFUNCTION("IFERROR(
  VLOOKUP(
    A86,
    IMPORTRANGE(
      ""1ZHMy3vVUd_0MrSduXTe1etBb1HNpAlGwQr006ljwMiM"",
      ""GSC最新!A:R""
    ),
    7,
    FALSE
  ),
  0
)
"),1406.0)</f>
        <v>1406</v>
      </c>
      <c r="M86" s="6">
        <f>IFERROR(__xludf.DUMMYFUNCTION("IFERROR(
  VLOOKUP(
    A86,
    IMPORTRANGE(
      ""1ZHMy3vVUd_0MrSduXTe1etBb1HNpAlGwQr006ljwMiM"",
      ""GSC最新!A:R""
    ),
    10,
    FALSE
  ),
  0
)
"),3156.0)</f>
        <v>3156</v>
      </c>
      <c r="N86" s="6">
        <f>IFERROR(__xludf.DUMMYFUNCTION("IFERROR(
  VLOOKUP(
    A86,
    IMPORTRANGE(
      ""1ZHMy3vVUd_0MrSduXTe1etBb1HNpAlGwQr006ljwMiM"",
      ""GSC最新!A:R""
    ),
    13,
    FALSE
  ),
  0
)
"),36.0)</f>
        <v>36</v>
      </c>
      <c r="O86" s="6">
        <f>IFERROR(__xludf.DUMMYFUNCTION("IFERROR(
  VLOOKUP(
    A86,
    IMPORTRANGE(
      ""1ZHMy3vVUd_0MrSduXTe1etBb1HNpAlGwQr006ljwMiM"",
      ""GSC最新!A:R""
    ),
    16,
    FALSE
  ),
  0
)
"),84.0)</f>
        <v>84</v>
      </c>
      <c r="P86" s="51">
        <f t="shared" ref="P86:Q86" si="422">IFERROR(L86/N86,"-")</f>
        <v>39.05555556</v>
      </c>
      <c r="Q86" s="51">
        <f t="shared" si="422"/>
        <v>37.57142857</v>
      </c>
      <c r="R86" s="9">
        <f>IFERROR(__xludf.DUMMYFUNCTION("IFERROR(
  VLOOKUP(
    A86,
    IMPORTRANGE(
      ""1ZHMy3vVUd_0MrSduXTe1etBb1HNpAlGwQr006ljwMiM"",
      ""GSC最新!A:R""
    ),
    8,
    FALSE
  ),
  0
)
"),0.001422475106685633)</f>
        <v>0.001422475107</v>
      </c>
      <c r="S86" s="9">
        <f>IFERROR(__xludf.DUMMYFUNCTION("IFERROR(
  VLOOKUP(
    A86,
    IMPORTRANGE(
      ""1ZHMy3vVUd_0MrSduXTe1etBb1HNpAlGwQr006ljwMiM"",
      ""GSC最新!A:R""
    ),
    11,
    FALSE
  ),
  0
)
"),0.0015842839036755386)</f>
        <v>0.001584283904</v>
      </c>
      <c r="T86" s="9">
        <f>IFERROR(__xludf.DUMMYFUNCTION("IFERROR(
  VLOOKUP(
    A86,
    IMPORTRANGE(
      ""1ZHMy3vVUd_0MrSduXTe1etBb1HNpAlGwQr006ljwMiM"",
      ""GSC最新!A:R""
    ),
    14,
    FALSE
  ),
  0
)
"),0.05555555555555555)</f>
        <v>0.05555555556</v>
      </c>
      <c r="U86" s="9">
        <f>IFERROR(__xludf.DUMMYFUNCTION("IFERROR(
  VLOOKUP(
    A86,
    IMPORTRANGE(
      ""1ZHMy3vVUd_0MrSduXTe1etBb1HNpAlGwQr006ljwMiM"",
      ""GSC最新!A:R""
    ),
    17,
    FALSE
  ),
  0
)
"),0.09523809523809523)</f>
        <v>0.09523809524</v>
      </c>
      <c r="V86" s="9">
        <f t="shared" ref="V86:W86" si="423">IFERROR(R86-T86,"-")</f>
        <v>-0.05413308045</v>
      </c>
      <c r="W86" s="9">
        <f t="shared" si="423"/>
        <v>-0.09365381133</v>
      </c>
      <c r="X86" s="65">
        <f>IFERROR(__xludf.DUMMYFUNCTION("IFERROR(
  VLOOKUP(
    A86,
    IMPORTRANGE(
      ""1ZHMy3vVUd_0MrSduXTe1etBb1HNpAlGwQr006ljwMiM"",
      ""GSC最新!A:R""
    ),
    9,
    FALSE
  ),
  0
)
"),2.5761024182076815)</f>
        <v>2.576102418</v>
      </c>
      <c r="Y86" s="65">
        <f>IFERROR(__xludf.DUMMYFUNCTION("IFERROR(
  VLOOKUP(
    A86,
    IMPORTRANGE(
      ""1ZHMy3vVUd_0MrSduXTe1etBb1HNpAlGwQr006ljwMiM"",
      ""GSC最新!A:R""
    ),
    12,
    FALSE
  ),
  0
)
"),3.1368821292775664)</f>
        <v>3.136882129</v>
      </c>
      <c r="Z86" s="65">
        <f>IFERROR(__xludf.DUMMYFUNCTION("IFERROR(
  VLOOKUP(
    A86,
    IMPORTRANGE(
      ""1ZHMy3vVUd_0MrSduXTe1etBb1HNpAlGwQr006ljwMiM"",
      ""GSC最新!A:R""
    ),
    15,
    FALSE
  ),
  0
)
"),9.88888888888889)</f>
        <v>9.888888889</v>
      </c>
      <c r="AA86" s="65">
        <f>IFERROR(__xludf.DUMMYFUNCTION("IFERROR(
  VLOOKUP(
    A86,
    IMPORTRANGE(
      ""1ZHMy3vVUd_0MrSduXTe1etBb1HNpAlGwQr006ljwMiM"",
      ""GSC最新!A:R""
    ),
    18,
    FALSE
  ),
  0
)
"),9.476190476190476)</f>
        <v>9.476190476</v>
      </c>
      <c r="AB86" s="65">
        <f t="shared" ref="AB86:AC86" si="424">X86-Z86</f>
        <v>-7.312786471</v>
      </c>
      <c r="AC86" s="65">
        <f t="shared" si="424"/>
        <v>-6.339308347</v>
      </c>
      <c r="AD86" s="53">
        <f>IFERROR(__xludf.DUMMYFUNCTION("IFERROR(
  VLOOKUP(
    A86,
    IMPORTRANGE(
      ""1ZHMy3vVUd_0MrSduXTe1etBb1HNpAlGwQr006ljwMiM"",
      ""GSC最新!A:F""
    ),
    6,
    FALSE
  ),
  0
)
"),46081.0)</f>
        <v>46081</v>
      </c>
      <c r="AE86" s="54">
        <f>IFERROR(__xludf.DUMMYFUNCTION("IFERROR(
  VLOOKUP(
    A86,
    IMPORTRANGE(
      ""1SCYQd7_cobOYqT0r_F0IqD4tE4rYn5y8Eup4PJTH8es"",
      ""Snapshot!A:M""
    ),
    5,
    FALSE
  ),
  ""-""
)
"),2.0)</f>
        <v>2</v>
      </c>
      <c r="AF86" s="54">
        <f>IFERROR(__xludf.DUMMYFUNCTION("IFERROR(
  VLOOKUP(
    A86,
    IMPORTRANGE(
      ""1SCYQd7_cobOYqT0r_F0IqD4tE4rYn5y8Eup4PJTH8es"",
      ""Snapshot!A:M""
    ),
    6,
    FALSE
  ),
  0
)
"),0.0)</f>
        <v>0</v>
      </c>
      <c r="AG86" s="54">
        <f>IFERROR(__xludf.DUMMYFUNCTION("IFERROR(
  VLOOKUP(
    A86,
    IMPORTRANGE(
      ""1SCYQd7_cobOYqT0r_F0IqD4tE4rYn5y8Eup4PJTH8es"",
      ""Snapshot!A:M""
    ),
    7,
    FALSE
  ),
  0
)
"),5248.0)</f>
        <v>5248</v>
      </c>
      <c r="AH86" s="54">
        <f>IFERROR(__xludf.DUMMYFUNCTION("IFERROR(
  VLOOKUP(
    A86,
    IMPORTRANGE(
      ""1SCYQd7_cobOYqT0r_F0IqD4tE4rYn5y8Eup4PJTH8es"",
      ""Snapshot!A:M""
    ),
    8,
    FALSE
  ),
  0
)
"),2.0)</f>
        <v>2</v>
      </c>
      <c r="AI86" s="54">
        <f>IFERROR(__xludf.DUMMYFUNCTION("IFERROR(
  VLOOKUP(
    A86,
    IMPORTRANGE(
      ""1SCYQd7_cobOYqT0r_F0IqD4tE4rYn5y8Eup4PJTH8es"",
      ""Snapshot!A:M""
    ),
    9,
    FALSE
  ),
  0
)
"),1.0)</f>
        <v>1</v>
      </c>
      <c r="AJ86" s="54">
        <f>IFERROR(__xludf.DUMMYFUNCTION("IFERROR(
  VLOOKUP(
    A86,
    IMPORTRANGE(
      ""1SCYQd7_cobOYqT0r_F0IqD4tE4rYn5y8Eup4PJTH8es"",
      ""Snapshot!A:M""
    ),
    13,
    FALSE
  ),
  0
)
"),1.0)</f>
        <v>1</v>
      </c>
      <c r="AK86" s="49">
        <f t="shared" ref="AK86:AL86" si="425">LEN(C86)</f>
        <v>32</v>
      </c>
      <c r="AL86" s="49">
        <f t="shared" si="425"/>
        <v>78</v>
      </c>
    </row>
    <row r="87">
      <c r="A87" s="3" t="s">
        <v>1028</v>
      </c>
      <c r="B87" s="1" t="str">
        <f>IFERROR(__xludf.DUMMYFUNCTION("IFERROR(
  VLOOKUP(
    A87,
    IMPORTRANGE(
      ""1ZygntHC1J6IxzKbTidmOyf5nUyW4GCLurHCjexrLm_o"",
      ""HTMLキャッシュ!A:F""
    ),
    2,
    FALSE
  ),
  0
)
"),"MC")</f>
        <v>MC</v>
      </c>
      <c r="C87" s="1" t="str">
        <f>IFERROR(__xludf.DUMMYFUNCTION("IFERROR(
  VLOOKUP(
    A87,
    IMPORTRANGE(
      ""1ZygntHC1J6IxzKbTidmOyf5nUyW4GCLurHCjexrLm_o"",
      ""HTMLキャッシュ!A:F""
    ),
    5,
    FALSE
  ),
  0
)
"),"WhatとWhat’sの違い｜語順｜NT1 2-2")</f>
        <v>WhatとWhat’sの違い｜語順｜NT1 2-2</v>
      </c>
      <c r="D87" s="1" t="str">
        <f>IFERROR(__xludf.DUMMYFUNCTION("IFERROR(
  VLOOKUP(
    A87,
    IMPORTRANGE(
      ""1ZygntHC1J6IxzKbTidmOyf5nUyW4GCLurHCjexrLm_o        "",
      ""HTMLキャッシュ!A:F""
    ),
    6,
    FALSE
  ),
  0
)
"),"WhatとWhat’sの違いを例文で整理。What is this/What time is itの語順、It’sの答え方、it（訳さない）、o’clock、形容詞＋aも確認。")</f>
        <v>WhatとWhat’sの違いを例文で整理。What is this/What time is itの語順、It’sの答え方、it（訳さない）、o’clock、形容詞＋aも確認。</v>
      </c>
      <c r="E87" s="32">
        <f>IFERROR(__xludf.DUMMYFUNCTION("IFERROR(
  VLOOKUP(
    A87,
    IMPORTRANGE(
      ""1ZygntHC1J6IxzKbTidmOyf5nUyW4GCLurHCjexrLm_o        "",
      ""HTMLキャッシュ!A:F""
    ),
    3,
    FALSE
  ),
  0
)
"),46071.719363425924)</f>
        <v>46071.71936</v>
      </c>
      <c r="F87" s="49">
        <f>IFERROR(__xludf.DUMMYFUNCTION("IFERROR(
  VLOOKUP(
    A87,
    IMPORTRANGE(
      ""1ZHMy3vVUd_0MrSduXTe1etBb1HNpAlGwQr006ljwMiM"",
      ""GSC最新!A:F""
    ),
    2,
    FALSE
  ),
  0
)
"),2.0)</f>
        <v>2</v>
      </c>
      <c r="G87" s="49">
        <f>IFERROR(__xludf.DUMMYFUNCTION("IFERROR(
  VLOOKUP(
    A87,
    IMPORTRANGE(
      ""1ZHMy3vVUd_0MrSduXTe1etBb1HNpAlGwQr006ljwMiM"",
      ""GSC最新!A:F""
    ),
    3,
    FALSE
  ),
  0
)
"),5.0)</f>
        <v>5</v>
      </c>
      <c r="H87" s="49">
        <f>IFERROR(__xludf.DUMMYFUNCTION("IFERROR(
  VLOOKUP(
    A87,
    IMPORTRANGE(
      ""1ZHMy3vVUd_0MrSduXTe1etBb1HNpAlGwQr006ljwMiM"",
      ""GSC最新!A:F""
    ),
    4,
    FALSE
  ),
  0
)
"),0.0)</f>
        <v>0</v>
      </c>
      <c r="I87" s="49">
        <f>IFERROR(__xludf.DUMMYFUNCTION("IFERROR(
  VLOOKUP(
    A87,
    IMPORTRANGE(
      ""1ZHMy3vVUd_0MrSduXTe1etBb1HNpAlGwQr006ljwMiM"",
      ""GSC最新!A:F""
    ),
    5,
    FALSE
  ),
  0
)
"),0.0)</f>
        <v>0</v>
      </c>
      <c r="J87" s="50" t="str">
        <f t="shared" ref="J87:K87" si="426">IFERROR(F87/H87,"-")</f>
        <v>-</v>
      </c>
      <c r="K87" s="50" t="str">
        <f t="shared" si="426"/>
        <v>-</v>
      </c>
      <c r="L87" s="6">
        <f>IFERROR(__xludf.DUMMYFUNCTION("IFERROR(
  VLOOKUP(
    A87,
    IMPORTRANGE(
      ""1ZHMy3vVUd_0MrSduXTe1etBb1HNpAlGwQr006ljwMiM"",
      ""GSC最新!A:R""
    ),
    7,
    FALSE
  ),
  0
)
"),918.0)</f>
        <v>918</v>
      </c>
      <c r="M87" s="6">
        <f>IFERROR(__xludf.DUMMYFUNCTION("IFERROR(
  VLOOKUP(
    A87,
    IMPORTRANGE(
      ""1ZHMy3vVUd_0MrSduXTe1etBb1HNpAlGwQr006ljwMiM"",
      ""GSC最新!A:R""
    ),
    10,
    FALSE
  ),
  0
)
"),1767.0)</f>
        <v>1767</v>
      </c>
      <c r="N87" s="6">
        <f>IFERROR(__xludf.DUMMYFUNCTION("IFERROR(
  VLOOKUP(
    A87,
    IMPORTRANGE(
      ""1ZHMy3vVUd_0MrSduXTe1etBb1HNpAlGwQr006ljwMiM"",
      ""GSC最新!A:R""
    ),
    13,
    FALSE
  ),
  0
)
"),4.0)</f>
        <v>4</v>
      </c>
      <c r="O87" s="6">
        <f>IFERROR(__xludf.DUMMYFUNCTION("IFERROR(
  VLOOKUP(
    A87,
    IMPORTRANGE(
      ""1ZHMy3vVUd_0MrSduXTe1etBb1HNpAlGwQr006ljwMiM"",
      ""GSC最新!A:R""
    ),
    16,
    FALSE
  ),
  0
)
"),17.0)</f>
        <v>17</v>
      </c>
      <c r="P87" s="51">
        <f t="shared" ref="P87:Q87" si="427">IFERROR(L87/N87,"-")</f>
        <v>229.5</v>
      </c>
      <c r="Q87" s="51">
        <f t="shared" si="427"/>
        <v>103.9411765</v>
      </c>
      <c r="R87" s="9">
        <f>IFERROR(__xludf.DUMMYFUNCTION("IFERROR(
  VLOOKUP(
    A87,
    IMPORTRANGE(
      ""1ZHMy3vVUd_0MrSduXTe1etBb1HNpAlGwQr006ljwMiM"",
      ""GSC最新!A:R""
    ),
    8,
    FALSE
  ),
  0
)
"),0.002178649237472767)</f>
        <v>0.002178649237</v>
      </c>
      <c r="S87" s="9">
        <f>IFERROR(__xludf.DUMMYFUNCTION("IFERROR(
  VLOOKUP(
    A87,
    IMPORTRANGE(
      ""1ZHMy3vVUd_0MrSduXTe1etBb1HNpAlGwQr006ljwMiM"",
      ""GSC最新!A:R""
    ),
    11,
    FALSE
  ),
  0
)
"),0.0028296547821165816)</f>
        <v>0.002829654782</v>
      </c>
      <c r="T87" s="9">
        <f>IFERROR(__xludf.DUMMYFUNCTION("IFERROR(
  VLOOKUP(
    A87,
    IMPORTRANGE(
      ""1ZHMy3vVUd_0MrSduXTe1etBb1HNpAlGwQr006ljwMiM"",
      ""GSC最新!A:R""
    ),
    14,
    FALSE
  ),
  0
)
"),0.0)</f>
        <v>0</v>
      </c>
      <c r="U87" s="9">
        <f>IFERROR(__xludf.DUMMYFUNCTION("IFERROR(
  VLOOKUP(
    A87,
    IMPORTRANGE(
      ""1ZHMy3vVUd_0MrSduXTe1etBb1HNpAlGwQr006ljwMiM"",
      ""GSC最新!A:R""
    ),
    17,
    FALSE
  ),
  0
)
"),0.0)</f>
        <v>0</v>
      </c>
      <c r="V87" s="9">
        <f t="shared" ref="V87:W87" si="428">IFERROR(R87-T87,"-")</f>
        <v>0.002178649237</v>
      </c>
      <c r="W87" s="9">
        <f t="shared" si="428"/>
        <v>0.002829654782</v>
      </c>
      <c r="X87" s="65">
        <f>IFERROR(__xludf.DUMMYFUNCTION("IFERROR(
  VLOOKUP(
    A87,
    IMPORTRANGE(
      ""1ZHMy3vVUd_0MrSduXTe1etBb1HNpAlGwQr006ljwMiM"",
      ""GSC最新!A:R""
    ),
    9,
    FALSE
  ),
  0
)
"),3.9335511982570806)</f>
        <v>3.933551198</v>
      </c>
      <c r="Y87" s="65">
        <f>IFERROR(__xludf.DUMMYFUNCTION("IFERROR(
  VLOOKUP(
    A87,
    IMPORTRANGE(
      ""1ZHMy3vVUd_0MrSduXTe1etBb1HNpAlGwQr006ljwMiM"",
      ""GSC最新!A:R""
    ),
    12,
    FALSE
  ),
  0
)
"),4.633842671194115)</f>
        <v>4.633842671</v>
      </c>
      <c r="Z87" s="65">
        <f>IFERROR(__xludf.DUMMYFUNCTION("IFERROR(
  VLOOKUP(
    A87,
    IMPORTRANGE(
      ""1ZHMy3vVUd_0MrSduXTe1etBb1HNpAlGwQr006ljwMiM"",
      ""GSC最新!A:R""
    ),
    15,
    FALSE
  ),
  0
)
"),5.0)</f>
        <v>5</v>
      </c>
      <c r="AA87" s="65">
        <f>IFERROR(__xludf.DUMMYFUNCTION("IFERROR(
  VLOOKUP(
    A87,
    IMPORTRANGE(
      ""1ZHMy3vVUd_0MrSduXTe1etBb1HNpAlGwQr006ljwMiM"",
      ""GSC最新!A:R""
    ),
    18,
    FALSE
  ),
  0
)
"),14.235294117647058)</f>
        <v>14.23529412</v>
      </c>
      <c r="AB87" s="65">
        <f t="shared" ref="AB87:AC87" si="429">X87-Z87</f>
        <v>-1.066448802</v>
      </c>
      <c r="AC87" s="65">
        <f t="shared" si="429"/>
        <v>-9.601451446</v>
      </c>
      <c r="AD87" s="53">
        <f>IFERROR(__xludf.DUMMYFUNCTION("IFERROR(
  VLOOKUP(
    A87,
    IMPORTRANGE(
      ""1ZHMy3vVUd_0MrSduXTe1etBb1HNpAlGwQr006ljwMiM"",
      ""GSC最新!A:F""
    ),
    6,
    FALSE
  ),
  0
)
"),46081.0)</f>
        <v>46081</v>
      </c>
      <c r="AE87" s="54">
        <f>IFERROR(__xludf.DUMMYFUNCTION("IFERROR(
  VLOOKUP(
    A87,
    IMPORTRANGE(
      ""1SCYQd7_cobOYqT0r_F0IqD4tE4rYn5y8Eup4PJTH8es"",
      ""Snapshot!A:M""
    ),
    5,
    FALSE
  ),
  ""-""
)
"),0.0)</f>
        <v>0</v>
      </c>
      <c r="AF87" s="54">
        <f>IFERROR(__xludf.DUMMYFUNCTION("IFERROR(
  VLOOKUP(
    A87,
    IMPORTRANGE(
      ""1SCYQd7_cobOYqT0r_F0IqD4tE4rYn5y8Eup4PJTH8es"",
      ""Snapshot!A:M""
    ),
    6,
    FALSE
  ),
  0
)
"),0.0)</f>
        <v>0</v>
      </c>
      <c r="AG87" s="54">
        <f>IFERROR(__xludf.DUMMYFUNCTION("IFERROR(
  VLOOKUP(
    A87,
    IMPORTRANGE(
      ""1SCYQd7_cobOYqT0r_F0IqD4tE4rYn5y8Eup4PJTH8es"",
      ""Snapshot!A:M""
    ),
    7,
    FALSE
  ),
  0
)
"),6989.0)</f>
        <v>6989</v>
      </c>
      <c r="AH87" s="54">
        <f>IFERROR(__xludf.DUMMYFUNCTION("IFERROR(
  VLOOKUP(
    A87,
    IMPORTRANGE(
      ""1SCYQd7_cobOYqT0r_F0IqD4tE4rYn5y8Eup4PJTH8es"",
      ""Snapshot!A:M""
    ),
    8,
    FALSE
  ),
  0
)
"),3.0)</f>
        <v>3</v>
      </c>
      <c r="AI87" s="54">
        <f>IFERROR(__xludf.DUMMYFUNCTION("IFERROR(
  VLOOKUP(
    A87,
    IMPORTRANGE(
      ""1SCYQd7_cobOYqT0r_F0IqD4tE4rYn5y8Eup4PJTH8es"",
      ""Snapshot!A:M""
    ),
    9,
    FALSE
  ),
  0
)
"),2.0)</f>
        <v>2</v>
      </c>
      <c r="AJ87" s="54">
        <f>IFERROR(__xludf.DUMMYFUNCTION("IFERROR(
  VLOOKUP(
    A87,
    IMPORTRANGE(
      ""1SCYQd7_cobOYqT0r_F0IqD4tE4rYn5y8Eup4PJTH8es"",
      ""Snapshot!A:M""
    ),
    13,
    FALSE
  ),
  0
)
"),1.0)</f>
        <v>1</v>
      </c>
      <c r="AK87" s="49">
        <f t="shared" ref="AK87:AL87" si="430">LEN(C87)</f>
        <v>25</v>
      </c>
      <c r="AL87" s="49">
        <f t="shared" si="430"/>
        <v>88</v>
      </c>
    </row>
    <row r="88">
      <c r="A88" s="3" t="s">
        <v>1029</v>
      </c>
      <c r="B88" s="1" t="str">
        <f>IFERROR(__xludf.DUMMYFUNCTION("IFERROR(
  VLOOKUP(
    A88,
    IMPORTRANGE(
      ""1ZygntHC1J6IxzKbTidmOyf5nUyW4GCLurHCjexrLm_o"",
      ""HTMLキャッシュ!A:F""
    ),
    2,
    FALSE
  ),
  0
)
"),"MC")</f>
        <v>MC</v>
      </c>
      <c r="C88" s="1" t="str">
        <f>IFERROR(__xludf.DUMMYFUNCTION("IFERROR(
  VLOOKUP(
    A88,
    IMPORTRANGE(
      ""1ZygntHC1J6IxzKbTidmOyf5nUyW4GCLurHCjexrLm_o"",
      ""HTMLキャッシュ!A:F""
    ),
    5,
    FALSE
  ),
  0
)
"),"if/because/thoughの使い分け｜にもかかわらずも整理｜中2")</f>
        <v>if/because/thoughの使い分け｜にもかかわらずも整理｜中2</v>
      </c>
      <c r="D88" s="1" t="str">
        <f>IFERROR(__xludf.DUMMYFUNCTION("IFERROR(
  VLOOKUP(
    A88,
    IMPORTRANGE(
      ""1ZygntHC1J6IxzKbTidmOyf5nUyW4GCLurHCjexrLm_o        "",
      ""HTMLキャッシュ!A:F""
    ),
    6,
    FALSE
  ),
  0
)
"),"「にもかかわらず」を though で言う時、後ろ置きで意味が反対に感じる原因を例文で解消。文頭ifのカンマ、if節の現在形、because節の読み方もまとめて確認。")</f>
        <v>「にもかかわらず」を though で言う時、後ろ置きで意味が反対に感じる原因を例文で解消。文頭ifのカンマ、if節の現在形、because節の読み方もまとめて確認。</v>
      </c>
      <c r="E88" s="32">
        <f>IFERROR(__xludf.DUMMYFUNCTION("IFERROR(
  VLOOKUP(
    A88,
    IMPORTRANGE(
      ""1ZygntHC1J6IxzKbTidmOyf5nUyW4GCLurHCjexrLm_o        "",
      ""HTMLキャッシュ!A:F""
    ),
    3,
    FALSE
  ),
  0
)
"),46081.60975694445)</f>
        <v>46081.60976</v>
      </c>
      <c r="F88" s="49">
        <f>IFERROR(__xludf.DUMMYFUNCTION("IFERROR(
  VLOOKUP(
    A88,
    IMPORTRANGE(
      ""1ZHMy3vVUd_0MrSduXTe1etBb1HNpAlGwQr006ljwMiM"",
      ""GSC最新!A:F""
    ),
    2,
    FALSE
  ),
  0
)
"),5.0)</f>
        <v>5</v>
      </c>
      <c r="G88" s="49">
        <f>IFERROR(__xludf.DUMMYFUNCTION("IFERROR(
  VLOOKUP(
    A88,
    IMPORTRANGE(
      ""1ZHMy3vVUd_0MrSduXTe1etBb1HNpAlGwQr006ljwMiM"",
      ""GSC最新!A:F""
    ),
    3,
    FALSE
  ),
  0
)
"),5.0)</f>
        <v>5</v>
      </c>
      <c r="H88" s="49">
        <f>IFERROR(__xludf.DUMMYFUNCTION("IFERROR(
  VLOOKUP(
    A88,
    IMPORTRANGE(
      ""1ZHMy3vVUd_0MrSduXTe1etBb1HNpAlGwQr006ljwMiM"",
      ""GSC最新!A:F""
    ),
    4,
    FALSE
  ),
  0
)
"),1.0)</f>
        <v>1</v>
      </c>
      <c r="I88" s="49">
        <f>IFERROR(__xludf.DUMMYFUNCTION("IFERROR(
  VLOOKUP(
    A88,
    IMPORTRANGE(
      ""1ZHMy3vVUd_0MrSduXTe1etBb1HNpAlGwQr006ljwMiM"",
      ""GSC最新!A:F""
    ),
    5,
    FALSE
  ),
  0
)
"),3.0)</f>
        <v>3</v>
      </c>
      <c r="J88" s="50">
        <f t="shared" ref="J88:K88" si="431">IFERROR(F88/H88,"-")</f>
        <v>5</v>
      </c>
      <c r="K88" s="50">
        <f t="shared" si="431"/>
        <v>1.666666667</v>
      </c>
      <c r="L88" s="6">
        <f>IFERROR(__xludf.DUMMYFUNCTION("IFERROR(
  VLOOKUP(
    A88,
    IMPORTRANGE(
      ""1ZHMy3vVUd_0MrSduXTe1etBb1HNpAlGwQr006ljwMiM"",
      ""GSC最新!A:R""
    ),
    7,
    FALSE
  ),
  0
)
"),920.0)</f>
        <v>920</v>
      </c>
      <c r="M88" s="6">
        <f>IFERROR(__xludf.DUMMYFUNCTION("IFERROR(
  VLOOKUP(
    A88,
    IMPORTRANGE(
      ""1ZHMy3vVUd_0MrSduXTe1etBb1HNpAlGwQr006ljwMiM"",
      ""GSC最新!A:R""
    ),
    10,
    FALSE
  ),
  0
)
"),1458.0)</f>
        <v>1458</v>
      </c>
      <c r="N88" s="6">
        <f>IFERROR(__xludf.DUMMYFUNCTION("IFERROR(
  VLOOKUP(
    A88,
    IMPORTRANGE(
      ""1ZHMy3vVUd_0MrSduXTe1etBb1HNpAlGwQr006ljwMiM"",
      ""GSC最新!A:R""
    ),
    13,
    FALSE
  ),
  0
)
"),63.0)</f>
        <v>63</v>
      </c>
      <c r="O88" s="6">
        <f>IFERROR(__xludf.DUMMYFUNCTION("IFERROR(
  VLOOKUP(
    A88,
    IMPORTRANGE(
      ""1ZHMy3vVUd_0MrSduXTe1etBb1HNpAlGwQr006ljwMiM"",
      ""GSC最新!A:R""
    ),
    16,
    FALSE
  ),
  0
)
"),189.0)</f>
        <v>189</v>
      </c>
      <c r="P88" s="51">
        <f t="shared" ref="P88:Q88" si="432">IFERROR(L88/N88,"-")</f>
        <v>14.6031746</v>
      </c>
      <c r="Q88" s="51">
        <f t="shared" si="432"/>
        <v>7.714285714</v>
      </c>
      <c r="R88" s="9">
        <f>IFERROR(__xludf.DUMMYFUNCTION("IFERROR(
  VLOOKUP(
    A88,
    IMPORTRANGE(
      ""1ZHMy3vVUd_0MrSduXTe1etBb1HNpAlGwQr006ljwMiM"",
      ""GSC最新!A:R""
    ),
    8,
    FALSE
  ),
  0
)
"),0.005434782608695652)</f>
        <v>0.005434782609</v>
      </c>
      <c r="S88" s="9">
        <f>IFERROR(__xludf.DUMMYFUNCTION("IFERROR(
  VLOOKUP(
    A88,
    IMPORTRANGE(
      ""1ZHMy3vVUd_0MrSduXTe1etBb1HNpAlGwQr006ljwMiM"",
      ""GSC最新!A:R""
    ),
    11,
    FALSE
  ),
  0
)
"),0.003429355281207133)</f>
        <v>0.003429355281</v>
      </c>
      <c r="T88" s="9">
        <f>IFERROR(__xludf.DUMMYFUNCTION("IFERROR(
  VLOOKUP(
    A88,
    IMPORTRANGE(
      ""1ZHMy3vVUd_0MrSduXTe1etBb1HNpAlGwQr006ljwMiM"",
      ""GSC最新!A:R""
    ),
    14,
    FALSE
  ),
  0
)
"),0.015873015873015872)</f>
        <v>0.01587301587</v>
      </c>
      <c r="U88" s="9">
        <f>IFERROR(__xludf.DUMMYFUNCTION("IFERROR(
  VLOOKUP(
    A88,
    IMPORTRANGE(
      ""1ZHMy3vVUd_0MrSduXTe1etBb1HNpAlGwQr006ljwMiM"",
      ""GSC最新!A:R""
    ),
    17,
    FALSE
  ),
  0
)
"),0.015873015873015872)</f>
        <v>0.01587301587</v>
      </c>
      <c r="V88" s="9">
        <f t="shared" ref="V88:W88" si="433">IFERROR(R88-T88,"-")</f>
        <v>-0.01043823326</v>
      </c>
      <c r="W88" s="9">
        <f t="shared" si="433"/>
        <v>-0.01244366059</v>
      </c>
      <c r="X88" s="65">
        <f>IFERROR(__xludf.DUMMYFUNCTION("IFERROR(
  VLOOKUP(
    A88,
    IMPORTRANGE(
      ""1ZHMy3vVUd_0MrSduXTe1etBb1HNpAlGwQr006ljwMiM"",
      ""GSC最新!A:R""
    ),
    9,
    FALSE
  ),
  0
)
"),5.221739130434782)</f>
        <v>5.22173913</v>
      </c>
      <c r="Y88" s="65">
        <f>IFERROR(__xludf.DUMMYFUNCTION("IFERROR(
  VLOOKUP(
    A88,
    IMPORTRANGE(
      ""1ZHMy3vVUd_0MrSduXTe1etBb1HNpAlGwQr006ljwMiM"",
      ""GSC最新!A:R""
    ),
    12,
    FALSE
  ),
  0
)
"),5.1063100137174215)</f>
        <v>5.106310014</v>
      </c>
      <c r="Z88" s="65">
        <f>IFERROR(__xludf.DUMMYFUNCTION("IFERROR(
  VLOOKUP(
    A88,
    IMPORTRANGE(
      ""1ZHMy3vVUd_0MrSduXTe1etBb1HNpAlGwQr006ljwMiM"",
      ""GSC最新!A:R""
    ),
    15,
    FALSE
  ),
  0
)
"),11.396825396825397)</f>
        <v>11.3968254</v>
      </c>
      <c r="AA88" s="65">
        <f>IFERROR(__xludf.DUMMYFUNCTION("IFERROR(
  VLOOKUP(
    A88,
    IMPORTRANGE(
      ""1ZHMy3vVUd_0MrSduXTe1etBb1HNpAlGwQr006ljwMiM"",
      ""GSC最新!A:R""
    ),
    18,
    FALSE
  ),
  0
)
"),12.915343915343914)</f>
        <v>12.91534392</v>
      </c>
      <c r="AB88" s="65">
        <f t="shared" ref="AB88:AC88" si="434">X88-Z88</f>
        <v>-6.175086266</v>
      </c>
      <c r="AC88" s="65">
        <f t="shared" si="434"/>
        <v>-7.809033902</v>
      </c>
      <c r="AD88" s="53">
        <f>IFERROR(__xludf.DUMMYFUNCTION("IFERROR(
  VLOOKUP(
    A88,
    IMPORTRANGE(
      ""1ZHMy3vVUd_0MrSduXTe1etBb1HNpAlGwQr006ljwMiM"",
      ""GSC最新!A:F""
    ),
    6,
    FALSE
  ),
  0
)
"),46081.0)</f>
        <v>46081</v>
      </c>
      <c r="AE88" s="54">
        <f>IFERROR(__xludf.DUMMYFUNCTION("IFERROR(
  VLOOKUP(
    A88,
    IMPORTRANGE(
      ""1SCYQd7_cobOYqT0r_F0IqD4tE4rYn5y8Eup4PJTH8es"",
      ""Snapshot!A:M""
    ),
    5,
    FALSE
  ),
  ""-""
)
"),0.0)</f>
        <v>0</v>
      </c>
      <c r="AF88" s="54">
        <f>IFERROR(__xludf.DUMMYFUNCTION("IFERROR(
  VLOOKUP(
    A88,
    IMPORTRANGE(
      ""1SCYQd7_cobOYqT0r_F0IqD4tE4rYn5y8Eup4PJTH8es"",
      ""Snapshot!A:M""
    ),
    6,
    FALSE
  ),
  0
)
"),0.0)</f>
        <v>0</v>
      </c>
      <c r="AG88" s="54">
        <f>IFERROR(__xludf.DUMMYFUNCTION("IFERROR(
  VLOOKUP(
    A88,
    IMPORTRANGE(
      ""1SCYQd7_cobOYqT0r_F0IqD4tE4rYn5y8Eup4PJTH8es"",
      ""Snapshot!A:M""
    ),
    7,
    FALSE
  ),
  0
)
"),7436.0)</f>
        <v>7436</v>
      </c>
      <c r="AH88" s="54">
        <f>IFERROR(__xludf.DUMMYFUNCTION("IFERROR(
  VLOOKUP(
    A88,
    IMPORTRANGE(
      ""1SCYQd7_cobOYqT0r_F0IqD4tE4rYn5y8Eup4PJTH8es"",
      ""Snapshot!A:M""
    ),
    8,
    FALSE
  ),
  0
)
"),2.0)</f>
        <v>2</v>
      </c>
      <c r="AI88" s="54">
        <f>IFERROR(__xludf.DUMMYFUNCTION("IFERROR(
  VLOOKUP(
    A88,
    IMPORTRANGE(
      ""1SCYQd7_cobOYqT0r_F0IqD4tE4rYn5y8Eup4PJTH8es"",
      ""Snapshot!A:M""
    ),
    9,
    FALSE
  ),
  0
)
"),1.0)</f>
        <v>1</v>
      </c>
      <c r="AJ88" s="54">
        <f>IFERROR(__xludf.DUMMYFUNCTION("IFERROR(
  VLOOKUP(
    A88,
    IMPORTRANGE(
      ""1SCYQd7_cobOYqT0r_F0IqD4tE4rYn5y8Eup4PJTH8es"",
      ""Snapshot!A:M""
    ),
    13,
    FALSE
  ),
  0
)
"),1.0)</f>
        <v>1</v>
      </c>
      <c r="AK88" s="49">
        <f t="shared" ref="AK88:AL88" si="435">LEN(C88)</f>
        <v>36</v>
      </c>
      <c r="AL88" s="49">
        <f t="shared" si="435"/>
        <v>83</v>
      </c>
    </row>
    <row r="89">
      <c r="A89" s="3" t="s">
        <v>1030</v>
      </c>
      <c r="B89" s="1" t="str">
        <f>IFERROR(__xludf.DUMMYFUNCTION("IFERROR(
  VLOOKUP(
    A89,
    IMPORTRANGE(
      ""1ZygntHC1J6IxzKbTidmOyf5nUyW4GCLurHCjexrLm_o"",
      ""HTMLキャッシュ!A:F""
    ),
    2,
    FALSE
  ),
  0
)
"),"MC")</f>
        <v>MC</v>
      </c>
      <c r="C89" s="1" t="str">
        <f>IFERROR(__xludf.DUMMYFUNCTION("IFERROR(
  VLOOKUP(
    A89,
    IMPORTRANGE(
      ""1ZygntHC1J6IxzKbTidmOyf5nUyW4GCLurHCjexrLm_o"",
      ""HTMLキャッシュ!A:F""
    ),
    5,
    FALSE
  ),
  0
)
"),"中学英語 等位接続詞 and/or/but の基本と使い方")</f>
        <v>中学英語 等位接続詞 and/or/but の基本と使い方</v>
      </c>
      <c r="D89" s="1" t="str">
        <f>IFERROR(__xludf.DUMMYFUNCTION("IFERROR(
  VLOOKUP(
    A89,
    IMPORTRANGE(
      ""1ZygntHC1J6IxzKbTidmOyf5nUyW4GCLurHCjexrLm_o        "",
      ""HTMLキャッシュ!A:F""
    ),
    6,
    FALSE
  ),
  0
)
"),"orは何と何をつなぐかを品詞で判定。and/or/butの基本と、命令文, and/orの訳（そうすれば／さもないと）を例文で整理。")</f>
        <v>orは何と何をつなぐかを品詞で判定。and/or/butの基本と、命令文, and/orの訳（そうすれば／さもないと）を例文で整理。</v>
      </c>
      <c r="E89" s="32">
        <f>IFERROR(__xludf.DUMMYFUNCTION("IFERROR(
  VLOOKUP(
    A89,
    IMPORTRANGE(
      ""1ZygntHC1J6IxzKbTidmOyf5nUyW4GCLurHCjexrLm_o        "",
      ""HTMLキャッシュ!A:F""
    ),
    3,
    FALSE
  ),
  0
)
"),46073.82892361111)</f>
        <v>46073.82892</v>
      </c>
      <c r="F89" s="49">
        <f>IFERROR(__xludf.DUMMYFUNCTION("IFERROR(
  VLOOKUP(
    A89,
    IMPORTRANGE(
      ""1ZHMy3vVUd_0MrSduXTe1etBb1HNpAlGwQr006ljwMiM"",
      ""GSC最新!A:F""
    ),
    2,
    FALSE
  ),
  0
)
"),3.0)</f>
        <v>3</v>
      </c>
      <c r="G89" s="49">
        <f>IFERROR(__xludf.DUMMYFUNCTION("IFERROR(
  VLOOKUP(
    A89,
    IMPORTRANGE(
      ""1ZHMy3vVUd_0MrSduXTe1etBb1HNpAlGwQr006ljwMiM"",
      ""GSC最新!A:F""
    ),
    3,
    FALSE
  ),
  0
)
"),4.0)</f>
        <v>4</v>
      </c>
      <c r="H89" s="49">
        <f>IFERROR(__xludf.DUMMYFUNCTION("IFERROR(
  VLOOKUP(
    A89,
    IMPORTRANGE(
      ""1ZHMy3vVUd_0MrSduXTe1etBb1HNpAlGwQr006ljwMiM"",
      ""GSC最新!A:F""
    ),
    4,
    FALSE
  ),
  0
)
"),1.0)</f>
        <v>1</v>
      </c>
      <c r="I89" s="49">
        <f>IFERROR(__xludf.DUMMYFUNCTION("IFERROR(
  VLOOKUP(
    A89,
    IMPORTRANGE(
      ""1ZHMy3vVUd_0MrSduXTe1etBb1HNpAlGwQr006ljwMiM"",
      ""GSC最新!A:F""
    ),
    5,
    FALSE
  ),
  0
)
"),1.0)</f>
        <v>1</v>
      </c>
      <c r="J89" s="50">
        <f t="shared" ref="J89:K89" si="436">IFERROR(F89/H89,"-")</f>
        <v>3</v>
      </c>
      <c r="K89" s="50">
        <f t="shared" si="436"/>
        <v>4</v>
      </c>
      <c r="L89" s="6">
        <f>IFERROR(__xludf.DUMMYFUNCTION("IFERROR(
  VLOOKUP(
    A89,
    IMPORTRANGE(
      ""1ZHMy3vVUd_0MrSduXTe1etBb1HNpAlGwQr006ljwMiM"",
      ""GSC最新!A:R""
    ),
    7,
    FALSE
  ),
  0
)
"),947.0)</f>
        <v>947</v>
      </c>
      <c r="M89" s="6">
        <f>IFERROR(__xludf.DUMMYFUNCTION("IFERROR(
  VLOOKUP(
    A89,
    IMPORTRANGE(
      ""1ZHMy3vVUd_0MrSduXTe1etBb1HNpAlGwQr006ljwMiM"",
      ""GSC最新!A:R""
    ),
    10,
    FALSE
  ),
  0
)
"),1647.0)</f>
        <v>1647</v>
      </c>
      <c r="N89" s="6">
        <f>IFERROR(__xludf.DUMMYFUNCTION("IFERROR(
  VLOOKUP(
    A89,
    IMPORTRANGE(
      ""1ZHMy3vVUd_0MrSduXTe1etBb1HNpAlGwQr006ljwMiM"",
      ""GSC最新!A:R""
    ),
    13,
    FALSE
  ),
  0
)
"),88.0)</f>
        <v>88</v>
      </c>
      <c r="O89" s="6">
        <f>IFERROR(__xludf.DUMMYFUNCTION("IFERROR(
  VLOOKUP(
    A89,
    IMPORTRANGE(
      ""1ZHMy3vVUd_0MrSduXTe1etBb1HNpAlGwQr006ljwMiM"",
      ""GSC最新!A:R""
    ),
    16,
    FALSE
  ),
  0
)
"),374.0)</f>
        <v>374</v>
      </c>
      <c r="P89" s="51">
        <f t="shared" ref="P89:Q89" si="437">IFERROR(L89/N89,"-")</f>
        <v>10.76136364</v>
      </c>
      <c r="Q89" s="51">
        <f t="shared" si="437"/>
        <v>4.403743316</v>
      </c>
      <c r="R89" s="9">
        <f>IFERROR(__xludf.DUMMYFUNCTION("IFERROR(
  VLOOKUP(
    A89,
    IMPORTRANGE(
      ""1ZHMy3vVUd_0MrSduXTe1etBb1HNpAlGwQr006ljwMiM"",
      ""GSC最新!A:R""
    ),
    8,
    FALSE
  ),
  0
)
"),0.0031678986272439284)</f>
        <v>0.003167898627</v>
      </c>
      <c r="S89" s="9">
        <f>IFERROR(__xludf.DUMMYFUNCTION("IFERROR(
  VLOOKUP(
    A89,
    IMPORTRANGE(
      ""1ZHMy3vVUd_0MrSduXTe1etBb1HNpAlGwQr006ljwMiM"",
      ""GSC最新!A:R""
    ),
    11,
    FALSE
  ),
  0
)
"),0.0024286581663630845)</f>
        <v>0.002428658166</v>
      </c>
      <c r="T89" s="9">
        <f>IFERROR(__xludf.DUMMYFUNCTION("IFERROR(
  VLOOKUP(
    A89,
    IMPORTRANGE(
      ""1ZHMy3vVUd_0MrSduXTe1etBb1HNpAlGwQr006ljwMiM"",
      ""GSC最新!A:R""
    ),
    14,
    FALSE
  ),
  0
)
"),0.011363636363636364)</f>
        <v>0.01136363636</v>
      </c>
      <c r="U89" s="9">
        <f>IFERROR(__xludf.DUMMYFUNCTION("IFERROR(
  VLOOKUP(
    A89,
    IMPORTRANGE(
      ""1ZHMy3vVUd_0MrSduXTe1etBb1HNpAlGwQr006ljwMiM"",
      ""GSC最新!A:R""
    ),
    17,
    FALSE
  ),
  0
)
"),0.00267379679144385)</f>
        <v>0.002673796791</v>
      </c>
      <c r="V89" s="9">
        <f t="shared" ref="V89:W89" si="438">IFERROR(R89-T89,"-")</f>
        <v>-0.008195737736</v>
      </c>
      <c r="W89" s="9">
        <f t="shared" si="438"/>
        <v>-0.0002451386251</v>
      </c>
      <c r="X89" s="65">
        <f>IFERROR(__xludf.DUMMYFUNCTION("IFERROR(
  VLOOKUP(
    A89,
    IMPORTRANGE(
      ""1ZHMy3vVUd_0MrSduXTe1etBb1HNpAlGwQr006ljwMiM"",
      ""GSC最新!A:R""
    ),
    9,
    FALSE
  ),
  0
)
"),6.717001055966209)</f>
        <v>6.717001056</v>
      </c>
      <c r="Y89" s="65">
        <f>IFERROR(__xludf.DUMMYFUNCTION("IFERROR(
  VLOOKUP(
    A89,
    IMPORTRANGE(
      ""1ZHMy3vVUd_0MrSduXTe1etBb1HNpAlGwQr006ljwMiM"",
      ""GSC最新!A:R""
    ),
    12,
    FALSE
  ),
  0
)
"),6.8828172434729815)</f>
        <v>6.882817243</v>
      </c>
      <c r="Z89" s="65">
        <f>IFERROR(__xludf.DUMMYFUNCTION("IFERROR(
  VLOOKUP(
    A89,
    IMPORTRANGE(
      ""1ZHMy3vVUd_0MrSduXTe1etBb1HNpAlGwQr006ljwMiM"",
      ""GSC最新!A:R""
    ),
    15,
    FALSE
  ),
  0
)
"),9.659090909090908)</f>
        <v>9.659090909</v>
      </c>
      <c r="AA89" s="65">
        <f>IFERROR(__xludf.DUMMYFUNCTION("IFERROR(
  VLOOKUP(
    A89,
    IMPORTRANGE(
      ""1ZHMy3vVUd_0MrSduXTe1etBb1HNpAlGwQr006ljwMiM"",
      ""GSC最新!A:R""
    ),
    18,
    FALSE
  ),
  0
)
"),12.040106951871659)</f>
        <v>12.04010695</v>
      </c>
      <c r="AB89" s="65">
        <f t="shared" ref="AB89:AC89" si="439">X89-Z89</f>
        <v>-2.942089853</v>
      </c>
      <c r="AC89" s="65">
        <f t="shared" si="439"/>
        <v>-5.157289708</v>
      </c>
      <c r="AD89" s="53">
        <f>IFERROR(__xludf.DUMMYFUNCTION("IFERROR(
  VLOOKUP(
    A89,
    IMPORTRANGE(
      ""1ZHMy3vVUd_0MrSduXTe1etBb1HNpAlGwQr006ljwMiM"",
      ""GSC最新!A:F""
    ),
    6,
    FALSE
  ),
  0
)
"),46081.0)</f>
        <v>46081</v>
      </c>
      <c r="AE89" s="54">
        <f>IFERROR(__xludf.DUMMYFUNCTION("IFERROR(
  VLOOKUP(
    A89,
    IMPORTRANGE(
      ""1SCYQd7_cobOYqT0r_F0IqD4tE4rYn5y8Eup4PJTH8es"",
      ""Snapshot!A:M""
    ),
    5,
    FALSE
  ),
  ""-""
)
"),0.0)</f>
        <v>0</v>
      </c>
      <c r="AF89" s="54">
        <f>IFERROR(__xludf.DUMMYFUNCTION("IFERROR(
  VLOOKUP(
    A89,
    IMPORTRANGE(
      ""1SCYQd7_cobOYqT0r_F0IqD4tE4rYn5y8Eup4PJTH8es"",
      ""Snapshot!A:M""
    ),
    6,
    FALSE
  ),
  0
)
"),0.0)</f>
        <v>0</v>
      </c>
      <c r="AG89" s="54">
        <f>IFERROR(__xludf.DUMMYFUNCTION("IFERROR(
  VLOOKUP(
    A89,
    IMPORTRANGE(
      ""1SCYQd7_cobOYqT0r_F0IqD4tE4rYn5y8Eup4PJTH8es"",
      ""Snapshot!A:M""
    ),
    7,
    FALSE
  ),
  0
)
"),6586.0)</f>
        <v>6586</v>
      </c>
      <c r="AH89" s="54">
        <f>IFERROR(__xludf.DUMMYFUNCTION("IFERROR(
  VLOOKUP(
    A89,
    IMPORTRANGE(
      ""1SCYQd7_cobOYqT0r_F0IqD4tE4rYn5y8Eup4PJTH8es"",
      ""Snapshot!A:M""
    ),
    8,
    FALSE
  ),
  0
)
"),3.0)</f>
        <v>3</v>
      </c>
      <c r="AI89" s="54">
        <f>IFERROR(__xludf.DUMMYFUNCTION("IFERROR(
  VLOOKUP(
    A89,
    IMPORTRANGE(
      ""1SCYQd7_cobOYqT0r_F0IqD4tE4rYn5y8Eup4PJTH8es"",
      ""Snapshot!A:M""
    ),
    9,
    FALSE
  ),
  0
)
"),2.0)</f>
        <v>2</v>
      </c>
      <c r="AJ89" s="54">
        <f>IFERROR(__xludf.DUMMYFUNCTION("IFERROR(
  VLOOKUP(
    A89,
    IMPORTRANGE(
      ""1SCYQd7_cobOYqT0r_F0IqD4tE4rYn5y8Eup4PJTH8es"",
      ""Snapshot!A:M""
    ),
    13,
    FALSE
  ),
  0
)
"),1.0)</f>
        <v>1</v>
      </c>
      <c r="AK89" s="49">
        <f t="shared" ref="AK89:AL89" si="440">LEN(C89)</f>
        <v>29</v>
      </c>
      <c r="AL89" s="49">
        <f t="shared" si="440"/>
        <v>66</v>
      </c>
    </row>
    <row r="90">
      <c r="A90" s="3" t="s">
        <v>1031</v>
      </c>
      <c r="B90" s="1" t="str">
        <f>IFERROR(__xludf.DUMMYFUNCTION("IFERROR(
  VLOOKUP(
    A90,
    IMPORTRANGE(
      ""1ZygntHC1J6IxzKbTidmOyf5nUyW4GCLurHCjexrLm_o"",
      ""HTMLキャッシュ!A:F""
    ),
    2,
    FALSE
  ),
  0
)
"),"MC")</f>
        <v>MC</v>
      </c>
      <c r="C90" s="1" t="str">
        <f>IFERROR(__xludf.DUMMYFUNCTION("IFERROR(
  VLOOKUP(
    A90,
    IMPORTRANGE(
      ""1ZygntHC1J6IxzKbTidmOyf5nUyW4GCLurHCjexrLm_o"",
      ""HTMLキャッシュ!A:F""
    ),
    5,
    FALSE
  ),
  0
)
"),"文型SVOCMと主語・目的語・補語の整理｜中2英語対応")</f>
        <v>文型SVOCMと主語・目的語・補語の整理｜中2英語対応</v>
      </c>
      <c r="D90" s="1" t="str">
        <f>IFERROR(__xludf.DUMMYFUNCTION("IFERROR(
  VLOOKUP(
    A90,
    IMPORTRANGE(
      ""1ZygntHC1J6IxzKbTidmOyf5nUyW4GCLurHCjexrLm_o        "",
      ""HTMLキャッシュ!A:F""
    ),
    6,
    FALSE
  ),
  0
)
"),"英語の文型（SVOCM）を基礎から整理。主語S・動詞V・目的語O・補語C・修飾語Mの違いを例文で確認。SVO/SVCの判定とO/Cの見分けも。")</f>
        <v>英語の文型（SVOCM）を基礎から整理。主語S・動詞V・目的語O・補語C・修飾語Mの違いを例文で確認。SVO/SVCの判定とO/Cの見分けも。</v>
      </c>
      <c r="E90" s="32">
        <f>IFERROR(__xludf.DUMMYFUNCTION("IFERROR(
  VLOOKUP(
    A90,
    IMPORTRANGE(
      ""1ZygntHC1J6IxzKbTidmOyf5nUyW4GCLurHCjexrLm_o        "",
      ""HTMLキャッシュ!A:F""
    ),
    3,
    FALSE
  ),
  0
)
"),46077.817557870374)</f>
        <v>46077.81756</v>
      </c>
      <c r="F90" s="49">
        <f>IFERROR(__xludf.DUMMYFUNCTION("IFERROR(
  VLOOKUP(
    A90,
    IMPORTRANGE(
      ""1ZHMy3vVUd_0MrSduXTe1etBb1HNpAlGwQr006ljwMiM"",
      ""GSC最新!A:F""
    ),
    2,
    FALSE
  ),
  0
)
"),0.0)</f>
        <v>0</v>
      </c>
      <c r="G90" s="49">
        <f>IFERROR(__xludf.DUMMYFUNCTION("IFERROR(
  VLOOKUP(
    A90,
    IMPORTRANGE(
      ""1ZHMy3vVUd_0MrSduXTe1etBb1HNpAlGwQr006ljwMiM"",
      ""GSC最新!A:F""
    ),
    3,
    FALSE
  ),
  0
)
"),3.0)</f>
        <v>3</v>
      </c>
      <c r="H90" s="49">
        <f>IFERROR(__xludf.DUMMYFUNCTION("IFERROR(
  VLOOKUP(
    A90,
    IMPORTRANGE(
      ""1ZHMy3vVUd_0MrSduXTe1etBb1HNpAlGwQr006ljwMiM"",
      ""GSC最新!A:F""
    ),
    4,
    FALSE
  ),
  0
)
"),2.0)</f>
        <v>2</v>
      </c>
      <c r="I90" s="49">
        <f>IFERROR(__xludf.DUMMYFUNCTION("IFERROR(
  VLOOKUP(
    A90,
    IMPORTRANGE(
      ""1ZHMy3vVUd_0MrSduXTe1etBb1HNpAlGwQr006ljwMiM"",
      ""GSC最新!A:F""
    ),
    5,
    FALSE
  ),
  0
)
"),5.0)</f>
        <v>5</v>
      </c>
      <c r="J90" s="50">
        <f t="shared" ref="J90:K90" si="441">IFERROR(F90/H90,"-")</f>
        <v>0</v>
      </c>
      <c r="K90" s="50">
        <f t="shared" si="441"/>
        <v>0.6</v>
      </c>
      <c r="L90" s="6">
        <f>IFERROR(__xludf.DUMMYFUNCTION("IFERROR(
  VLOOKUP(
    A90,
    IMPORTRANGE(
      ""1ZHMy3vVUd_0MrSduXTe1etBb1HNpAlGwQr006ljwMiM"",
      ""GSC最新!A:R""
    ),
    7,
    FALSE
  ),
  0
)
"),193.0)</f>
        <v>193</v>
      </c>
      <c r="M90" s="6">
        <f>IFERROR(__xludf.DUMMYFUNCTION("IFERROR(
  VLOOKUP(
    A90,
    IMPORTRANGE(
      ""1ZHMy3vVUd_0MrSduXTe1etBb1HNpAlGwQr006ljwMiM"",
      ""GSC最新!A:R""
    ),
    10,
    FALSE
  ),
  0
)
"),560.0)</f>
        <v>560</v>
      </c>
      <c r="N90" s="6">
        <f>IFERROR(__xludf.DUMMYFUNCTION("IFERROR(
  VLOOKUP(
    A90,
    IMPORTRANGE(
      ""1ZHMy3vVUd_0MrSduXTe1etBb1HNpAlGwQr006ljwMiM"",
      ""GSC最新!A:R""
    ),
    13,
    FALSE
  ),
  0
)
"),48.0)</f>
        <v>48</v>
      </c>
      <c r="O90" s="6">
        <f>IFERROR(__xludf.DUMMYFUNCTION("IFERROR(
  VLOOKUP(
    A90,
    IMPORTRANGE(
      ""1ZHMy3vVUd_0MrSduXTe1etBb1HNpAlGwQr006ljwMiM"",
      ""GSC最新!A:R""
    ),
    16,
    FALSE
  ),
  0
)
"),135.0)</f>
        <v>135</v>
      </c>
      <c r="P90" s="51">
        <f t="shared" ref="P90:Q90" si="442">IFERROR(L90/N90,"-")</f>
        <v>4.020833333</v>
      </c>
      <c r="Q90" s="51">
        <f t="shared" si="442"/>
        <v>4.148148148</v>
      </c>
      <c r="R90" s="9">
        <f>IFERROR(__xludf.DUMMYFUNCTION("IFERROR(
  VLOOKUP(
    A90,
    IMPORTRANGE(
      ""1ZHMy3vVUd_0MrSduXTe1etBb1HNpAlGwQr006ljwMiM"",
      ""GSC最新!A:R""
    ),
    8,
    FALSE
  ),
  0
)
"),0.0)</f>
        <v>0</v>
      </c>
      <c r="S90" s="9">
        <f>IFERROR(__xludf.DUMMYFUNCTION("IFERROR(
  VLOOKUP(
    A90,
    IMPORTRANGE(
      ""1ZHMy3vVUd_0MrSduXTe1etBb1HNpAlGwQr006ljwMiM"",
      ""GSC最新!A:R""
    ),
    11,
    FALSE
  ),
  0
)
"),0.005357142857142857)</f>
        <v>0.005357142857</v>
      </c>
      <c r="T90" s="9">
        <f>IFERROR(__xludf.DUMMYFUNCTION("IFERROR(
  VLOOKUP(
    A90,
    IMPORTRANGE(
      ""1ZHMy3vVUd_0MrSduXTe1etBb1HNpAlGwQr006ljwMiM"",
      ""GSC最新!A:R""
    ),
    14,
    FALSE
  ),
  0
)
"),0.041666666666666664)</f>
        <v>0.04166666667</v>
      </c>
      <c r="U90" s="9">
        <f>IFERROR(__xludf.DUMMYFUNCTION("IFERROR(
  VLOOKUP(
    A90,
    IMPORTRANGE(
      ""1ZHMy3vVUd_0MrSduXTe1etBb1HNpAlGwQr006ljwMiM"",
      ""GSC最新!A:R""
    ),
    17,
    FALSE
  ),
  0
)
"),0.037037037037037035)</f>
        <v>0.03703703704</v>
      </c>
      <c r="V90" s="9">
        <f t="shared" ref="V90:W90" si="443">IFERROR(R90-T90,"-")</f>
        <v>-0.04166666667</v>
      </c>
      <c r="W90" s="9">
        <f t="shared" si="443"/>
        <v>-0.03167989418</v>
      </c>
      <c r="X90" s="65">
        <f>IFERROR(__xludf.DUMMYFUNCTION("IFERROR(
  VLOOKUP(
    A90,
    IMPORTRANGE(
      ""1ZHMy3vVUd_0MrSduXTe1etBb1HNpAlGwQr006ljwMiM"",
      ""GSC最新!A:R""
    ),
    9,
    FALSE
  ),
  0
)
"),2.8704663212435233)</f>
        <v>2.870466321</v>
      </c>
      <c r="Y90" s="65">
        <f>IFERROR(__xludf.DUMMYFUNCTION("IFERROR(
  VLOOKUP(
    A90,
    IMPORTRANGE(
      ""1ZHMy3vVUd_0MrSduXTe1etBb1HNpAlGwQr006ljwMiM"",
      ""GSC最新!A:R""
    ),
    12,
    FALSE
  ),
  0
)
"),3.780357142857143)</f>
        <v>3.780357143</v>
      </c>
      <c r="Z90" s="65">
        <f>IFERROR(__xludf.DUMMYFUNCTION("IFERROR(
  VLOOKUP(
    A90,
    IMPORTRANGE(
      ""1ZHMy3vVUd_0MrSduXTe1etBb1HNpAlGwQr006ljwMiM"",
      ""GSC最新!A:R""
    ),
    15,
    FALSE
  ),
  0
)
"),6.916666666666667)</f>
        <v>6.916666667</v>
      </c>
      <c r="AA90" s="65">
        <f>IFERROR(__xludf.DUMMYFUNCTION("IFERROR(
  VLOOKUP(
    A90,
    IMPORTRANGE(
      ""1ZHMy3vVUd_0MrSduXTe1etBb1HNpAlGwQr006ljwMiM"",
      ""GSC最新!A:R""
    ),
    18,
    FALSE
  ),
  0
)
"),10.125925925925927)</f>
        <v>10.12592593</v>
      </c>
      <c r="AB90" s="65">
        <f t="shared" ref="AB90:AC90" si="444">X90-Z90</f>
        <v>-4.046200345</v>
      </c>
      <c r="AC90" s="65">
        <f t="shared" si="444"/>
        <v>-6.345568783</v>
      </c>
      <c r="AD90" s="53">
        <f>IFERROR(__xludf.DUMMYFUNCTION("IFERROR(
  VLOOKUP(
    A90,
    IMPORTRANGE(
      ""1ZHMy3vVUd_0MrSduXTe1etBb1HNpAlGwQr006ljwMiM"",
      ""GSC最新!A:F""
    ),
    6,
    FALSE
  ),
  0
)
"),46081.0)</f>
        <v>46081</v>
      </c>
      <c r="AE90" s="54">
        <f>IFERROR(__xludf.DUMMYFUNCTION("IFERROR(
  VLOOKUP(
    A90,
    IMPORTRANGE(
      ""1SCYQd7_cobOYqT0r_F0IqD4tE4rYn5y8Eup4PJTH8es"",
      ""Snapshot!A:M""
    ),
    5,
    FALSE
  ),
  ""-""
)
"),2.0)</f>
        <v>2</v>
      </c>
      <c r="AF90" s="54">
        <f>IFERROR(__xludf.DUMMYFUNCTION("IFERROR(
  VLOOKUP(
    A90,
    IMPORTRANGE(
      ""1SCYQd7_cobOYqT0r_F0IqD4tE4rYn5y8Eup4PJTH8es"",
      ""Snapshot!A:M""
    ),
    6,
    FALSE
  ),
  0
)
"),0.0)</f>
        <v>0</v>
      </c>
      <c r="AG90" s="54">
        <f>IFERROR(__xludf.DUMMYFUNCTION("IFERROR(
  VLOOKUP(
    A90,
    IMPORTRANGE(
      ""1SCYQd7_cobOYqT0r_F0IqD4tE4rYn5y8Eup4PJTH8es"",
      ""Snapshot!A:M""
    ),
    7,
    FALSE
  ),
  0
)
"),6621.0)</f>
        <v>6621</v>
      </c>
      <c r="AH90" s="54">
        <f>IFERROR(__xludf.DUMMYFUNCTION("IFERROR(
  VLOOKUP(
    A90,
    IMPORTRANGE(
      ""1SCYQd7_cobOYqT0r_F0IqD4tE4rYn5y8Eup4PJTH8es"",
      ""Snapshot!A:M""
    ),
    8,
    FALSE
  ),
  0
)
"),2.0)</f>
        <v>2</v>
      </c>
      <c r="AI90" s="54">
        <f>IFERROR(__xludf.DUMMYFUNCTION("IFERROR(
  VLOOKUP(
    A90,
    IMPORTRANGE(
      ""1SCYQd7_cobOYqT0r_F0IqD4tE4rYn5y8Eup4PJTH8es"",
      ""Snapshot!A:M""
    ),
    9,
    FALSE
  ),
  0
)
"),1.0)</f>
        <v>1</v>
      </c>
      <c r="AJ90" s="54">
        <f>IFERROR(__xludf.DUMMYFUNCTION("IFERROR(
  VLOOKUP(
    A90,
    IMPORTRANGE(
      ""1SCYQd7_cobOYqT0r_F0IqD4tE4rYn5y8Eup4PJTH8es"",
      ""Snapshot!A:M""
    ),
    13,
    FALSE
  ),
  0
)
"),1.0)</f>
        <v>1</v>
      </c>
      <c r="AK90" s="49">
        <f t="shared" ref="AK90:AL90" si="445">LEN(C90)</f>
        <v>27</v>
      </c>
      <c r="AL90" s="49">
        <f t="shared" si="445"/>
        <v>71</v>
      </c>
    </row>
    <row r="91">
      <c r="A91" s="3" t="s">
        <v>301</v>
      </c>
      <c r="B91" s="1" t="str">
        <f>IFERROR(__xludf.DUMMYFUNCTION("IFERROR(
  VLOOKUP(
    A91,
    IMPORTRANGE(
      ""1ZygntHC1J6IxzKbTidmOyf5nUyW4GCLurHCjexrLm_o"",
      ""HTMLキャッシュ!A:F""
    ),
    2,
    FALSE
  ),
  0
)
"),"SP")</f>
        <v>SP</v>
      </c>
      <c r="C91" s="1" t="str">
        <f>IFERROR(__xludf.DUMMYFUNCTION("IFERROR(
  VLOOKUP(
    A91,
    IMPORTRANGE(
      ""1ZygntHC1J6IxzKbTidmOyf5nUyW4GCLurHCjexrLm_o"",
      ""HTMLキャッシュ!A:F""
    ),
    5,
    FALSE
  ),
  0
)
"),"大学受験の英作文講座｜和文英訳・自由英作文を添削で得点源化｜個別指導（オンライン可）")</f>
        <v>大学受験の英作文講座｜和文英訳・自由英作文を添削で得点源化｜個別指導（オンライン可）</v>
      </c>
      <c r="D91" s="1" t="str">
        <f>IFERROR(__xludf.DUMMYFUNCTION("IFERROR(
  VLOOKUP(
    A91,
    IMPORTRANGE(
      ""1ZygntHC1J6IxzKbTidmOyf5nUyW4GCLurHCjexrLm_o        "",
      ""HTMLキャッシュ!A:F""
    ),
    6,
    FALSE
  ),
  0
)
"),"大学受験の英作文（和文英訳・自由英作文）を個別添削で強化。並べ替え→語句補充→自由英作文の順で土台を作り、典型表現と中学レベルの単語で「文法的に正しく減点されにくい答案」を仕上げます。オンライン可。")</f>
        <v>大学受験の英作文（和文英訳・自由英作文）を個別添削で強化。並べ替え→語句補充→自由英作文の順で土台を作り、典型表現と中学レベルの単語で「文法的に正しく減点されにくい答案」を仕上げます。オンライン可。</v>
      </c>
      <c r="E91" s="32">
        <f>IFERROR(__xludf.DUMMYFUNCTION("IFERROR(
  VLOOKUP(
    A91,
    IMPORTRANGE(
      ""1ZygntHC1J6IxzKbTidmOyf5nUyW4GCLurHCjexrLm_o        "",
      ""HTMLキャッシュ!A:F""
    ),
    3,
    FALSE
  ),
  0
)
"),46081.77302083333)</f>
        <v>46081.77302</v>
      </c>
      <c r="F91" s="49">
        <f>IFERROR(__xludf.DUMMYFUNCTION("IFERROR(
  VLOOKUP(
    A91,
    IMPORTRANGE(
      ""1ZHMy3vVUd_0MrSduXTe1etBb1HNpAlGwQr006ljwMiM"",
      ""GSC最新!A:F""
    ),
    2,
    FALSE
  ),
  0
)
"),1.0)</f>
        <v>1</v>
      </c>
      <c r="G91" s="49">
        <f>IFERROR(__xludf.DUMMYFUNCTION("IFERROR(
  VLOOKUP(
    A91,
    IMPORTRANGE(
      ""1ZHMy3vVUd_0MrSduXTe1etBb1HNpAlGwQr006ljwMiM"",
      ""GSC最新!A:F""
    ),
    3,
    FALSE
  ),
  0
)
"),4.0)</f>
        <v>4</v>
      </c>
      <c r="H91" s="49">
        <f>IFERROR(__xludf.DUMMYFUNCTION("IFERROR(
  VLOOKUP(
    A91,
    IMPORTRANGE(
      ""1ZHMy3vVUd_0MrSduXTe1etBb1HNpAlGwQr006ljwMiM"",
      ""GSC最新!A:F""
    ),
    4,
    FALSE
  ),
  0
)
"),1.0)</f>
        <v>1</v>
      </c>
      <c r="I91" s="49">
        <f>IFERROR(__xludf.DUMMYFUNCTION("IFERROR(
  VLOOKUP(
    A91,
    IMPORTRANGE(
      ""1ZHMy3vVUd_0MrSduXTe1etBb1HNpAlGwQr006ljwMiM"",
      ""GSC最新!A:F""
    ),
    5,
    FALSE
  ),
  0
)
"),5.0)</f>
        <v>5</v>
      </c>
      <c r="J91" s="50">
        <f t="shared" ref="J91:K91" si="446">IFERROR(F91/H91,"-")</f>
        <v>1</v>
      </c>
      <c r="K91" s="50">
        <f t="shared" si="446"/>
        <v>0.8</v>
      </c>
      <c r="L91" s="6">
        <f>IFERROR(__xludf.DUMMYFUNCTION("IFERROR(
  VLOOKUP(
    A91,
    IMPORTRANGE(
      ""1ZHMy3vVUd_0MrSduXTe1etBb1HNpAlGwQr006ljwMiM"",
      ""GSC最新!A:R""
    ),
    7,
    FALSE
  ),
  0
)
"),96.0)</f>
        <v>96</v>
      </c>
      <c r="M91" s="6">
        <f>IFERROR(__xludf.DUMMYFUNCTION("IFERROR(
  VLOOKUP(
    A91,
    IMPORTRANGE(
      ""1ZHMy3vVUd_0MrSduXTe1etBb1HNpAlGwQr006ljwMiM"",
      ""GSC最新!A:R""
    ),
    10,
    FALSE
  ),
  0
)
"),231.0)</f>
        <v>231</v>
      </c>
      <c r="N91" s="6">
        <f>IFERROR(__xludf.DUMMYFUNCTION("IFERROR(
  VLOOKUP(
    A91,
    IMPORTRANGE(
      ""1ZHMy3vVUd_0MrSduXTe1etBb1HNpAlGwQr006ljwMiM"",
      ""GSC最新!A:R""
    ),
    13,
    FALSE
  ),
  0
)
"),124.0)</f>
        <v>124</v>
      </c>
      <c r="O91" s="6">
        <f>IFERROR(__xludf.DUMMYFUNCTION("IFERROR(
  VLOOKUP(
    A91,
    IMPORTRANGE(
      ""1ZHMy3vVUd_0MrSduXTe1etBb1HNpAlGwQr006ljwMiM"",
      ""GSC最新!A:R""
    ),
    16,
    FALSE
  ),
  0
)
"),478.0)</f>
        <v>478</v>
      </c>
      <c r="P91" s="51">
        <f t="shared" ref="P91:Q91" si="447">IFERROR(L91/N91,"-")</f>
        <v>0.7741935484</v>
      </c>
      <c r="Q91" s="51">
        <f t="shared" si="447"/>
        <v>0.4832635983</v>
      </c>
      <c r="R91" s="9">
        <f>IFERROR(__xludf.DUMMYFUNCTION("IFERROR(
  VLOOKUP(
    A91,
    IMPORTRANGE(
      ""1ZHMy3vVUd_0MrSduXTe1etBb1HNpAlGwQr006ljwMiM"",
      ""GSC最新!A:R""
    ),
    8,
    FALSE
  ),
  0
)
"),0.010416666666666666)</f>
        <v>0.01041666667</v>
      </c>
      <c r="S91" s="9">
        <f>IFERROR(__xludf.DUMMYFUNCTION("IFERROR(
  VLOOKUP(
    A91,
    IMPORTRANGE(
      ""1ZHMy3vVUd_0MrSduXTe1etBb1HNpAlGwQr006ljwMiM"",
      ""GSC最新!A:R""
    ),
    11,
    FALSE
  ),
  0
)
"),0.017316017316017316)</f>
        <v>0.01731601732</v>
      </c>
      <c r="T91" s="9">
        <f>IFERROR(__xludf.DUMMYFUNCTION("IFERROR(
  VLOOKUP(
    A91,
    IMPORTRANGE(
      ""1ZHMy3vVUd_0MrSduXTe1etBb1HNpAlGwQr006ljwMiM"",
      ""GSC最新!A:R""
    ),
    14,
    FALSE
  ),
  0
)
"),0.008064516129032258)</f>
        <v>0.008064516129</v>
      </c>
      <c r="U91" s="9">
        <f>IFERROR(__xludf.DUMMYFUNCTION("IFERROR(
  VLOOKUP(
    A91,
    IMPORTRANGE(
      ""1ZHMy3vVUd_0MrSduXTe1etBb1HNpAlGwQr006ljwMiM"",
      ""GSC最新!A:R""
    ),
    17,
    FALSE
  ),
  0
)
"),0.010460251046025104)</f>
        <v>0.01046025105</v>
      </c>
      <c r="V91" s="9">
        <f t="shared" ref="V91:W91" si="448">IFERROR(R91-T91,"-")</f>
        <v>0.002352150538</v>
      </c>
      <c r="W91" s="9">
        <f t="shared" si="448"/>
        <v>0.00685576627</v>
      </c>
      <c r="X91" s="65">
        <f>IFERROR(__xludf.DUMMYFUNCTION("IFERROR(
  VLOOKUP(
    A91,
    IMPORTRANGE(
      ""1ZHMy3vVUd_0MrSduXTe1etBb1HNpAlGwQr006ljwMiM"",
      ""GSC最新!A:R""
    ),
    9,
    FALSE
  ),
  0
)
"),28.677083333333332)</f>
        <v>28.67708333</v>
      </c>
      <c r="Y91" s="65">
        <f>IFERROR(__xludf.DUMMYFUNCTION("IFERROR(
  VLOOKUP(
    A91,
    IMPORTRANGE(
      ""1ZHMy3vVUd_0MrSduXTe1etBb1HNpAlGwQr006ljwMiM"",
      ""GSC最新!A:R""
    ),
    12,
    FALSE
  ),
  0
)
"),31.58874458874459)</f>
        <v>31.58874459</v>
      </c>
      <c r="Z91" s="65">
        <f>IFERROR(__xludf.DUMMYFUNCTION("IFERROR(
  VLOOKUP(
    A91,
    IMPORTRANGE(
      ""1ZHMy3vVUd_0MrSduXTe1etBb1HNpAlGwQr006ljwMiM"",
      ""GSC最新!A:R""
    ),
    15,
    FALSE
  ),
  0
)
"),34.185483870967744)</f>
        <v>34.18548387</v>
      </c>
      <c r="AA91" s="65">
        <f>IFERROR(__xludf.DUMMYFUNCTION("IFERROR(
  VLOOKUP(
    A91,
    IMPORTRANGE(
      ""1ZHMy3vVUd_0MrSduXTe1etBb1HNpAlGwQr006ljwMiM"",
      ""GSC最新!A:R""
    ),
    18,
    FALSE
  ),
  0
)
"),48.03347280334728)</f>
        <v>48.0334728</v>
      </c>
      <c r="AB91" s="65">
        <f t="shared" ref="AB91:AC91" si="449">X91-Z91</f>
        <v>-5.508400538</v>
      </c>
      <c r="AC91" s="65">
        <f t="shared" si="449"/>
        <v>-16.44472821</v>
      </c>
      <c r="AD91" s="53">
        <f>IFERROR(__xludf.DUMMYFUNCTION("IFERROR(
  VLOOKUP(
    A91,
    IMPORTRANGE(
      ""1ZHMy3vVUd_0MrSduXTe1etBb1HNpAlGwQr006ljwMiM"",
      ""GSC最新!A:F""
    ),
    6,
    FALSE
  ),
  0
)
"),46081.0)</f>
        <v>46081</v>
      </c>
      <c r="AE91" s="54">
        <f>IFERROR(__xludf.DUMMYFUNCTION("IFERROR(
  VLOOKUP(
    A91,
    IMPORTRANGE(
      ""1SCYQd7_cobOYqT0r_F0IqD4tE4rYn5y8Eup4PJTH8es"",
      ""Snapshot!A:M""
    ),
    5,
    FALSE
  ),
  ""-""
)
"),6.0)</f>
        <v>6</v>
      </c>
      <c r="AF91" s="54">
        <f>IFERROR(__xludf.DUMMYFUNCTION("IFERROR(
  VLOOKUP(
    A91,
    IMPORTRANGE(
      ""1SCYQd7_cobOYqT0r_F0IqD4tE4rYn5y8Eup4PJTH8es"",
      ""Snapshot!A:M""
    ),
    6,
    FALSE
  ),
  0
)
"),9.0)</f>
        <v>9</v>
      </c>
      <c r="AG91" s="54">
        <f>IFERROR(__xludf.DUMMYFUNCTION("IFERROR(
  VLOOKUP(
    A91,
    IMPORTRANGE(
      ""1SCYQd7_cobOYqT0r_F0IqD4tE4rYn5y8Eup4PJTH8es"",
      ""Snapshot!A:M""
    ),
    7,
    FALSE
  ),
  0
)
"),3817.0)</f>
        <v>3817</v>
      </c>
      <c r="AH91" s="54">
        <f>IFERROR(__xludf.DUMMYFUNCTION("IFERROR(
  VLOOKUP(
    A91,
    IMPORTRANGE(
      ""1SCYQd7_cobOYqT0r_F0IqD4tE4rYn5y8Eup4PJTH8es"",
      ""Snapshot!A:M""
    ),
    8,
    FALSE
  ),
  0
)
"),1.0)</f>
        <v>1</v>
      </c>
      <c r="AI91" s="54">
        <f>IFERROR(__xludf.DUMMYFUNCTION("IFERROR(
  VLOOKUP(
    A91,
    IMPORTRANGE(
      ""1SCYQd7_cobOYqT0r_F0IqD4tE4rYn5y8Eup4PJTH8es"",
      ""Snapshot!A:M""
    ),
    9,
    FALSE
  ),
  0
)
"),1.0)</f>
        <v>1</v>
      </c>
      <c r="AJ91" s="54">
        <f>IFERROR(__xludf.DUMMYFUNCTION("IFERROR(
  VLOOKUP(
    A91,
    IMPORTRANGE(
      ""1SCYQd7_cobOYqT0r_F0IqD4tE4rYn5y8Eup4PJTH8es"",
      ""Snapshot!A:M""
    ),
    13,
    FALSE
  ),
  0
)
"),1.0)</f>
        <v>1</v>
      </c>
      <c r="AK91" s="49">
        <f t="shared" ref="AK91:AL91" si="450">LEN(C91)</f>
        <v>42</v>
      </c>
      <c r="AL91" s="49">
        <f t="shared" si="450"/>
        <v>99</v>
      </c>
    </row>
    <row r="92">
      <c r="A92" s="3" t="s">
        <v>1032</v>
      </c>
      <c r="B92" s="1" t="str">
        <f>IFERROR(__xludf.DUMMYFUNCTION("IFERROR(
  VLOOKUP(
    A92,
    IMPORTRANGE(
      ""1ZygntHC1J6IxzKbTidmOyf5nUyW4GCLurHCjexrLm_o"",
      ""HTMLキャッシュ!A:F""
    ),
    2,
    FALSE
  ),
  0
)
"),"MC")</f>
        <v>MC</v>
      </c>
      <c r="C92" s="1" t="str">
        <f>IFERROR(__xludf.DUMMYFUNCTION("IFERROR(
  VLOOKUP(
    A92,
    IMPORTRANGE(
      ""1ZygntHC1J6IxzKbTidmOyf5nUyW4GCLurHCjexrLm_o"",
      ""HTMLキャッシュ!A:F""
    ),
    5,
    FALSE
  ),
  0
)
"),"英作文 独学｜自由英作文は参考書が必要か・不要か｜大学受験")</f>
        <v>英作文 独学｜自由英作文は参考書が必要か・不要か｜大学受験</v>
      </c>
      <c r="D92" s="1" t="str">
        <f>IFERROR(__xludf.DUMMYFUNCTION("IFERROR(
  VLOOKUP(
    A92,
    IMPORTRANGE(
      ""1ZygntHC1J6IxzKbTidmOyf5nUyW4GCLurHCjexrLm_o        "",
      ""HTMLキャッシュ!A:F""
    ),
    6,
    FALSE
  ),
  0
)
"),"英作文を独学で進めたい受験生向け。自由英作文で参考書はいらないのかを分解し、型・ネタ・語数別に3冊の使い分けと順番を整理。")</f>
        <v>英作文を独学で進めたい受験生向け。自由英作文で参考書はいらないのかを分解し、型・ネタ・語数別に3冊の使い分けと順番を整理。</v>
      </c>
      <c r="E92" s="32">
        <f>IFERROR(__xludf.DUMMYFUNCTION("IFERROR(
  VLOOKUP(
    A92,
    IMPORTRANGE(
      ""1ZygntHC1J6IxzKbTidmOyf5nUyW4GCLurHCjexrLm_o        "",
      ""HTMLキャッシュ!A:F""
    ),
    3,
    FALSE
  ),
  0
)
"),46055.700590277775)</f>
        <v>46055.70059</v>
      </c>
      <c r="F92" s="49">
        <f>IFERROR(__xludf.DUMMYFUNCTION("IFERROR(
  VLOOKUP(
    A92,
    IMPORTRANGE(
      ""1ZHMy3vVUd_0MrSduXTe1etBb1HNpAlGwQr006ljwMiM"",
      ""GSC最新!A:F""
    ),
    2,
    FALSE
  ),
  0
)
"),3.0)</f>
        <v>3</v>
      </c>
      <c r="G92" s="49">
        <f>IFERROR(__xludf.DUMMYFUNCTION("IFERROR(
  VLOOKUP(
    A92,
    IMPORTRANGE(
      ""1ZHMy3vVUd_0MrSduXTe1etBb1HNpAlGwQr006ljwMiM"",
      ""GSC最新!A:F""
    ),
    3,
    FALSE
  ),
  0
)
"),4.0)</f>
        <v>4</v>
      </c>
      <c r="H92" s="49">
        <f>IFERROR(__xludf.DUMMYFUNCTION("IFERROR(
  VLOOKUP(
    A92,
    IMPORTRANGE(
      ""1ZHMy3vVUd_0MrSduXTe1etBb1HNpAlGwQr006ljwMiM"",
      ""GSC最新!A:F""
    ),
    4,
    FALSE
  ),
  0
)
"),0.0)</f>
        <v>0</v>
      </c>
      <c r="I92" s="49">
        <f>IFERROR(__xludf.DUMMYFUNCTION("IFERROR(
  VLOOKUP(
    A92,
    IMPORTRANGE(
      ""1ZHMy3vVUd_0MrSduXTe1etBb1HNpAlGwQr006ljwMiM"",
      ""GSC最新!A:F""
    ),
    5,
    FALSE
  ),
  0
)
"),0.0)</f>
        <v>0</v>
      </c>
      <c r="J92" s="50" t="str">
        <f t="shared" ref="J92:K92" si="451">IFERROR(F92/H92,"-")</f>
        <v>-</v>
      </c>
      <c r="K92" s="50" t="str">
        <f t="shared" si="451"/>
        <v>-</v>
      </c>
      <c r="L92" s="6">
        <f>IFERROR(__xludf.DUMMYFUNCTION("IFERROR(
  VLOOKUP(
    A92,
    IMPORTRANGE(
      ""1ZHMy3vVUd_0MrSduXTe1etBb1HNpAlGwQr006ljwMiM"",
      ""GSC最新!A:R""
    ),
    7,
    FALSE
  ),
  0
)
"),98.0)</f>
        <v>98</v>
      </c>
      <c r="M92" s="6">
        <f>IFERROR(__xludf.DUMMYFUNCTION("IFERROR(
  VLOOKUP(
    A92,
    IMPORTRANGE(
      ""1ZHMy3vVUd_0MrSduXTe1etBb1HNpAlGwQr006ljwMiM"",
      ""GSC最新!A:R""
    ),
    10,
    FALSE
  ),
  0
)
"),204.0)</f>
        <v>204</v>
      </c>
      <c r="N92" s="6">
        <f>IFERROR(__xludf.DUMMYFUNCTION("IFERROR(
  VLOOKUP(
    A92,
    IMPORTRANGE(
      ""1ZHMy3vVUd_0MrSduXTe1etBb1HNpAlGwQr006ljwMiM"",
      ""GSC最新!A:R""
    ),
    13,
    FALSE
  ),
  0
)
"),20.0)</f>
        <v>20</v>
      </c>
      <c r="O92" s="6">
        <f>IFERROR(__xludf.DUMMYFUNCTION("IFERROR(
  VLOOKUP(
    A92,
    IMPORTRANGE(
      ""1ZHMy3vVUd_0MrSduXTe1etBb1HNpAlGwQr006ljwMiM"",
      ""GSC最新!A:R""
    ),
    16,
    FALSE
  ),
  0
)
"),85.0)</f>
        <v>85</v>
      </c>
      <c r="P92" s="51">
        <f t="shared" ref="P92:Q92" si="452">IFERROR(L92/N92,"-")</f>
        <v>4.9</v>
      </c>
      <c r="Q92" s="51">
        <f t="shared" si="452"/>
        <v>2.4</v>
      </c>
      <c r="R92" s="9">
        <f>IFERROR(__xludf.DUMMYFUNCTION("IFERROR(
  VLOOKUP(
    A92,
    IMPORTRANGE(
      ""1ZHMy3vVUd_0MrSduXTe1etBb1HNpAlGwQr006ljwMiM"",
      ""GSC最新!A:R""
    ),
    8,
    FALSE
  ),
  0
)
"),0.030612244897959183)</f>
        <v>0.0306122449</v>
      </c>
      <c r="S92" s="9">
        <f>IFERROR(__xludf.DUMMYFUNCTION("IFERROR(
  VLOOKUP(
    A92,
    IMPORTRANGE(
      ""1ZHMy3vVUd_0MrSduXTe1etBb1HNpAlGwQr006ljwMiM"",
      ""GSC最新!A:R""
    ),
    11,
    FALSE
  ),
  0
)
"),0.0196078431372549)</f>
        <v>0.01960784314</v>
      </c>
      <c r="T92" s="9">
        <f>IFERROR(__xludf.DUMMYFUNCTION("IFERROR(
  VLOOKUP(
    A92,
    IMPORTRANGE(
      ""1ZHMy3vVUd_0MrSduXTe1etBb1HNpAlGwQr006ljwMiM"",
      ""GSC最新!A:R""
    ),
    14,
    FALSE
  ),
  0
)
"),0.0)</f>
        <v>0</v>
      </c>
      <c r="U92" s="9">
        <f>IFERROR(__xludf.DUMMYFUNCTION("IFERROR(
  VLOOKUP(
    A92,
    IMPORTRANGE(
      ""1ZHMy3vVUd_0MrSduXTe1etBb1HNpAlGwQr006ljwMiM"",
      ""GSC最新!A:R""
    ),
    17,
    FALSE
  ),
  0
)
"),0.0)</f>
        <v>0</v>
      </c>
      <c r="V92" s="9">
        <f t="shared" ref="V92:W92" si="453">IFERROR(R92-T92,"-")</f>
        <v>0.0306122449</v>
      </c>
      <c r="W92" s="9">
        <f t="shared" si="453"/>
        <v>0.01960784314</v>
      </c>
      <c r="X92" s="65">
        <f>IFERROR(__xludf.DUMMYFUNCTION("IFERROR(
  VLOOKUP(
    A92,
    IMPORTRANGE(
      ""1ZHMy3vVUd_0MrSduXTe1etBb1HNpAlGwQr006ljwMiM"",
      ""GSC最新!A:R""
    ),
    9,
    FALSE
  ),
  0
)
"),9.540816326530612)</f>
        <v>9.540816327</v>
      </c>
      <c r="Y92" s="65">
        <f>IFERROR(__xludf.DUMMYFUNCTION("IFERROR(
  VLOOKUP(
    A92,
    IMPORTRANGE(
      ""1ZHMy3vVUd_0MrSduXTe1etBb1HNpAlGwQr006ljwMiM"",
      ""GSC最新!A:R""
    ),
    12,
    FALSE
  ),
  0
)
"),15.0)</f>
        <v>15</v>
      </c>
      <c r="Z92" s="65">
        <f>IFERROR(__xludf.DUMMYFUNCTION("IFERROR(
  VLOOKUP(
    A92,
    IMPORTRANGE(
      ""1ZHMy3vVUd_0MrSduXTe1etBb1HNpAlGwQr006ljwMiM"",
      ""GSC最新!A:R""
    ),
    15,
    FALSE
  ),
  0
)
"),19.75)</f>
        <v>19.75</v>
      </c>
      <c r="AA92" s="65">
        <f>IFERROR(__xludf.DUMMYFUNCTION("IFERROR(
  VLOOKUP(
    A92,
    IMPORTRANGE(
      ""1ZHMy3vVUd_0MrSduXTe1etBb1HNpAlGwQr006ljwMiM"",
      ""GSC最新!A:R""
    ),
    18,
    FALSE
  ),
  0
)
"),50.16470588235294)</f>
        <v>50.16470588</v>
      </c>
      <c r="AB92" s="65">
        <f t="shared" ref="AB92:AC92" si="454">X92-Z92</f>
        <v>-10.20918367</v>
      </c>
      <c r="AC92" s="65">
        <f t="shared" si="454"/>
        <v>-35.16470588</v>
      </c>
      <c r="AD92" s="53">
        <f>IFERROR(__xludf.DUMMYFUNCTION("IFERROR(
  VLOOKUP(
    A92,
    IMPORTRANGE(
      ""1ZHMy3vVUd_0MrSduXTe1etBb1HNpAlGwQr006ljwMiM"",
      ""GSC最新!A:F""
    ),
    6,
    FALSE
  ),
  0
)
"),46081.0)</f>
        <v>46081</v>
      </c>
      <c r="AE92" s="54">
        <f>IFERROR(__xludf.DUMMYFUNCTION("IFERROR(
  VLOOKUP(
    A92,
    IMPORTRANGE(
      ""1SCYQd7_cobOYqT0r_F0IqD4tE4rYn5y8Eup4PJTH8es"",
      ""Snapshot!A:M""
    ),
    5,
    FALSE
  ),
  ""-""
)
"),3.0)</f>
        <v>3</v>
      </c>
      <c r="AF92" s="54">
        <f>IFERROR(__xludf.DUMMYFUNCTION("IFERROR(
  VLOOKUP(
    A92,
    IMPORTRANGE(
      ""1SCYQd7_cobOYqT0r_F0IqD4tE4rYn5y8Eup4PJTH8es"",
      ""Snapshot!A:M""
    ),
    6,
    FALSE
  ),
  0
)
"),5.0)</f>
        <v>5</v>
      </c>
      <c r="AG92" s="54">
        <f>IFERROR(__xludf.DUMMYFUNCTION("IFERROR(
  VLOOKUP(
    A92,
    IMPORTRANGE(
      ""1SCYQd7_cobOYqT0r_F0IqD4tE4rYn5y8Eup4PJTH8es"",
      ""Snapshot!A:M""
    ),
    7,
    FALSE
  ),
  0
)
"),1437.0)</f>
        <v>1437</v>
      </c>
      <c r="AH92" s="54">
        <f>IFERROR(__xludf.DUMMYFUNCTION("IFERROR(
  VLOOKUP(
    A92,
    IMPORTRANGE(
      ""1SCYQd7_cobOYqT0r_F0IqD4tE4rYn5y8Eup4PJTH8es"",
      ""Snapshot!A:M""
    ),
    8,
    FALSE
  ),
  0
)
"),2.0)</f>
        <v>2</v>
      </c>
      <c r="AI92" s="54">
        <f>IFERROR(__xludf.DUMMYFUNCTION("IFERROR(
  VLOOKUP(
    A92,
    IMPORTRANGE(
      ""1SCYQd7_cobOYqT0r_F0IqD4tE4rYn5y8Eup4PJTH8es"",
      ""Snapshot!A:M""
    ),
    9,
    FALSE
  ),
  0
)
"),2.0)</f>
        <v>2</v>
      </c>
      <c r="AJ92" s="54">
        <f>IFERROR(__xludf.DUMMYFUNCTION("IFERROR(
  VLOOKUP(
    A92,
    IMPORTRANGE(
      ""1SCYQd7_cobOYqT0r_F0IqD4tE4rYn5y8Eup4PJTH8es"",
      ""Snapshot!A:M""
    ),
    13,
    FALSE
  ),
  0
)
"),1.0)</f>
        <v>1</v>
      </c>
      <c r="AK92" s="49">
        <f t="shared" ref="AK92:AL92" si="455">LEN(C92)</f>
        <v>29</v>
      </c>
      <c r="AL92" s="49">
        <f t="shared" si="455"/>
        <v>61</v>
      </c>
    </row>
    <row r="93">
      <c r="A93" s="3" t="s">
        <v>1033</v>
      </c>
      <c r="B93" s="1" t="str">
        <f>IFERROR(__xludf.DUMMYFUNCTION("IFERROR(
  VLOOKUP(
    A93,
    IMPORTRANGE(
      ""1ZygntHC1J6IxzKbTidmOyf5nUyW4GCLurHCjexrLm_o"",
      ""HTMLキャッシュ!A:F""
    ),
    2,
    FALSE
  ),
  0
)
"),"MC")</f>
        <v>MC</v>
      </c>
      <c r="C93" s="1" t="str">
        <f>IFERROR(__xludf.DUMMYFUNCTION("IFERROR(
  VLOOKUP(
    A93,
    IMPORTRANGE(
      ""1ZygntHC1J6IxzKbTidmOyf5nUyW4GCLurHCjexrLm_o"",
      ""HTMLキャッシュ!A:F""
    ),
    5,
    FALSE
  ),
  0
)
"),"Stage2 Lesson4-2 不定詞副詞的用法 目的と原因の訳し方")</f>
        <v>Stage2 Lesson4-2 不定詞副詞的用法 目的と原因の訳し方</v>
      </c>
      <c r="D93" s="1" t="str">
        <f>IFERROR(__xludf.DUMMYFUNCTION("IFERROR(
  VLOOKUP(
    A93,
    IMPORTRANGE(
      ""1ZygntHC1J6IxzKbTidmOyf5nUyW4GCLurHCjexrLm_o        "",
      ""HTMLキャッシュ!A:F""
    ),
    6,
    FALSE
  ),
  0
)
"),"to不定詞の副詞的用法を整理。「〜するために」と「〜して（glad/sad）」を例文で訳し分け。形容詞的用法との違いも確認。")</f>
        <v>to不定詞の副詞的用法を整理。「〜するために」と「〜して（glad/sad）」を例文で訳し分け。形容詞的用法との違いも確認。</v>
      </c>
      <c r="E93" s="32">
        <f>IFERROR(__xludf.DUMMYFUNCTION("IFERROR(
  VLOOKUP(
    A93,
    IMPORTRANGE(
      ""1ZygntHC1J6IxzKbTidmOyf5nUyW4GCLurHCjexrLm_o        "",
      ""HTMLキャッシュ!A:F""
    ),
    3,
    FALSE
  ),
  0
)
"),46073.562997685185)</f>
        <v>46073.563</v>
      </c>
      <c r="F93" s="49">
        <f>IFERROR(__xludf.DUMMYFUNCTION("IFERROR(
  VLOOKUP(
    A93,
    IMPORTRANGE(
      ""1ZHMy3vVUd_0MrSduXTe1etBb1HNpAlGwQr006ljwMiM"",
      ""GSC最新!A:F""
    ),
    2,
    FALSE
  ),
  0
)
"),2.0)</f>
        <v>2</v>
      </c>
      <c r="G93" s="49">
        <f>IFERROR(__xludf.DUMMYFUNCTION("IFERROR(
  VLOOKUP(
    A93,
    IMPORTRANGE(
      ""1ZHMy3vVUd_0MrSduXTe1etBb1HNpAlGwQr006ljwMiM"",
      ""GSC最新!A:F""
    ),
    3,
    FALSE
  ),
  0
)
"),3.0)</f>
        <v>3</v>
      </c>
      <c r="H93" s="49">
        <f>IFERROR(__xludf.DUMMYFUNCTION("IFERROR(
  VLOOKUP(
    A93,
    IMPORTRANGE(
      ""1ZHMy3vVUd_0MrSduXTe1etBb1HNpAlGwQr006ljwMiM"",
      ""GSC最新!A:F""
    ),
    4,
    FALSE
  ),
  0
)
"),4.0)</f>
        <v>4</v>
      </c>
      <c r="I93" s="49">
        <f>IFERROR(__xludf.DUMMYFUNCTION("IFERROR(
  VLOOKUP(
    A93,
    IMPORTRANGE(
      ""1ZHMy3vVUd_0MrSduXTe1etBb1HNpAlGwQr006ljwMiM"",
      ""GSC最新!A:F""
    ),
    5,
    FALSE
  ),
  0
)
"),4.0)</f>
        <v>4</v>
      </c>
      <c r="J93" s="50">
        <f t="shared" ref="J93:K93" si="456">IFERROR(F93/H93,"-")</f>
        <v>0.5</v>
      </c>
      <c r="K93" s="50">
        <f t="shared" si="456"/>
        <v>0.75</v>
      </c>
      <c r="L93" s="6">
        <f>IFERROR(__xludf.DUMMYFUNCTION("IFERROR(
  VLOOKUP(
    A93,
    IMPORTRANGE(
      ""1ZHMy3vVUd_0MrSduXTe1etBb1HNpAlGwQr006ljwMiM"",
      ""GSC最新!A:R""
    ),
    7,
    FALSE
  ),
  0
)
"),581.0)</f>
        <v>581</v>
      </c>
      <c r="M93" s="6">
        <f>IFERROR(__xludf.DUMMYFUNCTION("IFERROR(
  VLOOKUP(
    A93,
    IMPORTRANGE(
      ""1ZHMy3vVUd_0MrSduXTe1etBb1HNpAlGwQr006ljwMiM"",
      ""GSC最新!A:R""
    ),
    10,
    FALSE
  ),
  0
)
"),952.0)</f>
        <v>952</v>
      </c>
      <c r="N93" s="6">
        <f>IFERROR(__xludf.DUMMYFUNCTION("IFERROR(
  VLOOKUP(
    A93,
    IMPORTRANGE(
      ""1ZHMy3vVUd_0MrSduXTe1etBb1HNpAlGwQr006ljwMiM"",
      ""GSC最新!A:R""
    ),
    13,
    FALSE
  ),
  0
)
"),153.0)</f>
        <v>153</v>
      </c>
      <c r="O93" s="6">
        <f>IFERROR(__xludf.DUMMYFUNCTION("IFERROR(
  VLOOKUP(
    A93,
    IMPORTRANGE(
      ""1ZHMy3vVUd_0MrSduXTe1etBb1HNpAlGwQr006ljwMiM"",
      ""GSC最新!A:R""
    ),
    16,
    FALSE
  ),
  0
)
"),471.0)</f>
        <v>471</v>
      </c>
      <c r="P93" s="51">
        <f t="shared" ref="P93:Q93" si="457">IFERROR(L93/N93,"-")</f>
        <v>3.797385621</v>
      </c>
      <c r="Q93" s="51">
        <f t="shared" si="457"/>
        <v>2.021231423</v>
      </c>
      <c r="R93" s="9">
        <f>IFERROR(__xludf.DUMMYFUNCTION("IFERROR(
  VLOOKUP(
    A93,
    IMPORTRANGE(
      ""1ZHMy3vVUd_0MrSduXTe1etBb1HNpAlGwQr006ljwMiM"",
      ""GSC最新!A:R""
    ),
    8,
    FALSE
  ),
  0
)
"),0.0034423407917383822)</f>
        <v>0.003442340792</v>
      </c>
      <c r="S93" s="9">
        <f>IFERROR(__xludf.DUMMYFUNCTION("IFERROR(
  VLOOKUP(
    A93,
    IMPORTRANGE(
      ""1ZHMy3vVUd_0MrSduXTe1etBb1HNpAlGwQr006ljwMiM"",
      ""GSC最新!A:R""
    ),
    11,
    FALSE
  ),
  0
)
"),0.0031512605042016808)</f>
        <v>0.003151260504</v>
      </c>
      <c r="T93" s="9">
        <f>IFERROR(__xludf.DUMMYFUNCTION("IFERROR(
  VLOOKUP(
    A93,
    IMPORTRANGE(
      ""1ZHMy3vVUd_0MrSduXTe1etBb1HNpAlGwQr006ljwMiM"",
      ""GSC最新!A:R""
    ),
    14,
    FALSE
  ),
  0
)
"),0.026143790849673203)</f>
        <v>0.02614379085</v>
      </c>
      <c r="U93" s="9">
        <f>IFERROR(__xludf.DUMMYFUNCTION("IFERROR(
  VLOOKUP(
    A93,
    IMPORTRANGE(
      ""1ZHMy3vVUd_0MrSduXTe1etBb1HNpAlGwQr006ljwMiM"",
      ""GSC最新!A:R""
    ),
    17,
    FALSE
  ),
  0
)
"),0.008492569002123142)</f>
        <v>0.008492569002</v>
      </c>
      <c r="V93" s="9">
        <f t="shared" ref="V93:W93" si="458">IFERROR(R93-T93,"-")</f>
        <v>-0.02270145006</v>
      </c>
      <c r="W93" s="9">
        <f t="shared" si="458"/>
        <v>-0.005341308498</v>
      </c>
      <c r="X93" s="65">
        <f>IFERROR(__xludf.DUMMYFUNCTION("IFERROR(
  VLOOKUP(
    A93,
    IMPORTRANGE(
      ""1ZHMy3vVUd_0MrSduXTe1etBb1HNpAlGwQr006ljwMiM"",
      ""GSC最新!A:R""
    ),
    9,
    FALSE
  ),
  0
)
"),3.746987951807229)</f>
        <v>3.746987952</v>
      </c>
      <c r="Y93" s="65">
        <f>IFERROR(__xludf.DUMMYFUNCTION("IFERROR(
  VLOOKUP(
    A93,
    IMPORTRANGE(
      ""1ZHMy3vVUd_0MrSduXTe1etBb1HNpAlGwQr006ljwMiM"",
      ""GSC最新!A:R""
    ),
    12,
    FALSE
  ),
  0
)
"),4.415966386554622)</f>
        <v>4.415966387</v>
      </c>
      <c r="Z93" s="65">
        <f>IFERROR(__xludf.DUMMYFUNCTION("IFERROR(
  VLOOKUP(
    A93,
    IMPORTRANGE(
      ""1ZHMy3vVUd_0MrSduXTe1etBb1HNpAlGwQr006ljwMiM"",
      ""GSC最新!A:R""
    ),
    15,
    FALSE
  ),
  0
)
"),9.117647058823529)</f>
        <v>9.117647059</v>
      </c>
      <c r="AA93" s="65">
        <f>IFERROR(__xludf.DUMMYFUNCTION("IFERROR(
  VLOOKUP(
    A93,
    IMPORTRANGE(
      ""1ZHMy3vVUd_0MrSduXTe1etBb1HNpAlGwQr006ljwMiM"",
      ""GSC最新!A:R""
    ),
    18,
    FALSE
  ),
  0
)
"),13.356687898089172)</f>
        <v>13.3566879</v>
      </c>
      <c r="AB93" s="65">
        <f t="shared" ref="AB93:AC93" si="459">X93-Z93</f>
        <v>-5.370659107</v>
      </c>
      <c r="AC93" s="65">
        <f t="shared" si="459"/>
        <v>-8.940721512</v>
      </c>
      <c r="AD93" s="53">
        <f>IFERROR(__xludf.DUMMYFUNCTION("IFERROR(
  VLOOKUP(
    A93,
    IMPORTRANGE(
      ""1ZHMy3vVUd_0MrSduXTe1etBb1HNpAlGwQr006ljwMiM"",
      ""GSC最新!A:F""
    ),
    6,
    FALSE
  ),
  0
)
"),46081.0)</f>
        <v>46081</v>
      </c>
      <c r="AE93" s="54">
        <f>IFERROR(__xludf.DUMMYFUNCTION("IFERROR(
  VLOOKUP(
    A93,
    IMPORTRANGE(
      ""1SCYQd7_cobOYqT0r_F0IqD4tE4rYn5y8Eup4PJTH8es"",
      ""Snapshot!A:M""
    ),
    5,
    FALSE
  ),
  ""-""
)
"),2.0)</f>
        <v>2</v>
      </c>
      <c r="AF93" s="54">
        <f>IFERROR(__xludf.DUMMYFUNCTION("IFERROR(
  VLOOKUP(
    A93,
    IMPORTRANGE(
      ""1SCYQd7_cobOYqT0r_F0IqD4tE4rYn5y8Eup4PJTH8es"",
      ""Snapshot!A:M""
    ),
    6,
    FALSE
  ),
  0
)
"),0.0)</f>
        <v>0</v>
      </c>
      <c r="AG93" s="54">
        <f>IFERROR(__xludf.DUMMYFUNCTION("IFERROR(
  VLOOKUP(
    A93,
    IMPORTRANGE(
      ""1SCYQd7_cobOYqT0r_F0IqD4tE4rYn5y8Eup4PJTH8es"",
      ""Snapshot!A:M""
    ),
    7,
    FALSE
  ),
  0
)
"),5403.0)</f>
        <v>5403</v>
      </c>
      <c r="AH93" s="54">
        <f>IFERROR(__xludf.DUMMYFUNCTION("IFERROR(
  VLOOKUP(
    A93,
    IMPORTRANGE(
      ""1SCYQd7_cobOYqT0r_F0IqD4tE4rYn5y8Eup4PJTH8es"",
      ""Snapshot!A:M""
    ),
    8,
    FALSE
  ),
  0
)
"),4.0)</f>
        <v>4</v>
      </c>
      <c r="AI93" s="54">
        <f>IFERROR(__xludf.DUMMYFUNCTION("IFERROR(
  VLOOKUP(
    A93,
    IMPORTRANGE(
      ""1SCYQd7_cobOYqT0r_F0IqD4tE4rYn5y8Eup4PJTH8es"",
      ""Snapshot!A:M""
    ),
    9,
    FALSE
  ),
  0
)
"),3.0)</f>
        <v>3</v>
      </c>
      <c r="AJ93" s="54">
        <f>IFERROR(__xludf.DUMMYFUNCTION("IFERROR(
  VLOOKUP(
    A93,
    IMPORTRANGE(
      ""1SCYQd7_cobOYqT0r_F0IqD4tE4rYn5y8Eup4PJTH8es"",
      ""Snapshot!A:M""
    ),
    13,
    FALSE
  ),
  0
)
"),1.0)</f>
        <v>1</v>
      </c>
      <c r="AK93" s="49">
        <f t="shared" ref="AK93:AL93" si="460">LEN(C93)</f>
        <v>35</v>
      </c>
      <c r="AL93" s="49">
        <f t="shared" si="460"/>
        <v>62</v>
      </c>
    </row>
    <row r="94">
      <c r="A94" s="3" t="s">
        <v>1034</v>
      </c>
      <c r="B94" s="1" t="str">
        <f>IFERROR(__xludf.DUMMYFUNCTION("IFERROR(
  VLOOKUP(
    A94,
    IMPORTRANGE(
      ""1ZygntHC1J6IxzKbTidmOyf5nUyW4GCLurHCjexrLm_o"",
      ""HTMLキャッシュ!A:F""
    ),
    2,
    FALSE
  ),
  0
)
"),"MC")</f>
        <v>MC</v>
      </c>
      <c r="C94" s="1" t="str">
        <f>IFERROR(__xludf.DUMMYFUNCTION("IFERROR(
  VLOOKUP(
    A94,
    IMPORTRANGE(
      ""1ZygntHC1J6IxzKbTidmOyf5nUyW4GCLurHCjexrLm_o"",
      ""HTMLキャッシュ!A:F""
    ),
    5,
    FALSE
  ),
  0
)
"),"主語とは｜動名詞の名詞的用法と置き場所（主語・補語・目的語）")</f>
        <v>主語とは｜動名詞の名詞的用法と置き場所（主語・補語・目的語）</v>
      </c>
      <c r="D94" s="1" t="str">
        <f>IFERROR(__xludf.DUMMYFUNCTION("IFERROR(
  VLOOKUP(
    A94,
    IMPORTRANGE(
      ""1ZygntHC1J6IxzKbTidmOyf5nUyW4GCLurHCjexrLm_o        "",
      ""HTMLキャッシュ!A:F""
    ),
    6,
    FALSE
  ),
  0
)
"),"主語とは何かを押さえたうえで、動名詞の名詞的用法（〜すること）を主語・補語・目的語の3位置で判定。be＋ingの進行形との違い、前置詞の後ろはingの根拠も例文で確認。")</f>
        <v>主語とは何かを押さえたうえで、動名詞の名詞的用法（〜すること）を主語・補語・目的語の3位置で判定。be＋ingの進行形との違い、前置詞の後ろはingの根拠も例文で確認。</v>
      </c>
      <c r="E94" s="32">
        <f>IFERROR(__xludf.DUMMYFUNCTION("IFERROR(
  VLOOKUP(
    A94,
    IMPORTRANGE(
      ""1ZygntHC1J6IxzKbTidmOyf5nUyW4GCLurHCjexrLm_o        "",
      ""HTMLキャッシュ!A:F""
    ),
    3,
    FALSE
  ),
  0
)
"),46077.818090277775)</f>
        <v>46077.81809</v>
      </c>
      <c r="F94" s="49">
        <f>IFERROR(__xludf.DUMMYFUNCTION("IFERROR(
  VLOOKUP(
    A94,
    IMPORTRANGE(
      ""1ZHMy3vVUd_0MrSduXTe1etBb1HNpAlGwQr006ljwMiM"",
      ""GSC最新!A:F""
    ),
    2,
    FALSE
  ),
  0
)
"),0.0)</f>
        <v>0</v>
      </c>
      <c r="G94" s="49">
        <f>IFERROR(__xludf.DUMMYFUNCTION("IFERROR(
  VLOOKUP(
    A94,
    IMPORTRANGE(
      ""1ZHMy3vVUd_0MrSduXTe1etBb1HNpAlGwQr006ljwMiM"",
      ""GSC最新!A:F""
    ),
    3,
    FALSE
  ),
  0
)
"),2.0)</f>
        <v>2</v>
      </c>
      <c r="H94" s="49">
        <f>IFERROR(__xludf.DUMMYFUNCTION("IFERROR(
  VLOOKUP(
    A94,
    IMPORTRANGE(
      ""1ZHMy3vVUd_0MrSduXTe1etBb1HNpAlGwQr006ljwMiM"",
      ""GSC最新!A:F""
    ),
    4,
    FALSE
  ),
  0
)
"),2.0)</f>
        <v>2</v>
      </c>
      <c r="I94" s="49">
        <f>IFERROR(__xludf.DUMMYFUNCTION("IFERROR(
  VLOOKUP(
    A94,
    IMPORTRANGE(
      ""1ZHMy3vVUd_0MrSduXTe1etBb1HNpAlGwQr006ljwMiM"",
      ""GSC最新!A:F""
    ),
    5,
    FALSE
  ),
  0
)
"),8.0)</f>
        <v>8</v>
      </c>
      <c r="J94" s="50">
        <f t="shared" ref="J94:K94" si="461">IFERROR(F94/H94,"-")</f>
        <v>0</v>
      </c>
      <c r="K94" s="50">
        <f t="shared" si="461"/>
        <v>0.25</v>
      </c>
      <c r="L94" s="6">
        <f>IFERROR(__xludf.DUMMYFUNCTION("IFERROR(
  VLOOKUP(
    A94,
    IMPORTRANGE(
      ""1ZHMy3vVUd_0MrSduXTe1etBb1HNpAlGwQr006ljwMiM"",
      ""GSC最新!A:R""
    ),
    7,
    FALSE
  ),
  0
)
"),250.0)</f>
        <v>250</v>
      </c>
      <c r="M94" s="6">
        <f>IFERROR(__xludf.DUMMYFUNCTION("IFERROR(
  VLOOKUP(
    A94,
    IMPORTRANGE(
      ""1ZHMy3vVUd_0MrSduXTe1etBb1HNpAlGwQr006ljwMiM"",
      ""GSC最新!A:R""
    ),
    10,
    FALSE
  ),
  0
)
"),599.0)</f>
        <v>599</v>
      </c>
      <c r="N94" s="6">
        <f>IFERROR(__xludf.DUMMYFUNCTION("IFERROR(
  VLOOKUP(
    A94,
    IMPORTRANGE(
      ""1ZHMy3vVUd_0MrSduXTe1etBb1HNpAlGwQr006ljwMiM"",
      ""GSC最新!A:R""
    ),
    13,
    FALSE
  ),
  0
)
"),45.0)</f>
        <v>45</v>
      </c>
      <c r="O94" s="6">
        <f>IFERROR(__xludf.DUMMYFUNCTION("IFERROR(
  VLOOKUP(
    A94,
    IMPORTRANGE(
      ""1ZHMy3vVUd_0MrSduXTe1etBb1HNpAlGwQr006ljwMiM"",
      ""GSC最新!A:R""
    ),
    16,
    FALSE
  ),
  0
)
"),224.0)</f>
        <v>224</v>
      </c>
      <c r="P94" s="51">
        <f t="shared" ref="P94:Q94" si="462">IFERROR(L94/N94,"-")</f>
        <v>5.555555556</v>
      </c>
      <c r="Q94" s="51">
        <f t="shared" si="462"/>
        <v>2.674107143</v>
      </c>
      <c r="R94" s="9">
        <f>IFERROR(__xludf.DUMMYFUNCTION("IFERROR(
  VLOOKUP(
    A94,
    IMPORTRANGE(
      ""1ZHMy3vVUd_0MrSduXTe1etBb1HNpAlGwQr006ljwMiM"",
      ""GSC最新!A:R""
    ),
    8,
    FALSE
  ),
  0
)
"),0.0)</f>
        <v>0</v>
      </c>
      <c r="S94" s="9">
        <f>IFERROR(__xludf.DUMMYFUNCTION("IFERROR(
  VLOOKUP(
    A94,
    IMPORTRANGE(
      ""1ZHMy3vVUd_0MrSduXTe1etBb1HNpAlGwQr006ljwMiM"",
      ""GSC最新!A:R""
    ),
    11,
    FALSE
  ),
  0
)
"),0.00333889816360601)</f>
        <v>0.003338898164</v>
      </c>
      <c r="T94" s="9">
        <f>IFERROR(__xludf.DUMMYFUNCTION("IFERROR(
  VLOOKUP(
    A94,
    IMPORTRANGE(
      ""1ZHMy3vVUd_0MrSduXTe1etBb1HNpAlGwQr006ljwMiM"",
      ""GSC最新!A:R""
    ),
    14,
    FALSE
  ),
  0
)
"),0.044444444444444446)</f>
        <v>0.04444444444</v>
      </c>
      <c r="U94" s="9">
        <f>IFERROR(__xludf.DUMMYFUNCTION("IFERROR(
  VLOOKUP(
    A94,
    IMPORTRANGE(
      ""1ZHMy3vVUd_0MrSduXTe1etBb1HNpAlGwQr006ljwMiM"",
      ""GSC最新!A:R""
    ),
    17,
    FALSE
  ),
  0
)
"),0.03571428571428571)</f>
        <v>0.03571428571</v>
      </c>
      <c r="V94" s="9">
        <f t="shared" ref="V94:W94" si="463">IFERROR(R94-T94,"-")</f>
        <v>-0.04444444444</v>
      </c>
      <c r="W94" s="9">
        <f t="shared" si="463"/>
        <v>-0.03237538755</v>
      </c>
      <c r="X94" s="65">
        <f>IFERROR(__xludf.DUMMYFUNCTION("IFERROR(
  VLOOKUP(
    A94,
    IMPORTRANGE(
      ""1ZHMy3vVUd_0MrSduXTe1etBb1HNpAlGwQr006ljwMiM"",
      ""GSC最新!A:R""
    ),
    9,
    FALSE
  ),
  0
)
"),2.692)</f>
        <v>2.692</v>
      </c>
      <c r="Y94" s="65">
        <f>IFERROR(__xludf.DUMMYFUNCTION("IFERROR(
  VLOOKUP(
    A94,
    IMPORTRANGE(
      ""1ZHMy3vVUd_0MrSduXTe1etBb1HNpAlGwQr006ljwMiM"",
      ""GSC最新!A:R""
    ),
    12,
    FALSE
  ),
  0
)
"),3.0834724540901504)</f>
        <v>3.083472454</v>
      </c>
      <c r="Z94" s="65">
        <f>IFERROR(__xludf.DUMMYFUNCTION("IFERROR(
  VLOOKUP(
    A94,
    IMPORTRANGE(
      ""1ZHMy3vVUd_0MrSduXTe1etBb1HNpAlGwQr006ljwMiM"",
      ""GSC最新!A:R""
    ),
    15,
    FALSE
  ),
  0
)
"),8.133333333333333)</f>
        <v>8.133333333</v>
      </c>
      <c r="AA94" s="65">
        <f>IFERROR(__xludf.DUMMYFUNCTION("IFERROR(
  VLOOKUP(
    A94,
    IMPORTRANGE(
      ""1ZHMy3vVUd_0MrSduXTe1etBb1HNpAlGwQr006ljwMiM"",
      ""GSC最新!A:R""
    ),
    18,
    FALSE
  ),
  0
)
"),7.96875)</f>
        <v>7.96875</v>
      </c>
      <c r="AB94" s="65">
        <f t="shared" ref="AB94:AC94" si="464">X94-Z94</f>
        <v>-5.441333333</v>
      </c>
      <c r="AC94" s="65">
        <f t="shared" si="464"/>
        <v>-4.885277546</v>
      </c>
      <c r="AD94" s="53">
        <f>IFERROR(__xludf.DUMMYFUNCTION("IFERROR(
  VLOOKUP(
    A94,
    IMPORTRANGE(
      ""1ZHMy3vVUd_0MrSduXTe1etBb1HNpAlGwQr006ljwMiM"",
      ""GSC最新!A:F""
    ),
    6,
    FALSE
  ),
  0
)
"),46081.0)</f>
        <v>46081</v>
      </c>
      <c r="AE94" s="54">
        <f>IFERROR(__xludf.DUMMYFUNCTION("IFERROR(
  VLOOKUP(
    A94,
    IMPORTRANGE(
      ""1SCYQd7_cobOYqT0r_F0IqD4tE4rYn5y8Eup4PJTH8es"",
      ""Snapshot!A:M""
    ),
    5,
    FALSE
  ),
  ""-""
)
"),2.0)</f>
        <v>2</v>
      </c>
      <c r="AF94" s="54">
        <f>IFERROR(__xludf.DUMMYFUNCTION("IFERROR(
  VLOOKUP(
    A94,
    IMPORTRANGE(
      ""1SCYQd7_cobOYqT0r_F0IqD4tE4rYn5y8Eup4PJTH8es"",
      ""Snapshot!A:M""
    ),
    6,
    FALSE
  ),
  0
)
"),0.0)</f>
        <v>0</v>
      </c>
      <c r="AG94" s="54">
        <f>IFERROR(__xludf.DUMMYFUNCTION("IFERROR(
  VLOOKUP(
    A94,
    IMPORTRANGE(
      ""1SCYQd7_cobOYqT0r_F0IqD4tE4rYn5y8Eup4PJTH8es"",
      ""Snapshot!A:M""
    ),
    7,
    FALSE
  ),
  0
)
"),6862.0)</f>
        <v>6862</v>
      </c>
      <c r="AH94" s="54">
        <f>IFERROR(__xludf.DUMMYFUNCTION("IFERROR(
  VLOOKUP(
    A94,
    IMPORTRANGE(
      ""1SCYQd7_cobOYqT0r_F0IqD4tE4rYn5y8Eup4PJTH8es"",
      ""Snapshot!A:M""
    ),
    8,
    FALSE
  ),
  0
)
"),2.0)</f>
        <v>2</v>
      </c>
      <c r="AI94" s="54">
        <f>IFERROR(__xludf.DUMMYFUNCTION("IFERROR(
  VLOOKUP(
    A94,
    IMPORTRANGE(
      ""1SCYQd7_cobOYqT0r_F0IqD4tE4rYn5y8Eup4PJTH8es"",
      ""Snapshot!A:M""
    ),
    9,
    FALSE
  ),
  0
)
"),1.0)</f>
        <v>1</v>
      </c>
      <c r="AJ94" s="54">
        <f>IFERROR(__xludf.DUMMYFUNCTION("IFERROR(
  VLOOKUP(
    A94,
    IMPORTRANGE(
      ""1SCYQd7_cobOYqT0r_F0IqD4tE4rYn5y8Eup4PJTH8es"",
      ""Snapshot!A:M""
    ),
    13,
    FALSE
  ),
  0
)
"),1.0)</f>
        <v>1</v>
      </c>
      <c r="AK94" s="49">
        <f t="shared" ref="AK94:AL94" si="465">LEN(C94)</f>
        <v>30</v>
      </c>
      <c r="AL94" s="49">
        <f t="shared" si="465"/>
        <v>84</v>
      </c>
    </row>
    <row r="95">
      <c r="A95" s="3" t="s">
        <v>1035</v>
      </c>
      <c r="B95" s="1" t="str">
        <f>IFERROR(__xludf.DUMMYFUNCTION("IFERROR(
  VLOOKUP(
    A95,
    IMPORTRANGE(
      ""1ZygntHC1J6IxzKbTidmOyf5nUyW4GCLurHCjexrLm_o"",
      ""HTMLキャッシュ!A:F""
    ),
    2,
    FALSE
  ),
  0
)
"),"MC")</f>
        <v>MC</v>
      </c>
      <c r="C95" s="1" t="str">
        <f>IFERROR(__xludf.DUMMYFUNCTION("IFERROR(
  VLOOKUP(
    A95,
    IMPORTRANGE(
      ""1ZygntHC1J6IxzKbTidmOyf5nUyW4GCLurHCjexrLm_o"",
      ""HTMLキャッシュ!A:F""
    ),
    5,
    FALSE
  ),
  0
)
"),"英語文法の基礎と応用 重要ルールを例文で徹底整理")</f>
        <v>英語文法の基礎と応用 重要ルールを例文で徹底整理</v>
      </c>
      <c r="D95" s="1" t="str">
        <f>IFERROR(__xludf.DUMMYFUNCTION("IFERROR(
  VLOOKUP(
    A95,
    IMPORTRANGE(
      ""1ZygntHC1J6IxzKbTidmOyf5nUyW4GCLurHCjexrLm_o        "",
      ""HTMLキャッシュ!A:F""
    ),
    6,
    FALSE
  ),
  0
)
"),"英文法を個別指導で学ぶ利点を整理。説明の入口を変える／つまずきまで遡る。個別にとはの疑問も回収。")</f>
        <v>英文法を個別指導で学ぶ利点を整理。説明の入口を変える／つまずきまで遡る。個別にとはの疑問も回収。</v>
      </c>
      <c r="E95" s="32">
        <f>IFERROR(__xludf.DUMMYFUNCTION("IFERROR(
  VLOOKUP(
    A95,
    IMPORTRANGE(
      ""1ZygntHC1J6IxzKbTidmOyf5nUyW4GCLurHCjexrLm_o        "",
      ""HTMLキャッシュ!A:F""
    ),
    3,
    FALSE
  ),
  0
)
"),46077.797638888886)</f>
        <v>46077.79764</v>
      </c>
      <c r="F95" s="49">
        <f>IFERROR(__xludf.DUMMYFUNCTION("IFERROR(
  VLOOKUP(
    A95,
    IMPORTRANGE(
      ""1ZHMy3vVUd_0MrSduXTe1etBb1HNpAlGwQr006ljwMiM"",
      ""GSC最新!A:F""
    ),
    2,
    FALSE
  ),
  0
)
"),0.0)</f>
        <v>0</v>
      </c>
      <c r="G95" s="49">
        <f>IFERROR(__xludf.DUMMYFUNCTION("IFERROR(
  VLOOKUP(
    A95,
    IMPORTRANGE(
      ""1ZHMy3vVUd_0MrSduXTe1etBb1HNpAlGwQr006ljwMiM"",
      ""GSC最新!A:F""
    ),
    3,
    FALSE
  ),
  0
)
"),3.0)</f>
        <v>3</v>
      </c>
      <c r="H95" s="49">
        <f>IFERROR(__xludf.DUMMYFUNCTION("IFERROR(
  VLOOKUP(
    A95,
    IMPORTRANGE(
      ""1ZHMy3vVUd_0MrSduXTe1etBb1HNpAlGwQr006ljwMiM"",
      ""GSC最新!A:F""
    ),
    4,
    FALSE
  ),
  0
)
"),4.0)</f>
        <v>4</v>
      </c>
      <c r="I95" s="49">
        <f>IFERROR(__xludf.DUMMYFUNCTION("IFERROR(
  VLOOKUP(
    A95,
    IMPORTRANGE(
      ""1ZHMy3vVUd_0MrSduXTe1etBb1HNpAlGwQr006ljwMiM"",
      ""GSC最新!A:F""
    ),
    5,
    FALSE
  ),
  0
)
"),5.0)</f>
        <v>5</v>
      </c>
      <c r="J95" s="50">
        <f t="shared" ref="J95:K95" si="466">IFERROR(F95/H95,"-")</f>
        <v>0</v>
      </c>
      <c r="K95" s="50">
        <f t="shared" si="466"/>
        <v>0.6</v>
      </c>
      <c r="L95" s="6">
        <f>IFERROR(__xludf.DUMMYFUNCTION("IFERROR(
  VLOOKUP(
    A95,
    IMPORTRANGE(
      ""1ZHMy3vVUd_0MrSduXTe1etBb1HNpAlGwQr006ljwMiM"",
      ""GSC最新!A:R""
    ),
    7,
    FALSE
  ),
  0
)
"),91.0)</f>
        <v>91</v>
      </c>
      <c r="M95" s="6">
        <f>IFERROR(__xludf.DUMMYFUNCTION("IFERROR(
  VLOOKUP(
    A95,
    IMPORTRANGE(
      ""1ZHMy3vVUd_0MrSduXTe1etBb1HNpAlGwQr006ljwMiM"",
      ""GSC最新!A:R""
    ),
    10,
    FALSE
  ),
  0
)
"),151.0)</f>
        <v>151</v>
      </c>
      <c r="N95" s="6">
        <f>IFERROR(__xludf.DUMMYFUNCTION("IFERROR(
  VLOOKUP(
    A95,
    IMPORTRANGE(
      ""1ZHMy3vVUd_0MrSduXTe1etBb1HNpAlGwQr006ljwMiM"",
      ""GSC最新!A:R""
    ),
    13,
    FALSE
  ),
  0
)
"),121.0)</f>
        <v>121</v>
      </c>
      <c r="O95" s="6">
        <f>IFERROR(__xludf.DUMMYFUNCTION("IFERROR(
  VLOOKUP(
    A95,
    IMPORTRANGE(
      ""1ZHMy3vVUd_0MrSduXTe1etBb1HNpAlGwQr006ljwMiM"",
      ""GSC最新!A:R""
    ),
    16,
    FALSE
  ),
  0
)
"),246.0)</f>
        <v>246</v>
      </c>
      <c r="P95" s="51">
        <f t="shared" ref="P95:Q95" si="467">IFERROR(L95/N95,"-")</f>
        <v>0.7520661157</v>
      </c>
      <c r="Q95" s="51">
        <f t="shared" si="467"/>
        <v>0.6138211382</v>
      </c>
      <c r="R95" s="9">
        <f>IFERROR(__xludf.DUMMYFUNCTION("IFERROR(
  VLOOKUP(
    A95,
    IMPORTRANGE(
      ""1ZHMy3vVUd_0MrSduXTe1etBb1HNpAlGwQr006ljwMiM"",
      ""GSC最新!A:R""
    ),
    8,
    FALSE
  ),
  0
)
"),0.0)</f>
        <v>0</v>
      </c>
      <c r="S95" s="9">
        <f>IFERROR(__xludf.DUMMYFUNCTION("IFERROR(
  VLOOKUP(
    A95,
    IMPORTRANGE(
      ""1ZHMy3vVUd_0MrSduXTe1etBb1HNpAlGwQr006ljwMiM"",
      ""GSC最新!A:R""
    ),
    11,
    FALSE
  ),
  0
)
"),0.019867549668874173)</f>
        <v>0.01986754967</v>
      </c>
      <c r="T95" s="9">
        <f>IFERROR(__xludf.DUMMYFUNCTION("IFERROR(
  VLOOKUP(
    A95,
    IMPORTRANGE(
      ""1ZHMy3vVUd_0MrSduXTe1etBb1HNpAlGwQr006ljwMiM"",
      ""GSC最新!A:R""
    ),
    14,
    FALSE
  ),
  0
)
"),0.03305785123966942)</f>
        <v>0.03305785124</v>
      </c>
      <c r="U95" s="9">
        <f>IFERROR(__xludf.DUMMYFUNCTION("IFERROR(
  VLOOKUP(
    A95,
    IMPORTRANGE(
      ""1ZHMy3vVUd_0MrSduXTe1etBb1HNpAlGwQr006ljwMiM"",
      ""GSC最新!A:R""
    ),
    17,
    FALSE
  ),
  0
)
"),0.02032520325203252)</f>
        <v>0.02032520325</v>
      </c>
      <c r="V95" s="9">
        <f t="shared" ref="V95:W95" si="468">IFERROR(R95-T95,"-")</f>
        <v>-0.03305785124</v>
      </c>
      <c r="W95" s="9">
        <f t="shared" si="468"/>
        <v>-0.0004576535832</v>
      </c>
      <c r="X95" s="65">
        <f>IFERROR(__xludf.DUMMYFUNCTION("IFERROR(
  VLOOKUP(
    A95,
    IMPORTRANGE(
      ""1ZHMy3vVUd_0MrSduXTe1etBb1HNpAlGwQr006ljwMiM"",
      ""GSC最新!A:R""
    ),
    9,
    FALSE
  ),
  0
)
"),11.68131868131868)</f>
        <v>11.68131868</v>
      </c>
      <c r="Y95" s="65">
        <f>IFERROR(__xludf.DUMMYFUNCTION("IFERROR(
  VLOOKUP(
    A95,
    IMPORTRANGE(
      ""1ZHMy3vVUd_0MrSduXTe1etBb1HNpAlGwQr006ljwMiM"",
      ""GSC最新!A:R""
    ),
    12,
    FALSE
  ),
  0
)
"),16.251655629139073)</f>
        <v>16.25165563</v>
      </c>
      <c r="Z95" s="65">
        <f>IFERROR(__xludf.DUMMYFUNCTION("IFERROR(
  VLOOKUP(
    A95,
    IMPORTRANGE(
      ""1ZHMy3vVUd_0MrSduXTe1etBb1HNpAlGwQr006ljwMiM"",
      ""GSC最新!A:R""
    ),
    15,
    FALSE
  ),
  0
)
"),28.611570247933884)</f>
        <v>28.61157025</v>
      </c>
      <c r="AA95" s="65">
        <f>IFERROR(__xludf.DUMMYFUNCTION("IFERROR(
  VLOOKUP(
    A95,
    IMPORTRANGE(
      ""1ZHMy3vVUd_0MrSduXTe1etBb1HNpAlGwQr006ljwMiM"",
      ""GSC最新!A:R""
    ),
    18,
    FALSE
  ),
  0
)
"),35.32113821138211)</f>
        <v>35.32113821</v>
      </c>
      <c r="AB95" s="65">
        <f t="shared" ref="AB95:AC95" si="469">X95-Z95</f>
        <v>-16.93025157</v>
      </c>
      <c r="AC95" s="65">
        <f t="shared" si="469"/>
        <v>-19.06948258</v>
      </c>
      <c r="AD95" s="53">
        <f>IFERROR(__xludf.DUMMYFUNCTION("IFERROR(
  VLOOKUP(
    A95,
    IMPORTRANGE(
      ""1ZHMy3vVUd_0MrSduXTe1etBb1HNpAlGwQr006ljwMiM"",
      ""GSC最新!A:F""
    ),
    6,
    FALSE
  ),
  0
)
"),46081.0)</f>
        <v>46081</v>
      </c>
      <c r="AE95" s="54">
        <f>IFERROR(__xludf.DUMMYFUNCTION("IFERROR(
  VLOOKUP(
    A95,
    IMPORTRANGE(
      ""1SCYQd7_cobOYqT0r_F0IqD4tE4rYn5y8Eup4PJTH8es"",
      ""Snapshot!A:M""
    ),
    5,
    FALSE
  ),
  ""-""
)
"),6.0)</f>
        <v>6</v>
      </c>
      <c r="AF95" s="54">
        <f>IFERROR(__xludf.DUMMYFUNCTION("IFERROR(
  VLOOKUP(
    A95,
    IMPORTRANGE(
      ""1SCYQd7_cobOYqT0r_F0IqD4tE4rYn5y8Eup4PJTH8es"",
      ""Snapshot!A:M""
    ),
    6,
    FALSE
  ),
  0
)
"),12.0)</f>
        <v>12</v>
      </c>
      <c r="AG95" s="54">
        <f>IFERROR(__xludf.DUMMYFUNCTION("IFERROR(
  VLOOKUP(
    A95,
    IMPORTRANGE(
      ""1SCYQd7_cobOYqT0r_F0IqD4tE4rYn5y8Eup4PJTH8es"",
      ""Snapshot!A:M""
    ),
    7,
    FALSE
  ),
  0
)
"),1821.0)</f>
        <v>1821</v>
      </c>
      <c r="AH95" s="54">
        <f>IFERROR(__xludf.DUMMYFUNCTION("IFERROR(
  VLOOKUP(
    A95,
    IMPORTRANGE(
      ""1SCYQd7_cobOYqT0r_F0IqD4tE4rYn5y8Eup4PJTH8es"",
      ""Snapshot!A:M""
    ),
    8,
    FALSE
  ),
  0
)
"),3.0)</f>
        <v>3</v>
      </c>
      <c r="AI95" s="54">
        <f>IFERROR(__xludf.DUMMYFUNCTION("IFERROR(
  VLOOKUP(
    A95,
    IMPORTRANGE(
      ""1SCYQd7_cobOYqT0r_F0IqD4tE4rYn5y8Eup4PJTH8es"",
      ""Snapshot!A:M""
    ),
    9,
    FALSE
  ),
  0
)
"),1.0)</f>
        <v>1</v>
      </c>
      <c r="AJ95" s="54">
        <f>IFERROR(__xludf.DUMMYFUNCTION("IFERROR(
  VLOOKUP(
    A95,
    IMPORTRANGE(
      ""1SCYQd7_cobOYqT0r_F0IqD4tE4rYn5y8Eup4PJTH8es"",
      ""Snapshot!A:M""
    ),
    13,
    FALSE
  ),
  0
)
"),1.0)</f>
        <v>1</v>
      </c>
      <c r="AK95" s="49">
        <f t="shared" ref="AK95:AL95" si="470">LEN(C95)</f>
        <v>24</v>
      </c>
      <c r="AL95" s="49">
        <f t="shared" si="470"/>
        <v>48</v>
      </c>
    </row>
    <row r="96">
      <c r="A96" s="3" t="s">
        <v>1036</v>
      </c>
      <c r="B96" s="1" t="str">
        <f>IFERROR(__xludf.DUMMYFUNCTION("IFERROR(
  VLOOKUP(
    A96,
    IMPORTRANGE(
      ""1ZygntHC1J6IxzKbTidmOyf5nUyW4GCLurHCjexrLm_o"",
      ""HTMLキャッシュ!A:F""
    ),
    2,
    FALSE
  ),
  0
)
"),"MC")</f>
        <v>MC</v>
      </c>
      <c r="C96" s="1" t="str">
        <f>IFERROR(__xludf.DUMMYFUNCTION("IFERROR(
  VLOOKUP(
    A96,
    IMPORTRANGE(
      ""1ZygntHC1J6IxzKbTidmOyf5nUyW4GCLurHCjexrLm_o"",
      ""HTMLキャッシュ!A:F""
    ),
    5,
    FALSE
  ),
  0
)
"),"英語の授業の受け方完全ガイド｜予習で疑問・復習で定着")</f>
        <v>英語の授業の受け方完全ガイド｜予習で疑問・復習で定着</v>
      </c>
      <c r="D96" s="1" t="str">
        <f>IFERROR(__xludf.DUMMYFUNCTION("IFERROR(
  VLOOKUP(
    A96,
    IMPORTRANGE(
      ""1ZygntHC1J6IxzKbTidmOyf5nUyW4GCLurHCjexrLm_o        "",
      ""HTMLキャッシュ!A:F""
    ),
    6,
    FALSE
  ),
  0
)
"),"英語は授業前に予習で疑問を作り、授業は板書＋口頭補足をノートへ。授業の後は当日復習で穴を回収し、定期テストと受験の点を安定。")</f>
        <v>英語は授業前に予習で疑問を作り、授業は板書＋口頭補足をノートへ。授業の後は当日復習で穴を回収し、定期テストと受験の点を安定。</v>
      </c>
      <c r="E96" s="32">
        <f>IFERROR(__xludf.DUMMYFUNCTION("IFERROR(
  VLOOKUP(
    A96,
    IMPORTRANGE(
      ""1ZygntHC1J6IxzKbTidmOyf5nUyW4GCLurHCjexrLm_o        "",
      ""HTMLキャッシュ!A:F""
    ),
    3,
    FALSE
  ),
  0
)
"),46073.84930555556)</f>
        <v>46073.84931</v>
      </c>
      <c r="F96" s="49">
        <f>IFERROR(__xludf.DUMMYFUNCTION("IFERROR(
  VLOOKUP(
    A96,
    IMPORTRANGE(
      ""1ZHMy3vVUd_0MrSduXTe1etBb1HNpAlGwQr006ljwMiM"",
      ""GSC最新!A:F""
    ),
    2,
    FALSE
  ),
  0
)
"),2.0)</f>
        <v>2</v>
      </c>
      <c r="G96" s="49">
        <f>IFERROR(__xludf.DUMMYFUNCTION("IFERROR(
  VLOOKUP(
    A96,
    IMPORTRANGE(
      ""1ZHMy3vVUd_0MrSduXTe1etBb1HNpAlGwQr006ljwMiM"",
      ""GSC最新!A:F""
    ),
    3,
    FALSE
  ),
  0
)
"),3.0)</f>
        <v>3</v>
      </c>
      <c r="H96" s="49">
        <f>IFERROR(__xludf.DUMMYFUNCTION("IFERROR(
  VLOOKUP(
    A96,
    IMPORTRANGE(
      ""1ZHMy3vVUd_0MrSduXTe1etBb1HNpAlGwQr006ljwMiM"",
      ""GSC最新!A:F""
    ),
    4,
    FALSE
  ),
  0
)
"),4.0)</f>
        <v>4</v>
      </c>
      <c r="I96" s="49">
        <f>IFERROR(__xludf.DUMMYFUNCTION("IFERROR(
  VLOOKUP(
    A96,
    IMPORTRANGE(
      ""1ZHMy3vVUd_0MrSduXTe1etBb1HNpAlGwQr006ljwMiM"",
      ""GSC最新!A:F""
    ),
    5,
    FALSE
  ),
  0
)
"),7.0)</f>
        <v>7</v>
      </c>
      <c r="J96" s="50">
        <f t="shared" ref="J96:K96" si="471">IFERROR(F96/H96,"-")</f>
        <v>0.5</v>
      </c>
      <c r="K96" s="50">
        <f t="shared" si="471"/>
        <v>0.4285714286</v>
      </c>
      <c r="L96" s="6">
        <f>IFERROR(__xludf.DUMMYFUNCTION("IFERROR(
  VLOOKUP(
    A96,
    IMPORTRANGE(
      ""1ZHMy3vVUd_0MrSduXTe1etBb1HNpAlGwQr006ljwMiM"",
      ""GSC最新!A:R""
    ),
    7,
    FALSE
  ),
  0
)
"),35.0)</f>
        <v>35</v>
      </c>
      <c r="M96" s="6">
        <f>IFERROR(__xludf.DUMMYFUNCTION("IFERROR(
  VLOOKUP(
    A96,
    IMPORTRANGE(
      ""1ZHMy3vVUd_0MrSduXTe1etBb1HNpAlGwQr006ljwMiM"",
      ""GSC最新!A:R""
    ),
    10,
    FALSE
  ),
  0
)
"),71.0)</f>
        <v>71</v>
      </c>
      <c r="N96" s="6">
        <f>IFERROR(__xludf.DUMMYFUNCTION("IFERROR(
  VLOOKUP(
    A96,
    IMPORTRANGE(
      ""1ZHMy3vVUd_0MrSduXTe1etBb1HNpAlGwQr006ljwMiM"",
      ""GSC最新!A:R""
    ),
    13,
    FALSE
  ),
  0
)
"),51.0)</f>
        <v>51</v>
      </c>
      <c r="O96" s="6">
        <f>IFERROR(__xludf.DUMMYFUNCTION("IFERROR(
  VLOOKUP(
    A96,
    IMPORTRANGE(
      ""1ZHMy3vVUd_0MrSduXTe1etBb1HNpAlGwQr006ljwMiM"",
      ""GSC最新!A:R""
    ),
    16,
    FALSE
  ),
  0
)
"),117.0)</f>
        <v>117</v>
      </c>
      <c r="P96" s="51">
        <f t="shared" ref="P96:Q96" si="472">IFERROR(L96/N96,"-")</f>
        <v>0.6862745098</v>
      </c>
      <c r="Q96" s="51">
        <f t="shared" si="472"/>
        <v>0.6068376068</v>
      </c>
      <c r="R96" s="9">
        <f>IFERROR(__xludf.DUMMYFUNCTION("IFERROR(
  VLOOKUP(
    A96,
    IMPORTRANGE(
      ""1ZHMy3vVUd_0MrSduXTe1etBb1HNpAlGwQr006ljwMiM"",
      ""GSC最新!A:R""
    ),
    8,
    FALSE
  ),
  0
)
"),0.05714285714285714)</f>
        <v>0.05714285714</v>
      </c>
      <c r="S96" s="9">
        <f>IFERROR(__xludf.DUMMYFUNCTION("IFERROR(
  VLOOKUP(
    A96,
    IMPORTRANGE(
      ""1ZHMy3vVUd_0MrSduXTe1etBb1HNpAlGwQr006ljwMiM"",
      ""GSC最新!A:R""
    ),
    11,
    FALSE
  ),
  0
)
"),0.04225352112676056)</f>
        <v>0.04225352113</v>
      </c>
      <c r="T96" s="9">
        <f>IFERROR(__xludf.DUMMYFUNCTION("IFERROR(
  VLOOKUP(
    A96,
    IMPORTRANGE(
      ""1ZHMy3vVUd_0MrSduXTe1etBb1HNpAlGwQr006ljwMiM"",
      ""GSC最新!A:R""
    ),
    14,
    FALSE
  ),
  0
)
"),0.0784313725490196)</f>
        <v>0.07843137255</v>
      </c>
      <c r="U96" s="9">
        <f>IFERROR(__xludf.DUMMYFUNCTION("IFERROR(
  VLOOKUP(
    A96,
    IMPORTRANGE(
      ""1ZHMy3vVUd_0MrSduXTe1etBb1HNpAlGwQr006ljwMiM"",
      ""GSC最新!A:R""
    ),
    17,
    FALSE
  ),
  0
)
"),0.05982905982905983)</f>
        <v>0.05982905983</v>
      </c>
      <c r="V96" s="9">
        <f t="shared" ref="V96:W96" si="473">IFERROR(R96-T96,"-")</f>
        <v>-0.02128851541</v>
      </c>
      <c r="W96" s="9">
        <f t="shared" si="473"/>
        <v>-0.0175755387</v>
      </c>
      <c r="X96" s="65">
        <f>IFERROR(__xludf.DUMMYFUNCTION("IFERROR(
  VLOOKUP(
    A96,
    IMPORTRANGE(
      ""1ZHMy3vVUd_0MrSduXTe1etBb1HNpAlGwQr006ljwMiM"",
      ""GSC最新!A:R""
    ),
    9,
    FALSE
  ),
  0
)
"),7.171428571428572)</f>
        <v>7.171428571</v>
      </c>
      <c r="Y96" s="65">
        <f>IFERROR(__xludf.DUMMYFUNCTION("IFERROR(
  VLOOKUP(
    A96,
    IMPORTRANGE(
      ""1ZHMy3vVUd_0MrSduXTe1etBb1HNpAlGwQr006ljwMiM"",
      ""GSC最新!A:R""
    ),
    12,
    FALSE
  ),
  0
)
"),7.436619718309859)</f>
        <v>7.436619718</v>
      </c>
      <c r="Z96" s="65">
        <f>IFERROR(__xludf.DUMMYFUNCTION("IFERROR(
  VLOOKUP(
    A96,
    IMPORTRANGE(
      ""1ZHMy3vVUd_0MrSduXTe1etBb1HNpAlGwQr006ljwMiM"",
      ""GSC最新!A:R""
    ),
    15,
    FALSE
  ),
  0
)
"),36.84313725490196)</f>
        <v>36.84313725</v>
      </c>
      <c r="AA96" s="65">
        <f>IFERROR(__xludf.DUMMYFUNCTION("IFERROR(
  VLOOKUP(
    A96,
    IMPORTRANGE(
      ""1ZHMy3vVUd_0MrSduXTe1etBb1HNpAlGwQr006ljwMiM"",
      ""GSC最新!A:R""
    ),
    18,
    FALSE
  ),
  0
)
"),20.34188034188034)</f>
        <v>20.34188034</v>
      </c>
      <c r="AB96" s="65">
        <f t="shared" ref="AB96:AC96" si="474">X96-Z96</f>
        <v>-29.67170868</v>
      </c>
      <c r="AC96" s="65">
        <f t="shared" si="474"/>
        <v>-12.90526062</v>
      </c>
      <c r="AD96" s="53">
        <f>IFERROR(__xludf.DUMMYFUNCTION("IFERROR(
  VLOOKUP(
    A96,
    IMPORTRANGE(
      ""1ZHMy3vVUd_0MrSduXTe1etBb1HNpAlGwQr006ljwMiM"",
      ""GSC最新!A:F""
    ),
    6,
    FALSE
  ),
  0
)
"),46081.0)</f>
        <v>46081</v>
      </c>
      <c r="AE96" s="54">
        <f>IFERROR(__xludf.DUMMYFUNCTION("IFERROR(
  VLOOKUP(
    A96,
    IMPORTRANGE(
      ""1SCYQd7_cobOYqT0r_F0IqD4tE4rYn5y8Eup4PJTH8es"",
      ""Snapshot!A:M""
    ),
    5,
    FALSE
  ),
  ""-""
)
"),0.0)</f>
        <v>0</v>
      </c>
      <c r="AF96" s="54">
        <f>IFERROR(__xludf.DUMMYFUNCTION("IFERROR(
  VLOOKUP(
    A96,
    IMPORTRANGE(
      ""1SCYQd7_cobOYqT0r_F0IqD4tE4rYn5y8Eup4PJTH8es"",
      ""Snapshot!A:M""
    ),
    6,
    FALSE
  ),
  0
)
"),2.0)</f>
        <v>2</v>
      </c>
      <c r="AG96" s="54">
        <f>IFERROR(__xludf.DUMMYFUNCTION("IFERROR(
  VLOOKUP(
    A96,
    IMPORTRANGE(
      ""1SCYQd7_cobOYqT0r_F0IqD4tE4rYn5y8Eup4PJTH8es"",
      ""Snapshot!A:M""
    ),
    7,
    FALSE
  ),
  0
)
"),866.0)</f>
        <v>866</v>
      </c>
      <c r="AH96" s="54">
        <f>IFERROR(__xludf.DUMMYFUNCTION("IFERROR(
  VLOOKUP(
    A96,
    IMPORTRANGE(
      ""1SCYQd7_cobOYqT0r_F0IqD4tE4rYn5y8Eup4PJTH8es"",
      ""Snapshot!A:M""
    ),
    8,
    FALSE
  ),
  0
)
"),2.0)</f>
        <v>2</v>
      </c>
      <c r="AI96" s="54">
        <f>IFERROR(__xludf.DUMMYFUNCTION("IFERROR(
  VLOOKUP(
    A96,
    IMPORTRANGE(
      ""1SCYQd7_cobOYqT0r_F0IqD4tE4rYn5y8Eup4PJTH8es"",
      ""Snapshot!A:M""
    ),
    9,
    FALSE
  ),
  0
)
"),1.0)</f>
        <v>1</v>
      </c>
      <c r="AJ96" s="54">
        <f>IFERROR(__xludf.DUMMYFUNCTION("IFERROR(
  VLOOKUP(
    A96,
    IMPORTRANGE(
      ""1SCYQd7_cobOYqT0r_F0IqD4tE4rYn5y8Eup4PJTH8es"",
      ""Snapshot!A:M""
    ),
    13,
    FALSE
  ),
  0
)
"),1.0)</f>
        <v>1</v>
      </c>
      <c r="AK96" s="49">
        <f t="shared" ref="AK96:AL96" si="475">LEN(C96)</f>
        <v>26</v>
      </c>
      <c r="AL96" s="49">
        <f t="shared" si="475"/>
        <v>62</v>
      </c>
    </row>
    <row r="97">
      <c r="A97" s="3" t="s">
        <v>1037</v>
      </c>
      <c r="B97" s="1" t="str">
        <f>IFERROR(__xludf.DUMMYFUNCTION("IFERROR(
  VLOOKUP(
    A97,
    IMPORTRANGE(
      ""1ZygntHC1J6IxzKbTidmOyf5nUyW4GCLurHCjexrLm_o"",
      ""HTMLキャッシュ!A:F""
    ),
    2,
    FALSE
  ),
  0
)
"),"MC")</f>
        <v>MC</v>
      </c>
      <c r="C97" s="1" t="str">
        <f>IFERROR(__xludf.DUMMYFUNCTION("IFERROR(
  VLOOKUP(
    A97,
    IMPORTRANGE(
      ""1ZygntHC1J6IxzKbTidmOyf5nUyW4GCLurHCjexrLm_o"",
      ""HTMLキャッシュ!A:F""
    ),
    5,
    FALSE
  ),
  0
)
"),"一般動詞とbe動詞の違い｜Do/Areの見分けと誤答例｜中1英語")</f>
        <v>一般動詞とbe動詞の違い｜Do/Areの見分けと誤答例｜中1英語</v>
      </c>
      <c r="D97" s="1" t="str">
        <f>IFERROR(__xludf.DUMMYFUNCTION("IFERROR(
  VLOOKUP(
    A97,
    IMPORTRANGE(
      ""1ZygntHC1J6IxzKbTidmOyf5nUyW4GCLurHCjexrLm_o        "",
      ""HTMLキャッシュ!A:F""
    ),
    6,
    FALSE
  ),
  0
)
"),"一般動詞とbe動詞の違いを「否定・疑問」で判定。notかdon’t、AreかDoを迷わない見分け方と、I am not play等の誤答例で確認。中1の最初を固める。")</f>
        <v>一般動詞とbe動詞の違いを「否定・疑問」で判定。notかdon’t、AreかDoを迷わない見分け方と、I am not play等の誤答例で確認。中1の最初を固める。</v>
      </c>
      <c r="E97" s="32">
        <f>IFERROR(__xludf.DUMMYFUNCTION("IFERROR(
  VLOOKUP(
    A97,
    IMPORTRANGE(
      ""1ZygntHC1J6IxzKbTidmOyf5nUyW4GCLurHCjexrLm_o        "",
      ""HTMLキャッシュ!A:F""
    ),
    3,
    FALSE
  ),
  0
)
"),46077.80385416667)</f>
        <v>46077.80385</v>
      </c>
      <c r="F97" s="49">
        <f>IFERROR(__xludf.DUMMYFUNCTION("IFERROR(
  VLOOKUP(
    A97,
    IMPORTRANGE(
      ""1ZHMy3vVUd_0MrSduXTe1etBb1HNpAlGwQr006ljwMiM"",
      ""GSC最新!A:F""
    ),
    2,
    FALSE
  ),
  0
)
"),1.0)</f>
        <v>1</v>
      </c>
      <c r="G97" s="49">
        <f>IFERROR(__xludf.DUMMYFUNCTION("IFERROR(
  VLOOKUP(
    A97,
    IMPORTRANGE(
      ""1ZHMy3vVUd_0MrSduXTe1etBb1HNpAlGwQr006ljwMiM"",
      ""GSC最新!A:F""
    ),
    3,
    FALSE
  ),
  0
)
"),2.0)</f>
        <v>2</v>
      </c>
      <c r="H97" s="49">
        <f>IFERROR(__xludf.DUMMYFUNCTION("IFERROR(
  VLOOKUP(
    A97,
    IMPORTRANGE(
      ""1ZHMy3vVUd_0MrSduXTe1etBb1HNpAlGwQr006ljwMiM"",
      ""GSC最新!A:F""
    ),
    4,
    FALSE
  ),
  0
)
"),1.0)</f>
        <v>1</v>
      </c>
      <c r="I97" s="49">
        <f>IFERROR(__xludf.DUMMYFUNCTION("IFERROR(
  VLOOKUP(
    A97,
    IMPORTRANGE(
      ""1ZHMy3vVUd_0MrSduXTe1etBb1HNpAlGwQr006ljwMiM"",
      ""GSC最新!A:F""
    ),
    5,
    FALSE
  ),
  0
)
"),1.0)</f>
        <v>1</v>
      </c>
      <c r="J97" s="50">
        <f t="shared" ref="J97:K97" si="476">IFERROR(F97/H97,"-")</f>
        <v>1</v>
      </c>
      <c r="K97" s="50">
        <f t="shared" si="476"/>
        <v>2</v>
      </c>
      <c r="L97" s="6">
        <f>IFERROR(__xludf.DUMMYFUNCTION("IFERROR(
  VLOOKUP(
    A97,
    IMPORTRANGE(
      ""1ZHMy3vVUd_0MrSduXTe1etBb1HNpAlGwQr006ljwMiM"",
      ""GSC最新!A:R""
    ),
    7,
    FALSE
  ),
  0
)
"),777.0)</f>
        <v>777</v>
      </c>
      <c r="M97" s="6">
        <f>IFERROR(__xludf.DUMMYFUNCTION("IFERROR(
  VLOOKUP(
    A97,
    IMPORTRANGE(
      ""1ZHMy3vVUd_0MrSduXTe1etBb1HNpAlGwQr006ljwMiM"",
      ""GSC最新!A:R""
    ),
    10,
    FALSE
  ),
  0
)
"),1025.0)</f>
        <v>1025</v>
      </c>
      <c r="N97" s="6">
        <f>IFERROR(__xludf.DUMMYFUNCTION("IFERROR(
  VLOOKUP(
    A97,
    IMPORTRANGE(
      ""1ZHMy3vVUd_0MrSduXTe1etBb1HNpAlGwQr006ljwMiM"",
      ""GSC最新!A:R""
    ),
    13,
    FALSE
  ),
  0
)
"),11.0)</f>
        <v>11</v>
      </c>
      <c r="O97" s="6">
        <f>IFERROR(__xludf.DUMMYFUNCTION("IFERROR(
  VLOOKUP(
    A97,
    IMPORTRANGE(
      ""1ZHMy3vVUd_0MrSduXTe1etBb1HNpAlGwQr006ljwMiM"",
      ""GSC最新!A:R""
    ),
    16,
    FALSE
  ),
  0
)
"),36.0)</f>
        <v>36</v>
      </c>
      <c r="P97" s="51">
        <f t="shared" ref="P97:Q97" si="477">IFERROR(L97/N97,"-")</f>
        <v>70.63636364</v>
      </c>
      <c r="Q97" s="51">
        <f t="shared" si="477"/>
        <v>28.47222222</v>
      </c>
      <c r="R97" s="9">
        <f>IFERROR(__xludf.DUMMYFUNCTION("IFERROR(
  VLOOKUP(
    A97,
    IMPORTRANGE(
      ""1ZHMy3vVUd_0MrSduXTe1etBb1HNpAlGwQr006ljwMiM"",
      ""GSC最新!A:R""
    ),
    8,
    FALSE
  ),
  0
)
"),0.001287001287001287)</f>
        <v>0.001287001287</v>
      </c>
      <c r="S97" s="9">
        <f>IFERROR(__xludf.DUMMYFUNCTION("IFERROR(
  VLOOKUP(
    A97,
    IMPORTRANGE(
      ""1ZHMy3vVUd_0MrSduXTe1etBb1HNpAlGwQr006ljwMiM"",
      ""GSC最新!A:R""
    ),
    11,
    FALSE
  ),
  0
)
"),0.001951219512195122)</f>
        <v>0.001951219512</v>
      </c>
      <c r="T97" s="9">
        <f>IFERROR(__xludf.DUMMYFUNCTION("IFERROR(
  VLOOKUP(
    A97,
    IMPORTRANGE(
      ""1ZHMy3vVUd_0MrSduXTe1etBb1HNpAlGwQr006ljwMiM"",
      ""GSC最新!A:R""
    ),
    14,
    FALSE
  ),
  0
)
"),0.09090909090909091)</f>
        <v>0.09090909091</v>
      </c>
      <c r="U97" s="9">
        <f>IFERROR(__xludf.DUMMYFUNCTION("IFERROR(
  VLOOKUP(
    A97,
    IMPORTRANGE(
      ""1ZHMy3vVUd_0MrSduXTe1etBb1HNpAlGwQr006ljwMiM"",
      ""GSC最新!A:R""
    ),
    17,
    FALSE
  ),
  0
)
"),0.027777777777777776)</f>
        <v>0.02777777778</v>
      </c>
      <c r="V97" s="9">
        <f t="shared" ref="V97:W97" si="478">IFERROR(R97-T97,"-")</f>
        <v>-0.08962208962</v>
      </c>
      <c r="W97" s="9">
        <f t="shared" si="478"/>
        <v>-0.02582655827</v>
      </c>
      <c r="X97" s="65">
        <f>IFERROR(__xludf.DUMMYFUNCTION("IFERROR(
  VLOOKUP(
    A97,
    IMPORTRANGE(
      ""1ZHMy3vVUd_0MrSduXTe1etBb1HNpAlGwQr006ljwMiM"",
      ""GSC最新!A:R""
    ),
    9,
    FALSE
  ),
  0
)
"),5.337194337194338)</f>
        <v>5.337194337</v>
      </c>
      <c r="Y97" s="65">
        <f>IFERROR(__xludf.DUMMYFUNCTION("IFERROR(
  VLOOKUP(
    A97,
    IMPORTRANGE(
      ""1ZHMy3vVUd_0MrSduXTe1etBb1HNpAlGwQr006ljwMiM"",
      ""GSC最新!A:R""
    ),
    12,
    FALSE
  ),
  0
)
"),4.869268292682927)</f>
        <v>4.869268293</v>
      </c>
      <c r="Z97" s="65">
        <f>IFERROR(__xludf.DUMMYFUNCTION("IFERROR(
  VLOOKUP(
    A97,
    IMPORTRANGE(
      ""1ZHMy3vVUd_0MrSduXTe1etBb1HNpAlGwQr006ljwMiM"",
      ""GSC最新!A:R""
    ),
    15,
    FALSE
  ),
  0
)
"),13.272727272727273)</f>
        <v>13.27272727</v>
      </c>
      <c r="AA97" s="65">
        <f>IFERROR(__xludf.DUMMYFUNCTION("IFERROR(
  VLOOKUP(
    A97,
    IMPORTRANGE(
      ""1ZHMy3vVUd_0MrSduXTe1etBb1HNpAlGwQr006ljwMiM"",
      ""GSC最新!A:R""
    ),
    18,
    FALSE
  ),
  0
)
"),9.222222222222221)</f>
        <v>9.222222222</v>
      </c>
      <c r="AB97" s="65">
        <f t="shared" ref="AB97:AC97" si="479">X97-Z97</f>
        <v>-7.935532936</v>
      </c>
      <c r="AC97" s="65">
        <f t="shared" si="479"/>
        <v>-4.35295393</v>
      </c>
      <c r="AD97" s="53">
        <f>IFERROR(__xludf.DUMMYFUNCTION("IFERROR(
  VLOOKUP(
    A97,
    IMPORTRANGE(
      ""1ZHMy3vVUd_0MrSduXTe1etBb1HNpAlGwQr006ljwMiM"",
      ""GSC最新!A:F""
    ),
    6,
    FALSE
  ),
  0
)
"),46081.0)</f>
        <v>46081</v>
      </c>
      <c r="AE97" s="54">
        <f>IFERROR(__xludf.DUMMYFUNCTION("IFERROR(
  VLOOKUP(
    A97,
    IMPORTRANGE(
      ""1SCYQd7_cobOYqT0r_F0IqD4tE4rYn5y8Eup4PJTH8es"",
      ""Snapshot!A:M""
    ),
    5,
    FALSE
  ),
  ""-""
)
"),0.0)</f>
        <v>0</v>
      </c>
      <c r="AF97" s="54">
        <f>IFERROR(__xludf.DUMMYFUNCTION("IFERROR(
  VLOOKUP(
    A97,
    IMPORTRANGE(
      ""1SCYQd7_cobOYqT0r_F0IqD4tE4rYn5y8Eup4PJTH8es"",
      ""Snapshot!A:M""
    ),
    6,
    FALSE
  ),
  0
)
"),0.0)</f>
        <v>0</v>
      </c>
      <c r="AG97" s="54">
        <f>IFERROR(__xludf.DUMMYFUNCTION("IFERROR(
  VLOOKUP(
    A97,
    IMPORTRANGE(
      ""1SCYQd7_cobOYqT0r_F0IqD4tE4rYn5y8Eup4PJTH8es"",
      ""Snapshot!A:M""
    ),
    7,
    FALSE
  ),
  0
)
"),5869.0)</f>
        <v>5869</v>
      </c>
      <c r="AH97" s="54">
        <f>IFERROR(__xludf.DUMMYFUNCTION("IFERROR(
  VLOOKUP(
    A97,
    IMPORTRANGE(
      ""1SCYQd7_cobOYqT0r_F0IqD4tE4rYn5y8Eup4PJTH8es"",
      ""Snapshot!A:M""
    ),
    8,
    FALSE
  ),
  0
)
"),3.0)</f>
        <v>3</v>
      </c>
      <c r="AI97" s="54">
        <f>IFERROR(__xludf.DUMMYFUNCTION("IFERROR(
  VLOOKUP(
    A97,
    IMPORTRANGE(
      ""1SCYQd7_cobOYqT0r_F0IqD4tE4rYn5y8Eup4PJTH8es"",
      ""Snapshot!A:M""
    ),
    9,
    FALSE
  ),
  0
)
"),2.0)</f>
        <v>2</v>
      </c>
      <c r="AJ97" s="54">
        <f>IFERROR(__xludf.DUMMYFUNCTION("IFERROR(
  VLOOKUP(
    A97,
    IMPORTRANGE(
      ""1SCYQd7_cobOYqT0r_F0IqD4tE4rYn5y8Eup4PJTH8es"",
      ""Snapshot!A:M""
    ),
    13,
    FALSE
  ),
  0
)
"),1.0)</f>
        <v>1</v>
      </c>
      <c r="AK97" s="49">
        <f t="shared" ref="AK97:AL97" si="480">LEN(C97)</f>
        <v>32</v>
      </c>
      <c r="AL97" s="49">
        <f t="shared" si="480"/>
        <v>83</v>
      </c>
    </row>
    <row r="98">
      <c r="A98" s="3" t="s">
        <v>1038</v>
      </c>
      <c r="B98" s="1" t="str">
        <f>IFERROR(__xludf.DUMMYFUNCTION("IFERROR(
  VLOOKUP(
    A98,
    IMPORTRANGE(
      ""1ZygntHC1J6IxzKbTidmOyf5nUyW4GCLurHCjexrLm_o"",
      ""HTMLキャッシュ!A:F""
    ),
    2,
    FALSE
  ),
  0
)
"),"MC")</f>
        <v>MC</v>
      </c>
      <c r="C98" s="1" t="str">
        <f>IFERROR(__xludf.DUMMYFUNCTION("IFERROR(
  VLOOKUP(
    A98,
    IMPORTRANGE(
      ""1ZygntHC1J6IxzKbTidmOyf5nUyW4GCLurHCjexrLm_o"",
      ""HTMLキャッシュ!A:F""
    ),
    5,
    FALSE
  ),
  0
)
"),"be動詞isとhe/she｜中1英語｜Treasure")</f>
        <v>be動詞isとhe/she｜中1英語｜Treasure</v>
      </c>
      <c r="D98" s="1" t="str">
        <f>IFERROR(__xludf.DUMMYFUNCTION("IFERROR(
  VLOOKUP(
    A98,
    IMPORTRANGE(
      ""1ZygntHC1J6IxzKbTidmOyf5nUyW4GCLurHCjexrLm_o        "",
      ""HTMLキャッシュ!A:F""
    ),
    6,
    FALSE
  ),
  0
)
"),"New Treasure中1向け。be動詞is、he/sheへの言い換え、疑問文と答え方、Yes, he is.の小文字と, tooを整理。")</f>
        <v>New Treasure中1向け。be動詞is、he/sheへの言い換え、疑問文と答え方、Yes, he is.の小文字と, tooを整理。</v>
      </c>
      <c r="E98" s="32">
        <f>IFERROR(__xludf.DUMMYFUNCTION("IFERROR(
  VLOOKUP(
    A98,
    IMPORTRANGE(
      ""1ZygntHC1J6IxzKbTidmOyf5nUyW4GCLurHCjexrLm_o        "",
      ""HTMLキャッシュ!A:F""
    ),
    3,
    FALSE
  ),
  0
)
"),46081.60329861111)</f>
        <v>46081.6033</v>
      </c>
      <c r="F98" s="49">
        <f>IFERROR(__xludf.DUMMYFUNCTION("IFERROR(
  VLOOKUP(
    A98,
    IMPORTRANGE(
      ""1ZHMy3vVUd_0MrSduXTe1etBb1HNpAlGwQr006ljwMiM"",
      ""GSC最新!A:F""
    ),
    2,
    FALSE
  ),
  0
)
"),1.0)</f>
        <v>1</v>
      </c>
      <c r="G98" s="49">
        <f>IFERROR(__xludf.DUMMYFUNCTION("IFERROR(
  VLOOKUP(
    A98,
    IMPORTRANGE(
      ""1ZHMy3vVUd_0MrSduXTe1etBb1HNpAlGwQr006ljwMiM"",
      ""GSC最新!A:F""
    ),
    3,
    FALSE
  ),
  0
)
"),2.0)</f>
        <v>2</v>
      </c>
      <c r="H98" s="49">
        <f>IFERROR(__xludf.DUMMYFUNCTION("IFERROR(
  VLOOKUP(
    A98,
    IMPORTRANGE(
      ""1ZHMy3vVUd_0MrSduXTe1etBb1HNpAlGwQr006ljwMiM"",
      ""GSC最新!A:F""
    ),
    4,
    FALSE
  ),
  0
)
"),0.0)</f>
        <v>0</v>
      </c>
      <c r="I98" s="49">
        <f>IFERROR(__xludf.DUMMYFUNCTION("IFERROR(
  VLOOKUP(
    A98,
    IMPORTRANGE(
      ""1ZHMy3vVUd_0MrSduXTe1etBb1HNpAlGwQr006ljwMiM"",
      ""GSC最新!A:F""
    ),
    5,
    FALSE
  ),
  0
)
"),0.0)</f>
        <v>0</v>
      </c>
      <c r="J98" s="50" t="str">
        <f t="shared" ref="J98:K98" si="481">IFERROR(F98/H98,"-")</f>
        <v>-</v>
      </c>
      <c r="K98" s="50" t="str">
        <f t="shared" si="481"/>
        <v>-</v>
      </c>
      <c r="L98" s="6">
        <f>IFERROR(__xludf.DUMMYFUNCTION("IFERROR(
  VLOOKUP(
    A98,
    IMPORTRANGE(
      ""1ZHMy3vVUd_0MrSduXTe1etBb1HNpAlGwQr006ljwMiM"",
      ""GSC最新!A:R""
    ),
    7,
    FALSE
  ),
  0
)
"),422.0)</f>
        <v>422</v>
      </c>
      <c r="M98" s="6">
        <f>IFERROR(__xludf.DUMMYFUNCTION("IFERROR(
  VLOOKUP(
    A98,
    IMPORTRANGE(
      ""1ZHMy3vVUd_0MrSduXTe1etBb1HNpAlGwQr006ljwMiM"",
      ""GSC最新!A:R""
    ),
    10,
    FALSE
  ),
  0
)
"),764.0)</f>
        <v>764</v>
      </c>
      <c r="N98" s="6">
        <f>IFERROR(__xludf.DUMMYFUNCTION("IFERROR(
  VLOOKUP(
    A98,
    IMPORTRANGE(
      ""1ZHMy3vVUd_0MrSduXTe1etBb1HNpAlGwQr006ljwMiM"",
      ""GSC最新!A:R""
    ),
    13,
    FALSE
  ),
  0
)
"),18.0)</f>
        <v>18</v>
      </c>
      <c r="O98" s="6">
        <f>IFERROR(__xludf.DUMMYFUNCTION("IFERROR(
  VLOOKUP(
    A98,
    IMPORTRANGE(
      ""1ZHMy3vVUd_0MrSduXTe1etBb1HNpAlGwQr006ljwMiM"",
      ""GSC最新!A:R""
    ),
    16,
    FALSE
  ),
  0
)
"),69.0)</f>
        <v>69</v>
      </c>
      <c r="P98" s="51">
        <f t="shared" ref="P98:Q98" si="482">IFERROR(L98/N98,"-")</f>
        <v>23.44444444</v>
      </c>
      <c r="Q98" s="51">
        <f t="shared" si="482"/>
        <v>11.07246377</v>
      </c>
      <c r="R98" s="9">
        <f>IFERROR(__xludf.DUMMYFUNCTION("IFERROR(
  VLOOKUP(
    A98,
    IMPORTRANGE(
      ""1ZHMy3vVUd_0MrSduXTe1etBb1HNpAlGwQr006ljwMiM"",
      ""GSC最新!A:R""
    ),
    8,
    FALSE
  ),
  0
)
"),0.002369668246445498)</f>
        <v>0.002369668246</v>
      </c>
      <c r="S98" s="9">
        <f>IFERROR(__xludf.DUMMYFUNCTION("IFERROR(
  VLOOKUP(
    A98,
    IMPORTRANGE(
      ""1ZHMy3vVUd_0MrSduXTe1etBb1HNpAlGwQr006ljwMiM"",
      ""GSC最新!A:R""
    ),
    11,
    FALSE
  ),
  0
)
"),0.002617801047120419)</f>
        <v>0.002617801047</v>
      </c>
      <c r="T98" s="9">
        <f>IFERROR(__xludf.DUMMYFUNCTION("IFERROR(
  VLOOKUP(
    A98,
    IMPORTRANGE(
      ""1ZHMy3vVUd_0MrSduXTe1etBb1HNpAlGwQr006ljwMiM"",
      ""GSC最新!A:R""
    ),
    14,
    FALSE
  ),
  0
)
"),0.0)</f>
        <v>0</v>
      </c>
      <c r="U98" s="9">
        <f>IFERROR(__xludf.DUMMYFUNCTION("IFERROR(
  VLOOKUP(
    A98,
    IMPORTRANGE(
      ""1ZHMy3vVUd_0MrSduXTe1etBb1HNpAlGwQr006ljwMiM"",
      ""GSC最新!A:R""
    ),
    17,
    FALSE
  ),
  0
)
"),0.0)</f>
        <v>0</v>
      </c>
      <c r="V98" s="9">
        <f t="shared" ref="V98:W98" si="483">IFERROR(R98-T98,"-")</f>
        <v>0.002369668246</v>
      </c>
      <c r="W98" s="9">
        <f t="shared" si="483"/>
        <v>0.002617801047</v>
      </c>
      <c r="X98" s="65">
        <f>IFERROR(__xludf.DUMMYFUNCTION("IFERROR(
  VLOOKUP(
    A98,
    IMPORTRANGE(
      ""1ZHMy3vVUd_0MrSduXTe1etBb1HNpAlGwQr006ljwMiM"",
      ""GSC最新!A:R""
    ),
    9,
    FALSE
  ),
  0
)
"),9.928909952606634)</f>
        <v>9.928909953</v>
      </c>
      <c r="Y98" s="65">
        <f>IFERROR(__xludf.DUMMYFUNCTION("IFERROR(
  VLOOKUP(
    A98,
    IMPORTRANGE(
      ""1ZHMy3vVUd_0MrSduXTe1etBb1HNpAlGwQr006ljwMiM"",
      ""GSC最新!A:R""
    ),
    12,
    FALSE
  ),
  0
)
"),10.115183246073299)</f>
        <v>10.11518325</v>
      </c>
      <c r="Z98" s="65">
        <f>IFERROR(__xludf.DUMMYFUNCTION("IFERROR(
  VLOOKUP(
    A98,
    IMPORTRANGE(
      ""1ZHMy3vVUd_0MrSduXTe1etBb1HNpAlGwQr006ljwMiM"",
      ""GSC最新!A:R""
    ),
    15,
    FALSE
  ),
  0
)
"),11.722222222222221)</f>
        <v>11.72222222</v>
      </c>
      <c r="AA98" s="65">
        <f>IFERROR(__xludf.DUMMYFUNCTION("IFERROR(
  VLOOKUP(
    A98,
    IMPORTRANGE(
      ""1ZHMy3vVUd_0MrSduXTe1etBb1HNpAlGwQr006ljwMiM"",
      ""GSC最新!A:R""
    ),
    18,
    FALSE
  ),
  0
)
"),13.710144927536232)</f>
        <v>13.71014493</v>
      </c>
      <c r="AB98" s="65">
        <f t="shared" ref="AB98:AC98" si="484">X98-Z98</f>
        <v>-1.79331227</v>
      </c>
      <c r="AC98" s="65">
        <f t="shared" si="484"/>
        <v>-3.594961681</v>
      </c>
      <c r="AD98" s="53">
        <f>IFERROR(__xludf.DUMMYFUNCTION("IFERROR(
  VLOOKUP(
    A98,
    IMPORTRANGE(
      ""1ZHMy3vVUd_0MrSduXTe1etBb1HNpAlGwQr006ljwMiM"",
      ""GSC最新!A:F""
    ),
    6,
    FALSE
  ),
  0
)
"),46081.0)</f>
        <v>46081</v>
      </c>
      <c r="AE98" s="54">
        <f>IFERROR(__xludf.DUMMYFUNCTION("IFERROR(
  VLOOKUP(
    A98,
    IMPORTRANGE(
      ""1SCYQd7_cobOYqT0r_F0IqD4tE4rYn5y8Eup4PJTH8es"",
      ""Snapshot!A:M""
    ),
    5,
    FALSE
  ),
  ""-""
)
"),6.0)</f>
        <v>6</v>
      </c>
      <c r="AF98" s="54">
        <f>IFERROR(__xludf.DUMMYFUNCTION("IFERROR(
  VLOOKUP(
    A98,
    IMPORTRANGE(
      ""1SCYQd7_cobOYqT0r_F0IqD4tE4rYn5y8Eup4PJTH8es"",
      ""Snapshot!A:M""
    ),
    6,
    FALSE
  ),
  0
)
"),7.0)</f>
        <v>7</v>
      </c>
      <c r="AG98" s="54">
        <f>IFERROR(__xludf.DUMMYFUNCTION("IFERROR(
  VLOOKUP(
    A98,
    IMPORTRANGE(
      ""1SCYQd7_cobOYqT0r_F0IqD4tE4rYn5y8Eup4PJTH8es"",
      ""Snapshot!A:M""
    ),
    7,
    FALSE
  ),
  0
)
"),4837.0)</f>
        <v>4837</v>
      </c>
      <c r="AH98" s="54">
        <f>IFERROR(__xludf.DUMMYFUNCTION("IFERROR(
  VLOOKUP(
    A98,
    IMPORTRANGE(
      ""1SCYQd7_cobOYqT0r_F0IqD4tE4rYn5y8Eup4PJTH8es"",
      ""Snapshot!A:M""
    ),
    8,
    FALSE
  ),
  0
)
"),2.0)</f>
        <v>2</v>
      </c>
      <c r="AI98" s="54">
        <f>IFERROR(__xludf.DUMMYFUNCTION("IFERROR(
  VLOOKUP(
    A98,
    IMPORTRANGE(
      ""1SCYQd7_cobOYqT0r_F0IqD4tE4rYn5y8Eup4PJTH8es"",
      ""Snapshot!A:M""
    ),
    9,
    FALSE
  ),
  0
)
"),1.0)</f>
        <v>1</v>
      </c>
      <c r="AJ98" s="54">
        <f>IFERROR(__xludf.DUMMYFUNCTION("IFERROR(
  VLOOKUP(
    A98,
    IMPORTRANGE(
      ""1SCYQd7_cobOYqT0r_F0IqD4tE4rYn5y8Eup4PJTH8es"",
      ""Snapshot!A:M""
    ),
    13,
    FALSE
  ),
  0
)
"),1.0)</f>
        <v>1</v>
      </c>
      <c r="AK98" s="49">
        <f t="shared" ref="AK98:AL98" si="485">LEN(C98)</f>
        <v>27</v>
      </c>
      <c r="AL98" s="49">
        <f t="shared" si="485"/>
        <v>70</v>
      </c>
    </row>
    <row r="99">
      <c r="A99" s="3" t="s">
        <v>1039</v>
      </c>
      <c r="B99" s="1" t="str">
        <f>IFERROR(__xludf.DUMMYFUNCTION("IFERROR(
  VLOOKUP(
    A99,
    IMPORTRANGE(
      ""1ZygntHC1J6IxzKbTidmOyf5nUyW4GCLurHCjexrLm_o"",
      ""HTMLキャッシュ!A:F""
    ),
    2,
    FALSE
  ),
  0
)
"),"MC")</f>
        <v>MC</v>
      </c>
      <c r="C99" s="1" t="str">
        <f>IFERROR(__xludf.DUMMYFUNCTION("IFERROR(
  VLOOKUP(
    A99,
    IMPORTRANGE(
      ""1ZygntHC1J6IxzKbTidmOyf5nUyW4GCLurHCjexrLm_o"",
      ""HTMLキャッシュ!A:F""
    ),
    5,
    FALSE
  ),
  0
)
"),"英語過去問の解き方完全ガイド｜出題形式別の戦略と復習法")</f>
        <v>英語過去問の解き方完全ガイド｜出題形式別の戦略と復習法</v>
      </c>
      <c r="D99" s="1" t="str">
        <f>IFERROR(__xludf.DUMMYFUNCTION("IFERROR(
  VLOOKUP(
    A99,
    IMPORTRANGE(
      ""1ZygntHC1J6IxzKbTidmOyf5nUyW4GCLurHCjexrLm_o        "",
      ""HTMLキャッシュ!A:F""
    ),
    6,
    FALSE
  ),
  0
)
"),"公立高校入試過去問題集を英語対策にどう使うかを整理。中3はいつから始めるか、何年分解くか、解く→採点→復習までを具体化。")</f>
        <v>公立高校入試過去問題集を英語対策にどう使うかを整理。中3はいつから始めるか、何年分解くか、解く→採点→復習までを具体化。</v>
      </c>
      <c r="E99" s="32">
        <f>IFERROR(__xludf.DUMMYFUNCTION("IFERROR(
  VLOOKUP(
    A99,
    IMPORTRANGE(
      ""1ZygntHC1J6IxzKbTidmOyf5nUyW4GCLurHCjexrLm_o        "",
      ""HTMLキャッシュ!A:F""
    ),
    3,
    FALSE
  ),
  0
)
"),46073.84675925926)</f>
        <v>46073.84676</v>
      </c>
      <c r="F99" s="49">
        <f>IFERROR(__xludf.DUMMYFUNCTION("IFERROR(
  VLOOKUP(
    A99,
    IMPORTRANGE(
      ""1ZHMy3vVUd_0MrSduXTe1etBb1HNpAlGwQr006ljwMiM"",
      ""GSC最新!A:F""
    ),
    2,
    FALSE
  ),
  0
)
"),1.0)</f>
        <v>1</v>
      </c>
      <c r="G99" s="49">
        <f>IFERROR(__xludf.DUMMYFUNCTION("IFERROR(
  VLOOKUP(
    A99,
    IMPORTRANGE(
      ""1ZHMy3vVUd_0MrSduXTe1etBb1HNpAlGwQr006ljwMiM"",
      ""GSC最新!A:F""
    ),
    3,
    FALSE
  ),
  0
)
"),2.0)</f>
        <v>2</v>
      </c>
      <c r="H99" s="49">
        <f>IFERROR(__xludf.DUMMYFUNCTION("IFERROR(
  VLOOKUP(
    A99,
    IMPORTRANGE(
      ""1ZHMy3vVUd_0MrSduXTe1etBb1HNpAlGwQr006ljwMiM"",
      ""GSC最新!A:F""
    ),
    4,
    FALSE
  ),
  0
)
"),0.0)</f>
        <v>0</v>
      </c>
      <c r="I99" s="49">
        <f>IFERROR(__xludf.DUMMYFUNCTION("IFERROR(
  VLOOKUP(
    A99,
    IMPORTRANGE(
      ""1ZHMy3vVUd_0MrSduXTe1etBb1HNpAlGwQr006ljwMiM"",
      ""GSC最新!A:F""
    ),
    5,
    FALSE
  ),
  0
)
"),6.0)</f>
        <v>6</v>
      </c>
      <c r="J99" s="50" t="str">
        <f t="shared" ref="J99:K99" si="486">IFERROR(F99/H99,"-")</f>
        <v>-</v>
      </c>
      <c r="K99" s="50">
        <f t="shared" si="486"/>
        <v>0.3333333333</v>
      </c>
      <c r="L99" s="6">
        <f>IFERROR(__xludf.DUMMYFUNCTION("IFERROR(
  VLOOKUP(
    A99,
    IMPORTRANGE(
      ""1ZHMy3vVUd_0MrSduXTe1etBb1HNpAlGwQr006ljwMiM"",
      ""GSC最新!A:R""
    ),
    7,
    FALSE
  ),
  0
)
"),139.0)</f>
        <v>139</v>
      </c>
      <c r="M99" s="6">
        <f>IFERROR(__xludf.DUMMYFUNCTION("IFERROR(
  VLOOKUP(
    A99,
    IMPORTRANGE(
      ""1ZHMy3vVUd_0MrSduXTe1etBb1HNpAlGwQr006ljwMiM"",
      ""GSC最新!A:R""
    ),
    10,
    FALSE
  ),
  0
)
"),353.0)</f>
        <v>353</v>
      </c>
      <c r="N99" s="6">
        <f>IFERROR(__xludf.DUMMYFUNCTION("IFERROR(
  VLOOKUP(
    A99,
    IMPORTRANGE(
      ""1ZHMy3vVUd_0MrSduXTe1etBb1HNpAlGwQr006ljwMiM"",
      ""GSC最新!A:R""
    ),
    13,
    FALSE
  ),
  0
)
"),120.0)</f>
        <v>120</v>
      </c>
      <c r="O99" s="6">
        <f>IFERROR(__xludf.DUMMYFUNCTION("IFERROR(
  VLOOKUP(
    A99,
    IMPORTRANGE(
      ""1ZHMy3vVUd_0MrSduXTe1etBb1HNpAlGwQr006ljwMiM"",
      ""GSC最新!A:R""
    ),
    16,
    FALSE
  ),
  0
)
"),425.0)</f>
        <v>425</v>
      </c>
      <c r="P99" s="51">
        <f t="shared" ref="P99:Q99" si="487">IFERROR(L99/N99,"-")</f>
        <v>1.158333333</v>
      </c>
      <c r="Q99" s="51">
        <f t="shared" si="487"/>
        <v>0.8305882353</v>
      </c>
      <c r="R99" s="9">
        <f>IFERROR(__xludf.DUMMYFUNCTION("IFERROR(
  VLOOKUP(
    A99,
    IMPORTRANGE(
      ""1ZHMy3vVUd_0MrSduXTe1etBb1HNpAlGwQr006ljwMiM"",
      ""GSC最新!A:R""
    ),
    8,
    FALSE
  ),
  0
)
"),0.007194244604316547)</f>
        <v>0.007194244604</v>
      </c>
      <c r="S99" s="9">
        <f>IFERROR(__xludf.DUMMYFUNCTION("IFERROR(
  VLOOKUP(
    A99,
    IMPORTRANGE(
      ""1ZHMy3vVUd_0MrSduXTe1etBb1HNpAlGwQr006ljwMiM"",
      ""GSC最新!A:R""
    ),
    11,
    FALSE
  ),
  0
)
"),0.0056657223796034)</f>
        <v>0.00566572238</v>
      </c>
      <c r="T99" s="9">
        <f>IFERROR(__xludf.DUMMYFUNCTION("IFERROR(
  VLOOKUP(
    A99,
    IMPORTRANGE(
      ""1ZHMy3vVUd_0MrSduXTe1etBb1HNpAlGwQr006ljwMiM"",
      ""GSC最新!A:R""
    ),
    14,
    FALSE
  ),
  0
)
"),0.0)</f>
        <v>0</v>
      </c>
      <c r="U99" s="9">
        <f>IFERROR(__xludf.DUMMYFUNCTION("IFERROR(
  VLOOKUP(
    A99,
    IMPORTRANGE(
      ""1ZHMy3vVUd_0MrSduXTe1etBb1HNpAlGwQr006ljwMiM"",
      ""GSC最新!A:R""
    ),
    17,
    FALSE
  ),
  0
)
"),0.01411764705882353)</f>
        <v>0.01411764706</v>
      </c>
      <c r="V99" s="9">
        <f t="shared" ref="V99:W99" si="488">IFERROR(R99-T99,"-")</f>
        <v>0.007194244604</v>
      </c>
      <c r="W99" s="9">
        <f t="shared" si="488"/>
        <v>-0.008451924679</v>
      </c>
      <c r="X99" s="65">
        <f>IFERROR(__xludf.DUMMYFUNCTION("IFERROR(
  VLOOKUP(
    A99,
    IMPORTRANGE(
      ""1ZHMy3vVUd_0MrSduXTe1etBb1HNpAlGwQr006ljwMiM"",
      ""GSC最新!A:R""
    ),
    9,
    FALSE
  ),
  0
)
"),6.258992805755396)</f>
        <v>6.258992806</v>
      </c>
      <c r="Y99" s="65">
        <f>IFERROR(__xludf.DUMMYFUNCTION("IFERROR(
  VLOOKUP(
    A99,
    IMPORTRANGE(
      ""1ZHMy3vVUd_0MrSduXTe1etBb1HNpAlGwQr006ljwMiM"",
      ""GSC最新!A:R""
    ),
    12,
    FALSE
  ),
  0
)
"),7.509915014164306)</f>
        <v>7.509915014</v>
      </c>
      <c r="Z99" s="65">
        <f>IFERROR(__xludf.DUMMYFUNCTION("IFERROR(
  VLOOKUP(
    A99,
    IMPORTRANGE(
      ""1ZHMy3vVUd_0MrSduXTe1etBb1HNpAlGwQr006ljwMiM"",
      ""GSC最新!A:R""
    ),
    15,
    FALSE
  ),
  0
)
"),27.85)</f>
        <v>27.85</v>
      </c>
      <c r="AA99" s="65">
        <f>IFERROR(__xludf.DUMMYFUNCTION("IFERROR(
  VLOOKUP(
    A99,
    IMPORTRANGE(
      ""1ZHMy3vVUd_0MrSduXTe1etBb1HNpAlGwQr006ljwMiM"",
      ""GSC最新!A:R""
    ),
    18,
    FALSE
  ),
  0
)
"),24.64)</f>
        <v>24.64</v>
      </c>
      <c r="AB99" s="65">
        <f t="shared" ref="AB99:AC99" si="489">X99-Z99</f>
        <v>-21.59100719</v>
      </c>
      <c r="AC99" s="65">
        <f t="shared" si="489"/>
        <v>-17.13008499</v>
      </c>
      <c r="AD99" s="53">
        <f>IFERROR(__xludf.DUMMYFUNCTION("IFERROR(
  VLOOKUP(
    A99,
    IMPORTRANGE(
      ""1ZHMy3vVUd_0MrSduXTe1etBb1HNpAlGwQr006ljwMiM"",
      ""GSC最新!A:F""
    ),
    6,
    FALSE
  ),
  0
)
"),46081.0)</f>
        <v>46081</v>
      </c>
      <c r="AE99" s="54">
        <f>IFERROR(__xludf.DUMMYFUNCTION("IFERROR(
  VLOOKUP(
    A99,
    IMPORTRANGE(
      ""1SCYQd7_cobOYqT0r_F0IqD4tE4rYn5y8Eup4PJTH8es"",
      ""Snapshot!A:M""
    ),
    5,
    FALSE
  ),
  ""-""
)
"),1.0)</f>
        <v>1</v>
      </c>
      <c r="AF99" s="54">
        <f>IFERROR(__xludf.DUMMYFUNCTION("IFERROR(
  VLOOKUP(
    A99,
    IMPORTRANGE(
      ""1SCYQd7_cobOYqT0r_F0IqD4tE4rYn5y8Eup4PJTH8es"",
      ""Snapshot!A:M""
    ),
    6,
    FALSE
  ),
  0
)
"),8.0)</f>
        <v>8</v>
      </c>
      <c r="AG99" s="54">
        <f>IFERROR(__xludf.DUMMYFUNCTION("IFERROR(
  VLOOKUP(
    A99,
    IMPORTRANGE(
      ""1SCYQd7_cobOYqT0r_F0IqD4tE4rYn5y8Eup4PJTH8es"",
      ""Snapshot!A:M""
    ),
    7,
    FALSE
  ),
  0
)
"),1698.0)</f>
        <v>1698</v>
      </c>
      <c r="AH99" s="54">
        <f>IFERROR(__xludf.DUMMYFUNCTION("IFERROR(
  VLOOKUP(
    A99,
    IMPORTRANGE(
      ""1SCYQd7_cobOYqT0r_F0IqD4tE4rYn5y8Eup4PJTH8es"",
      ""Snapshot!A:M""
    ),
    8,
    FALSE
  ),
  0
)
"),4.0)</f>
        <v>4</v>
      </c>
      <c r="AI99" s="54">
        <f>IFERROR(__xludf.DUMMYFUNCTION("IFERROR(
  VLOOKUP(
    A99,
    IMPORTRANGE(
      ""1SCYQd7_cobOYqT0r_F0IqD4tE4rYn5y8Eup4PJTH8es"",
      ""Snapshot!A:M""
    ),
    9,
    FALSE
  ),
  0
)
"),1.0)</f>
        <v>1</v>
      </c>
      <c r="AJ99" s="54">
        <f>IFERROR(__xludf.DUMMYFUNCTION("IFERROR(
  VLOOKUP(
    A99,
    IMPORTRANGE(
      ""1SCYQd7_cobOYqT0r_F0IqD4tE4rYn5y8Eup4PJTH8es"",
      ""Snapshot!A:M""
    ),
    13,
    FALSE
  ),
  0
)
"),1.0)</f>
        <v>1</v>
      </c>
      <c r="AK99" s="49">
        <f t="shared" ref="AK99:AL99" si="490">LEN(C99)</f>
        <v>27</v>
      </c>
      <c r="AL99" s="49">
        <f t="shared" si="490"/>
        <v>60</v>
      </c>
    </row>
    <row r="100">
      <c r="A100" s="3" t="s">
        <v>1040</v>
      </c>
      <c r="B100" s="1" t="str">
        <f>IFERROR(__xludf.DUMMYFUNCTION("IFERROR(
  VLOOKUP(
    A100,
    IMPORTRANGE(
      ""1ZygntHC1J6IxzKbTidmOyf5nUyW4GCLurHCjexrLm_o"",
      ""HTMLキャッシュ!A:F""
    ),
    2,
    FALSE
  ),
  0
)
"),"MC")</f>
        <v>MC</v>
      </c>
      <c r="C100" s="1" t="str">
        <f>IFERROR(__xludf.DUMMYFUNCTION("IFERROR(
  VLOOKUP(
    A100,
    IMPORTRANGE(
      ""1ZygntHC1J6IxzKbTidmOyf5nUyW4GCLurHCjexrLm_o"",
      ""HTMLキャッシュ!A:F""
    ),
    5,
    FALSE
  ),
  0
)
"),"英語文法の基本とルール完全整理｜体系的に学ぶ文法総合ガイド")</f>
        <v>英語文法の基本とルール完全整理｜体系的に学ぶ文法総合ガイド</v>
      </c>
      <c r="D100" s="1" t="str">
        <f>IFERROR(__xludf.DUMMYFUNCTION("IFERROR(
  VLOOKUP(
    A100,
    IMPORTRANGE(
      ""1ZygntHC1J6IxzKbTidmOyf5nUyW4GCLurHCjexrLm_o        "",
      ""HTMLキャッシュ!A:F""
    ),
    6,
    FALSE
  ),
  0
)
"),"英文法が定着しない原因は手順の欠落。参考書は1冊に絞り、説明→問題集反復→英文作成まで回して基礎を固める方法を整理。")</f>
        <v>英文法が定着しない原因は手順の欠落。参考書は1冊に絞り、説明→問題集反復→英文作成まで回して基礎を固める方法を整理。</v>
      </c>
      <c r="E100" s="32">
        <f>IFERROR(__xludf.DUMMYFUNCTION("IFERROR(
  VLOOKUP(
    A100,
    IMPORTRANGE(
      ""1ZygntHC1J6IxzKbTidmOyf5nUyW4GCLurHCjexrLm_o        "",
      ""HTMLキャッシュ!A:F""
    ),
    3,
    FALSE
  ),
  0
)
"),46074.555810185186)</f>
        <v>46074.55581</v>
      </c>
      <c r="F100" s="49">
        <f>IFERROR(__xludf.DUMMYFUNCTION("IFERROR(
  VLOOKUP(
    A100,
    IMPORTRANGE(
      ""1ZHMy3vVUd_0MrSduXTe1etBb1HNpAlGwQr006ljwMiM"",
      ""GSC最新!A:F""
    ),
    2,
    FALSE
  ),
  0
)
"),0.0)</f>
        <v>0</v>
      </c>
      <c r="G100" s="49">
        <f>IFERROR(__xludf.DUMMYFUNCTION("IFERROR(
  VLOOKUP(
    A100,
    IMPORTRANGE(
      ""1ZHMy3vVUd_0MrSduXTe1etBb1HNpAlGwQr006ljwMiM"",
      ""GSC最新!A:F""
    ),
    3,
    FALSE
  ),
  0
)
"),2.0)</f>
        <v>2</v>
      </c>
      <c r="H100" s="49">
        <f>IFERROR(__xludf.DUMMYFUNCTION("IFERROR(
  VLOOKUP(
    A100,
    IMPORTRANGE(
      ""1ZHMy3vVUd_0MrSduXTe1etBb1HNpAlGwQr006ljwMiM"",
      ""GSC最新!A:F""
    ),
    4,
    FALSE
  ),
  0
)
"),0.0)</f>
        <v>0</v>
      </c>
      <c r="I100" s="49">
        <f>IFERROR(__xludf.DUMMYFUNCTION("IFERROR(
  VLOOKUP(
    A100,
    IMPORTRANGE(
      ""1ZHMy3vVUd_0MrSduXTe1etBb1HNpAlGwQr006ljwMiM"",
      ""GSC最新!A:F""
    ),
    5,
    FALSE
  ),
  0
)
"),0.0)</f>
        <v>0</v>
      </c>
      <c r="J100" s="50" t="str">
        <f t="shared" ref="J100:K100" si="491">IFERROR(F100/H100,"-")</f>
        <v>-</v>
      </c>
      <c r="K100" s="50" t="str">
        <f t="shared" si="491"/>
        <v>-</v>
      </c>
      <c r="L100" s="6">
        <f>IFERROR(__xludf.DUMMYFUNCTION("IFERROR(
  VLOOKUP(
    A100,
    IMPORTRANGE(
      ""1ZHMy3vVUd_0MrSduXTe1etBb1HNpAlGwQr006ljwMiM"",
      ""GSC最新!A:R""
    ),
    7,
    FALSE
  ),
  0
)
"),30.0)</f>
        <v>30</v>
      </c>
      <c r="M100" s="6">
        <f>IFERROR(__xludf.DUMMYFUNCTION("IFERROR(
  VLOOKUP(
    A100,
    IMPORTRANGE(
      ""1ZHMy3vVUd_0MrSduXTe1etBb1HNpAlGwQr006ljwMiM"",
      ""GSC最新!A:R""
    ),
    10,
    FALSE
  ),
  0
)
"),93.0)</f>
        <v>93</v>
      </c>
      <c r="N100" s="6">
        <f>IFERROR(__xludf.DUMMYFUNCTION("IFERROR(
  VLOOKUP(
    A100,
    IMPORTRANGE(
      ""1ZHMy3vVUd_0MrSduXTe1etBb1HNpAlGwQr006ljwMiM"",
      ""GSC最新!A:R""
    ),
    13,
    FALSE
  ),
  0
)
"),29.0)</f>
        <v>29</v>
      </c>
      <c r="O100" s="6">
        <f>IFERROR(__xludf.DUMMYFUNCTION("IFERROR(
  VLOOKUP(
    A100,
    IMPORTRANGE(
      ""1ZHMy3vVUd_0MrSduXTe1etBb1HNpAlGwQr006ljwMiM"",
      ""GSC最新!A:R""
    ),
    16,
    FALSE
  ),
  0
)
"),67.0)</f>
        <v>67</v>
      </c>
      <c r="P100" s="51">
        <f t="shared" ref="P100:Q100" si="492">IFERROR(L100/N100,"-")</f>
        <v>1.034482759</v>
      </c>
      <c r="Q100" s="51">
        <f t="shared" si="492"/>
        <v>1.388059701</v>
      </c>
      <c r="R100" s="9">
        <f>IFERROR(__xludf.DUMMYFUNCTION("IFERROR(
  VLOOKUP(
    A100,
    IMPORTRANGE(
      ""1ZHMy3vVUd_0MrSduXTe1etBb1HNpAlGwQr006ljwMiM"",
      ""GSC最新!A:R""
    ),
    8,
    FALSE
  ),
  0
)
"),0.0)</f>
        <v>0</v>
      </c>
      <c r="S100" s="9">
        <f>IFERROR(__xludf.DUMMYFUNCTION("IFERROR(
  VLOOKUP(
    A100,
    IMPORTRANGE(
      ""1ZHMy3vVUd_0MrSduXTe1etBb1HNpAlGwQr006ljwMiM"",
      ""GSC最新!A:R""
    ),
    11,
    FALSE
  ),
  0
)
"),0.021505376344086023)</f>
        <v>0.02150537634</v>
      </c>
      <c r="T100" s="9">
        <f>IFERROR(__xludf.DUMMYFUNCTION("IFERROR(
  VLOOKUP(
    A100,
    IMPORTRANGE(
      ""1ZHMy3vVUd_0MrSduXTe1etBb1HNpAlGwQr006ljwMiM"",
      ""GSC最新!A:R""
    ),
    14,
    FALSE
  ),
  0
)
"),0.0)</f>
        <v>0</v>
      </c>
      <c r="U100" s="9">
        <f>IFERROR(__xludf.DUMMYFUNCTION("IFERROR(
  VLOOKUP(
    A100,
    IMPORTRANGE(
      ""1ZHMy3vVUd_0MrSduXTe1etBb1HNpAlGwQr006ljwMiM"",
      ""GSC最新!A:R""
    ),
    17,
    FALSE
  ),
  0
)
"),0.0)</f>
        <v>0</v>
      </c>
      <c r="V100" s="9">
        <f t="shared" ref="V100:W100" si="493">IFERROR(R100-T100,"-")</f>
        <v>0</v>
      </c>
      <c r="W100" s="9">
        <f t="shared" si="493"/>
        <v>0.02150537634</v>
      </c>
      <c r="X100" s="65">
        <f>IFERROR(__xludf.DUMMYFUNCTION("IFERROR(
  VLOOKUP(
    A100,
    IMPORTRANGE(
      ""1ZHMy3vVUd_0MrSduXTe1etBb1HNpAlGwQr006ljwMiM"",
      ""GSC最新!A:R""
    ),
    9,
    FALSE
  ),
  0
)
"),11.9)</f>
        <v>11.9</v>
      </c>
      <c r="Y100" s="65">
        <f>IFERROR(__xludf.DUMMYFUNCTION("IFERROR(
  VLOOKUP(
    A100,
    IMPORTRANGE(
      ""1ZHMy3vVUd_0MrSduXTe1etBb1HNpAlGwQr006ljwMiM"",
      ""GSC最新!A:R""
    ),
    12,
    FALSE
  ),
  0
)
"),12.32258064516129)</f>
        <v>12.32258065</v>
      </c>
      <c r="Z100" s="65">
        <f>IFERROR(__xludf.DUMMYFUNCTION("IFERROR(
  VLOOKUP(
    A100,
    IMPORTRANGE(
      ""1ZHMy3vVUd_0MrSduXTe1etBb1HNpAlGwQr006ljwMiM"",
      ""GSC最新!A:R""
    ),
    15,
    FALSE
  ),
  0
)
"),36.62068965517241)</f>
        <v>36.62068966</v>
      </c>
      <c r="AA100" s="65">
        <f>IFERROR(__xludf.DUMMYFUNCTION("IFERROR(
  VLOOKUP(
    A100,
    IMPORTRANGE(
      ""1ZHMy3vVUd_0MrSduXTe1etBb1HNpAlGwQr006ljwMiM"",
      ""GSC最新!A:R""
    ),
    18,
    FALSE
  ),
  0
)
"),46.59701492537314)</f>
        <v>46.59701493</v>
      </c>
      <c r="AB100" s="65">
        <f t="shared" ref="AB100:AC100" si="494">X100-Z100</f>
        <v>-24.72068966</v>
      </c>
      <c r="AC100" s="65">
        <f t="shared" si="494"/>
        <v>-34.27443428</v>
      </c>
      <c r="AD100" s="53">
        <f>IFERROR(__xludf.DUMMYFUNCTION("IFERROR(
  VLOOKUP(
    A100,
    IMPORTRANGE(
      ""1ZHMy3vVUd_0MrSduXTe1etBb1HNpAlGwQr006ljwMiM"",
      ""GSC最新!A:F""
    ),
    6,
    FALSE
  ),
  0
)
"),46081.0)</f>
        <v>46081</v>
      </c>
      <c r="AE100" s="54">
        <f>IFERROR(__xludf.DUMMYFUNCTION("IFERROR(
  VLOOKUP(
    A100,
    IMPORTRANGE(
      ""1SCYQd7_cobOYqT0r_F0IqD4tE4rYn5y8Eup4PJTH8es"",
      ""Snapshot!A:M""
    ),
    5,
    FALSE
  ),
  ""-""
)
"),3.0)</f>
        <v>3</v>
      </c>
      <c r="AF100" s="54">
        <f>IFERROR(__xludf.DUMMYFUNCTION("IFERROR(
  VLOOKUP(
    A100,
    IMPORTRANGE(
      ""1SCYQd7_cobOYqT0r_F0IqD4tE4rYn5y8Eup4PJTH8es"",
      ""Snapshot!A:M""
    ),
    6,
    FALSE
  ),
  0
)
"),4.0)</f>
        <v>4</v>
      </c>
      <c r="AG100" s="54">
        <f>IFERROR(__xludf.DUMMYFUNCTION("IFERROR(
  VLOOKUP(
    A100,
    IMPORTRANGE(
      ""1SCYQd7_cobOYqT0r_F0IqD4tE4rYn5y8Eup4PJTH8es"",
      ""Snapshot!A:M""
    ),
    7,
    FALSE
  ),
  0
)
"),938.0)</f>
        <v>938</v>
      </c>
      <c r="AH100" s="54">
        <f>IFERROR(__xludf.DUMMYFUNCTION("IFERROR(
  VLOOKUP(
    A100,
    IMPORTRANGE(
      ""1SCYQd7_cobOYqT0r_F0IqD4tE4rYn5y8Eup4PJTH8es"",
      ""Snapshot!A:M""
    ),
    8,
    FALSE
  ),
  0
)
"),2.0)</f>
        <v>2</v>
      </c>
      <c r="AI100" s="54">
        <f>IFERROR(__xludf.DUMMYFUNCTION("IFERROR(
  VLOOKUP(
    A100,
    IMPORTRANGE(
      ""1SCYQd7_cobOYqT0r_F0IqD4tE4rYn5y8Eup4PJTH8es"",
      ""Snapshot!A:M""
    ),
    9,
    FALSE
  ),
  0
)
"),1.0)</f>
        <v>1</v>
      </c>
      <c r="AJ100" s="54">
        <f>IFERROR(__xludf.DUMMYFUNCTION("IFERROR(
  VLOOKUP(
    A100,
    IMPORTRANGE(
      ""1SCYQd7_cobOYqT0r_F0IqD4tE4rYn5y8Eup4PJTH8es"",
      ""Snapshot!A:M""
    ),
    13,
    FALSE
  ),
  0
)
"),1.0)</f>
        <v>1</v>
      </c>
      <c r="AK100" s="49">
        <f t="shared" ref="AK100:AL100" si="495">LEN(C100)</f>
        <v>29</v>
      </c>
      <c r="AL100" s="49">
        <f t="shared" si="495"/>
        <v>58</v>
      </c>
    </row>
    <row r="101">
      <c r="A101" s="3" t="s">
        <v>1041</v>
      </c>
      <c r="B101" s="1" t="str">
        <f>IFERROR(__xludf.DUMMYFUNCTION("IFERROR(
  VLOOKUP(
    A101,
    IMPORTRANGE(
      ""1ZygntHC1J6IxzKbTidmOyf5nUyW4GCLurHCjexrLm_o"",
      ""HTMLキャッシュ!A:F""
    ),
    2,
    FALSE
  ),
  0
)
"),"MC")</f>
        <v>MC</v>
      </c>
      <c r="C101" s="1" t="str">
        <f>IFERROR(__xludf.DUMMYFUNCTION("IFERROR(
  VLOOKUP(
    A101,
    IMPORTRANGE(
      ""1ZygntHC1J6IxzKbTidmOyf5nUyW4GCLurHCjexrLm_o"",
      ""HTMLキャッシュ!A:F""
    ),
    5,
    FALSE
  ),
  0
)
"),"STAGE3 Lesson6-1関係代名詞(所有格whose)【ニュートレジャーの道案内】 - 受験英語専門ゼミ「Re-Write」(リライト)")</f>
        <v>STAGE3 Lesson6-1関係代名詞(所有格whose)【ニュートレジャーの道案内】 - 受験英語専門ゼミ「Re-Write」(リライト)</v>
      </c>
      <c r="D101" s="1" t="str">
        <f>IFERROR(__xludf.DUMMYFUNCTION("IFERROR(
  VLOOKUP(
    A101,
    IMPORTRANGE(
      ""1ZygntHC1J6IxzKbTidmOyf5nUyW4GCLurHCjexrLm_o        "",
      ""HTMLキャッシュ!A:F""
    ),
    6,
    FALSE
  ),
  0
)
"),"関係代名詞&amp;quot;whose&amp;quot;の使い方を解説！所有格として人や物に使え、名詞とセットで修飾します。書き換えパターンや訳し方のコツを学び、文をスムーズに繋げるスキルを身につけましょう！")</f>
        <v>関係代名詞&amp;quot;whose&amp;quot;の使い方を解説！所有格として人や物に使え、名詞とセットで修飾します。書き換えパターンや訳し方のコツを学び、文をスムーズに繋げるスキルを身につけましょう！</v>
      </c>
      <c r="E101" s="32">
        <f>IFERROR(__xludf.DUMMYFUNCTION("IFERROR(
  VLOOKUP(
    A101,
    IMPORTRANGE(
      ""1ZygntHC1J6IxzKbTidmOyf5nUyW4GCLurHCjexrLm_o        "",
      ""HTMLキャッシュ!A:F""
    ),
    3,
    FALSE
  ),
  0
)
"),46043.6196875)</f>
        <v>46043.61969</v>
      </c>
      <c r="F101" s="49">
        <f>IFERROR(__xludf.DUMMYFUNCTION("IFERROR(
  VLOOKUP(
    A101,
    IMPORTRANGE(
      ""1ZHMy3vVUd_0MrSduXTe1etBb1HNpAlGwQr006ljwMiM"",
      ""GSC最新!A:F""
    ),
    2,
    FALSE
  ),
  0
)
"),1.0)</f>
        <v>1</v>
      </c>
      <c r="G101" s="49">
        <f>IFERROR(__xludf.DUMMYFUNCTION("IFERROR(
  VLOOKUP(
    A101,
    IMPORTRANGE(
      ""1ZHMy3vVUd_0MrSduXTe1etBb1HNpAlGwQr006ljwMiM"",
      ""GSC最新!A:F""
    ),
    3,
    FALSE
  ),
  0
)
"),2.0)</f>
        <v>2</v>
      </c>
      <c r="H101" s="49">
        <f>IFERROR(__xludf.DUMMYFUNCTION("IFERROR(
  VLOOKUP(
    A101,
    IMPORTRANGE(
      ""1ZHMy3vVUd_0MrSduXTe1etBb1HNpAlGwQr006ljwMiM"",
      ""GSC最新!A:F""
    ),
    4,
    FALSE
  ),
  0
)
"),0.0)</f>
        <v>0</v>
      </c>
      <c r="I101" s="49">
        <f>IFERROR(__xludf.DUMMYFUNCTION("IFERROR(
  VLOOKUP(
    A101,
    IMPORTRANGE(
      ""1ZHMy3vVUd_0MrSduXTe1etBb1HNpAlGwQr006ljwMiM"",
      ""GSC最新!A:F""
    ),
    5,
    FALSE
  ),
  0
)
"),0.0)</f>
        <v>0</v>
      </c>
      <c r="J101" s="50" t="str">
        <f t="shared" ref="J101:K101" si="496">IFERROR(F101/H101,"-")</f>
        <v>-</v>
      </c>
      <c r="K101" s="50" t="str">
        <f t="shared" si="496"/>
        <v>-</v>
      </c>
      <c r="L101" s="6">
        <f>IFERROR(__xludf.DUMMYFUNCTION("IFERROR(
  VLOOKUP(
    A101,
    IMPORTRANGE(
      ""1ZHMy3vVUd_0MrSduXTe1etBb1HNpAlGwQr006ljwMiM"",
      ""GSC最新!A:R""
    ),
    7,
    FALSE
  ),
  0
)
"),11.0)</f>
        <v>11</v>
      </c>
      <c r="M101" s="6">
        <f>IFERROR(__xludf.DUMMYFUNCTION("IFERROR(
  VLOOKUP(
    A101,
    IMPORTRANGE(
      ""1ZHMy3vVUd_0MrSduXTe1etBb1HNpAlGwQr006ljwMiM"",
      ""GSC最新!A:R""
    ),
    10,
    FALSE
  ),
  0
)
"),27.0)</f>
        <v>27</v>
      </c>
      <c r="N101" s="6">
        <f>IFERROR(__xludf.DUMMYFUNCTION("IFERROR(
  VLOOKUP(
    A101,
    IMPORTRANGE(
      ""1ZHMy3vVUd_0MrSduXTe1etBb1HNpAlGwQr006ljwMiM"",
      ""GSC最新!A:R""
    ),
    13,
    FALSE
  ),
  0
)
"),0.0)</f>
        <v>0</v>
      </c>
      <c r="O101" s="6">
        <f>IFERROR(__xludf.DUMMYFUNCTION("IFERROR(
  VLOOKUP(
    A101,
    IMPORTRANGE(
      ""1ZHMy3vVUd_0MrSduXTe1etBb1HNpAlGwQr006ljwMiM"",
      ""GSC最新!A:R""
    ),
    16,
    FALSE
  ),
  0
)
"),0.0)</f>
        <v>0</v>
      </c>
      <c r="P101" s="51" t="str">
        <f t="shared" ref="P101:Q101" si="497">IFERROR(L101/N101,"-")</f>
        <v>-</v>
      </c>
      <c r="Q101" s="51" t="str">
        <f t="shared" si="497"/>
        <v>-</v>
      </c>
      <c r="R101" s="9">
        <f>IFERROR(__xludf.DUMMYFUNCTION("IFERROR(
  VLOOKUP(
    A101,
    IMPORTRANGE(
      ""1ZHMy3vVUd_0MrSduXTe1etBb1HNpAlGwQr006ljwMiM"",
      ""GSC最新!A:R""
    ),
    8,
    FALSE
  ),
  0
)
"),0.09090909090909091)</f>
        <v>0.09090909091</v>
      </c>
      <c r="S101" s="9">
        <f>IFERROR(__xludf.DUMMYFUNCTION("IFERROR(
  VLOOKUP(
    A101,
    IMPORTRANGE(
      ""1ZHMy3vVUd_0MrSduXTe1etBb1HNpAlGwQr006ljwMiM"",
      ""GSC最新!A:R""
    ),
    11,
    FALSE
  ),
  0
)
"),0.07407407407407407)</f>
        <v>0.07407407407</v>
      </c>
      <c r="T101" s="9">
        <f>IFERROR(__xludf.DUMMYFUNCTION("IFERROR(
  VLOOKUP(
    A101,
    IMPORTRANGE(
      ""1ZHMy3vVUd_0MrSduXTe1etBb1HNpAlGwQr006ljwMiM"",
      ""GSC最新!A:R""
    ),
    14,
    FALSE
  ),
  0
)
"),0.0)</f>
        <v>0</v>
      </c>
      <c r="U101" s="9">
        <f>IFERROR(__xludf.DUMMYFUNCTION("IFERROR(
  VLOOKUP(
    A101,
    IMPORTRANGE(
      ""1ZHMy3vVUd_0MrSduXTe1etBb1HNpAlGwQr006ljwMiM"",
      ""GSC最新!A:R""
    ),
    17,
    FALSE
  ),
  0
)
"),0.0)</f>
        <v>0</v>
      </c>
      <c r="V101" s="9">
        <f t="shared" ref="V101:W101" si="498">IFERROR(R101-T101,"-")</f>
        <v>0.09090909091</v>
      </c>
      <c r="W101" s="9">
        <f t="shared" si="498"/>
        <v>0.07407407407</v>
      </c>
      <c r="X101" s="65">
        <f>IFERROR(__xludf.DUMMYFUNCTION("IFERROR(
  VLOOKUP(
    A101,
    IMPORTRANGE(
      ""1ZHMy3vVUd_0MrSduXTe1etBb1HNpAlGwQr006ljwMiM"",
      ""GSC最新!A:R""
    ),
    9,
    FALSE
  ),
  0
)
"),6.545454545454546)</f>
        <v>6.545454545</v>
      </c>
      <c r="Y101" s="65">
        <f>IFERROR(__xludf.DUMMYFUNCTION("IFERROR(
  VLOOKUP(
    A101,
    IMPORTRANGE(
      ""1ZHMy3vVUd_0MrSduXTe1etBb1HNpAlGwQr006ljwMiM"",
      ""GSC最新!A:R""
    ),
    12,
    FALSE
  ),
  0
)
"),5.62962962962963)</f>
        <v>5.62962963</v>
      </c>
      <c r="Z101" s="65" t="str">
        <f>IFERROR(__xludf.DUMMYFUNCTION("IFERROR(
  VLOOKUP(
    A101,
    IMPORTRANGE(
      ""1ZHMy3vVUd_0MrSduXTe1etBb1HNpAlGwQr006ljwMiM"",
      ""GSC最新!A:R""
    ),
    15,
    FALSE
  ),
  0
)
"),"")</f>
        <v/>
      </c>
      <c r="AA101" s="65" t="str">
        <f>IFERROR(__xludf.DUMMYFUNCTION("IFERROR(
  VLOOKUP(
    A101,
    IMPORTRANGE(
      ""1ZHMy3vVUd_0MrSduXTe1etBb1HNpAlGwQr006ljwMiM"",
      ""GSC最新!A:R""
    ),
    18,
    FALSE
  ),
  0
)
"),"")</f>
        <v/>
      </c>
      <c r="AB101" s="65">
        <f t="shared" ref="AB101:AC101" si="499">X101-Z101</f>
        <v>6.545454545</v>
      </c>
      <c r="AC101" s="65">
        <f t="shared" si="499"/>
        <v>5.62962963</v>
      </c>
      <c r="AD101" s="53">
        <f>IFERROR(__xludf.DUMMYFUNCTION("IFERROR(
  VLOOKUP(
    A101,
    IMPORTRANGE(
      ""1ZHMy3vVUd_0MrSduXTe1etBb1HNpAlGwQr006ljwMiM"",
      ""GSC最新!A:F""
    ),
    6,
    FALSE
  ),
  0
)
"),46081.0)</f>
        <v>46081</v>
      </c>
      <c r="AE101" s="54">
        <f>IFERROR(__xludf.DUMMYFUNCTION("IFERROR(
  VLOOKUP(
    A101,
    IMPORTRANGE(
      ""1SCYQd7_cobOYqT0r_F0IqD4tE4rYn5y8Eup4PJTH8es"",
      ""Snapshot!A:M""
    ),
    5,
    FALSE
  ),
  ""-""
)
"),1.0)</f>
        <v>1</v>
      </c>
      <c r="AF101" s="54">
        <f>IFERROR(__xludf.DUMMYFUNCTION("IFERROR(
  VLOOKUP(
    A101,
    IMPORTRANGE(
      ""1SCYQd7_cobOYqT0r_F0IqD4tE4rYn5y8Eup4PJTH8es"",
      ""Snapshot!A:M""
    ),
    6,
    FALSE
  ),
  0
)
"),11.0)</f>
        <v>11</v>
      </c>
      <c r="AG101" s="54">
        <f>IFERROR(__xludf.DUMMYFUNCTION("IFERROR(
  VLOOKUP(
    A101,
    IMPORTRANGE(
      ""1SCYQd7_cobOYqT0r_F0IqD4tE4rYn5y8Eup4PJTH8es"",
      ""Snapshot!A:M""
    ),
    7,
    FALSE
  ),
  0
)
"),4372.0)</f>
        <v>4372</v>
      </c>
      <c r="AH101" s="54">
        <f>IFERROR(__xludf.DUMMYFUNCTION("IFERROR(
  VLOOKUP(
    A101,
    IMPORTRANGE(
      ""1SCYQd7_cobOYqT0r_F0IqD4tE4rYn5y8Eup4PJTH8es"",
      ""Snapshot!A:M""
    ),
    8,
    FALSE
  ),
  0
)
"),3.0)</f>
        <v>3</v>
      </c>
      <c r="AI101" s="54">
        <f>IFERROR(__xludf.DUMMYFUNCTION("IFERROR(
  VLOOKUP(
    A101,
    IMPORTRANGE(
      ""1SCYQd7_cobOYqT0r_F0IqD4tE4rYn5y8Eup4PJTH8es"",
      ""Snapshot!A:M""
    ),
    9,
    FALSE
  ),
  0
)
"),2.0)</f>
        <v>2</v>
      </c>
      <c r="AJ101" s="54">
        <f>IFERROR(__xludf.DUMMYFUNCTION("IFERROR(
  VLOOKUP(
    A101,
    IMPORTRANGE(
      ""1SCYQd7_cobOYqT0r_F0IqD4tE4rYn5y8Eup4PJTH8es"",
      ""Snapshot!A:M""
    ),
    13,
    FALSE
  ),
  0
)
"),1.0)</f>
        <v>1</v>
      </c>
      <c r="AK101" s="49">
        <f t="shared" ref="AK101:AL101" si="500">LEN(C101)</f>
        <v>72</v>
      </c>
      <c r="AL101" s="49">
        <f t="shared" si="500"/>
        <v>98</v>
      </c>
    </row>
    <row r="102">
      <c r="A102" s="3" t="s">
        <v>1042</v>
      </c>
      <c r="B102" s="1" t="str">
        <f>IFERROR(__xludf.DUMMYFUNCTION("IFERROR(
  VLOOKUP(
    A102,
    IMPORTRANGE(
      ""1ZygntHC1J6IxzKbTidmOyf5nUyW4GCLurHCjexrLm_o"",
      ""HTMLキャッシュ!A:F""
    ),
    2,
    FALSE
  ),
  0
)
"),"MC")</f>
        <v>MC</v>
      </c>
      <c r="C102" s="1" t="str">
        <f>IFERROR(__xludf.DUMMYFUNCTION("IFERROR(
  VLOOKUP(
    A102,
    IMPORTRANGE(
      ""1ZygntHC1J6IxzKbTidmOyf5nUyW4GCLurHCjexrLm_o"",
      ""HTMLキャッシュ!A:F""
    ),
    5,
    FALSE
  ),
  0
)
"),"中学英語 関係代名詞 who/which/that の訳し方と使い方")</f>
        <v>中学英語 関係代名詞 who/which/that の訳し方と使い方</v>
      </c>
      <c r="D102" s="1" t="str">
        <f>IFERROR(__xludf.DUMMYFUNCTION("IFERROR(
  VLOOKUP(
    A102,
    IMPORTRANGE(
      ""1ZygntHC1J6IxzKbTidmOyf5nUyW4GCLurHCjexrLm_o        "",
      ""HTMLキャッシュ!A:F""
    ),
    6,
    FALSE
  ),
  0
)
"),"ハブトゥーhave toの意味と読み、否定は「しなくてよい」。has to・had toも例文で整理。shall we／shall I／will youの返し方も確認。")</f>
        <v>ハブトゥーhave toの意味と読み、否定は「しなくてよい」。has to・had toも例文で整理。shall we／shall I／will youの返し方も確認。</v>
      </c>
      <c r="E102" s="32">
        <f>IFERROR(__xludf.DUMMYFUNCTION("IFERROR(
  VLOOKUP(
    A102,
    IMPORTRANGE(
      ""1ZygntHC1J6IxzKbTidmOyf5nUyW4GCLurHCjexrLm_o        "",
      ""HTMLキャッシュ!A:F""
    ),
    3,
    FALSE
  ),
  0
)
"),46077.81261574074)</f>
        <v>46077.81262</v>
      </c>
      <c r="F102" s="49">
        <f>IFERROR(__xludf.DUMMYFUNCTION("IFERROR(
  VLOOKUP(
    A102,
    IMPORTRANGE(
      ""1ZHMy3vVUd_0MrSduXTe1etBb1HNpAlGwQr006ljwMiM"",
      ""GSC最新!A:F""
    ),
    2,
    FALSE
  ),
  0
)
"),0.0)</f>
        <v>0</v>
      </c>
      <c r="G102" s="49">
        <f>IFERROR(__xludf.DUMMYFUNCTION("IFERROR(
  VLOOKUP(
    A102,
    IMPORTRANGE(
      ""1ZHMy3vVUd_0MrSduXTe1etBb1HNpAlGwQr006ljwMiM"",
      ""GSC最新!A:F""
    ),
    3,
    FALSE
  ),
  0
)
"),1.0)</f>
        <v>1</v>
      </c>
      <c r="H102" s="49">
        <f>IFERROR(__xludf.DUMMYFUNCTION("IFERROR(
  VLOOKUP(
    A102,
    IMPORTRANGE(
      ""1ZHMy3vVUd_0MrSduXTe1etBb1HNpAlGwQr006ljwMiM"",
      ""GSC最新!A:F""
    ),
    4,
    FALSE
  ),
  0
)
"),1.0)</f>
        <v>1</v>
      </c>
      <c r="I102" s="49">
        <f>IFERROR(__xludf.DUMMYFUNCTION("IFERROR(
  VLOOKUP(
    A102,
    IMPORTRANGE(
      ""1ZHMy3vVUd_0MrSduXTe1etBb1HNpAlGwQr006ljwMiM"",
      ""GSC最新!A:F""
    ),
    5,
    FALSE
  ),
  0
)
"),4.0)</f>
        <v>4</v>
      </c>
      <c r="J102" s="50">
        <f t="shared" ref="J102:K102" si="501">IFERROR(F102/H102,"-")</f>
        <v>0</v>
      </c>
      <c r="K102" s="50">
        <f t="shared" si="501"/>
        <v>0.25</v>
      </c>
      <c r="L102" s="6">
        <f>IFERROR(__xludf.DUMMYFUNCTION("IFERROR(
  VLOOKUP(
    A102,
    IMPORTRANGE(
      ""1ZHMy3vVUd_0MrSduXTe1etBb1HNpAlGwQr006ljwMiM"",
      ""GSC最新!A:R""
    ),
    7,
    FALSE
  ),
  0
)
"),1335.0)</f>
        <v>1335</v>
      </c>
      <c r="M102" s="6">
        <f>IFERROR(__xludf.DUMMYFUNCTION("IFERROR(
  VLOOKUP(
    A102,
    IMPORTRANGE(
      ""1ZHMy3vVUd_0MrSduXTe1etBb1HNpAlGwQr006ljwMiM"",
      ""GSC最新!A:R""
    ),
    10,
    FALSE
  ),
  0
)
"),2225.0)</f>
        <v>2225</v>
      </c>
      <c r="N102" s="6">
        <f>IFERROR(__xludf.DUMMYFUNCTION("IFERROR(
  VLOOKUP(
    A102,
    IMPORTRANGE(
      ""1ZHMy3vVUd_0MrSduXTe1etBb1HNpAlGwQr006ljwMiM"",
      ""GSC最新!A:R""
    ),
    13,
    FALSE
  ),
  0
)
"),86.0)</f>
        <v>86</v>
      </c>
      <c r="O102" s="6">
        <f>IFERROR(__xludf.DUMMYFUNCTION("IFERROR(
  VLOOKUP(
    A102,
    IMPORTRANGE(
      ""1ZHMy3vVUd_0MrSduXTe1etBb1HNpAlGwQr006ljwMiM"",
      ""GSC最新!A:R""
    ),
    16,
    FALSE
  ),
  0
)
"),349.0)</f>
        <v>349</v>
      </c>
      <c r="P102" s="51">
        <f t="shared" ref="P102:Q102" si="502">IFERROR(L102/N102,"-")</f>
        <v>15.52325581</v>
      </c>
      <c r="Q102" s="51">
        <f t="shared" si="502"/>
        <v>6.375358166</v>
      </c>
      <c r="R102" s="9">
        <f>IFERROR(__xludf.DUMMYFUNCTION("IFERROR(
  VLOOKUP(
    A102,
    IMPORTRANGE(
      ""1ZHMy3vVUd_0MrSduXTe1etBb1HNpAlGwQr006ljwMiM"",
      ""GSC最新!A:R""
    ),
    8,
    FALSE
  ),
  0
)
"),0.0)</f>
        <v>0</v>
      </c>
      <c r="S102" s="9">
        <f>IFERROR(__xludf.DUMMYFUNCTION("IFERROR(
  VLOOKUP(
    A102,
    IMPORTRANGE(
      ""1ZHMy3vVUd_0MrSduXTe1etBb1HNpAlGwQr006ljwMiM"",
      ""GSC最新!A:R""
    ),
    11,
    FALSE
  ),
  0
)
"),4.4943820224719103E-4)</f>
        <v>0.0004494382022</v>
      </c>
      <c r="T102" s="9">
        <f>IFERROR(__xludf.DUMMYFUNCTION("IFERROR(
  VLOOKUP(
    A102,
    IMPORTRANGE(
      ""1ZHMy3vVUd_0MrSduXTe1etBb1HNpAlGwQr006ljwMiM"",
      ""GSC最新!A:R""
    ),
    14,
    FALSE
  ),
  0
)
"),0.011627906976744186)</f>
        <v>0.01162790698</v>
      </c>
      <c r="U102" s="9">
        <f>IFERROR(__xludf.DUMMYFUNCTION("IFERROR(
  VLOOKUP(
    A102,
    IMPORTRANGE(
      ""1ZHMy3vVUd_0MrSduXTe1etBb1HNpAlGwQr006ljwMiM"",
      ""GSC最新!A:R""
    ),
    17,
    FALSE
  ),
  0
)
"),0.011461318051575931)</f>
        <v>0.01146131805</v>
      </c>
      <c r="V102" s="9">
        <f t="shared" ref="V102:W102" si="503">IFERROR(R102-T102,"-")</f>
        <v>-0.01162790698</v>
      </c>
      <c r="W102" s="9">
        <f t="shared" si="503"/>
        <v>-0.01101187985</v>
      </c>
      <c r="X102" s="65">
        <f>IFERROR(__xludf.DUMMYFUNCTION("IFERROR(
  VLOOKUP(
    A102,
    IMPORTRANGE(
      ""1ZHMy3vVUd_0MrSduXTe1etBb1HNpAlGwQr006ljwMiM"",
      ""GSC最新!A:R""
    ),
    9,
    FALSE
  ),
  0
)
"),4.695131086142322)</f>
        <v>4.695131086</v>
      </c>
      <c r="Y102" s="65">
        <f>IFERROR(__xludf.DUMMYFUNCTION("IFERROR(
  VLOOKUP(
    A102,
    IMPORTRANGE(
      ""1ZHMy3vVUd_0MrSduXTe1etBb1HNpAlGwQr006ljwMiM"",
      ""GSC最新!A:R""
    ),
    12,
    FALSE
  ),
  0
)
"),4.725842696629213)</f>
        <v>4.725842697</v>
      </c>
      <c r="Z102" s="65">
        <f>IFERROR(__xludf.DUMMYFUNCTION("IFERROR(
  VLOOKUP(
    A102,
    IMPORTRANGE(
      ""1ZHMy3vVUd_0MrSduXTe1etBb1HNpAlGwQr006ljwMiM"",
      ""GSC最新!A:R""
    ),
    15,
    FALSE
  ),
  0
)
"),8.593023255813954)</f>
        <v>8.593023256</v>
      </c>
      <c r="AA102" s="65">
        <f>IFERROR(__xludf.DUMMYFUNCTION("IFERROR(
  VLOOKUP(
    A102,
    IMPORTRANGE(
      ""1ZHMy3vVUd_0MrSduXTe1etBb1HNpAlGwQr006ljwMiM"",
      ""GSC最新!A:R""
    ),
    18,
    FALSE
  ),
  0
)
"),12.240687679083095)</f>
        <v>12.24068768</v>
      </c>
      <c r="AB102" s="65">
        <f t="shared" ref="AB102:AC102" si="504">X102-Z102</f>
        <v>-3.89789217</v>
      </c>
      <c r="AC102" s="65">
        <f t="shared" si="504"/>
        <v>-7.514844982</v>
      </c>
      <c r="AD102" s="53">
        <f>IFERROR(__xludf.DUMMYFUNCTION("IFERROR(
  VLOOKUP(
    A102,
    IMPORTRANGE(
      ""1ZHMy3vVUd_0MrSduXTe1etBb1HNpAlGwQr006ljwMiM"",
      ""GSC最新!A:F""
    ),
    6,
    FALSE
  ),
  0
)
"),46081.0)</f>
        <v>46081</v>
      </c>
      <c r="AE102" s="54">
        <f>IFERROR(__xludf.DUMMYFUNCTION("IFERROR(
  VLOOKUP(
    A102,
    IMPORTRANGE(
      ""1SCYQd7_cobOYqT0r_F0IqD4tE4rYn5y8Eup4PJTH8es"",
      ""Snapshot!A:M""
    ),
    5,
    FALSE
  ),
  ""-""
)
"),0.0)</f>
        <v>0</v>
      </c>
      <c r="AF102" s="54">
        <f>IFERROR(__xludf.DUMMYFUNCTION("IFERROR(
  VLOOKUP(
    A102,
    IMPORTRANGE(
      ""1SCYQd7_cobOYqT0r_F0IqD4tE4rYn5y8Eup4PJTH8es"",
      ""Snapshot!A:M""
    ),
    6,
    FALSE
  ),
  0
)
"),0.0)</f>
        <v>0</v>
      </c>
      <c r="AG102" s="54">
        <f>IFERROR(__xludf.DUMMYFUNCTION("IFERROR(
  VLOOKUP(
    A102,
    IMPORTRANGE(
      ""1SCYQd7_cobOYqT0r_F0IqD4tE4rYn5y8Eup4PJTH8es"",
      ""Snapshot!A:M""
    ),
    7,
    FALSE
  ),
  0
)
"),1464.0)</f>
        <v>1464</v>
      </c>
      <c r="AH102" s="54">
        <f>IFERROR(__xludf.DUMMYFUNCTION("IFERROR(
  VLOOKUP(
    A102,
    IMPORTRANGE(
      ""1SCYQd7_cobOYqT0r_F0IqD4tE4rYn5y8Eup4PJTH8es"",
      ""Snapshot!A:M""
    ),
    8,
    FALSE
  ),
  0
)
"),1.0)</f>
        <v>1</v>
      </c>
      <c r="AI102" s="54">
        <f>IFERROR(__xludf.DUMMYFUNCTION("IFERROR(
  VLOOKUP(
    A102,
    IMPORTRANGE(
      ""1SCYQd7_cobOYqT0r_F0IqD4tE4rYn5y8Eup4PJTH8es"",
      ""Snapshot!A:M""
    ),
    9,
    FALSE
  ),
  0
)
"),0.0)</f>
        <v>0</v>
      </c>
      <c r="AJ102" s="54">
        <f>IFERROR(__xludf.DUMMYFUNCTION("IFERROR(
  VLOOKUP(
    A102,
    IMPORTRANGE(
      ""1SCYQd7_cobOYqT0r_F0IqD4tE4rYn5y8Eup4PJTH8es"",
      ""Snapshot!A:M""
    ),
    13,
    FALSE
  ),
  0
)
"),1.0)</f>
        <v>1</v>
      </c>
      <c r="AK102" s="49">
        <f t="shared" ref="AK102:AL102" si="505">LEN(C102)</f>
        <v>34</v>
      </c>
      <c r="AL102" s="49">
        <f t="shared" si="505"/>
        <v>84</v>
      </c>
    </row>
    <row r="103">
      <c r="A103" s="3" t="s">
        <v>1043</v>
      </c>
      <c r="B103" s="1" t="str">
        <f>IFERROR(__xludf.DUMMYFUNCTION("IFERROR(
  VLOOKUP(
    A103,
    IMPORTRANGE(
      ""1ZygntHC1J6IxzKbTidmOyf5nUyW4GCLurHCjexrLm_o"",
      ""HTMLキャッシュ!A:F""
    ),
    2,
    FALSE
  ),
  0
)
"),"MC")</f>
        <v>MC</v>
      </c>
      <c r="C103" s="1" t="str">
        <f>IFERROR(__xludf.DUMMYFUNCTION("IFERROR(
  VLOOKUP(
    A103,
    IMPORTRANGE(
      ""1ZygntHC1J6IxzKbTidmOyf5nUyW4GCLurHCjexrLm_o"",
      ""HTMLキャッシュ!A:F""
    ),
    5,
    FALSE
  ),
  0
)
"),"大過去had＋過去分詞｜現在完了との違い（treasure）")</f>
        <v>大過去had＋過去分詞｜現在完了との違い（treasure）</v>
      </c>
      <c r="D103" s="1" t="str">
        <f>IFERROR(__xludf.DUMMYFUNCTION("IFERROR(
  VLOOKUP(
    A103,
    IMPORTRANGE(
      ""1ZygntHC1J6IxzKbTidmOyf5nUyW4GCLurHCjexrLm_o        "",
      ""HTMLキャッシュ!A:F""
    ),
    6,
    FALSE
  ),
  0
)
"),"treasure Stage3の大過去。had＋過去分詞＝過去のある時点より前。現在完了との違いと和訳の考え方を例文で整理。")</f>
        <v>treasure Stage3の大過去。had＋過去分詞＝過去のある時点より前。現在完了との違いと和訳の考え方を例文で整理。</v>
      </c>
      <c r="E103" s="32">
        <f>IFERROR(__xludf.DUMMYFUNCTION("IFERROR(
  VLOOKUP(
    A103,
    IMPORTRANGE(
      ""1ZygntHC1J6IxzKbTidmOyf5nUyW4GCLurHCjexrLm_o        "",
      ""HTMLキャッシュ!A:F""
    ),
    3,
    FALSE
  ),
  0
)
"),46071.749375)</f>
        <v>46071.74938</v>
      </c>
      <c r="F103" s="49">
        <f>IFERROR(__xludf.DUMMYFUNCTION("IFERROR(
  VLOOKUP(
    A103,
    IMPORTRANGE(
      ""1ZHMy3vVUd_0MrSduXTe1etBb1HNpAlGwQr006ljwMiM"",
      ""GSC最新!A:F""
    ),
    2,
    FALSE
  ),
  0
)
"),0.0)</f>
        <v>0</v>
      </c>
      <c r="G103" s="49">
        <f>IFERROR(__xludf.DUMMYFUNCTION("IFERROR(
  VLOOKUP(
    A103,
    IMPORTRANGE(
      ""1ZHMy3vVUd_0MrSduXTe1etBb1HNpAlGwQr006ljwMiM"",
      ""GSC最新!A:F""
    ),
    3,
    FALSE
  ),
  0
)
"),1.0)</f>
        <v>1</v>
      </c>
      <c r="H103" s="49">
        <f>IFERROR(__xludf.DUMMYFUNCTION("IFERROR(
  VLOOKUP(
    A103,
    IMPORTRANGE(
      ""1ZHMy3vVUd_0MrSduXTe1etBb1HNpAlGwQr006ljwMiM"",
      ""GSC最新!A:F""
    ),
    4,
    FALSE
  ),
  0
)
"),3.0)</f>
        <v>3</v>
      </c>
      <c r="I103" s="49">
        <f>IFERROR(__xludf.DUMMYFUNCTION("IFERROR(
  VLOOKUP(
    A103,
    IMPORTRANGE(
      ""1ZHMy3vVUd_0MrSduXTe1etBb1HNpAlGwQr006ljwMiM"",
      ""GSC最新!A:F""
    ),
    5,
    FALSE
  ),
  0
)
"),5.0)</f>
        <v>5</v>
      </c>
      <c r="J103" s="50">
        <f t="shared" ref="J103:K103" si="506">IFERROR(F103/H103,"-")</f>
        <v>0</v>
      </c>
      <c r="K103" s="50">
        <f t="shared" si="506"/>
        <v>0.2</v>
      </c>
      <c r="L103" s="6">
        <f>IFERROR(__xludf.DUMMYFUNCTION("IFERROR(
  VLOOKUP(
    A103,
    IMPORTRANGE(
      ""1ZHMy3vVUd_0MrSduXTe1etBb1HNpAlGwQr006ljwMiM"",
      ""GSC最新!A:R""
    ),
    7,
    FALSE
  ),
  0
)
"),231.0)</f>
        <v>231</v>
      </c>
      <c r="M103" s="6">
        <f>IFERROR(__xludf.DUMMYFUNCTION("IFERROR(
  VLOOKUP(
    A103,
    IMPORTRANGE(
      ""1ZHMy3vVUd_0MrSduXTe1etBb1HNpAlGwQr006ljwMiM"",
      ""GSC最新!A:R""
    ),
    10,
    FALSE
  ),
  0
)
"),446.0)</f>
        <v>446</v>
      </c>
      <c r="N103" s="6">
        <f>IFERROR(__xludf.DUMMYFUNCTION("IFERROR(
  VLOOKUP(
    A103,
    IMPORTRANGE(
      ""1ZHMy3vVUd_0MrSduXTe1etBb1HNpAlGwQr006ljwMiM"",
      ""GSC最新!A:R""
    ),
    13,
    FALSE
  ),
  0
)
"),97.0)</f>
        <v>97</v>
      </c>
      <c r="O103" s="6">
        <f>IFERROR(__xludf.DUMMYFUNCTION("IFERROR(
  VLOOKUP(
    A103,
    IMPORTRANGE(
      ""1ZHMy3vVUd_0MrSduXTe1etBb1HNpAlGwQr006ljwMiM"",
      ""GSC最新!A:R""
    ),
    16,
    FALSE
  ),
  0
)
"),229.0)</f>
        <v>229</v>
      </c>
      <c r="P103" s="51">
        <f t="shared" ref="P103:Q103" si="507">IFERROR(L103/N103,"-")</f>
        <v>2.381443299</v>
      </c>
      <c r="Q103" s="51">
        <f t="shared" si="507"/>
        <v>1.947598253</v>
      </c>
      <c r="R103" s="9">
        <f>IFERROR(__xludf.DUMMYFUNCTION("IFERROR(
  VLOOKUP(
    A103,
    IMPORTRANGE(
      ""1ZHMy3vVUd_0MrSduXTe1etBb1HNpAlGwQr006ljwMiM"",
      ""GSC最新!A:R""
    ),
    8,
    FALSE
  ),
  0
)
"),0.0)</f>
        <v>0</v>
      </c>
      <c r="S103" s="9">
        <f>IFERROR(__xludf.DUMMYFUNCTION("IFERROR(
  VLOOKUP(
    A103,
    IMPORTRANGE(
      ""1ZHMy3vVUd_0MrSduXTe1etBb1HNpAlGwQr006ljwMiM"",
      ""GSC最新!A:R""
    ),
    11,
    FALSE
  ),
  0
)
"),0.002242152466367713)</f>
        <v>0.002242152466</v>
      </c>
      <c r="T103" s="9">
        <f>IFERROR(__xludf.DUMMYFUNCTION("IFERROR(
  VLOOKUP(
    A103,
    IMPORTRANGE(
      ""1ZHMy3vVUd_0MrSduXTe1etBb1HNpAlGwQr006ljwMiM"",
      ""GSC最新!A:R""
    ),
    14,
    FALSE
  ),
  0
)
"),0.030927835051546393)</f>
        <v>0.03092783505</v>
      </c>
      <c r="U103" s="9">
        <f>IFERROR(__xludf.DUMMYFUNCTION("IFERROR(
  VLOOKUP(
    A103,
    IMPORTRANGE(
      ""1ZHMy3vVUd_0MrSduXTe1etBb1HNpAlGwQr006ljwMiM"",
      ""GSC最新!A:R""
    ),
    17,
    FALSE
  ),
  0
)
"),0.021834061135371178)</f>
        <v>0.02183406114</v>
      </c>
      <c r="V103" s="9">
        <f t="shared" ref="V103:W103" si="508">IFERROR(R103-T103,"-")</f>
        <v>-0.03092783505</v>
      </c>
      <c r="W103" s="9">
        <f t="shared" si="508"/>
        <v>-0.01959190867</v>
      </c>
      <c r="X103" s="65">
        <f>IFERROR(__xludf.DUMMYFUNCTION("IFERROR(
  VLOOKUP(
    A103,
    IMPORTRANGE(
      ""1ZHMy3vVUd_0MrSduXTe1etBb1HNpAlGwQr006ljwMiM"",
      ""GSC最新!A:R""
    ),
    9,
    FALSE
  ),
  0
)
"),3.4588744588744587)</f>
        <v>3.458874459</v>
      </c>
      <c r="Y103" s="65">
        <f>IFERROR(__xludf.DUMMYFUNCTION("IFERROR(
  VLOOKUP(
    A103,
    IMPORTRANGE(
      ""1ZHMy3vVUd_0MrSduXTe1etBb1HNpAlGwQr006ljwMiM"",
      ""GSC最新!A:R""
    ),
    12,
    FALSE
  ),
  0
)
"),4.18609865470852)</f>
        <v>4.186098655</v>
      </c>
      <c r="Z103" s="65">
        <f>IFERROR(__xludf.DUMMYFUNCTION("IFERROR(
  VLOOKUP(
    A103,
    IMPORTRANGE(
      ""1ZHMy3vVUd_0MrSduXTe1etBb1HNpAlGwQr006ljwMiM"",
      ""GSC最新!A:R""
    ),
    15,
    FALSE
  ),
  0
)
"),7.051546391752577)</f>
        <v>7.051546392</v>
      </c>
      <c r="AA103" s="65">
        <f>IFERROR(__xludf.DUMMYFUNCTION("IFERROR(
  VLOOKUP(
    A103,
    IMPORTRANGE(
      ""1ZHMy3vVUd_0MrSduXTe1etBb1HNpAlGwQr006ljwMiM"",
      ""GSC最新!A:R""
    ),
    18,
    FALSE
  ),
  0
)
"),7.77292576419214)</f>
        <v>7.772925764</v>
      </c>
      <c r="AB103" s="65">
        <f t="shared" ref="AB103:AC103" si="509">X103-Z103</f>
        <v>-3.592671933</v>
      </c>
      <c r="AC103" s="65">
        <f t="shared" si="509"/>
        <v>-3.586827109</v>
      </c>
      <c r="AD103" s="53">
        <f>IFERROR(__xludf.DUMMYFUNCTION("IFERROR(
  VLOOKUP(
    A103,
    IMPORTRANGE(
      ""1ZHMy3vVUd_0MrSduXTe1etBb1HNpAlGwQr006ljwMiM"",
      ""GSC最新!A:F""
    ),
    6,
    FALSE
  ),
  0
)
"),46081.0)</f>
        <v>46081</v>
      </c>
      <c r="AE103" s="54">
        <f>IFERROR(__xludf.DUMMYFUNCTION("IFERROR(
  VLOOKUP(
    A103,
    IMPORTRANGE(
      ""1SCYQd7_cobOYqT0r_F0IqD4tE4rYn5y8Eup4PJTH8es"",
      ""Snapshot!A:M""
    ),
    5,
    FALSE
  ),
  ""-""
)
"),0.0)</f>
        <v>0</v>
      </c>
      <c r="AF103" s="54">
        <f>IFERROR(__xludf.DUMMYFUNCTION("IFERROR(
  VLOOKUP(
    A103,
    IMPORTRANGE(
      ""1SCYQd7_cobOYqT0r_F0IqD4tE4rYn5y8Eup4PJTH8es"",
      ""Snapshot!A:M""
    ),
    6,
    FALSE
  ),
  0
)
"),3.0)</f>
        <v>3</v>
      </c>
      <c r="AG103" s="54">
        <f>IFERROR(__xludf.DUMMYFUNCTION("IFERROR(
  VLOOKUP(
    A103,
    IMPORTRANGE(
      ""1SCYQd7_cobOYqT0r_F0IqD4tE4rYn5y8Eup4PJTH8es"",
      ""Snapshot!A:M""
    ),
    7,
    FALSE
  ),
  0
)
"),2239.0)</f>
        <v>2239</v>
      </c>
      <c r="AH103" s="54">
        <f>IFERROR(__xludf.DUMMYFUNCTION("IFERROR(
  VLOOKUP(
    A103,
    IMPORTRANGE(
      ""1SCYQd7_cobOYqT0r_F0IqD4tE4rYn5y8Eup4PJTH8es"",
      ""Snapshot!A:M""
    ),
    8,
    FALSE
  ),
  0
)
"),4.0)</f>
        <v>4</v>
      </c>
      <c r="AI103" s="54">
        <f>IFERROR(__xludf.DUMMYFUNCTION("IFERROR(
  VLOOKUP(
    A103,
    IMPORTRANGE(
      ""1SCYQd7_cobOYqT0r_F0IqD4tE4rYn5y8Eup4PJTH8es"",
      ""Snapshot!A:M""
    ),
    9,
    FALSE
  ),
  0
)
"),3.0)</f>
        <v>3</v>
      </c>
      <c r="AJ103" s="54">
        <f>IFERROR(__xludf.DUMMYFUNCTION("IFERROR(
  VLOOKUP(
    A103,
    IMPORTRANGE(
      ""1SCYQd7_cobOYqT0r_F0IqD4tE4rYn5y8Eup4PJTH8es"",
      ""Snapshot!A:M""
    ),
    13,
    FALSE
  ),
  0
)
"),1.0)</f>
        <v>1</v>
      </c>
      <c r="AK103" s="49">
        <f t="shared" ref="AK103:AL103" si="510">LEN(C103)</f>
        <v>30</v>
      </c>
      <c r="AL103" s="49">
        <f t="shared" si="510"/>
        <v>62</v>
      </c>
    </row>
    <row r="104">
      <c r="A104" s="3" t="s">
        <v>302</v>
      </c>
      <c r="B104" s="1" t="str">
        <f>IFERROR(__xludf.DUMMYFUNCTION("IFERROR(
  VLOOKUP(
    A104,
    IMPORTRANGE(
      ""1ZygntHC1J6IxzKbTidmOyf5nUyW4GCLurHCjexrLm_o"",
      ""HTMLキャッシュ!A:F""
    ),
    2,
    FALSE
  ),
  0
)
"),"SP")</f>
        <v>SP</v>
      </c>
      <c r="C104" s="1" t="str">
        <f>IFERROR(__xludf.DUMMYFUNCTION("IFERROR(
  VLOOKUP(
    A104,
    IMPORTRANGE(
      ""1ZygntHC1J6IxzKbTidmOyf5nUyW4GCLurHCjexrLm_o"",
      ""HTMLキャッシュ!A:F""
    ),
    5,
    FALSE
  ),
  0
)
"),"都立高校入試のリスニング対策｜英問英答まで個別指導で強化")</f>
        <v>都立高校入試のリスニング対策｜英問英答まで個別指導で強化</v>
      </c>
      <c r="D104" s="1" t="str">
        <f>IFERROR(__xludf.DUMMYFUNCTION("IFERROR(
  VLOOKUP(
    A104,
    IMPORTRANGE(
      ""1ZygntHC1J6IxzKbTidmOyf5nUyW4GCLurHCjexrLm_o        "",
      ""HTMLキャッシュ!A:F""
    ),
    6,
    FALSE
  ),
  0
)
"),"都立高校入試のリスニング対策。音読×書き取り×英問英答を個別指導で反復し、一度で聴いて短く答える力を伸ばす。オンライン可。")</f>
        <v>都立高校入試のリスニング対策。音読×書き取り×英問英答を個別指導で反復し、一度で聴いて短く答える力を伸ばす。オンライン可。</v>
      </c>
      <c r="E104" s="32">
        <f>IFERROR(__xludf.DUMMYFUNCTION("IFERROR(
  VLOOKUP(
    A104,
    IMPORTRANGE(
      ""1ZygntHC1J6IxzKbTidmOyf5nUyW4GCLurHCjexrLm_o        "",
      ""HTMLキャッシュ!A:F""
    ),
    3,
    FALSE
  ),
  0
)
"),46078.87515046296)</f>
        <v>46078.87515</v>
      </c>
      <c r="F104" s="49">
        <f>IFERROR(__xludf.DUMMYFUNCTION("IFERROR(
  VLOOKUP(
    A104,
    IMPORTRANGE(
      ""1ZHMy3vVUd_0MrSduXTe1etBb1HNpAlGwQr006ljwMiM"",
      ""GSC最新!A:F""
    ),
    2,
    FALSE
  ),
  0
)
"),0.0)</f>
        <v>0</v>
      </c>
      <c r="G104" s="49">
        <f>IFERROR(__xludf.DUMMYFUNCTION("IFERROR(
  VLOOKUP(
    A104,
    IMPORTRANGE(
      ""1ZHMy3vVUd_0MrSduXTe1etBb1HNpAlGwQr006ljwMiM"",
      ""GSC最新!A:F""
    ),
    3,
    FALSE
  ),
  0
)
"),1.0)</f>
        <v>1</v>
      </c>
      <c r="H104" s="49">
        <f>IFERROR(__xludf.DUMMYFUNCTION("IFERROR(
  VLOOKUP(
    A104,
    IMPORTRANGE(
      ""1ZHMy3vVUd_0MrSduXTe1etBb1HNpAlGwQr006ljwMiM"",
      ""GSC最新!A:F""
    ),
    4,
    FALSE
  ),
  0
)
"),3.0)</f>
        <v>3</v>
      </c>
      <c r="I104" s="49">
        <f>IFERROR(__xludf.DUMMYFUNCTION("IFERROR(
  VLOOKUP(
    A104,
    IMPORTRANGE(
      ""1ZHMy3vVUd_0MrSduXTe1etBb1HNpAlGwQr006ljwMiM"",
      ""GSC最新!A:F""
    ),
    5,
    FALSE
  ),
  0
)
"),3.0)</f>
        <v>3</v>
      </c>
      <c r="J104" s="50">
        <f t="shared" ref="J104:K104" si="511">IFERROR(F104/H104,"-")</f>
        <v>0</v>
      </c>
      <c r="K104" s="50">
        <f t="shared" si="511"/>
        <v>0.3333333333</v>
      </c>
      <c r="L104" s="6">
        <f>IFERROR(__xludf.DUMMYFUNCTION("IFERROR(
  VLOOKUP(
    A104,
    IMPORTRANGE(
      ""1ZHMy3vVUd_0MrSduXTe1etBb1HNpAlGwQr006ljwMiM"",
      ""GSC最新!A:R""
    ),
    7,
    FALSE
  ),
  0
)
"),108.0)</f>
        <v>108</v>
      </c>
      <c r="M104" s="6">
        <f>IFERROR(__xludf.DUMMYFUNCTION("IFERROR(
  VLOOKUP(
    A104,
    IMPORTRANGE(
      ""1ZHMy3vVUd_0MrSduXTe1etBb1HNpAlGwQr006ljwMiM"",
      ""GSC最新!A:R""
    ),
    10,
    FALSE
  ),
  0
)
"),165.0)</f>
        <v>165</v>
      </c>
      <c r="N104" s="6">
        <f>IFERROR(__xludf.DUMMYFUNCTION("IFERROR(
  VLOOKUP(
    A104,
    IMPORTRANGE(
      ""1ZHMy3vVUd_0MrSduXTe1etBb1HNpAlGwQr006ljwMiM"",
      ""GSC最新!A:R""
    ),
    13,
    FALSE
  ),
  0
)
"),83.0)</f>
        <v>83</v>
      </c>
      <c r="O104" s="6">
        <f>IFERROR(__xludf.DUMMYFUNCTION("IFERROR(
  VLOOKUP(
    A104,
    IMPORTRANGE(
      ""1ZHMy3vVUd_0MrSduXTe1etBb1HNpAlGwQr006ljwMiM"",
      ""GSC最新!A:R""
    ),
    16,
    FALSE
  ),
  0
)
"),277.0)</f>
        <v>277</v>
      </c>
      <c r="P104" s="51">
        <f t="shared" ref="P104:Q104" si="512">IFERROR(L104/N104,"-")</f>
        <v>1.301204819</v>
      </c>
      <c r="Q104" s="51">
        <f t="shared" si="512"/>
        <v>0.59566787</v>
      </c>
      <c r="R104" s="9">
        <f>IFERROR(__xludf.DUMMYFUNCTION("IFERROR(
  VLOOKUP(
    A104,
    IMPORTRANGE(
      ""1ZHMy3vVUd_0MrSduXTe1etBb1HNpAlGwQr006ljwMiM"",
      ""GSC最新!A:R""
    ),
    8,
    FALSE
  ),
  0
)
"),0.0)</f>
        <v>0</v>
      </c>
      <c r="S104" s="9">
        <f>IFERROR(__xludf.DUMMYFUNCTION("IFERROR(
  VLOOKUP(
    A104,
    IMPORTRANGE(
      ""1ZHMy3vVUd_0MrSduXTe1etBb1HNpAlGwQr006ljwMiM"",
      ""GSC最新!A:R""
    ),
    11,
    FALSE
  ),
  0
)
"),0.006060606060606061)</f>
        <v>0.006060606061</v>
      </c>
      <c r="T104" s="9">
        <f>IFERROR(__xludf.DUMMYFUNCTION("IFERROR(
  VLOOKUP(
    A104,
    IMPORTRANGE(
      ""1ZHMy3vVUd_0MrSduXTe1etBb1HNpAlGwQr006ljwMiM"",
      ""GSC最新!A:R""
    ),
    14,
    FALSE
  ),
  0
)
"),0.03614457831325301)</f>
        <v>0.03614457831</v>
      </c>
      <c r="U104" s="9">
        <f>IFERROR(__xludf.DUMMYFUNCTION("IFERROR(
  VLOOKUP(
    A104,
    IMPORTRANGE(
      ""1ZHMy3vVUd_0MrSduXTe1etBb1HNpAlGwQr006ljwMiM"",
      ""GSC最新!A:R""
    ),
    17,
    FALSE
  ),
  0
)
"),0.010830324909747292)</f>
        <v>0.01083032491</v>
      </c>
      <c r="V104" s="9">
        <f t="shared" ref="V104:W104" si="513">IFERROR(R104-T104,"-")</f>
        <v>-0.03614457831</v>
      </c>
      <c r="W104" s="9">
        <f t="shared" si="513"/>
        <v>-0.004769718849</v>
      </c>
      <c r="X104" s="65">
        <f>IFERROR(__xludf.DUMMYFUNCTION("IFERROR(
  VLOOKUP(
    A104,
    IMPORTRANGE(
      ""1ZHMy3vVUd_0MrSduXTe1etBb1HNpAlGwQr006ljwMiM"",
      ""GSC最新!A:R""
    ),
    9,
    FALSE
  ),
  0
)
"),6.0092592592592595)</f>
        <v>6.009259259</v>
      </c>
      <c r="Y104" s="65">
        <f>IFERROR(__xludf.DUMMYFUNCTION("IFERROR(
  VLOOKUP(
    A104,
    IMPORTRANGE(
      ""1ZHMy3vVUd_0MrSduXTe1etBb1HNpAlGwQr006ljwMiM"",
      ""GSC最新!A:R""
    ),
    12,
    FALSE
  ),
  0
)
"),7.715151515151515)</f>
        <v>7.715151515</v>
      </c>
      <c r="Z104" s="65">
        <f>IFERROR(__xludf.DUMMYFUNCTION("IFERROR(
  VLOOKUP(
    A104,
    IMPORTRANGE(
      ""1ZHMy3vVUd_0MrSduXTe1etBb1HNpAlGwQr006ljwMiM"",
      ""GSC最新!A:R""
    ),
    15,
    FALSE
  ),
  0
)
"),43.397590361445786)</f>
        <v>43.39759036</v>
      </c>
      <c r="AA104" s="65">
        <f>IFERROR(__xludf.DUMMYFUNCTION("IFERROR(
  VLOOKUP(
    A104,
    IMPORTRANGE(
      ""1ZHMy3vVUd_0MrSduXTe1etBb1HNpAlGwQr006ljwMiM"",
      ""GSC最新!A:R""
    ),
    18,
    FALSE
  ),
  0
)
"),44.81588447653429)</f>
        <v>44.81588448</v>
      </c>
      <c r="AB104" s="65">
        <f t="shared" ref="AB104:AC104" si="514">X104-Z104</f>
        <v>-37.3883311</v>
      </c>
      <c r="AC104" s="65">
        <f t="shared" si="514"/>
        <v>-37.10073296</v>
      </c>
      <c r="AD104" s="53">
        <f>IFERROR(__xludf.DUMMYFUNCTION("IFERROR(
  VLOOKUP(
    A104,
    IMPORTRANGE(
      ""1ZHMy3vVUd_0MrSduXTe1etBb1HNpAlGwQr006ljwMiM"",
      ""GSC最新!A:F""
    ),
    6,
    FALSE
  ),
  0
)
"),46081.0)</f>
        <v>46081</v>
      </c>
      <c r="AE104" s="54">
        <f>IFERROR(__xludf.DUMMYFUNCTION("IFERROR(
  VLOOKUP(
    A104,
    IMPORTRANGE(
      ""1SCYQd7_cobOYqT0r_F0IqD4tE4rYn5y8Eup4PJTH8es"",
      ""Snapshot!A:M""
    ),
    5,
    FALSE
  ),
  ""-""
)
"),5.0)</f>
        <v>5</v>
      </c>
      <c r="AF104" s="54">
        <f>IFERROR(__xludf.DUMMYFUNCTION("IFERROR(
  VLOOKUP(
    A104,
    IMPORTRANGE(
      ""1SCYQd7_cobOYqT0r_F0IqD4tE4rYn5y8Eup4PJTH8es"",
      ""Snapshot!A:M""
    ),
    6,
    FALSE
  ),
  0
)
"),7.0)</f>
        <v>7</v>
      </c>
      <c r="AG104" s="54">
        <f>IFERROR(__xludf.DUMMYFUNCTION("IFERROR(
  VLOOKUP(
    A104,
    IMPORTRANGE(
      ""1SCYQd7_cobOYqT0r_F0IqD4tE4rYn5y8Eup4PJTH8es"",
      ""Snapshot!A:M""
    ),
    7,
    FALSE
  ),
  0
)
"),3187.0)</f>
        <v>3187</v>
      </c>
      <c r="AH104" s="54">
        <f>IFERROR(__xludf.DUMMYFUNCTION("IFERROR(
  VLOOKUP(
    A104,
    IMPORTRANGE(
      ""1SCYQd7_cobOYqT0r_F0IqD4tE4rYn5y8Eup4PJTH8es"",
      ""Snapshot!A:M""
    ),
    8,
    FALSE
  ),
  0
)
"),1.0)</f>
        <v>1</v>
      </c>
      <c r="AI104" s="54">
        <f>IFERROR(__xludf.DUMMYFUNCTION("IFERROR(
  VLOOKUP(
    A104,
    IMPORTRANGE(
      ""1SCYQd7_cobOYqT0r_F0IqD4tE4rYn5y8Eup4PJTH8es"",
      ""Snapshot!A:M""
    ),
    9,
    FALSE
  ),
  0
)
"),1.0)</f>
        <v>1</v>
      </c>
      <c r="AJ104" s="54">
        <f>IFERROR(__xludf.DUMMYFUNCTION("IFERROR(
  VLOOKUP(
    A104,
    IMPORTRANGE(
      ""1SCYQd7_cobOYqT0r_F0IqD4tE4rYn5y8Eup4PJTH8es"",
      ""Snapshot!A:M""
    ),
    13,
    FALSE
  ),
  0
)
"),1.0)</f>
        <v>1</v>
      </c>
      <c r="AK104" s="49">
        <f t="shared" ref="AK104:AL104" si="515">LEN(C104)</f>
        <v>28</v>
      </c>
      <c r="AL104" s="49">
        <f t="shared" si="515"/>
        <v>61</v>
      </c>
    </row>
    <row r="105">
      <c r="A105" s="3" t="s">
        <v>314</v>
      </c>
      <c r="B105" s="1" t="str">
        <f>IFERROR(__xludf.DUMMYFUNCTION("IFERROR(
  VLOOKUP(
    A105,
    IMPORTRANGE(
      ""1ZygntHC1J6IxzKbTidmOyf5nUyW4GCLurHCjexrLm_o"",
      ""HTMLキャッシュ!A:F""
    ),
    2,
    FALSE
  ),
  0
)
"),"SP")</f>
        <v>SP</v>
      </c>
      <c r="C105" s="1" t="str">
        <f>IFERROR(__xludf.DUMMYFUNCTION("IFERROR(
  VLOOKUP(
    A105,
    IMPORTRANGE(
      ""1ZygntHC1J6IxzKbTidmOyf5nUyW4GCLurHCjexrLm_o"",
      ""HTMLキャッシュ!A:F""
    ),
    5,
    FALSE
  ),
  0
)
"),"受験英語語彙強化の個別指導講座｜長文対応オンライン塾")</f>
        <v>受験英語語彙強化の個別指導講座｜長文対応オンライン塾</v>
      </c>
      <c r="D105" s="1" t="str">
        <f>IFERROR(__xludf.DUMMYFUNCTION("IFERROR(
  VLOOKUP(
    A105,
    IMPORTRANGE(
      ""1ZygntHC1J6IxzKbTidmOyf5nUyW4GCLurHCjexrLm_o        "",
      ""HTMLキャッシュ!A:F""
    ),
    6,
    FALSE
  ),
  0
)
"),"長文が読めない原因は語彙不足。頻出単語と熟語を個別指導で定着し、使える知識へ転換。オンライン体験受付中")</f>
        <v>長文が読めない原因は語彙不足。頻出単語と熟語を個別指導で定着し、使える知識へ転換。オンライン体験受付中</v>
      </c>
      <c r="E105" s="32">
        <f>IFERROR(__xludf.DUMMYFUNCTION("IFERROR(
  VLOOKUP(
    A105,
    IMPORTRANGE(
      ""1ZygntHC1J6IxzKbTidmOyf5nUyW4GCLurHCjexrLm_o        "",
      ""HTMLキャッシュ!A:F""
    ),
    3,
    FALSE
  ),
  0
)
"),46081.77542824074)</f>
        <v>46081.77543</v>
      </c>
      <c r="F105" s="49">
        <f>IFERROR(__xludf.DUMMYFUNCTION("IFERROR(
  VLOOKUP(
    A105,
    IMPORTRANGE(
      ""1ZHMy3vVUd_0MrSduXTe1etBb1HNpAlGwQr006ljwMiM"",
      ""GSC最新!A:F""
    ),
    2,
    FALSE
  ),
  0
)
"),1.0)</f>
        <v>1</v>
      </c>
      <c r="G105" s="49">
        <f>IFERROR(__xludf.DUMMYFUNCTION("IFERROR(
  VLOOKUP(
    A105,
    IMPORTRANGE(
      ""1ZHMy3vVUd_0MrSduXTe1etBb1HNpAlGwQr006ljwMiM"",
      ""GSC最新!A:F""
    ),
    3,
    FALSE
  ),
  0
)
"),1.0)</f>
        <v>1</v>
      </c>
      <c r="H105" s="49">
        <f>IFERROR(__xludf.DUMMYFUNCTION("IFERROR(
  VLOOKUP(
    A105,
    IMPORTRANGE(
      ""1ZHMy3vVUd_0MrSduXTe1etBb1HNpAlGwQr006ljwMiM"",
      ""GSC最新!A:F""
    ),
    4,
    FALSE
  ),
  0
)
"),0.0)</f>
        <v>0</v>
      </c>
      <c r="I105" s="49">
        <f>IFERROR(__xludf.DUMMYFUNCTION("IFERROR(
  VLOOKUP(
    A105,
    IMPORTRANGE(
      ""1ZHMy3vVUd_0MrSduXTe1etBb1HNpAlGwQr006ljwMiM"",
      ""GSC最新!A:F""
    ),
    5,
    FALSE
  ),
  0
)
"),1.0)</f>
        <v>1</v>
      </c>
      <c r="J105" s="50" t="str">
        <f t="shared" ref="J105:K105" si="516">IFERROR(F105/H105,"-")</f>
        <v>-</v>
      </c>
      <c r="K105" s="50">
        <f t="shared" si="516"/>
        <v>1</v>
      </c>
      <c r="L105" s="6">
        <f>IFERROR(__xludf.DUMMYFUNCTION("IFERROR(
  VLOOKUP(
    A105,
    IMPORTRANGE(
      ""1ZHMy3vVUd_0MrSduXTe1etBb1HNpAlGwQr006ljwMiM"",
      ""GSC最新!A:R""
    ),
    7,
    FALSE
  ),
  0
)
"),47.0)</f>
        <v>47</v>
      </c>
      <c r="M105" s="6">
        <f>IFERROR(__xludf.DUMMYFUNCTION("IFERROR(
  VLOOKUP(
    A105,
    IMPORTRANGE(
      ""1ZHMy3vVUd_0MrSduXTe1etBb1HNpAlGwQr006ljwMiM"",
      ""GSC最新!A:R""
    ),
    10,
    FALSE
  ),
  0
)
"),77.0)</f>
        <v>77</v>
      </c>
      <c r="N105" s="6">
        <f>IFERROR(__xludf.DUMMYFUNCTION("IFERROR(
  VLOOKUP(
    A105,
    IMPORTRANGE(
      ""1ZHMy3vVUd_0MrSduXTe1etBb1HNpAlGwQr006ljwMiM"",
      ""GSC最新!A:R""
    ),
    13,
    FALSE
  ),
  0
)
"),9.0)</f>
        <v>9</v>
      </c>
      <c r="O105" s="6">
        <f>IFERROR(__xludf.DUMMYFUNCTION("IFERROR(
  VLOOKUP(
    A105,
    IMPORTRANGE(
      ""1ZHMy3vVUd_0MrSduXTe1etBb1HNpAlGwQr006ljwMiM"",
      ""GSC最新!A:R""
    ),
    16,
    FALSE
  ),
  0
)
"),24.0)</f>
        <v>24</v>
      </c>
      <c r="P105" s="51">
        <f t="shared" ref="P105:Q105" si="517">IFERROR(L105/N105,"-")</f>
        <v>5.222222222</v>
      </c>
      <c r="Q105" s="51">
        <f t="shared" si="517"/>
        <v>3.208333333</v>
      </c>
      <c r="R105" s="9">
        <f>IFERROR(__xludf.DUMMYFUNCTION("IFERROR(
  VLOOKUP(
    A105,
    IMPORTRANGE(
      ""1ZHMy3vVUd_0MrSduXTe1etBb1HNpAlGwQr006ljwMiM"",
      ""GSC最新!A:R""
    ),
    8,
    FALSE
  ),
  0
)
"),0.02127659574468085)</f>
        <v>0.02127659574</v>
      </c>
      <c r="S105" s="9">
        <f>IFERROR(__xludf.DUMMYFUNCTION("IFERROR(
  VLOOKUP(
    A105,
    IMPORTRANGE(
      ""1ZHMy3vVUd_0MrSduXTe1etBb1HNpAlGwQr006ljwMiM"",
      ""GSC最新!A:R""
    ),
    11,
    FALSE
  ),
  0
)
"),0.012987012987012988)</f>
        <v>0.01298701299</v>
      </c>
      <c r="T105" s="9">
        <f>IFERROR(__xludf.DUMMYFUNCTION("IFERROR(
  VLOOKUP(
    A105,
    IMPORTRANGE(
      ""1ZHMy3vVUd_0MrSduXTe1etBb1HNpAlGwQr006ljwMiM"",
      ""GSC最新!A:R""
    ),
    14,
    FALSE
  ),
  0
)
"),0.0)</f>
        <v>0</v>
      </c>
      <c r="U105" s="9">
        <f>IFERROR(__xludf.DUMMYFUNCTION("IFERROR(
  VLOOKUP(
    A105,
    IMPORTRANGE(
      ""1ZHMy3vVUd_0MrSduXTe1etBb1HNpAlGwQr006ljwMiM"",
      ""GSC最新!A:R""
    ),
    17,
    FALSE
  ),
  0
)
"),0.041666666666666664)</f>
        <v>0.04166666667</v>
      </c>
      <c r="V105" s="9">
        <f t="shared" ref="V105:W105" si="518">IFERROR(R105-T105,"-")</f>
        <v>0.02127659574</v>
      </c>
      <c r="W105" s="9">
        <f t="shared" si="518"/>
        <v>-0.02867965368</v>
      </c>
      <c r="X105" s="65">
        <f>IFERROR(__xludf.DUMMYFUNCTION("IFERROR(
  VLOOKUP(
    A105,
    IMPORTRANGE(
      ""1ZHMy3vVUd_0MrSduXTe1etBb1HNpAlGwQr006ljwMiM"",
      ""GSC最新!A:R""
    ),
    9,
    FALSE
  ),
  0
)
"),6.914893617021277)</f>
        <v>6.914893617</v>
      </c>
      <c r="Y105" s="65">
        <f>IFERROR(__xludf.DUMMYFUNCTION("IFERROR(
  VLOOKUP(
    A105,
    IMPORTRANGE(
      ""1ZHMy3vVUd_0MrSduXTe1etBb1HNpAlGwQr006ljwMiM"",
      ""GSC最新!A:R""
    ),
    12,
    FALSE
  ),
  0
)
"),6.207792207792208)</f>
        <v>6.207792208</v>
      </c>
      <c r="Z105" s="65">
        <f>IFERROR(__xludf.DUMMYFUNCTION("IFERROR(
  VLOOKUP(
    A105,
    IMPORTRANGE(
      ""1ZHMy3vVUd_0MrSduXTe1etBb1HNpAlGwQr006ljwMiM"",
      ""GSC最新!A:R""
    ),
    15,
    FALSE
  ),
  0
)
"),8.555555555555555)</f>
        <v>8.555555556</v>
      </c>
      <c r="AA105" s="65">
        <f>IFERROR(__xludf.DUMMYFUNCTION("IFERROR(
  VLOOKUP(
    A105,
    IMPORTRANGE(
      ""1ZHMy3vVUd_0MrSduXTe1etBb1HNpAlGwQr006ljwMiM"",
      ""GSC最新!A:R""
    ),
    18,
    FALSE
  ),
  0
)
"),12.083333333333334)</f>
        <v>12.08333333</v>
      </c>
      <c r="AB105" s="65">
        <f t="shared" ref="AB105:AC105" si="519">X105-Z105</f>
        <v>-1.640661939</v>
      </c>
      <c r="AC105" s="65">
        <f t="shared" si="519"/>
        <v>-5.875541126</v>
      </c>
      <c r="AD105" s="53">
        <f>IFERROR(__xludf.DUMMYFUNCTION("IFERROR(
  VLOOKUP(
    A105,
    IMPORTRANGE(
      ""1ZHMy3vVUd_0MrSduXTe1etBb1HNpAlGwQr006ljwMiM"",
      ""GSC最新!A:F""
    ),
    6,
    FALSE
  ),
  0
)
"),46081.0)</f>
        <v>46081</v>
      </c>
      <c r="AE105" s="54">
        <f>IFERROR(__xludf.DUMMYFUNCTION("IFERROR(
  VLOOKUP(
    A105,
    IMPORTRANGE(
      ""1SCYQd7_cobOYqT0r_F0IqD4tE4rYn5y8Eup4PJTH8es"",
      ""Snapshot!A:M""
    ),
    5,
    FALSE
  ),
  ""-""
)
"),5.0)</f>
        <v>5</v>
      </c>
      <c r="AF105" s="54">
        <f>IFERROR(__xludf.DUMMYFUNCTION("IFERROR(
  VLOOKUP(
    A105,
    IMPORTRANGE(
      ""1SCYQd7_cobOYqT0r_F0IqD4tE4rYn5y8Eup4PJTH8es"",
      ""Snapshot!A:M""
    ),
    6,
    FALSE
  ),
  0
)
"),5.0)</f>
        <v>5</v>
      </c>
      <c r="AG105" s="54">
        <f>IFERROR(__xludf.DUMMYFUNCTION("IFERROR(
  VLOOKUP(
    A105,
    IMPORTRANGE(
      ""1SCYQd7_cobOYqT0r_F0IqD4tE4rYn5y8Eup4PJTH8es"",
      ""Snapshot!A:M""
    ),
    7,
    FALSE
  ),
  0
)
"),3109.0)</f>
        <v>3109</v>
      </c>
      <c r="AH105" s="54">
        <f>IFERROR(__xludf.DUMMYFUNCTION("IFERROR(
  VLOOKUP(
    A105,
    IMPORTRANGE(
      ""1SCYQd7_cobOYqT0r_F0IqD4tE4rYn5y8Eup4PJTH8es"",
      ""Snapshot!A:M""
    ),
    8,
    FALSE
  ),
  0
)
"),2.0)</f>
        <v>2</v>
      </c>
      <c r="AI105" s="54">
        <f>IFERROR(__xludf.DUMMYFUNCTION("IFERROR(
  VLOOKUP(
    A105,
    IMPORTRANGE(
      ""1SCYQd7_cobOYqT0r_F0IqD4tE4rYn5y8Eup4PJTH8es"",
      ""Snapshot!A:M""
    ),
    9,
    FALSE
  ),
  0
)
"),1.0)</f>
        <v>1</v>
      </c>
      <c r="AJ105" s="54">
        <f>IFERROR(__xludf.DUMMYFUNCTION("IFERROR(
  VLOOKUP(
    A105,
    IMPORTRANGE(
      ""1SCYQd7_cobOYqT0r_F0IqD4tE4rYn5y8Eup4PJTH8es"",
      ""Snapshot!A:M""
    ),
    13,
    FALSE
  ),
  0
)
"),1.0)</f>
        <v>1</v>
      </c>
      <c r="AK105" s="49">
        <f t="shared" ref="AK105:AL105" si="520">LEN(C105)</f>
        <v>26</v>
      </c>
      <c r="AL105" s="49">
        <f t="shared" si="520"/>
        <v>51</v>
      </c>
    </row>
    <row r="106">
      <c r="A106" s="1" t="s">
        <v>221</v>
      </c>
      <c r="B106" s="1" t="str">
        <f>IFERROR(__xludf.DUMMYFUNCTION("IFERROR(
  VLOOKUP(
    A106,
    IMPORTRANGE(
      ""1ZygntHC1J6IxzKbTidmOyf5nUyW4GCLurHCjexrLm_o"",
      ""HTMLキャッシュ!A:F""
    ),
    2,
    FALSE
  ),
  0
)
"),"-")</f>
        <v>-</v>
      </c>
      <c r="C106" s="1" t="str">
        <f>IFERROR(__xludf.DUMMYFUNCTION("IFERROR(
  VLOOKUP(
    A106,
    IMPORTRANGE(
      ""1ZygntHC1J6IxzKbTidmOyf5nUyW4GCLurHCjexrLm_o"",
      ""HTMLキャッシュ!A:F""
    ),
    5,
    FALSE
  ),
  0
)
"),"ニュートレジャーの道案内 - 受験英語専門ゼミ「Re-Write」(リライト)")</f>
        <v>ニュートレジャーの道案内 - 受験英語専門ゼミ「Re-Write」(リライト)</v>
      </c>
      <c r="D106" s="1" t="str">
        <f>IFERROR(__xludf.DUMMYFUNCTION("IFERROR(
  VLOOKUP(
    A106,
    IMPORTRANGE(
      ""1ZygntHC1J6IxzKbTidmOyf5nUyW4GCLurHCjexrLm_o        "",
      ""HTMLキャッシュ!A:F""
    ),
    6,
    FALSE
  ),
  0
)
"),"[1ページ目] ニュートレジャーの道案内 について 受験英語専門ゼミ「Re-Write」(リライト) 受験英語に特化した塾。完全１対１の個別指導から集団授業まで、様々なニーズに合わせた講座で英語の得点力を養います。")</f>
        <v>[1ページ目] ニュートレジャーの道案内 について 受験英語専門ゼミ「Re-Write」(リライト) 受験英語に特化した塾。完全１対１の個別指導から集団授業まで、様々なニーズに合わせた講座で英語の得点力を養います。</v>
      </c>
      <c r="E106" s="32">
        <f>IFERROR(__xludf.DUMMYFUNCTION("IFERROR(
  VLOOKUP(
    A106,
    IMPORTRANGE(
      ""1ZygntHC1J6IxzKbTidmOyf5nUyW4GCLurHCjexrLm_o        "",
      ""HTMLキャッシュ!A:F""
    ),
    3,
    FALSE
  ),
  0
)
"),25569.375)</f>
        <v>25569.375</v>
      </c>
      <c r="F106" s="49">
        <f>IFERROR(__xludf.DUMMYFUNCTION("IFERROR(
  VLOOKUP(
    A106,
    IMPORTRANGE(
      ""1ZHMy3vVUd_0MrSduXTe1etBb1HNpAlGwQr006ljwMiM"",
      ""GSC最新!A:F""
    ),
    2,
    FALSE
  ),
  0
)
"),0.0)</f>
        <v>0</v>
      </c>
      <c r="G106" s="49">
        <f>IFERROR(__xludf.DUMMYFUNCTION("IFERROR(
  VLOOKUP(
    A106,
    IMPORTRANGE(
      ""1ZHMy3vVUd_0MrSduXTe1etBb1HNpAlGwQr006ljwMiM"",
      ""GSC最新!A:F""
    ),
    3,
    FALSE
  ),
  0
)
"),1.0)</f>
        <v>1</v>
      </c>
      <c r="H106" s="49">
        <f>IFERROR(__xludf.DUMMYFUNCTION("IFERROR(
  VLOOKUP(
    A106,
    IMPORTRANGE(
      ""1ZHMy3vVUd_0MrSduXTe1etBb1HNpAlGwQr006ljwMiM"",
      ""GSC最新!A:F""
    ),
    4,
    FALSE
  ),
  0
)
"),1.0)</f>
        <v>1</v>
      </c>
      <c r="I106" s="49">
        <f>IFERROR(__xludf.DUMMYFUNCTION("IFERROR(
  VLOOKUP(
    A106,
    IMPORTRANGE(
      ""1ZHMy3vVUd_0MrSduXTe1etBb1HNpAlGwQr006ljwMiM"",
      ""GSC最新!A:F""
    ),
    5,
    FALSE
  ),
  0
)
"),1.0)</f>
        <v>1</v>
      </c>
      <c r="J106" s="50">
        <f t="shared" ref="J106:K106" si="521">IFERROR(F106/H106,"-")</f>
        <v>0</v>
      </c>
      <c r="K106" s="50">
        <f t="shared" si="521"/>
        <v>1</v>
      </c>
      <c r="L106" s="6">
        <f>IFERROR(__xludf.DUMMYFUNCTION("IFERROR(
  VLOOKUP(
    A106,
    IMPORTRANGE(
      ""1ZHMy3vVUd_0MrSduXTe1etBb1HNpAlGwQr006ljwMiM"",
      ""GSC最新!A:R""
    ),
    7,
    FALSE
  ),
  0
)
"),41.0)</f>
        <v>41</v>
      </c>
      <c r="M106" s="6">
        <f>IFERROR(__xludf.DUMMYFUNCTION("IFERROR(
  VLOOKUP(
    A106,
    IMPORTRANGE(
      ""1ZHMy3vVUd_0MrSduXTe1etBb1HNpAlGwQr006ljwMiM"",
      ""GSC最新!A:R""
    ),
    10,
    FALSE
  ),
  0
)
"),77.0)</f>
        <v>77</v>
      </c>
      <c r="N106" s="6">
        <f>IFERROR(__xludf.DUMMYFUNCTION("IFERROR(
  VLOOKUP(
    A106,
    IMPORTRANGE(
      ""1ZHMy3vVUd_0MrSduXTe1etBb1HNpAlGwQr006ljwMiM"",
      ""GSC最新!A:R""
    ),
    13,
    FALSE
  ),
  0
)
"),22.0)</f>
        <v>22</v>
      </c>
      <c r="O106" s="6">
        <f>IFERROR(__xludf.DUMMYFUNCTION("IFERROR(
  VLOOKUP(
    A106,
    IMPORTRANGE(
      ""1ZHMy3vVUd_0MrSduXTe1etBb1HNpAlGwQr006ljwMiM"",
      ""GSC最新!A:R""
    ),
    16,
    FALSE
  ),
  0
)
"),30.0)</f>
        <v>30</v>
      </c>
      <c r="P106" s="51">
        <f t="shared" ref="P106:Q106" si="522">IFERROR(L106/N106,"-")</f>
        <v>1.863636364</v>
      </c>
      <c r="Q106" s="51">
        <f t="shared" si="522"/>
        <v>2.566666667</v>
      </c>
      <c r="R106" s="9">
        <f>IFERROR(__xludf.DUMMYFUNCTION("IFERROR(
  VLOOKUP(
    A106,
    IMPORTRANGE(
      ""1ZHMy3vVUd_0MrSduXTe1etBb1HNpAlGwQr006ljwMiM"",
      ""GSC最新!A:R""
    ),
    8,
    FALSE
  ),
  0
)
"),0.0)</f>
        <v>0</v>
      </c>
      <c r="S106" s="9">
        <f>IFERROR(__xludf.DUMMYFUNCTION("IFERROR(
  VLOOKUP(
    A106,
    IMPORTRANGE(
      ""1ZHMy3vVUd_0MrSduXTe1etBb1HNpAlGwQr006ljwMiM"",
      ""GSC最新!A:R""
    ),
    11,
    FALSE
  ),
  0
)
"),0.012987012987012988)</f>
        <v>0.01298701299</v>
      </c>
      <c r="T106" s="9">
        <f>IFERROR(__xludf.DUMMYFUNCTION("IFERROR(
  VLOOKUP(
    A106,
    IMPORTRANGE(
      ""1ZHMy3vVUd_0MrSduXTe1etBb1HNpAlGwQr006ljwMiM"",
      ""GSC最新!A:R""
    ),
    14,
    FALSE
  ),
  0
)
"),0.045454545454545456)</f>
        <v>0.04545454545</v>
      </c>
      <c r="U106" s="9">
        <f>IFERROR(__xludf.DUMMYFUNCTION("IFERROR(
  VLOOKUP(
    A106,
    IMPORTRANGE(
      ""1ZHMy3vVUd_0MrSduXTe1etBb1HNpAlGwQr006ljwMiM"",
      ""GSC最新!A:R""
    ),
    17,
    FALSE
  ),
  0
)
"),0.03333333333333333)</f>
        <v>0.03333333333</v>
      </c>
      <c r="V106" s="9">
        <f t="shared" ref="V106:W106" si="523">IFERROR(R106-T106,"-")</f>
        <v>-0.04545454545</v>
      </c>
      <c r="W106" s="9">
        <f t="shared" si="523"/>
        <v>-0.02034632035</v>
      </c>
      <c r="X106" s="65">
        <f>IFERROR(__xludf.DUMMYFUNCTION("IFERROR(
  VLOOKUP(
    A106,
    IMPORTRANGE(
      ""1ZHMy3vVUd_0MrSduXTe1etBb1HNpAlGwQr006ljwMiM"",
      ""GSC最新!A:R""
    ),
    9,
    FALSE
  ),
  0
)
"),8.975609756097562)</f>
        <v>8.975609756</v>
      </c>
      <c r="Y106" s="65">
        <f>IFERROR(__xludf.DUMMYFUNCTION("IFERROR(
  VLOOKUP(
    A106,
    IMPORTRANGE(
      ""1ZHMy3vVUd_0MrSduXTe1etBb1HNpAlGwQr006ljwMiM"",
      ""GSC最新!A:R""
    ),
    12,
    FALSE
  ),
  0
)
"),7.012987012987013)</f>
        <v>7.012987013</v>
      </c>
      <c r="Z106" s="65">
        <f>IFERROR(__xludf.DUMMYFUNCTION("IFERROR(
  VLOOKUP(
    A106,
    IMPORTRANGE(
      ""1ZHMy3vVUd_0MrSduXTe1etBb1HNpAlGwQr006ljwMiM"",
      ""GSC最新!A:R""
    ),
    15,
    FALSE
  ),
  0
)
"),7.909090909090909)</f>
        <v>7.909090909</v>
      </c>
      <c r="AA106" s="65">
        <f>IFERROR(__xludf.DUMMYFUNCTION("IFERROR(
  VLOOKUP(
    A106,
    IMPORTRANGE(
      ""1ZHMy3vVUd_0MrSduXTe1etBb1HNpAlGwQr006ljwMiM"",
      ""GSC最新!A:R""
    ),
    18,
    FALSE
  ),
  0
)
"),19.366666666666667)</f>
        <v>19.36666667</v>
      </c>
      <c r="AB106" s="65">
        <f t="shared" ref="AB106:AC106" si="524">X106-Z106</f>
        <v>1.066518847</v>
      </c>
      <c r="AC106" s="65">
        <f t="shared" si="524"/>
        <v>-12.35367965</v>
      </c>
      <c r="AD106" s="53">
        <f>IFERROR(__xludf.DUMMYFUNCTION("IFERROR(
  VLOOKUP(
    A106,
    IMPORTRANGE(
      ""1ZHMy3vVUd_0MrSduXTe1etBb1HNpAlGwQr006ljwMiM"",
      ""GSC最新!A:F""
    ),
    6,
    FALSE
  ),
  0
)
"),46081.0)</f>
        <v>46081</v>
      </c>
      <c r="AE106" s="54">
        <f>IFERROR(__xludf.DUMMYFUNCTION("IFERROR(
  VLOOKUP(
    A106,
    IMPORTRANGE(
      ""1SCYQd7_cobOYqT0r_F0IqD4tE4rYn5y8Eup4PJTH8es"",
      ""Snapshot!A:M""
    ),
    5,
    FALSE
  ),
  ""-""
)
"),0.0)</f>
        <v>0</v>
      </c>
      <c r="AF106" s="54">
        <f>IFERROR(__xludf.DUMMYFUNCTION("IFERROR(
  VLOOKUP(
    A106,
    IMPORTRANGE(
      ""1SCYQd7_cobOYqT0r_F0IqD4tE4rYn5y8Eup4PJTH8es"",
      ""Snapshot!A:M""
    ),
    6,
    FALSE
  ),
  0
)
"),0.0)</f>
        <v>0</v>
      </c>
      <c r="AG106" s="54">
        <f>IFERROR(__xludf.DUMMYFUNCTION("IFERROR(
  VLOOKUP(
    A106,
    IMPORTRANGE(
      ""1SCYQd7_cobOYqT0r_F0IqD4tE4rYn5y8Eup4PJTH8es"",
      ""Snapshot!A:M""
    ),
    7,
    FALSE
  ),
  0
)
"),0.0)</f>
        <v>0</v>
      </c>
      <c r="AH106" s="54">
        <f>IFERROR(__xludf.DUMMYFUNCTION("IFERROR(
  VLOOKUP(
    A106,
    IMPORTRANGE(
      ""1SCYQd7_cobOYqT0r_F0IqD4tE4rYn5y8Eup4PJTH8es"",
      ""Snapshot!A:M""
    ),
    8,
    FALSE
  ),
  0
)
"),0.0)</f>
        <v>0</v>
      </c>
      <c r="AI106" s="54">
        <f>IFERROR(__xludf.DUMMYFUNCTION("IFERROR(
  VLOOKUP(
    A106,
    IMPORTRANGE(
      ""1SCYQd7_cobOYqT0r_F0IqD4tE4rYn5y8Eup4PJTH8es"",
      ""Snapshot!A:M""
    ),
    9,
    FALSE
  ),
  0
)
"),0.0)</f>
        <v>0</v>
      </c>
      <c r="AJ106" s="54">
        <f>IFERROR(__xludf.DUMMYFUNCTION("IFERROR(
  VLOOKUP(
    A106,
    IMPORTRANGE(
      ""1SCYQd7_cobOYqT0r_F0IqD4tE4rYn5y8Eup4PJTH8es"",
      ""Snapshot!A:M""
    ),
    13,
    FALSE
  ),
  0
)
"),1.0)</f>
        <v>1</v>
      </c>
      <c r="AK106" s="49">
        <f t="shared" ref="AK106:AL106" si="525">LEN(C106)</f>
        <v>39</v>
      </c>
      <c r="AL106" s="49">
        <f t="shared" si="525"/>
        <v>107</v>
      </c>
    </row>
    <row r="107">
      <c r="A107" s="3" t="s">
        <v>327</v>
      </c>
      <c r="B107" s="1" t="str">
        <f>IFERROR(__xludf.DUMMYFUNCTION("IFERROR(
  VLOOKUP(
    A107,
    IMPORTRANGE(
      ""1ZygntHC1J6IxzKbTidmOyf5nUyW4GCLurHCjexrLm_o"",
      ""HTMLキャッシュ!A:F""
    ),
    2,
    FALSE
  ),
  0
)
"),"SP")</f>
        <v>SP</v>
      </c>
      <c r="C107" s="1" t="str">
        <f>IFERROR(__xludf.DUMMYFUNCTION("IFERROR(
  VLOOKUP(
    A107,
    IMPORTRANGE(
      ""1ZygntHC1J6IxzKbTidmOyf5nUyW4GCLurHCjexrLm_o"",
      ""HTMLキャッシュ!A:F""
    ),
    5,
    FALSE
  ),
  0
)
"),"都立自校作成校英語読解20分攻略個別指導講座｜オンライン塾")</f>
        <v>都立自校作成校英語読解20分攻略個別指導講座｜オンライン塾</v>
      </c>
      <c r="D107" s="1" t="str">
        <f>IFERROR(__xludf.DUMMYFUNCTION("IFERROR(
  VLOOKUP(
    A107,
    IMPORTRANGE(
      ""1ZygntHC1J6IxzKbTidmOyf5nUyW4GCLurHCjexrLm_o        "",
      ""HTMLキャッシュ!A:F""
    ),
    6,
    FALSE
  ),
  0
)
"),"長文が時間内に終わらない受験生へ。段落把握×音読の個別指導で速読精読を両立し20分完走へ導く。オンライン体験受付中、今すぐ相談")</f>
        <v>長文が時間内に終わらない受験生へ。段落把握×音読の個別指導で速読精読を両立し20分完走へ導く。オンライン体験受付中、今すぐ相談</v>
      </c>
      <c r="E107" s="32">
        <f>IFERROR(__xludf.DUMMYFUNCTION("IFERROR(
  VLOOKUP(
    A107,
    IMPORTRANGE(
      ""1ZygntHC1J6IxzKbTidmOyf5nUyW4GCLurHCjexrLm_o        "",
      ""HTMLキャッシュ!A:F""
    ),
    3,
    FALSE
  ),
  0
)
"),46081.769537037035)</f>
        <v>46081.76954</v>
      </c>
      <c r="F107" s="49">
        <f>IFERROR(__xludf.DUMMYFUNCTION("IFERROR(
  VLOOKUP(
    A107,
    IMPORTRANGE(
      ""1ZHMy3vVUd_0MrSduXTe1etBb1HNpAlGwQr006ljwMiM"",
      ""GSC最新!A:F""
    ),
    2,
    FALSE
  ),
  0
)
"),0.0)</f>
        <v>0</v>
      </c>
      <c r="G107" s="49">
        <f>IFERROR(__xludf.DUMMYFUNCTION("IFERROR(
  VLOOKUP(
    A107,
    IMPORTRANGE(
      ""1ZHMy3vVUd_0MrSduXTe1etBb1HNpAlGwQr006ljwMiM"",
      ""GSC最新!A:F""
    ),
    3,
    FALSE
  ),
  0
)
"),1.0)</f>
        <v>1</v>
      </c>
      <c r="H107" s="49">
        <f>IFERROR(__xludf.DUMMYFUNCTION("IFERROR(
  VLOOKUP(
    A107,
    IMPORTRANGE(
      ""1ZHMy3vVUd_0MrSduXTe1etBb1HNpAlGwQr006ljwMiM"",
      ""GSC最新!A:F""
    ),
    4,
    FALSE
  ),
  0
)
"),0.0)</f>
        <v>0</v>
      </c>
      <c r="I107" s="49">
        <f>IFERROR(__xludf.DUMMYFUNCTION("IFERROR(
  VLOOKUP(
    A107,
    IMPORTRANGE(
      ""1ZHMy3vVUd_0MrSduXTe1etBb1HNpAlGwQr006ljwMiM"",
      ""GSC最新!A:F""
    ),
    5,
    FALSE
  ),
  0
)
"),1.0)</f>
        <v>1</v>
      </c>
      <c r="J107" s="50" t="str">
        <f t="shared" ref="J107:K107" si="526">IFERROR(F107/H107,"-")</f>
        <v>-</v>
      </c>
      <c r="K107" s="50">
        <f t="shared" si="526"/>
        <v>1</v>
      </c>
      <c r="L107" s="6">
        <f>IFERROR(__xludf.DUMMYFUNCTION("IFERROR(
  VLOOKUP(
    A107,
    IMPORTRANGE(
      ""1ZHMy3vVUd_0MrSduXTe1etBb1HNpAlGwQr006ljwMiM"",
      ""GSC最新!A:R""
    ),
    7,
    FALSE
  ),
  0
)
"),18.0)</f>
        <v>18</v>
      </c>
      <c r="M107" s="6">
        <f>IFERROR(__xludf.DUMMYFUNCTION("IFERROR(
  VLOOKUP(
    A107,
    IMPORTRANGE(
      ""1ZHMy3vVUd_0MrSduXTe1etBb1HNpAlGwQr006ljwMiM"",
      ""GSC最新!A:R""
    ),
    10,
    FALSE
  ),
  0
)
"),44.0)</f>
        <v>44</v>
      </c>
      <c r="N107" s="6">
        <f>IFERROR(__xludf.DUMMYFUNCTION("IFERROR(
  VLOOKUP(
    A107,
    IMPORTRANGE(
      ""1ZHMy3vVUd_0MrSduXTe1etBb1HNpAlGwQr006ljwMiM"",
      ""GSC最新!A:R""
    ),
    13,
    FALSE
  ),
  0
)
"),2.0)</f>
        <v>2</v>
      </c>
      <c r="O107" s="6">
        <f>IFERROR(__xludf.DUMMYFUNCTION("IFERROR(
  VLOOKUP(
    A107,
    IMPORTRANGE(
      ""1ZHMy3vVUd_0MrSduXTe1etBb1HNpAlGwQr006ljwMiM"",
      ""GSC最新!A:R""
    ),
    16,
    FALSE
  ),
  0
)
"),36.0)</f>
        <v>36</v>
      </c>
      <c r="P107" s="51">
        <f t="shared" ref="P107:Q107" si="527">IFERROR(L107/N107,"-")</f>
        <v>9</v>
      </c>
      <c r="Q107" s="51">
        <f t="shared" si="527"/>
        <v>1.222222222</v>
      </c>
      <c r="R107" s="9">
        <f>IFERROR(__xludf.DUMMYFUNCTION("IFERROR(
  VLOOKUP(
    A107,
    IMPORTRANGE(
      ""1ZHMy3vVUd_0MrSduXTe1etBb1HNpAlGwQr006ljwMiM"",
      ""GSC最新!A:R""
    ),
    8,
    FALSE
  ),
  0
)
"),0.0)</f>
        <v>0</v>
      </c>
      <c r="S107" s="9">
        <f>IFERROR(__xludf.DUMMYFUNCTION("IFERROR(
  VLOOKUP(
    A107,
    IMPORTRANGE(
      ""1ZHMy3vVUd_0MrSduXTe1etBb1HNpAlGwQr006ljwMiM"",
      ""GSC最新!A:R""
    ),
    11,
    FALSE
  ),
  0
)
"),0.022727272727272728)</f>
        <v>0.02272727273</v>
      </c>
      <c r="T107" s="9">
        <f>IFERROR(__xludf.DUMMYFUNCTION("IFERROR(
  VLOOKUP(
    A107,
    IMPORTRANGE(
      ""1ZHMy3vVUd_0MrSduXTe1etBb1HNpAlGwQr006ljwMiM"",
      ""GSC最新!A:R""
    ),
    14,
    FALSE
  ),
  0
)
"),0.0)</f>
        <v>0</v>
      </c>
      <c r="U107" s="9">
        <f>IFERROR(__xludf.DUMMYFUNCTION("IFERROR(
  VLOOKUP(
    A107,
    IMPORTRANGE(
      ""1ZHMy3vVUd_0MrSduXTe1etBb1HNpAlGwQr006ljwMiM"",
      ""GSC最新!A:R""
    ),
    17,
    FALSE
  ),
  0
)
"),0.027777777777777776)</f>
        <v>0.02777777778</v>
      </c>
      <c r="V107" s="9">
        <f t="shared" ref="V107:W107" si="528">IFERROR(R107-T107,"-")</f>
        <v>0</v>
      </c>
      <c r="W107" s="9">
        <f t="shared" si="528"/>
        <v>-0.005050505051</v>
      </c>
      <c r="X107" s="65">
        <f>IFERROR(__xludf.DUMMYFUNCTION("IFERROR(
  VLOOKUP(
    A107,
    IMPORTRANGE(
      ""1ZHMy3vVUd_0MrSduXTe1etBb1HNpAlGwQr006ljwMiM"",
      ""GSC最新!A:R""
    ),
    9,
    FALSE
  ),
  0
)
"),6.166666666666667)</f>
        <v>6.166666667</v>
      </c>
      <c r="Y107" s="65">
        <f>IFERROR(__xludf.DUMMYFUNCTION("IFERROR(
  VLOOKUP(
    A107,
    IMPORTRANGE(
      ""1ZHMy3vVUd_0MrSduXTe1etBb1HNpAlGwQr006ljwMiM"",
      ""GSC最新!A:R""
    ),
    12,
    FALSE
  ),
  0
)
"),5.0)</f>
        <v>5</v>
      </c>
      <c r="Z107" s="65">
        <f>IFERROR(__xludf.DUMMYFUNCTION("IFERROR(
  VLOOKUP(
    A107,
    IMPORTRANGE(
      ""1ZHMy3vVUd_0MrSduXTe1etBb1HNpAlGwQr006ljwMiM"",
      ""GSC最新!A:R""
    ),
    15,
    FALSE
  ),
  0
)
"),8.0)</f>
        <v>8</v>
      </c>
      <c r="AA107" s="65">
        <f>IFERROR(__xludf.DUMMYFUNCTION("IFERROR(
  VLOOKUP(
    A107,
    IMPORTRANGE(
      ""1ZHMy3vVUd_0MrSduXTe1etBb1HNpAlGwQr006ljwMiM"",
      ""GSC最新!A:R""
    ),
    18,
    FALSE
  ),
  0
)
"),27.25)</f>
        <v>27.25</v>
      </c>
      <c r="AB107" s="65">
        <f t="shared" ref="AB107:AC107" si="529">X107-Z107</f>
        <v>-1.833333333</v>
      </c>
      <c r="AC107" s="65">
        <f t="shared" si="529"/>
        <v>-22.25</v>
      </c>
      <c r="AD107" s="53">
        <f>IFERROR(__xludf.DUMMYFUNCTION("IFERROR(
  VLOOKUP(
    A107,
    IMPORTRANGE(
      ""1ZHMy3vVUd_0MrSduXTe1etBb1HNpAlGwQr006ljwMiM"",
      ""GSC最新!A:F""
    ),
    6,
    FALSE
  ),
  0
)
"),46081.0)</f>
        <v>46081</v>
      </c>
      <c r="AE107" s="54">
        <f>IFERROR(__xludf.DUMMYFUNCTION("IFERROR(
  VLOOKUP(
    A107,
    IMPORTRANGE(
      ""1SCYQd7_cobOYqT0r_F0IqD4tE4rYn5y8Eup4PJTH8es"",
      ""Snapshot!A:M""
    ),
    5,
    FALSE
  ),
  ""-""
)
"),5.0)</f>
        <v>5</v>
      </c>
      <c r="AF107" s="54">
        <f>IFERROR(__xludf.DUMMYFUNCTION("IFERROR(
  VLOOKUP(
    A107,
    IMPORTRANGE(
      ""1SCYQd7_cobOYqT0r_F0IqD4tE4rYn5y8Eup4PJTH8es"",
      ""Snapshot!A:M""
    ),
    6,
    FALSE
  ),
  0
)
"),5.0)</f>
        <v>5</v>
      </c>
      <c r="AG107" s="54">
        <f>IFERROR(__xludf.DUMMYFUNCTION("IFERROR(
  VLOOKUP(
    A107,
    IMPORTRANGE(
      ""1SCYQd7_cobOYqT0r_F0IqD4tE4rYn5y8Eup4PJTH8es"",
      ""Snapshot!A:M""
    ),
    7,
    FALSE
  ),
  0
)
"),3053.0)</f>
        <v>3053</v>
      </c>
      <c r="AH107" s="54">
        <f>IFERROR(__xludf.DUMMYFUNCTION("IFERROR(
  VLOOKUP(
    A107,
    IMPORTRANGE(
      ""1SCYQd7_cobOYqT0r_F0IqD4tE4rYn5y8Eup4PJTH8es"",
      ""Snapshot!A:M""
    ),
    8,
    FALSE
  ),
  0
)
"),1.0)</f>
        <v>1</v>
      </c>
      <c r="AI107" s="54">
        <f>IFERROR(__xludf.DUMMYFUNCTION("IFERROR(
  VLOOKUP(
    A107,
    IMPORTRANGE(
      ""1SCYQd7_cobOYqT0r_F0IqD4tE4rYn5y8Eup4PJTH8es"",
      ""Snapshot!A:M""
    ),
    9,
    FALSE
  ),
  0
)
"),1.0)</f>
        <v>1</v>
      </c>
      <c r="AJ107" s="54">
        <f>IFERROR(__xludf.DUMMYFUNCTION("IFERROR(
  VLOOKUP(
    A107,
    IMPORTRANGE(
      ""1SCYQd7_cobOYqT0r_F0IqD4tE4rYn5y8Eup4PJTH8es"",
      ""Snapshot!A:M""
    ),
    13,
    FALSE
  ),
  0
)
"),1.0)</f>
        <v>1</v>
      </c>
      <c r="AK107" s="49">
        <f t="shared" ref="AK107:AL107" si="530">LEN(C107)</f>
        <v>29</v>
      </c>
      <c r="AL107" s="49">
        <f t="shared" si="530"/>
        <v>63</v>
      </c>
    </row>
    <row r="108">
      <c r="A108" s="3" t="s">
        <v>1044</v>
      </c>
      <c r="B108" s="1" t="str">
        <f>IFERROR(__xludf.DUMMYFUNCTION("IFERROR(
  VLOOKUP(
    A108,
    IMPORTRANGE(
      ""1ZygntHC1J6IxzKbTidmOyf5nUyW4GCLurHCjexrLm_o"",
      ""HTMLキャッシュ!A:F""
    ),
    2,
    FALSE
  ),
  0
)
"),"MC")</f>
        <v>MC</v>
      </c>
      <c r="C108" s="1" t="str">
        <f>IFERROR(__xludf.DUMMYFUNCTION("IFERROR(
  VLOOKUP(
    A108,
    IMPORTRANGE(
      ""1ZygntHC1J6IxzKbTidmOyf5nUyW4GCLurHCjexrLm_o"",
      ""HTMLキャッシュ!A:F""
    ),
    5,
    FALSE
  ),
  0
)
"),"間接疑問if/whether｜見分け｜高校英文法（S3L8-2）")</f>
        <v>間接疑問if/whether｜見分け｜高校英文法（S3L8-2）</v>
      </c>
      <c r="D108" s="1" t="str">
        <f>IFERROR(__xludf.DUMMYFUNCTION("IFERROR(
  VLOOKUP(
    A108,
    IMPORTRANGE(
      ""1ZygntHC1J6IxzKbTidmOyf5nUyW4GCLurHCjexrLm_o        "",
      ""HTMLキャッシュ!A:F""
    ),
    6,
    FALSE
  ),
  0
)
"),"間接疑問のif/whetherを整理。「かどうか」名詞節と条件ifの見分け、時制まで確認。")</f>
        <v>間接疑問のif/whetherを整理。「かどうか」名詞節と条件ifの見分け、時制まで確認。</v>
      </c>
      <c r="E108" s="32">
        <f>IFERROR(__xludf.DUMMYFUNCTION("IFERROR(
  VLOOKUP(
    A108,
    IMPORTRANGE(
      ""1ZygntHC1J6IxzKbTidmOyf5nUyW4GCLurHCjexrLm_o        "",
      ""HTMLキャッシュ!A:F""
    ),
    3,
    FALSE
  ),
  0
)
"),46043.620254629626)</f>
        <v>46043.62025</v>
      </c>
      <c r="F108" s="49">
        <f>IFERROR(__xludf.DUMMYFUNCTION("IFERROR(
  VLOOKUP(
    A108,
    IMPORTRANGE(
      ""1ZHMy3vVUd_0MrSduXTe1etBb1HNpAlGwQr006ljwMiM"",
      ""GSC最新!A:F""
    ),
    2,
    FALSE
  ),
  0
)
"),1.0)</f>
        <v>1</v>
      </c>
      <c r="G108" s="49">
        <f>IFERROR(__xludf.DUMMYFUNCTION("IFERROR(
  VLOOKUP(
    A108,
    IMPORTRANGE(
      ""1ZHMy3vVUd_0MrSduXTe1etBb1HNpAlGwQr006ljwMiM"",
      ""GSC最新!A:F""
    ),
    3,
    FALSE
  ),
  0
)
"),1.0)</f>
        <v>1</v>
      </c>
      <c r="H108" s="49">
        <f>IFERROR(__xludf.DUMMYFUNCTION("IFERROR(
  VLOOKUP(
    A108,
    IMPORTRANGE(
      ""1ZHMy3vVUd_0MrSduXTe1etBb1HNpAlGwQr006ljwMiM"",
      ""GSC最新!A:F""
    ),
    4,
    FALSE
  ),
  0
)
"),0.0)</f>
        <v>0</v>
      </c>
      <c r="I108" s="49">
        <f>IFERROR(__xludf.DUMMYFUNCTION("IFERROR(
  VLOOKUP(
    A108,
    IMPORTRANGE(
      ""1ZHMy3vVUd_0MrSduXTe1etBb1HNpAlGwQr006ljwMiM"",
      ""GSC最新!A:F""
    ),
    5,
    FALSE
  ),
  0
)
"),0.0)</f>
        <v>0</v>
      </c>
      <c r="J108" s="50" t="str">
        <f t="shared" ref="J108:K108" si="531">IFERROR(F108/H108,"-")</f>
        <v>-</v>
      </c>
      <c r="K108" s="50" t="str">
        <f t="shared" si="531"/>
        <v>-</v>
      </c>
      <c r="L108" s="6">
        <f>IFERROR(__xludf.DUMMYFUNCTION("IFERROR(
  VLOOKUP(
    A108,
    IMPORTRANGE(
      ""1ZHMy3vVUd_0MrSduXTe1etBb1HNpAlGwQr006ljwMiM"",
      ""GSC最新!A:R""
    ),
    7,
    FALSE
  ),
  0
)
"),10.0)</f>
        <v>10</v>
      </c>
      <c r="M108" s="6">
        <f>IFERROR(__xludf.DUMMYFUNCTION("IFERROR(
  VLOOKUP(
    A108,
    IMPORTRANGE(
      ""1ZHMy3vVUd_0MrSduXTe1etBb1HNpAlGwQr006ljwMiM"",
      ""GSC最新!A:R""
    ),
    10,
    FALSE
  ),
  0
)
"),45.0)</f>
        <v>45</v>
      </c>
      <c r="N108" s="6">
        <f>IFERROR(__xludf.DUMMYFUNCTION("IFERROR(
  VLOOKUP(
    A108,
    IMPORTRANGE(
      ""1ZHMy3vVUd_0MrSduXTe1etBb1HNpAlGwQr006ljwMiM"",
      ""GSC最新!A:R""
    ),
    13,
    FALSE
  ),
  0
)
"),0.0)</f>
        <v>0</v>
      </c>
      <c r="O108" s="6">
        <f>IFERROR(__xludf.DUMMYFUNCTION("IFERROR(
  VLOOKUP(
    A108,
    IMPORTRANGE(
      ""1ZHMy3vVUd_0MrSduXTe1etBb1HNpAlGwQr006ljwMiM"",
      ""GSC最新!A:R""
    ),
    16,
    FALSE
  ),
  0
)
"),2.0)</f>
        <v>2</v>
      </c>
      <c r="P108" s="51" t="str">
        <f t="shared" ref="P108:Q108" si="532">IFERROR(L108/N108,"-")</f>
        <v>-</v>
      </c>
      <c r="Q108" s="51">
        <f t="shared" si="532"/>
        <v>22.5</v>
      </c>
      <c r="R108" s="9">
        <f>IFERROR(__xludf.DUMMYFUNCTION("IFERROR(
  VLOOKUP(
    A108,
    IMPORTRANGE(
      ""1ZHMy3vVUd_0MrSduXTe1etBb1HNpAlGwQr006ljwMiM"",
      ""GSC最新!A:R""
    ),
    8,
    FALSE
  ),
  0
)
"),0.1)</f>
        <v>0.1</v>
      </c>
      <c r="S108" s="9">
        <f>IFERROR(__xludf.DUMMYFUNCTION("IFERROR(
  VLOOKUP(
    A108,
    IMPORTRANGE(
      ""1ZHMy3vVUd_0MrSduXTe1etBb1HNpAlGwQr006ljwMiM"",
      ""GSC最新!A:R""
    ),
    11,
    FALSE
  ),
  0
)
"),0.022222222222222223)</f>
        <v>0.02222222222</v>
      </c>
      <c r="T108" s="9">
        <f>IFERROR(__xludf.DUMMYFUNCTION("IFERROR(
  VLOOKUP(
    A108,
    IMPORTRANGE(
      ""1ZHMy3vVUd_0MrSduXTe1etBb1HNpAlGwQr006ljwMiM"",
      ""GSC最新!A:R""
    ),
    14,
    FALSE
  ),
  0
)
"),0.0)</f>
        <v>0</v>
      </c>
      <c r="U108" s="9">
        <f>IFERROR(__xludf.DUMMYFUNCTION("IFERROR(
  VLOOKUP(
    A108,
    IMPORTRANGE(
      ""1ZHMy3vVUd_0MrSduXTe1etBb1HNpAlGwQr006ljwMiM"",
      ""GSC最新!A:R""
    ),
    17,
    FALSE
  ),
  0
)
"),0.0)</f>
        <v>0</v>
      </c>
      <c r="V108" s="9">
        <f t="shared" ref="V108:W108" si="533">IFERROR(R108-T108,"-")</f>
        <v>0.1</v>
      </c>
      <c r="W108" s="9">
        <f t="shared" si="533"/>
        <v>0.02222222222</v>
      </c>
      <c r="X108" s="65">
        <f>IFERROR(__xludf.DUMMYFUNCTION("IFERROR(
  VLOOKUP(
    A108,
    IMPORTRANGE(
      ""1ZHMy3vVUd_0MrSduXTe1etBb1HNpAlGwQr006ljwMiM"",
      ""GSC最新!A:R""
    ),
    9,
    FALSE
  ),
  0
)
"),7.2)</f>
        <v>7.2</v>
      </c>
      <c r="Y108" s="65">
        <f>IFERROR(__xludf.DUMMYFUNCTION("IFERROR(
  VLOOKUP(
    A108,
    IMPORTRANGE(
      ""1ZHMy3vVUd_0MrSduXTe1etBb1HNpAlGwQr006ljwMiM"",
      ""GSC最新!A:R""
    ),
    12,
    FALSE
  ),
  0
)
"),7.555555555555555)</f>
        <v>7.555555556</v>
      </c>
      <c r="Z108" s="65" t="str">
        <f>IFERROR(__xludf.DUMMYFUNCTION("IFERROR(
  VLOOKUP(
    A108,
    IMPORTRANGE(
      ""1ZHMy3vVUd_0MrSduXTe1etBb1HNpAlGwQr006ljwMiM"",
      ""GSC最新!A:R""
    ),
    15,
    FALSE
  ),
  0
)
"),"")</f>
        <v/>
      </c>
      <c r="AA108" s="65">
        <f>IFERROR(__xludf.DUMMYFUNCTION("IFERROR(
  VLOOKUP(
    A108,
    IMPORTRANGE(
      ""1ZHMy3vVUd_0MrSduXTe1etBb1HNpAlGwQr006ljwMiM"",
      ""GSC最新!A:R""
    ),
    18,
    FALSE
  ),
  0
)
"),8.0)</f>
        <v>8</v>
      </c>
      <c r="AB108" s="65">
        <f t="shared" ref="AB108:AC108" si="534">X108-Z108</f>
        <v>7.2</v>
      </c>
      <c r="AC108" s="65">
        <f t="shared" si="534"/>
        <v>-0.4444444444</v>
      </c>
      <c r="AD108" s="53">
        <f>IFERROR(__xludf.DUMMYFUNCTION("IFERROR(
  VLOOKUP(
    A108,
    IMPORTRANGE(
      ""1ZHMy3vVUd_0MrSduXTe1etBb1HNpAlGwQr006ljwMiM"",
      ""GSC最新!A:F""
    ),
    6,
    FALSE
  ),
  0
)
"),46081.0)</f>
        <v>46081</v>
      </c>
      <c r="AE108" s="54">
        <f>IFERROR(__xludf.DUMMYFUNCTION("IFERROR(
  VLOOKUP(
    A108,
    IMPORTRANGE(
      ""1SCYQd7_cobOYqT0r_F0IqD4tE4rYn5y8Eup4PJTH8es"",
      ""Snapshot!A:M""
    ),
    5,
    FALSE
  ),
  ""-""
)
"),6.0)</f>
        <v>6</v>
      </c>
      <c r="AF108" s="54">
        <f>IFERROR(__xludf.DUMMYFUNCTION("IFERROR(
  VLOOKUP(
    A108,
    IMPORTRANGE(
      ""1SCYQd7_cobOYqT0r_F0IqD4tE4rYn5y8Eup4PJTH8es"",
      ""Snapshot!A:M""
    ),
    6,
    FALSE
  ),
  0
)
"),14.0)</f>
        <v>14</v>
      </c>
      <c r="AG108" s="54">
        <f>IFERROR(__xludf.DUMMYFUNCTION("IFERROR(
  VLOOKUP(
    A108,
    IMPORTRANGE(
      ""1SCYQd7_cobOYqT0r_F0IqD4tE4rYn5y8Eup4PJTH8es"",
      ""Snapshot!A:M""
    ),
    7,
    FALSE
  ),
  0
)
"),3454.0)</f>
        <v>3454</v>
      </c>
      <c r="AH108" s="54">
        <f>IFERROR(__xludf.DUMMYFUNCTION("IFERROR(
  VLOOKUP(
    A108,
    IMPORTRANGE(
      ""1SCYQd7_cobOYqT0r_F0IqD4tE4rYn5y8Eup4PJTH8es"",
      ""Snapshot!A:M""
    ),
    8,
    FALSE
  ),
  0
)
"),3.0)</f>
        <v>3</v>
      </c>
      <c r="AI108" s="54">
        <f>IFERROR(__xludf.DUMMYFUNCTION("IFERROR(
  VLOOKUP(
    A108,
    IMPORTRANGE(
      ""1SCYQd7_cobOYqT0r_F0IqD4tE4rYn5y8Eup4PJTH8es"",
      ""Snapshot!A:M""
    ),
    9,
    FALSE
  ),
  0
)
"),2.0)</f>
        <v>2</v>
      </c>
      <c r="AJ108" s="54">
        <f>IFERROR(__xludf.DUMMYFUNCTION("IFERROR(
  VLOOKUP(
    A108,
    IMPORTRANGE(
      ""1SCYQd7_cobOYqT0r_F0IqD4tE4rYn5y8Eup4PJTH8es"",
      ""Snapshot!A:M""
    ),
    13,
    FALSE
  ),
  0
)
"),1.0)</f>
        <v>1</v>
      </c>
      <c r="AK108" s="49">
        <f t="shared" ref="AK108:AL108" si="535">LEN(C108)</f>
        <v>32</v>
      </c>
      <c r="AL108" s="49">
        <f t="shared" si="535"/>
        <v>45</v>
      </c>
    </row>
    <row r="109">
      <c r="A109" s="3" t="s">
        <v>1045</v>
      </c>
      <c r="B109" s="1" t="str">
        <f>IFERROR(__xludf.DUMMYFUNCTION("IFERROR(
  VLOOKUP(
    A109,
    IMPORTRANGE(
      ""1ZygntHC1J6IxzKbTidmOyf5nUyW4GCLurHCjexrLm_o"",
      ""HTMLキャッシュ!A:F""
    ),
    2,
    FALSE
  ),
  0
)
"),"MC")</f>
        <v>MC</v>
      </c>
      <c r="C109" s="1" t="str">
        <f>IFERROR(__xludf.DUMMYFUNCTION("IFERROR(
  VLOOKUP(
    A109,
    IMPORTRANGE(
      ""1ZygntHC1J6IxzKbTidmOyf5nUyW4GCLurHCjexrLm_o"",
      ""HTMLキャッシュ!A:F""
    ),
    5,
    FALSE
  ),
  0
)
"),"STAGE3 Lesson8-3名詞節(名詞節を導くthat)【ニュートレジャーの道案内】 - 受験英語専門ゼミ「Re-Write」(リライト)")</f>
        <v>STAGE3 Lesson8-3名詞節(名詞節を導くthat)【ニュートレジャーの道案内】 - 受験英語専門ゼミ「Re-Write」(リライト)</v>
      </c>
      <c r="D109" s="1" t="str">
        <f>IFERROR(__xludf.DUMMYFUNCTION("IFERROR(
  VLOOKUP(
    A109,
    IMPORTRANGE(
      ""1ZygntHC1J6IxzKbTidmOyf5nUyW4GCLurHCjexrLm_o        "",
      ""HTMLキャッシュ!A:F""
    ),
    6,
    FALSE
  ),
  0
)
"),"名詞節を作る&amp;quot;that&amp;quot;の使い方を詳しく解説！目的語・補語・主語での用法や同格の&amp;quot;that&amp;quot;のルールを例文付きで学習。実践的なクイズで理解を深めよう！")</f>
        <v>名詞節を作る&amp;quot;that&amp;quot;の使い方を詳しく解説！目的語・補語・主語での用法や同格の&amp;quot;that&amp;quot;のルールを例文付きで学習。実践的なクイズで理解を深めよう！</v>
      </c>
      <c r="E109" s="32">
        <f>IFERROR(__xludf.DUMMYFUNCTION("IFERROR(
  VLOOKUP(
    A109,
    IMPORTRANGE(
      ""1ZygntHC1J6IxzKbTidmOyf5nUyW4GCLurHCjexrLm_o        "",
      ""HTMLキャッシュ!A:F""
    ),
    3,
    FALSE
  ),
  0
)
"),46080.82130787037)</f>
        <v>46080.82131</v>
      </c>
      <c r="F109" s="49">
        <f>IFERROR(__xludf.DUMMYFUNCTION("IFERROR(
  VLOOKUP(
    A109,
    IMPORTRANGE(
      ""1ZHMy3vVUd_0MrSduXTe1etBb1HNpAlGwQr006ljwMiM"",
      ""GSC最新!A:F""
    ),
    2,
    FALSE
  ),
  0
)
"),0.0)</f>
        <v>0</v>
      </c>
      <c r="G109" s="49">
        <f>IFERROR(__xludf.DUMMYFUNCTION("IFERROR(
  VLOOKUP(
    A109,
    IMPORTRANGE(
      ""1ZHMy3vVUd_0MrSduXTe1etBb1HNpAlGwQr006ljwMiM"",
      ""GSC最新!A:F""
    ),
    3,
    FALSE
  ),
  0
)
"),1.0)</f>
        <v>1</v>
      </c>
      <c r="H109" s="49">
        <f>IFERROR(__xludf.DUMMYFUNCTION("IFERROR(
  VLOOKUP(
    A109,
    IMPORTRANGE(
      ""1ZHMy3vVUd_0MrSduXTe1etBb1HNpAlGwQr006ljwMiM"",
      ""GSC最新!A:F""
    ),
    4,
    FALSE
  ),
  0
)
"),0.0)</f>
        <v>0</v>
      </c>
      <c r="I109" s="49">
        <f>IFERROR(__xludf.DUMMYFUNCTION("IFERROR(
  VLOOKUP(
    A109,
    IMPORTRANGE(
      ""1ZHMy3vVUd_0MrSduXTe1etBb1HNpAlGwQr006ljwMiM"",
      ""GSC最新!A:F""
    ),
    5,
    FALSE
  ),
  0
)
"),0.0)</f>
        <v>0</v>
      </c>
      <c r="J109" s="50" t="str">
        <f t="shared" ref="J109:K109" si="536">IFERROR(F109/H109,"-")</f>
        <v>-</v>
      </c>
      <c r="K109" s="50" t="str">
        <f t="shared" si="536"/>
        <v>-</v>
      </c>
      <c r="L109" s="6">
        <f>IFERROR(__xludf.DUMMYFUNCTION("IFERROR(
  VLOOKUP(
    A109,
    IMPORTRANGE(
      ""1ZHMy3vVUd_0MrSduXTe1etBb1HNpAlGwQr006ljwMiM"",
      ""GSC最新!A:R""
    ),
    7,
    FALSE
  ),
  0
)
"),8.0)</f>
        <v>8</v>
      </c>
      <c r="M109" s="6">
        <f>IFERROR(__xludf.DUMMYFUNCTION("IFERROR(
  VLOOKUP(
    A109,
    IMPORTRANGE(
      ""1ZHMy3vVUd_0MrSduXTe1etBb1HNpAlGwQr006ljwMiM"",
      ""GSC最新!A:R""
    ),
    10,
    FALSE
  ),
  0
)
"),25.0)</f>
        <v>25</v>
      </c>
      <c r="N109" s="6">
        <f>IFERROR(__xludf.DUMMYFUNCTION("IFERROR(
  VLOOKUP(
    A109,
    IMPORTRANGE(
      ""1ZHMy3vVUd_0MrSduXTe1etBb1HNpAlGwQr006ljwMiM"",
      ""GSC最新!A:R""
    ),
    13,
    FALSE
  ),
  0
)
"),0.0)</f>
        <v>0</v>
      </c>
      <c r="O109" s="6">
        <f>IFERROR(__xludf.DUMMYFUNCTION("IFERROR(
  VLOOKUP(
    A109,
    IMPORTRANGE(
      ""1ZHMy3vVUd_0MrSduXTe1etBb1HNpAlGwQr006ljwMiM"",
      ""GSC最新!A:R""
    ),
    16,
    FALSE
  ),
  0
)
"),0.0)</f>
        <v>0</v>
      </c>
      <c r="P109" s="51" t="str">
        <f t="shared" ref="P109:Q109" si="537">IFERROR(L109/N109,"-")</f>
        <v>-</v>
      </c>
      <c r="Q109" s="51" t="str">
        <f t="shared" si="537"/>
        <v>-</v>
      </c>
      <c r="R109" s="9">
        <f>IFERROR(__xludf.DUMMYFUNCTION("IFERROR(
  VLOOKUP(
    A109,
    IMPORTRANGE(
      ""1ZHMy3vVUd_0MrSduXTe1etBb1HNpAlGwQr006ljwMiM"",
      ""GSC最新!A:R""
    ),
    8,
    FALSE
  ),
  0
)
"),0.0)</f>
        <v>0</v>
      </c>
      <c r="S109" s="9">
        <f>IFERROR(__xludf.DUMMYFUNCTION("IFERROR(
  VLOOKUP(
    A109,
    IMPORTRANGE(
      ""1ZHMy3vVUd_0MrSduXTe1etBb1HNpAlGwQr006ljwMiM"",
      ""GSC最新!A:R""
    ),
    11,
    FALSE
  ),
  0
)
"),0.04)</f>
        <v>0.04</v>
      </c>
      <c r="T109" s="9">
        <f>IFERROR(__xludf.DUMMYFUNCTION("IFERROR(
  VLOOKUP(
    A109,
    IMPORTRANGE(
      ""1ZHMy3vVUd_0MrSduXTe1etBb1HNpAlGwQr006ljwMiM"",
      ""GSC最新!A:R""
    ),
    14,
    FALSE
  ),
  0
)
"),0.0)</f>
        <v>0</v>
      </c>
      <c r="U109" s="9">
        <f>IFERROR(__xludf.DUMMYFUNCTION("IFERROR(
  VLOOKUP(
    A109,
    IMPORTRANGE(
      ""1ZHMy3vVUd_0MrSduXTe1etBb1HNpAlGwQr006ljwMiM"",
      ""GSC最新!A:R""
    ),
    17,
    FALSE
  ),
  0
)
"),0.0)</f>
        <v>0</v>
      </c>
      <c r="V109" s="9">
        <f t="shared" ref="V109:W109" si="538">IFERROR(R109-T109,"-")</f>
        <v>0</v>
      </c>
      <c r="W109" s="9">
        <f t="shared" si="538"/>
        <v>0.04</v>
      </c>
      <c r="X109" s="65">
        <f>IFERROR(__xludf.DUMMYFUNCTION("IFERROR(
  VLOOKUP(
    A109,
    IMPORTRANGE(
      ""1ZHMy3vVUd_0MrSduXTe1etBb1HNpAlGwQr006ljwMiM"",
      ""GSC最新!A:R""
    ),
    9,
    FALSE
  ),
  0
)
"),6.875)</f>
        <v>6.875</v>
      </c>
      <c r="Y109" s="65">
        <f>IFERROR(__xludf.DUMMYFUNCTION("IFERROR(
  VLOOKUP(
    A109,
    IMPORTRANGE(
      ""1ZHMy3vVUd_0MrSduXTe1etBb1HNpAlGwQr006ljwMiM"",
      ""GSC最新!A:R""
    ),
    12,
    FALSE
  ),
  0
)
"),7.88)</f>
        <v>7.88</v>
      </c>
      <c r="Z109" s="65" t="str">
        <f>IFERROR(__xludf.DUMMYFUNCTION("IFERROR(
  VLOOKUP(
    A109,
    IMPORTRANGE(
      ""1ZHMy3vVUd_0MrSduXTe1etBb1HNpAlGwQr006ljwMiM"",
      ""GSC最新!A:R""
    ),
    15,
    FALSE
  ),
  0
)
"),"")</f>
        <v/>
      </c>
      <c r="AA109" s="65" t="str">
        <f>IFERROR(__xludf.DUMMYFUNCTION("IFERROR(
  VLOOKUP(
    A109,
    IMPORTRANGE(
      ""1ZHMy3vVUd_0MrSduXTe1etBb1HNpAlGwQr006ljwMiM"",
      ""GSC最新!A:R""
    ),
    18,
    FALSE
  ),
  0
)
"),"")</f>
        <v/>
      </c>
      <c r="AB109" s="65">
        <f t="shared" ref="AB109:AC109" si="539">X109-Z109</f>
        <v>6.875</v>
      </c>
      <c r="AC109" s="65">
        <f t="shared" si="539"/>
        <v>7.88</v>
      </c>
      <c r="AD109" s="53">
        <f>IFERROR(__xludf.DUMMYFUNCTION("IFERROR(
  VLOOKUP(
    A109,
    IMPORTRANGE(
      ""1ZHMy3vVUd_0MrSduXTe1etBb1HNpAlGwQr006ljwMiM"",
      ""GSC最新!A:F""
    ),
    6,
    FALSE
  ),
  0
)
"),46081.0)</f>
        <v>46081</v>
      </c>
      <c r="AE109" s="54">
        <f>IFERROR(__xludf.DUMMYFUNCTION("IFERROR(
  VLOOKUP(
    A109,
    IMPORTRANGE(
      ""1SCYQd7_cobOYqT0r_F0IqD4tE4rYn5y8Eup4PJTH8es"",
      ""Snapshot!A:M""
    ),
    5,
    FALSE
  ),
  ""-""
)
"),2.0)</f>
        <v>2</v>
      </c>
      <c r="AF109" s="54">
        <f>IFERROR(__xludf.DUMMYFUNCTION("IFERROR(
  VLOOKUP(
    A109,
    IMPORTRANGE(
      ""1SCYQd7_cobOYqT0r_F0IqD4tE4rYn5y8Eup4PJTH8es"",
      ""Snapshot!A:M""
    ),
    6,
    FALSE
  ),
  0
)
"),8.0)</f>
        <v>8</v>
      </c>
      <c r="AG109" s="54">
        <f>IFERROR(__xludf.DUMMYFUNCTION("IFERROR(
  VLOOKUP(
    A109,
    IMPORTRANGE(
      ""1SCYQd7_cobOYqT0r_F0IqD4tE4rYn5y8Eup4PJTH8es"",
      ""Snapshot!A:M""
    ),
    7,
    FALSE
  ),
  0
)
"),5612.0)</f>
        <v>5612</v>
      </c>
      <c r="AH109" s="54">
        <f>IFERROR(__xludf.DUMMYFUNCTION("IFERROR(
  VLOOKUP(
    A109,
    IMPORTRANGE(
      ""1SCYQd7_cobOYqT0r_F0IqD4tE4rYn5y8Eup4PJTH8es"",
      ""Snapshot!A:M""
    ),
    8,
    FALSE
  ),
  0
)
"),2.0)</f>
        <v>2</v>
      </c>
      <c r="AI109" s="54">
        <f>IFERROR(__xludf.DUMMYFUNCTION("IFERROR(
  VLOOKUP(
    A109,
    IMPORTRANGE(
      ""1SCYQd7_cobOYqT0r_F0IqD4tE4rYn5y8Eup4PJTH8es"",
      ""Snapshot!A:M""
    ),
    9,
    FALSE
  ),
  0
)
"),1.0)</f>
        <v>1</v>
      </c>
      <c r="AJ109" s="54">
        <f>IFERROR(__xludf.DUMMYFUNCTION("IFERROR(
  VLOOKUP(
    A109,
    IMPORTRANGE(
      ""1SCYQd7_cobOYqT0r_F0IqD4tE4rYn5y8Eup4PJTH8es"",
      ""Snapshot!A:M""
    ),
    13,
    FALSE
  ),
  0
)
"),1.0)</f>
        <v>1</v>
      </c>
      <c r="AK109" s="49">
        <f t="shared" ref="AK109:AL109" si="540">LEN(C109)</f>
        <v>72</v>
      </c>
      <c r="AL109" s="49">
        <f t="shared" si="540"/>
        <v>95</v>
      </c>
    </row>
    <row r="110">
      <c r="A110" s="3" t="s">
        <v>1046</v>
      </c>
      <c r="B110" s="1" t="str">
        <f>IFERROR(__xludf.DUMMYFUNCTION("IFERROR(
  VLOOKUP(
    A110,
    IMPORTRANGE(
      ""1ZygntHC1J6IxzKbTidmOyf5nUyW4GCLurHCjexrLm_o"",
      ""HTMLキャッシュ!A:F""
    ),
    2,
    FALSE
  ),
  0
)
"),"MC")</f>
        <v>MC</v>
      </c>
      <c r="C110" s="1" t="str">
        <f>IFERROR(__xludf.DUMMYFUNCTION("IFERROR(
  VLOOKUP(
    A110,
    IMPORTRANGE(
      ""1ZygntHC1J6IxzKbTidmOyf5nUyW4GCLurHCjexrLm_o"",
      ""HTMLキャッシュ!A:F""
    ),
    5,
    FALSE
  ),
  0
)
"),"STAGE2総括【ニュートレジャーの道案内】 - 受験英語専門ゼミ「Re-Write」(リライト)")</f>
        <v>STAGE2総括【ニュートレジャーの道案内】 - 受験英語専門ゼミ「Re-Write」(リライト)</v>
      </c>
      <c r="D110" s="1" t="str">
        <f>IFERROR(__xludf.DUMMYFUNCTION("IFERROR(
  VLOOKUP(
    A110,
    IMPORTRANGE(
      ""1ZygntHC1J6IxzKbTidmOyf5nUyW4GCLurHCjexrLm_o        "",
      ""HTMLキャッシュ!A:F""
    ),
    6,
    FALSE
  ),
  0
)
"),"NEW TREASURE STAGE2 の文法事項・Lesson一覧の全体像は、NEW TREASURE ST")</f>
        <v>NEW TREASURE STAGE2 の文法事項・Lesson一覧の全体像は、NEW TREASURE ST</v>
      </c>
      <c r="E110" s="32">
        <f>IFERROR(__xludf.DUMMYFUNCTION("IFERROR(
  VLOOKUP(
    A110,
    IMPORTRANGE(
      ""1ZygntHC1J6IxzKbTidmOyf5nUyW4GCLurHCjexrLm_o        "",
      ""HTMLキャッシュ!A:F""
    ),
    3,
    FALSE
  ),
  0
)
"),46043.608136574076)</f>
        <v>46043.60814</v>
      </c>
      <c r="F110" s="49">
        <f>IFERROR(__xludf.DUMMYFUNCTION("IFERROR(
  VLOOKUP(
    A110,
    IMPORTRANGE(
      ""1ZHMy3vVUd_0MrSduXTe1etBb1HNpAlGwQr006ljwMiM"",
      ""GSC最新!A:F""
    ),
    2,
    FALSE
  ),
  0
)
"),2.0)</f>
        <v>2</v>
      </c>
      <c r="G110" s="49">
        <f>IFERROR(__xludf.DUMMYFUNCTION("IFERROR(
  VLOOKUP(
    A110,
    IMPORTRANGE(
      ""1ZHMy3vVUd_0MrSduXTe1etBb1HNpAlGwQr006ljwMiM"",
      ""GSC最新!A:F""
    ),
    3,
    FALSE
  ),
  0
)
"),2.0)</f>
        <v>2</v>
      </c>
      <c r="H110" s="49">
        <f>IFERROR(__xludf.DUMMYFUNCTION("IFERROR(
  VLOOKUP(
    A110,
    IMPORTRANGE(
      ""1ZHMy3vVUd_0MrSduXTe1etBb1HNpAlGwQr006ljwMiM"",
      ""GSC最新!A:F""
    ),
    4,
    FALSE
  ),
  0
)
"),0.0)</f>
        <v>0</v>
      </c>
      <c r="I110" s="49">
        <f>IFERROR(__xludf.DUMMYFUNCTION("IFERROR(
  VLOOKUP(
    A110,
    IMPORTRANGE(
      ""1ZHMy3vVUd_0MrSduXTe1etBb1HNpAlGwQr006ljwMiM"",
      ""GSC最新!A:F""
    ),
    5,
    FALSE
  ),
  0
)
"),1.0)</f>
        <v>1</v>
      </c>
      <c r="J110" s="50" t="str">
        <f t="shared" ref="J110:K110" si="541">IFERROR(F110/H110,"-")</f>
        <v>-</v>
      </c>
      <c r="K110" s="50">
        <f t="shared" si="541"/>
        <v>2</v>
      </c>
      <c r="L110" s="6">
        <f>IFERROR(__xludf.DUMMYFUNCTION("IFERROR(
  VLOOKUP(
    A110,
    IMPORTRANGE(
      ""1ZHMy3vVUd_0MrSduXTe1etBb1HNpAlGwQr006ljwMiM"",
      ""GSC最新!A:R""
    ),
    7,
    FALSE
  ),
  0
)
"),4.0)</f>
        <v>4</v>
      </c>
      <c r="M110" s="6">
        <f>IFERROR(__xludf.DUMMYFUNCTION("IFERROR(
  VLOOKUP(
    A110,
    IMPORTRANGE(
      ""1ZHMy3vVUd_0MrSduXTe1etBb1HNpAlGwQr006ljwMiM"",
      ""GSC最新!A:R""
    ),
    10,
    FALSE
  ),
  0
)
"),10.0)</f>
        <v>10</v>
      </c>
      <c r="N110" s="6">
        <f>IFERROR(__xludf.DUMMYFUNCTION("IFERROR(
  VLOOKUP(
    A110,
    IMPORTRANGE(
      ""1ZHMy3vVUd_0MrSduXTe1etBb1HNpAlGwQr006ljwMiM"",
      ""GSC最新!A:R""
    ),
    13,
    FALSE
  ),
  0
)
"),3.0)</f>
        <v>3</v>
      </c>
      <c r="O110" s="6">
        <f>IFERROR(__xludf.DUMMYFUNCTION("IFERROR(
  VLOOKUP(
    A110,
    IMPORTRANGE(
      ""1ZHMy3vVUd_0MrSduXTe1etBb1HNpAlGwQr006ljwMiM"",
      ""GSC最新!A:R""
    ),
    16,
    FALSE
  ),
  0
)
"),9.0)</f>
        <v>9</v>
      </c>
      <c r="P110" s="51">
        <f t="shared" ref="P110:Q110" si="542">IFERROR(L110/N110,"-")</f>
        <v>1.333333333</v>
      </c>
      <c r="Q110" s="51">
        <f t="shared" si="542"/>
        <v>1.111111111</v>
      </c>
      <c r="R110" s="9">
        <f>IFERROR(__xludf.DUMMYFUNCTION("IFERROR(
  VLOOKUP(
    A110,
    IMPORTRANGE(
      ""1ZHMy3vVUd_0MrSduXTe1etBb1HNpAlGwQr006ljwMiM"",
      ""GSC最新!A:R""
    ),
    8,
    FALSE
  ),
  0
)
"),0.5)</f>
        <v>0.5</v>
      </c>
      <c r="S110" s="9">
        <f>IFERROR(__xludf.DUMMYFUNCTION("IFERROR(
  VLOOKUP(
    A110,
    IMPORTRANGE(
      ""1ZHMy3vVUd_0MrSduXTe1etBb1HNpAlGwQr006ljwMiM"",
      ""GSC最新!A:R""
    ),
    11,
    FALSE
  ),
  0
)
"),0.2)</f>
        <v>0.2</v>
      </c>
      <c r="T110" s="9">
        <f>IFERROR(__xludf.DUMMYFUNCTION("IFERROR(
  VLOOKUP(
    A110,
    IMPORTRANGE(
      ""1ZHMy3vVUd_0MrSduXTe1etBb1HNpAlGwQr006ljwMiM"",
      ""GSC最新!A:R""
    ),
    14,
    FALSE
  ),
  0
)
"),0.0)</f>
        <v>0</v>
      </c>
      <c r="U110" s="9">
        <f>IFERROR(__xludf.DUMMYFUNCTION("IFERROR(
  VLOOKUP(
    A110,
    IMPORTRANGE(
      ""1ZHMy3vVUd_0MrSduXTe1etBb1HNpAlGwQr006ljwMiM"",
      ""GSC最新!A:R""
    ),
    17,
    FALSE
  ),
  0
)
"),0.1111111111111111)</f>
        <v>0.1111111111</v>
      </c>
      <c r="V110" s="9">
        <f t="shared" ref="V110:W110" si="543">IFERROR(R110-T110,"-")</f>
        <v>0.5</v>
      </c>
      <c r="W110" s="9">
        <f t="shared" si="543"/>
        <v>0.08888888889</v>
      </c>
      <c r="X110" s="65">
        <f>IFERROR(__xludf.DUMMYFUNCTION("IFERROR(
  VLOOKUP(
    A110,
    IMPORTRANGE(
      ""1ZHMy3vVUd_0MrSduXTe1etBb1HNpAlGwQr006ljwMiM"",
      ""GSC最新!A:R""
    ),
    9,
    FALSE
  ),
  0
)
"),4.5)</f>
        <v>4.5</v>
      </c>
      <c r="Y110" s="65">
        <f>IFERROR(__xludf.DUMMYFUNCTION("IFERROR(
  VLOOKUP(
    A110,
    IMPORTRANGE(
      ""1ZHMy3vVUd_0MrSduXTe1etBb1HNpAlGwQr006ljwMiM"",
      ""GSC最新!A:R""
    ),
    12,
    FALSE
  ),
  0
)
"),3.1)</f>
        <v>3.1</v>
      </c>
      <c r="Z110" s="65">
        <f>IFERROR(__xludf.DUMMYFUNCTION("IFERROR(
  VLOOKUP(
    A110,
    IMPORTRANGE(
      ""1ZHMy3vVUd_0MrSduXTe1etBb1HNpAlGwQr006ljwMiM"",
      ""GSC最新!A:R""
    ),
    15,
    FALSE
  ),
  0
)
"),7.333333333333333)</f>
        <v>7.333333333</v>
      </c>
      <c r="AA110" s="65">
        <f>IFERROR(__xludf.DUMMYFUNCTION("IFERROR(
  VLOOKUP(
    A110,
    IMPORTRANGE(
      ""1ZHMy3vVUd_0MrSduXTe1etBb1HNpAlGwQr006ljwMiM"",
      ""GSC最新!A:R""
    ),
    18,
    FALSE
  ),
  0
)
"),21.333333333333332)</f>
        <v>21.33333333</v>
      </c>
      <c r="AB110" s="65">
        <f t="shared" ref="AB110:AC110" si="544">X110-Z110</f>
        <v>-2.833333333</v>
      </c>
      <c r="AC110" s="65">
        <f t="shared" si="544"/>
        <v>-18.23333333</v>
      </c>
      <c r="AD110" s="53">
        <f>IFERROR(__xludf.DUMMYFUNCTION("IFERROR(
  VLOOKUP(
    A110,
    IMPORTRANGE(
      ""1ZHMy3vVUd_0MrSduXTe1etBb1HNpAlGwQr006ljwMiM"",
      ""GSC最新!A:F""
    ),
    6,
    FALSE
  ),
  0
)
"),46081.0)</f>
        <v>46081</v>
      </c>
      <c r="AE110" s="54">
        <f>IFERROR(__xludf.DUMMYFUNCTION("IFERROR(
  VLOOKUP(
    A110,
    IMPORTRANGE(
      ""1SCYQd7_cobOYqT0r_F0IqD4tE4rYn5y8Eup4PJTH8es"",
      ""Snapshot!A:M""
    ),
    5,
    FALSE
  ),
  ""-""
)
"),0.0)</f>
        <v>0</v>
      </c>
      <c r="AF110" s="54">
        <f>IFERROR(__xludf.DUMMYFUNCTION("IFERROR(
  VLOOKUP(
    A110,
    IMPORTRANGE(
      ""1SCYQd7_cobOYqT0r_F0IqD4tE4rYn5y8Eup4PJTH8es"",
      ""Snapshot!A:M""
    ),
    6,
    FALSE
  ),
  0
)
"),5.0)</f>
        <v>5</v>
      </c>
      <c r="AG110" s="54">
        <f>IFERROR(__xludf.DUMMYFUNCTION("IFERROR(
  VLOOKUP(
    A110,
    IMPORTRANGE(
      ""1SCYQd7_cobOYqT0r_F0IqD4tE4rYn5y8Eup4PJTH8es"",
      ""Snapshot!A:M""
    ),
    7,
    FALSE
  ),
  0
)
"),1062.0)</f>
        <v>1062</v>
      </c>
      <c r="AH110" s="54">
        <f>IFERROR(__xludf.DUMMYFUNCTION("IFERROR(
  VLOOKUP(
    A110,
    IMPORTRANGE(
      ""1SCYQd7_cobOYqT0r_F0IqD4tE4rYn5y8Eup4PJTH8es"",
      ""Snapshot!A:M""
    ),
    8,
    FALSE
  ),
  0
)
"),2.0)</f>
        <v>2</v>
      </c>
      <c r="AI110" s="54">
        <f>IFERROR(__xludf.DUMMYFUNCTION("IFERROR(
  VLOOKUP(
    A110,
    IMPORTRANGE(
      ""1SCYQd7_cobOYqT0r_F0IqD4tE4rYn5y8Eup4PJTH8es"",
      ""Snapshot!A:M""
    ),
    9,
    FALSE
  ),
  0
)
"),1.0)</f>
        <v>1</v>
      </c>
      <c r="AJ110" s="54">
        <f>IFERROR(__xludf.DUMMYFUNCTION("IFERROR(
  VLOOKUP(
    A110,
    IMPORTRANGE(
      ""1SCYQd7_cobOYqT0r_F0IqD4tE4rYn5y8Eup4PJTH8es"",
      ""Snapshot!A:M""
    ),
    13,
    FALSE
  ),
  0
)
"),1.0)</f>
        <v>1</v>
      </c>
      <c r="AK110" s="49">
        <f t="shared" ref="AK110:AL110" si="545">LEN(C110)</f>
        <v>49</v>
      </c>
      <c r="AL110" s="49">
        <f t="shared" si="545"/>
        <v>55</v>
      </c>
    </row>
    <row r="111">
      <c r="A111" s="3" t="s">
        <v>305</v>
      </c>
      <c r="B111" s="1" t="str">
        <f>IFERROR(__xludf.DUMMYFUNCTION("IFERROR(
  VLOOKUP(
    A111,
    IMPORTRANGE(
      ""1ZygntHC1J6IxzKbTidmOyf5nUyW4GCLurHCjexrLm_o"",
      ""HTMLキャッシュ!A:F""
    ),
    2,
    FALSE
  ),
  0
)
"),"SP")</f>
        <v>SP</v>
      </c>
      <c r="C111" s="1" t="str">
        <f>IFERROR(__xludf.DUMMYFUNCTION("IFERROR(
  VLOOKUP(
    A111,
    IMPORTRANGE(
      ""1ZygntHC1J6IxzKbTidmOyf5nUyW4GCLurHCjexrLm_o"",
      ""HTMLキャッシュ!A:F""
    ),
    5,
    FALSE
  ),
  0
)
"),"英語リライトで英作文を減点されにくくする講座一覧")</f>
        <v>英語リライトで英作文を減点されにくくする講座一覧</v>
      </c>
      <c r="D111" s="1" t="str">
        <f>IFERROR(__xludf.DUMMYFUNCTION("IFERROR(
  VLOOKUP(
    A111,
    IMPORTRANGE(
      ""1ZygntHC1J6IxzKbTidmOyf5nUyW4GCLurHCjexrLm_o        "",
      ""HTMLキャッシュ!A:F""
    ),
    6,
    FALSE
  ),
  0
)
"),"英語リライト（添削＋書き直し）で英作文の減点を減らす。高校受験は都立自校作成の自由英作文、大学受験は段階別で対応。文法・語彙・読解・音読も選べる講座一覧。")</f>
        <v>英語リライト（添削＋書き直し）で英作文の減点を減らす。高校受験は都立自校作成の自由英作文、大学受験は段階別で対応。文法・語彙・読解・音読も選べる講座一覧。</v>
      </c>
      <c r="E111" s="32">
        <f>IFERROR(__xludf.DUMMYFUNCTION("IFERROR(
  VLOOKUP(
    A111,
    IMPORTRANGE(
      ""1ZygntHC1J6IxzKbTidmOyf5nUyW4GCLurHCjexrLm_o        "",
      ""HTMLキャッシュ!A:F""
    ),
    3,
    FALSE
  ),
  0
)
"),46081.6144212963)</f>
        <v>46081.61442</v>
      </c>
      <c r="F111" s="49">
        <f>IFERROR(__xludf.DUMMYFUNCTION("IFERROR(
  VLOOKUP(
    A111,
    IMPORTRANGE(
      ""1ZHMy3vVUd_0MrSduXTe1etBb1HNpAlGwQr006ljwMiM"",
      ""GSC最新!A:F""
    ),
    2,
    FALSE
  ),
  0
)
"),0.0)</f>
        <v>0</v>
      </c>
      <c r="G111" s="49">
        <f>IFERROR(__xludf.DUMMYFUNCTION("IFERROR(
  VLOOKUP(
    A111,
    IMPORTRANGE(
      ""1ZHMy3vVUd_0MrSduXTe1etBb1HNpAlGwQr006ljwMiM"",
      ""GSC最新!A:F""
    ),
    3,
    FALSE
  ),
  0
)
"),0.0)</f>
        <v>0</v>
      </c>
      <c r="H111" s="49">
        <f>IFERROR(__xludf.DUMMYFUNCTION("IFERROR(
  VLOOKUP(
    A111,
    IMPORTRANGE(
      ""1ZHMy3vVUd_0MrSduXTe1etBb1HNpAlGwQr006ljwMiM"",
      ""GSC最新!A:F""
    ),
    4,
    FALSE
  ),
  0
)
"),1.0)</f>
        <v>1</v>
      </c>
      <c r="I111" s="49">
        <f>IFERROR(__xludf.DUMMYFUNCTION("IFERROR(
  VLOOKUP(
    A111,
    IMPORTRANGE(
      ""1ZHMy3vVUd_0MrSduXTe1etBb1HNpAlGwQr006ljwMiM"",
      ""GSC最新!A:F""
    ),
    5,
    FALSE
  ),
  0
)
"),1.0)</f>
        <v>1</v>
      </c>
      <c r="J111" s="50">
        <f t="shared" ref="J111:K111" si="546">IFERROR(F111/H111,"-")</f>
        <v>0</v>
      </c>
      <c r="K111" s="50">
        <f t="shared" si="546"/>
        <v>0</v>
      </c>
      <c r="L111" s="6">
        <f>IFERROR(__xludf.DUMMYFUNCTION("IFERROR(
  VLOOKUP(
    A111,
    IMPORTRANGE(
      ""1ZHMy3vVUd_0MrSduXTe1etBb1HNpAlGwQr006ljwMiM"",
      ""GSC最新!A:R""
    ),
    7,
    FALSE
  ),
  0
)
"),41.0)</f>
        <v>41</v>
      </c>
      <c r="M111" s="6">
        <f>IFERROR(__xludf.DUMMYFUNCTION("IFERROR(
  VLOOKUP(
    A111,
    IMPORTRANGE(
      ""1ZHMy3vVUd_0MrSduXTe1etBb1HNpAlGwQr006ljwMiM"",
      ""GSC最新!A:R""
    ),
    10,
    FALSE
  ),
  0
)
"),138.0)</f>
        <v>138</v>
      </c>
      <c r="N111" s="6">
        <f>IFERROR(__xludf.DUMMYFUNCTION("IFERROR(
  VLOOKUP(
    A111,
    IMPORTRANGE(
      ""1ZHMy3vVUd_0MrSduXTe1etBb1HNpAlGwQr006ljwMiM"",
      ""GSC最新!A:R""
    ),
    13,
    FALSE
  ),
  0
)
"),13.0)</f>
        <v>13</v>
      </c>
      <c r="O111" s="6">
        <f>IFERROR(__xludf.DUMMYFUNCTION("IFERROR(
  VLOOKUP(
    A111,
    IMPORTRANGE(
      ""1ZHMy3vVUd_0MrSduXTe1etBb1HNpAlGwQr006ljwMiM"",
      ""GSC最新!A:R""
    ),
    16,
    FALSE
  ),
  0
)
"),30.0)</f>
        <v>30</v>
      </c>
      <c r="P111" s="51">
        <f t="shared" ref="P111:Q111" si="547">IFERROR(L111/N111,"-")</f>
        <v>3.153846154</v>
      </c>
      <c r="Q111" s="51">
        <f t="shared" si="547"/>
        <v>4.6</v>
      </c>
      <c r="R111" s="9">
        <f>IFERROR(__xludf.DUMMYFUNCTION("IFERROR(
  VLOOKUP(
    A111,
    IMPORTRANGE(
      ""1ZHMy3vVUd_0MrSduXTe1etBb1HNpAlGwQr006ljwMiM"",
      ""GSC最新!A:R""
    ),
    8,
    FALSE
  ),
  0
)
"),0.0)</f>
        <v>0</v>
      </c>
      <c r="S111" s="9">
        <f>IFERROR(__xludf.DUMMYFUNCTION("IFERROR(
  VLOOKUP(
    A111,
    IMPORTRANGE(
      ""1ZHMy3vVUd_0MrSduXTe1etBb1HNpAlGwQr006ljwMiM"",
      ""GSC最新!A:R""
    ),
    11,
    FALSE
  ),
  0
)
"),0.0)</f>
        <v>0</v>
      </c>
      <c r="T111" s="9">
        <f>IFERROR(__xludf.DUMMYFUNCTION("IFERROR(
  VLOOKUP(
    A111,
    IMPORTRANGE(
      ""1ZHMy3vVUd_0MrSduXTe1etBb1HNpAlGwQr006ljwMiM"",
      ""GSC最新!A:R""
    ),
    14,
    FALSE
  ),
  0
)
"),0.07692307692307693)</f>
        <v>0.07692307692</v>
      </c>
      <c r="U111" s="9">
        <f>IFERROR(__xludf.DUMMYFUNCTION("IFERROR(
  VLOOKUP(
    A111,
    IMPORTRANGE(
      ""1ZHMy3vVUd_0MrSduXTe1etBb1HNpAlGwQr006ljwMiM"",
      ""GSC最新!A:R""
    ),
    17,
    FALSE
  ),
  0
)
"),0.03333333333333333)</f>
        <v>0.03333333333</v>
      </c>
      <c r="V111" s="9">
        <f t="shared" ref="V111:W111" si="548">IFERROR(R111-T111,"-")</f>
        <v>-0.07692307692</v>
      </c>
      <c r="W111" s="9">
        <f t="shared" si="548"/>
        <v>-0.03333333333</v>
      </c>
      <c r="X111" s="65">
        <f>IFERROR(__xludf.DUMMYFUNCTION("IFERROR(
  VLOOKUP(
    A111,
    IMPORTRANGE(
      ""1ZHMy3vVUd_0MrSduXTe1etBb1HNpAlGwQr006ljwMiM"",
      ""GSC最新!A:R""
    ),
    9,
    FALSE
  ),
  0
)
"),16.0)</f>
        <v>16</v>
      </c>
      <c r="Y111" s="65">
        <f>IFERROR(__xludf.DUMMYFUNCTION("IFERROR(
  VLOOKUP(
    A111,
    IMPORTRANGE(
      ""1ZHMy3vVUd_0MrSduXTe1etBb1HNpAlGwQr006ljwMiM"",
      ""GSC最新!A:R""
    ),
    12,
    FALSE
  ),
  0
)
"),11.318840579710145)</f>
        <v>11.31884058</v>
      </c>
      <c r="Z111" s="65">
        <f>IFERROR(__xludf.DUMMYFUNCTION("IFERROR(
  VLOOKUP(
    A111,
    IMPORTRANGE(
      ""1ZHMy3vVUd_0MrSduXTe1etBb1HNpAlGwQr006ljwMiM"",
      ""GSC最新!A:R""
    ),
    15,
    FALSE
  ),
  0
)
"),4.923076923076923)</f>
        <v>4.923076923</v>
      </c>
      <c r="AA111" s="65">
        <f>IFERROR(__xludf.DUMMYFUNCTION("IFERROR(
  VLOOKUP(
    A111,
    IMPORTRANGE(
      ""1ZHMy3vVUd_0MrSduXTe1etBb1HNpAlGwQr006ljwMiM"",
      ""GSC最新!A:R""
    ),
    18,
    FALSE
  ),
  0
)
"),5.8)</f>
        <v>5.8</v>
      </c>
      <c r="AB111" s="65">
        <f t="shared" ref="AB111:AC111" si="549">X111-Z111</f>
        <v>11.07692308</v>
      </c>
      <c r="AC111" s="65">
        <f t="shared" si="549"/>
        <v>5.51884058</v>
      </c>
      <c r="AD111" s="53">
        <f>IFERROR(__xludf.DUMMYFUNCTION("IFERROR(
  VLOOKUP(
    A111,
    IMPORTRANGE(
      ""1ZHMy3vVUd_0MrSduXTe1etBb1HNpAlGwQr006ljwMiM"",
      ""GSC最新!A:F""
    ),
    6,
    FALSE
  ),
  0
)
"),46081.0)</f>
        <v>46081</v>
      </c>
      <c r="AE111" s="54">
        <f>IFERROR(__xludf.DUMMYFUNCTION("IFERROR(
  VLOOKUP(
    A111,
    IMPORTRANGE(
      ""1SCYQd7_cobOYqT0r_F0IqD4tE4rYn5y8Eup4PJTH8es"",
      ""Snapshot!A:M""
    ),
    5,
    FALSE
  ),
  ""-""
)
"),5.0)</f>
        <v>5</v>
      </c>
      <c r="AF111" s="54">
        <f>IFERROR(__xludf.DUMMYFUNCTION("IFERROR(
  VLOOKUP(
    A111,
    IMPORTRANGE(
      ""1SCYQd7_cobOYqT0r_F0IqD4tE4rYn5y8Eup4PJTH8es"",
      ""Snapshot!A:M""
    ),
    6,
    FALSE
  ),
  0
)
"),10.0)</f>
        <v>10</v>
      </c>
      <c r="AG111" s="54">
        <f>IFERROR(__xludf.DUMMYFUNCTION("IFERROR(
  VLOOKUP(
    A111,
    IMPORTRANGE(
      ""1SCYQd7_cobOYqT0r_F0IqD4tE4rYn5y8Eup4PJTH8es"",
      ""Snapshot!A:M""
    ),
    7,
    FALSE
  ),
  0
)
"),3568.0)</f>
        <v>3568</v>
      </c>
      <c r="AH111" s="54">
        <f>IFERROR(__xludf.DUMMYFUNCTION("IFERROR(
  VLOOKUP(
    A111,
    IMPORTRANGE(
      ""1SCYQd7_cobOYqT0r_F0IqD4tE4rYn5y8Eup4PJTH8es"",
      ""Snapshot!A:M""
    ),
    8,
    FALSE
  ),
  0
)
"),7.0)</f>
        <v>7</v>
      </c>
      <c r="AI111" s="54">
        <f>IFERROR(__xludf.DUMMYFUNCTION("IFERROR(
  VLOOKUP(
    A111,
    IMPORTRANGE(
      ""1SCYQd7_cobOYqT0r_F0IqD4tE4rYn5y8Eup4PJTH8es"",
      ""Snapshot!A:M""
    ),
    9,
    FALSE
  ),
  0
)
"),1.0)</f>
        <v>1</v>
      </c>
      <c r="AJ111" s="54">
        <f>IFERROR(__xludf.DUMMYFUNCTION("IFERROR(
  VLOOKUP(
    A111,
    IMPORTRANGE(
      ""1SCYQd7_cobOYqT0r_F0IqD4tE4rYn5y8Eup4PJTH8es"",
      ""Snapshot!A:M""
    ),
    13,
    FALSE
  ),
  0
)
"),1.0)</f>
        <v>1</v>
      </c>
      <c r="AK111" s="49">
        <f t="shared" ref="AK111:AL111" si="550">LEN(C111)</f>
        <v>24</v>
      </c>
      <c r="AL111" s="49">
        <f t="shared" si="550"/>
        <v>77</v>
      </c>
    </row>
    <row r="112">
      <c r="A112" s="3" t="s">
        <v>1047</v>
      </c>
      <c r="B112" s="1" t="str">
        <f>IFERROR(__xludf.DUMMYFUNCTION("IFERROR(
  VLOOKUP(
    A112,
    IMPORTRANGE(
      ""1ZygntHC1J6IxzKbTidmOyf5nUyW4GCLurHCjexrLm_o"",
      ""HTMLキャッシュ!A:F""
    ),
    2,
    FALSE
  ),
  0
)
"),"MC")</f>
        <v>MC</v>
      </c>
      <c r="C112" s="1" t="str">
        <f>IFERROR(__xludf.DUMMYFUNCTION("IFERROR(
  VLOOKUP(
    A112,
    IMPORTRANGE(
      ""1ZygntHC1J6IxzKbTidmOyf5nUyW4GCLurHCjexrLm_o"",
      ""HTMLキャッシュ!A:F""
    ),
    5,
    FALSE
  ),
  0
)
"),"受験英語は英作文で伸ばす｜文法×4技能｜Re-Write")</f>
        <v>受験英語は英作文で伸ばす｜文法×4技能｜Re-Write</v>
      </c>
      <c r="D112" s="1" t="str">
        <f>IFERROR(__xludf.DUMMYFUNCTION("IFERROR(
  VLOOKUP(
    A112,
    IMPORTRANGE(
      ""1ZygntHC1J6IxzKbTidmOyf5nUyW4GCLurHCjexrLm_o        "",
      ""HTMLキャッシュ!A:F""
    ),
    6,
    FALSE
  ),
  0
)
"),"文法軽視で「読めない・書けない」を防ぐ方針を整理。英作文を軸に、書く→添削→書き直しの反復で4技能と得点力を伸ばします。")</f>
        <v>文法軽視で「読めない・書けない」を防ぐ方針を整理。英作文を軸に、書く→添削→書き直しの反復で4技能と得点力を伸ばします。</v>
      </c>
      <c r="E112" s="32">
        <f>IFERROR(__xludf.DUMMYFUNCTION("IFERROR(
  VLOOKUP(
    A112,
    IMPORTRANGE(
      ""1ZygntHC1J6IxzKbTidmOyf5nUyW4GCLurHCjexrLm_o        "",
      ""HTMLキャッシュ!A:F""
    ),
    3,
    FALSE
  ),
  0
)
"),46043.62461805555)</f>
        <v>46043.62462</v>
      </c>
      <c r="F112" s="49">
        <f>IFERROR(__xludf.DUMMYFUNCTION("IFERROR(
  VLOOKUP(
    A112,
    IMPORTRANGE(
      ""1ZHMy3vVUd_0MrSduXTe1etBb1HNpAlGwQr006ljwMiM"",
      ""GSC最新!A:F""
    ),
    2,
    FALSE
  ),
  0
)
"),0.0)</f>
        <v>0</v>
      </c>
      <c r="G112" s="49">
        <f>IFERROR(__xludf.DUMMYFUNCTION("IFERROR(
  VLOOKUP(
    A112,
    IMPORTRANGE(
      ""1ZHMy3vVUd_0MrSduXTe1etBb1HNpAlGwQr006ljwMiM"",
      ""GSC最新!A:F""
    ),
    3,
    FALSE
  ),
  0
)
"),0.0)</f>
        <v>0</v>
      </c>
      <c r="H112" s="49">
        <f>IFERROR(__xludf.DUMMYFUNCTION("IFERROR(
  VLOOKUP(
    A112,
    IMPORTRANGE(
      ""1ZHMy3vVUd_0MrSduXTe1etBb1HNpAlGwQr006ljwMiM"",
      ""GSC最新!A:F""
    ),
    4,
    FALSE
  ),
  0
)
"),0.0)</f>
        <v>0</v>
      </c>
      <c r="I112" s="49">
        <f>IFERROR(__xludf.DUMMYFUNCTION("IFERROR(
  VLOOKUP(
    A112,
    IMPORTRANGE(
      ""1ZHMy3vVUd_0MrSduXTe1etBb1HNpAlGwQr006ljwMiM"",
      ""GSC最新!A:F""
    ),
    5,
    FALSE
  ),
  0
)
"),0.0)</f>
        <v>0</v>
      </c>
      <c r="J112" s="50" t="str">
        <f t="shared" ref="J112:K112" si="551">IFERROR(F112/H112,"-")</f>
        <v>-</v>
      </c>
      <c r="K112" s="50" t="str">
        <f t="shared" si="551"/>
        <v>-</v>
      </c>
      <c r="L112" s="6">
        <f>IFERROR(__xludf.DUMMYFUNCTION("IFERROR(
  VLOOKUP(
    A112,
    IMPORTRANGE(
      ""1ZHMy3vVUd_0MrSduXTe1etBb1HNpAlGwQr006ljwMiM"",
      ""GSC最新!A:R""
    ),
    7,
    FALSE
  ),
  0
)
"),52.0)</f>
        <v>52</v>
      </c>
      <c r="M112" s="6">
        <f>IFERROR(__xludf.DUMMYFUNCTION("IFERROR(
  VLOOKUP(
    A112,
    IMPORTRANGE(
      ""1ZHMy3vVUd_0MrSduXTe1etBb1HNpAlGwQr006ljwMiM"",
      ""GSC最新!A:R""
    ),
    10,
    FALSE
  ),
  0
)
"),85.0)</f>
        <v>85</v>
      </c>
      <c r="N112" s="6">
        <f>IFERROR(__xludf.DUMMYFUNCTION("IFERROR(
  VLOOKUP(
    A112,
    IMPORTRANGE(
      ""1ZHMy3vVUd_0MrSduXTe1etBb1HNpAlGwQr006ljwMiM"",
      ""GSC最新!A:R""
    ),
    13,
    FALSE
  ),
  0
)
"),16.0)</f>
        <v>16</v>
      </c>
      <c r="O112" s="6">
        <f>IFERROR(__xludf.DUMMYFUNCTION("IFERROR(
  VLOOKUP(
    A112,
    IMPORTRANGE(
      ""1ZHMy3vVUd_0MrSduXTe1etBb1HNpAlGwQr006ljwMiM"",
      ""GSC最新!A:R""
    ),
    16,
    FALSE
  ),
  0
)
"),105.0)</f>
        <v>105</v>
      </c>
      <c r="P112" s="51">
        <f t="shared" ref="P112:Q112" si="552">IFERROR(L112/N112,"-")</f>
        <v>3.25</v>
      </c>
      <c r="Q112" s="51">
        <f t="shared" si="552"/>
        <v>0.8095238095</v>
      </c>
      <c r="R112" s="9">
        <f>IFERROR(__xludf.DUMMYFUNCTION("IFERROR(
  VLOOKUP(
    A112,
    IMPORTRANGE(
      ""1ZHMy3vVUd_0MrSduXTe1etBb1HNpAlGwQr006ljwMiM"",
      ""GSC最新!A:R""
    ),
    8,
    FALSE
  ),
  0
)
"),0.0)</f>
        <v>0</v>
      </c>
      <c r="S112" s="9">
        <f>IFERROR(__xludf.DUMMYFUNCTION("IFERROR(
  VLOOKUP(
    A112,
    IMPORTRANGE(
      ""1ZHMy3vVUd_0MrSduXTe1etBb1HNpAlGwQr006ljwMiM"",
      ""GSC最新!A:R""
    ),
    11,
    FALSE
  ),
  0
)
"),0.0)</f>
        <v>0</v>
      </c>
      <c r="T112" s="9">
        <f>IFERROR(__xludf.DUMMYFUNCTION("IFERROR(
  VLOOKUP(
    A112,
    IMPORTRANGE(
      ""1ZHMy3vVUd_0MrSduXTe1etBb1HNpAlGwQr006ljwMiM"",
      ""GSC最新!A:R""
    ),
    14,
    FALSE
  ),
  0
)
"),0.0)</f>
        <v>0</v>
      </c>
      <c r="U112" s="9">
        <f>IFERROR(__xludf.DUMMYFUNCTION("IFERROR(
  VLOOKUP(
    A112,
    IMPORTRANGE(
      ""1ZHMy3vVUd_0MrSduXTe1etBb1HNpAlGwQr006ljwMiM"",
      ""GSC最新!A:R""
    ),
    17,
    FALSE
  ),
  0
)
"),0.0)</f>
        <v>0</v>
      </c>
      <c r="V112" s="9">
        <f t="shared" ref="V112:W112" si="553">IFERROR(R112-T112,"-")</f>
        <v>0</v>
      </c>
      <c r="W112" s="9">
        <f t="shared" si="553"/>
        <v>0</v>
      </c>
      <c r="X112" s="65">
        <f>IFERROR(__xludf.DUMMYFUNCTION("IFERROR(
  VLOOKUP(
    A112,
    IMPORTRANGE(
      ""1ZHMy3vVUd_0MrSduXTe1etBb1HNpAlGwQr006ljwMiM"",
      ""GSC最新!A:R""
    ),
    9,
    FALSE
  ),
  0
)
"),5.961538461538462)</f>
        <v>5.961538462</v>
      </c>
      <c r="Y112" s="65">
        <f>IFERROR(__xludf.DUMMYFUNCTION("IFERROR(
  VLOOKUP(
    A112,
    IMPORTRANGE(
      ""1ZHMy3vVUd_0MrSduXTe1etBb1HNpAlGwQr006ljwMiM"",
      ""GSC最新!A:R""
    ),
    12,
    FALSE
  ),
  0
)
"),8.870588235294118)</f>
        <v>8.870588235</v>
      </c>
      <c r="Z112" s="65">
        <f>IFERROR(__xludf.DUMMYFUNCTION("IFERROR(
  VLOOKUP(
    A112,
    IMPORTRANGE(
      ""1ZHMy3vVUd_0MrSduXTe1etBb1HNpAlGwQr006ljwMiM"",
      ""GSC最新!A:R""
    ),
    15,
    FALSE
  ),
  0
)
"),9.6875)</f>
        <v>9.6875</v>
      </c>
      <c r="AA112" s="65">
        <f>IFERROR(__xludf.DUMMYFUNCTION("IFERROR(
  VLOOKUP(
    A112,
    IMPORTRANGE(
      ""1ZHMy3vVUd_0MrSduXTe1etBb1HNpAlGwQr006ljwMiM"",
      ""GSC最新!A:R""
    ),
    18,
    FALSE
  ),
  0
)
"),28.419047619047618)</f>
        <v>28.41904762</v>
      </c>
      <c r="AB112" s="65">
        <f t="shared" ref="AB112:AC112" si="554">X112-Z112</f>
        <v>-3.725961538</v>
      </c>
      <c r="AC112" s="65">
        <f t="shared" si="554"/>
        <v>-19.54845938</v>
      </c>
      <c r="AD112" s="53">
        <f>IFERROR(__xludf.DUMMYFUNCTION("IFERROR(
  VLOOKUP(
    A112,
    IMPORTRANGE(
      ""1ZHMy3vVUd_0MrSduXTe1etBb1HNpAlGwQr006ljwMiM"",
      ""GSC最新!A:F""
    ),
    6,
    FALSE
  ),
  0
)
"),46081.0)</f>
        <v>46081</v>
      </c>
      <c r="AE112" s="54">
        <f>IFERROR(__xludf.DUMMYFUNCTION("IFERROR(
  VLOOKUP(
    A112,
    IMPORTRANGE(
      ""1SCYQd7_cobOYqT0r_F0IqD4tE4rYn5y8Eup4PJTH8es"",
      ""Snapshot!A:M""
    ),
    5,
    FALSE
  ),
  ""-""
)
"),3.0)</f>
        <v>3</v>
      </c>
      <c r="AF112" s="54">
        <f>IFERROR(__xludf.DUMMYFUNCTION("IFERROR(
  VLOOKUP(
    A112,
    IMPORTRANGE(
      ""1SCYQd7_cobOYqT0r_F0IqD4tE4rYn5y8Eup4PJTH8es"",
      ""Snapshot!A:M""
    ),
    6,
    FALSE
  ),
  0
)
"),4.0)</f>
        <v>4</v>
      </c>
      <c r="AG112" s="54">
        <f>IFERROR(__xludf.DUMMYFUNCTION("IFERROR(
  VLOOKUP(
    A112,
    IMPORTRANGE(
      ""1SCYQd7_cobOYqT0r_F0IqD4tE4rYn5y8Eup4PJTH8es"",
      ""Snapshot!A:M""
    ),
    7,
    FALSE
  ),
  0
)
"),2270.0)</f>
        <v>2270</v>
      </c>
      <c r="AH112" s="54">
        <f>IFERROR(__xludf.DUMMYFUNCTION("IFERROR(
  VLOOKUP(
    A112,
    IMPORTRANGE(
      ""1SCYQd7_cobOYqT0r_F0IqD4tE4rYn5y8Eup4PJTH8es"",
      ""Snapshot!A:M""
    ),
    8,
    FALSE
  ),
  0
)
"),1.0)</f>
        <v>1</v>
      </c>
      <c r="AI112" s="54">
        <f>IFERROR(__xludf.DUMMYFUNCTION("IFERROR(
  VLOOKUP(
    A112,
    IMPORTRANGE(
      ""1SCYQd7_cobOYqT0r_F0IqD4tE4rYn5y8Eup4PJTH8es"",
      ""Snapshot!A:M""
    ),
    9,
    FALSE
  ),
  0
)
"),1.0)</f>
        <v>1</v>
      </c>
      <c r="AJ112" s="54">
        <f>IFERROR(__xludf.DUMMYFUNCTION("IFERROR(
  VLOOKUP(
    A112,
    IMPORTRANGE(
      ""1SCYQd7_cobOYqT0r_F0IqD4tE4rYn5y8Eup4PJTH8es"",
      ""Snapshot!A:M""
    ),
    13,
    FALSE
  ),
  0
)
"),1.0)</f>
        <v>1</v>
      </c>
      <c r="AK112" s="49">
        <f t="shared" ref="AK112:AL112" si="555">LEN(C112)</f>
        <v>28</v>
      </c>
      <c r="AL112" s="49">
        <f t="shared" si="555"/>
        <v>60</v>
      </c>
    </row>
    <row r="113">
      <c r="A113" s="3" t="s">
        <v>317</v>
      </c>
      <c r="B113" s="1" t="str">
        <f>IFERROR(__xludf.DUMMYFUNCTION("IFERROR(
  VLOOKUP(
    A113,
    IMPORTRANGE(
      ""1ZygntHC1J6IxzKbTidmOyf5nUyW4GCLurHCjexrLm_o"",
      ""HTMLキャッシュ!A:F""
    ),
    2,
    FALSE
  ),
  0
)
"),"SP")</f>
        <v>SP</v>
      </c>
      <c r="C113" s="1" t="str">
        <f>IFERROR(__xludf.DUMMYFUNCTION("IFERROR(
  VLOOKUP(
    A113,
    IMPORTRANGE(
      ""1ZygntHC1J6IxzKbTidmOyf5nUyW4GCLurHCjexrLm_o"",
      ""HTMLキャッシュ!A:F""
    ),
    5,
    FALSE
  ),
  0
)
"),"高校受験英語文法復習の個別指導講座｜基礎定着オンライン塾")</f>
        <v>高校受験英語文法復習の個別指導講座｜基礎定着オンライン塾</v>
      </c>
      <c r="D113" s="1" t="str">
        <f>IFERROR(__xludf.DUMMYFUNCTION("IFERROR(
  VLOOKUP(
    A113,
    IMPORTRANGE(
      ""1ZygntHC1J6IxzKbTidmOyf5nUyW4GCLurHCjexrLm_o        "",
      ""HTMLキャッシュ!A:F""
    ),
    6,
    FALSE
  ),
  0
)
"),"文法があいまいで失点しやすい受験生へ。重要事項を個別指導で整理し基礎から定着。定期試験・入試対応、オンライン体験受付中")</f>
        <v>文法があいまいで失点しやすい受験生へ。重要事項を個別指導で整理し基礎から定着。定期試験・入試対応、オンライン体験受付中</v>
      </c>
      <c r="E113" s="32">
        <f>IFERROR(__xludf.DUMMYFUNCTION("IFERROR(
  VLOOKUP(
    A113,
    IMPORTRANGE(
      ""1ZygntHC1J6IxzKbTidmOyf5nUyW4GCLurHCjexrLm_o        "",
      ""HTMLキャッシュ!A:F""
    ),
    3,
    FALSE
  ),
  0
)
"),46081.71775462963)</f>
        <v>46081.71775</v>
      </c>
      <c r="F113" s="49">
        <f>IFERROR(__xludf.DUMMYFUNCTION("IFERROR(
  VLOOKUP(
    A113,
    IMPORTRANGE(
      ""1ZHMy3vVUd_0MrSduXTe1etBb1HNpAlGwQr006ljwMiM"",
      ""GSC最新!A:F""
    ),
    2,
    FALSE
  ),
  0
)
"),0.0)</f>
        <v>0</v>
      </c>
      <c r="G113" s="49">
        <f>IFERROR(__xludf.DUMMYFUNCTION("IFERROR(
  VLOOKUP(
    A113,
    IMPORTRANGE(
      ""1ZHMy3vVUd_0MrSduXTe1etBb1HNpAlGwQr006ljwMiM"",
      ""GSC最新!A:F""
    ),
    3,
    FALSE
  ),
  0
)
"),0.0)</f>
        <v>0</v>
      </c>
      <c r="H113" s="49">
        <f>IFERROR(__xludf.DUMMYFUNCTION("IFERROR(
  VLOOKUP(
    A113,
    IMPORTRANGE(
      ""1ZHMy3vVUd_0MrSduXTe1etBb1HNpAlGwQr006ljwMiM"",
      ""GSC最新!A:F""
    ),
    4,
    FALSE
  ),
  0
)
"),1.0)</f>
        <v>1</v>
      </c>
      <c r="I113" s="49">
        <f>IFERROR(__xludf.DUMMYFUNCTION("IFERROR(
  VLOOKUP(
    A113,
    IMPORTRANGE(
      ""1ZHMy3vVUd_0MrSduXTe1etBb1HNpAlGwQr006ljwMiM"",
      ""GSC最新!A:F""
    ),
    5,
    FALSE
  ),
  0
)
"),1.0)</f>
        <v>1</v>
      </c>
      <c r="J113" s="50">
        <f t="shared" ref="J113:K113" si="556">IFERROR(F113/H113,"-")</f>
        <v>0</v>
      </c>
      <c r="K113" s="50">
        <f t="shared" si="556"/>
        <v>0</v>
      </c>
      <c r="L113" s="6">
        <f>IFERROR(__xludf.DUMMYFUNCTION("IFERROR(
  VLOOKUP(
    A113,
    IMPORTRANGE(
      ""1ZHMy3vVUd_0MrSduXTe1etBb1HNpAlGwQr006ljwMiM"",
      ""GSC最新!A:R""
    ),
    7,
    FALSE
  ),
  0
)
"),44.0)</f>
        <v>44</v>
      </c>
      <c r="M113" s="6">
        <f>IFERROR(__xludf.DUMMYFUNCTION("IFERROR(
  VLOOKUP(
    A113,
    IMPORTRANGE(
      ""1ZHMy3vVUd_0MrSduXTe1etBb1HNpAlGwQr006ljwMiM"",
      ""GSC最新!A:R""
    ),
    10,
    FALSE
  ),
  0
)
"),73.0)</f>
        <v>73</v>
      </c>
      <c r="N113" s="6">
        <f>IFERROR(__xludf.DUMMYFUNCTION("IFERROR(
  VLOOKUP(
    A113,
    IMPORTRANGE(
      ""1ZHMy3vVUd_0MrSduXTe1etBb1HNpAlGwQr006ljwMiM"",
      ""GSC最新!A:R""
    ),
    13,
    FALSE
  ),
  0
)
"),31.0)</f>
        <v>31</v>
      </c>
      <c r="O113" s="6">
        <f>IFERROR(__xludf.DUMMYFUNCTION("IFERROR(
  VLOOKUP(
    A113,
    IMPORTRANGE(
      ""1ZHMy3vVUd_0MrSduXTe1etBb1HNpAlGwQr006ljwMiM"",
      ""GSC最新!A:R""
    ),
    16,
    FALSE
  ),
  0
)
"),106.0)</f>
        <v>106</v>
      </c>
      <c r="P113" s="51">
        <f t="shared" ref="P113:Q113" si="557">IFERROR(L113/N113,"-")</f>
        <v>1.419354839</v>
      </c>
      <c r="Q113" s="51">
        <f t="shared" si="557"/>
        <v>0.6886792453</v>
      </c>
      <c r="R113" s="9">
        <f>IFERROR(__xludf.DUMMYFUNCTION("IFERROR(
  VLOOKUP(
    A113,
    IMPORTRANGE(
      ""1ZHMy3vVUd_0MrSduXTe1etBb1HNpAlGwQr006ljwMiM"",
      ""GSC最新!A:R""
    ),
    8,
    FALSE
  ),
  0
)
"),0.0)</f>
        <v>0</v>
      </c>
      <c r="S113" s="9">
        <f>IFERROR(__xludf.DUMMYFUNCTION("IFERROR(
  VLOOKUP(
    A113,
    IMPORTRANGE(
      ""1ZHMy3vVUd_0MrSduXTe1etBb1HNpAlGwQr006ljwMiM"",
      ""GSC最新!A:R""
    ),
    11,
    FALSE
  ),
  0
)
"),0.0)</f>
        <v>0</v>
      </c>
      <c r="T113" s="9">
        <f>IFERROR(__xludf.DUMMYFUNCTION("IFERROR(
  VLOOKUP(
    A113,
    IMPORTRANGE(
      ""1ZHMy3vVUd_0MrSduXTe1etBb1HNpAlGwQr006ljwMiM"",
      ""GSC最新!A:R""
    ),
    14,
    FALSE
  ),
  0
)
"),0.03225806451612903)</f>
        <v>0.03225806452</v>
      </c>
      <c r="U113" s="9">
        <f>IFERROR(__xludf.DUMMYFUNCTION("IFERROR(
  VLOOKUP(
    A113,
    IMPORTRANGE(
      ""1ZHMy3vVUd_0MrSduXTe1etBb1HNpAlGwQr006ljwMiM"",
      ""GSC最新!A:R""
    ),
    17,
    FALSE
  ),
  0
)
"),0.009433962264150943)</f>
        <v>0.009433962264</v>
      </c>
      <c r="V113" s="9">
        <f t="shared" ref="V113:W113" si="558">IFERROR(R113-T113,"-")</f>
        <v>-0.03225806452</v>
      </c>
      <c r="W113" s="9">
        <f t="shared" si="558"/>
        <v>-0.009433962264</v>
      </c>
      <c r="X113" s="65">
        <f>IFERROR(__xludf.DUMMYFUNCTION("IFERROR(
  VLOOKUP(
    A113,
    IMPORTRANGE(
      ""1ZHMy3vVUd_0MrSduXTe1etBb1HNpAlGwQr006ljwMiM"",
      ""GSC最新!A:R""
    ),
    9,
    FALSE
  ),
  0
)
"),12.727272727272727)</f>
        <v>12.72727273</v>
      </c>
      <c r="Y113" s="65">
        <f>IFERROR(__xludf.DUMMYFUNCTION("IFERROR(
  VLOOKUP(
    A113,
    IMPORTRANGE(
      ""1ZHMy3vVUd_0MrSduXTe1etBb1HNpAlGwQr006ljwMiM"",
      ""GSC最新!A:R""
    ),
    12,
    FALSE
  ),
  0
)
"),11.438356164383562)</f>
        <v>11.43835616</v>
      </c>
      <c r="Z113" s="65">
        <f>IFERROR(__xludf.DUMMYFUNCTION("IFERROR(
  VLOOKUP(
    A113,
    IMPORTRANGE(
      ""1ZHMy3vVUd_0MrSduXTe1etBb1HNpAlGwQr006ljwMiM"",
      ""GSC最新!A:R""
    ),
    15,
    FALSE
  ),
  0
)
"),18.967741935483872)</f>
        <v>18.96774194</v>
      </c>
      <c r="AA113" s="65">
        <f>IFERROR(__xludf.DUMMYFUNCTION("IFERROR(
  VLOOKUP(
    A113,
    IMPORTRANGE(
      ""1ZHMy3vVUd_0MrSduXTe1etBb1HNpAlGwQr006ljwMiM"",
      ""GSC最新!A:R""
    ),
    18,
    FALSE
  ),
  0
)
"),26.358490566037737)</f>
        <v>26.35849057</v>
      </c>
      <c r="AB113" s="65">
        <f t="shared" ref="AB113:AC113" si="559">X113-Z113</f>
        <v>-6.240469208</v>
      </c>
      <c r="AC113" s="65">
        <f t="shared" si="559"/>
        <v>-14.9201344</v>
      </c>
      <c r="AD113" s="53">
        <f>IFERROR(__xludf.DUMMYFUNCTION("IFERROR(
  VLOOKUP(
    A113,
    IMPORTRANGE(
      ""1ZHMy3vVUd_0MrSduXTe1etBb1HNpAlGwQr006ljwMiM"",
      ""GSC最新!A:F""
    ),
    6,
    FALSE
  ),
  0
)
"),46081.0)</f>
        <v>46081</v>
      </c>
      <c r="AE113" s="54">
        <f>IFERROR(__xludf.DUMMYFUNCTION("IFERROR(
  VLOOKUP(
    A113,
    IMPORTRANGE(
      ""1SCYQd7_cobOYqT0r_F0IqD4tE4rYn5y8Eup4PJTH8es"",
      ""Snapshot!A:M""
    ),
    5,
    FALSE
  ),
  ""-""
)
"),4.0)</f>
        <v>4</v>
      </c>
      <c r="AF113" s="54">
        <f>IFERROR(__xludf.DUMMYFUNCTION("IFERROR(
  VLOOKUP(
    A113,
    IMPORTRANGE(
      ""1SCYQd7_cobOYqT0r_F0IqD4tE4rYn5y8Eup4PJTH8es"",
      ""Snapshot!A:M""
    ),
    6,
    FALSE
  ),
  0
)
"),6.0)</f>
        <v>6</v>
      </c>
      <c r="AG113" s="54">
        <f>IFERROR(__xludf.DUMMYFUNCTION("IFERROR(
  VLOOKUP(
    A113,
    IMPORTRANGE(
      ""1SCYQd7_cobOYqT0r_F0IqD4tE4rYn5y8Eup4PJTH8es"",
      ""Snapshot!A:M""
    ),
    7,
    FALSE
  ),
  0
)
"),3565.0)</f>
        <v>3565</v>
      </c>
      <c r="AH113" s="54">
        <f>IFERROR(__xludf.DUMMYFUNCTION("IFERROR(
  VLOOKUP(
    A113,
    IMPORTRANGE(
      ""1SCYQd7_cobOYqT0r_F0IqD4tE4rYn5y8Eup4PJTH8es"",
      ""Snapshot!A:M""
    ),
    8,
    FALSE
  ),
  0
)
"),1.0)</f>
        <v>1</v>
      </c>
      <c r="AI113" s="54">
        <f>IFERROR(__xludf.DUMMYFUNCTION("IFERROR(
  VLOOKUP(
    A113,
    IMPORTRANGE(
      ""1SCYQd7_cobOYqT0r_F0IqD4tE4rYn5y8Eup4PJTH8es"",
      ""Snapshot!A:M""
    ),
    9,
    FALSE
  ),
  0
)
"),1.0)</f>
        <v>1</v>
      </c>
      <c r="AJ113" s="54">
        <f>IFERROR(__xludf.DUMMYFUNCTION("IFERROR(
  VLOOKUP(
    A113,
    IMPORTRANGE(
      ""1SCYQd7_cobOYqT0r_F0IqD4tE4rYn5y8Eup4PJTH8es"",
      ""Snapshot!A:M""
    ),
    13,
    FALSE
  ),
  0
)
"),1.0)</f>
        <v>1</v>
      </c>
      <c r="AK113" s="49">
        <f t="shared" ref="AK113:AL113" si="560">LEN(C113)</f>
        <v>28</v>
      </c>
      <c r="AL113" s="49">
        <f t="shared" si="560"/>
        <v>59</v>
      </c>
    </row>
    <row r="114">
      <c r="A114" s="3" t="s">
        <v>1048</v>
      </c>
      <c r="B114" s="1" t="str">
        <f>IFERROR(__xludf.DUMMYFUNCTION("IFERROR(
  VLOOKUP(
    A114,
    IMPORTRANGE(
      ""1ZygntHC1J6IxzKbTidmOyf5nUyW4GCLurHCjexrLm_o"",
      ""HTMLキャッシュ!A:F""
    ),
    2,
    FALSE
  ),
  0
)
"),"MC")</f>
        <v>MC</v>
      </c>
      <c r="C114" s="1" t="str">
        <f>IFERROR(__xludf.DUMMYFUNCTION("IFERROR(
  VLOOKUP(
    A114,
    IMPORTRANGE(
      ""1ZygntHC1J6IxzKbTidmOyf5nUyW4GCLurHCjexrLm_o"",
      ""HTMLキャッシュ!A:F""
    ),
    5,
    FALSE
  ),
  0
)
"),"STAGE3 Lesson6-2関係代名詞(関係代名詞what)【ニュートレジャーの道案内】 - 受験英語専門ゼミ「Re-Write」(リライト)")</f>
        <v>STAGE3 Lesson6-2関係代名詞(関係代名詞what)【ニュートレジャーの道案内】 - 受験英語専門ゼミ「Re-Write」(リライト)</v>
      </c>
      <c r="D114" s="1" t="str">
        <f>IFERROR(__xludf.DUMMYFUNCTION("IFERROR(
  VLOOKUP(
    A114,
    IMPORTRANGE(
      ""1ZygntHC1J6IxzKbTidmOyf5nUyW4GCLurHCjexrLm_o        "",
      ""HTMLキャッシュ!A:F""
    ),
    6,
    FALSE
  ),
  0
)
"),"関係代名詞&amp;quot;what&amp;quot;の使い方を解説！&amp;quot;what&amp;quot;は名詞節を作り、「もの」「こと」を表す独自の役割を持ちます。主語・補語・目的語の用法を例文付きで学び、正しい使い方をマスターしよう！")</f>
        <v>関係代名詞&amp;quot;what&amp;quot;の使い方を解説！&amp;quot;what&amp;quot;は名詞節を作り、「もの」「こと」を表す独自の役割を持ちます。主語・補語・目的語の用法を例文付きで学び、正しい使い方をマスターしよう！</v>
      </c>
      <c r="E114" s="32">
        <f>IFERROR(__xludf.DUMMYFUNCTION("IFERROR(
  VLOOKUP(
    A114,
    IMPORTRANGE(
      ""1ZygntHC1J6IxzKbTidmOyf5nUyW4GCLurHCjexrLm_o        "",
      ""HTMLキャッシュ!A:F""
    ),
    3,
    FALSE
  ),
  0
)
"),46043.61975694444)</f>
        <v>46043.61976</v>
      </c>
      <c r="F114" s="49">
        <f>IFERROR(__xludf.DUMMYFUNCTION("IFERROR(
  VLOOKUP(
    A114,
    IMPORTRANGE(
      ""1ZHMy3vVUd_0MrSduXTe1etBb1HNpAlGwQr006ljwMiM"",
      ""GSC最新!A:F""
    ),
    2,
    FALSE
  ),
  0
)
"),0.0)</f>
        <v>0</v>
      </c>
      <c r="G114" s="49">
        <f>IFERROR(__xludf.DUMMYFUNCTION("IFERROR(
  VLOOKUP(
    A114,
    IMPORTRANGE(
      ""1ZHMy3vVUd_0MrSduXTe1etBb1HNpAlGwQr006ljwMiM"",
      ""GSC最新!A:F""
    ),
    3,
    FALSE
  ),
  0
)
"),0.0)</f>
        <v>0</v>
      </c>
      <c r="H114" s="49">
        <f>IFERROR(__xludf.DUMMYFUNCTION("IFERROR(
  VLOOKUP(
    A114,
    IMPORTRANGE(
      ""1ZHMy3vVUd_0MrSduXTe1etBb1HNpAlGwQr006ljwMiM"",
      ""GSC最新!A:F""
    ),
    4,
    FALSE
  ),
  0
)
"),0.0)</f>
        <v>0</v>
      </c>
      <c r="I114" s="49">
        <f>IFERROR(__xludf.DUMMYFUNCTION("IFERROR(
  VLOOKUP(
    A114,
    IMPORTRANGE(
      ""1ZHMy3vVUd_0MrSduXTe1etBb1HNpAlGwQr006ljwMiM"",
      ""GSC最新!A:F""
    ),
    5,
    FALSE
  ),
  0
)
"),0.0)</f>
        <v>0</v>
      </c>
      <c r="J114" s="50" t="str">
        <f t="shared" ref="J114:K114" si="561">IFERROR(F114/H114,"-")</f>
        <v>-</v>
      </c>
      <c r="K114" s="50" t="str">
        <f t="shared" si="561"/>
        <v>-</v>
      </c>
      <c r="L114" s="6">
        <f>IFERROR(__xludf.DUMMYFUNCTION("IFERROR(
  VLOOKUP(
    A114,
    IMPORTRANGE(
      ""1ZHMy3vVUd_0MrSduXTe1etBb1HNpAlGwQr006ljwMiM"",
      ""GSC最新!A:R""
    ),
    7,
    FALSE
  ),
  0
)
"),33.0)</f>
        <v>33</v>
      </c>
      <c r="M114" s="6">
        <f>IFERROR(__xludf.DUMMYFUNCTION("IFERROR(
  VLOOKUP(
    A114,
    IMPORTRANGE(
      ""1ZHMy3vVUd_0MrSduXTe1etBb1HNpAlGwQr006ljwMiM"",
      ""GSC最新!A:R""
    ),
    10,
    FALSE
  ),
  0
)
"),63.0)</f>
        <v>63</v>
      </c>
      <c r="N114" s="6">
        <f>IFERROR(__xludf.DUMMYFUNCTION("IFERROR(
  VLOOKUP(
    A114,
    IMPORTRANGE(
      ""1ZHMy3vVUd_0MrSduXTe1etBb1HNpAlGwQr006ljwMiM"",
      ""GSC最新!A:R""
    ),
    13,
    FALSE
  ),
  0
)
"),0.0)</f>
        <v>0</v>
      </c>
      <c r="O114" s="6">
        <f>IFERROR(__xludf.DUMMYFUNCTION("IFERROR(
  VLOOKUP(
    A114,
    IMPORTRANGE(
      ""1ZHMy3vVUd_0MrSduXTe1etBb1HNpAlGwQr006ljwMiM"",
      ""GSC最新!A:R""
    ),
    16,
    FALSE
  ),
  0
)
"),0.0)</f>
        <v>0</v>
      </c>
      <c r="P114" s="51" t="str">
        <f t="shared" ref="P114:Q114" si="562">IFERROR(L114/N114,"-")</f>
        <v>-</v>
      </c>
      <c r="Q114" s="51" t="str">
        <f t="shared" si="562"/>
        <v>-</v>
      </c>
      <c r="R114" s="9">
        <f>IFERROR(__xludf.DUMMYFUNCTION("IFERROR(
  VLOOKUP(
    A114,
    IMPORTRANGE(
      ""1ZHMy3vVUd_0MrSduXTe1etBb1HNpAlGwQr006ljwMiM"",
      ""GSC最新!A:R""
    ),
    8,
    FALSE
  ),
  0
)
"),0.0)</f>
        <v>0</v>
      </c>
      <c r="S114" s="9">
        <f>IFERROR(__xludf.DUMMYFUNCTION("IFERROR(
  VLOOKUP(
    A114,
    IMPORTRANGE(
      ""1ZHMy3vVUd_0MrSduXTe1etBb1HNpAlGwQr006ljwMiM"",
      ""GSC最新!A:R""
    ),
    11,
    FALSE
  ),
  0
)
"),0.0)</f>
        <v>0</v>
      </c>
      <c r="T114" s="9">
        <f>IFERROR(__xludf.DUMMYFUNCTION("IFERROR(
  VLOOKUP(
    A114,
    IMPORTRANGE(
      ""1ZHMy3vVUd_0MrSduXTe1etBb1HNpAlGwQr006ljwMiM"",
      ""GSC最新!A:R""
    ),
    14,
    FALSE
  ),
  0
)
"),0.0)</f>
        <v>0</v>
      </c>
      <c r="U114" s="9">
        <f>IFERROR(__xludf.DUMMYFUNCTION("IFERROR(
  VLOOKUP(
    A114,
    IMPORTRANGE(
      ""1ZHMy3vVUd_0MrSduXTe1etBb1HNpAlGwQr006ljwMiM"",
      ""GSC最新!A:R""
    ),
    17,
    FALSE
  ),
  0
)
"),0.0)</f>
        <v>0</v>
      </c>
      <c r="V114" s="9">
        <f t="shared" ref="V114:W114" si="563">IFERROR(R114-T114,"-")</f>
        <v>0</v>
      </c>
      <c r="W114" s="9">
        <f t="shared" si="563"/>
        <v>0</v>
      </c>
      <c r="X114" s="65">
        <f>IFERROR(__xludf.DUMMYFUNCTION("IFERROR(
  VLOOKUP(
    A114,
    IMPORTRANGE(
      ""1ZHMy3vVUd_0MrSduXTe1etBb1HNpAlGwQr006ljwMiM"",
      ""GSC最新!A:R""
    ),
    9,
    FALSE
  ),
  0
)
"),6.757575757575758)</f>
        <v>6.757575758</v>
      </c>
      <c r="Y114" s="65">
        <f>IFERROR(__xludf.DUMMYFUNCTION("IFERROR(
  VLOOKUP(
    A114,
    IMPORTRANGE(
      ""1ZHMy3vVUd_0MrSduXTe1etBb1HNpAlGwQr006ljwMiM"",
      ""GSC最新!A:R""
    ),
    12,
    FALSE
  ),
  0
)
"),6.714285714285714)</f>
        <v>6.714285714</v>
      </c>
      <c r="Z114" s="65" t="str">
        <f>IFERROR(__xludf.DUMMYFUNCTION("IFERROR(
  VLOOKUP(
    A114,
    IMPORTRANGE(
      ""1ZHMy3vVUd_0MrSduXTe1etBb1HNpAlGwQr006ljwMiM"",
      ""GSC最新!A:R""
    ),
    15,
    FALSE
  ),
  0
)
"),"")</f>
        <v/>
      </c>
      <c r="AA114" s="65" t="str">
        <f>IFERROR(__xludf.DUMMYFUNCTION("IFERROR(
  VLOOKUP(
    A114,
    IMPORTRANGE(
      ""1ZHMy3vVUd_0MrSduXTe1etBb1HNpAlGwQr006ljwMiM"",
      ""GSC最新!A:R""
    ),
    18,
    FALSE
  ),
  0
)
"),"")</f>
        <v/>
      </c>
      <c r="AB114" s="65">
        <f t="shared" ref="AB114:AC114" si="564">X114-Z114</f>
        <v>6.757575758</v>
      </c>
      <c r="AC114" s="65">
        <f t="shared" si="564"/>
        <v>6.714285714</v>
      </c>
      <c r="AD114" s="53">
        <f>IFERROR(__xludf.DUMMYFUNCTION("IFERROR(
  VLOOKUP(
    A114,
    IMPORTRANGE(
      ""1ZHMy3vVUd_0MrSduXTe1etBb1HNpAlGwQr006ljwMiM"",
      ""GSC最新!A:F""
    ),
    6,
    FALSE
  ),
  0
)
"),46081.0)</f>
        <v>46081</v>
      </c>
      <c r="AE114" s="54">
        <f>IFERROR(__xludf.DUMMYFUNCTION("IFERROR(
  VLOOKUP(
    A114,
    IMPORTRANGE(
      ""1SCYQd7_cobOYqT0r_F0IqD4tE4rYn5y8Eup4PJTH8es"",
      ""Snapshot!A:M""
    ),
    5,
    FALSE
  ),
  ""-""
)
"),1.0)</f>
        <v>1</v>
      </c>
      <c r="AF114" s="54">
        <f>IFERROR(__xludf.DUMMYFUNCTION("IFERROR(
  VLOOKUP(
    A114,
    IMPORTRANGE(
      ""1SCYQd7_cobOYqT0r_F0IqD4tE4rYn5y8Eup4PJTH8es"",
      ""Snapshot!A:M""
    ),
    6,
    FALSE
  ),
  0
)
"),13.0)</f>
        <v>13</v>
      </c>
      <c r="AG114" s="54">
        <f>IFERROR(__xludf.DUMMYFUNCTION("IFERROR(
  VLOOKUP(
    A114,
    IMPORTRANGE(
      ""1SCYQd7_cobOYqT0r_F0IqD4tE4rYn5y8Eup4PJTH8es"",
      ""Snapshot!A:M""
    ),
    7,
    FALSE
  ),
  0
)
"),4258.0)</f>
        <v>4258</v>
      </c>
      <c r="AH114" s="54">
        <f>IFERROR(__xludf.DUMMYFUNCTION("IFERROR(
  VLOOKUP(
    A114,
    IMPORTRANGE(
      ""1SCYQd7_cobOYqT0r_F0IqD4tE4rYn5y8Eup4PJTH8es"",
      ""Snapshot!A:M""
    ),
    8,
    FALSE
  ),
  0
)
"),2.0)</f>
        <v>2</v>
      </c>
      <c r="AI114" s="54">
        <f>IFERROR(__xludf.DUMMYFUNCTION("IFERROR(
  VLOOKUP(
    A114,
    IMPORTRANGE(
      ""1SCYQd7_cobOYqT0r_F0IqD4tE4rYn5y8Eup4PJTH8es"",
      ""Snapshot!A:M""
    ),
    9,
    FALSE
  ),
  0
)
"),1.0)</f>
        <v>1</v>
      </c>
      <c r="AJ114" s="54">
        <f>IFERROR(__xludf.DUMMYFUNCTION("IFERROR(
  VLOOKUP(
    A114,
    IMPORTRANGE(
      ""1SCYQd7_cobOYqT0r_F0IqD4tE4rYn5y8Eup4PJTH8es"",
      ""Snapshot!A:M""
    ),
    13,
    FALSE
  ),
  0
)
"),1.0)</f>
        <v>1</v>
      </c>
      <c r="AK114" s="49">
        <f t="shared" ref="AK114:AL114" si="565">LEN(C114)</f>
        <v>73</v>
      </c>
      <c r="AL114" s="49">
        <f t="shared" si="565"/>
        <v>111</v>
      </c>
    </row>
    <row r="115">
      <c r="A115" s="3" t="s">
        <v>1049</v>
      </c>
      <c r="B115" s="1" t="str">
        <f>IFERROR(__xludf.DUMMYFUNCTION("IFERROR(
  VLOOKUP(
    A115,
    IMPORTRANGE(
      ""1ZygntHC1J6IxzKbTidmOyf5nUyW4GCLurHCjexrLm_o"",
      ""HTMLキャッシュ!A:F""
    ),
    2,
    FALSE
  ),
  0
)
"),"ST")</f>
        <v>ST</v>
      </c>
      <c r="C115" s="1" t="str">
        <f>IFERROR(__xludf.DUMMYFUNCTION("IFERROR(
  VLOOKUP(
    A115,
    IMPORTRANGE(
      ""1ZygntHC1J6IxzKbTidmOyf5nUyW4GCLurHCjexrLm_o"",
      ""HTMLキャッシュ!A:F""
    ),
    5,
    FALSE
  ),
  0
)
"),"アクセス - 受験英語専門ゼミ「Re-Write」(リライト)")</f>
        <v>アクセス - 受験英語専門ゼミ「Re-Write」(リライト)</v>
      </c>
      <c r="D115" s="1" t="str">
        <f>IFERROR(__xludf.DUMMYFUNCTION("IFERROR(
  VLOOKUP(
    A115,
    IMPORTRANGE(
      ""1ZygntHC1J6IxzKbTidmOyf5nUyW4GCLurHCjexrLm_o        "",
      ""HTMLキャッシュ!A:F""
    ),
    6,
    FALSE
  ),
  0
)
"),"教室へのアクセス 地図 道順 四ツ谷駅の四ツ谷口を出てすぐの横断歩道を渡り、四谷見附の交差点を左折し直進します")</f>
        <v>教室へのアクセス 地図 道順 四ツ谷駅の四ツ谷口を出てすぐの横断歩道を渡り、四谷見附の交差点を左折し直進します</v>
      </c>
      <c r="E115" s="32">
        <f>IFERROR(__xludf.DUMMYFUNCTION("IFERROR(
  VLOOKUP(
    A115,
    IMPORTRANGE(
      ""1ZygntHC1J6IxzKbTidmOyf5nUyW4GCLurHCjexrLm_o        "",
      ""HTMLキャッシュ!A:F""
    ),
    3,
    FALSE
  ),
  0
)
"),45970.72619212963)</f>
        <v>45970.72619</v>
      </c>
      <c r="F115" s="49">
        <f>IFERROR(__xludf.DUMMYFUNCTION("IFERROR(
  VLOOKUP(
    A115,
    IMPORTRANGE(
      ""1ZHMy3vVUd_0MrSduXTe1etBb1HNpAlGwQr006ljwMiM"",
      ""GSC最新!A:F""
    ),
    2,
    FALSE
  ),
  0
)
"),1.0)</f>
        <v>1</v>
      </c>
      <c r="G115" s="49">
        <f>IFERROR(__xludf.DUMMYFUNCTION("IFERROR(
  VLOOKUP(
    A115,
    IMPORTRANGE(
      ""1ZHMy3vVUd_0MrSduXTe1etBb1HNpAlGwQr006ljwMiM"",
      ""GSC最新!A:F""
    ),
    3,
    FALSE
  ),
  0
)
"),1.0)</f>
        <v>1</v>
      </c>
      <c r="H115" s="49">
        <f>IFERROR(__xludf.DUMMYFUNCTION("IFERROR(
  VLOOKUP(
    A115,
    IMPORTRANGE(
      ""1ZHMy3vVUd_0MrSduXTe1etBb1HNpAlGwQr006ljwMiM"",
      ""GSC最新!A:F""
    ),
    4,
    FALSE
  ),
  0
)
"),0.0)</f>
        <v>0</v>
      </c>
      <c r="I115" s="49">
        <f>IFERROR(__xludf.DUMMYFUNCTION("IFERROR(
  VLOOKUP(
    A115,
    IMPORTRANGE(
      ""1ZHMy3vVUd_0MrSduXTe1etBb1HNpAlGwQr006ljwMiM"",
      ""GSC最新!A:F""
    ),
    5,
    FALSE
  ),
  0
)
"),1.0)</f>
        <v>1</v>
      </c>
      <c r="J115" s="50" t="str">
        <f t="shared" ref="J115:K115" si="566">IFERROR(F115/H115,"-")</f>
        <v>-</v>
      </c>
      <c r="K115" s="50">
        <f t="shared" si="566"/>
        <v>1</v>
      </c>
      <c r="L115" s="6">
        <f>IFERROR(__xludf.DUMMYFUNCTION("IFERROR(
  VLOOKUP(
    A115,
    IMPORTRANGE(
      ""1ZHMy3vVUd_0MrSduXTe1etBb1HNpAlGwQr006ljwMiM"",
      ""GSC最新!A:R""
    ),
    7,
    FALSE
  ),
  0
)
"),24.0)</f>
        <v>24</v>
      </c>
      <c r="M115" s="6">
        <f>IFERROR(__xludf.DUMMYFUNCTION("IFERROR(
  VLOOKUP(
    A115,
    IMPORTRANGE(
      ""1ZHMy3vVUd_0MrSduXTe1etBb1HNpAlGwQr006ljwMiM"",
      ""GSC最新!A:R""
    ),
    10,
    FALSE
  ),
  0
)
"),55.0)</f>
        <v>55</v>
      </c>
      <c r="N115" s="6">
        <f>IFERROR(__xludf.DUMMYFUNCTION("IFERROR(
  VLOOKUP(
    A115,
    IMPORTRANGE(
      ""1ZHMy3vVUd_0MrSduXTe1etBb1HNpAlGwQr006ljwMiM"",
      ""GSC最新!A:R""
    ),
    13,
    FALSE
  ),
  0
)
"),3.0)</f>
        <v>3</v>
      </c>
      <c r="O115" s="6">
        <f>IFERROR(__xludf.DUMMYFUNCTION("IFERROR(
  VLOOKUP(
    A115,
    IMPORTRANGE(
      ""1ZHMy3vVUd_0MrSduXTe1etBb1HNpAlGwQr006ljwMiM"",
      ""GSC最新!A:R""
    ),
    16,
    FALSE
  ),
  0
)
"),12.0)</f>
        <v>12</v>
      </c>
      <c r="P115" s="51">
        <f t="shared" ref="P115:Q115" si="567">IFERROR(L115/N115,"-")</f>
        <v>8</v>
      </c>
      <c r="Q115" s="51">
        <f t="shared" si="567"/>
        <v>4.583333333</v>
      </c>
      <c r="R115" s="9">
        <f>IFERROR(__xludf.DUMMYFUNCTION("IFERROR(
  VLOOKUP(
    A115,
    IMPORTRANGE(
      ""1ZHMy3vVUd_0MrSduXTe1etBb1HNpAlGwQr006ljwMiM"",
      ""GSC最新!A:R""
    ),
    8,
    FALSE
  ),
  0
)
"),0.041666666666666664)</f>
        <v>0.04166666667</v>
      </c>
      <c r="S115" s="9">
        <f>IFERROR(__xludf.DUMMYFUNCTION("IFERROR(
  VLOOKUP(
    A115,
    IMPORTRANGE(
      ""1ZHMy3vVUd_0MrSduXTe1etBb1HNpAlGwQr006ljwMiM"",
      ""GSC最新!A:R""
    ),
    11,
    FALSE
  ),
  0
)
"),0.01818181818181818)</f>
        <v>0.01818181818</v>
      </c>
      <c r="T115" s="9">
        <f>IFERROR(__xludf.DUMMYFUNCTION("IFERROR(
  VLOOKUP(
    A115,
    IMPORTRANGE(
      ""1ZHMy3vVUd_0MrSduXTe1etBb1HNpAlGwQr006ljwMiM"",
      ""GSC最新!A:R""
    ),
    14,
    FALSE
  ),
  0
)
"),0.0)</f>
        <v>0</v>
      </c>
      <c r="U115" s="9">
        <f>IFERROR(__xludf.DUMMYFUNCTION("IFERROR(
  VLOOKUP(
    A115,
    IMPORTRANGE(
      ""1ZHMy3vVUd_0MrSduXTe1etBb1HNpAlGwQr006ljwMiM"",
      ""GSC最新!A:R""
    ),
    17,
    FALSE
  ),
  0
)
"),0.08333333333333333)</f>
        <v>0.08333333333</v>
      </c>
      <c r="V115" s="9">
        <f t="shared" ref="V115:W115" si="568">IFERROR(R115-T115,"-")</f>
        <v>0.04166666667</v>
      </c>
      <c r="W115" s="9">
        <f t="shared" si="568"/>
        <v>-0.06515151515</v>
      </c>
      <c r="X115" s="65">
        <f>IFERROR(__xludf.DUMMYFUNCTION("IFERROR(
  VLOOKUP(
    A115,
    IMPORTRANGE(
      ""1ZHMy3vVUd_0MrSduXTe1etBb1HNpAlGwQr006ljwMiM"",
      ""GSC最新!A:R""
    ),
    9,
    FALSE
  ),
  0
)
"),6.041666666666667)</f>
        <v>6.041666667</v>
      </c>
      <c r="Y115" s="65">
        <f>IFERROR(__xludf.DUMMYFUNCTION("IFERROR(
  VLOOKUP(
    A115,
    IMPORTRANGE(
      ""1ZHMy3vVUd_0MrSduXTe1etBb1HNpAlGwQr006ljwMiM"",
      ""GSC最新!A:R""
    ),
    12,
    FALSE
  ),
  0
)
"),6.2727272727272725)</f>
        <v>6.272727273</v>
      </c>
      <c r="Z115" s="65">
        <f>IFERROR(__xludf.DUMMYFUNCTION("IFERROR(
  VLOOKUP(
    A115,
    IMPORTRANGE(
      ""1ZHMy3vVUd_0MrSduXTe1etBb1HNpAlGwQr006ljwMiM"",
      ""GSC最新!A:R""
    ),
    15,
    FALSE
  ),
  0
)
"),4.0)</f>
        <v>4</v>
      </c>
      <c r="AA115" s="65">
        <f>IFERROR(__xludf.DUMMYFUNCTION("IFERROR(
  VLOOKUP(
    A115,
    IMPORTRANGE(
      ""1ZHMy3vVUd_0MrSduXTe1etBb1HNpAlGwQr006ljwMiM"",
      ""GSC最新!A:R""
    ),
    18,
    FALSE
  ),
  0
)
"),10.25)</f>
        <v>10.25</v>
      </c>
      <c r="AB115" s="65">
        <f t="shared" ref="AB115:AC115" si="569">X115-Z115</f>
        <v>2.041666667</v>
      </c>
      <c r="AC115" s="65">
        <f t="shared" si="569"/>
        <v>-3.977272727</v>
      </c>
      <c r="AD115" s="53">
        <f>IFERROR(__xludf.DUMMYFUNCTION("IFERROR(
  VLOOKUP(
    A115,
    IMPORTRANGE(
      ""1ZHMy3vVUd_0MrSduXTe1etBb1HNpAlGwQr006ljwMiM"",
      ""GSC最新!A:F""
    ),
    6,
    FALSE
  ),
  0
)
"),46081.0)</f>
        <v>46081</v>
      </c>
      <c r="AE115" s="54">
        <f>IFERROR(__xludf.DUMMYFUNCTION("IFERROR(
  VLOOKUP(
    A115,
    IMPORTRANGE(
      ""1SCYQd7_cobOYqT0r_F0IqD4tE4rYn5y8Eup4PJTH8es"",
      ""Snapshot!A:M""
    ),
    5,
    FALSE
  ),
  ""-""
)
"),1.0)</f>
        <v>1</v>
      </c>
      <c r="AF115" s="54">
        <f>IFERROR(__xludf.DUMMYFUNCTION("IFERROR(
  VLOOKUP(
    A115,
    IMPORTRANGE(
      ""1SCYQd7_cobOYqT0r_F0IqD4tE4rYn5y8Eup4PJTH8es"",
      ""Snapshot!A:M""
    ),
    6,
    FALSE
  ),
  0
)
"),3.0)</f>
        <v>3</v>
      </c>
      <c r="AG115" s="54">
        <f>IFERROR(__xludf.DUMMYFUNCTION("IFERROR(
  VLOOKUP(
    A115,
    IMPORTRANGE(
      ""1SCYQd7_cobOYqT0r_F0IqD4tE4rYn5y8Eup4PJTH8es"",
      ""Snapshot!A:M""
    ),
    7,
    FALSE
  ),
  0
)
"),173.0)</f>
        <v>173</v>
      </c>
      <c r="AH115" s="54">
        <f>IFERROR(__xludf.DUMMYFUNCTION("IFERROR(
  VLOOKUP(
    A115,
    IMPORTRANGE(
      ""1SCYQd7_cobOYqT0r_F0IqD4tE4rYn5y8Eup4PJTH8es"",
      ""Snapshot!A:M""
    ),
    8,
    FALSE
  ),
  0
)
"),0.0)</f>
        <v>0</v>
      </c>
      <c r="AI115" s="54">
        <f>IFERROR(__xludf.DUMMYFUNCTION("IFERROR(
  VLOOKUP(
    A115,
    IMPORTRANGE(
      ""1SCYQd7_cobOYqT0r_F0IqD4tE4rYn5y8Eup4PJTH8es"",
      ""Snapshot!A:M""
    ),
    9,
    FALSE
  ),
  0
)
"),1.0)</f>
        <v>1</v>
      </c>
      <c r="AJ115" s="54">
        <f>IFERROR(__xludf.DUMMYFUNCTION("IFERROR(
  VLOOKUP(
    A115,
    IMPORTRANGE(
      ""1SCYQd7_cobOYqT0r_F0IqD4tE4rYn5y8Eup4PJTH8es"",
      ""Snapshot!A:M""
    ),
    13,
    FALSE
  ),
  0
)
"),1.0)</f>
        <v>1</v>
      </c>
      <c r="AK115" s="49">
        <f t="shared" ref="AK115:AL115" si="570">LEN(C115)</f>
        <v>31</v>
      </c>
      <c r="AL115" s="49">
        <f t="shared" si="570"/>
        <v>55</v>
      </c>
    </row>
    <row r="116">
      <c r="A116" s="3" t="s">
        <v>1050</v>
      </c>
      <c r="B116" s="1" t="str">
        <f>IFERROR(__xludf.DUMMYFUNCTION("IFERROR(
  VLOOKUP(
    A116,
    IMPORTRANGE(
      ""1ZygntHC1J6IxzKbTidmOyf5nUyW4GCLurHCjexrLm_o"",
      ""HTMLキャッシュ!A:F""
    ),
    2,
    FALSE
  ),
  0
)
"),"ST")</f>
        <v>ST</v>
      </c>
      <c r="C116" s="1" t="str">
        <f>IFERROR(__xludf.DUMMYFUNCTION("IFERROR(
  VLOOKUP(
    A116,
    IMPORTRANGE(
      ""1ZygntHC1J6IxzKbTidmOyf5nUyW4GCLurHCjexrLm_o"",
      ""HTMLキャッシュ!A:F""
    ),
    5,
    FALSE
  ),
  0
)
"),"会社概要 - 受験英語専門ゼミ「Re-Write」(リライト)")</f>
        <v>会社概要 - 受験英語専門ゼミ「Re-Write」(リライト)</v>
      </c>
      <c r="D116" s="1" t="str">
        <f>IFERROR(__xludf.DUMMYFUNCTION("IFERROR(
  VLOOKUP(
    A116,
    IMPORTRANGE(
      ""1ZygntHC1J6IxzKbTidmOyf5nUyW4GCLurHCjexrLm_o        "",
      ""HTMLキャッシュ!A:F""
    ),
    6,
    FALSE
  ),
  0
)
"),"「受験英語専門ゼミ Re-Write」は、株式会社アリスメティカジャパンが運営しております。 会社概要 社名")</f>
        <v>「受験英語専門ゼミ Re-Write」は、株式会社アリスメティカジャパンが運営しております。 会社概要 社名</v>
      </c>
      <c r="E116" s="32">
        <f>IFERROR(__xludf.DUMMYFUNCTION("IFERROR(
  VLOOKUP(
    A116,
    IMPORTRANGE(
      ""1ZygntHC1J6IxzKbTidmOyf5nUyW4GCLurHCjexrLm_o        "",
      ""HTMLキャッシュ!A:F""
    ),
    3,
    FALSE
  ),
  0
)
"),45970.72574074074)</f>
        <v>45970.72574</v>
      </c>
      <c r="F116" s="49">
        <f>IFERROR(__xludf.DUMMYFUNCTION("IFERROR(
  VLOOKUP(
    A116,
    IMPORTRANGE(
      ""1ZHMy3vVUd_0MrSduXTe1etBb1HNpAlGwQr006ljwMiM"",
      ""GSC最新!A:F""
    ),
    2,
    FALSE
  ),
  0
)
"),0.0)</f>
        <v>0</v>
      </c>
      <c r="G116" s="49">
        <f>IFERROR(__xludf.DUMMYFUNCTION("IFERROR(
  VLOOKUP(
    A116,
    IMPORTRANGE(
      ""1ZHMy3vVUd_0MrSduXTe1etBb1HNpAlGwQr006ljwMiM"",
      ""GSC最新!A:F""
    ),
    3,
    FALSE
  ),
  0
)
"),0.0)</f>
        <v>0</v>
      </c>
      <c r="H116" s="49">
        <f>IFERROR(__xludf.DUMMYFUNCTION("IFERROR(
  VLOOKUP(
    A116,
    IMPORTRANGE(
      ""1ZHMy3vVUd_0MrSduXTe1etBb1HNpAlGwQr006ljwMiM"",
      ""GSC最新!A:F""
    ),
    4,
    FALSE
  ),
  0
)
"),1.0)</f>
        <v>1</v>
      </c>
      <c r="I116" s="49">
        <f>IFERROR(__xludf.DUMMYFUNCTION("IFERROR(
  VLOOKUP(
    A116,
    IMPORTRANGE(
      ""1ZHMy3vVUd_0MrSduXTe1etBb1HNpAlGwQr006ljwMiM"",
      ""GSC最新!A:F""
    ),
    5,
    FALSE
  ),
  0
)
"),2.0)</f>
        <v>2</v>
      </c>
      <c r="J116" s="50">
        <f t="shared" ref="J116:K116" si="571">IFERROR(F116/H116,"-")</f>
        <v>0</v>
      </c>
      <c r="K116" s="50">
        <f t="shared" si="571"/>
        <v>0</v>
      </c>
      <c r="L116" s="6">
        <f>IFERROR(__xludf.DUMMYFUNCTION("IFERROR(
  VLOOKUP(
    A116,
    IMPORTRANGE(
      ""1ZHMy3vVUd_0MrSduXTe1etBb1HNpAlGwQr006ljwMiM"",
      ""GSC最新!A:R""
    ),
    7,
    FALSE
  ),
  0
)
"),21.0)</f>
        <v>21</v>
      </c>
      <c r="M116" s="6">
        <f>IFERROR(__xludf.DUMMYFUNCTION("IFERROR(
  VLOOKUP(
    A116,
    IMPORTRANGE(
      ""1ZHMy3vVUd_0MrSduXTe1etBb1HNpAlGwQr006ljwMiM"",
      ""GSC最新!A:R""
    ),
    10,
    FALSE
  ),
  0
)
"),40.0)</f>
        <v>40</v>
      </c>
      <c r="N116" s="6">
        <f>IFERROR(__xludf.DUMMYFUNCTION("IFERROR(
  VLOOKUP(
    A116,
    IMPORTRANGE(
      ""1ZHMy3vVUd_0MrSduXTe1etBb1HNpAlGwQr006ljwMiM"",
      ""GSC最新!A:R""
    ),
    13,
    FALSE
  ),
  0
)
"),44.0)</f>
        <v>44</v>
      </c>
      <c r="O116" s="6">
        <f>IFERROR(__xludf.DUMMYFUNCTION("IFERROR(
  VLOOKUP(
    A116,
    IMPORTRANGE(
      ""1ZHMy3vVUd_0MrSduXTe1etBb1HNpAlGwQr006ljwMiM"",
      ""GSC最新!A:R""
    ),
    16,
    FALSE
  ),
  0
)
"),102.0)</f>
        <v>102</v>
      </c>
      <c r="P116" s="51">
        <f t="shared" ref="P116:Q116" si="572">IFERROR(L116/N116,"-")</f>
        <v>0.4772727273</v>
      </c>
      <c r="Q116" s="51">
        <f t="shared" si="572"/>
        <v>0.3921568627</v>
      </c>
      <c r="R116" s="9">
        <f>IFERROR(__xludf.DUMMYFUNCTION("IFERROR(
  VLOOKUP(
    A116,
    IMPORTRANGE(
      ""1ZHMy3vVUd_0MrSduXTe1etBb1HNpAlGwQr006ljwMiM"",
      ""GSC最新!A:R""
    ),
    8,
    FALSE
  ),
  0
)
"),0.0)</f>
        <v>0</v>
      </c>
      <c r="S116" s="9">
        <f>IFERROR(__xludf.DUMMYFUNCTION("IFERROR(
  VLOOKUP(
    A116,
    IMPORTRANGE(
      ""1ZHMy3vVUd_0MrSduXTe1etBb1HNpAlGwQr006ljwMiM"",
      ""GSC最新!A:R""
    ),
    11,
    FALSE
  ),
  0
)
"),0.0)</f>
        <v>0</v>
      </c>
      <c r="T116" s="9">
        <f>IFERROR(__xludf.DUMMYFUNCTION("IFERROR(
  VLOOKUP(
    A116,
    IMPORTRANGE(
      ""1ZHMy3vVUd_0MrSduXTe1etBb1HNpAlGwQr006ljwMiM"",
      ""GSC最新!A:R""
    ),
    14,
    FALSE
  ),
  0
)
"),0.022727272727272728)</f>
        <v>0.02272727273</v>
      </c>
      <c r="U116" s="9">
        <f>IFERROR(__xludf.DUMMYFUNCTION("IFERROR(
  VLOOKUP(
    A116,
    IMPORTRANGE(
      ""1ZHMy3vVUd_0MrSduXTe1etBb1HNpAlGwQr006ljwMiM"",
      ""GSC最新!A:R""
    ),
    17,
    FALSE
  ),
  0
)
"),0.0196078431372549)</f>
        <v>0.01960784314</v>
      </c>
      <c r="V116" s="9">
        <f t="shared" ref="V116:W116" si="573">IFERROR(R116-T116,"-")</f>
        <v>-0.02272727273</v>
      </c>
      <c r="W116" s="9">
        <f t="shared" si="573"/>
        <v>-0.01960784314</v>
      </c>
      <c r="X116" s="65">
        <f>IFERROR(__xludf.DUMMYFUNCTION("IFERROR(
  VLOOKUP(
    A116,
    IMPORTRANGE(
      ""1ZHMy3vVUd_0MrSduXTe1etBb1HNpAlGwQr006ljwMiM"",
      ""GSC最新!A:R""
    ),
    9,
    FALSE
  ),
  0
)
"),5.571428571428571)</f>
        <v>5.571428571</v>
      </c>
      <c r="Y116" s="65">
        <f>IFERROR(__xludf.DUMMYFUNCTION("IFERROR(
  VLOOKUP(
    A116,
    IMPORTRANGE(
      ""1ZHMy3vVUd_0MrSduXTe1etBb1HNpAlGwQr006ljwMiM"",
      ""GSC最新!A:R""
    ),
    12,
    FALSE
  ),
  0
)
"),6.45)</f>
        <v>6.45</v>
      </c>
      <c r="Z116" s="65">
        <f>IFERROR(__xludf.DUMMYFUNCTION("IFERROR(
  VLOOKUP(
    A116,
    IMPORTRANGE(
      ""1ZHMy3vVUd_0MrSduXTe1etBb1HNpAlGwQr006ljwMiM"",
      ""GSC最新!A:R""
    ),
    15,
    FALSE
  ),
  0
)
"),23.34090909090909)</f>
        <v>23.34090909</v>
      </c>
      <c r="AA116" s="65">
        <f>IFERROR(__xludf.DUMMYFUNCTION("IFERROR(
  VLOOKUP(
    A116,
    IMPORTRANGE(
      ""1ZHMy3vVUd_0MrSduXTe1etBb1HNpAlGwQr006ljwMiM"",
      ""GSC最新!A:R""
    ),
    18,
    FALSE
  ),
  0
)
"),19.49019607843137)</f>
        <v>19.49019608</v>
      </c>
      <c r="AB116" s="65">
        <f t="shared" ref="AB116:AC116" si="574">X116-Z116</f>
        <v>-17.76948052</v>
      </c>
      <c r="AC116" s="65">
        <f t="shared" si="574"/>
        <v>-13.04019608</v>
      </c>
      <c r="AD116" s="53">
        <f>IFERROR(__xludf.DUMMYFUNCTION("IFERROR(
  VLOOKUP(
    A116,
    IMPORTRANGE(
      ""1ZHMy3vVUd_0MrSduXTe1etBb1HNpAlGwQr006ljwMiM"",
      ""GSC最新!A:F""
    ),
    6,
    FALSE
  ),
  0
)
"),46081.0)</f>
        <v>46081</v>
      </c>
      <c r="AE116" s="54">
        <f>IFERROR(__xludf.DUMMYFUNCTION("IFERROR(
  VLOOKUP(
    A116,
    IMPORTRANGE(
      ""1SCYQd7_cobOYqT0r_F0IqD4tE4rYn5y8Eup4PJTH8es"",
      ""Snapshot!A:M""
    ),
    5,
    FALSE
  ),
  ""-""
)
"),1.0)</f>
        <v>1</v>
      </c>
      <c r="AF116" s="54">
        <f>IFERROR(__xludf.DUMMYFUNCTION("IFERROR(
  VLOOKUP(
    A116,
    IMPORTRANGE(
      ""1SCYQd7_cobOYqT0r_F0IqD4tE4rYn5y8Eup4PJTH8es"",
      ""Snapshot!A:M""
    ),
    6,
    FALSE
  ),
  0
)
"),6.0)</f>
        <v>6</v>
      </c>
      <c r="AG116" s="54">
        <f>IFERROR(__xludf.DUMMYFUNCTION("IFERROR(
  VLOOKUP(
    A116,
    IMPORTRANGE(
      ""1SCYQd7_cobOYqT0r_F0IqD4tE4rYn5y8Eup4PJTH8es"",
      ""Snapshot!A:M""
    ),
    7,
    FALSE
  ),
  0
)
"),674.0)</f>
        <v>674</v>
      </c>
      <c r="AH116" s="54">
        <f>IFERROR(__xludf.DUMMYFUNCTION("IFERROR(
  VLOOKUP(
    A116,
    IMPORTRANGE(
      ""1SCYQd7_cobOYqT0r_F0IqD4tE4rYn5y8Eup4PJTH8es"",
      ""Snapshot!A:M""
    ),
    8,
    FALSE
  ),
  0
)
"),1.0)</f>
        <v>1</v>
      </c>
      <c r="AI116" s="54">
        <f>IFERROR(__xludf.DUMMYFUNCTION("IFERROR(
  VLOOKUP(
    A116,
    IMPORTRANGE(
      ""1SCYQd7_cobOYqT0r_F0IqD4tE4rYn5y8Eup4PJTH8es"",
      ""Snapshot!A:M""
    ),
    9,
    FALSE
  ),
  0
)
"),1.0)</f>
        <v>1</v>
      </c>
      <c r="AJ116" s="54">
        <f>IFERROR(__xludf.DUMMYFUNCTION("IFERROR(
  VLOOKUP(
    A116,
    IMPORTRANGE(
      ""1SCYQd7_cobOYqT0r_F0IqD4tE4rYn5y8Eup4PJTH8es"",
      ""Snapshot!A:M""
    ),
    13,
    FALSE
  ),
  0
)
"),1.0)</f>
        <v>1</v>
      </c>
      <c r="AK116" s="49">
        <f t="shared" ref="AK116:AL116" si="575">LEN(C116)</f>
        <v>31</v>
      </c>
      <c r="AL116" s="49">
        <f t="shared" si="575"/>
        <v>54</v>
      </c>
    </row>
    <row r="117">
      <c r="A117" s="3" t="s">
        <v>1051</v>
      </c>
      <c r="B117" s="1" t="str">
        <f>IFERROR(__xludf.DUMMYFUNCTION("IFERROR(
  VLOOKUP(
    A117,
    IMPORTRANGE(
      ""1ZygntHC1J6IxzKbTidmOyf5nUyW4GCLurHCjexrLm_o"",
      ""HTMLキャッシュ!A:F""
    ),
    2,
    FALSE
  ),
  0
)
"),"MC")</f>
        <v>MC</v>
      </c>
      <c r="C117" s="1" t="str">
        <f>IFERROR(__xludf.DUMMYFUNCTION("IFERROR(
  VLOOKUP(
    A117,
    IMPORTRANGE(
      ""1ZygntHC1J6IxzKbTidmOyf5nUyW4GCLurHCjexrLm_o"",
      ""HTMLキャッシュ!A:F""
    ),
    5,
    FALSE
  ),
  0
)
"),"英作文を書く前に身に着けるべき２つの力 - 受験英語専門ゼミ「Re-Write」(リライト)")</f>
        <v>英作文を書く前に身に着けるべき２つの力 - 受験英語専門ゼミ「Re-Write」(リライト)</v>
      </c>
      <c r="D117" s="1" t="str">
        <f>IFERROR(__xludf.DUMMYFUNCTION("IFERROR(
  VLOOKUP(
    A117,
    IMPORTRANGE(
      ""1ZygntHC1J6IxzKbTidmOyf5nUyW4GCLurHCjexrLm_o        "",
      ""HTMLキャッシュ!A:F""
    ),
    6,
    FALSE
  ),
  0
)
"),"英作文を書くことは、多くの人にとって難しいと感じられるかもしれません。 しかし、英作文の力を伸ばすためには、次")</f>
        <v>英作文を書くことは、多くの人にとって難しいと感じられるかもしれません。 しかし、英作文の力を伸ばすためには、次</v>
      </c>
      <c r="E117" s="32">
        <f>IFERROR(__xludf.DUMMYFUNCTION("IFERROR(
  VLOOKUP(
    A117,
    IMPORTRANGE(
      ""1ZygntHC1J6IxzKbTidmOyf5nUyW4GCLurHCjexrLm_o        "",
      ""HTMLキャッシュ!A:F""
    ),
    3,
    FALSE
  ),
  0
)
"),46043.57392361111)</f>
        <v>46043.57392</v>
      </c>
      <c r="F117" s="49">
        <f>IFERROR(__xludf.DUMMYFUNCTION("IFERROR(
  VLOOKUP(
    A117,
    IMPORTRANGE(
      ""1ZHMy3vVUd_0MrSduXTe1etBb1HNpAlGwQr006ljwMiM"",
      ""GSC最新!A:F""
    ),
    2,
    FALSE
  ),
  0
)
"),0.0)</f>
        <v>0</v>
      </c>
      <c r="G117" s="49">
        <f>IFERROR(__xludf.DUMMYFUNCTION("IFERROR(
  VLOOKUP(
    A117,
    IMPORTRANGE(
      ""1ZHMy3vVUd_0MrSduXTe1etBb1HNpAlGwQr006ljwMiM"",
      ""GSC最新!A:F""
    ),
    3,
    FALSE
  ),
  0
)
"),0.0)</f>
        <v>0</v>
      </c>
      <c r="H117" s="49">
        <f>IFERROR(__xludf.DUMMYFUNCTION("IFERROR(
  VLOOKUP(
    A117,
    IMPORTRANGE(
      ""1ZHMy3vVUd_0MrSduXTe1etBb1HNpAlGwQr006ljwMiM"",
      ""GSC最新!A:F""
    ),
    4,
    FALSE
  ),
  0
)
"),0.0)</f>
        <v>0</v>
      </c>
      <c r="I117" s="49">
        <f>IFERROR(__xludf.DUMMYFUNCTION("IFERROR(
  VLOOKUP(
    A117,
    IMPORTRANGE(
      ""1ZHMy3vVUd_0MrSduXTe1etBb1HNpAlGwQr006ljwMiM"",
      ""GSC最新!A:F""
    ),
    5,
    FALSE
  ),
  0
)
"),0.0)</f>
        <v>0</v>
      </c>
      <c r="J117" s="50" t="str">
        <f t="shared" ref="J117:K117" si="576">IFERROR(F117/H117,"-")</f>
        <v>-</v>
      </c>
      <c r="K117" s="50" t="str">
        <f t="shared" si="576"/>
        <v>-</v>
      </c>
      <c r="L117" s="6">
        <f>IFERROR(__xludf.DUMMYFUNCTION("IFERROR(
  VLOOKUP(
    A117,
    IMPORTRANGE(
      ""1ZHMy3vVUd_0MrSduXTe1etBb1HNpAlGwQr006ljwMiM"",
      ""GSC最新!A:R""
    ),
    7,
    FALSE
  ),
  0
)
"),27.0)</f>
        <v>27</v>
      </c>
      <c r="M117" s="6">
        <f>IFERROR(__xludf.DUMMYFUNCTION("IFERROR(
  VLOOKUP(
    A117,
    IMPORTRANGE(
      ""1ZHMy3vVUd_0MrSduXTe1etBb1HNpAlGwQr006ljwMiM"",
      ""GSC最新!A:R""
    ),
    10,
    FALSE
  ),
  0
)
"),34.0)</f>
        <v>34</v>
      </c>
      <c r="N117" s="6">
        <f>IFERROR(__xludf.DUMMYFUNCTION("IFERROR(
  VLOOKUP(
    A117,
    IMPORTRANGE(
      ""1ZHMy3vVUd_0MrSduXTe1etBb1HNpAlGwQr006ljwMiM"",
      ""GSC最新!A:R""
    ),
    13,
    FALSE
  ),
  0
)
"),1.0)</f>
        <v>1</v>
      </c>
      <c r="O117" s="6">
        <f>IFERROR(__xludf.DUMMYFUNCTION("IFERROR(
  VLOOKUP(
    A117,
    IMPORTRANGE(
      ""1ZHMy3vVUd_0MrSduXTe1etBb1HNpAlGwQr006ljwMiM"",
      ""GSC最新!A:R""
    ),
    16,
    FALSE
  ),
  0
)
"),2.0)</f>
        <v>2</v>
      </c>
      <c r="P117" s="51">
        <f t="shared" ref="P117:Q117" si="577">IFERROR(L117/N117,"-")</f>
        <v>27</v>
      </c>
      <c r="Q117" s="51">
        <f t="shared" si="577"/>
        <v>17</v>
      </c>
      <c r="R117" s="9">
        <f>IFERROR(__xludf.DUMMYFUNCTION("IFERROR(
  VLOOKUP(
    A117,
    IMPORTRANGE(
      ""1ZHMy3vVUd_0MrSduXTe1etBb1HNpAlGwQr006ljwMiM"",
      ""GSC最新!A:R""
    ),
    8,
    FALSE
  ),
  0
)
"),0.0)</f>
        <v>0</v>
      </c>
      <c r="S117" s="9">
        <f>IFERROR(__xludf.DUMMYFUNCTION("IFERROR(
  VLOOKUP(
    A117,
    IMPORTRANGE(
      ""1ZHMy3vVUd_0MrSduXTe1etBb1HNpAlGwQr006ljwMiM"",
      ""GSC最新!A:R""
    ),
    11,
    FALSE
  ),
  0
)
"),0.0)</f>
        <v>0</v>
      </c>
      <c r="T117" s="9">
        <f>IFERROR(__xludf.DUMMYFUNCTION("IFERROR(
  VLOOKUP(
    A117,
    IMPORTRANGE(
      ""1ZHMy3vVUd_0MrSduXTe1etBb1HNpAlGwQr006ljwMiM"",
      ""GSC最新!A:R""
    ),
    14,
    FALSE
  ),
  0
)
"),0.0)</f>
        <v>0</v>
      </c>
      <c r="U117" s="9">
        <f>IFERROR(__xludf.DUMMYFUNCTION("IFERROR(
  VLOOKUP(
    A117,
    IMPORTRANGE(
      ""1ZHMy3vVUd_0MrSduXTe1etBb1HNpAlGwQr006ljwMiM"",
      ""GSC最新!A:R""
    ),
    17,
    FALSE
  ),
  0
)
"),0.0)</f>
        <v>0</v>
      </c>
      <c r="V117" s="9">
        <f t="shared" ref="V117:W117" si="578">IFERROR(R117-T117,"-")</f>
        <v>0</v>
      </c>
      <c r="W117" s="9">
        <f t="shared" si="578"/>
        <v>0</v>
      </c>
      <c r="X117" s="65">
        <f>IFERROR(__xludf.DUMMYFUNCTION("IFERROR(
  VLOOKUP(
    A117,
    IMPORTRANGE(
      ""1ZHMy3vVUd_0MrSduXTe1etBb1HNpAlGwQr006ljwMiM"",
      ""GSC最新!A:R""
    ),
    9,
    FALSE
  ),
  0
)
"),9.11111111111111)</f>
        <v>9.111111111</v>
      </c>
      <c r="Y117" s="65">
        <f>IFERROR(__xludf.DUMMYFUNCTION("IFERROR(
  VLOOKUP(
    A117,
    IMPORTRANGE(
      ""1ZHMy3vVUd_0MrSduXTe1etBb1HNpAlGwQr006ljwMiM"",
      ""GSC最新!A:R""
    ),
    12,
    FALSE
  ),
  0
)
"),9.676470588235293)</f>
        <v>9.676470588</v>
      </c>
      <c r="Z117" s="65">
        <f>IFERROR(__xludf.DUMMYFUNCTION("IFERROR(
  VLOOKUP(
    A117,
    IMPORTRANGE(
      ""1ZHMy3vVUd_0MrSduXTe1etBb1HNpAlGwQr006ljwMiM"",
      ""GSC最新!A:R""
    ),
    15,
    FALSE
  ),
  0
)
"),6.0)</f>
        <v>6</v>
      </c>
      <c r="AA117" s="65">
        <f>IFERROR(__xludf.DUMMYFUNCTION("IFERROR(
  VLOOKUP(
    A117,
    IMPORTRANGE(
      ""1ZHMy3vVUd_0MrSduXTe1etBb1HNpAlGwQr006ljwMiM"",
      ""GSC最新!A:R""
    ),
    18,
    FALSE
  ),
  0
)
"),12.5)</f>
        <v>12.5</v>
      </c>
      <c r="AB117" s="65">
        <f t="shared" ref="AB117:AC117" si="579">X117-Z117</f>
        <v>3.111111111</v>
      </c>
      <c r="AC117" s="65">
        <f t="shared" si="579"/>
        <v>-2.823529412</v>
      </c>
      <c r="AD117" s="53">
        <f>IFERROR(__xludf.DUMMYFUNCTION("IFERROR(
  VLOOKUP(
    A117,
    IMPORTRANGE(
      ""1ZHMy3vVUd_0MrSduXTe1etBb1HNpAlGwQr006ljwMiM"",
      ""GSC最新!A:F""
    ),
    6,
    FALSE
  ),
  0
)
"),46081.0)</f>
        <v>46081</v>
      </c>
      <c r="AE117" s="54">
        <f>IFERROR(__xludf.DUMMYFUNCTION("IFERROR(
  VLOOKUP(
    A117,
    IMPORTRANGE(
      ""1SCYQd7_cobOYqT0r_F0IqD4tE4rYn5y8Eup4PJTH8es"",
      ""Snapshot!A:M""
    ),
    5,
    FALSE
  ),
  ""-""
)
"),0.0)</f>
        <v>0</v>
      </c>
      <c r="AF117" s="54">
        <f>IFERROR(__xludf.DUMMYFUNCTION("IFERROR(
  VLOOKUP(
    A117,
    IMPORTRANGE(
      ""1SCYQd7_cobOYqT0r_F0IqD4tE4rYn5y8Eup4PJTH8es"",
      ""Snapshot!A:M""
    ),
    6,
    FALSE
  ),
  0
)
"),0.0)</f>
        <v>0</v>
      </c>
      <c r="AG117" s="54">
        <f>IFERROR(__xludf.DUMMYFUNCTION("IFERROR(
  VLOOKUP(
    A117,
    IMPORTRANGE(
      ""1SCYQd7_cobOYqT0r_F0IqD4tE4rYn5y8Eup4PJTH8es"",
      ""Snapshot!A:M""
    ),
    7,
    FALSE
  ),
  0
)
"),1002.0)</f>
        <v>1002</v>
      </c>
      <c r="AH117" s="54">
        <f>IFERROR(__xludf.DUMMYFUNCTION("IFERROR(
  VLOOKUP(
    A117,
    IMPORTRANGE(
      ""1SCYQd7_cobOYqT0r_F0IqD4tE4rYn5y8Eup4PJTH8es"",
      ""Snapshot!A:M""
    ),
    8,
    FALSE
  ),
  0
)
"),4.0)</f>
        <v>4</v>
      </c>
      <c r="AI117" s="54">
        <f>IFERROR(__xludf.DUMMYFUNCTION("IFERROR(
  VLOOKUP(
    A117,
    IMPORTRANGE(
      ""1SCYQd7_cobOYqT0r_F0IqD4tE4rYn5y8Eup4PJTH8es"",
      ""Snapshot!A:M""
    ),
    9,
    FALSE
  ),
  0
)
"),1.0)</f>
        <v>1</v>
      </c>
      <c r="AJ117" s="54">
        <f>IFERROR(__xludf.DUMMYFUNCTION("IFERROR(
  VLOOKUP(
    A117,
    IMPORTRANGE(
      ""1SCYQd7_cobOYqT0r_F0IqD4tE4rYn5y8Eup4PJTH8es"",
      ""Snapshot!A:M""
    ),
    13,
    FALSE
  ),
  0
)
"),1.0)</f>
        <v>1</v>
      </c>
      <c r="AK117" s="49">
        <f t="shared" ref="AK117:AL117" si="580">LEN(C117)</f>
        <v>46</v>
      </c>
      <c r="AL117" s="49">
        <f t="shared" si="580"/>
        <v>55</v>
      </c>
    </row>
    <row r="118">
      <c r="A118" s="3" t="s">
        <v>1052</v>
      </c>
      <c r="B118" s="1" t="str">
        <f>IFERROR(__xludf.DUMMYFUNCTION("IFERROR(
  VLOOKUP(
    A118,
    IMPORTRANGE(
      ""1ZygntHC1J6IxzKbTidmOyf5nUyW4GCLurHCjexrLm_o"",
      ""HTMLキャッシュ!A:F""
    ),
    2,
    FALSE
  ),
  0
)
"),"MC")</f>
        <v>MC</v>
      </c>
      <c r="C118" s="1" t="str">
        <f>IFERROR(__xludf.DUMMYFUNCTION("IFERROR(
  VLOOKUP(
    A118,
    IMPORTRANGE(
      ""1ZygntHC1J6IxzKbTidmOyf5nUyW4GCLurHCjexrLm_o"",
      ""HTMLキャッシュ!A:F""
    ),
    5,
    FALSE
  ),
  0
)
"),"英語の定期テスト対策 - 受験英語専門ゼミ「Re-Write」(リライト)")</f>
        <v>英語の定期テスト対策 - 受験英語専門ゼミ「Re-Write」(リライト)</v>
      </c>
      <c r="D118" s="1" t="str">
        <f>IFERROR(__xludf.DUMMYFUNCTION("IFERROR(
  VLOOKUP(
    A118,
    IMPORTRANGE(
      ""1ZygntHC1J6IxzKbTidmOyf5nUyW4GCLurHCjexrLm_o        "",
      ""HTMLキャッシュ!A:F""
    ),
    6,
    FALSE
  ),
  0
)
"),"英語の定期テストの勉強をしたいけれどどうしたら点数が取れるのかわからないという声をよく耳にします。ひとつずつク")</f>
        <v>英語の定期テストの勉強をしたいけれどどうしたら点数が取れるのかわからないという声をよく耳にします。ひとつずつク</v>
      </c>
      <c r="E118" s="32">
        <f>IFERROR(__xludf.DUMMYFUNCTION("IFERROR(
  VLOOKUP(
    A118,
    IMPORTRANGE(
      ""1ZygntHC1J6IxzKbTidmOyf5nUyW4GCLurHCjexrLm_o        "",
      ""HTMLキャッシュ!A:F""
    ),
    3,
    FALSE
  ),
  0
)
"),46043.56741898148)</f>
        <v>46043.56742</v>
      </c>
      <c r="F118" s="49">
        <f>IFERROR(__xludf.DUMMYFUNCTION("IFERROR(
  VLOOKUP(
    A118,
    IMPORTRANGE(
      ""1ZHMy3vVUd_0MrSduXTe1etBb1HNpAlGwQr006ljwMiM"",
      ""GSC最新!A:F""
    ),
    2,
    FALSE
  ),
  0
)
"),0.0)</f>
        <v>0</v>
      </c>
      <c r="G118" s="49">
        <f>IFERROR(__xludf.DUMMYFUNCTION("IFERROR(
  VLOOKUP(
    A118,
    IMPORTRANGE(
      ""1ZHMy3vVUd_0MrSduXTe1etBb1HNpAlGwQr006ljwMiM"",
      ""GSC最新!A:F""
    ),
    3,
    FALSE
  ),
  0
)
"),0.0)</f>
        <v>0</v>
      </c>
      <c r="H118" s="49">
        <f>IFERROR(__xludf.DUMMYFUNCTION("IFERROR(
  VLOOKUP(
    A118,
    IMPORTRANGE(
      ""1ZHMy3vVUd_0MrSduXTe1etBb1HNpAlGwQr006ljwMiM"",
      ""GSC最新!A:F""
    ),
    4,
    FALSE
  ),
  0
)
"),1.0)</f>
        <v>1</v>
      </c>
      <c r="I118" s="49">
        <f>IFERROR(__xludf.DUMMYFUNCTION("IFERROR(
  VLOOKUP(
    A118,
    IMPORTRANGE(
      ""1ZHMy3vVUd_0MrSduXTe1etBb1HNpAlGwQr006ljwMiM"",
      ""GSC最新!A:F""
    ),
    5,
    FALSE
  ),
  0
)
"),1.0)</f>
        <v>1</v>
      </c>
      <c r="J118" s="50">
        <f t="shared" ref="J118:K118" si="581">IFERROR(F118/H118,"-")</f>
        <v>0</v>
      </c>
      <c r="K118" s="50">
        <f t="shared" si="581"/>
        <v>0</v>
      </c>
      <c r="L118" s="6">
        <f>IFERROR(__xludf.DUMMYFUNCTION("IFERROR(
  VLOOKUP(
    A118,
    IMPORTRANGE(
      ""1ZHMy3vVUd_0MrSduXTe1etBb1HNpAlGwQr006ljwMiM"",
      ""GSC最新!A:R""
    ),
    7,
    FALSE
  ),
  0
)
"),30.0)</f>
        <v>30</v>
      </c>
      <c r="M118" s="6">
        <f>IFERROR(__xludf.DUMMYFUNCTION("IFERROR(
  VLOOKUP(
    A118,
    IMPORTRANGE(
      ""1ZHMy3vVUd_0MrSduXTe1etBb1HNpAlGwQr006ljwMiM"",
      ""GSC最新!A:R""
    ),
    10,
    FALSE
  ),
  0
)
"),30.0)</f>
        <v>30</v>
      </c>
      <c r="N118" s="6">
        <f>IFERROR(__xludf.DUMMYFUNCTION("IFERROR(
  VLOOKUP(
    A118,
    IMPORTRANGE(
      ""1ZHMy3vVUd_0MrSduXTe1etBb1HNpAlGwQr006ljwMiM"",
      ""GSC最新!A:R""
    ),
    13,
    FALSE
  ),
  0
)
"),2.0)</f>
        <v>2</v>
      </c>
      <c r="O118" s="6">
        <f>IFERROR(__xludf.DUMMYFUNCTION("IFERROR(
  VLOOKUP(
    A118,
    IMPORTRANGE(
      ""1ZHMy3vVUd_0MrSduXTe1etBb1HNpAlGwQr006ljwMiM"",
      ""GSC最新!A:R""
    ),
    16,
    FALSE
  ),
  0
)
"),95.0)</f>
        <v>95</v>
      </c>
      <c r="P118" s="51">
        <f t="shared" ref="P118:Q118" si="582">IFERROR(L118/N118,"-")</f>
        <v>15</v>
      </c>
      <c r="Q118" s="51">
        <f t="shared" si="582"/>
        <v>0.3157894737</v>
      </c>
      <c r="R118" s="9">
        <f>IFERROR(__xludf.DUMMYFUNCTION("IFERROR(
  VLOOKUP(
    A118,
    IMPORTRANGE(
      ""1ZHMy3vVUd_0MrSduXTe1etBb1HNpAlGwQr006ljwMiM"",
      ""GSC最新!A:R""
    ),
    8,
    FALSE
  ),
  0
)
"),0.0)</f>
        <v>0</v>
      </c>
      <c r="S118" s="9">
        <f>IFERROR(__xludf.DUMMYFUNCTION("IFERROR(
  VLOOKUP(
    A118,
    IMPORTRANGE(
      ""1ZHMy3vVUd_0MrSduXTe1etBb1HNpAlGwQr006ljwMiM"",
      ""GSC最新!A:R""
    ),
    11,
    FALSE
  ),
  0
)
"),0.0)</f>
        <v>0</v>
      </c>
      <c r="T118" s="9">
        <f>IFERROR(__xludf.DUMMYFUNCTION("IFERROR(
  VLOOKUP(
    A118,
    IMPORTRANGE(
      ""1ZHMy3vVUd_0MrSduXTe1etBb1HNpAlGwQr006ljwMiM"",
      ""GSC最新!A:R""
    ),
    14,
    FALSE
  ),
  0
)
"),0.5)</f>
        <v>0.5</v>
      </c>
      <c r="U118" s="9">
        <f>IFERROR(__xludf.DUMMYFUNCTION("IFERROR(
  VLOOKUP(
    A118,
    IMPORTRANGE(
      ""1ZHMy3vVUd_0MrSduXTe1etBb1HNpAlGwQr006ljwMiM"",
      ""GSC最新!A:R""
    ),
    17,
    FALSE
  ),
  0
)
"),0.010526315789473684)</f>
        <v>0.01052631579</v>
      </c>
      <c r="V118" s="9">
        <f t="shared" ref="V118:W118" si="583">IFERROR(R118-T118,"-")</f>
        <v>-0.5</v>
      </c>
      <c r="W118" s="9">
        <f t="shared" si="583"/>
        <v>-0.01052631579</v>
      </c>
      <c r="X118" s="65">
        <f>IFERROR(__xludf.DUMMYFUNCTION("IFERROR(
  VLOOKUP(
    A118,
    IMPORTRANGE(
      ""1ZHMy3vVUd_0MrSduXTe1etBb1HNpAlGwQr006ljwMiM"",
      ""GSC最新!A:R""
    ),
    9,
    FALSE
  ),
  0
)
"),33.13333333333333)</f>
        <v>33.13333333</v>
      </c>
      <c r="Y118" s="65">
        <f>IFERROR(__xludf.DUMMYFUNCTION("IFERROR(
  VLOOKUP(
    A118,
    IMPORTRANGE(
      ""1ZHMy3vVUd_0MrSduXTe1etBb1HNpAlGwQr006ljwMiM"",
      ""GSC最新!A:R""
    ),
    12,
    FALSE
  ),
  0
)
"),33.13333333333333)</f>
        <v>33.13333333</v>
      </c>
      <c r="Z118" s="65">
        <f>IFERROR(__xludf.DUMMYFUNCTION("IFERROR(
  VLOOKUP(
    A118,
    IMPORTRANGE(
      ""1ZHMy3vVUd_0MrSduXTe1etBb1HNpAlGwQr006ljwMiM"",
      ""GSC最新!A:R""
    ),
    15,
    FALSE
  ),
  0
)
"),4.0)</f>
        <v>4</v>
      </c>
      <c r="AA118" s="65">
        <f>IFERROR(__xludf.DUMMYFUNCTION("IFERROR(
  VLOOKUP(
    A118,
    IMPORTRANGE(
      ""1ZHMy3vVUd_0MrSduXTe1etBb1HNpAlGwQr006ljwMiM"",
      ""GSC最新!A:R""
    ),
    18,
    FALSE
  ),
  0
)
"),75.98947368421052)</f>
        <v>75.98947368</v>
      </c>
      <c r="AB118" s="65">
        <f t="shared" ref="AB118:AC118" si="584">X118-Z118</f>
        <v>29.13333333</v>
      </c>
      <c r="AC118" s="65">
        <f t="shared" si="584"/>
        <v>-42.85614035</v>
      </c>
      <c r="AD118" s="53">
        <f>IFERROR(__xludf.DUMMYFUNCTION("IFERROR(
  VLOOKUP(
    A118,
    IMPORTRANGE(
      ""1ZHMy3vVUd_0MrSduXTe1etBb1HNpAlGwQr006ljwMiM"",
      ""GSC最新!A:F""
    ),
    6,
    FALSE
  ),
  0
)
"),46081.0)</f>
        <v>46081</v>
      </c>
      <c r="AE118" s="54">
        <f>IFERROR(__xludf.DUMMYFUNCTION("IFERROR(
  VLOOKUP(
    A118,
    IMPORTRANGE(
      ""1SCYQd7_cobOYqT0r_F0IqD4tE4rYn5y8Eup4PJTH8es"",
      ""Snapshot!A:M""
    ),
    5,
    FALSE
  ),
  ""-""
)
"),0.0)</f>
        <v>0</v>
      </c>
      <c r="AF118" s="54">
        <f>IFERROR(__xludf.DUMMYFUNCTION("IFERROR(
  VLOOKUP(
    A118,
    IMPORTRANGE(
      ""1SCYQd7_cobOYqT0r_F0IqD4tE4rYn5y8Eup4PJTH8es"",
      ""Snapshot!A:M""
    ),
    6,
    FALSE
  ),
  0
)
"),5.0)</f>
        <v>5</v>
      </c>
      <c r="AG118" s="54">
        <f>IFERROR(__xludf.DUMMYFUNCTION("IFERROR(
  VLOOKUP(
    A118,
    IMPORTRANGE(
      ""1SCYQd7_cobOYqT0r_F0IqD4tE4rYn5y8Eup4PJTH8es"",
      ""Snapshot!A:M""
    ),
    7,
    FALSE
  ),
  0
)
"),1159.0)</f>
        <v>1159</v>
      </c>
      <c r="AH118" s="54">
        <f>IFERROR(__xludf.DUMMYFUNCTION("IFERROR(
  VLOOKUP(
    A118,
    IMPORTRANGE(
      ""1SCYQd7_cobOYqT0r_F0IqD4tE4rYn5y8Eup4PJTH8es"",
      ""Snapshot!A:M""
    ),
    8,
    FALSE
  ),
  0
)
"),2.0)</f>
        <v>2</v>
      </c>
      <c r="AI118" s="54">
        <f>IFERROR(__xludf.DUMMYFUNCTION("IFERROR(
  VLOOKUP(
    A118,
    IMPORTRANGE(
      ""1SCYQd7_cobOYqT0r_F0IqD4tE4rYn5y8Eup4PJTH8es"",
      ""Snapshot!A:M""
    ),
    9,
    FALSE
  ),
  0
)
"),1.0)</f>
        <v>1</v>
      </c>
      <c r="AJ118" s="54">
        <f>IFERROR(__xludf.DUMMYFUNCTION("IFERROR(
  VLOOKUP(
    A118,
    IMPORTRANGE(
      ""1SCYQd7_cobOYqT0r_F0IqD4tE4rYn5y8Eup4PJTH8es"",
      ""Snapshot!A:M""
    ),
    13,
    FALSE
  ),
  0
)
"),1.0)</f>
        <v>1</v>
      </c>
      <c r="AK118" s="49">
        <f t="shared" ref="AK118:AL118" si="585">LEN(C118)</f>
        <v>37</v>
      </c>
      <c r="AL118" s="49">
        <f t="shared" si="585"/>
        <v>55</v>
      </c>
    </row>
    <row r="119">
      <c r="A119" s="3" t="s">
        <v>1053</v>
      </c>
      <c r="B119" s="1" t="str">
        <f>IFERROR(__xludf.DUMMYFUNCTION("IFERROR(
  VLOOKUP(
    A119,
    IMPORTRANGE(
      ""1ZygntHC1J6IxzKbTidmOyf5nUyW4GCLurHCjexrLm_o"",
      ""HTMLキャッシュ!A:F""
    ),
    2,
    FALSE
  ),
  0
)
"),"MC")</f>
        <v>MC</v>
      </c>
      <c r="C119" s="1" t="str">
        <f>IFERROR(__xludf.DUMMYFUNCTION("IFERROR(
  VLOOKUP(
    A119,
    IMPORTRANGE(
      ""1ZygntHC1J6IxzKbTidmOyf5nUyW4GCLurHCjexrLm_o"",
      ""HTMLキャッシュ!A:F""
    ),
    5,
    FALSE
  ),
  0
)
"),"英語の点数をあげるためのコツ - 受験英語専門ゼミ「Re-Write」(リライト)")</f>
        <v>英語の点数をあげるためのコツ - 受験英語専門ゼミ「Re-Write」(リライト)</v>
      </c>
      <c r="D119" s="1" t="str">
        <f>IFERROR(__xludf.DUMMYFUNCTION("IFERROR(
  VLOOKUP(
    A119,
    IMPORTRANGE(
      ""1ZygntHC1J6IxzKbTidmOyf5nUyW4GCLurHCjexrLm_o        "",
      ""HTMLキャッシュ!A:F""
    ),
    6,
    FALSE
  ),
  0
)
"),"学校の定期テストで点数を上げることに苦戦していませんか？ 正しく学習を進めていけば、英語の点数を確実にアップさ")</f>
        <v>学校の定期テストで点数を上げることに苦戦していませんか？ 正しく学習を進めていけば、英語の点数を確実にアップさ</v>
      </c>
      <c r="E119" s="32">
        <f>IFERROR(__xludf.DUMMYFUNCTION("IFERROR(
  VLOOKUP(
    A119,
    IMPORTRANGE(
      ""1ZygntHC1J6IxzKbTidmOyf5nUyW4GCLurHCjexrLm_o        "",
      ""HTMLキャッシュ!A:F""
    ),
    3,
    FALSE
  ),
  0
)
"),46043.623460648145)</f>
        <v>46043.62346</v>
      </c>
      <c r="F119" s="49">
        <f>IFERROR(__xludf.DUMMYFUNCTION("IFERROR(
  VLOOKUP(
    A119,
    IMPORTRANGE(
      ""1ZHMy3vVUd_0MrSduXTe1etBb1HNpAlGwQr006ljwMiM"",
      ""GSC最新!A:F""
    ),
    2,
    FALSE
  ),
  0
)
"),0.0)</f>
        <v>0</v>
      </c>
      <c r="G119" s="49">
        <f>IFERROR(__xludf.DUMMYFUNCTION("IFERROR(
  VLOOKUP(
    A119,
    IMPORTRANGE(
      ""1ZHMy3vVUd_0MrSduXTe1etBb1HNpAlGwQr006ljwMiM"",
      ""GSC最新!A:F""
    ),
    3,
    FALSE
  ),
  0
)
"),0.0)</f>
        <v>0</v>
      </c>
      <c r="H119" s="49">
        <f>IFERROR(__xludf.DUMMYFUNCTION("IFERROR(
  VLOOKUP(
    A119,
    IMPORTRANGE(
      ""1ZHMy3vVUd_0MrSduXTe1etBb1HNpAlGwQr006ljwMiM"",
      ""GSC最新!A:F""
    ),
    4,
    FALSE
  ),
  0
)
"),0.0)</f>
        <v>0</v>
      </c>
      <c r="I119" s="49">
        <f>IFERROR(__xludf.DUMMYFUNCTION("IFERROR(
  VLOOKUP(
    A119,
    IMPORTRANGE(
      ""1ZHMy3vVUd_0MrSduXTe1etBb1HNpAlGwQr006ljwMiM"",
      ""GSC最新!A:F""
    ),
    5,
    FALSE
  ),
  0
)
"),0.0)</f>
        <v>0</v>
      </c>
      <c r="J119" s="50" t="str">
        <f t="shared" ref="J119:K119" si="586">IFERROR(F119/H119,"-")</f>
        <v>-</v>
      </c>
      <c r="K119" s="50" t="str">
        <f t="shared" si="586"/>
        <v>-</v>
      </c>
      <c r="L119" s="6">
        <f>IFERROR(__xludf.DUMMYFUNCTION("IFERROR(
  VLOOKUP(
    A119,
    IMPORTRANGE(
      ""1ZHMy3vVUd_0MrSduXTe1etBb1HNpAlGwQr006ljwMiM"",
      ""GSC最新!A:R""
    ),
    7,
    FALSE
  ),
  0
)
"),4.0)</f>
        <v>4</v>
      </c>
      <c r="M119" s="6">
        <f>IFERROR(__xludf.DUMMYFUNCTION("IFERROR(
  VLOOKUP(
    A119,
    IMPORTRANGE(
      ""1ZHMy3vVUd_0MrSduXTe1etBb1HNpAlGwQr006ljwMiM"",
      ""GSC最新!A:R""
    ),
    10,
    FALSE
  ),
  0
)
"),25.0)</f>
        <v>25</v>
      </c>
      <c r="N119" s="6">
        <f>IFERROR(__xludf.DUMMYFUNCTION("IFERROR(
  VLOOKUP(
    A119,
    IMPORTRANGE(
      ""1ZHMy3vVUd_0MrSduXTe1etBb1HNpAlGwQr006ljwMiM"",
      ""GSC最新!A:R""
    ),
    13,
    FALSE
  ),
  0
)
"),3.0)</f>
        <v>3</v>
      </c>
      <c r="O119" s="6">
        <f>IFERROR(__xludf.DUMMYFUNCTION("IFERROR(
  VLOOKUP(
    A119,
    IMPORTRANGE(
      ""1ZHMy3vVUd_0MrSduXTe1etBb1HNpAlGwQr006ljwMiM"",
      ""GSC最新!A:R""
    ),
    16,
    FALSE
  ),
  0
)
"),74.0)</f>
        <v>74</v>
      </c>
      <c r="P119" s="51">
        <f t="shared" ref="P119:Q119" si="587">IFERROR(L119/N119,"-")</f>
        <v>1.333333333</v>
      </c>
      <c r="Q119" s="51">
        <f t="shared" si="587"/>
        <v>0.3378378378</v>
      </c>
      <c r="R119" s="9">
        <f>IFERROR(__xludf.DUMMYFUNCTION("IFERROR(
  VLOOKUP(
    A119,
    IMPORTRANGE(
      ""1ZHMy3vVUd_0MrSduXTe1etBb1HNpAlGwQr006ljwMiM"",
      ""GSC最新!A:R""
    ),
    8,
    FALSE
  ),
  0
)
"),0.0)</f>
        <v>0</v>
      </c>
      <c r="S119" s="9">
        <f>IFERROR(__xludf.DUMMYFUNCTION("IFERROR(
  VLOOKUP(
    A119,
    IMPORTRANGE(
      ""1ZHMy3vVUd_0MrSduXTe1etBb1HNpAlGwQr006ljwMiM"",
      ""GSC最新!A:R""
    ),
    11,
    FALSE
  ),
  0
)
"),0.0)</f>
        <v>0</v>
      </c>
      <c r="T119" s="9">
        <f>IFERROR(__xludf.DUMMYFUNCTION("IFERROR(
  VLOOKUP(
    A119,
    IMPORTRANGE(
      ""1ZHMy3vVUd_0MrSduXTe1etBb1HNpAlGwQr006ljwMiM"",
      ""GSC最新!A:R""
    ),
    14,
    FALSE
  ),
  0
)
"),0.0)</f>
        <v>0</v>
      </c>
      <c r="U119" s="9">
        <f>IFERROR(__xludf.DUMMYFUNCTION("IFERROR(
  VLOOKUP(
    A119,
    IMPORTRANGE(
      ""1ZHMy3vVUd_0MrSduXTe1etBb1HNpAlGwQr006ljwMiM"",
      ""GSC最新!A:R""
    ),
    17,
    FALSE
  ),
  0
)
"),0.0)</f>
        <v>0</v>
      </c>
      <c r="V119" s="9">
        <f t="shared" ref="V119:W119" si="588">IFERROR(R119-T119,"-")</f>
        <v>0</v>
      </c>
      <c r="W119" s="9">
        <f t="shared" si="588"/>
        <v>0</v>
      </c>
      <c r="X119" s="65">
        <f>IFERROR(__xludf.DUMMYFUNCTION("IFERROR(
  VLOOKUP(
    A119,
    IMPORTRANGE(
      ""1ZHMy3vVUd_0MrSduXTe1etBb1HNpAlGwQr006ljwMiM"",
      ""GSC最新!A:R""
    ),
    9,
    FALSE
  ),
  0
)
"),9.25)</f>
        <v>9.25</v>
      </c>
      <c r="Y119" s="65">
        <f>IFERROR(__xludf.DUMMYFUNCTION("IFERROR(
  VLOOKUP(
    A119,
    IMPORTRANGE(
      ""1ZHMy3vVUd_0MrSduXTe1etBb1HNpAlGwQr006ljwMiM"",
      ""GSC最新!A:R""
    ),
    12,
    FALSE
  ),
  0
)
"),25.52)</f>
        <v>25.52</v>
      </c>
      <c r="Z119" s="65">
        <f>IFERROR(__xludf.DUMMYFUNCTION("IFERROR(
  VLOOKUP(
    A119,
    IMPORTRANGE(
      ""1ZHMy3vVUd_0MrSduXTe1etBb1HNpAlGwQr006ljwMiM"",
      ""GSC最新!A:R""
    ),
    15,
    FALSE
  ),
  0
)
"),9.666666666666666)</f>
        <v>9.666666667</v>
      </c>
      <c r="AA119" s="65">
        <f>IFERROR(__xludf.DUMMYFUNCTION("IFERROR(
  VLOOKUP(
    A119,
    IMPORTRANGE(
      ""1ZHMy3vVUd_0MrSduXTe1etBb1HNpAlGwQr006ljwMiM"",
      ""GSC最新!A:R""
    ),
    18,
    FALSE
  ),
  0
)
"),136.1216216216216)</f>
        <v>136.1216216</v>
      </c>
      <c r="AB119" s="65">
        <f t="shared" ref="AB119:AC119" si="589">X119-Z119</f>
        <v>-0.4166666667</v>
      </c>
      <c r="AC119" s="65">
        <f t="shared" si="589"/>
        <v>-110.6016216</v>
      </c>
      <c r="AD119" s="53">
        <f>IFERROR(__xludf.DUMMYFUNCTION("IFERROR(
  VLOOKUP(
    A119,
    IMPORTRANGE(
      ""1ZHMy3vVUd_0MrSduXTe1etBb1HNpAlGwQr006ljwMiM"",
      ""GSC最新!A:F""
    ),
    6,
    FALSE
  ),
  0
)
"),46081.0)</f>
        <v>46081</v>
      </c>
      <c r="AE119" s="54">
        <f>IFERROR(__xludf.DUMMYFUNCTION("IFERROR(
  VLOOKUP(
    A119,
    IMPORTRANGE(
      ""1SCYQd7_cobOYqT0r_F0IqD4tE4rYn5y8Eup4PJTH8es"",
      ""Snapshot!A:M""
    ),
    5,
    FALSE
  ),
  ""-""
)
"),0.0)</f>
        <v>0</v>
      </c>
      <c r="AF119" s="54">
        <f>IFERROR(__xludf.DUMMYFUNCTION("IFERROR(
  VLOOKUP(
    A119,
    IMPORTRANGE(
      ""1SCYQd7_cobOYqT0r_F0IqD4tE4rYn5y8Eup4PJTH8es"",
      ""Snapshot!A:M""
    ),
    6,
    FALSE
  ),
  0
)
"),3.0)</f>
        <v>3</v>
      </c>
      <c r="AG119" s="54">
        <f>IFERROR(__xludf.DUMMYFUNCTION("IFERROR(
  VLOOKUP(
    A119,
    IMPORTRANGE(
      ""1SCYQd7_cobOYqT0r_F0IqD4tE4rYn5y8Eup4PJTH8es"",
      ""Snapshot!A:M""
    ),
    7,
    FALSE
  ),
  0
)
"),872.0)</f>
        <v>872</v>
      </c>
      <c r="AH119" s="54">
        <f>IFERROR(__xludf.DUMMYFUNCTION("IFERROR(
  VLOOKUP(
    A119,
    IMPORTRANGE(
      ""1SCYQd7_cobOYqT0r_F0IqD4tE4rYn5y8Eup4PJTH8es"",
      ""Snapshot!A:M""
    ),
    8,
    FALSE
  ),
  0
)
"),3.0)</f>
        <v>3</v>
      </c>
      <c r="AI119" s="54">
        <f>IFERROR(__xludf.DUMMYFUNCTION("IFERROR(
  VLOOKUP(
    A119,
    IMPORTRANGE(
      ""1SCYQd7_cobOYqT0r_F0IqD4tE4rYn5y8Eup4PJTH8es"",
      ""Snapshot!A:M""
    ),
    9,
    FALSE
  ),
  0
)
"),2.0)</f>
        <v>2</v>
      </c>
      <c r="AJ119" s="54">
        <f>IFERROR(__xludf.DUMMYFUNCTION("IFERROR(
  VLOOKUP(
    A119,
    IMPORTRANGE(
      ""1SCYQd7_cobOYqT0r_F0IqD4tE4rYn5y8Eup4PJTH8es"",
      ""Snapshot!A:M""
    ),
    13,
    FALSE
  ),
  0
)
"),1.0)</f>
        <v>1</v>
      </c>
      <c r="AK119" s="49">
        <f t="shared" ref="AK119:AL119" si="590">LEN(C119)</f>
        <v>41</v>
      </c>
      <c r="AL119" s="49">
        <f t="shared" si="590"/>
        <v>55</v>
      </c>
    </row>
    <row r="120">
      <c r="A120" s="3" t="s">
        <v>1054</v>
      </c>
      <c r="B120" s="1" t="str">
        <f>IFERROR(__xludf.DUMMYFUNCTION("IFERROR(
  VLOOKUP(
    A120,
    IMPORTRANGE(
      ""1ZygntHC1J6IxzKbTidmOyf5nUyW4GCLurHCjexrLm_o"",
      ""HTMLキャッシュ!A:F""
    ),
    2,
    FALSE
  ),
  0
)
"),"MC")</f>
        <v>MC</v>
      </c>
      <c r="C120" s="1" t="str">
        <f>IFERROR(__xludf.DUMMYFUNCTION("IFERROR(
  VLOOKUP(
    A120,
    IMPORTRANGE(
      ""1ZygntHC1J6IxzKbTidmOyf5nUyW4GCLurHCjexrLm_o"",
      ""HTMLキャッシュ!A:F""
    ),
    5,
    FALSE
  ),
  0
)
"),"関係代名詞の非制限用法｜カンマと訳し分け｜高校英語")</f>
        <v>関係代名詞の非制限用法｜カンマと訳し分け｜高校英語</v>
      </c>
      <c r="D120" s="1" t="str">
        <f>IFERROR(__xludf.DUMMYFUNCTION("IFERROR(
  VLOOKUP(
    A120,
    IMPORTRANGE(
      ""1ZygntHC1J6IxzKbTidmOyf5nUyW4GCLurHCjexrLm_o        "",
      ""HTMLキャッシュ!A:F""
    ),
    6,
    FALSE
  ),
  0
)
"),"関係代名詞の非制限用法を整理。制限用法との違い、カンマで一度切って「そして」で読む訳し方、固有名詞・挿入whomまで例文で確認（Stage3対応）。")</f>
        <v>関係代名詞の非制限用法を整理。制限用法との違い、カンマで一度切って「そして」で読む訳し方、固有名詞・挿入whomまで例文で確認（Stage3対応）。</v>
      </c>
      <c r="E120" s="32">
        <f>IFERROR(__xludf.DUMMYFUNCTION("IFERROR(
  VLOOKUP(
    A120,
    IMPORTRANGE(
      ""1ZygntHC1J6IxzKbTidmOyf5nUyW4GCLurHCjexrLm_o        "",
      ""HTMLキャッシュ!A:F""
    ),
    3,
    FALSE
  ),
  0
)
"),46043.61984953703)</f>
        <v>46043.61985</v>
      </c>
      <c r="F120" s="49">
        <f>IFERROR(__xludf.DUMMYFUNCTION("IFERROR(
  VLOOKUP(
    A120,
    IMPORTRANGE(
      ""1ZHMy3vVUd_0MrSduXTe1etBb1HNpAlGwQr006ljwMiM"",
      ""GSC最新!A:F""
    ),
    2,
    FALSE
  ),
  0
)
"),0.0)</f>
        <v>0</v>
      </c>
      <c r="G120" s="49">
        <f>IFERROR(__xludf.DUMMYFUNCTION("IFERROR(
  VLOOKUP(
    A120,
    IMPORTRANGE(
      ""1ZHMy3vVUd_0MrSduXTe1etBb1HNpAlGwQr006ljwMiM"",
      ""GSC最新!A:F""
    ),
    3,
    FALSE
  ),
  0
)
"),0.0)</f>
        <v>0</v>
      </c>
      <c r="H120" s="49">
        <f>IFERROR(__xludf.DUMMYFUNCTION("IFERROR(
  VLOOKUP(
    A120,
    IMPORTRANGE(
      ""1ZHMy3vVUd_0MrSduXTe1etBb1HNpAlGwQr006ljwMiM"",
      ""GSC最新!A:F""
    ),
    4,
    FALSE
  ),
  0
)
"),0.0)</f>
        <v>0</v>
      </c>
      <c r="I120" s="49">
        <f>IFERROR(__xludf.DUMMYFUNCTION("IFERROR(
  VLOOKUP(
    A120,
    IMPORTRANGE(
      ""1ZHMy3vVUd_0MrSduXTe1etBb1HNpAlGwQr006ljwMiM"",
      ""GSC最新!A:F""
    ),
    5,
    FALSE
  ),
  0
)
"),0.0)</f>
        <v>0</v>
      </c>
      <c r="J120" s="50" t="str">
        <f t="shared" ref="J120:K120" si="591">IFERROR(F120/H120,"-")</f>
        <v>-</v>
      </c>
      <c r="K120" s="50" t="str">
        <f t="shared" si="591"/>
        <v>-</v>
      </c>
      <c r="L120" s="6">
        <f>IFERROR(__xludf.DUMMYFUNCTION("IFERROR(
  VLOOKUP(
    A120,
    IMPORTRANGE(
      ""1ZHMy3vVUd_0MrSduXTe1etBb1HNpAlGwQr006ljwMiM"",
      ""GSC最新!A:R""
    ),
    7,
    FALSE
  ),
  0
)
"),6.0)</f>
        <v>6</v>
      </c>
      <c r="M120" s="6">
        <f>IFERROR(__xludf.DUMMYFUNCTION("IFERROR(
  VLOOKUP(
    A120,
    IMPORTRANGE(
      ""1ZHMy3vVUd_0MrSduXTe1etBb1HNpAlGwQr006ljwMiM"",
      ""GSC最新!A:R""
    ),
    10,
    FALSE
  ),
  0
)
"),19.0)</f>
        <v>19</v>
      </c>
      <c r="N120" s="6">
        <f>IFERROR(__xludf.DUMMYFUNCTION("IFERROR(
  VLOOKUP(
    A120,
    IMPORTRANGE(
      ""1ZHMy3vVUd_0MrSduXTe1etBb1HNpAlGwQr006ljwMiM"",
      ""GSC最新!A:R""
    ),
    13,
    FALSE
  ),
  0
)
"),0.0)</f>
        <v>0</v>
      </c>
      <c r="O120" s="6">
        <f>IFERROR(__xludf.DUMMYFUNCTION("IFERROR(
  VLOOKUP(
    A120,
    IMPORTRANGE(
      ""1ZHMy3vVUd_0MrSduXTe1etBb1HNpAlGwQr006ljwMiM"",
      ""GSC最新!A:R""
    ),
    16,
    FALSE
  ),
  0
)
"),3.0)</f>
        <v>3</v>
      </c>
      <c r="P120" s="51" t="str">
        <f t="shared" ref="P120:Q120" si="592">IFERROR(L120/N120,"-")</f>
        <v>-</v>
      </c>
      <c r="Q120" s="51">
        <f t="shared" si="592"/>
        <v>6.333333333</v>
      </c>
      <c r="R120" s="9">
        <f>IFERROR(__xludf.DUMMYFUNCTION("IFERROR(
  VLOOKUP(
    A120,
    IMPORTRANGE(
      ""1ZHMy3vVUd_0MrSduXTe1etBb1HNpAlGwQr006ljwMiM"",
      ""GSC最新!A:R""
    ),
    8,
    FALSE
  ),
  0
)
"),0.0)</f>
        <v>0</v>
      </c>
      <c r="S120" s="9">
        <f>IFERROR(__xludf.DUMMYFUNCTION("IFERROR(
  VLOOKUP(
    A120,
    IMPORTRANGE(
      ""1ZHMy3vVUd_0MrSduXTe1etBb1HNpAlGwQr006ljwMiM"",
      ""GSC最新!A:R""
    ),
    11,
    FALSE
  ),
  0
)
"),0.0)</f>
        <v>0</v>
      </c>
      <c r="T120" s="9">
        <f>IFERROR(__xludf.DUMMYFUNCTION("IFERROR(
  VLOOKUP(
    A120,
    IMPORTRANGE(
      ""1ZHMy3vVUd_0MrSduXTe1etBb1HNpAlGwQr006ljwMiM"",
      ""GSC最新!A:R""
    ),
    14,
    FALSE
  ),
  0
)
"),0.0)</f>
        <v>0</v>
      </c>
      <c r="U120" s="9">
        <f>IFERROR(__xludf.DUMMYFUNCTION("IFERROR(
  VLOOKUP(
    A120,
    IMPORTRANGE(
      ""1ZHMy3vVUd_0MrSduXTe1etBb1HNpAlGwQr006ljwMiM"",
      ""GSC最新!A:R""
    ),
    17,
    FALSE
  ),
  0
)
"),0.0)</f>
        <v>0</v>
      </c>
      <c r="V120" s="9">
        <f t="shared" ref="V120:W120" si="593">IFERROR(R120-T120,"-")</f>
        <v>0</v>
      </c>
      <c r="W120" s="9">
        <f t="shared" si="593"/>
        <v>0</v>
      </c>
      <c r="X120" s="65">
        <f>IFERROR(__xludf.DUMMYFUNCTION("IFERROR(
  VLOOKUP(
    A120,
    IMPORTRANGE(
      ""1ZHMy3vVUd_0MrSduXTe1etBb1HNpAlGwQr006ljwMiM"",
      ""GSC最新!A:R""
    ),
    9,
    FALSE
  ),
  0
)
"),9.666666666666666)</f>
        <v>9.666666667</v>
      </c>
      <c r="Y120" s="65">
        <f>IFERROR(__xludf.DUMMYFUNCTION("IFERROR(
  VLOOKUP(
    A120,
    IMPORTRANGE(
      ""1ZHMy3vVUd_0MrSduXTe1etBb1HNpAlGwQr006ljwMiM"",
      ""GSC最新!A:R""
    ),
    12,
    FALSE
  ),
  0
)
"),7.157894736842105)</f>
        <v>7.157894737</v>
      </c>
      <c r="Z120" s="65" t="str">
        <f>IFERROR(__xludf.DUMMYFUNCTION("IFERROR(
  VLOOKUP(
    A120,
    IMPORTRANGE(
      ""1ZHMy3vVUd_0MrSduXTe1etBb1HNpAlGwQr006ljwMiM"",
      ""GSC最新!A:R""
    ),
    15,
    FALSE
  ),
  0
)
"),"")</f>
        <v/>
      </c>
      <c r="AA120" s="65">
        <f>IFERROR(__xludf.DUMMYFUNCTION("IFERROR(
  VLOOKUP(
    A120,
    IMPORTRANGE(
      ""1ZHMy3vVUd_0MrSduXTe1etBb1HNpAlGwQr006ljwMiM"",
      ""GSC最新!A:R""
    ),
    18,
    FALSE
  ),
  0
)
"),6.0)</f>
        <v>6</v>
      </c>
      <c r="AB120" s="65">
        <f t="shared" ref="AB120:AC120" si="594">X120-Z120</f>
        <v>9.666666667</v>
      </c>
      <c r="AC120" s="65">
        <f t="shared" si="594"/>
        <v>1.157894737</v>
      </c>
      <c r="AD120" s="53">
        <f>IFERROR(__xludf.DUMMYFUNCTION("IFERROR(
  VLOOKUP(
    A120,
    IMPORTRANGE(
      ""1ZHMy3vVUd_0MrSduXTe1etBb1HNpAlGwQr006ljwMiM"",
      ""GSC最新!A:F""
    ),
    6,
    FALSE
  ),
  0
)
"),46081.0)</f>
        <v>46081</v>
      </c>
      <c r="AE120" s="54">
        <f>IFERROR(__xludf.DUMMYFUNCTION("IFERROR(
  VLOOKUP(
    A120,
    IMPORTRANGE(
      ""1SCYQd7_cobOYqT0r_F0IqD4tE4rYn5y8Eup4PJTH8es"",
      ""Snapshot!A:M""
    ),
    5,
    FALSE
  ),
  ""-""
)
"),1.0)</f>
        <v>1</v>
      </c>
      <c r="AF120" s="54">
        <f>IFERROR(__xludf.DUMMYFUNCTION("IFERROR(
  VLOOKUP(
    A120,
    IMPORTRANGE(
      ""1SCYQd7_cobOYqT0r_F0IqD4tE4rYn5y8Eup4PJTH8es"",
      ""Snapshot!A:M""
    ),
    6,
    FALSE
  ),
  0
)
"),9.0)</f>
        <v>9</v>
      </c>
      <c r="AG120" s="54">
        <f>IFERROR(__xludf.DUMMYFUNCTION("IFERROR(
  VLOOKUP(
    A120,
    IMPORTRANGE(
      ""1SCYQd7_cobOYqT0r_F0IqD4tE4rYn5y8Eup4PJTH8es"",
      ""Snapshot!A:M""
    ),
    7,
    FALSE
  ),
  0
)
"),3914.0)</f>
        <v>3914</v>
      </c>
      <c r="AH120" s="54">
        <f>IFERROR(__xludf.DUMMYFUNCTION("IFERROR(
  VLOOKUP(
    A120,
    IMPORTRANGE(
      ""1SCYQd7_cobOYqT0r_F0IqD4tE4rYn5y8Eup4PJTH8es"",
      ""Snapshot!A:M""
    ),
    8,
    FALSE
  ),
  0
)
"),2.0)</f>
        <v>2</v>
      </c>
      <c r="AI120" s="54">
        <f>IFERROR(__xludf.DUMMYFUNCTION("IFERROR(
  VLOOKUP(
    A120,
    IMPORTRANGE(
      ""1SCYQd7_cobOYqT0r_F0IqD4tE4rYn5y8Eup4PJTH8es"",
      ""Snapshot!A:M""
    ),
    9,
    FALSE
  ),
  0
)
"),1.0)</f>
        <v>1</v>
      </c>
      <c r="AJ120" s="54">
        <f>IFERROR(__xludf.DUMMYFUNCTION("IFERROR(
  VLOOKUP(
    A120,
    IMPORTRANGE(
      ""1SCYQd7_cobOYqT0r_F0IqD4tE4rYn5y8Eup4PJTH8es"",
      ""Snapshot!A:M""
    ),
    13,
    FALSE
  ),
  0
)
"),1.0)</f>
        <v>1</v>
      </c>
      <c r="AK120" s="49">
        <f t="shared" ref="AK120:AL120" si="595">LEN(C120)</f>
        <v>25</v>
      </c>
      <c r="AL120" s="49">
        <f t="shared" si="595"/>
        <v>74</v>
      </c>
    </row>
    <row r="121">
      <c r="A121" s="3" t="s">
        <v>1055</v>
      </c>
      <c r="B121" s="1" t="str">
        <f>IFERROR(__xludf.DUMMYFUNCTION("IFERROR(
  VLOOKUP(
    A121,
    IMPORTRANGE(
      ""1ZygntHC1J6IxzKbTidmOyf5nUyW4GCLurHCjexrLm_o"",
      ""HTMLキャッシュ!A:F""
    ),
    2,
    FALSE
  ),
  0
)
"),"ST")</f>
        <v>ST</v>
      </c>
      <c r="C121" s="1" t="str">
        <f>IFERROR(__xludf.DUMMYFUNCTION("IFERROR(
  VLOOKUP(
    A121,
    IMPORTRANGE(
      ""1ZygntHC1J6IxzKbTidmOyf5nUyW4GCLurHCjexrLm_o"",
      ""HTMLキャッシュ!A:F""
    ),
    5,
    FALSE
  ),
  0
)
"),"お問い合わせ - 受験英語専門ゼミ「Re-Write」(リライト)")</f>
        <v>お問い合わせ - 受験英語専門ゼミ「Re-Write」(リライト)</v>
      </c>
      <c r="D121" s="1" t="str">
        <f>IFERROR(__xludf.DUMMYFUNCTION("IFERROR(
  VLOOKUP(
    A121,
    IMPORTRANGE(
      ""1ZygntHC1J6IxzKbTidmOyf5nUyW4GCLurHCjexrLm_o        "",
      ""HTMLキャッシュ!A:F""
    ),
    6,
    FALSE
  ),
  0
)
"),"")</f>
        <v/>
      </c>
      <c r="E121" s="32">
        <f>IFERROR(__xludf.DUMMYFUNCTION("IFERROR(
  VLOOKUP(
    A121,
    IMPORTRANGE(
      ""1ZygntHC1J6IxzKbTidmOyf5nUyW4GCLurHCjexrLm_o        "",
      ""HTMLキャッシュ!A:F""
    ),
    3,
    FALSE
  ),
  0
)
"),43976.67040509259)</f>
        <v>43976.67041</v>
      </c>
      <c r="F121" s="49">
        <f>IFERROR(__xludf.DUMMYFUNCTION("IFERROR(
  VLOOKUP(
    A121,
    IMPORTRANGE(
      ""1ZHMy3vVUd_0MrSduXTe1etBb1HNpAlGwQr006ljwMiM"",
      ""GSC最新!A:F""
    ),
    2,
    FALSE
  ),
  0
)
"),0.0)</f>
        <v>0</v>
      </c>
      <c r="G121" s="49">
        <f>IFERROR(__xludf.DUMMYFUNCTION("IFERROR(
  VLOOKUP(
    A121,
    IMPORTRANGE(
      ""1ZHMy3vVUd_0MrSduXTe1etBb1HNpAlGwQr006ljwMiM"",
      ""GSC最新!A:F""
    ),
    3,
    FALSE
  ),
  0
)
"),0.0)</f>
        <v>0</v>
      </c>
      <c r="H121" s="49">
        <f>IFERROR(__xludf.DUMMYFUNCTION("IFERROR(
  VLOOKUP(
    A121,
    IMPORTRANGE(
      ""1ZHMy3vVUd_0MrSduXTe1etBb1HNpAlGwQr006ljwMiM"",
      ""GSC最新!A:F""
    ),
    4,
    FALSE
  ),
  0
)
"),0.0)</f>
        <v>0</v>
      </c>
      <c r="I121" s="49">
        <f>IFERROR(__xludf.DUMMYFUNCTION("IFERROR(
  VLOOKUP(
    A121,
    IMPORTRANGE(
      ""1ZHMy3vVUd_0MrSduXTe1etBb1HNpAlGwQr006ljwMiM"",
      ""GSC最新!A:F""
    ),
    5,
    FALSE
  ),
  0
)
"),0.0)</f>
        <v>0</v>
      </c>
      <c r="J121" s="50" t="str">
        <f t="shared" ref="J121:K121" si="596">IFERROR(F121/H121,"-")</f>
        <v>-</v>
      </c>
      <c r="K121" s="50" t="str">
        <f t="shared" si="596"/>
        <v>-</v>
      </c>
      <c r="L121" s="6">
        <f>IFERROR(__xludf.DUMMYFUNCTION("IFERROR(
  VLOOKUP(
    A121,
    IMPORTRANGE(
      ""1ZHMy3vVUd_0MrSduXTe1etBb1HNpAlGwQr006ljwMiM"",
      ""GSC最新!A:R""
    ),
    7,
    FALSE
  ),
  0
)
"),10.0)</f>
        <v>10</v>
      </c>
      <c r="M121" s="6">
        <f>IFERROR(__xludf.DUMMYFUNCTION("IFERROR(
  VLOOKUP(
    A121,
    IMPORTRANGE(
      ""1ZHMy3vVUd_0MrSduXTe1etBb1HNpAlGwQr006ljwMiM"",
      ""GSC最新!A:R""
    ),
    10,
    FALSE
  ),
  0
)
"),19.0)</f>
        <v>19</v>
      </c>
      <c r="N121" s="6">
        <f>IFERROR(__xludf.DUMMYFUNCTION("IFERROR(
  VLOOKUP(
    A121,
    IMPORTRANGE(
      ""1ZHMy3vVUd_0MrSduXTe1etBb1HNpAlGwQr006ljwMiM"",
      ""GSC最新!A:R""
    ),
    13,
    FALSE
  ),
  0
)
"),1.0)</f>
        <v>1</v>
      </c>
      <c r="O121" s="6">
        <f>IFERROR(__xludf.DUMMYFUNCTION("IFERROR(
  VLOOKUP(
    A121,
    IMPORTRANGE(
      ""1ZHMy3vVUd_0MrSduXTe1etBb1HNpAlGwQr006ljwMiM"",
      ""GSC最新!A:R""
    ),
    16,
    FALSE
  ),
  0
)
"),3.0)</f>
        <v>3</v>
      </c>
      <c r="P121" s="51">
        <f t="shared" ref="P121:Q121" si="597">IFERROR(L121/N121,"-")</f>
        <v>10</v>
      </c>
      <c r="Q121" s="51">
        <f t="shared" si="597"/>
        <v>6.333333333</v>
      </c>
      <c r="R121" s="9">
        <f>IFERROR(__xludf.DUMMYFUNCTION("IFERROR(
  VLOOKUP(
    A121,
    IMPORTRANGE(
      ""1ZHMy3vVUd_0MrSduXTe1etBb1HNpAlGwQr006ljwMiM"",
      ""GSC最新!A:R""
    ),
    8,
    FALSE
  ),
  0
)
"),0.0)</f>
        <v>0</v>
      </c>
      <c r="S121" s="9">
        <f>IFERROR(__xludf.DUMMYFUNCTION("IFERROR(
  VLOOKUP(
    A121,
    IMPORTRANGE(
      ""1ZHMy3vVUd_0MrSduXTe1etBb1HNpAlGwQr006ljwMiM"",
      ""GSC最新!A:R""
    ),
    11,
    FALSE
  ),
  0
)
"),0.0)</f>
        <v>0</v>
      </c>
      <c r="T121" s="9">
        <f>IFERROR(__xludf.DUMMYFUNCTION("IFERROR(
  VLOOKUP(
    A121,
    IMPORTRANGE(
      ""1ZHMy3vVUd_0MrSduXTe1etBb1HNpAlGwQr006ljwMiM"",
      ""GSC最新!A:R""
    ),
    14,
    FALSE
  ),
  0
)
"),0.0)</f>
        <v>0</v>
      </c>
      <c r="U121" s="9">
        <f>IFERROR(__xludf.DUMMYFUNCTION("IFERROR(
  VLOOKUP(
    A121,
    IMPORTRANGE(
      ""1ZHMy3vVUd_0MrSduXTe1etBb1HNpAlGwQr006ljwMiM"",
      ""GSC最新!A:R""
    ),
    17,
    FALSE
  ),
  0
)
"),0.0)</f>
        <v>0</v>
      </c>
      <c r="V121" s="9">
        <f t="shared" ref="V121:W121" si="598">IFERROR(R121-T121,"-")</f>
        <v>0</v>
      </c>
      <c r="W121" s="9">
        <f t="shared" si="598"/>
        <v>0</v>
      </c>
      <c r="X121" s="65">
        <f>IFERROR(__xludf.DUMMYFUNCTION("IFERROR(
  VLOOKUP(
    A121,
    IMPORTRANGE(
      ""1ZHMy3vVUd_0MrSduXTe1etBb1HNpAlGwQr006ljwMiM"",
      ""GSC最新!A:R""
    ),
    9,
    FALSE
  ),
  0
)
"),15.8)</f>
        <v>15.8</v>
      </c>
      <c r="Y121" s="65">
        <f>IFERROR(__xludf.DUMMYFUNCTION("IFERROR(
  VLOOKUP(
    A121,
    IMPORTRANGE(
      ""1ZHMy3vVUd_0MrSduXTe1etBb1HNpAlGwQr006ljwMiM"",
      ""GSC最新!A:R""
    ),
    12,
    FALSE
  ),
  0
)
"),12.68421052631579)</f>
        <v>12.68421053</v>
      </c>
      <c r="Z121" s="65">
        <f>IFERROR(__xludf.DUMMYFUNCTION("IFERROR(
  VLOOKUP(
    A121,
    IMPORTRANGE(
      ""1ZHMy3vVUd_0MrSduXTe1etBb1HNpAlGwQr006ljwMiM"",
      ""GSC最新!A:R""
    ),
    15,
    FALSE
  ),
  0
)
"),10.0)</f>
        <v>10</v>
      </c>
      <c r="AA121" s="65">
        <f>IFERROR(__xludf.DUMMYFUNCTION("IFERROR(
  VLOOKUP(
    A121,
    IMPORTRANGE(
      ""1ZHMy3vVUd_0MrSduXTe1etBb1HNpAlGwQr006ljwMiM"",
      ""GSC最新!A:R""
    ),
    18,
    FALSE
  ),
  0
)
"),7.333333333333333)</f>
        <v>7.333333333</v>
      </c>
      <c r="AB121" s="65">
        <f t="shared" ref="AB121:AC121" si="599">X121-Z121</f>
        <v>5.8</v>
      </c>
      <c r="AC121" s="65">
        <f t="shared" si="599"/>
        <v>5.350877193</v>
      </c>
      <c r="AD121" s="53">
        <f>IFERROR(__xludf.DUMMYFUNCTION("IFERROR(
  VLOOKUP(
    A121,
    IMPORTRANGE(
      ""1ZHMy3vVUd_0MrSduXTe1etBb1HNpAlGwQr006ljwMiM"",
      ""GSC最新!A:F""
    ),
    6,
    FALSE
  ),
  0
)
"),46081.0)</f>
        <v>46081</v>
      </c>
      <c r="AE121" s="54">
        <f>IFERROR(__xludf.DUMMYFUNCTION("IFERROR(
  VLOOKUP(
    A121,
    IMPORTRANGE(
      ""1SCYQd7_cobOYqT0r_F0IqD4tE4rYn5y8Eup4PJTH8es"",
      ""Snapshot!A:M""
    ),
    5,
    FALSE
  ),
  ""-""
)
"),0.0)</f>
        <v>0</v>
      </c>
      <c r="AF121" s="54">
        <f>IFERROR(__xludf.DUMMYFUNCTION("IFERROR(
  VLOOKUP(
    A121,
    IMPORTRANGE(
      ""1SCYQd7_cobOYqT0r_F0IqD4tE4rYn5y8Eup4PJTH8es"",
      ""Snapshot!A:M""
    ),
    6,
    FALSE
  ),
  0
)
"),0.0)</f>
        <v>0</v>
      </c>
      <c r="AG121" s="54">
        <f>IFERROR(__xludf.DUMMYFUNCTION("IFERROR(
  VLOOKUP(
    A121,
    IMPORTRANGE(
      ""1SCYQd7_cobOYqT0r_F0IqD4tE4rYn5y8Eup4PJTH8es"",
      ""Snapshot!A:M""
    ),
    7,
    FALSE
  ),
  0
)
"),29.0)</f>
        <v>29</v>
      </c>
      <c r="AH121" s="54">
        <f>IFERROR(__xludf.DUMMYFUNCTION("IFERROR(
  VLOOKUP(
    A121,
    IMPORTRANGE(
      ""1SCYQd7_cobOYqT0r_F0IqD4tE4rYn5y8Eup4PJTH8es"",
      ""Snapshot!A:M""
    ),
    8,
    FALSE
  ),
  0
)
"),0.0)</f>
        <v>0</v>
      </c>
      <c r="AI121" s="54">
        <f>IFERROR(__xludf.DUMMYFUNCTION("IFERROR(
  VLOOKUP(
    A121,
    IMPORTRANGE(
      ""1SCYQd7_cobOYqT0r_F0IqD4tE4rYn5y8Eup4PJTH8es"",
      ""Snapshot!A:M""
    ),
    9,
    FALSE
  ),
  0
)
"),1.0)</f>
        <v>1</v>
      </c>
      <c r="AJ121" s="54">
        <f>IFERROR(__xludf.DUMMYFUNCTION("IFERROR(
  VLOOKUP(
    A121,
    IMPORTRANGE(
      ""1SCYQd7_cobOYqT0r_F0IqD4tE4rYn5y8Eup4PJTH8es"",
      ""Snapshot!A:M""
    ),
    13,
    FALSE
  ),
  0
)
"),1.0)</f>
        <v>1</v>
      </c>
      <c r="AK121" s="49">
        <f t="shared" ref="AK121:AL121" si="600">LEN(C121)</f>
        <v>33</v>
      </c>
      <c r="AL121" s="49">
        <f t="shared" si="600"/>
        <v>0</v>
      </c>
    </row>
    <row r="122">
      <c r="A122" s="3" t="s">
        <v>1056</v>
      </c>
      <c r="B122" s="1" t="str">
        <f>IFERROR(__xludf.DUMMYFUNCTION("IFERROR(
  VLOOKUP(
    A122,
    IMPORTRANGE(
      ""1ZygntHC1J6IxzKbTidmOyf5nUyW4GCLurHCjexrLm_o"",
      ""HTMLキャッシュ!A:F""
    ),
    2,
    FALSE
  ),
  0
)
"),"NW")</f>
        <v>NW</v>
      </c>
      <c r="C122" s="1" t="str">
        <f>IFERROR(__xludf.DUMMYFUNCTION("IFERROR(
  VLOOKUP(
    A122,
    IMPORTRANGE(
      ""1ZygntHC1J6IxzKbTidmOyf5nUyW4GCLurHCjexrLm_o"",
      ""HTMLキャッシュ!A:F""
    ),
    5,
    FALSE
  ),
  0
)
"),"受験理科専門塾「しゅん吉クエスト」開校のお知らせ - 受験英語専門ゼミ「Re-Write」(リライト)")</f>
        <v>受験理科専門塾「しゅん吉クエスト」開校のお知らせ - 受験英語専門ゼミ「Re-Write」(リライト)</v>
      </c>
      <c r="D122" s="1" t="str">
        <f>IFERROR(__xludf.DUMMYFUNCTION("IFERROR(
  VLOOKUP(
    A122,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122" s="32">
        <f>IFERROR(__xludf.DUMMYFUNCTION("IFERROR(
  VLOOKUP(
    A122,
    IMPORTRANGE(
      ""1ZygntHC1J6IxzKbTidmOyf5nUyW4GCLurHCjexrLm_o        "",
      ""HTMLキャッシュ!A:F""
    ),
    3,
    FALSE
  ),
  0
)
"),44400.68016203704)</f>
        <v>44400.68016</v>
      </c>
      <c r="F122" s="49">
        <f>IFERROR(__xludf.DUMMYFUNCTION("IFERROR(
  VLOOKUP(
    A122,
    IMPORTRANGE(
      ""1ZHMy3vVUd_0MrSduXTe1etBb1HNpAlGwQr006ljwMiM"",
      ""GSC最新!A:F""
    ),
    2,
    FALSE
  ),
  0
)
"),0.0)</f>
        <v>0</v>
      </c>
      <c r="G122" s="49">
        <f>IFERROR(__xludf.DUMMYFUNCTION("IFERROR(
  VLOOKUP(
    A122,
    IMPORTRANGE(
      ""1ZHMy3vVUd_0MrSduXTe1etBb1HNpAlGwQr006ljwMiM"",
      ""GSC最新!A:F""
    ),
    3,
    FALSE
  ),
  0
)
"),0.0)</f>
        <v>0</v>
      </c>
      <c r="H122" s="49">
        <f>IFERROR(__xludf.DUMMYFUNCTION("IFERROR(
  VLOOKUP(
    A122,
    IMPORTRANGE(
      ""1ZHMy3vVUd_0MrSduXTe1etBb1HNpAlGwQr006ljwMiM"",
      ""GSC最新!A:F""
    ),
    4,
    FALSE
  ),
  0
)
"),0.0)</f>
        <v>0</v>
      </c>
      <c r="I122" s="49">
        <f>IFERROR(__xludf.DUMMYFUNCTION("IFERROR(
  VLOOKUP(
    A122,
    IMPORTRANGE(
      ""1ZHMy3vVUd_0MrSduXTe1etBb1HNpAlGwQr006ljwMiM"",
      ""GSC最新!A:F""
    ),
    5,
    FALSE
  ),
  0
)
"),0.0)</f>
        <v>0</v>
      </c>
      <c r="J122" s="50" t="str">
        <f t="shared" ref="J122:K122" si="601">IFERROR(F122/H122,"-")</f>
        <v>-</v>
      </c>
      <c r="K122" s="50" t="str">
        <f t="shared" si="601"/>
        <v>-</v>
      </c>
      <c r="L122" s="6">
        <f>IFERROR(__xludf.DUMMYFUNCTION("IFERROR(
  VLOOKUP(
    A122,
    IMPORTRANGE(
      ""1ZHMy3vVUd_0MrSduXTe1etBb1HNpAlGwQr006ljwMiM"",
      ""GSC最新!A:R""
    ),
    7,
    FALSE
  ),
  0
)
"),9.0)</f>
        <v>9</v>
      </c>
      <c r="M122" s="6">
        <f>IFERROR(__xludf.DUMMYFUNCTION("IFERROR(
  VLOOKUP(
    A122,
    IMPORTRANGE(
      ""1ZHMy3vVUd_0MrSduXTe1etBb1HNpAlGwQr006ljwMiM"",
      ""GSC最新!A:R""
    ),
    10,
    FALSE
  ),
  0
)
"),10.0)</f>
        <v>10</v>
      </c>
      <c r="N122" s="6">
        <f>IFERROR(__xludf.DUMMYFUNCTION("IFERROR(
  VLOOKUP(
    A122,
    IMPORTRANGE(
      ""1ZHMy3vVUd_0MrSduXTe1etBb1HNpAlGwQr006ljwMiM"",
      ""GSC最新!A:R""
    ),
    13,
    FALSE
  ),
  0
)
"),2.0)</f>
        <v>2</v>
      </c>
      <c r="O122" s="6">
        <f>IFERROR(__xludf.DUMMYFUNCTION("IFERROR(
  VLOOKUP(
    A122,
    IMPORTRANGE(
      ""1ZHMy3vVUd_0MrSduXTe1etBb1HNpAlGwQr006ljwMiM"",
      ""GSC最新!A:R""
    ),
    16,
    FALSE
  ),
  0
)
"),7.0)</f>
        <v>7</v>
      </c>
      <c r="P122" s="51">
        <f t="shared" ref="P122:Q122" si="602">IFERROR(L122/N122,"-")</f>
        <v>4.5</v>
      </c>
      <c r="Q122" s="51">
        <f t="shared" si="602"/>
        <v>1.428571429</v>
      </c>
      <c r="R122" s="9">
        <f>IFERROR(__xludf.DUMMYFUNCTION("IFERROR(
  VLOOKUP(
    A122,
    IMPORTRANGE(
      ""1ZHMy3vVUd_0MrSduXTe1etBb1HNpAlGwQr006ljwMiM"",
      ""GSC最新!A:R""
    ),
    8,
    FALSE
  ),
  0
)
"),0.0)</f>
        <v>0</v>
      </c>
      <c r="S122" s="9">
        <f>IFERROR(__xludf.DUMMYFUNCTION("IFERROR(
  VLOOKUP(
    A122,
    IMPORTRANGE(
      ""1ZHMy3vVUd_0MrSduXTe1etBb1HNpAlGwQr006ljwMiM"",
      ""GSC最新!A:R""
    ),
    11,
    FALSE
  ),
  0
)
"),0.0)</f>
        <v>0</v>
      </c>
      <c r="T122" s="9">
        <f>IFERROR(__xludf.DUMMYFUNCTION("IFERROR(
  VLOOKUP(
    A122,
    IMPORTRANGE(
      ""1ZHMy3vVUd_0MrSduXTe1etBb1HNpAlGwQr006ljwMiM"",
      ""GSC最新!A:R""
    ),
    14,
    FALSE
  ),
  0
)
"),0.0)</f>
        <v>0</v>
      </c>
      <c r="U122" s="9">
        <f>IFERROR(__xludf.DUMMYFUNCTION("IFERROR(
  VLOOKUP(
    A122,
    IMPORTRANGE(
      ""1ZHMy3vVUd_0MrSduXTe1etBb1HNpAlGwQr006ljwMiM"",
      ""GSC最新!A:R""
    ),
    17,
    FALSE
  ),
  0
)
"),0.0)</f>
        <v>0</v>
      </c>
      <c r="V122" s="9">
        <f t="shared" ref="V122:W122" si="603">IFERROR(R122-T122,"-")</f>
        <v>0</v>
      </c>
      <c r="W122" s="9">
        <f t="shared" si="603"/>
        <v>0</v>
      </c>
      <c r="X122" s="65">
        <f>IFERROR(__xludf.DUMMYFUNCTION("IFERROR(
  VLOOKUP(
    A122,
    IMPORTRANGE(
      ""1ZHMy3vVUd_0MrSduXTe1etBb1HNpAlGwQr006ljwMiM"",
      ""GSC最新!A:R""
    ),
    9,
    FALSE
  ),
  0
)
"),10.11111111111111)</f>
        <v>10.11111111</v>
      </c>
      <c r="Y122" s="65">
        <f>IFERROR(__xludf.DUMMYFUNCTION("IFERROR(
  VLOOKUP(
    A122,
    IMPORTRANGE(
      ""1ZHMy3vVUd_0MrSduXTe1etBb1HNpAlGwQr006ljwMiM"",
      ""GSC最新!A:R""
    ),
    12,
    FALSE
  ),
  0
)
"),10.0)</f>
        <v>10</v>
      </c>
      <c r="Z122" s="65">
        <f>IFERROR(__xludf.DUMMYFUNCTION("IFERROR(
  VLOOKUP(
    A122,
    IMPORTRANGE(
      ""1ZHMy3vVUd_0MrSduXTe1etBb1HNpAlGwQr006ljwMiM"",
      ""GSC最新!A:R""
    ),
    15,
    FALSE
  ),
  0
)
"),10.0)</f>
        <v>10</v>
      </c>
      <c r="AA122" s="65">
        <f>IFERROR(__xludf.DUMMYFUNCTION("IFERROR(
  VLOOKUP(
    A122,
    IMPORTRANGE(
      ""1ZHMy3vVUd_0MrSduXTe1etBb1HNpAlGwQr006ljwMiM"",
      ""GSC最新!A:R""
    ),
    18,
    FALSE
  ),
  0
)
"),16.57142857142857)</f>
        <v>16.57142857</v>
      </c>
      <c r="AB122" s="65">
        <f t="shared" ref="AB122:AC122" si="604">X122-Z122</f>
        <v>0.1111111111</v>
      </c>
      <c r="AC122" s="65">
        <f t="shared" si="604"/>
        <v>-6.571428571</v>
      </c>
      <c r="AD122" s="53">
        <f>IFERROR(__xludf.DUMMYFUNCTION("IFERROR(
  VLOOKUP(
    A122,
    IMPORTRANGE(
      ""1ZHMy3vVUd_0MrSduXTe1etBb1HNpAlGwQr006ljwMiM"",
      ""GSC最新!A:F""
    ),
    6,
    FALSE
  ),
  0
)
"),46081.0)</f>
        <v>46081</v>
      </c>
      <c r="AE122" s="54">
        <f>IFERROR(__xludf.DUMMYFUNCTION("IFERROR(
  VLOOKUP(
    A122,
    IMPORTRANGE(
      ""1SCYQd7_cobOYqT0r_F0IqD4tE4rYn5y8Eup4PJTH8es"",
      ""Snapshot!A:M""
    ),
    5,
    FALSE
  ),
  ""-""
)
"),0.0)</f>
        <v>0</v>
      </c>
      <c r="AF122" s="54">
        <f>IFERROR(__xludf.DUMMYFUNCTION("IFERROR(
  VLOOKUP(
    A122,
    IMPORTRANGE(
      ""1SCYQd7_cobOYqT0r_F0IqD4tE4rYn5y8Eup4PJTH8es"",
      ""Snapshot!A:M""
    ),
    6,
    FALSE
  ),
  0
)
"),0.0)</f>
        <v>0</v>
      </c>
      <c r="AG122" s="54">
        <f>IFERROR(__xludf.DUMMYFUNCTION("IFERROR(
  VLOOKUP(
    A122,
    IMPORTRANGE(
      ""1SCYQd7_cobOYqT0r_F0IqD4tE4rYn5y8Eup4PJTH8es"",
      ""Snapshot!A:M""
    ),
    7,
    FALSE
  ),
  0
)
"),127.0)</f>
        <v>127</v>
      </c>
      <c r="AH122" s="54">
        <f>IFERROR(__xludf.DUMMYFUNCTION("IFERROR(
  VLOOKUP(
    A122,
    IMPORTRANGE(
      ""1SCYQd7_cobOYqT0r_F0IqD4tE4rYn5y8Eup4PJTH8es"",
      ""Snapshot!A:M""
    ),
    8,
    FALSE
  ),
  0
)
"),0.0)</f>
        <v>0</v>
      </c>
      <c r="AI122" s="54">
        <f>IFERROR(__xludf.DUMMYFUNCTION("IFERROR(
  VLOOKUP(
    A122,
    IMPORTRANGE(
      ""1SCYQd7_cobOYqT0r_F0IqD4tE4rYn5y8Eup4PJTH8es"",
      ""Snapshot!A:M""
    ),
    9,
    FALSE
  ),
  0
)
"),1.0)</f>
        <v>1</v>
      </c>
      <c r="AJ122" s="54">
        <f>IFERROR(__xludf.DUMMYFUNCTION("IFERROR(
  VLOOKUP(
    A122,
    IMPORTRANGE(
      ""1SCYQd7_cobOYqT0r_F0IqD4tE4rYn5y8Eup4PJTH8es"",
      ""Snapshot!A:M""
    ),
    13,
    FALSE
  ),
  0
)
"),1.0)</f>
        <v>1</v>
      </c>
      <c r="AK122" s="49">
        <f t="shared" ref="AK122:AL122" si="605">LEN(C122)</f>
        <v>51</v>
      </c>
      <c r="AL122" s="49">
        <f t="shared" si="605"/>
        <v>55</v>
      </c>
    </row>
    <row r="123">
      <c r="A123" s="1" t="s">
        <v>1057</v>
      </c>
      <c r="B123" s="1" t="str">
        <f>IFERROR(__xludf.DUMMYFUNCTION("IFERROR(
  VLOOKUP(
    A123,
    IMPORTRANGE(
      ""1ZygntHC1J6IxzKbTidmOyf5nUyW4GCLurHCjexrLm_o"",
      ""HTMLキャッシュ!A:F""
    ),
    2,
    FALSE
  ),
  0
)
"),"NW")</f>
        <v>NW</v>
      </c>
      <c r="C123" s="1" t="str">
        <f>IFERROR(__xludf.DUMMYFUNCTION("IFERROR(
  VLOOKUP(
    A123,
    IMPORTRANGE(
      ""1ZygntHC1J6IxzKbTidmOyf5nUyW4GCLurHCjexrLm_o"",
      ""HTMLキャッシュ!A:F""
    ),
    5,
    FALSE
  ),
  0
)
"),"2025年度冬期講習会のお知らせ - 受験英語専門ゼミ「Re-Write」(リライト)")</f>
        <v>2025年度冬期講習会のお知らせ - 受験英語専門ゼミ「Re-Write」(リライト)</v>
      </c>
      <c r="D123" s="1" t="str">
        <f>IFERROR(__xludf.DUMMYFUNCTION("IFERROR(
  VLOOKUP(
    A123,
    IMPORTRANGE(
      ""1ZygntHC1J6IxzKbTidmOyf5nUyW4GCLurHCjexrLm_o        "",
      ""HTMLキャッシュ!A:F""
    ),
    6,
    FALSE
  ),
  0
)
"),"弊塾では、2025年度も冬期講習会を実施いたします。 現在当塾に通塾中の塾生の皆さんはもちろん、他塾に通われて")</f>
        <v>弊塾では、2025年度も冬期講習会を実施いたします。 現在当塾に通塾中の塾生の皆さんはもちろん、他塾に通われて</v>
      </c>
      <c r="E123" s="32">
        <f>IFERROR(__xludf.DUMMYFUNCTION("IFERROR(
  VLOOKUP(
    A123,
    IMPORTRANGE(
      ""1ZygntHC1J6IxzKbTidmOyf5nUyW4GCLurHCjexrLm_o        "",
      ""HTMLキャッシュ!A:F""
    ),
    3,
    FALSE
  ),
  0
)
"),45986.87708333333)</f>
        <v>45986.87708</v>
      </c>
      <c r="F123" s="49">
        <f>IFERROR(__xludf.DUMMYFUNCTION("IFERROR(
  VLOOKUP(
    A123,
    IMPORTRANGE(
      ""1ZHMy3vVUd_0MrSduXTe1etBb1HNpAlGwQr006ljwMiM"",
      ""GSC最新!A:F""
    ),
    2,
    FALSE
  ),
  0
)
"),0.0)</f>
        <v>0</v>
      </c>
      <c r="G123" s="49">
        <f>IFERROR(__xludf.DUMMYFUNCTION("IFERROR(
  VLOOKUP(
    A123,
    IMPORTRANGE(
      ""1ZHMy3vVUd_0MrSduXTe1etBb1HNpAlGwQr006ljwMiM"",
      ""GSC最新!A:F""
    ),
    3,
    FALSE
  ),
  0
)
"),0.0)</f>
        <v>0</v>
      </c>
      <c r="H123" s="49">
        <f>IFERROR(__xludf.DUMMYFUNCTION("IFERROR(
  VLOOKUP(
    A123,
    IMPORTRANGE(
      ""1ZHMy3vVUd_0MrSduXTe1etBb1HNpAlGwQr006ljwMiM"",
      ""GSC最新!A:F""
    ),
    4,
    FALSE
  ),
  0
)
"),0.0)</f>
        <v>0</v>
      </c>
      <c r="I123" s="49">
        <f>IFERROR(__xludf.DUMMYFUNCTION("IFERROR(
  VLOOKUP(
    A123,
    IMPORTRANGE(
      ""1ZHMy3vVUd_0MrSduXTe1etBb1HNpAlGwQr006ljwMiM"",
      ""GSC最新!A:F""
    ),
    5,
    FALSE
  ),
  0
)
"),0.0)</f>
        <v>0</v>
      </c>
      <c r="J123" s="50" t="str">
        <f t="shared" ref="J123:K123" si="606">IFERROR(F123/H123,"-")</f>
        <v>-</v>
      </c>
      <c r="K123" s="50" t="str">
        <f t="shared" si="606"/>
        <v>-</v>
      </c>
      <c r="L123" s="6">
        <f>IFERROR(__xludf.DUMMYFUNCTION("IFERROR(
  VLOOKUP(
    A123,
    IMPORTRANGE(
      ""1ZHMy3vVUd_0MrSduXTe1etBb1HNpAlGwQr006ljwMiM"",
      ""GSC最新!A:R""
    ),
    7,
    FALSE
  ),
  0
)
"),1.0)</f>
        <v>1</v>
      </c>
      <c r="M123" s="6">
        <f>IFERROR(__xludf.DUMMYFUNCTION("IFERROR(
  VLOOKUP(
    A123,
    IMPORTRANGE(
      ""1ZHMy3vVUd_0MrSduXTe1etBb1HNpAlGwQr006ljwMiM"",
      ""GSC最新!A:R""
    ),
    10,
    FALSE
  ),
  0
)
"),8.0)</f>
        <v>8</v>
      </c>
      <c r="N123" s="6">
        <f>IFERROR(__xludf.DUMMYFUNCTION("IFERROR(
  VLOOKUP(
    A123,
    IMPORTRANGE(
      ""1ZHMy3vVUd_0MrSduXTe1etBb1HNpAlGwQr006ljwMiM"",
      ""GSC最新!A:R""
    ),
    13,
    FALSE
  ),
  0
)
"),0.0)</f>
        <v>0</v>
      </c>
      <c r="O123" s="6">
        <f>IFERROR(__xludf.DUMMYFUNCTION("IFERROR(
  VLOOKUP(
    A123,
    IMPORTRANGE(
      ""1ZHMy3vVUd_0MrSduXTe1etBb1HNpAlGwQr006ljwMiM"",
      ""GSC最新!A:R""
    ),
    16,
    FALSE
  ),
  0
)
"),0.0)</f>
        <v>0</v>
      </c>
      <c r="P123" s="51" t="str">
        <f t="shared" ref="P123:Q123" si="607">IFERROR(L123/N123,"-")</f>
        <v>-</v>
      </c>
      <c r="Q123" s="51" t="str">
        <f t="shared" si="607"/>
        <v>-</v>
      </c>
      <c r="R123" s="9">
        <f>IFERROR(__xludf.DUMMYFUNCTION("IFERROR(
  VLOOKUP(
    A123,
    IMPORTRANGE(
      ""1ZHMy3vVUd_0MrSduXTe1etBb1HNpAlGwQr006ljwMiM"",
      ""GSC最新!A:R""
    ),
    8,
    FALSE
  ),
  0
)
"),0.0)</f>
        <v>0</v>
      </c>
      <c r="S123" s="9">
        <f>IFERROR(__xludf.DUMMYFUNCTION("IFERROR(
  VLOOKUP(
    A123,
    IMPORTRANGE(
      ""1ZHMy3vVUd_0MrSduXTe1etBb1HNpAlGwQr006ljwMiM"",
      ""GSC最新!A:R""
    ),
    11,
    FALSE
  ),
  0
)
"),0.0)</f>
        <v>0</v>
      </c>
      <c r="T123" s="9">
        <f>IFERROR(__xludf.DUMMYFUNCTION("IFERROR(
  VLOOKUP(
    A123,
    IMPORTRANGE(
      ""1ZHMy3vVUd_0MrSduXTe1etBb1HNpAlGwQr006ljwMiM"",
      ""GSC最新!A:R""
    ),
    14,
    FALSE
  ),
  0
)
"),0.0)</f>
        <v>0</v>
      </c>
      <c r="U123" s="9">
        <f>IFERROR(__xludf.DUMMYFUNCTION("IFERROR(
  VLOOKUP(
    A123,
    IMPORTRANGE(
      ""1ZHMy3vVUd_0MrSduXTe1etBb1HNpAlGwQr006ljwMiM"",
      ""GSC最新!A:R""
    ),
    17,
    FALSE
  ),
  0
)
"),0.0)</f>
        <v>0</v>
      </c>
      <c r="V123" s="9">
        <f t="shared" ref="V123:W123" si="608">IFERROR(R123-T123,"-")</f>
        <v>0</v>
      </c>
      <c r="W123" s="9">
        <f t="shared" si="608"/>
        <v>0</v>
      </c>
      <c r="X123" s="65">
        <f>IFERROR(__xludf.DUMMYFUNCTION("IFERROR(
  VLOOKUP(
    A123,
    IMPORTRANGE(
      ""1ZHMy3vVUd_0MrSduXTe1etBb1HNpAlGwQr006ljwMiM"",
      ""GSC最新!A:R""
    ),
    9,
    FALSE
  ),
  0
)
"),8.0)</f>
        <v>8</v>
      </c>
      <c r="Y123" s="65">
        <f>IFERROR(__xludf.DUMMYFUNCTION("IFERROR(
  VLOOKUP(
    A123,
    IMPORTRANGE(
      ""1ZHMy3vVUd_0MrSduXTe1etBb1HNpAlGwQr006ljwMiM"",
      ""GSC最新!A:R""
    ),
    12,
    FALSE
  ),
  0
)
"),13.5)</f>
        <v>13.5</v>
      </c>
      <c r="Z123" s="65" t="str">
        <f>IFERROR(__xludf.DUMMYFUNCTION("IFERROR(
  VLOOKUP(
    A123,
    IMPORTRANGE(
      ""1ZHMy3vVUd_0MrSduXTe1etBb1HNpAlGwQr006ljwMiM"",
      ""GSC最新!A:R""
    ),
    15,
    FALSE
  ),
  0
)
"),"")</f>
        <v/>
      </c>
      <c r="AA123" s="65" t="str">
        <f>IFERROR(__xludf.DUMMYFUNCTION("IFERROR(
  VLOOKUP(
    A123,
    IMPORTRANGE(
      ""1ZHMy3vVUd_0MrSduXTe1etBb1HNpAlGwQr006ljwMiM"",
      ""GSC最新!A:R""
    ),
    18,
    FALSE
  ),
  0
)
"),"")</f>
        <v/>
      </c>
      <c r="AB123" s="65">
        <f t="shared" ref="AB123:AC123" si="609">X123-Z123</f>
        <v>8</v>
      </c>
      <c r="AC123" s="65">
        <f t="shared" si="609"/>
        <v>13.5</v>
      </c>
      <c r="AD123" s="53">
        <f>IFERROR(__xludf.DUMMYFUNCTION("IFERROR(
  VLOOKUP(
    A123,
    IMPORTRANGE(
      ""1ZHMy3vVUd_0MrSduXTe1etBb1HNpAlGwQr006ljwMiM"",
      ""GSC最新!A:F""
    ),
    6,
    FALSE
  ),
  0
)
"),46081.0)</f>
        <v>46081</v>
      </c>
      <c r="AE123" s="54">
        <f>IFERROR(__xludf.DUMMYFUNCTION("IFERROR(
  VLOOKUP(
    A123,
    IMPORTRANGE(
      ""1SCYQd7_cobOYqT0r_F0IqD4tE4rYn5y8Eup4PJTH8es"",
      ""Snapshot!A:M""
    ),
    5,
    FALSE
  ),
  ""-""
)
"),0.0)</f>
        <v>0</v>
      </c>
      <c r="AF123" s="54">
        <f>IFERROR(__xludf.DUMMYFUNCTION("IFERROR(
  VLOOKUP(
    A123,
    IMPORTRANGE(
      ""1SCYQd7_cobOYqT0r_F0IqD4tE4rYn5y8Eup4PJTH8es"",
      ""Snapshot!A:M""
    ),
    6,
    FALSE
  ),
  0
)
"),0.0)</f>
        <v>0</v>
      </c>
      <c r="AG123" s="54">
        <f>IFERROR(__xludf.DUMMYFUNCTION("IFERROR(
  VLOOKUP(
    A123,
    IMPORTRANGE(
      ""1SCYQd7_cobOYqT0r_F0IqD4tE4rYn5y8Eup4PJTH8es"",
      ""Snapshot!A:M""
    ),
    7,
    FALSE
  ),
  0
)
"),490.0)</f>
        <v>490</v>
      </c>
      <c r="AH123" s="54">
        <f>IFERROR(__xludf.DUMMYFUNCTION("IFERROR(
  VLOOKUP(
    A123,
    IMPORTRANGE(
      ""1SCYQd7_cobOYqT0r_F0IqD4tE4rYn5y8Eup4PJTH8es"",
      ""Snapshot!A:M""
    ),
    8,
    FALSE
  ),
  0
)
"),1.0)</f>
        <v>1</v>
      </c>
      <c r="AI123" s="54">
        <f>IFERROR(__xludf.DUMMYFUNCTION("IFERROR(
  VLOOKUP(
    A123,
    IMPORTRANGE(
      ""1SCYQd7_cobOYqT0r_F0IqD4tE4rYn5y8Eup4PJTH8es"",
      ""Snapshot!A:M""
    ),
    9,
    FALSE
  ),
  0
)
"),1.0)</f>
        <v>1</v>
      </c>
      <c r="AJ123" s="54">
        <f>IFERROR(__xludf.DUMMYFUNCTION("IFERROR(
  VLOOKUP(
    A123,
    IMPORTRANGE(
      ""1SCYQd7_cobOYqT0r_F0IqD4tE4rYn5y8Eup4PJTH8es"",
      ""Snapshot!A:M""
    ),
    13,
    FALSE
  ),
  0
)
"),1.0)</f>
        <v>1</v>
      </c>
      <c r="AK123" s="49">
        <f t="shared" ref="AK123:AL123" si="610">LEN(C123)</f>
        <v>43</v>
      </c>
      <c r="AL123" s="49">
        <f t="shared" si="610"/>
        <v>55</v>
      </c>
    </row>
    <row r="124">
      <c r="A124" s="1" t="s">
        <v>1058</v>
      </c>
      <c r="B124" s="1" t="str">
        <f>IFERROR(__xludf.DUMMYFUNCTION("IFERROR(
  VLOOKUP(
    A124,
    IMPORTRANGE(
      ""1ZygntHC1J6IxzKbTidmOyf5nUyW4GCLurHCjexrLm_o"",
      ""HTMLキャッシュ!A:F""
    ),
    2,
    FALSE
  ),
  0
)
"),"NW")</f>
        <v>NW</v>
      </c>
      <c r="C124" s="1" t="str">
        <f>IFERROR(__xludf.DUMMYFUNCTION("IFERROR(
  VLOOKUP(
    A124,
    IMPORTRANGE(
      ""1ZygntHC1J6IxzKbTidmOyf5nUyW4GCLurHCjexrLm_o"",
      ""HTMLキャッシュ!A:F""
    ),
    5,
    FALSE
  ),
  0
)
"),"2025年度 夏期講習 開催のお知らせ - 受験英語専門ゼミ「Re-Write」(リライト)")</f>
        <v>2025年度 夏期講習 開催のお知らせ - 受験英語専門ゼミ「Re-Write」(リライト)</v>
      </c>
      <c r="D124" s="1" t="str">
        <f>IFERROR(__xludf.DUMMYFUNCTION("IFERROR(
  VLOOKUP(
    A124,
    IMPORTRANGE(
      ""1ZygntHC1J6IxzKbTidmOyf5nUyW4GCLurHCjexrLm_o        "",
      ""HTMLキャッシュ!A:F""
    ),
    6,
    FALSE
  ),
  0
)
"),"夏休みを目前に控え、 受験英語専門ゼミ Re-Write では 2025年度 夏期講習会 を実施いたします。")</f>
        <v>夏休みを目前に控え、 受験英語専門ゼミ Re-Write では 2025年度 夏期講習会 を実施いたします。</v>
      </c>
      <c r="E124" s="32">
        <f>IFERROR(__xludf.DUMMYFUNCTION("IFERROR(
  VLOOKUP(
    A124,
    IMPORTRANGE(
      ""1ZygntHC1J6IxzKbTidmOyf5nUyW4GCLurHCjexrLm_o        "",
      ""HTMLキャッシュ!A:F""
    ),
    3,
    FALSE
  ),
  0
)
"),45968.754791666666)</f>
        <v>45968.75479</v>
      </c>
      <c r="F124" s="49">
        <f>IFERROR(__xludf.DUMMYFUNCTION("IFERROR(
  VLOOKUP(
    A124,
    IMPORTRANGE(
      ""1ZHMy3vVUd_0MrSduXTe1etBb1HNpAlGwQr006ljwMiM"",
      ""GSC最新!A:F""
    ),
    2,
    FALSE
  ),
  0
)
"),0.0)</f>
        <v>0</v>
      </c>
      <c r="G124" s="49">
        <f>IFERROR(__xludf.DUMMYFUNCTION("IFERROR(
  VLOOKUP(
    A124,
    IMPORTRANGE(
      ""1ZHMy3vVUd_0MrSduXTe1etBb1HNpAlGwQr006ljwMiM"",
      ""GSC最新!A:F""
    ),
    3,
    FALSE
  ),
  0
)
"),0.0)</f>
        <v>0</v>
      </c>
      <c r="H124" s="49">
        <f>IFERROR(__xludf.DUMMYFUNCTION("IFERROR(
  VLOOKUP(
    A124,
    IMPORTRANGE(
      ""1ZHMy3vVUd_0MrSduXTe1etBb1HNpAlGwQr006ljwMiM"",
      ""GSC最新!A:F""
    ),
    4,
    FALSE
  ),
  0
)
"),0.0)</f>
        <v>0</v>
      </c>
      <c r="I124" s="49">
        <f>IFERROR(__xludf.DUMMYFUNCTION("IFERROR(
  VLOOKUP(
    A124,
    IMPORTRANGE(
      ""1ZHMy3vVUd_0MrSduXTe1etBb1HNpAlGwQr006ljwMiM"",
      ""GSC最新!A:F""
    ),
    5,
    FALSE
  ),
  0
)
"),0.0)</f>
        <v>0</v>
      </c>
      <c r="J124" s="50" t="str">
        <f t="shared" ref="J124:K124" si="611">IFERROR(F124/H124,"-")</f>
        <v>-</v>
      </c>
      <c r="K124" s="50" t="str">
        <f t="shared" si="611"/>
        <v>-</v>
      </c>
      <c r="L124" s="6">
        <f>IFERROR(__xludf.DUMMYFUNCTION("IFERROR(
  VLOOKUP(
    A124,
    IMPORTRANGE(
      ""1ZHMy3vVUd_0MrSduXTe1etBb1HNpAlGwQr006ljwMiM"",
      ""GSC最新!A:R""
    ),
    7,
    FALSE
  ),
  0
)
"),0.0)</f>
        <v>0</v>
      </c>
      <c r="M124" s="6">
        <f>IFERROR(__xludf.DUMMYFUNCTION("IFERROR(
  VLOOKUP(
    A124,
    IMPORTRANGE(
      ""1ZHMy3vVUd_0MrSduXTe1etBb1HNpAlGwQr006ljwMiM"",
      ""GSC最新!A:R""
    ),
    10,
    FALSE
  ),
  0
)
"),7.0)</f>
        <v>7</v>
      </c>
      <c r="N124" s="6">
        <f>IFERROR(__xludf.DUMMYFUNCTION("IFERROR(
  VLOOKUP(
    A124,
    IMPORTRANGE(
      ""1ZHMy3vVUd_0MrSduXTe1etBb1HNpAlGwQr006ljwMiM"",
      ""GSC最新!A:R""
    ),
    13,
    FALSE
  ),
  0
)
"),0.0)</f>
        <v>0</v>
      </c>
      <c r="O124" s="6">
        <f>IFERROR(__xludf.DUMMYFUNCTION("IFERROR(
  VLOOKUP(
    A124,
    IMPORTRANGE(
      ""1ZHMy3vVUd_0MrSduXTe1etBb1HNpAlGwQr006ljwMiM"",
      ""GSC最新!A:R""
    ),
    16,
    FALSE
  ),
  0
)
"),0.0)</f>
        <v>0</v>
      </c>
      <c r="P124" s="51" t="str">
        <f t="shared" ref="P124:Q124" si="612">IFERROR(L124/N124,"-")</f>
        <v>-</v>
      </c>
      <c r="Q124" s="51" t="str">
        <f t="shared" si="612"/>
        <v>-</v>
      </c>
      <c r="R124" s="9">
        <f>IFERROR(__xludf.DUMMYFUNCTION("IFERROR(
  VLOOKUP(
    A124,
    IMPORTRANGE(
      ""1ZHMy3vVUd_0MrSduXTe1etBb1HNpAlGwQr006ljwMiM"",
      ""GSC最新!A:R""
    ),
    8,
    FALSE
  ),
  0
)
"),0.0)</f>
        <v>0</v>
      </c>
      <c r="S124" s="9">
        <f>IFERROR(__xludf.DUMMYFUNCTION("IFERROR(
  VLOOKUP(
    A124,
    IMPORTRANGE(
      ""1ZHMy3vVUd_0MrSduXTe1etBb1HNpAlGwQr006ljwMiM"",
      ""GSC最新!A:R""
    ),
    11,
    FALSE
  ),
  0
)
"),0.0)</f>
        <v>0</v>
      </c>
      <c r="T124" s="9">
        <f>IFERROR(__xludf.DUMMYFUNCTION("IFERROR(
  VLOOKUP(
    A124,
    IMPORTRANGE(
      ""1ZHMy3vVUd_0MrSduXTe1etBb1HNpAlGwQr006ljwMiM"",
      ""GSC最新!A:R""
    ),
    14,
    FALSE
  ),
  0
)
"),0.0)</f>
        <v>0</v>
      </c>
      <c r="U124" s="9">
        <f>IFERROR(__xludf.DUMMYFUNCTION("IFERROR(
  VLOOKUP(
    A124,
    IMPORTRANGE(
      ""1ZHMy3vVUd_0MrSduXTe1etBb1HNpAlGwQr006ljwMiM"",
      ""GSC最新!A:R""
    ),
    17,
    FALSE
  ),
  0
)
"),0.0)</f>
        <v>0</v>
      </c>
      <c r="V124" s="9">
        <f t="shared" ref="V124:W124" si="613">IFERROR(R124-T124,"-")</f>
        <v>0</v>
      </c>
      <c r="W124" s="9">
        <f t="shared" si="613"/>
        <v>0</v>
      </c>
      <c r="X124" s="65" t="str">
        <f>IFERROR(__xludf.DUMMYFUNCTION("IFERROR(
  VLOOKUP(
    A124,
    IMPORTRANGE(
      ""1ZHMy3vVUd_0MrSduXTe1etBb1HNpAlGwQr006ljwMiM"",
      ""GSC最新!A:R""
    ),
    9,
    FALSE
  ),
  0
)
"),"")</f>
        <v/>
      </c>
      <c r="Y124" s="65">
        <f>IFERROR(__xludf.DUMMYFUNCTION("IFERROR(
  VLOOKUP(
    A124,
    IMPORTRANGE(
      ""1ZHMy3vVUd_0MrSduXTe1etBb1HNpAlGwQr006ljwMiM"",
      ""GSC最新!A:R""
    ),
    12,
    FALSE
  ),
  0
)
"),8.0)</f>
        <v>8</v>
      </c>
      <c r="Z124" s="65" t="str">
        <f>IFERROR(__xludf.DUMMYFUNCTION("IFERROR(
  VLOOKUP(
    A124,
    IMPORTRANGE(
      ""1ZHMy3vVUd_0MrSduXTe1etBb1HNpAlGwQr006ljwMiM"",
      ""GSC最新!A:R""
    ),
    15,
    FALSE
  ),
  0
)
"),"")</f>
        <v/>
      </c>
      <c r="AA124" s="65" t="str">
        <f>IFERROR(__xludf.DUMMYFUNCTION("IFERROR(
  VLOOKUP(
    A124,
    IMPORTRANGE(
      ""1ZHMy3vVUd_0MrSduXTe1etBb1HNpAlGwQr006ljwMiM"",
      ""GSC最新!A:R""
    ),
    18,
    FALSE
  ),
  0
)
"),"")</f>
        <v/>
      </c>
      <c r="AB124" s="65">
        <f t="shared" ref="AB124:AC124" si="614">X124-Z124</f>
        <v>0</v>
      </c>
      <c r="AC124" s="65">
        <f t="shared" si="614"/>
        <v>8</v>
      </c>
      <c r="AD124" s="53">
        <f>IFERROR(__xludf.DUMMYFUNCTION("IFERROR(
  VLOOKUP(
    A124,
    IMPORTRANGE(
      ""1ZHMy3vVUd_0MrSduXTe1etBb1HNpAlGwQr006ljwMiM"",
      ""GSC最新!A:F""
    ),
    6,
    FALSE
  ),
  0
)
"),46081.0)</f>
        <v>46081</v>
      </c>
      <c r="AE124" s="54">
        <f>IFERROR(__xludf.DUMMYFUNCTION("IFERROR(
  VLOOKUP(
    A124,
    IMPORTRANGE(
      ""1SCYQd7_cobOYqT0r_F0IqD4tE4rYn5y8Eup4PJTH8es"",
      ""Snapshot!A:M""
    ),
    5,
    FALSE
  ),
  ""-""
)
"),0.0)</f>
        <v>0</v>
      </c>
      <c r="AF124" s="54">
        <f>IFERROR(__xludf.DUMMYFUNCTION("IFERROR(
  VLOOKUP(
    A124,
    IMPORTRANGE(
      ""1SCYQd7_cobOYqT0r_F0IqD4tE4rYn5y8Eup4PJTH8es"",
      ""Snapshot!A:M""
    ),
    6,
    FALSE
  ),
  0
)
"),0.0)</f>
        <v>0</v>
      </c>
      <c r="AG124" s="54">
        <f>IFERROR(__xludf.DUMMYFUNCTION("IFERROR(
  VLOOKUP(
    A124,
    IMPORTRANGE(
      ""1SCYQd7_cobOYqT0r_F0IqD4tE4rYn5y8Eup4PJTH8es"",
      ""Snapshot!A:M""
    ),
    7,
    FALSE
  ),
  0
)
"),564.0)</f>
        <v>564</v>
      </c>
      <c r="AH124" s="54">
        <f>IFERROR(__xludf.DUMMYFUNCTION("IFERROR(
  VLOOKUP(
    A124,
    IMPORTRANGE(
      ""1SCYQd7_cobOYqT0r_F0IqD4tE4rYn5y8Eup4PJTH8es"",
      ""Snapshot!A:M""
    ),
    8,
    FALSE
  ),
  0
)
"),1.0)</f>
        <v>1</v>
      </c>
      <c r="AI124" s="54">
        <f>IFERROR(__xludf.DUMMYFUNCTION("IFERROR(
  VLOOKUP(
    A124,
    IMPORTRANGE(
      ""1SCYQd7_cobOYqT0r_F0IqD4tE4rYn5y8Eup4PJTH8es"",
      ""Snapshot!A:M""
    ),
    9,
    FALSE
  ),
  0
)
"),1.0)</f>
        <v>1</v>
      </c>
      <c r="AJ124" s="54">
        <f>IFERROR(__xludf.DUMMYFUNCTION("IFERROR(
  VLOOKUP(
    A124,
    IMPORTRANGE(
      ""1SCYQd7_cobOYqT0r_F0IqD4tE4rYn5y8Eup4PJTH8es"",
      ""Snapshot!A:M""
    ),
    13,
    FALSE
  ),
  0
)
"),1.0)</f>
        <v>1</v>
      </c>
      <c r="AK124" s="49">
        <f t="shared" ref="AK124:AL124" si="615">LEN(C124)</f>
        <v>46</v>
      </c>
      <c r="AL124" s="49">
        <f t="shared" si="615"/>
        <v>54</v>
      </c>
    </row>
    <row r="125">
      <c r="A125" s="3" t="s">
        <v>1059</v>
      </c>
      <c r="B125" s="1" t="str">
        <f>IFERROR(__xludf.DUMMYFUNCTION("IFERROR(
  VLOOKUP(
    A125,
    IMPORTRANGE(
      ""1ZygntHC1J6IxzKbTidmOyf5nUyW4GCLurHCjexrLm_o"",
      ""HTMLキャッシュ!A:F""
    ),
    2,
    FALSE
  ),
  0
)
"),"MC")</f>
        <v>MC</v>
      </c>
      <c r="C125" s="1" t="str">
        <f>IFERROR(__xludf.DUMMYFUNCTION("IFERROR(
  VLOOKUP(
    A125,
    IMPORTRANGE(
      ""1ZygntHC1J6IxzKbTidmOyf5nUyW4GCLurHCjexrLm_o"",
      ""HTMLキャッシュ!A:F""
    ),
    5,
    FALSE
  ),
  0
)
"),"STAGE3 Lesson5-2副詞節(いろいろな従位接続詞)【ニュートレジャーの道案内】 - 受験英語専門ゼミ「Re-Write」(リライト)")</f>
        <v>STAGE3 Lesson5-2副詞節(いろいろな従位接続詞)【ニュートレジャーの道案内】 - 受験英語専門ゼミ「Re-Write」(リライト)</v>
      </c>
      <c r="D125" s="1" t="str">
        <f>IFERROR(__xludf.DUMMYFUNCTION("IFERROR(
  VLOOKUP(
    A125,
    IMPORTRANGE(
      ""1ZygntHC1J6IxzKbTidmOyf5nUyW4GCLurHCjexrLm_o        "",
      ""HTMLキャッシュ!A:F""
    ),
    6,
    FALSE
  ),
  0
)
"),"時を表す接続詞や結果目的を示す接続詞を徹底解説！&amp;quot;since&amp;quot;や&amp;quot;until&amp;quot;、&amp;quot;by the time&amp;quot;の使い方を学び、英文の理解を深めましょう。詳しくは記事でチェック！")</f>
        <v>時を表す接続詞や結果目的を示す接続詞を徹底解説！&amp;quot;since&amp;quot;や&amp;quot;until&amp;quot;、&amp;quot;by the time&amp;quot;の使い方を学び、英文の理解を深めましょう。詳しくは記事でチェック！</v>
      </c>
      <c r="E125" s="32">
        <f>IFERROR(__xludf.DUMMYFUNCTION("IFERROR(
  VLOOKUP(
    A125,
    IMPORTRANGE(
      ""1ZygntHC1J6IxzKbTidmOyf5nUyW4GCLurHCjexrLm_o        "",
      ""HTMLキャッシュ!A:F""
    ),
    3,
    FALSE
  ),
  0
)
"),46043.619467592594)</f>
        <v>46043.61947</v>
      </c>
      <c r="F125" s="49">
        <f>IFERROR(__xludf.DUMMYFUNCTION("IFERROR(
  VLOOKUP(
    A125,
    IMPORTRANGE(
      ""1ZHMy3vVUd_0MrSduXTe1etBb1HNpAlGwQr006ljwMiM"",
      ""GSC最新!A:F""
    ),
    2,
    FALSE
  ),
  0
)
"),0.0)</f>
        <v>0</v>
      </c>
      <c r="G125" s="49">
        <f>IFERROR(__xludf.DUMMYFUNCTION("IFERROR(
  VLOOKUP(
    A125,
    IMPORTRANGE(
      ""1ZHMy3vVUd_0MrSduXTe1etBb1HNpAlGwQr006ljwMiM"",
      ""GSC最新!A:F""
    ),
    3,
    FALSE
  ),
  0
)
"),0.0)</f>
        <v>0</v>
      </c>
      <c r="H125" s="49">
        <f>IFERROR(__xludf.DUMMYFUNCTION("IFERROR(
  VLOOKUP(
    A125,
    IMPORTRANGE(
      ""1ZHMy3vVUd_0MrSduXTe1etBb1HNpAlGwQr006ljwMiM"",
      ""GSC最新!A:F""
    ),
    4,
    FALSE
  ),
  0
)
"),0.0)</f>
        <v>0</v>
      </c>
      <c r="I125" s="49">
        <f>IFERROR(__xludf.DUMMYFUNCTION("IFERROR(
  VLOOKUP(
    A125,
    IMPORTRANGE(
      ""1ZHMy3vVUd_0MrSduXTe1etBb1HNpAlGwQr006ljwMiM"",
      ""GSC最新!A:F""
    ),
    5,
    FALSE
  ),
  0
)
"),0.0)</f>
        <v>0</v>
      </c>
      <c r="J125" s="50" t="str">
        <f t="shared" ref="J125:K125" si="616">IFERROR(F125/H125,"-")</f>
        <v>-</v>
      </c>
      <c r="K125" s="50" t="str">
        <f t="shared" si="616"/>
        <v>-</v>
      </c>
      <c r="L125" s="6">
        <f>IFERROR(__xludf.DUMMYFUNCTION("IFERROR(
  VLOOKUP(
    A125,
    IMPORTRANGE(
      ""1ZHMy3vVUd_0MrSduXTe1etBb1HNpAlGwQr006ljwMiM"",
      ""GSC最新!A:R""
    ),
    7,
    FALSE
  ),
  0
)
"),1.0)</f>
        <v>1</v>
      </c>
      <c r="M125" s="6">
        <f>IFERROR(__xludf.DUMMYFUNCTION("IFERROR(
  VLOOKUP(
    A125,
    IMPORTRANGE(
      ""1ZHMy3vVUd_0MrSduXTe1etBb1HNpAlGwQr006ljwMiM"",
      ""GSC最新!A:R""
    ),
    10,
    FALSE
  ),
  0
)
"),7.0)</f>
        <v>7</v>
      </c>
      <c r="N125" s="6">
        <f>IFERROR(__xludf.DUMMYFUNCTION("IFERROR(
  VLOOKUP(
    A125,
    IMPORTRANGE(
      ""1ZHMy3vVUd_0MrSduXTe1etBb1HNpAlGwQr006ljwMiM"",
      ""GSC最新!A:R""
    ),
    13,
    FALSE
  ),
  0
)
"),0.0)</f>
        <v>0</v>
      </c>
      <c r="O125" s="6">
        <f>IFERROR(__xludf.DUMMYFUNCTION("IFERROR(
  VLOOKUP(
    A125,
    IMPORTRANGE(
      ""1ZHMy3vVUd_0MrSduXTe1etBb1HNpAlGwQr006ljwMiM"",
      ""GSC最新!A:R""
    ),
    16,
    FALSE
  ),
  0
)
"),0.0)</f>
        <v>0</v>
      </c>
      <c r="P125" s="51" t="str">
        <f t="shared" ref="P125:Q125" si="617">IFERROR(L125/N125,"-")</f>
        <v>-</v>
      </c>
      <c r="Q125" s="51" t="str">
        <f t="shared" si="617"/>
        <v>-</v>
      </c>
      <c r="R125" s="9">
        <f>IFERROR(__xludf.DUMMYFUNCTION("IFERROR(
  VLOOKUP(
    A125,
    IMPORTRANGE(
      ""1ZHMy3vVUd_0MrSduXTe1etBb1HNpAlGwQr006ljwMiM"",
      ""GSC最新!A:R""
    ),
    8,
    FALSE
  ),
  0
)
"),0.0)</f>
        <v>0</v>
      </c>
      <c r="S125" s="9">
        <f>IFERROR(__xludf.DUMMYFUNCTION("IFERROR(
  VLOOKUP(
    A125,
    IMPORTRANGE(
      ""1ZHMy3vVUd_0MrSduXTe1etBb1HNpAlGwQr006ljwMiM"",
      ""GSC最新!A:R""
    ),
    11,
    FALSE
  ),
  0
)
"),0.0)</f>
        <v>0</v>
      </c>
      <c r="T125" s="9">
        <f>IFERROR(__xludf.DUMMYFUNCTION("IFERROR(
  VLOOKUP(
    A125,
    IMPORTRANGE(
      ""1ZHMy3vVUd_0MrSduXTe1etBb1HNpAlGwQr006ljwMiM"",
      ""GSC最新!A:R""
    ),
    14,
    FALSE
  ),
  0
)
"),0.0)</f>
        <v>0</v>
      </c>
      <c r="U125" s="9">
        <f>IFERROR(__xludf.DUMMYFUNCTION("IFERROR(
  VLOOKUP(
    A125,
    IMPORTRANGE(
      ""1ZHMy3vVUd_0MrSduXTe1etBb1HNpAlGwQr006ljwMiM"",
      ""GSC最新!A:R""
    ),
    17,
    FALSE
  ),
  0
)
"),0.0)</f>
        <v>0</v>
      </c>
      <c r="V125" s="9">
        <f t="shared" ref="V125:W125" si="618">IFERROR(R125-T125,"-")</f>
        <v>0</v>
      </c>
      <c r="W125" s="9">
        <f t="shared" si="618"/>
        <v>0</v>
      </c>
      <c r="X125" s="65">
        <f>IFERROR(__xludf.DUMMYFUNCTION("IFERROR(
  VLOOKUP(
    A125,
    IMPORTRANGE(
      ""1ZHMy3vVUd_0MrSduXTe1etBb1HNpAlGwQr006ljwMiM"",
      ""GSC最新!A:R""
    ),
    9,
    FALSE
  ),
  0
)
"),12.0)</f>
        <v>12</v>
      </c>
      <c r="Y125" s="65">
        <f>IFERROR(__xludf.DUMMYFUNCTION("IFERROR(
  VLOOKUP(
    A125,
    IMPORTRANGE(
      ""1ZHMy3vVUd_0MrSduXTe1etBb1HNpAlGwQr006ljwMiM"",
      ""GSC最新!A:R""
    ),
    12,
    FALSE
  ),
  0
)
"),5.571428571428571)</f>
        <v>5.571428571</v>
      </c>
      <c r="Z125" s="65" t="str">
        <f>IFERROR(__xludf.DUMMYFUNCTION("IFERROR(
  VLOOKUP(
    A125,
    IMPORTRANGE(
      ""1ZHMy3vVUd_0MrSduXTe1etBb1HNpAlGwQr006ljwMiM"",
      ""GSC最新!A:R""
    ),
    15,
    FALSE
  ),
  0
)
"),"")</f>
        <v/>
      </c>
      <c r="AA125" s="65" t="str">
        <f>IFERROR(__xludf.DUMMYFUNCTION("IFERROR(
  VLOOKUP(
    A125,
    IMPORTRANGE(
      ""1ZHMy3vVUd_0MrSduXTe1etBb1HNpAlGwQr006ljwMiM"",
      ""GSC最新!A:R""
    ),
    18,
    FALSE
  ),
  0
)
"),"")</f>
        <v/>
      </c>
      <c r="AB125" s="65">
        <f t="shared" ref="AB125:AC125" si="619">X125-Z125</f>
        <v>12</v>
      </c>
      <c r="AC125" s="65">
        <f t="shared" si="619"/>
        <v>5.571428571</v>
      </c>
      <c r="AD125" s="53">
        <f>IFERROR(__xludf.DUMMYFUNCTION("IFERROR(
  VLOOKUP(
    A125,
    IMPORTRANGE(
      ""1ZHMy3vVUd_0MrSduXTe1etBb1HNpAlGwQr006ljwMiM"",
      ""GSC最新!A:F""
    ),
    6,
    FALSE
  ),
  0
)
"),46081.0)</f>
        <v>46081</v>
      </c>
      <c r="AE125" s="54">
        <f>IFERROR(__xludf.DUMMYFUNCTION("IFERROR(
  VLOOKUP(
    A125,
    IMPORTRANGE(
      ""1SCYQd7_cobOYqT0r_F0IqD4tE4rYn5y8Eup4PJTH8es"",
      ""Snapshot!A:M""
    ),
    5,
    FALSE
  ),
  ""-""
)
"),2.0)</f>
        <v>2</v>
      </c>
      <c r="AF125" s="54">
        <f>IFERROR(__xludf.DUMMYFUNCTION("IFERROR(
  VLOOKUP(
    A125,
    IMPORTRANGE(
      ""1SCYQd7_cobOYqT0r_F0IqD4tE4rYn5y8Eup4PJTH8es"",
      ""Snapshot!A:M""
    ),
    6,
    FALSE
  ),
  0
)
"),8.0)</f>
        <v>8</v>
      </c>
      <c r="AG125" s="54">
        <f>IFERROR(__xludf.DUMMYFUNCTION("IFERROR(
  VLOOKUP(
    A125,
    IMPORTRANGE(
      ""1SCYQd7_cobOYqT0r_F0IqD4tE4rYn5y8Eup4PJTH8es"",
      ""Snapshot!A:M""
    ),
    7,
    FALSE
  ),
  0
)
"),2686.0)</f>
        <v>2686</v>
      </c>
      <c r="AH125" s="54">
        <f>IFERROR(__xludf.DUMMYFUNCTION("IFERROR(
  VLOOKUP(
    A125,
    IMPORTRANGE(
      ""1SCYQd7_cobOYqT0r_F0IqD4tE4rYn5y8Eup4PJTH8es"",
      ""Snapshot!A:M""
    ),
    8,
    FALSE
  ),
  0
)
"),3.0)</f>
        <v>3</v>
      </c>
      <c r="AI125" s="54">
        <f>IFERROR(__xludf.DUMMYFUNCTION("IFERROR(
  VLOOKUP(
    A125,
    IMPORTRANGE(
      ""1SCYQd7_cobOYqT0r_F0IqD4tE4rYn5y8Eup4PJTH8es"",
      ""Snapshot!A:M""
    ),
    9,
    FALSE
  ),
  0
)
"),2.0)</f>
        <v>2</v>
      </c>
      <c r="AJ125" s="54">
        <f>IFERROR(__xludf.DUMMYFUNCTION("IFERROR(
  VLOOKUP(
    A125,
    IMPORTRANGE(
      ""1SCYQd7_cobOYqT0r_F0IqD4tE4rYn5y8Eup4PJTH8es"",
      ""Snapshot!A:M""
    ),
    13,
    FALSE
  ),
  0
)
"),1.0)</f>
        <v>1</v>
      </c>
      <c r="AK125" s="49">
        <f t="shared" ref="AK125:AL125" si="620">LEN(C125)</f>
        <v>72</v>
      </c>
      <c r="AL125" s="49">
        <f t="shared" si="620"/>
        <v>116</v>
      </c>
    </row>
    <row r="126">
      <c r="A126" s="3" t="s">
        <v>1060</v>
      </c>
      <c r="B126" s="1" t="str">
        <f>IFERROR(__xludf.DUMMYFUNCTION("IFERROR(
  VLOOKUP(
    A126,
    IMPORTRANGE(
      ""1ZygntHC1J6IxzKbTidmOyf5nUyW4GCLurHCjexrLm_o"",
      ""HTMLキャッシュ!A:F""
    ),
    2,
    FALSE
  ),
  0
)
"),"MC")</f>
        <v>MC</v>
      </c>
      <c r="C126" s="1" t="str">
        <f>IFERROR(__xludf.DUMMYFUNCTION("IFERROR(
  VLOOKUP(
    A126,
    IMPORTRANGE(
      ""1ZygntHC1J6IxzKbTidmOyf5nUyW4GCLurHCjexrLm_o"",
      ""HTMLキャッシュ!A:F""
    ),
    5,
    FALSE
  ),
  0
)
"),"高校生が英語の勉強に取り組む前にするべきこと - 受験英語専門ゼミ「Re-Write」(リライト)")</f>
        <v>高校生が英語の勉強に取り組む前にするべきこと - 受験英語専門ゼミ「Re-Write」(リライト)</v>
      </c>
      <c r="D126" s="1" t="str">
        <f>IFERROR(__xludf.DUMMYFUNCTION("IFERROR(
  VLOOKUP(
    A126,
    IMPORTRANGE(
      ""1ZygntHC1J6IxzKbTidmOyf5nUyW4GCLurHCjexrLm_o        "",
      ""HTMLキャッシュ!A:F""
    ),
    6,
    FALSE
  ),
  0
)
"),"英語の勉強に取り組む前にじつは大切なことがあります。それは、英語の勉強をするにあたって目標設定をするってことで")</f>
        <v>英語の勉強に取り組む前にじつは大切なことがあります。それは、英語の勉強をするにあたって目標設定をするってことで</v>
      </c>
      <c r="E126" s="32">
        <f>IFERROR(__xludf.DUMMYFUNCTION("IFERROR(
  VLOOKUP(
    A126,
    IMPORTRANGE(
      ""1ZygntHC1J6IxzKbTidmOyf5nUyW4GCLurHCjexrLm_o        "",
      ""HTMLキャッシュ!A:F""
    ),
    3,
    FALSE
  ),
  0
)
"),46043.62391203704)</f>
        <v>46043.62391</v>
      </c>
      <c r="F126" s="49">
        <f>IFERROR(__xludf.DUMMYFUNCTION("IFERROR(
  VLOOKUP(
    A126,
    IMPORTRANGE(
      ""1ZHMy3vVUd_0MrSduXTe1etBb1HNpAlGwQr006ljwMiM"",
      ""GSC最新!A:F""
    ),
    2,
    FALSE
  ),
  0
)
"),0.0)</f>
        <v>0</v>
      </c>
      <c r="G126" s="49">
        <f>IFERROR(__xludf.DUMMYFUNCTION("IFERROR(
  VLOOKUP(
    A126,
    IMPORTRANGE(
      ""1ZHMy3vVUd_0MrSduXTe1etBb1HNpAlGwQr006ljwMiM"",
      ""GSC最新!A:F""
    ),
    3,
    FALSE
  ),
  0
)
"),0.0)</f>
        <v>0</v>
      </c>
      <c r="H126" s="49">
        <f>IFERROR(__xludf.DUMMYFUNCTION("IFERROR(
  VLOOKUP(
    A126,
    IMPORTRANGE(
      ""1ZHMy3vVUd_0MrSduXTe1etBb1HNpAlGwQr006ljwMiM"",
      ""GSC最新!A:F""
    ),
    4,
    FALSE
  ),
  0
)
"),0.0)</f>
        <v>0</v>
      </c>
      <c r="I126" s="49">
        <f>IFERROR(__xludf.DUMMYFUNCTION("IFERROR(
  VLOOKUP(
    A126,
    IMPORTRANGE(
      ""1ZHMy3vVUd_0MrSduXTe1etBb1HNpAlGwQr006ljwMiM"",
      ""GSC最新!A:F""
    ),
    5,
    FALSE
  ),
  0
)
"),0.0)</f>
        <v>0</v>
      </c>
      <c r="J126" s="50" t="str">
        <f t="shared" ref="J126:K126" si="621">IFERROR(F126/H126,"-")</f>
        <v>-</v>
      </c>
      <c r="K126" s="50" t="str">
        <f t="shared" si="621"/>
        <v>-</v>
      </c>
      <c r="L126" s="6">
        <f>IFERROR(__xludf.DUMMYFUNCTION("IFERROR(
  VLOOKUP(
    A126,
    IMPORTRANGE(
      ""1ZHMy3vVUd_0MrSduXTe1etBb1HNpAlGwQr006ljwMiM"",
      ""GSC最新!A:R""
    ),
    7,
    FALSE
  ),
  0
)
"),1.0)</f>
        <v>1</v>
      </c>
      <c r="M126" s="6">
        <f>IFERROR(__xludf.DUMMYFUNCTION("IFERROR(
  VLOOKUP(
    A126,
    IMPORTRANGE(
      ""1ZHMy3vVUd_0MrSduXTe1etBb1HNpAlGwQr006ljwMiM"",
      ""GSC最新!A:R""
    ),
    10,
    FALSE
  ),
  0
)
"),4.0)</f>
        <v>4</v>
      </c>
      <c r="N126" s="6">
        <f>IFERROR(__xludf.DUMMYFUNCTION("IFERROR(
  VLOOKUP(
    A126,
    IMPORTRANGE(
      ""1ZHMy3vVUd_0MrSduXTe1etBb1HNpAlGwQr006ljwMiM"",
      ""GSC最新!A:R""
    ),
    13,
    FALSE
  ),
  0
)
"),0.0)</f>
        <v>0</v>
      </c>
      <c r="O126" s="6">
        <f>IFERROR(__xludf.DUMMYFUNCTION("IFERROR(
  VLOOKUP(
    A126,
    IMPORTRANGE(
      ""1ZHMy3vVUd_0MrSduXTe1etBb1HNpAlGwQr006ljwMiM"",
      ""GSC最新!A:R""
    ),
    16,
    FALSE
  ),
  0
)
"),0.0)</f>
        <v>0</v>
      </c>
      <c r="P126" s="51" t="str">
        <f t="shared" ref="P126:Q126" si="622">IFERROR(L126/N126,"-")</f>
        <v>-</v>
      </c>
      <c r="Q126" s="51" t="str">
        <f t="shared" si="622"/>
        <v>-</v>
      </c>
      <c r="R126" s="9">
        <f>IFERROR(__xludf.DUMMYFUNCTION("IFERROR(
  VLOOKUP(
    A126,
    IMPORTRANGE(
      ""1ZHMy3vVUd_0MrSduXTe1etBb1HNpAlGwQr006ljwMiM"",
      ""GSC最新!A:R""
    ),
    8,
    FALSE
  ),
  0
)
"),0.0)</f>
        <v>0</v>
      </c>
      <c r="S126" s="9">
        <f>IFERROR(__xludf.DUMMYFUNCTION("IFERROR(
  VLOOKUP(
    A126,
    IMPORTRANGE(
      ""1ZHMy3vVUd_0MrSduXTe1etBb1HNpAlGwQr006ljwMiM"",
      ""GSC最新!A:R""
    ),
    11,
    FALSE
  ),
  0
)
"),0.0)</f>
        <v>0</v>
      </c>
      <c r="T126" s="9">
        <f>IFERROR(__xludf.DUMMYFUNCTION("IFERROR(
  VLOOKUP(
    A126,
    IMPORTRANGE(
      ""1ZHMy3vVUd_0MrSduXTe1etBb1HNpAlGwQr006ljwMiM"",
      ""GSC最新!A:R""
    ),
    14,
    FALSE
  ),
  0
)
"),0.0)</f>
        <v>0</v>
      </c>
      <c r="U126" s="9">
        <f>IFERROR(__xludf.DUMMYFUNCTION("IFERROR(
  VLOOKUP(
    A126,
    IMPORTRANGE(
      ""1ZHMy3vVUd_0MrSduXTe1etBb1HNpAlGwQr006ljwMiM"",
      ""GSC最新!A:R""
    ),
    17,
    FALSE
  ),
  0
)
"),0.0)</f>
        <v>0</v>
      </c>
      <c r="V126" s="9">
        <f t="shared" ref="V126:W126" si="623">IFERROR(R126-T126,"-")</f>
        <v>0</v>
      </c>
      <c r="W126" s="9">
        <f t="shared" si="623"/>
        <v>0</v>
      </c>
      <c r="X126" s="65">
        <f>IFERROR(__xludf.DUMMYFUNCTION("IFERROR(
  VLOOKUP(
    A126,
    IMPORTRANGE(
      ""1ZHMy3vVUd_0MrSduXTe1etBb1HNpAlGwQr006ljwMiM"",
      ""GSC最新!A:R""
    ),
    9,
    FALSE
  ),
  0
)
"),12.0)</f>
        <v>12</v>
      </c>
      <c r="Y126" s="65">
        <f>IFERROR(__xludf.DUMMYFUNCTION("IFERROR(
  VLOOKUP(
    A126,
    IMPORTRANGE(
      ""1ZHMy3vVUd_0MrSduXTe1etBb1HNpAlGwQr006ljwMiM"",
      ""GSC最新!A:R""
    ),
    12,
    FALSE
  ),
  0
)
"),4.25)</f>
        <v>4.25</v>
      </c>
      <c r="Z126" s="65" t="str">
        <f>IFERROR(__xludf.DUMMYFUNCTION("IFERROR(
  VLOOKUP(
    A126,
    IMPORTRANGE(
      ""1ZHMy3vVUd_0MrSduXTe1etBb1HNpAlGwQr006ljwMiM"",
      ""GSC最新!A:R""
    ),
    15,
    FALSE
  ),
  0
)
"),"")</f>
        <v/>
      </c>
      <c r="AA126" s="65" t="str">
        <f>IFERROR(__xludf.DUMMYFUNCTION("IFERROR(
  VLOOKUP(
    A126,
    IMPORTRANGE(
      ""1ZHMy3vVUd_0MrSduXTe1etBb1HNpAlGwQr006ljwMiM"",
      ""GSC最新!A:R""
    ),
    18,
    FALSE
  ),
  0
)
"),"")</f>
        <v/>
      </c>
      <c r="AB126" s="65">
        <f t="shared" ref="AB126:AC126" si="624">X126-Z126</f>
        <v>12</v>
      </c>
      <c r="AC126" s="65">
        <f t="shared" si="624"/>
        <v>4.25</v>
      </c>
      <c r="AD126" s="53">
        <f>IFERROR(__xludf.DUMMYFUNCTION("IFERROR(
  VLOOKUP(
    A126,
    IMPORTRANGE(
      ""1ZHMy3vVUd_0MrSduXTe1etBb1HNpAlGwQr006ljwMiM"",
      ""GSC最新!A:F""
    ),
    6,
    FALSE
  ),
  0
)
"),46081.0)</f>
        <v>46081</v>
      </c>
      <c r="AE126" s="54">
        <f>IFERROR(__xludf.DUMMYFUNCTION("IFERROR(
  VLOOKUP(
    A126,
    IMPORTRANGE(
      ""1SCYQd7_cobOYqT0r_F0IqD4tE4rYn5y8Eup4PJTH8es"",
      ""Snapshot!A:M""
    ),
    5,
    FALSE
  ),
  ""-""
)
"),0.0)</f>
        <v>0</v>
      </c>
      <c r="AF126" s="54">
        <f>IFERROR(__xludf.DUMMYFUNCTION("IFERROR(
  VLOOKUP(
    A126,
    IMPORTRANGE(
      ""1SCYQd7_cobOYqT0r_F0IqD4tE4rYn5y8Eup4PJTH8es"",
      ""Snapshot!A:M""
    ),
    6,
    FALSE
  ),
  0
)
"),2.0)</f>
        <v>2</v>
      </c>
      <c r="AG126" s="54">
        <f>IFERROR(__xludf.DUMMYFUNCTION("IFERROR(
  VLOOKUP(
    A126,
    IMPORTRANGE(
      ""1SCYQd7_cobOYqT0r_F0IqD4tE4rYn5y8Eup4PJTH8es"",
      ""Snapshot!A:M""
    ),
    7,
    FALSE
  ),
  0
)
"),741.0)</f>
        <v>741</v>
      </c>
      <c r="AH126" s="54">
        <f>IFERROR(__xludf.DUMMYFUNCTION("IFERROR(
  VLOOKUP(
    A126,
    IMPORTRANGE(
      ""1SCYQd7_cobOYqT0r_F0IqD4tE4rYn5y8Eup4PJTH8es"",
      ""Snapshot!A:M""
    ),
    8,
    FALSE
  ),
  0
)
"),2.0)</f>
        <v>2</v>
      </c>
      <c r="AI126" s="54">
        <f>IFERROR(__xludf.DUMMYFUNCTION("IFERROR(
  VLOOKUP(
    A126,
    IMPORTRANGE(
      ""1SCYQd7_cobOYqT0r_F0IqD4tE4rYn5y8Eup4PJTH8es"",
      ""Snapshot!A:M""
    ),
    9,
    FALSE
  ),
  0
)
"),1.0)</f>
        <v>1</v>
      </c>
      <c r="AJ126" s="54">
        <f>IFERROR(__xludf.DUMMYFUNCTION("IFERROR(
  VLOOKUP(
    A126,
    IMPORTRANGE(
      ""1SCYQd7_cobOYqT0r_F0IqD4tE4rYn5y8Eup4PJTH8es"",
      ""Snapshot!A:M""
    ),
    13,
    FALSE
  ),
  0
)
"),1.0)</f>
        <v>1</v>
      </c>
      <c r="AK126" s="49">
        <f t="shared" ref="AK126:AL126" si="625">LEN(C126)</f>
        <v>49</v>
      </c>
      <c r="AL126" s="49">
        <f t="shared" si="625"/>
        <v>55</v>
      </c>
    </row>
    <row r="127">
      <c r="A127" s="1" t="s">
        <v>1061</v>
      </c>
      <c r="B127" s="1" t="str">
        <f>IFERROR(__xludf.DUMMYFUNCTION("IFERROR(
  VLOOKUP(
    A127,
    IMPORTRANGE(
      ""1ZygntHC1J6IxzKbTidmOyf5nUyW4GCLurHCjexrLm_o"",
      ""HTMLキャッシュ!A:F""
    ),
    2,
    FALSE
  ),
  0
)
"),"NW")</f>
        <v>NW</v>
      </c>
      <c r="C127" s="1" t="str">
        <f>IFERROR(__xludf.DUMMYFUNCTION("IFERROR(
  VLOOKUP(
    A127,
    IMPORTRANGE(
      ""1ZygntHC1J6IxzKbTidmOyf5nUyW4GCLurHCjexrLm_o"",
      ""HTMLキャッシュ!A:F""
    ),
    5,
    FALSE
  ),
  0
)
"),"2021年度冬期講習開講のお知らせ - 受験英語専門ゼミ「Re-Write」(リライト)")</f>
        <v>2021年度冬期講習開講のお知らせ - 受験英語専門ゼミ「Re-Write」(リライト)</v>
      </c>
      <c r="D127" s="1" t="str">
        <f>IFERROR(__xludf.DUMMYFUNCTION("IFERROR(
  VLOOKUP(
    A127,
    IMPORTRANGE(
      ""1ZygntHC1J6IxzKbTidmOyf5nUyW4GCLurHCjexrLm_o        "",
      ""HTMLキャッシュ!A:F""
    ),
    6,
    FALSE
  ),
  0
)
"),"弊塾では、2021年度も冬期講習会を実施いたします。 現在当塾に通塾中の塾生の皆さんはもちろん、普段は他塾に通")</f>
        <v>弊塾では、2021年度も冬期講習会を実施いたします。 現在当塾に通塾中の塾生の皆さんはもちろん、普段は他塾に通</v>
      </c>
      <c r="E127" s="32">
        <f>IFERROR(__xludf.DUMMYFUNCTION("IFERROR(
  VLOOKUP(
    A127,
    IMPORTRANGE(
      ""1ZygntHC1J6IxzKbTidmOyf5nUyW4GCLurHCjexrLm_o        "",
      ""HTMLキャッシュ!A:F""
    ),
    3,
    FALSE
  ),
  0
)
"),45592.87199074074)</f>
        <v>45592.87199</v>
      </c>
      <c r="F127" s="49">
        <f>IFERROR(__xludf.DUMMYFUNCTION("IFERROR(
  VLOOKUP(
    A127,
    IMPORTRANGE(
      ""1ZHMy3vVUd_0MrSduXTe1etBb1HNpAlGwQr006ljwMiM"",
      ""GSC最新!A:F""
    ),
    2,
    FALSE
  ),
  0
)
"),0.0)</f>
        <v>0</v>
      </c>
      <c r="G127" s="49">
        <f>IFERROR(__xludf.DUMMYFUNCTION("IFERROR(
  VLOOKUP(
    A127,
    IMPORTRANGE(
      ""1ZHMy3vVUd_0MrSduXTe1etBb1HNpAlGwQr006ljwMiM"",
      ""GSC最新!A:F""
    ),
    3,
    FALSE
  ),
  0
)
"),0.0)</f>
        <v>0</v>
      </c>
      <c r="H127" s="49">
        <f>IFERROR(__xludf.DUMMYFUNCTION("IFERROR(
  VLOOKUP(
    A127,
    IMPORTRANGE(
      ""1ZHMy3vVUd_0MrSduXTe1etBb1HNpAlGwQr006ljwMiM"",
      ""GSC最新!A:F""
    ),
    4,
    FALSE
  ),
  0
)
"),0.0)</f>
        <v>0</v>
      </c>
      <c r="I127" s="49">
        <f>IFERROR(__xludf.DUMMYFUNCTION("IFERROR(
  VLOOKUP(
    A127,
    IMPORTRANGE(
      ""1ZHMy3vVUd_0MrSduXTe1etBb1HNpAlGwQr006ljwMiM"",
      ""GSC最新!A:F""
    ),
    5,
    FALSE
  ),
  0
)
"),0.0)</f>
        <v>0</v>
      </c>
      <c r="J127" s="50" t="str">
        <f t="shared" ref="J127:K127" si="626">IFERROR(F127/H127,"-")</f>
        <v>-</v>
      </c>
      <c r="K127" s="50" t="str">
        <f t="shared" si="626"/>
        <v>-</v>
      </c>
      <c r="L127" s="6">
        <f>IFERROR(__xludf.DUMMYFUNCTION("IFERROR(
  VLOOKUP(
    A127,
    IMPORTRANGE(
      ""1ZHMy3vVUd_0MrSduXTe1etBb1HNpAlGwQr006ljwMiM"",
      ""GSC最新!A:R""
    ),
    7,
    FALSE
  ),
  0
)
"),1.0)</f>
        <v>1</v>
      </c>
      <c r="M127" s="6">
        <f>IFERROR(__xludf.DUMMYFUNCTION("IFERROR(
  VLOOKUP(
    A127,
    IMPORTRANGE(
      ""1ZHMy3vVUd_0MrSduXTe1etBb1HNpAlGwQr006ljwMiM"",
      ""GSC最新!A:R""
    ),
    10,
    FALSE
  ),
  0
)
"),3.0)</f>
        <v>3</v>
      </c>
      <c r="N127" s="6">
        <f>IFERROR(__xludf.DUMMYFUNCTION("IFERROR(
  VLOOKUP(
    A127,
    IMPORTRANGE(
      ""1ZHMy3vVUd_0MrSduXTe1etBb1HNpAlGwQr006ljwMiM"",
      ""GSC最新!A:R""
    ),
    13,
    FALSE
  ),
  0
)
"),0.0)</f>
        <v>0</v>
      </c>
      <c r="O127" s="6">
        <f>IFERROR(__xludf.DUMMYFUNCTION("IFERROR(
  VLOOKUP(
    A127,
    IMPORTRANGE(
      ""1ZHMy3vVUd_0MrSduXTe1etBb1HNpAlGwQr006ljwMiM"",
      ""GSC最新!A:R""
    ),
    16,
    FALSE
  ),
  0
)
"),0.0)</f>
        <v>0</v>
      </c>
      <c r="P127" s="51" t="str">
        <f t="shared" ref="P127:Q127" si="627">IFERROR(L127/N127,"-")</f>
        <v>-</v>
      </c>
      <c r="Q127" s="51" t="str">
        <f t="shared" si="627"/>
        <v>-</v>
      </c>
      <c r="R127" s="9">
        <f>IFERROR(__xludf.DUMMYFUNCTION("IFERROR(
  VLOOKUP(
    A127,
    IMPORTRANGE(
      ""1ZHMy3vVUd_0MrSduXTe1etBb1HNpAlGwQr006ljwMiM"",
      ""GSC最新!A:R""
    ),
    8,
    FALSE
  ),
  0
)
"),0.0)</f>
        <v>0</v>
      </c>
      <c r="S127" s="9">
        <f>IFERROR(__xludf.DUMMYFUNCTION("IFERROR(
  VLOOKUP(
    A127,
    IMPORTRANGE(
      ""1ZHMy3vVUd_0MrSduXTe1etBb1HNpAlGwQr006ljwMiM"",
      ""GSC最新!A:R""
    ),
    11,
    FALSE
  ),
  0
)
"),0.0)</f>
        <v>0</v>
      </c>
      <c r="T127" s="9">
        <f>IFERROR(__xludf.DUMMYFUNCTION("IFERROR(
  VLOOKUP(
    A127,
    IMPORTRANGE(
      ""1ZHMy3vVUd_0MrSduXTe1etBb1HNpAlGwQr006ljwMiM"",
      ""GSC最新!A:R""
    ),
    14,
    FALSE
  ),
  0
)
"),0.0)</f>
        <v>0</v>
      </c>
      <c r="U127" s="9">
        <f>IFERROR(__xludf.DUMMYFUNCTION("IFERROR(
  VLOOKUP(
    A127,
    IMPORTRANGE(
      ""1ZHMy3vVUd_0MrSduXTe1etBb1HNpAlGwQr006ljwMiM"",
      ""GSC最新!A:R""
    ),
    17,
    FALSE
  ),
  0
)
"),0.0)</f>
        <v>0</v>
      </c>
      <c r="V127" s="9">
        <f t="shared" ref="V127:W127" si="628">IFERROR(R127-T127,"-")</f>
        <v>0</v>
      </c>
      <c r="W127" s="9">
        <f t="shared" si="628"/>
        <v>0</v>
      </c>
      <c r="X127" s="65">
        <f>IFERROR(__xludf.DUMMYFUNCTION("IFERROR(
  VLOOKUP(
    A127,
    IMPORTRANGE(
      ""1ZHMy3vVUd_0MrSduXTe1etBb1HNpAlGwQr006ljwMiM"",
      ""GSC最新!A:R""
    ),
    9,
    FALSE
  ),
  0
)
"),11.0)</f>
        <v>11</v>
      </c>
      <c r="Y127" s="65">
        <f>IFERROR(__xludf.DUMMYFUNCTION("IFERROR(
  VLOOKUP(
    A127,
    IMPORTRANGE(
      ""1ZHMy3vVUd_0MrSduXTe1etBb1HNpAlGwQr006ljwMiM"",
      ""GSC最新!A:R""
    ),
    12,
    FALSE
  ),
  0
)
"),11.333333333333334)</f>
        <v>11.33333333</v>
      </c>
      <c r="Z127" s="65" t="str">
        <f>IFERROR(__xludf.DUMMYFUNCTION("IFERROR(
  VLOOKUP(
    A127,
    IMPORTRANGE(
      ""1ZHMy3vVUd_0MrSduXTe1etBb1HNpAlGwQr006ljwMiM"",
      ""GSC最新!A:R""
    ),
    15,
    FALSE
  ),
  0
)
"),"")</f>
        <v/>
      </c>
      <c r="AA127" s="65" t="str">
        <f>IFERROR(__xludf.DUMMYFUNCTION("IFERROR(
  VLOOKUP(
    A127,
    IMPORTRANGE(
      ""1ZHMy3vVUd_0MrSduXTe1etBb1HNpAlGwQr006ljwMiM"",
      ""GSC最新!A:R""
    ),
    18,
    FALSE
  ),
  0
)
"),"")</f>
        <v/>
      </c>
      <c r="AB127" s="65">
        <f t="shared" ref="AB127:AC127" si="629">X127-Z127</f>
        <v>11</v>
      </c>
      <c r="AC127" s="65">
        <f t="shared" si="629"/>
        <v>11.33333333</v>
      </c>
      <c r="AD127" s="53">
        <f>IFERROR(__xludf.DUMMYFUNCTION("IFERROR(
  VLOOKUP(
    A127,
    IMPORTRANGE(
      ""1ZHMy3vVUd_0MrSduXTe1etBb1HNpAlGwQr006ljwMiM"",
      ""GSC最新!A:F""
    ),
    6,
    FALSE
  ),
  0
)
"),46081.0)</f>
        <v>46081</v>
      </c>
      <c r="AE127" s="54">
        <f>IFERROR(__xludf.DUMMYFUNCTION("IFERROR(
  VLOOKUP(
    A127,
    IMPORTRANGE(
      ""1SCYQd7_cobOYqT0r_F0IqD4tE4rYn5y8Eup4PJTH8es"",
      ""Snapshot!A:M""
    ),
    5,
    FALSE
  ),
  ""-""
)
"),0.0)</f>
        <v>0</v>
      </c>
      <c r="AF127" s="54">
        <f>IFERROR(__xludf.DUMMYFUNCTION("IFERROR(
  VLOOKUP(
    A127,
    IMPORTRANGE(
      ""1SCYQd7_cobOYqT0r_F0IqD4tE4rYn5y8Eup4PJTH8es"",
      ""Snapshot!A:M""
    ),
    6,
    FALSE
  ),
  0
)
"),0.0)</f>
        <v>0</v>
      </c>
      <c r="AG127" s="54">
        <f>IFERROR(__xludf.DUMMYFUNCTION("IFERROR(
  VLOOKUP(
    A127,
    IMPORTRANGE(
      ""1SCYQd7_cobOYqT0r_F0IqD4tE4rYn5y8Eup4PJTH8es"",
      ""Snapshot!A:M""
    ),
    7,
    FALSE
  ),
  0
)
"),508.0)</f>
        <v>508</v>
      </c>
      <c r="AH127" s="54">
        <f>IFERROR(__xludf.DUMMYFUNCTION("IFERROR(
  VLOOKUP(
    A127,
    IMPORTRANGE(
      ""1SCYQd7_cobOYqT0r_F0IqD4tE4rYn5y8Eup4PJTH8es"",
      ""Snapshot!A:M""
    ),
    8,
    FALSE
  ),
  0
)
"),1.0)</f>
        <v>1</v>
      </c>
      <c r="AI127" s="54">
        <f>IFERROR(__xludf.DUMMYFUNCTION("IFERROR(
  VLOOKUP(
    A127,
    IMPORTRANGE(
      ""1SCYQd7_cobOYqT0r_F0IqD4tE4rYn5y8Eup4PJTH8es"",
      ""Snapshot!A:M""
    ),
    9,
    FALSE
  ),
  0
)
"),1.0)</f>
        <v>1</v>
      </c>
      <c r="AJ127" s="54">
        <f>IFERROR(__xludf.DUMMYFUNCTION("IFERROR(
  VLOOKUP(
    A127,
    IMPORTRANGE(
      ""1SCYQd7_cobOYqT0r_F0IqD4tE4rYn5y8Eup4PJTH8es"",
      ""Snapshot!A:M""
    ),
    13,
    FALSE
  ),
  0
)
"),1.0)</f>
        <v>1</v>
      </c>
      <c r="AK127" s="49">
        <f t="shared" ref="AK127:AL127" si="630">LEN(C127)</f>
        <v>44</v>
      </c>
      <c r="AL127" s="49">
        <f t="shared" si="630"/>
        <v>55</v>
      </c>
    </row>
    <row r="128">
      <c r="A128" s="3" t="s">
        <v>1062</v>
      </c>
      <c r="B128" s="1" t="str">
        <f>IFERROR(__xludf.DUMMYFUNCTION("IFERROR(
  VLOOKUP(
    A128,
    IMPORTRANGE(
      ""1ZygntHC1J6IxzKbTidmOyf5nUyW4GCLurHCjexrLm_o"",
      ""HTMLキャッシュ!A:F""
    ),
    2,
    FALSE
  ),
  0
)
"),"MC")</f>
        <v>MC</v>
      </c>
      <c r="C128" s="1" t="str">
        <f>IFERROR(__xludf.DUMMYFUNCTION("IFERROR(
  VLOOKUP(
    A128,
    IMPORTRANGE(
      ""1ZygntHC1J6IxzKbTidmOyf5nUyW4GCLurHCjexrLm_o"",
      ""HTMLキャッシュ!A:F""
    ),
    5,
    FALSE
  ),
  0
)
"),"【英語ができない人向け】苦手でも点数をアップさせる方法 - 受験英語専門ゼミ「Re-Write」(リライト)")</f>
        <v>【英語ができない人向け】苦手でも点数をアップさせる方法 - 受験英語専門ゼミ「Re-Write」(リライト)</v>
      </c>
      <c r="D128" s="1" t="str">
        <f>IFERROR(__xludf.DUMMYFUNCTION("IFERROR(
  VLOOKUP(
    A128,
    IMPORTRANGE(
      ""1ZygntHC1J6IxzKbTidmOyf5nUyW4GCLurHCjexrLm_o        "",
      ""HTMLキャッシュ!A:F""
    ),
    6,
    FALSE
  ),
  0
)
"),"英語ができないけれど点数をアップさせたい！苦手で何から手をつけたら良いのか分からない！という場合にこの勉強方法")</f>
        <v>英語ができないけれど点数をアップさせたい！苦手で何から手をつけたら良いのか分からない！という場合にこの勉強方法</v>
      </c>
      <c r="E128" s="32">
        <f>IFERROR(__xludf.DUMMYFUNCTION("IFERROR(
  VLOOKUP(
    A128,
    IMPORTRANGE(
      ""1ZygntHC1J6IxzKbTidmOyf5nUyW4GCLurHCjexrLm_o        "",
      ""HTMLキャッシュ!A:F""
    ),
    3,
    FALSE
  ),
  0
)
"),46043.580243055556)</f>
        <v>46043.58024</v>
      </c>
      <c r="F128" s="49">
        <f>IFERROR(__xludf.DUMMYFUNCTION("IFERROR(
  VLOOKUP(
    A128,
    IMPORTRANGE(
      ""1ZHMy3vVUd_0MrSduXTe1etBb1HNpAlGwQr006ljwMiM"",
      ""GSC最新!A:F""
    ),
    2,
    FALSE
  ),
  0
)
"),0.0)</f>
        <v>0</v>
      </c>
      <c r="G128" s="49">
        <f>IFERROR(__xludf.DUMMYFUNCTION("IFERROR(
  VLOOKUP(
    A128,
    IMPORTRANGE(
      ""1ZHMy3vVUd_0MrSduXTe1etBb1HNpAlGwQr006ljwMiM"",
      ""GSC最新!A:F""
    ),
    3,
    FALSE
  ),
  0
)
"),0.0)</f>
        <v>0</v>
      </c>
      <c r="H128" s="49">
        <f>IFERROR(__xludf.DUMMYFUNCTION("IFERROR(
  VLOOKUP(
    A128,
    IMPORTRANGE(
      ""1ZHMy3vVUd_0MrSduXTe1etBb1HNpAlGwQr006ljwMiM"",
      ""GSC最新!A:F""
    ),
    4,
    FALSE
  ),
  0
)
"),0.0)</f>
        <v>0</v>
      </c>
      <c r="I128" s="49">
        <f>IFERROR(__xludf.DUMMYFUNCTION("IFERROR(
  VLOOKUP(
    A128,
    IMPORTRANGE(
      ""1ZHMy3vVUd_0MrSduXTe1etBb1HNpAlGwQr006ljwMiM"",
      ""GSC最新!A:F""
    ),
    5,
    FALSE
  ),
  0
)
"),0.0)</f>
        <v>0</v>
      </c>
      <c r="J128" s="50" t="str">
        <f t="shared" ref="J128:K128" si="631">IFERROR(F128/H128,"-")</f>
        <v>-</v>
      </c>
      <c r="K128" s="50" t="str">
        <f t="shared" si="631"/>
        <v>-</v>
      </c>
      <c r="L128" s="6">
        <f>IFERROR(__xludf.DUMMYFUNCTION("IFERROR(
  VLOOKUP(
    A128,
    IMPORTRANGE(
      ""1ZHMy3vVUd_0MrSduXTe1etBb1HNpAlGwQr006ljwMiM"",
      ""GSC最新!A:R""
    ),
    7,
    FALSE
  ),
  0
)
"),0.0)</f>
        <v>0</v>
      </c>
      <c r="M128" s="6">
        <f>IFERROR(__xludf.DUMMYFUNCTION("IFERROR(
  VLOOKUP(
    A128,
    IMPORTRANGE(
      ""1ZHMy3vVUd_0MrSduXTe1etBb1HNpAlGwQr006ljwMiM"",
      ""GSC最新!A:R""
    ),
    10,
    FALSE
  ),
  0
)
"),3.0)</f>
        <v>3</v>
      </c>
      <c r="N128" s="6">
        <f>IFERROR(__xludf.DUMMYFUNCTION("IFERROR(
  VLOOKUP(
    A128,
    IMPORTRANGE(
      ""1ZHMy3vVUd_0MrSduXTe1etBb1HNpAlGwQr006ljwMiM"",
      ""GSC最新!A:R""
    ),
    13,
    FALSE
  ),
  0
)
"),0.0)</f>
        <v>0</v>
      </c>
      <c r="O128" s="6">
        <f>IFERROR(__xludf.DUMMYFUNCTION("IFERROR(
  VLOOKUP(
    A128,
    IMPORTRANGE(
      ""1ZHMy3vVUd_0MrSduXTe1etBb1HNpAlGwQr006ljwMiM"",
      ""GSC最新!A:R""
    ),
    16,
    FALSE
  ),
  0
)
"),0.0)</f>
        <v>0</v>
      </c>
      <c r="P128" s="51" t="str">
        <f t="shared" ref="P128:Q128" si="632">IFERROR(L128/N128,"-")</f>
        <v>-</v>
      </c>
      <c r="Q128" s="51" t="str">
        <f t="shared" si="632"/>
        <v>-</v>
      </c>
      <c r="R128" s="9">
        <f>IFERROR(__xludf.DUMMYFUNCTION("IFERROR(
  VLOOKUP(
    A128,
    IMPORTRANGE(
      ""1ZHMy3vVUd_0MrSduXTe1etBb1HNpAlGwQr006ljwMiM"",
      ""GSC最新!A:R""
    ),
    8,
    FALSE
  ),
  0
)
"),0.0)</f>
        <v>0</v>
      </c>
      <c r="S128" s="9">
        <f>IFERROR(__xludf.DUMMYFUNCTION("IFERROR(
  VLOOKUP(
    A128,
    IMPORTRANGE(
      ""1ZHMy3vVUd_0MrSduXTe1etBb1HNpAlGwQr006ljwMiM"",
      ""GSC最新!A:R""
    ),
    11,
    FALSE
  ),
  0
)
"),0.0)</f>
        <v>0</v>
      </c>
      <c r="T128" s="9">
        <f>IFERROR(__xludf.DUMMYFUNCTION("IFERROR(
  VLOOKUP(
    A128,
    IMPORTRANGE(
      ""1ZHMy3vVUd_0MrSduXTe1etBb1HNpAlGwQr006ljwMiM"",
      ""GSC最新!A:R""
    ),
    14,
    FALSE
  ),
  0
)
"),0.0)</f>
        <v>0</v>
      </c>
      <c r="U128" s="9">
        <f>IFERROR(__xludf.DUMMYFUNCTION("IFERROR(
  VLOOKUP(
    A128,
    IMPORTRANGE(
      ""1ZHMy3vVUd_0MrSduXTe1etBb1HNpAlGwQr006ljwMiM"",
      ""GSC最新!A:R""
    ),
    17,
    FALSE
  ),
  0
)
"),0.0)</f>
        <v>0</v>
      </c>
      <c r="V128" s="9">
        <f t="shared" ref="V128:W128" si="633">IFERROR(R128-T128,"-")</f>
        <v>0</v>
      </c>
      <c r="W128" s="9">
        <f t="shared" si="633"/>
        <v>0</v>
      </c>
      <c r="X128" s="65" t="str">
        <f>IFERROR(__xludf.DUMMYFUNCTION("IFERROR(
  VLOOKUP(
    A128,
    IMPORTRANGE(
      ""1ZHMy3vVUd_0MrSduXTe1etBb1HNpAlGwQr006ljwMiM"",
      ""GSC最新!A:R""
    ),
    9,
    FALSE
  ),
  0
)
"),"")</f>
        <v/>
      </c>
      <c r="Y128" s="65">
        <f>IFERROR(__xludf.DUMMYFUNCTION("IFERROR(
  VLOOKUP(
    A128,
    IMPORTRANGE(
      ""1ZHMy3vVUd_0MrSduXTe1etBb1HNpAlGwQr006ljwMiM"",
      ""GSC最新!A:R""
    ),
    12,
    FALSE
  ),
  0
)
"),5.0)</f>
        <v>5</v>
      </c>
      <c r="Z128" s="65" t="str">
        <f>IFERROR(__xludf.DUMMYFUNCTION("IFERROR(
  VLOOKUP(
    A128,
    IMPORTRANGE(
      ""1ZHMy3vVUd_0MrSduXTe1etBb1HNpAlGwQr006ljwMiM"",
      ""GSC最新!A:R""
    ),
    15,
    FALSE
  ),
  0
)
"),"")</f>
        <v/>
      </c>
      <c r="AA128" s="65" t="str">
        <f>IFERROR(__xludf.DUMMYFUNCTION("IFERROR(
  VLOOKUP(
    A128,
    IMPORTRANGE(
      ""1ZHMy3vVUd_0MrSduXTe1etBb1HNpAlGwQr006ljwMiM"",
      ""GSC最新!A:R""
    ),
    18,
    FALSE
  ),
  0
)
"),"")</f>
        <v/>
      </c>
      <c r="AB128" s="65">
        <f t="shared" ref="AB128:AC128" si="634">X128-Z128</f>
        <v>0</v>
      </c>
      <c r="AC128" s="65">
        <f t="shared" si="634"/>
        <v>5</v>
      </c>
      <c r="AD128" s="53">
        <f>IFERROR(__xludf.DUMMYFUNCTION("IFERROR(
  VLOOKUP(
    A128,
    IMPORTRANGE(
      ""1ZHMy3vVUd_0MrSduXTe1etBb1HNpAlGwQr006ljwMiM"",
      ""GSC最新!A:F""
    ),
    6,
    FALSE
  ),
  0
)
"),46081.0)</f>
        <v>46081</v>
      </c>
      <c r="AE128" s="54">
        <f>IFERROR(__xludf.DUMMYFUNCTION("IFERROR(
  VLOOKUP(
    A128,
    IMPORTRANGE(
      ""1SCYQd7_cobOYqT0r_F0IqD4tE4rYn5y8Eup4PJTH8es"",
      ""Snapshot!A:M""
    ),
    5,
    FALSE
  ),
  ""-""
)
"),0.0)</f>
        <v>0</v>
      </c>
      <c r="AF128" s="54">
        <f>IFERROR(__xludf.DUMMYFUNCTION("IFERROR(
  VLOOKUP(
    A128,
    IMPORTRANGE(
      ""1SCYQd7_cobOYqT0r_F0IqD4tE4rYn5y8Eup4PJTH8es"",
      ""Snapshot!A:M""
    ),
    6,
    FALSE
  ),
  0
)
"),5.0)</f>
        <v>5</v>
      </c>
      <c r="AG128" s="54">
        <f>IFERROR(__xludf.DUMMYFUNCTION("IFERROR(
  VLOOKUP(
    A128,
    IMPORTRANGE(
      ""1SCYQd7_cobOYqT0r_F0IqD4tE4rYn5y8Eup4PJTH8es"",
      ""Snapshot!A:M""
    ),
    7,
    FALSE
  ),
  0
)
"),1041.0)</f>
        <v>1041</v>
      </c>
      <c r="AH128" s="54">
        <f>IFERROR(__xludf.DUMMYFUNCTION("IFERROR(
  VLOOKUP(
    A128,
    IMPORTRANGE(
      ""1SCYQd7_cobOYqT0r_F0IqD4tE4rYn5y8Eup4PJTH8es"",
      ""Snapshot!A:M""
    ),
    8,
    FALSE
  ),
  0
)
"),2.0)</f>
        <v>2</v>
      </c>
      <c r="AI128" s="54">
        <f>IFERROR(__xludf.DUMMYFUNCTION("IFERROR(
  VLOOKUP(
    A128,
    IMPORTRANGE(
      ""1SCYQd7_cobOYqT0r_F0IqD4tE4rYn5y8Eup4PJTH8es"",
      ""Snapshot!A:M""
    ),
    9,
    FALSE
  ),
  0
)
"),1.0)</f>
        <v>1</v>
      </c>
      <c r="AJ128" s="54">
        <f>IFERROR(__xludf.DUMMYFUNCTION("IFERROR(
  VLOOKUP(
    A128,
    IMPORTRANGE(
      ""1SCYQd7_cobOYqT0r_F0IqD4tE4rYn5y8Eup4PJTH8es"",
      ""Snapshot!A:M""
    ),
    13,
    FALSE
  ),
  0
)
"),1.0)</f>
        <v>1</v>
      </c>
      <c r="AK128" s="49">
        <f t="shared" ref="AK128:AL128" si="635">LEN(C128)</f>
        <v>54</v>
      </c>
      <c r="AL128" s="49">
        <f t="shared" si="635"/>
        <v>55</v>
      </c>
    </row>
    <row r="129">
      <c r="A129" s="1" t="s">
        <v>1063</v>
      </c>
      <c r="B129" s="1" t="str">
        <f>IFERROR(__xludf.DUMMYFUNCTION("IFERROR(
  VLOOKUP(
    A129,
    IMPORTRANGE(
      ""1ZygntHC1J6IxzKbTidmOyf5nUyW4GCLurHCjexrLm_o"",
      ""HTMLキャッシュ!A:F""
    ),
    2,
    FALSE
  ),
  0
)
"),"NW")</f>
        <v>NW</v>
      </c>
      <c r="C129" s="1" t="str">
        <f>IFERROR(__xludf.DUMMYFUNCTION("IFERROR(
  VLOOKUP(
    A129,
    IMPORTRANGE(
      ""1ZygntHC1J6IxzKbTidmOyf5nUyW4GCLurHCjexrLm_o"",
      ""HTMLキャッシュ!A:F""
    ),
    5,
    FALSE
  ),
  0
)
"),"2025年度 春期講習会 開催のお知らせ - 受験英語専門ゼミ「Re-Write」(リライト)")</f>
        <v>2025年度 春期講習会 開催のお知らせ - 受験英語専門ゼミ「Re-Write」(リライト)</v>
      </c>
      <c r="D129" s="1" t="str">
        <f>IFERROR(__xludf.DUMMYFUNCTION("IFERROR(
  VLOOKUP(
    A129,
    IMPORTRANGE(
      ""1ZygntHC1J6IxzKbTidmOyf5nUyW4GCLurHCjexrLm_o        "",
      ""HTMLキャッシュ!A:F""
    ),
    6,
    FALSE
  ),
  0
)
"),"受験英語専門ゼミ Re-Write では、今年も 2025年度 春期講習会 を実施いたします。 現在通塾中の塾")</f>
        <v>受験英語専門ゼミ Re-Write では、今年も 2025年度 春期講習会 を実施いたします。 現在通塾中の塾</v>
      </c>
      <c r="E129" s="32">
        <f>IFERROR(__xludf.DUMMYFUNCTION("IFERROR(
  VLOOKUP(
    A129,
    IMPORTRANGE(
      ""1ZygntHC1J6IxzKbTidmOyf5nUyW4GCLurHCjexrLm_o        "",
      ""HTMLキャッシュ!A:F""
    ),
    3,
    FALSE
  ),
  0
)
"),45968.74597222222)</f>
        <v>45968.74597</v>
      </c>
      <c r="F129" s="49">
        <f>IFERROR(__xludf.DUMMYFUNCTION("IFERROR(
  VLOOKUP(
    A129,
    IMPORTRANGE(
      ""1ZHMy3vVUd_0MrSduXTe1etBb1HNpAlGwQr006ljwMiM"",
      ""GSC最新!A:F""
    ),
    2,
    FALSE
  ),
  0
)
"),0.0)</f>
        <v>0</v>
      </c>
      <c r="G129" s="49">
        <f>IFERROR(__xludf.DUMMYFUNCTION("IFERROR(
  VLOOKUP(
    A129,
    IMPORTRANGE(
      ""1ZHMy3vVUd_0MrSduXTe1etBb1HNpAlGwQr006ljwMiM"",
      ""GSC最新!A:F""
    ),
    3,
    FALSE
  ),
  0
)
"),0.0)</f>
        <v>0</v>
      </c>
      <c r="H129" s="49">
        <f>IFERROR(__xludf.DUMMYFUNCTION("IFERROR(
  VLOOKUP(
    A129,
    IMPORTRANGE(
      ""1ZHMy3vVUd_0MrSduXTe1etBb1HNpAlGwQr006ljwMiM"",
      ""GSC最新!A:F""
    ),
    4,
    FALSE
  ),
  0
)
"),0.0)</f>
        <v>0</v>
      </c>
      <c r="I129" s="49">
        <f>IFERROR(__xludf.DUMMYFUNCTION("IFERROR(
  VLOOKUP(
    A129,
    IMPORTRANGE(
      ""1ZHMy3vVUd_0MrSduXTe1etBb1HNpAlGwQr006ljwMiM"",
      ""GSC最新!A:F""
    ),
    5,
    FALSE
  ),
  0
)
"),0.0)</f>
        <v>0</v>
      </c>
      <c r="J129" s="50" t="str">
        <f t="shared" ref="J129:K129" si="636">IFERROR(F129/H129,"-")</f>
        <v>-</v>
      </c>
      <c r="K129" s="50" t="str">
        <f t="shared" si="636"/>
        <v>-</v>
      </c>
      <c r="L129" s="6">
        <f>IFERROR(__xludf.DUMMYFUNCTION("IFERROR(
  VLOOKUP(
    A129,
    IMPORTRANGE(
      ""1ZHMy3vVUd_0MrSduXTe1etBb1HNpAlGwQr006ljwMiM"",
      ""GSC最新!A:R""
    ),
    7,
    FALSE
  ),
  0
)
"),0.0)</f>
        <v>0</v>
      </c>
      <c r="M129" s="6">
        <f>IFERROR(__xludf.DUMMYFUNCTION("IFERROR(
  VLOOKUP(
    A129,
    IMPORTRANGE(
      ""1ZHMy3vVUd_0MrSduXTe1etBb1HNpAlGwQr006ljwMiM"",
      ""GSC最新!A:R""
    ),
    10,
    FALSE
  ),
  0
)
"),2.0)</f>
        <v>2</v>
      </c>
      <c r="N129" s="6">
        <f>IFERROR(__xludf.DUMMYFUNCTION("IFERROR(
  VLOOKUP(
    A129,
    IMPORTRANGE(
      ""1ZHMy3vVUd_0MrSduXTe1etBb1HNpAlGwQr006ljwMiM"",
      ""GSC最新!A:R""
    ),
    13,
    FALSE
  ),
  0
)
"),0.0)</f>
        <v>0</v>
      </c>
      <c r="O129" s="6">
        <f>IFERROR(__xludf.DUMMYFUNCTION("IFERROR(
  VLOOKUP(
    A129,
    IMPORTRANGE(
      ""1ZHMy3vVUd_0MrSduXTe1etBb1HNpAlGwQr006ljwMiM"",
      ""GSC最新!A:R""
    ),
    16,
    FALSE
  ),
  0
)
"),0.0)</f>
        <v>0</v>
      </c>
      <c r="P129" s="51" t="str">
        <f t="shared" ref="P129:Q129" si="637">IFERROR(L129/N129,"-")</f>
        <v>-</v>
      </c>
      <c r="Q129" s="51" t="str">
        <f t="shared" si="637"/>
        <v>-</v>
      </c>
      <c r="R129" s="9">
        <f>IFERROR(__xludf.DUMMYFUNCTION("IFERROR(
  VLOOKUP(
    A129,
    IMPORTRANGE(
      ""1ZHMy3vVUd_0MrSduXTe1etBb1HNpAlGwQr006ljwMiM"",
      ""GSC最新!A:R""
    ),
    8,
    FALSE
  ),
  0
)
"),0.0)</f>
        <v>0</v>
      </c>
      <c r="S129" s="9">
        <f>IFERROR(__xludf.DUMMYFUNCTION("IFERROR(
  VLOOKUP(
    A129,
    IMPORTRANGE(
      ""1ZHMy3vVUd_0MrSduXTe1etBb1HNpAlGwQr006ljwMiM"",
      ""GSC最新!A:R""
    ),
    11,
    FALSE
  ),
  0
)
"),0.0)</f>
        <v>0</v>
      </c>
      <c r="T129" s="9">
        <f>IFERROR(__xludf.DUMMYFUNCTION("IFERROR(
  VLOOKUP(
    A129,
    IMPORTRANGE(
      ""1ZHMy3vVUd_0MrSduXTe1etBb1HNpAlGwQr006ljwMiM"",
      ""GSC最新!A:R""
    ),
    14,
    FALSE
  ),
  0
)
"),0.0)</f>
        <v>0</v>
      </c>
      <c r="U129" s="9">
        <f>IFERROR(__xludf.DUMMYFUNCTION("IFERROR(
  VLOOKUP(
    A129,
    IMPORTRANGE(
      ""1ZHMy3vVUd_0MrSduXTe1etBb1HNpAlGwQr006ljwMiM"",
      ""GSC最新!A:R""
    ),
    17,
    FALSE
  ),
  0
)
"),0.0)</f>
        <v>0</v>
      </c>
      <c r="V129" s="9">
        <f t="shared" ref="V129:W129" si="638">IFERROR(R129-T129,"-")</f>
        <v>0</v>
      </c>
      <c r="W129" s="9">
        <f t="shared" si="638"/>
        <v>0</v>
      </c>
      <c r="X129" s="65" t="str">
        <f>IFERROR(__xludf.DUMMYFUNCTION("IFERROR(
  VLOOKUP(
    A129,
    IMPORTRANGE(
      ""1ZHMy3vVUd_0MrSduXTe1etBb1HNpAlGwQr006ljwMiM"",
      ""GSC最新!A:R""
    ),
    9,
    FALSE
  ),
  0
)
"),"")</f>
        <v/>
      </c>
      <c r="Y129" s="65">
        <f>IFERROR(__xludf.DUMMYFUNCTION("IFERROR(
  VLOOKUP(
    A129,
    IMPORTRANGE(
      ""1ZHMy3vVUd_0MrSduXTe1etBb1HNpAlGwQr006ljwMiM"",
      ""GSC最新!A:R""
    ),
    12,
    FALSE
  ),
  0
)
"),9.0)</f>
        <v>9</v>
      </c>
      <c r="Z129" s="65" t="str">
        <f>IFERROR(__xludf.DUMMYFUNCTION("IFERROR(
  VLOOKUP(
    A129,
    IMPORTRANGE(
      ""1ZHMy3vVUd_0MrSduXTe1etBb1HNpAlGwQr006ljwMiM"",
      ""GSC最新!A:R""
    ),
    15,
    FALSE
  ),
  0
)
"),"")</f>
        <v/>
      </c>
      <c r="AA129" s="65" t="str">
        <f>IFERROR(__xludf.DUMMYFUNCTION("IFERROR(
  VLOOKUP(
    A129,
    IMPORTRANGE(
      ""1ZHMy3vVUd_0MrSduXTe1etBb1HNpAlGwQr006ljwMiM"",
      ""GSC最新!A:R""
    ),
    18,
    FALSE
  ),
  0
)
"),"")</f>
        <v/>
      </c>
      <c r="AB129" s="65">
        <f t="shared" ref="AB129:AC129" si="639">X129-Z129</f>
        <v>0</v>
      </c>
      <c r="AC129" s="65">
        <f t="shared" si="639"/>
        <v>9</v>
      </c>
      <c r="AD129" s="53">
        <f>IFERROR(__xludf.DUMMYFUNCTION("IFERROR(
  VLOOKUP(
    A129,
    IMPORTRANGE(
      ""1ZHMy3vVUd_0MrSduXTe1etBb1HNpAlGwQr006ljwMiM"",
      ""GSC最新!A:F""
    ),
    6,
    FALSE
  ),
  0
)
"),46081.0)</f>
        <v>46081</v>
      </c>
      <c r="AE129" s="54">
        <f>IFERROR(__xludf.DUMMYFUNCTION("IFERROR(
  VLOOKUP(
    A129,
    IMPORTRANGE(
      ""1SCYQd7_cobOYqT0r_F0IqD4tE4rYn5y8Eup4PJTH8es"",
      ""Snapshot!A:M""
    ),
    5,
    FALSE
  ),
  ""-""
)
"),0.0)</f>
        <v>0</v>
      </c>
      <c r="AF129" s="54">
        <f>IFERROR(__xludf.DUMMYFUNCTION("IFERROR(
  VLOOKUP(
    A129,
    IMPORTRANGE(
      ""1SCYQd7_cobOYqT0r_F0IqD4tE4rYn5y8Eup4PJTH8es"",
      ""Snapshot!A:M""
    ),
    6,
    FALSE
  ),
  0
)
"),0.0)</f>
        <v>0</v>
      </c>
      <c r="AG129" s="54">
        <f>IFERROR(__xludf.DUMMYFUNCTION("IFERROR(
  VLOOKUP(
    A129,
    IMPORTRANGE(
      ""1SCYQd7_cobOYqT0r_F0IqD4tE4rYn5y8Eup4PJTH8es"",
      ""Snapshot!A:M""
    ),
    7,
    FALSE
  ),
  0
)
"),527.0)</f>
        <v>527</v>
      </c>
      <c r="AH129" s="54">
        <f>IFERROR(__xludf.DUMMYFUNCTION("IFERROR(
  VLOOKUP(
    A129,
    IMPORTRANGE(
      ""1SCYQd7_cobOYqT0r_F0IqD4tE4rYn5y8Eup4PJTH8es"",
      ""Snapshot!A:M""
    ),
    8,
    FALSE
  ),
  0
)
"),1.0)</f>
        <v>1</v>
      </c>
      <c r="AI129" s="54">
        <f>IFERROR(__xludf.DUMMYFUNCTION("IFERROR(
  VLOOKUP(
    A129,
    IMPORTRANGE(
      ""1SCYQd7_cobOYqT0r_F0IqD4tE4rYn5y8Eup4PJTH8es"",
      ""Snapshot!A:M""
    ),
    9,
    FALSE
  ),
  0
)
"),1.0)</f>
        <v>1</v>
      </c>
      <c r="AJ129" s="54">
        <f>IFERROR(__xludf.DUMMYFUNCTION("IFERROR(
  VLOOKUP(
    A129,
    IMPORTRANGE(
      ""1SCYQd7_cobOYqT0r_F0IqD4tE4rYn5y8Eup4PJTH8es"",
      ""Snapshot!A:M""
    ),
    13,
    FALSE
  ),
  0
)
"),1.0)</f>
        <v>1</v>
      </c>
      <c r="AK129" s="49">
        <f t="shared" ref="AK129:AL129" si="640">LEN(C129)</f>
        <v>47</v>
      </c>
      <c r="AL129" s="49">
        <f t="shared" si="640"/>
        <v>55</v>
      </c>
    </row>
    <row r="130">
      <c r="A130" s="1" t="s">
        <v>1064</v>
      </c>
      <c r="B130" s="1" t="str">
        <f>IFERROR(__xludf.DUMMYFUNCTION("IFERROR(
  VLOOKUP(
    A130,
    IMPORTRANGE(
      ""1ZygntHC1J6IxzKbTidmOyf5nUyW4GCLurHCjexrLm_o"",
      ""HTMLキャッシュ!A:F""
    ),
    2,
    FALSE
  ),
  0
)
"),"NW")</f>
        <v>NW</v>
      </c>
      <c r="C130" s="1" t="str">
        <f>IFERROR(__xludf.DUMMYFUNCTION("IFERROR(
  VLOOKUP(
    A130,
    IMPORTRANGE(
      ""1ZygntHC1J6IxzKbTidmOyf5nUyW4GCLurHCjexrLm_o"",
      ""HTMLキャッシュ!A:F""
    ),
    5,
    FALSE
  ),
  0
)
"),"2024年度夏期講習開催のお知らせ - 受験英語専門ゼミ「Re-Write」(リライト)")</f>
        <v>2024年度夏期講習開催のお知らせ - 受験英語専門ゼミ「Re-Write」(リライト)</v>
      </c>
      <c r="D130" s="1" t="str">
        <f>IFERROR(__xludf.DUMMYFUNCTION("IFERROR(
  VLOOKUP(
    A130,
    IMPORTRANGE(
      ""1ZygntHC1J6IxzKbTidmOyf5nUyW4GCLurHCjexrLm_o        "",
      ""HTMLキャッシュ!A:F""
    ),
    6,
    FALSE
  ),
  0
)
"),"夏休みを目前に控え、弊塾では2024年度の夏期講習会を実施いたします。 現在当塾に通塾中の塾生の皆さんはもちろ")</f>
        <v>夏休みを目前に控え、弊塾では2024年度の夏期講習会を実施いたします。 現在当塾に通塾中の塾生の皆さんはもちろ</v>
      </c>
      <c r="E130" s="32">
        <f>IFERROR(__xludf.DUMMYFUNCTION("IFERROR(
  VLOOKUP(
    A130,
    IMPORTRANGE(
      ""1ZygntHC1J6IxzKbTidmOyf5nUyW4GCLurHCjexrLm_o        "",
      ""HTMLキャッシュ!A:F""
    ),
    3,
    FALSE
  ),
  0
)
"),45593.53041666667)</f>
        <v>45593.53042</v>
      </c>
      <c r="F130" s="49">
        <f>IFERROR(__xludf.DUMMYFUNCTION("IFERROR(
  VLOOKUP(
    A130,
    IMPORTRANGE(
      ""1ZHMy3vVUd_0MrSduXTe1etBb1HNpAlGwQr006ljwMiM"",
      ""GSC最新!A:F""
    ),
    2,
    FALSE
  ),
  0
)
"),0.0)</f>
        <v>0</v>
      </c>
      <c r="G130" s="49">
        <f>IFERROR(__xludf.DUMMYFUNCTION("IFERROR(
  VLOOKUP(
    A130,
    IMPORTRANGE(
      ""1ZHMy3vVUd_0MrSduXTe1etBb1HNpAlGwQr006ljwMiM"",
      ""GSC最新!A:F""
    ),
    3,
    FALSE
  ),
  0
)
"),0.0)</f>
        <v>0</v>
      </c>
      <c r="H130" s="49">
        <f>IFERROR(__xludf.DUMMYFUNCTION("IFERROR(
  VLOOKUP(
    A130,
    IMPORTRANGE(
      ""1ZHMy3vVUd_0MrSduXTe1etBb1HNpAlGwQr006ljwMiM"",
      ""GSC最新!A:F""
    ),
    4,
    FALSE
  ),
  0
)
"),0.0)</f>
        <v>0</v>
      </c>
      <c r="I130" s="49">
        <f>IFERROR(__xludf.DUMMYFUNCTION("IFERROR(
  VLOOKUP(
    A130,
    IMPORTRANGE(
      ""1ZHMy3vVUd_0MrSduXTe1etBb1HNpAlGwQr006ljwMiM"",
      ""GSC最新!A:F""
    ),
    5,
    FALSE
  ),
  0
)
"),0.0)</f>
        <v>0</v>
      </c>
      <c r="J130" s="50" t="str">
        <f t="shared" ref="J130:K130" si="641">IFERROR(F130/H130,"-")</f>
        <v>-</v>
      </c>
      <c r="K130" s="50" t="str">
        <f t="shared" si="641"/>
        <v>-</v>
      </c>
      <c r="L130" s="6">
        <f>IFERROR(__xludf.DUMMYFUNCTION("IFERROR(
  VLOOKUP(
    A130,
    IMPORTRANGE(
      ""1ZHMy3vVUd_0MrSduXTe1etBb1HNpAlGwQr006ljwMiM"",
      ""GSC最新!A:R""
    ),
    7,
    FALSE
  ),
  0
)
"),0.0)</f>
        <v>0</v>
      </c>
      <c r="M130" s="6">
        <f>IFERROR(__xludf.DUMMYFUNCTION("IFERROR(
  VLOOKUP(
    A130,
    IMPORTRANGE(
      ""1ZHMy3vVUd_0MrSduXTe1etBb1HNpAlGwQr006ljwMiM"",
      ""GSC最新!A:R""
    ),
    10,
    FALSE
  ),
  0
)
"),2.0)</f>
        <v>2</v>
      </c>
      <c r="N130" s="6">
        <f>IFERROR(__xludf.DUMMYFUNCTION("IFERROR(
  VLOOKUP(
    A130,
    IMPORTRANGE(
      ""1ZHMy3vVUd_0MrSduXTe1etBb1HNpAlGwQr006ljwMiM"",
      ""GSC最新!A:R""
    ),
    13,
    FALSE
  ),
  0
)
"),3.0)</f>
        <v>3</v>
      </c>
      <c r="O130" s="6">
        <f>IFERROR(__xludf.DUMMYFUNCTION("IFERROR(
  VLOOKUP(
    A130,
    IMPORTRANGE(
      ""1ZHMy3vVUd_0MrSduXTe1etBb1HNpAlGwQr006ljwMiM"",
      ""GSC最新!A:R""
    ),
    16,
    FALSE
  ),
  0
)
"),5.0)</f>
        <v>5</v>
      </c>
      <c r="P130" s="51">
        <f t="shared" ref="P130:Q130" si="642">IFERROR(L130/N130,"-")</f>
        <v>0</v>
      </c>
      <c r="Q130" s="51">
        <f t="shared" si="642"/>
        <v>0.4</v>
      </c>
      <c r="R130" s="9">
        <f>IFERROR(__xludf.DUMMYFUNCTION("IFERROR(
  VLOOKUP(
    A130,
    IMPORTRANGE(
      ""1ZHMy3vVUd_0MrSduXTe1etBb1HNpAlGwQr006ljwMiM"",
      ""GSC最新!A:R""
    ),
    8,
    FALSE
  ),
  0
)
"),0.0)</f>
        <v>0</v>
      </c>
      <c r="S130" s="9">
        <f>IFERROR(__xludf.DUMMYFUNCTION("IFERROR(
  VLOOKUP(
    A130,
    IMPORTRANGE(
      ""1ZHMy3vVUd_0MrSduXTe1etBb1HNpAlGwQr006ljwMiM"",
      ""GSC最新!A:R""
    ),
    11,
    FALSE
  ),
  0
)
"),0.0)</f>
        <v>0</v>
      </c>
      <c r="T130" s="9">
        <f>IFERROR(__xludf.DUMMYFUNCTION("IFERROR(
  VLOOKUP(
    A130,
    IMPORTRANGE(
      ""1ZHMy3vVUd_0MrSduXTe1etBb1HNpAlGwQr006ljwMiM"",
      ""GSC最新!A:R""
    ),
    14,
    FALSE
  ),
  0
)
"),0.0)</f>
        <v>0</v>
      </c>
      <c r="U130" s="9">
        <f>IFERROR(__xludf.DUMMYFUNCTION("IFERROR(
  VLOOKUP(
    A130,
    IMPORTRANGE(
      ""1ZHMy3vVUd_0MrSduXTe1etBb1HNpAlGwQr006ljwMiM"",
      ""GSC最新!A:R""
    ),
    17,
    FALSE
  ),
  0
)
"),0.0)</f>
        <v>0</v>
      </c>
      <c r="V130" s="9">
        <f t="shared" ref="V130:W130" si="643">IFERROR(R130-T130,"-")</f>
        <v>0</v>
      </c>
      <c r="W130" s="9">
        <f t="shared" si="643"/>
        <v>0</v>
      </c>
      <c r="X130" s="65" t="str">
        <f>IFERROR(__xludf.DUMMYFUNCTION("IFERROR(
  VLOOKUP(
    A130,
    IMPORTRANGE(
      ""1ZHMy3vVUd_0MrSduXTe1etBb1HNpAlGwQr006ljwMiM"",
      ""GSC最新!A:R""
    ),
    9,
    FALSE
  ),
  0
)
"),"")</f>
        <v/>
      </c>
      <c r="Y130" s="65">
        <f>IFERROR(__xludf.DUMMYFUNCTION("IFERROR(
  VLOOKUP(
    A130,
    IMPORTRANGE(
      ""1ZHMy3vVUd_0MrSduXTe1etBb1HNpAlGwQr006ljwMiM"",
      ""GSC最新!A:R""
    ),
    12,
    FALSE
  ),
  0
)
"),15.5)</f>
        <v>15.5</v>
      </c>
      <c r="Z130" s="65">
        <f>IFERROR(__xludf.DUMMYFUNCTION("IFERROR(
  VLOOKUP(
    A130,
    IMPORTRANGE(
      ""1ZHMy3vVUd_0MrSduXTe1etBb1HNpAlGwQr006ljwMiM"",
      ""GSC最新!A:R""
    ),
    15,
    FALSE
  ),
  0
)
"),40.0)</f>
        <v>40</v>
      </c>
      <c r="AA130" s="65">
        <f>IFERROR(__xludf.DUMMYFUNCTION("IFERROR(
  VLOOKUP(
    A130,
    IMPORTRANGE(
      ""1ZHMy3vVUd_0MrSduXTe1etBb1HNpAlGwQr006ljwMiM"",
      ""GSC最新!A:R""
    ),
    18,
    FALSE
  ),
  0
)
"),46.6)</f>
        <v>46.6</v>
      </c>
      <c r="AB130" s="65">
        <f t="shared" ref="AB130:AC130" si="644">X130-Z130</f>
        <v>-40</v>
      </c>
      <c r="AC130" s="65">
        <f t="shared" si="644"/>
        <v>-31.1</v>
      </c>
      <c r="AD130" s="53">
        <f>IFERROR(__xludf.DUMMYFUNCTION("IFERROR(
  VLOOKUP(
    A130,
    IMPORTRANGE(
      ""1ZHMy3vVUd_0MrSduXTe1etBb1HNpAlGwQr006ljwMiM"",
      ""GSC最新!A:F""
    ),
    6,
    FALSE
  ),
  0
)
"),46081.0)</f>
        <v>46081</v>
      </c>
      <c r="AE130" s="54">
        <f>IFERROR(__xludf.DUMMYFUNCTION("IFERROR(
  VLOOKUP(
    A130,
    IMPORTRANGE(
      ""1SCYQd7_cobOYqT0r_F0IqD4tE4rYn5y8Eup4PJTH8es"",
      ""Snapshot!A:M""
    ),
    5,
    FALSE
  ),
  ""-""
)
"),0.0)</f>
        <v>0</v>
      </c>
      <c r="AF130" s="54">
        <f>IFERROR(__xludf.DUMMYFUNCTION("IFERROR(
  VLOOKUP(
    A130,
    IMPORTRANGE(
      ""1SCYQd7_cobOYqT0r_F0IqD4tE4rYn5y8Eup4PJTH8es"",
      ""Snapshot!A:M""
    ),
    6,
    FALSE
  ),
  0
)
"),0.0)</f>
        <v>0</v>
      </c>
      <c r="AG130" s="54">
        <f>IFERROR(__xludf.DUMMYFUNCTION("IFERROR(
  VLOOKUP(
    A130,
    IMPORTRANGE(
      ""1SCYQd7_cobOYqT0r_F0IqD4tE4rYn5y8Eup4PJTH8es"",
      ""Snapshot!A:M""
    ),
    7,
    FALSE
  ),
  0
)
"),540.0)</f>
        <v>540</v>
      </c>
      <c r="AH130" s="54">
        <f>IFERROR(__xludf.DUMMYFUNCTION("IFERROR(
  VLOOKUP(
    A130,
    IMPORTRANGE(
      ""1SCYQd7_cobOYqT0r_F0IqD4tE4rYn5y8Eup4PJTH8es"",
      ""Snapshot!A:M""
    ),
    8,
    FALSE
  ),
  0
)
"),1.0)</f>
        <v>1</v>
      </c>
      <c r="AI130" s="54">
        <f>IFERROR(__xludf.DUMMYFUNCTION("IFERROR(
  VLOOKUP(
    A130,
    IMPORTRANGE(
      ""1SCYQd7_cobOYqT0r_F0IqD4tE4rYn5y8Eup4PJTH8es"",
      ""Snapshot!A:M""
    ),
    9,
    FALSE
  ),
  0
)
"),1.0)</f>
        <v>1</v>
      </c>
      <c r="AJ130" s="54">
        <f>IFERROR(__xludf.DUMMYFUNCTION("IFERROR(
  VLOOKUP(
    A130,
    IMPORTRANGE(
      ""1SCYQd7_cobOYqT0r_F0IqD4tE4rYn5y8Eup4PJTH8es"",
      ""Snapshot!A:M""
    ),
    13,
    FALSE
  ),
  0
)
"),1.0)</f>
        <v>1</v>
      </c>
      <c r="AK130" s="49">
        <f t="shared" ref="AK130:AL130" si="645">LEN(C130)</f>
        <v>44</v>
      </c>
      <c r="AL130" s="49">
        <f t="shared" si="645"/>
        <v>55</v>
      </c>
    </row>
    <row r="131">
      <c r="A131" s="1" t="s">
        <v>1065</v>
      </c>
      <c r="B131" s="1" t="str">
        <f>IFERROR(__xludf.DUMMYFUNCTION("IFERROR(
  VLOOKUP(
    A131,
    IMPORTRANGE(
      ""1ZygntHC1J6IxzKbTidmOyf5nUyW4GCLurHCjexrLm_o"",
      ""HTMLキャッシュ!A:F""
    ),
    2,
    FALSE
  ),
  0
)
"),"NW")</f>
        <v>NW</v>
      </c>
      <c r="C131" s="1" t="str">
        <f>IFERROR(__xludf.DUMMYFUNCTION("IFERROR(
  VLOOKUP(
    A131,
    IMPORTRANGE(
      ""1ZygntHC1J6IxzKbTidmOyf5nUyW4GCLurHCjexrLm_o"",
      ""HTMLキャッシュ!A:F""
    ),
    5,
    FALSE
  ),
  0
)
"),"2024年度冬期講習会のお知らせ - 受験英語専門ゼミ「Re-Write」(リライト)")</f>
        <v>2024年度冬期講習会のお知らせ - 受験英語専門ゼミ「Re-Write」(リライト)</v>
      </c>
      <c r="D131" s="1" t="str">
        <f>IFERROR(__xludf.DUMMYFUNCTION("IFERROR(
  VLOOKUP(
    A131,
    IMPORTRANGE(
      ""1ZygntHC1J6IxzKbTidmOyf5nUyW4GCLurHCjexrLm_o        "",
      ""HTMLキャッシュ!A:F""
    ),
    6,
    FALSE
  ),
  0
)
"),"弊塾では、2024年度も冬期講習会を実施いたします。 現在当塾に通塾中の塾生の皆さんはもちろん、他塾に通われて")</f>
        <v>弊塾では、2024年度も冬期講習会を実施いたします。 現在当塾に通塾中の塾生の皆さんはもちろん、他塾に通われて</v>
      </c>
      <c r="E131" s="32">
        <f>IFERROR(__xludf.DUMMYFUNCTION("IFERROR(
  VLOOKUP(
    A131,
    IMPORTRANGE(
      ""1ZygntHC1J6IxzKbTidmOyf5nUyW4GCLurHCjexrLm_o        "",
      ""HTMLキャッシュ!A:F""
    ),
    3,
    FALSE
  ),
  0
)
"),45638.87395833333)</f>
        <v>45638.87396</v>
      </c>
      <c r="F131" s="49">
        <f>IFERROR(__xludf.DUMMYFUNCTION("IFERROR(
  VLOOKUP(
    A131,
    IMPORTRANGE(
      ""1ZHMy3vVUd_0MrSduXTe1etBb1HNpAlGwQr006ljwMiM"",
      ""GSC最新!A:F""
    ),
    2,
    FALSE
  ),
  0
)
"),0.0)</f>
        <v>0</v>
      </c>
      <c r="G131" s="49">
        <f>IFERROR(__xludf.DUMMYFUNCTION("IFERROR(
  VLOOKUP(
    A131,
    IMPORTRANGE(
      ""1ZHMy3vVUd_0MrSduXTe1etBb1HNpAlGwQr006ljwMiM"",
      ""GSC最新!A:F""
    ),
    3,
    FALSE
  ),
  0
)
"),0.0)</f>
        <v>0</v>
      </c>
      <c r="H131" s="49">
        <f>IFERROR(__xludf.DUMMYFUNCTION("IFERROR(
  VLOOKUP(
    A131,
    IMPORTRANGE(
      ""1ZHMy3vVUd_0MrSduXTe1etBb1HNpAlGwQr006ljwMiM"",
      ""GSC最新!A:F""
    ),
    4,
    FALSE
  ),
  0
)
"),0.0)</f>
        <v>0</v>
      </c>
      <c r="I131" s="49">
        <f>IFERROR(__xludf.DUMMYFUNCTION("IFERROR(
  VLOOKUP(
    A131,
    IMPORTRANGE(
      ""1ZHMy3vVUd_0MrSduXTe1etBb1HNpAlGwQr006ljwMiM"",
      ""GSC最新!A:F""
    ),
    5,
    FALSE
  ),
  0
)
"),0.0)</f>
        <v>0</v>
      </c>
      <c r="J131" s="50" t="str">
        <f t="shared" ref="J131:K131" si="646">IFERROR(F131/H131,"-")</f>
        <v>-</v>
      </c>
      <c r="K131" s="50" t="str">
        <f t="shared" si="646"/>
        <v>-</v>
      </c>
      <c r="L131" s="6">
        <f>IFERROR(__xludf.DUMMYFUNCTION("IFERROR(
  VLOOKUP(
    A131,
    IMPORTRANGE(
      ""1ZHMy3vVUd_0MrSduXTe1etBb1HNpAlGwQr006ljwMiM"",
      ""GSC最新!A:R""
    ),
    7,
    FALSE
  ),
  0
)
"),0.0)</f>
        <v>0</v>
      </c>
      <c r="M131" s="6">
        <f>IFERROR(__xludf.DUMMYFUNCTION("IFERROR(
  VLOOKUP(
    A131,
    IMPORTRANGE(
      ""1ZHMy3vVUd_0MrSduXTe1etBb1HNpAlGwQr006ljwMiM"",
      ""GSC最新!A:R""
    ),
    10,
    FALSE
  ),
  0
)
"),1.0)</f>
        <v>1</v>
      </c>
      <c r="N131" s="6">
        <f>IFERROR(__xludf.DUMMYFUNCTION("IFERROR(
  VLOOKUP(
    A131,
    IMPORTRANGE(
      ""1ZHMy3vVUd_0MrSduXTe1etBb1HNpAlGwQr006ljwMiM"",
      ""GSC最新!A:R""
    ),
    13,
    FALSE
  ),
  0
)
"),1.0)</f>
        <v>1</v>
      </c>
      <c r="O131" s="6">
        <f>IFERROR(__xludf.DUMMYFUNCTION("IFERROR(
  VLOOKUP(
    A131,
    IMPORTRANGE(
      ""1ZHMy3vVUd_0MrSduXTe1etBb1HNpAlGwQr006ljwMiM"",
      ""GSC最新!A:R""
    ),
    16,
    FALSE
  ),
  0
)
"),13.0)</f>
        <v>13</v>
      </c>
      <c r="P131" s="51">
        <f t="shared" ref="P131:Q131" si="647">IFERROR(L131/N131,"-")</f>
        <v>0</v>
      </c>
      <c r="Q131" s="51">
        <f t="shared" si="647"/>
        <v>0.07692307692</v>
      </c>
      <c r="R131" s="9">
        <f>IFERROR(__xludf.DUMMYFUNCTION("IFERROR(
  VLOOKUP(
    A131,
    IMPORTRANGE(
      ""1ZHMy3vVUd_0MrSduXTe1etBb1HNpAlGwQr006ljwMiM"",
      ""GSC最新!A:R""
    ),
    8,
    FALSE
  ),
  0
)
"),0.0)</f>
        <v>0</v>
      </c>
      <c r="S131" s="9">
        <f>IFERROR(__xludf.DUMMYFUNCTION("IFERROR(
  VLOOKUP(
    A131,
    IMPORTRANGE(
      ""1ZHMy3vVUd_0MrSduXTe1etBb1HNpAlGwQr006ljwMiM"",
      ""GSC最新!A:R""
    ),
    11,
    FALSE
  ),
  0
)
"),0.0)</f>
        <v>0</v>
      </c>
      <c r="T131" s="9">
        <f>IFERROR(__xludf.DUMMYFUNCTION("IFERROR(
  VLOOKUP(
    A131,
    IMPORTRANGE(
      ""1ZHMy3vVUd_0MrSduXTe1etBb1HNpAlGwQr006ljwMiM"",
      ""GSC最新!A:R""
    ),
    14,
    FALSE
  ),
  0
)
"),0.0)</f>
        <v>0</v>
      </c>
      <c r="U131" s="9">
        <f>IFERROR(__xludf.DUMMYFUNCTION("IFERROR(
  VLOOKUP(
    A131,
    IMPORTRANGE(
      ""1ZHMy3vVUd_0MrSduXTe1etBb1HNpAlGwQr006ljwMiM"",
      ""GSC最新!A:R""
    ),
    17,
    FALSE
  ),
  0
)
"),0.0)</f>
        <v>0</v>
      </c>
      <c r="V131" s="9">
        <f t="shared" ref="V131:W131" si="648">IFERROR(R131-T131,"-")</f>
        <v>0</v>
      </c>
      <c r="W131" s="9">
        <f t="shared" si="648"/>
        <v>0</v>
      </c>
      <c r="X131" s="65" t="str">
        <f>IFERROR(__xludf.DUMMYFUNCTION("IFERROR(
  VLOOKUP(
    A131,
    IMPORTRANGE(
      ""1ZHMy3vVUd_0MrSduXTe1etBb1HNpAlGwQr006ljwMiM"",
      ""GSC最新!A:R""
    ),
    9,
    FALSE
  ),
  0
)
"),"")</f>
        <v/>
      </c>
      <c r="Y131" s="65">
        <f>IFERROR(__xludf.DUMMYFUNCTION("IFERROR(
  VLOOKUP(
    A131,
    IMPORTRANGE(
      ""1ZHMy3vVUd_0MrSduXTe1etBb1HNpAlGwQr006ljwMiM"",
      ""GSC最新!A:R""
    ),
    12,
    FALSE
  ),
  0
)
"),2.0)</f>
        <v>2</v>
      </c>
      <c r="Z131" s="65">
        <f>IFERROR(__xludf.DUMMYFUNCTION("IFERROR(
  VLOOKUP(
    A131,
    IMPORTRANGE(
      ""1ZHMy3vVUd_0MrSduXTe1etBb1HNpAlGwQr006ljwMiM"",
      ""GSC最新!A:R""
    ),
    15,
    FALSE
  ),
  0
)
"),5.0)</f>
        <v>5</v>
      </c>
      <c r="AA131" s="65">
        <f>IFERROR(__xludf.DUMMYFUNCTION("IFERROR(
  VLOOKUP(
    A131,
    IMPORTRANGE(
      ""1ZHMy3vVUd_0MrSduXTe1etBb1HNpAlGwQr006ljwMiM"",
      ""GSC最新!A:R""
    ),
    18,
    FALSE
  ),
  0
)
"),52.46153846153846)</f>
        <v>52.46153846</v>
      </c>
      <c r="AB131" s="65">
        <f t="shared" ref="AB131:AC131" si="649">X131-Z131</f>
        <v>-5</v>
      </c>
      <c r="AC131" s="65">
        <f t="shared" si="649"/>
        <v>-50.46153846</v>
      </c>
      <c r="AD131" s="53">
        <f>IFERROR(__xludf.DUMMYFUNCTION("IFERROR(
  VLOOKUP(
    A131,
    IMPORTRANGE(
      ""1ZHMy3vVUd_0MrSduXTe1etBb1HNpAlGwQr006ljwMiM"",
      ""GSC最新!A:F""
    ),
    6,
    FALSE
  ),
  0
)
"),46081.0)</f>
        <v>46081</v>
      </c>
      <c r="AE131" s="54">
        <f>IFERROR(__xludf.DUMMYFUNCTION("IFERROR(
  VLOOKUP(
    A131,
    IMPORTRANGE(
      ""1SCYQd7_cobOYqT0r_F0IqD4tE4rYn5y8Eup4PJTH8es"",
      ""Snapshot!A:M""
    ),
    5,
    FALSE
  ),
  ""-""
)
"),0.0)</f>
        <v>0</v>
      </c>
      <c r="AF131" s="54">
        <f>IFERROR(__xludf.DUMMYFUNCTION("IFERROR(
  VLOOKUP(
    A131,
    IMPORTRANGE(
      ""1SCYQd7_cobOYqT0r_F0IqD4tE4rYn5y8Eup4PJTH8es"",
      ""Snapshot!A:M""
    ),
    6,
    FALSE
  ),
  0
)
"),0.0)</f>
        <v>0</v>
      </c>
      <c r="AG131" s="54">
        <f>IFERROR(__xludf.DUMMYFUNCTION("IFERROR(
  VLOOKUP(
    A131,
    IMPORTRANGE(
      ""1SCYQd7_cobOYqT0r_F0IqD4tE4rYn5y8Eup4PJTH8es"",
      ""Snapshot!A:M""
    ),
    7,
    FALSE
  ),
  0
)
"),490.0)</f>
        <v>490</v>
      </c>
      <c r="AH131" s="54">
        <f>IFERROR(__xludf.DUMMYFUNCTION("IFERROR(
  VLOOKUP(
    A131,
    IMPORTRANGE(
      ""1SCYQd7_cobOYqT0r_F0IqD4tE4rYn5y8Eup4PJTH8es"",
      ""Snapshot!A:M""
    ),
    8,
    FALSE
  ),
  0
)
"),1.0)</f>
        <v>1</v>
      </c>
      <c r="AI131" s="54">
        <f>IFERROR(__xludf.DUMMYFUNCTION("IFERROR(
  VLOOKUP(
    A131,
    IMPORTRANGE(
      ""1SCYQd7_cobOYqT0r_F0IqD4tE4rYn5y8Eup4PJTH8es"",
      ""Snapshot!A:M""
    ),
    9,
    FALSE
  ),
  0
)
"),1.0)</f>
        <v>1</v>
      </c>
      <c r="AJ131" s="54">
        <f>IFERROR(__xludf.DUMMYFUNCTION("IFERROR(
  VLOOKUP(
    A131,
    IMPORTRANGE(
      ""1SCYQd7_cobOYqT0r_F0IqD4tE4rYn5y8Eup4PJTH8es"",
      ""Snapshot!A:M""
    ),
    13,
    FALSE
  ),
  0
)
"),1.0)</f>
        <v>1</v>
      </c>
      <c r="AK131" s="49">
        <f t="shared" ref="AK131:AL131" si="650">LEN(C131)</f>
        <v>43</v>
      </c>
      <c r="AL131" s="49">
        <f t="shared" si="650"/>
        <v>55</v>
      </c>
    </row>
    <row r="132">
      <c r="A132" s="1" t="s">
        <v>1066</v>
      </c>
      <c r="B132" s="1" t="str">
        <f>IFERROR(__xludf.DUMMYFUNCTION("IFERROR(
  VLOOKUP(
    A132,
    IMPORTRANGE(
      ""1ZygntHC1J6IxzKbTidmOyf5nUyW4GCLurHCjexrLm_o"",
      ""HTMLキャッシュ!A:F""
    ),
    2,
    FALSE
  ),
  0
)
"),"NW")</f>
        <v>NW</v>
      </c>
      <c r="C132" s="1" t="str">
        <f>IFERROR(__xludf.DUMMYFUNCTION("IFERROR(
  VLOOKUP(
    A132,
    IMPORTRANGE(
      ""1ZygntHC1J6IxzKbTidmOyf5nUyW4GCLurHCjexrLm_o"",
      ""HTMLキャッシュ!A:F""
    ),
    5,
    FALSE
  ),
  0
)
"),"2024年度春期講習のお知らせ - 受験英語専門ゼミ「Re-Write」(リライト)")</f>
        <v>2024年度春期講習のお知らせ - 受験英語専門ゼミ「Re-Write」(リライト)</v>
      </c>
      <c r="D132" s="1" t="str">
        <f>IFERROR(__xludf.DUMMYFUNCTION("IFERROR(
  VLOOKUP(
    A132,
    IMPORTRANGE(
      ""1ZygntHC1J6IxzKbTidmOyf5nUyW4GCLurHCjexrLm_o        "",
      ""HTMLキャッシュ!A:F""
    ),
    6,
    FALSE
  ),
  0
)
"),"弊塾では、2024年度も春期講習会を実施いたします。 現在当塾に通塾中の塾生の皆さんはもちろん、他塾に通われて")</f>
        <v>弊塾では、2024年度も春期講習会を実施いたします。 現在当塾に通塾中の塾生の皆さんはもちろん、他塾に通われて</v>
      </c>
      <c r="E132" s="32">
        <f>IFERROR(__xludf.DUMMYFUNCTION("IFERROR(
  VLOOKUP(
    A132,
    IMPORTRANGE(
      ""1ZygntHC1J6IxzKbTidmOyf5nUyW4GCLurHCjexrLm_o        "",
      ""HTMLキャッシュ!A:F""
    ),
    3,
    FALSE
  ),
  0
)
"),45593.52925925926)</f>
        <v>45593.52926</v>
      </c>
      <c r="F132" s="49">
        <f>IFERROR(__xludf.DUMMYFUNCTION("IFERROR(
  VLOOKUP(
    A132,
    IMPORTRANGE(
      ""1ZHMy3vVUd_0MrSduXTe1etBb1HNpAlGwQr006ljwMiM"",
      ""GSC最新!A:F""
    ),
    2,
    FALSE
  ),
  0
)
"),0.0)</f>
        <v>0</v>
      </c>
      <c r="G132" s="49">
        <f>IFERROR(__xludf.DUMMYFUNCTION("IFERROR(
  VLOOKUP(
    A132,
    IMPORTRANGE(
      ""1ZHMy3vVUd_0MrSduXTe1etBb1HNpAlGwQr006ljwMiM"",
      ""GSC最新!A:F""
    ),
    3,
    FALSE
  ),
  0
)
"),0.0)</f>
        <v>0</v>
      </c>
      <c r="H132" s="49">
        <f>IFERROR(__xludf.DUMMYFUNCTION("IFERROR(
  VLOOKUP(
    A132,
    IMPORTRANGE(
      ""1ZHMy3vVUd_0MrSduXTe1etBb1HNpAlGwQr006ljwMiM"",
      ""GSC最新!A:F""
    ),
    4,
    FALSE
  ),
  0
)
"),0.0)</f>
        <v>0</v>
      </c>
      <c r="I132" s="49">
        <f>IFERROR(__xludf.DUMMYFUNCTION("IFERROR(
  VLOOKUP(
    A132,
    IMPORTRANGE(
      ""1ZHMy3vVUd_0MrSduXTe1etBb1HNpAlGwQr006ljwMiM"",
      ""GSC最新!A:F""
    ),
    5,
    FALSE
  ),
  0
)
"),0.0)</f>
        <v>0</v>
      </c>
      <c r="J132" s="50" t="str">
        <f t="shared" ref="J132:K132" si="651">IFERROR(F132/H132,"-")</f>
        <v>-</v>
      </c>
      <c r="K132" s="50" t="str">
        <f t="shared" si="651"/>
        <v>-</v>
      </c>
      <c r="L132" s="6">
        <f>IFERROR(__xludf.DUMMYFUNCTION("IFERROR(
  VLOOKUP(
    A132,
    IMPORTRANGE(
      ""1ZHMy3vVUd_0MrSduXTe1etBb1HNpAlGwQr006ljwMiM"",
      ""GSC最新!A:R""
    ),
    7,
    FALSE
  ),
  0
)
"),0.0)</f>
        <v>0</v>
      </c>
      <c r="M132" s="6">
        <f>IFERROR(__xludf.DUMMYFUNCTION("IFERROR(
  VLOOKUP(
    A132,
    IMPORTRANGE(
      ""1ZHMy3vVUd_0MrSduXTe1etBb1HNpAlGwQr006ljwMiM"",
      ""GSC最新!A:R""
    ),
    10,
    FALSE
  ),
  0
)
"),1.0)</f>
        <v>1</v>
      </c>
      <c r="N132" s="6">
        <f>IFERROR(__xludf.DUMMYFUNCTION("IFERROR(
  VLOOKUP(
    A132,
    IMPORTRANGE(
      ""1ZHMy3vVUd_0MrSduXTe1etBb1HNpAlGwQr006ljwMiM"",
      ""GSC最新!A:R""
    ),
    13,
    FALSE
  ),
  0
)
"),15.0)</f>
        <v>15</v>
      </c>
      <c r="O132" s="6">
        <f>IFERROR(__xludf.DUMMYFUNCTION("IFERROR(
  VLOOKUP(
    A132,
    IMPORTRANGE(
      ""1ZHMy3vVUd_0MrSduXTe1etBb1HNpAlGwQr006ljwMiM"",
      ""GSC最新!A:R""
    ),
    16,
    FALSE
  ),
  0
)
"),16.0)</f>
        <v>16</v>
      </c>
      <c r="P132" s="51">
        <f t="shared" ref="P132:Q132" si="652">IFERROR(L132/N132,"-")</f>
        <v>0</v>
      </c>
      <c r="Q132" s="51">
        <f t="shared" si="652"/>
        <v>0.0625</v>
      </c>
      <c r="R132" s="9">
        <f>IFERROR(__xludf.DUMMYFUNCTION("IFERROR(
  VLOOKUP(
    A132,
    IMPORTRANGE(
      ""1ZHMy3vVUd_0MrSduXTe1etBb1HNpAlGwQr006ljwMiM"",
      ""GSC最新!A:R""
    ),
    8,
    FALSE
  ),
  0
)
"),0.0)</f>
        <v>0</v>
      </c>
      <c r="S132" s="9">
        <f>IFERROR(__xludf.DUMMYFUNCTION("IFERROR(
  VLOOKUP(
    A132,
    IMPORTRANGE(
      ""1ZHMy3vVUd_0MrSduXTe1etBb1HNpAlGwQr006ljwMiM"",
      ""GSC最新!A:R""
    ),
    11,
    FALSE
  ),
  0
)
"),0.0)</f>
        <v>0</v>
      </c>
      <c r="T132" s="9">
        <f>IFERROR(__xludf.DUMMYFUNCTION("IFERROR(
  VLOOKUP(
    A132,
    IMPORTRANGE(
      ""1ZHMy3vVUd_0MrSduXTe1etBb1HNpAlGwQr006ljwMiM"",
      ""GSC最新!A:R""
    ),
    14,
    FALSE
  ),
  0
)
"),0.0)</f>
        <v>0</v>
      </c>
      <c r="U132" s="9">
        <f>IFERROR(__xludf.DUMMYFUNCTION("IFERROR(
  VLOOKUP(
    A132,
    IMPORTRANGE(
      ""1ZHMy3vVUd_0MrSduXTe1etBb1HNpAlGwQr006ljwMiM"",
      ""GSC最新!A:R""
    ),
    17,
    FALSE
  ),
  0
)
"),0.0)</f>
        <v>0</v>
      </c>
      <c r="V132" s="9">
        <f t="shared" ref="V132:W132" si="653">IFERROR(R132-T132,"-")</f>
        <v>0</v>
      </c>
      <c r="W132" s="9">
        <f t="shared" si="653"/>
        <v>0</v>
      </c>
      <c r="X132" s="65" t="str">
        <f>IFERROR(__xludf.DUMMYFUNCTION("IFERROR(
  VLOOKUP(
    A132,
    IMPORTRANGE(
      ""1ZHMy3vVUd_0MrSduXTe1etBb1HNpAlGwQr006ljwMiM"",
      ""GSC最新!A:R""
    ),
    9,
    FALSE
  ),
  0
)
"),"")</f>
        <v/>
      </c>
      <c r="Y132" s="65">
        <f>IFERROR(__xludf.DUMMYFUNCTION("IFERROR(
  VLOOKUP(
    A132,
    IMPORTRANGE(
      ""1ZHMy3vVUd_0MrSduXTe1etBb1HNpAlGwQr006ljwMiM"",
      ""GSC最新!A:R""
    ),
    12,
    FALSE
  ),
  0
)
"),8.0)</f>
        <v>8</v>
      </c>
      <c r="Z132" s="65">
        <f>IFERROR(__xludf.DUMMYFUNCTION("IFERROR(
  VLOOKUP(
    A132,
    IMPORTRANGE(
      ""1ZHMy3vVUd_0MrSduXTe1etBb1HNpAlGwQr006ljwMiM"",
      ""GSC最新!A:R""
    ),
    15,
    FALSE
  ),
  0
)
"),26.066666666666666)</f>
        <v>26.06666667</v>
      </c>
      <c r="AA132" s="65">
        <f>IFERROR(__xludf.DUMMYFUNCTION("IFERROR(
  VLOOKUP(
    A132,
    IMPORTRANGE(
      ""1ZHMy3vVUd_0MrSduXTe1etBb1HNpAlGwQr006ljwMiM"",
      ""GSC最新!A:R""
    ),
    18,
    FALSE
  ),
  0
)
"),27.5625)</f>
        <v>27.5625</v>
      </c>
      <c r="AB132" s="65">
        <f t="shared" ref="AB132:AC132" si="654">X132-Z132</f>
        <v>-26.06666667</v>
      </c>
      <c r="AC132" s="65">
        <f t="shared" si="654"/>
        <v>-19.5625</v>
      </c>
      <c r="AD132" s="53">
        <f>IFERROR(__xludf.DUMMYFUNCTION("IFERROR(
  VLOOKUP(
    A132,
    IMPORTRANGE(
      ""1ZHMy3vVUd_0MrSduXTe1etBb1HNpAlGwQr006ljwMiM"",
      ""GSC最新!A:F""
    ),
    6,
    FALSE
  ),
  0
)
"),46081.0)</f>
        <v>46081</v>
      </c>
      <c r="AE132" s="54">
        <f>IFERROR(__xludf.DUMMYFUNCTION("IFERROR(
  VLOOKUP(
    A132,
    IMPORTRANGE(
      ""1SCYQd7_cobOYqT0r_F0IqD4tE4rYn5y8Eup4PJTH8es"",
      ""Snapshot!A:M""
    ),
    5,
    FALSE
  ),
  ""-""
)
"),0.0)</f>
        <v>0</v>
      </c>
      <c r="AF132" s="54">
        <f>IFERROR(__xludf.DUMMYFUNCTION("IFERROR(
  VLOOKUP(
    A132,
    IMPORTRANGE(
      ""1SCYQd7_cobOYqT0r_F0IqD4tE4rYn5y8Eup4PJTH8es"",
      ""Snapshot!A:M""
    ),
    6,
    FALSE
  ),
  0
)
"),0.0)</f>
        <v>0</v>
      </c>
      <c r="AG132" s="54">
        <f>IFERROR(__xludf.DUMMYFUNCTION("IFERROR(
  VLOOKUP(
    A132,
    IMPORTRANGE(
      ""1SCYQd7_cobOYqT0r_F0IqD4tE4rYn5y8Eup4PJTH8es"",
      ""Snapshot!A:M""
    ),
    7,
    FALSE
  ),
  0
)
"),500.0)</f>
        <v>500</v>
      </c>
      <c r="AH132" s="54">
        <f>IFERROR(__xludf.DUMMYFUNCTION("IFERROR(
  VLOOKUP(
    A132,
    IMPORTRANGE(
      ""1SCYQd7_cobOYqT0r_F0IqD4tE4rYn5y8Eup4PJTH8es"",
      ""Snapshot!A:M""
    ),
    8,
    FALSE
  ),
  0
)
"),1.0)</f>
        <v>1</v>
      </c>
      <c r="AI132" s="54">
        <f>IFERROR(__xludf.DUMMYFUNCTION("IFERROR(
  VLOOKUP(
    A132,
    IMPORTRANGE(
      ""1SCYQd7_cobOYqT0r_F0IqD4tE4rYn5y8Eup4PJTH8es"",
      ""Snapshot!A:M""
    ),
    9,
    FALSE
  ),
  0
)
"),1.0)</f>
        <v>1</v>
      </c>
      <c r="AJ132" s="54">
        <f>IFERROR(__xludf.DUMMYFUNCTION("IFERROR(
  VLOOKUP(
    A132,
    IMPORTRANGE(
      ""1SCYQd7_cobOYqT0r_F0IqD4tE4rYn5y8Eup4PJTH8es"",
      ""Snapshot!A:M""
    ),
    13,
    FALSE
  ),
  0
)
"),1.0)</f>
        <v>1</v>
      </c>
      <c r="AK132" s="49">
        <f t="shared" ref="AK132:AL132" si="655">LEN(C132)</f>
        <v>42</v>
      </c>
      <c r="AL132" s="49">
        <f t="shared" si="655"/>
        <v>55</v>
      </c>
    </row>
    <row r="133">
      <c r="A133" s="1" t="s">
        <v>223</v>
      </c>
      <c r="B133" s="1" t="str">
        <f>IFERROR(__xludf.DUMMYFUNCTION("IFERROR(
  VLOOKUP(
    A133,
    IMPORTRANGE(
      ""1ZygntHC1J6IxzKbTidmOyf5nUyW4GCLurHCjexrLm_o"",
      ""HTMLキャッシュ!A:F""
    ),
    2,
    FALSE
  ),
  0
)
"),"-")</f>
        <v>-</v>
      </c>
      <c r="C133" s="1" t="str">
        <f>IFERROR(__xludf.DUMMYFUNCTION("IFERROR(
  VLOOKUP(
    A133,
    IMPORTRANGE(
      ""1ZygntHC1J6IxzKbTidmOyf5nUyW4GCLurHCjexrLm_o"",
      ""HTMLキャッシュ!A:F""
    ),
    5,
    FALSE
  ),
  0
)
"),"高校受験対策 - 受験英語専門ゼミ「Re-Write」(リライト)")</f>
        <v>高校受験対策 - 受験英語専門ゼミ「Re-Write」(リライト)</v>
      </c>
      <c r="D133" s="1" t="str">
        <f>IFERROR(__xludf.DUMMYFUNCTION("IFERROR(
  VLOOKUP(
    A133,
    IMPORTRANGE(
      ""1ZygntHC1J6IxzKbTidmOyf5nUyW4GCLurHCjexrLm_o        "",
      ""HTMLキャッシュ!A:F""
    ),
    6,
    FALSE
  ),
  0
)
"),"高校受験対策 について 受験英語専門ゼミ「Re-Write」(リライト) 受験英語に特化した塾。完全１対１の個別指導から集団授業まで、様々なニーズに合わせた講座で英語の得点力を養います。")</f>
        <v>高校受験対策 について 受験英語専門ゼミ「Re-Write」(リライト) 受験英語に特化した塾。完全１対１の個別指導から集団授業まで、様々なニーズに合わせた講座で英語の得点力を養います。</v>
      </c>
      <c r="E133" s="32">
        <f>IFERROR(__xludf.DUMMYFUNCTION("IFERROR(
  VLOOKUP(
    A133,
    IMPORTRANGE(
      ""1ZygntHC1J6IxzKbTidmOyf5nUyW4GCLurHCjexrLm_o        "",
      ""HTMLキャッシュ!A:F""
    ),
    3,
    FALSE
  ),
  0
)
"),25569.375)</f>
        <v>25569.375</v>
      </c>
      <c r="F133" s="49">
        <f>IFERROR(__xludf.DUMMYFUNCTION("IFERROR(
  VLOOKUP(
    A133,
    IMPORTRANGE(
      ""1ZHMy3vVUd_0MrSduXTe1etBb1HNpAlGwQr006ljwMiM"",
      ""GSC最新!A:F""
    ),
    2,
    FALSE
  ),
  0
)
"),0.0)</f>
        <v>0</v>
      </c>
      <c r="G133" s="49">
        <f>IFERROR(__xludf.DUMMYFUNCTION("IFERROR(
  VLOOKUP(
    A133,
    IMPORTRANGE(
      ""1ZHMy3vVUd_0MrSduXTe1etBb1HNpAlGwQr006ljwMiM"",
      ""GSC最新!A:F""
    ),
    3,
    FALSE
  ),
  0
)
"),0.0)</f>
        <v>0</v>
      </c>
      <c r="H133" s="49">
        <f>IFERROR(__xludf.DUMMYFUNCTION("IFERROR(
  VLOOKUP(
    A133,
    IMPORTRANGE(
      ""1ZHMy3vVUd_0MrSduXTe1etBb1HNpAlGwQr006ljwMiM"",
      ""GSC最新!A:F""
    ),
    4,
    FALSE
  ),
  0
)
"),0.0)</f>
        <v>0</v>
      </c>
      <c r="I133" s="49">
        <f>IFERROR(__xludf.DUMMYFUNCTION("IFERROR(
  VLOOKUP(
    A133,
    IMPORTRANGE(
      ""1ZHMy3vVUd_0MrSduXTe1etBb1HNpAlGwQr006ljwMiM"",
      ""GSC最新!A:F""
    ),
    5,
    FALSE
  ),
  0
)
"),0.0)</f>
        <v>0</v>
      </c>
      <c r="J133" s="50" t="str">
        <f t="shared" ref="J133:K133" si="656">IFERROR(F133/H133,"-")</f>
        <v>-</v>
      </c>
      <c r="K133" s="50" t="str">
        <f t="shared" si="656"/>
        <v>-</v>
      </c>
      <c r="L133" s="6">
        <f>IFERROR(__xludf.DUMMYFUNCTION("IFERROR(
  VLOOKUP(
    A133,
    IMPORTRANGE(
      ""1ZHMy3vVUd_0MrSduXTe1etBb1HNpAlGwQr006ljwMiM"",
      ""GSC最新!A:R""
    ),
    7,
    FALSE
  ),
  0
)
"),0.0)</f>
        <v>0</v>
      </c>
      <c r="M133" s="6">
        <f>IFERROR(__xludf.DUMMYFUNCTION("IFERROR(
  VLOOKUP(
    A133,
    IMPORTRANGE(
      ""1ZHMy3vVUd_0MrSduXTe1etBb1HNpAlGwQr006ljwMiM"",
      ""GSC最新!A:R""
    ),
    10,
    FALSE
  ),
  0
)
"),0.0)</f>
        <v>0</v>
      </c>
      <c r="N133" s="6">
        <f>IFERROR(__xludf.DUMMYFUNCTION("IFERROR(
  VLOOKUP(
    A133,
    IMPORTRANGE(
      ""1ZHMy3vVUd_0MrSduXTe1etBb1HNpAlGwQr006ljwMiM"",
      ""GSC最新!A:R""
    ),
    13,
    FALSE
  ),
  0
)
"),0.0)</f>
        <v>0</v>
      </c>
      <c r="O133" s="6">
        <f>IFERROR(__xludf.DUMMYFUNCTION("IFERROR(
  VLOOKUP(
    A133,
    IMPORTRANGE(
      ""1ZHMy3vVUd_0MrSduXTe1etBb1HNpAlGwQr006ljwMiM"",
      ""GSC最新!A:R""
    ),
    16,
    FALSE
  ),
  0
)
"),1.0)</f>
        <v>1</v>
      </c>
      <c r="P133" s="51" t="str">
        <f t="shared" ref="P133:Q133" si="657">IFERROR(L133/N133,"-")</f>
        <v>-</v>
      </c>
      <c r="Q133" s="51">
        <f t="shared" si="657"/>
        <v>0</v>
      </c>
      <c r="R133" s="9">
        <f>IFERROR(__xludf.DUMMYFUNCTION("IFERROR(
  VLOOKUP(
    A133,
    IMPORTRANGE(
      ""1ZHMy3vVUd_0MrSduXTe1etBb1HNpAlGwQr006ljwMiM"",
      ""GSC最新!A:R""
    ),
    8,
    FALSE
  ),
  0
)
"),0.0)</f>
        <v>0</v>
      </c>
      <c r="S133" s="9">
        <f>IFERROR(__xludf.DUMMYFUNCTION("IFERROR(
  VLOOKUP(
    A133,
    IMPORTRANGE(
      ""1ZHMy3vVUd_0MrSduXTe1etBb1HNpAlGwQr006ljwMiM"",
      ""GSC最新!A:R""
    ),
    11,
    FALSE
  ),
  0
)
"),0.0)</f>
        <v>0</v>
      </c>
      <c r="T133" s="9">
        <f>IFERROR(__xludf.DUMMYFUNCTION("IFERROR(
  VLOOKUP(
    A133,
    IMPORTRANGE(
      ""1ZHMy3vVUd_0MrSduXTe1etBb1HNpAlGwQr006ljwMiM"",
      ""GSC最新!A:R""
    ),
    14,
    FALSE
  ),
  0
)
"),0.0)</f>
        <v>0</v>
      </c>
      <c r="U133" s="9">
        <f>IFERROR(__xludf.DUMMYFUNCTION("IFERROR(
  VLOOKUP(
    A133,
    IMPORTRANGE(
      ""1ZHMy3vVUd_0MrSduXTe1etBb1HNpAlGwQr006ljwMiM"",
      ""GSC最新!A:R""
    ),
    17,
    FALSE
  ),
  0
)
"),0.0)</f>
        <v>0</v>
      </c>
      <c r="V133" s="9">
        <f t="shared" ref="V133:W133" si="658">IFERROR(R133-T133,"-")</f>
        <v>0</v>
      </c>
      <c r="W133" s="9">
        <f t="shared" si="658"/>
        <v>0</v>
      </c>
      <c r="X133" s="65" t="str">
        <f>IFERROR(__xludf.DUMMYFUNCTION("IFERROR(
  VLOOKUP(
    A133,
    IMPORTRANGE(
      ""1ZHMy3vVUd_0MrSduXTe1etBb1HNpAlGwQr006ljwMiM"",
      ""GSC最新!A:R""
    ),
    9,
    FALSE
  ),
  0
)
"),"")</f>
        <v/>
      </c>
      <c r="Y133" s="65" t="str">
        <f>IFERROR(__xludf.DUMMYFUNCTION("IFERROR(
  VLOOKUP(
    A133,
    IMPORTRANGE(
      ""1ZHMy3vVUd_0MrSduXTe1etBb1HNpAlGwQr006ljwMiM"",
      ""GSC最新!A:R""
    ),
    12,
    FALSE
  ),
  0
)
"),"")</f>
        <v/>
      </c>
      <c r="Z133" s="65" t="str">
        <f>IFERROR(__xludf.DUMMYFUNCTION("IFERROR(
  VLOOKUP(
    A133,
    IMPORTRANGE(
      ""1ZHMy3vVUd_0MrSduXTe1etBb1HNpAlGwQr006ljwMiM"",
      ""GSC最新!A:R""
    ),
    15,
    FALSE
  ),
  0
)
"),"")</f>
        <v/>
      </c>
      <c r="AA133" s="65">
        <f>IFERROR(__xludf.DUMMYFUNCTION("IFERROR(
  VLOOKUP(
    A133,
    IMPORTRANGE(
      ""1ZHMy3vVUd_0MrSduXTe1etBb1HNpAlGwQr006ljwMiM"",
      ""GSC最新!A:R""
    ),
    18,
    FALSE
  ),
  0
)
"),18.0)</f>
        <v>18</v>
      </c>
      <c r="AB133" s="65">
        <f t="shared" ref="AB133:AC133" si="659">X133-Z133</f>
        <v>0</v>
      </c>
      <c r="AC133" s="65">
        <f t="shared" si="659"/>
        <v>-18</v>
      </c>
      <c r="AD133" s="53">
        <f>IFERROR(__xludf.DUMMYFUNCTION("IFERROR(
  VLOOKUP(
    A133,
    IMPORTRANGE(
      ""1ZHMy3vVUd_0MrSduXTe1etBb1HNpAlGwQr006ljwMiM"",
      ""GSC最新!A:F""
    ),
    6,
    FALSE
  ),
  0
)
"),46081.0)</f>
        <v>46081</v>
      </c>
      <c r="AE133" s="54">
        <f>IFERROR(__xludf.DUMMYFUNCTION("IFERROR(
  VLOOKUP(
    A133,
    IMPORTRANGE(
      ""1SCYQd7_cobOYqT0r_F0IqD4tE4rYn5y8Eup4PJTH8es"",
      ""Snapshot!A:M""
    ),
    5,
    FALSE
  ),
  ""-""
)
"),0.0)</f>
        <v>0</v>
      </c>
      <c r="AF133" s="54">
        <f>IFERROR(__xludf.DUMMYFUNCTION("IFERROR(
  VLOOKUP(
    A133,
    IMPORTRANGE(
      ""1SCYQd7_cobOYqT0r_F0IqD4tE4rYn5y8Eup4PJTH8es"",
      ""Snapshot!A:M""
    ),
    6,
    FALSE
  ),
  0
)
"),0.0)</f>
        <v>0</v>
      </c>
      <c r="AG133" s="54">
        <f>IFERROR(__xludf.DUMMYFUNCTION("IFERROR(
  VLOOKUP(
    A133,
    IMPORTRANGE(
      ""1SCYQd7_cobOYqT0r_F0IqD4tE4rYn5y8Eup4PJTH8es"",
      ""Snapshot!A:M""
    ),
    7,
    FALSE
  ),
  0
)
"),0.0)</f>
        <v>0</v>
      </c>
      <c r="AH133" s="54">
        <f>IFERROR(__xludf.DUMMYFUNCTION("IFERROR(
  VLOOKUP(
    A133,
    IMPORTRANGE(
      ""1SCYQd7_cobOYqT0r_F0IqD4tE4rYn5y8Eup4PJTH8es"",
      ""Snapshot!A:M""
    ),
    8,
    FALSE
  ),
  0
)
"),0.0)</f>
        <v>0</v>
      </c>
      <c r="AI133" s="54">
        <f>IFERROR(__xludf.DUMMYFUNCTION("IFERROR(
  VLOOKUP(
    A133,
    IMPORTRANGE(
      ""1SCYQd7_cobOYqT0r_F0IqD4tE4rYn5y8Eup4PJTH8es"",
      ""Snapshot!A:M""
    ),
    9,
    FALSE
  ),
  0
)
"),0.0)</f>
        <v>0</v>
      </c>
      <c r="AJ133" s="54">
        <f>IFERROR(__xludf.DUMMYFUNCTION("IFERROR(
  VLOOKUP(
    A133,
    IMPORTRANGE(
      ""1SCYQd7_cobOYqT0r_F0IqD4tE4rYn5y8Eup4PJTH8es"",
      ""Snapshot!A:M""
    ),
    13,
    FALSE
  ),
  0
)
"),1.0)</f>
        <v>1</v>
      </c>
      <c r="AK133" s="49">
        <f t="shared" ref="AK133:AL133" si="660">LEN(C133)</f>
        <v>33</v>
      </c>
      <c r="AL133" s="49">
        <f t="shared" si="660"/>
        <v>93</v>
      </c>
    </row>
    <row r="134">
      <c r="A134" s="3" t="s">
        <v>225</v>
      </c>
      <c r="B134" s="1" t="str">
        <f>IFERROR(__xludf.DUMMYFUNCTION("IFERROR(
  VLOOKUP(
    A134,
    IMPORTRANGE(
      ""1ZygntHC1J6IxzKbTidmOyf5nUyW4GCLurHCjexrLm_o"",
      ""HTMLキャッシュ!A:F""
    ),
    2,
    FALSE
  ),
  0
)
"),"-")</f>
        <v>-</v>
      </c>
      <c r="C134" s="1" t="str">
        <f>IFERROR(__xludf.DUMMYFUNCTION("IFERROR(
  VLOOKUP(
    A134,
    IMPORTRANGE(
      ""1ZygntHC1J6IxzKbTidmOyf5nUyW4GCLurHCjexrLm_o"",
      ""HTMLキャッシュ!A:F""
    ),
    5,
    FALSE
  ),
  0
)
"),"お知らせ - 受験英語専門ゼミ「Re-Write」(リライト)")</f>
        <v>お知らせ - 受験英語専門ゼミ「Re-Write」(リライト)</v>
      </c>
      <c r="D134" s="1" t="str">
        <f>IFERROR(__xludf.DUMMYFUNCTION("IFERROR(
  VLOOKUP(
    A134,
    IMPORTRANGE(
      ""1ZygntHC1J6IxzKbTidmOyf5nUyW4GCLurHCjexrLm_o        "",
      ""HTMLキャッシュ!A:F""
    ),
    6,
    FALSE
  ),
  0
)
"),"")</f>
        <v/>
      </c>
      <c r="E134" s="32">
        <f>IFERROR(__xludf.DUMMYFUNCTION("IFERROR(
  VLOOKUP(
    A134,
    IMPORTRANGE(
      ""1ZygntHC1J6IxzKbTidmOyf5nUyW4GCLurHCjexrLm_o        "",
      ""HTMLキャッシュ!A:F""
    ),
    3,
    FALSE
  ),
  0
)
"),46076.778333333335)</f>
        <v>46076.77833</v>
      </c>
      <c r="F134" s="49">
        <f>IFERROR(__xludf.DUMMYFUNCTION("IFERROR(
  VLOOKUP(
    A134,
    IMPORTRANGE(
      ""1ZHMy3vVUd_0MrSduXTe1etBb1HNpAlGwQr006ljwMiM"",
      ""GSC最新!A:F""
    ),
    2,
    FALSE
  ),
  0
)
"),0.0)</f>
        <v>0</v>
      </c>
      <c r="G134" s="49">
        <f>IFERROR(__xludf.DUMMYFUNCTION("IFERROR(
  VLOOKUP(
    A134,
    IMPORTRANGE(
      ""1ZHMy3vVUd_0MrSduXTe1etBb1HNpAlGwQr006ljwMiM"",
      ""GSC最新!A:F""
    ),
    3,
    FALSE
  ),
  0
)
"),0.0)</f>
        <v>0</v>
      </c>
      <c r="H134" s="49">
        <f>IFERROR(__xludf.DUMMYFUNCTION("IFERROR(
  VLOOKUP(
    A134,
    IMPORTRANGE(
      ""1ZHMy3vVUd_0MrSduXTe1etBb1HNpAlGwQr006ljwMiM"",
      ""GSC最新!A:F""
    ),
    4,
    FALSE
  ),
  0
)
"),0.0)</f>
        <v>0</v>
      </c>
      <c r="I134" s="49">
        <f>IFERROR(__xludf.DUMMYFUNCTION("IFERROR(
  VLOOKUP(
    A134,
    IMPORTRANGE(
      ""1ZHMy3vVUd_0MrSduXTe1etBb1HNpAlGwQr006ljwMiM"",
      ""GSC最新!A:F""
    ),
    5,
    FALSE
  ),
  0
)
"),0.0)</f>
        <v>0</v>
      </c>
      <c r="J134" s="50" t="str">
        <f t="shared" ref="J134:K134" si="661">IFERROR(F134/H134,"-")</f>
        <v>-</v>
      </c>
      <c r="K134" s="50" t="str">
        <f t="shared" si="661"/>
        <v>-</v>
      </c>
      <c r="L134" s="6">
        <f>IFERROR(__xludf.DUMMYFUNCTION("IFERROR(
  VLOOKUP(
    A134,
    IMPORTRANGE(
      ""1ZHMy3vVUd_0MrSduXTe1etBb1HNpAlGwQr006ljwMiM"",
      ""GSC最新!A:R""
    ),
    7,
    FALSE
  ),
  0
)
"),0.0)</f>
        <v>0</v>
      </c>
      <c r="M134" s="6">
        <f>IFERROR(__xludf.DUMMYFUNCTION("IFERROR(
  VLOOKUP(
    A134,
    IMPORTRANGE(
      ""1ZHMy3vVUd_0MrSduXTe1etBb1HNpAlGwQr006ljwMiM"",
      ""GSC最新!A:R""
    ),
    10,
    FALSE
  ),
  0
)
"),0.0)</f>
        <v>0</v>
      </c>
      <c r="N134" s="6">
        <f>IFERROR(__xludf.DUMMYFUNCTION("IFERROR(
  VLOOKUP(
    A134,
    IMPORTRANGE(
      ""1ZHMy3vVUd_0MrSduXTe1etBb1HNpAlGwQr006ljwMiM"",
      ""GSC最新!A:R""
    ),
    13,
    FALSE
  ),
  0
)
"),0.0)</f>
        <v>0</v>
      </c>
      <c r="O134" s="6">
        <f>IFERROR(__xludf.DUMMYFUNCTION("IFERROR(
  VLOOKUP(
    A134,
    IMPORTRANGE(
      ""1ZHMy3vVUd_0MrSduXTe1etBb1HNpAlGwQr006ljwMiM"",
      ""GSC最新!A:R""
    ),
    16,
    FALSE
  ),
  0
)
"),2.0)</f>
        <v>2</v>
      </c>
      <c r="P134" s="51" t="str">
        <f t="shared" ref="P134:Q134" si="662">IFERROR(L134/N134,"-")</f>
        <v>-</v>
      </c>
      <c r="Q134" s="51">
        <f t="shared" si="662"/>
        <v>0</v>
      </c>
      <c r="R134" s="9">
        <f>IFERROR(__xludf.DUMMYFUNCTION("IFERROR(
  VLOOKUP(
    A134,
    IMPORTRANGE(
      ""1ZHMy3vVUd_0MrSduXTe1etBb1HNpAlGwQr006ljwMiM"",
      ""GSC最新!A:R""
    ),
    8,
    FALSE
  ),
  0
)
"),0.0)</f>
        <v>0</v>
      </c>
      <c r="S134" s="9">
        <f>IFERROR(__xludf.DUMMYFUNCTION("IFERROR(
  VLOOKUP(
    A134,
    IMPORTRANGE(
      ""1ZHMy3vVUd_0MrSduXTe1etBb1HNpAlGwQr006ljwMiM"",
      ""GSC最新!A:R""
    ),
    11,
    FALSE
  ),
  0
)
"),0.0)</f>
        <v>0</v>
      </c>
      <c r="T134" s="9">
        <f>IFERROR(__xludf.DUMMYFUNCTION("IFERROR(
  VLOOKUP(
    A134,
    IMPORTRANGE(
      ""1ZHMy3vVUd_0MrSduXTe1etBb1HNpAlGwQr006ljwMiM"",
      ""GSC最新!A:R""
    ),
    14,
    FALSE
  ),
  0
)
"),0.0)</f>
        <v>0</v>
      </c>
      <c r="U134" s="9">
        <f>IFERROR(__xludf.DUMMYFUNCTION("IFERROR(
  VLOOKUP(
    A134,
    IMPORTRANGE(
      ""1ZHMy3vVUd_0MrSduXTe1etBb1HNpAlGwQr006ljwMiM"",
      ""GSC最新!A:R""
    ),
    17,
    FALSE
  ),
  0
)
"),0.0)</f>
        <v>0</v>
      </c>
      <c r="V134" s="9">
        <f t="shared" ref="V134:W134" si="663">IFERROR(R134-T134,"-")</f>
        <v>0</v>
      </c>
      <c r="W134" s="9">
        <f t="shared" si="663"/>
        <v>0</v>
      </c>
      <c r="X134" s="65" t="str">
        <f>IFERROR(__xludf.DUMMYFUNCTION("IFERROR(
  VLOOKUP(
    A134,
    IMPORTRANGE(
      ""1ZHMy3vVUd_0MrSduXTe1etBb1HNpAlGwQr006ljwMiM"",
      ""GSC最新!A:R""
    ),
    9,
    FALSE
  ),
  0
)
"),"")</f>
        <v/>
      </c>
      <c r="Y134" s="65" t="str">
        <f>IFERROR(__xludf.DUMMYFUNCTION("IFERROR(
  VLOOKUP(
    A134,
    IMPORTRANGE(
      ""1ZHMy3vVUd_0MrSduXTe1etBb1HNpAlGwQr006ljwMiM"",
      ""GSC最新!A:R""
    ),
    12,
    FALSE
  ),
  0
)
"),"")</f>
        <v/>
      </c>
      <c r="Z134" s="65" t="str">
        <f>IFERROR(__xludf.DUMMYFUNCTION("IFERROR(
  VLOOKUP(
    A134,
    IMPORTRANGE(
      ""1ZHMy3vVUd_0MrSduXTe1etBb1HNpAlGwQr006ljwMiM"",
      ""GSC最新!A:R""
    ),
    15,
    FALSE
  ),
  0
)
"),"")</f>
        <v/>
      </c>
      <c r="AA134" s="65">
        <f>IFERROR(__xludf.DUMMYFUNCTION("IFERROR(
  VLOOKUP(
    A134,
    IMPORTRANGE(
      ""1ZHMy3vVUd_0MrSduXTe1etBb1HNpAlGwQr006ljwMiM"",
      ""GSC最新!A:R""
    ),
    18,
    FALSE
  ),
  0
)
"),6.5)</f>
        <v>6.5</v>
      </c>
      <c r="AB134" s="65">
        <f t="shared" ref="AB134:AC134" si="664">X134-Z134</f>
        <v>0</v>
      </c>
      <c r="AC134" s="65">
        <f t="shared" si="664"/>
        <v>-6.5</v>
      </c>
      <c r="AD134" s="53">
        <f>IFERROR(__xludf.DUMMYFUNCTION("IFERROR(
  VLOOKUP(
    A134,
    IMPORTRANGE(
      ""1ZHMy3vVUd_0MrSduXTe1etBb1HNpAlGwQr006ljwMiM"",
      ""GSC最新!A:F""
    ),
    6,
    FALSE
  ),
  0
)
"),46081.0)</f>
        <v>46081</v>
      </c>
      <c r="AE134" s="54">
        <f>IFERROR(__xludf.DUMMYFUNCTION("IFERROR(
  VLOOKUP(
    A134,
    IMPORTRANGE(
      ""1SCYQd7_cobOYqT0r_F0IqD4tE4rYn5y8Eup4PJTH8es"",
      ""Snapshot!A:M""
    ),
    5,
    FALSE
  ),
  ""-""
)
"),0.0)</f>
        <v>0</v>
      </c>
      <c r="AF134" s="54">
        <f>IFERROR(__xludf.DUMMYFUNCTION("IFERROR(
  VLOOKUP(
    A134,
    IMPORTRANGE(
      ""1SCYQd7_cobOYqT0r_F0IqD4tE4rYn5y8Eup4PJTH8es"",
      ""Snapshot!A:M""
    ),
    6,
    FALSE
  ),
  0
)
"),0.0)</f>
        <v>0</v>
      </c>
      <c r="AG134" s="54">
        <f>IFERROR(__xludf.DUMMYFUNCTION("IFERROR(
  VLOOKUP(
    A134,
    IMPORTRANGE(
      ""1SCYQd7_cobOYqT0r_F0IqD4tE4rYn5y8Eup4PJTH8es"",
      ""Snapshot!A:M""
    ),
    7,
    FALSE
  ),
  0
)
"),0.0)</f>
        <v>0</v>
      </c>
      <c r="AH134" s="54">
        <f>IFERROR(__xludf.DUMMYFUNCTION("IFERROR(
  VLOOKUP(
    A134,
    IMPORTRANGE(
      ""1SCYQd7_cobOYqT0r_F0IqD4tE4rYn5y8Eup4PJTH8es"",
      ""Snapshot!A:M""
    ),
    8,
    FALSE
  ),
  0
)
"),0.0)</f>
        <v>0</v>
      </c>
      <c r="AI134" s="54">
        <f>IFERROR(__xludf.DUMMYFUNCTION("IFERROR(
  VLOOKUP(
    A134,
    IMPORTRANGE(
      ""1SCYQd7_cobOYqT0r_F0IqD4tE4rYn5y8Eup4PJTH8es"",
      ""Snapshot!A:M""
    ),
    9,
    FALSE
  ),
  0
)
"),0.0)</f>
        <v>0</v>
      </c>
      <c r="AJ134" s="54">
        <f>IFERROR(__xludf.DUMMYFUNCTION("IFERROR(
  VLOOKUP(
    A134,
    IMPORTRANGE(
      ""1SCYQd7_cobOYqT0r_F0IqD4tE4rYn5y8Eup4PJTH8es"",
      ""Snapshot!A:M""
    ),
    13,
    FALSE
  ),
  0
)
"),1.0)</f>
        <v>1</v>
      </c>
      <c r="AK134" s="49">
        <f t="shared" ref="AK134:AL134" si="665">LEN(C134)</f>
        <v>31</v>
      </c>
      <c r="AL134" s="49">
        <f t="shared" si="665"/>
        <v>0</v>
      </c>
    </row>
    <row r="135">
      <c r="A135" s="1" t="s">
        <v>1067</v>
      </c>
      <c r="B135" s="1" t="str">
        <f>IFERROR(__xludf.DUMMYFUNCTION("IFERROR(
  VLOOKUP(
    A135,
    IMPORTRANGE(
      ""1ZygntHC1J6IxzKbTidmOyf5nUyW4GCLurHCjexrLm_o"",
      ""HTMLキャッシュ!A:F""
    ),
    2,
    FALSE
  ),
  0
)
"),"NW")</f>
        <v>NW</v>
      </c>
      <c r="C135" s="1" t="str">
        <f>IFERROR(__xludf.DUMMYFUNCTION("IFERROR(
  VLOOKUP(
    A135,
    IMPORTRANGE(
      ""1ZygntHC1J6IxzKbTidmOyf5nUyW4GCLurHCjexrLm_o"",
      ""HTMLキャッシュ!A:F""
    ),
    5,
    FALSE
  ),
  0
)
"),"「基礎力Stadium 国語のトリガー」開校のお知らせ - 受験英語専門ゼミ「Re-Write」(リライト)")</f>
        <v>「基礎力Stadium 国語のトリガー」開校のお知らせ - 受験英語専門ゼミ「Re-Write」(リライト)</v>
      </c>
      <c r="D135" s="1" t="str">
        <f>IFERROR(__xludf.DUMMYFUNCTION("IFERROR(
  VLOOKUP(
    A135,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135" s="32">
        <f>IFERROR(__xludf.DUMMYFUNCTION("IFERROR(
  VLOOKUP(
    A135,
    IMPORTRANGE(
      ""1ZygntHC1J6IxzKbTidmOyf5nUyW4GCLurHCjexrLm_o        "",
      ""HTMLキャッシュ!A:F""
    ),
    3,
    FALSE
  ),
  0
)
"),44292.46596064815)</f>
        <v>44292.46596</v>
      </c>
      <c r="F135" s="49">
        <f>IFERROR(__xludf.DUMMYFUNCTION("IFERROR(
  VLOOKUP(
    A135,
    IMPORTRANGE(
      ""1ZHMy3vVUd_0MrSduXTe1etBb1HNpAlGwQr006ljwMiM"",
      ""GSC最新!A:F""
    ),
    2,
    FALSE
  ),
  0
)
"),0.0)</f>
        <v>0</v>
      </c>
      <c r="G135" s="49">
        <f>IFERROR(__xludf.DUMMYFUNCTION("IFERROR(
  VLOOKUP(
    A135,
    IMPORTRANGE(
      ""1ZHMy3vVUd_0MrSduXTe1etBb1HNpAlGwQr006ljwMiM"",
      ""GSC最新!A:F""
    ),
    3,
    FALSE
  ),
  0
)
"),0.0)</f>
        <v>0</v>
      </c>
      <c r="H135" s="49">
        <f>IFERROR(__xludf.DUMMYFUNCTION("IFERROR(
  VLOOKUP(
    A135,
    IMPORTRANGE(
      ""1ZHMy3vVUd_0MrSduXTe1etBb1HNpAlGwQr006ljwMiM"",
      ""GSC最新!A:F""
    ),
    4,
    FALSE
  ),
  0
)
"),0.0)</f>
        <v>0</v>
      </c>
      <c r="I135" s="49">
        <f>IFERROR(__xludf.DUMMYFUNCTION("IFERROR(
  VLOOKUP(
    A135,
    IMPORTRANGE(
      ""1ZHMy3vVUd_0MrSduXTe1etBb1HNpAlGwQr006ljwMiM"",
      ""GSC最新!A:F""
    ),
    5,
    FALSE
  ),
  0
)
"),0.0)</f>
        <v>0</v>
      </c>
      <c r="J135" s="50" t="str">
        <f t="shared" ref="J135:K135" si="666">IFERROR(F135/H135,"-")</f>
        <v>-</v>
      </c>
      <c r="K135" s="50" t="str">
        <f t="shared" si="666"/>
        <v>-</v>
      </c>
      <c r="L135" s="6">
        <f>IFERROR(__xludf.DUMMYFUNCTION("IFERROR(
  VLOOKUP(
    A135,
    IMPORTRANGE(
      ""1ZHMy3vVUd_0MrSduXTe1etBb1HNpAlGwQr006ljwMiM"",
      ""GSC最新!A:R""
    ),
    7,
    FALSE
  ),
  0
)
"),0.0)</f>
        <v>0</v>
      </c>
      <c r="M135" s="6">
        <f>IFERROR(__xludf.DUMMYFUNCTION("IFERROR(
  VLOOKUP(
    A135,
    IMPORTRANGE(
      ""1ZHMy3vVUd_0MrSduXTe1etBb1HNpAlGwQr006ljwMiM"",
      ""GSC最新!A:R""
    ),
    10,
    FALSE
  ),
  0
)
"),0.0)</f>
        <v>0</v>
      </c>
      <c r="N135" s="6">
        <f>IFERROR(__xludf.DUMMYFUNCTION("IFERROR(
  VLOOKUP(
    A135,
    IMPORTRANGE(
      ""1ZHMy3vVUd_0MrSduXTe1etBb1HNpAlGwQr006ljwMiM"",
      ""GSC最新!A:R""
    ),
    13,
    FALSE
  ),
  0
)
"),0.0)</f>
        <v>0</v>
      </c>
      <c r="O135" s="6">
        <f>IFERROR(__xludf.DUMMYFUNCTION("IFERROR(
  VLOOKUP(
    A135,
    IMPORTRANGE(
      ""1ZHMy3vVUd_0MrSduXTe1etBb1HNpAlGwQr006ljwMiM"",
      ""GSC最新!A:R""
    ),
    16,
    FALSE
  ),
  0
)
"),3.0)</f>
        <v>3</v>
      </c>
      <c r="P135" s="51" t="str">
        <f t="shared" ref="P135:Q135" si="667">IFERROR(L135/N135,"-")</f>
        <v>-</v>
      </c>
      <c r="Q135" s="51">
        <f t="shared" si="667"/>
        <v>0</v>
      </c>
      <c r="R135" s="9">
        <f>IFERROR(__xludf.DUMMYFUNCTION("IFERROR(
  VLOOKUP(
    A135,
    IMPORTRANGE(
      ""1ZHMy3vVUd_0MrSduXTe1etBb1HNpAlGwQr006ljwMiM"",
      ""GSC最新!A:R""
    ),
    8,
    FALSE
  ),
  0
)
"),0.0)</f>
        <v>0</v>
      </c>
      <c r="S135" s="9">
        <f>IFERROR(__xludf.DUMMYFUNCTION("IFERROR(
  VLOOKUP(
    A135,
    IMPORTRANGE(
      ""1ZHMy3vVUd_0MrSduXTe1etBb1HNpAlGwQr006ljwMiM"",
      ""GSC最新!A:R""
    ),
    11,
    FALSE
  ),
  0
)
"),0.0)</f>
        <v>0</v>
      </c>
      <c r="T135" s="9">
        <f>IFERROR(__xludf.DUMMYFUNCTION("IFERROR(
  VLOOKUP(
    A135,
    IMPORTRANGE(
      ""1ZHMy3vVUd_0MrSduXTe1etBb1HNpAlGwQr006ljwMiM"",
      ""GSC最新!A:R""
    ),
    14,
    FALSE
  ),
  0
)
"),0.0)</f>
        <v>0</v>
      </c>
      <c r="U135" s="9">
        <f>IFERROR(__xludf.DUMMYFUNCTION("IFERROR(
  VLOOKUP(
    A135,
    IMPORTRANGE(
      ""1ZHMy3vVUd_0MrSduXTe1etBb1HNpAlGwQr006ljwMiM"",
      ""GSC最新!A:R""
    ),
    17,
    FALSE
  ),
  0
)
"),0.0)</f>
        <v>0</v>
      </c>
      <c r="V135" s="9">
        <f t="shared" ref="V135:W135" si="668">IFERROR(R135-T135,"-")</f>
        <v>0</v>
      </c>
      <c r="W135" s="9">
        <f t="shared" si="668"/>
        <v>0</v>
      </c>
      <c r="X135" s="65" t="str">
        <f>IFERROR(__xludf.DUMMYFUNCTION("IFERROR(
  VLOOKUP(
    A135,
    IMPORTRANGE(
      ""1ZHMy3vVUd_0MrSduXTe1etBb1HNpAlGwQr006ljwMiM"",
      ""GSC最新!A:R""
    ),
    9,
    FALSE
  ),
  0
)
"),"")</f>
        <v/>
      </c>
      <c r="Y135" s="65" t="str">
        <f>IFERROR(__xludf.DUMMYFUNCTION("IFERROR(
  VLOOKUP(
    A135,
    IMPORTRANGE(
      ""1ZHMy3vVUd_0MrSduXTe1etBb1HNpAlGwQr006ljwMiM"",
      ""GSC最新!A:R""
    ),
    12,
    FALSE
  ),
  0
)
"),"")</f>
        <v/>
      </c>
      <c r="Z135" s="65" t="str">
        <f>IFERROR(__xludf.DUMMYFUNCTION("IFERROR(
  VLOOKUP(
    A135,
    IMPORTRANGE(
      ""1ZHMy3vVUd_0MrSduXTe1etBb1HNpAlGwQr006ljwMiM"",
      ""GSC最新!A:R""
    ),
    15,
    FALSE
  ),
  0
)
"),"")</f>
        <v/>
      </c>
      <c r="AA135" s="65">
        <f>IFERROR(__xludf.DUMMYFUNCTION("IFERROR(
  VLOOKUP(
    A135,
    IMPORTRANGE(
      ""1ZHMy3vVUd_0MrSduXTe1etBb1HNpAlGwQr006ljwMiM"",
      ""GSC最新!A:R""
    ),
    18,
    FALSE
  ),
  0
)
"),57.666666666666664)</f>
        <v>57.66666667</v>
      </c>
      <c r="AB135" s="65">
        <f t="shared" ref="AB135:AC135" si="669">X135-Z135</f>
        <v>0</v>
      </c>
      <c r="AC135" s="65">
        <f t="shared" si="669"/>
        <v>-57.66666667</v>
      </c>
      <c r="AD135" s="53">
        <f>IFERROR(__xludf.DUMMYFUNCTION("IFERROR(
  VLOOKUP(
    A135,
    IMPORTRANGE(
      ""1ZHMy3vVUd_0MrSduXTe1etBb1HNpAlGwQr006ljwMiM"",
      ""GSC最新!A:F""
    ),
    6,
    FALSE
  ),
  0
)
"),46081.0)</f>
        <v>46081</v>
      </c>
      <c r="AE135" s="54" t="str">
        <f>IFERROR(__xludf.DUMMYFUNCTION("IFERROR(
  VLOOKUP(
    A135,
    IMPORTRANGE(
      ""1SCYQd7_cobOYqT0r_F0IqD4tE4rYn5y8Eup4PJTH8es"",
      ""Snapshot!A:M""
    ),
    5,
    FALSE
  ),
  ""-""
)
"),"-")</f>
        <v>-</v>
      </c>
      <c r="AF135" s="54">
        <f>IFERROR(__xludf.DUMMYFUNCTION("IFERROR(
  VLOOKUP(
    A135,
    IMPORTRANGE(
      ""1SCYQd7_cobOYqT0r_F0IqD4tE4rYn5y8Eup4PJTH8es"",
      ""Snapshot!A:M""
    ),
    6,
    FALSE
  ),
  0
)
"),0.0)</f>
        <v>0</v>
      </c>
      <c r="AG135" s="54">
        <f>IFERROR(__xludf.DUMMYFUNCTION("IFERROR(
  VLOOKUP(
    A135,
    IMPORTRANGE(
      ""1SCYQd7_cobOYqT0r_F0IqD4tE4rYn5y8Eup4PJTH8es"",
      ""Snapshot!A:M""
    ),
    7,
    FALSE
  ),
  0
)
"),0.0)</f>
        <v>0</v>
      </c>
      <c r="AH135" s="54">
        <f>IFERROR(__xludf.DUMMYFUNCTION("IFERROR(
  VLOOKUP(
    A135,
    IMPORTRANGE(
      ""1SCYQd7_cobOYqT0r_F0IqD4tE4rYn5y8Eup4PJTH8es"",
      ""Snapshot!A:M""
    ),
    8,
    FALSE
  ),
  0
)
"),0.0)</f>
        <v>0</v>
      </c>
      <c r="AI135" s="54">
        <f>IFERROR(__xludf.DUMMYFUNCTION("IFERROR(
  VLOOKUP(
    A135,
    IMPORTRANGE(
      ""1SCYQd7_cobOYqT0r_F0IqD4tE4rYn5y8Eup4PJTH8es"",
      ""Snapshot!A:M""
    ),
    9,
    FALSE
  ),
  0
)
"),0.0)</f>
        <v>0</v>
      </c>
      <c r="AJ135" s="54">
        <f>IFERROR(__xludf.DUMMYFUNCTION("IFERROR(
  VLOOKUP(
    A135,
    IMPORTRANGE(
      ""1SCYQd7_cobOYqT0r_F0IqD4tE4rYn5y8Eup4PJTH8es"",
      ""Snapshot!A:M""
    ),
    13,
    FALSE
  ),
  0
)
"),0.0)</f>
        <v>0</v>
      </c>
      <c r="AK135" s="49">
        <f t="shared" ref="AK135:AL135" si="670">LEN(C135)</f>
        <v>54</v>
      </c>
      <c r="AL135" s="49">
        <f t="shared" si="670"/>
        <v>55</v>
      </c>
    </row>
    <row r="136">
      <c r="A136" s="3" t="s">
        <v>1068</v>
      </c>
      <c r="B136" s="1" t="str">
        <f>IFERROR(__xludf.DUMMYFUNCTION("IFERROR(
  VLOOKUP(
    A136,
    IMPORTRANGE(
      ""1ZygntHC1J6IxzKbTidmOyf5nUyW4GCLurHCjexrLm_o"",
      ""HTMLキャッシュ!A:F""
    ),
    2,
    FALSE
  ),
  0
)
"),"NW")</f>
        <v>NW</v>
      </c>
      <c r="C136" s="1" t="str">
        <f>IFERROR(__xludf.DUMMYFUNCTION("IFERROR(
  VLOOKUP(
    A136,
    IMPORTRANGE(
      ""1ZygntHC1J6IxzKbTidmOyf5nUyW4GCLurHCjexrLm_o"",
      ""HTMLキャッシュ!A:F""
    ),
    5,
    FALSE
  ),
  0
)
"),"「英語教室サポート」開校のお知らせ - 受験英語専門ゼミ「Re-Write」(リライト)")</f>
        <v>「英語教室サポート」開校のお知らせ - 受験英語専門ゼミ「Re-Write」(リライト)</v>
      </c>
      <c r="D136" s="1" t="str">
        <f>IFERROR(__xludf.DUMMYFUNCTION("IFERROR(
  VLOOKUP(
    A136,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136" s="32">
        <f>IFERROR(__xludf.DUMMYFUNCTION("IFERROR(
  VLOOKUP(
    A136,
    IMPORTRANGE(
      ""1ZygntHC1J6IxzKbTidmOyf5nUyW4GCLurHCjexrLm_o        "",
      ""HTMLキャッシュ!A:F""
    ),
    3,
    FALSE
  ),
  0
)
"),44292.46126157408)</f>
        <v>44292.46126</v>
      </c>
      <c r="F136" s="49">
        <f>IFERROR(__xludf.DUMMYFUNCTION("IFERROR(
  VLOOKUP(
    A136,
    IMPORTRANGE(
      ""1ZHMy3vVUd_0MrSduXTe1etBb1HNpAlGwQr006ljwMiM"",
      ""GSC最新!A:F""
    ),
    2,
    FALSE
  ),
  0
)
"),0.0)</f>
        <v>0</v>
      </c>
      <c r="G136" s="49">
        <f>IFERROR(__xludf.DUMMYFUNCTION("IFERROR(
  VLOOKUP(
    A136,
    IMPORTRANGE(
      ""1ZHMy3vVUd_0MrSduXTe1etBb1HNpAlGwQr006ljwMiM"",
      ""GSC最新!A:F""
    ),
    3,
    FALSE
  ),
  0
)
"),0.0)</f>
        <v>0</v>
      </c>
      <c r="H136" s="49">
        <f>IFERROR(__xludf.DUMMYFUNCTION("IFERROR(
  VLOOKUP(
    A136,
    IMPORTRANGE(
      ""1ZHMy3vVUd_0MrSduXTe1etBb1HNpAlGwQr006ljwMiM"",
      ""GSC最新!A:F""
    ),
    4,
    FALSE
  ),
  0
)
"),0.0)</f>
        <v>0</v>
      </c>
      <c r="I136" s="49">
        <f>IFERROR(__xludf.DUMMYFUNCTION("IFERROR(
  VLOOKUP(
    A136,
    IMPORTRANGE(
      ""1ZHMy3vVUd_0MrSduXTe1etBb1HNpAlGwQr006ljwMiM"",
      ""GSC最新!A:F""
    ),
    5,
    FALSE
  ),
  0
)
"),0.0)</f>
        <v>0</v>
      </c>
      <c r="J136" s="50" t="str">
        <f t="shared" ref="J136:K136" si="671">IFERROR(F136/H136,"-")</f>
        <v>-</v>
      </c>
      <c r="K136" s="50" t="str">
        <f t="shared" si="671"/>
        <v>-</v>
      </c>
      <c r="L136" s="6">
        <f>IFERROR(__xludf.DUMMYFUNCTION("IFERROR(
  VLOOKUP(
    A136,
    IMPORTRANGE(
      ""1ZHMy3vVUd_0MrSduXTe1etBb1HNpAlGwQr006ljwMiM"",
      ""GSC最新!A:R""
    ),
    7,
    FALSE
  ),
  0
)
"),0.0)</f>
        <v>0</v>
      </c>
      <c r="M136" s="6">
        <f>IFERROR(__xludf.DUMMYFUNCTION("IFERROR(
  VLOOKUP(
    A136,
    IMPORTRANGE(
      ""1ZHMy3vVUd_0MrSduXTe1etBb1HNpAlGwQr006ljwMiM"",
      ""GSC最新!A:R""
    ),
    10,
    FALSE
  ),
  0
)
"),0.0)</f>
        <v>0</v>
      </c>
      <c r="N136" s="6">
        <f>IFERROR(__xludf.DUMMYFUNCTION("IFERROR(
  VLOOKUP(
    A136,
    IMPORTRANGE(
      ""1ZHMy3vVUd_0MrSduXTe1etBb1HNpAlGwQr006ljwMiM"",
      ""GSC最新!A:R""
    ),
    13,
    FALSE
  ),
  0
)
"),0.0)</f>
        <v>0</v>
      </c>
      <c r="O136" s="6">
        <f>IFERROR(__xludf.DUMMYFUNCTION("IFERROR(
  VLOOKUP(
    A136,
    IMPORTRANGE(
      ""1ZHMy3vVUd_0MrSduXTe1etBb1HNpAlGwQr006ljwMiM"",
      ""GSC最新!A:R""
    ),
    16,
    FALSE
  ),
  0
)
"),0.0)</f>
        <v>0</v>
      </c>
      <c r="P136" s="51" t="str">
        <f t="shared" ref="P136:Q136" si="672">IFERROR(L136/N136,"-")</f>
        <v>-</v>
      </c>
      <c r="Q136" s="51" t="str">
        <f t="shared" si="672"/>
        <v>-</v>
      </c>
      <c r="R136" s="9">
        <f>IFERROR(__xludf.DUMMYFUNCTION("IFERROR(
  VLOOKUP(
    A136,
    IMPORTRANGE(
      ""1ZHMy3vVUd_0MrSduXTe1etBb1HNpAlGwQr006ljwMiM"",
      ""GSC最新!A:R""
    ),
    8,
    FALSE
  ),
  0
)
"),0.0)</f>
        <v>0</v>
      </c>
      <c r="S136" s="9">
        <f>IFERROR(__xludf.DUMMYFUNCTION("IFERROR(
  VLOOKUP(
    A136,
    IMPORTRANGE(
      ""1ZHMy3vVUd_0MrSduXTe1etBb1HNpAlGwQr006ljwMiM"",
      ""GSC最新!A:R""
    ),
    11,
    FALSE
  ),
  0
)
"),0.0)</f>
        <v>0</v>
      </c>
      <c r="T136" s="9">
        <f>IFERROR(__xludf.DUMMYFUNCTION("IFERROR(
  VLOOKUP(
    A136,
    IMPORTRANGE(
      ""1ZHMy3vVUd_0MrSduXTe1etBb1HNpAlGwQr006ljwMiM"",
      ""GSC最新!A:R""
    ),
    14,
    FALSE
  ),
  0
)
"),0.0)</f>
        <v>0</v>
      </c>
      <c r="U136" s="9">
        <f>IFERROR(__xludf.DUMMYFUNCTION("IFERROR(
  VLOOKUP(
    A136,
    IMPORTRANGE(
      ""1ZHMy3vVUd_0MrSduXTe1etBb1HNpAlGwQr006ljwMiM"",
      ""GSC最新!A:R""
    ),
    17,
    FALSE
  ),
  0
)
"),0.0)</f>
        <v>0</v>
      </c>
      <c r="V136" s="9">
        <f t="shared" ref="V136:W136" si="673">IFERROR(R136-T136,"-")</f>
        <v>0</v>
      </c>
      <c r="W136" s="9">
        <f t="shared" si="673"/>
        <v>0</v>
      </c>
      <c r="X136" s="65" t="str">
        <f>IFERROR(__xludf.DUMMYFUNCTION("IFERROR(
  VLOOKUP(
    A136,
    IMPORTRANGE(
      ""1ZHMy3vVUd_0MrSduXTe1etBb1HNpAlGwQr006ljwMiM"",
      ""GSC最新!A:R""
    ),
    9,
    FALSE
  ),
  0
)
"),"")</f>
        <v/>
      </c>
      <c r="Y136" s="65" t="str">
        <f>IFERROR(__xludf.DUMMYFUNCTION("IFERROR(
  VLOOKUP(
    A136,
    IMPORTRANGE(
      ""1ZHMy3vVUd_0MrSduXTe1etBb1HNpAlGwQr006ljwMiM"",
      ""GSC最新!A:R""
    ),
    12,
    FALSE
  ),
  0
)
"),"")</f>
        <v/>
      </c>
      <c r="Z136" s="65" t="str">
        <f>IFERROR(__xludf.DUMMYFUNCTION("IFERROR(
  VLOOKUP(
    A136,
    IMPORTRANGE(
      ""1ZHMy3vVUd_0MrSduXTe1etBb1HNpAlGwQr006ljwMiM"",
      ""GSC最新!A:R""
    ),
    15,
    FALSE
  ),
  0
)
"),"")</f>
        <v/>
      </c>
      <c r="AA136" s="65" t="str">
        <f>IFERROR(__xludf.DUMMYFUNCTION("IFERROR(
  VLOOKUP(
    A136,
    IMPORTRANGE(
      ""1ZHMy3vVUd_0MrSduXTe1etBb1HNpAlGwQr006ljwMiM"",
      ""GSC最新!A:R""
    ),
    18,
    FALSE
  ),
  0
)
"),"")</f>
        <v/>
      </c>
      <c r="AB136" s="65">
        <f t="shared" ref="AB136:AC136" si="674">X136-Z136</f>
        <v>0</v>
      </c>
      <c r="AC136" s="65">
        <f t="shared" si="674"/>
        <v>0</v>
      </c>
      <c r="AD136" s="53">
        <f>IFERROR(__xludf.DUMMYFUNCTION("IFERROR(
  VLOOKUP(
    A136,
    IMPORTRANGE(
      ""1ZHMy3vVUd_0MrSduXTe1etBb1HNpAlGwQr006ljwMiM"",
      ""GSC最新!A:F""
    ),
    6,
    FALSE
  ),
  0
)
"),46081.0)</f>
        <v>46081</v>
      </c>
      <c r="AE136" s="54">
        <f>IFERROR(__xludf.DUMMYFUNCTION("IFERROR(
  VLOOKUP(
    A136,
    IMPORTRANGE(
      ""1SCYQd7_cobOYqT0r_F0IqD4tE4rYn5y8Eup4PJTH8es"",
      ""Snapshot!A:M""
    ),
    5,
    FALSE
  ),
  ""-""
)
"),0.0)</f>
        <v>0</v>
      </c>
      <c r="AF136" s="54">
        <f>IFERROR(__xludf.DUMMYFUNCTION("IFERROR(
  VLOOKUP(
    A136,
    IMPORTRANGE(
      ""1SCYQd7_cobOYqT0r_F0IqD4tE4rYn5y8Eup4PJTH8es"",
      ""Snapshot!A:M""
    ),
    6,
    FALSE
  ),
  0
)
"),0.0)</f>
        <v>0</v>
      </c>
      <c r="AG136" s="54">
        <f>IFERROR(__xludf.DUMMYFUNCTION("IFERROR(
  VLOOKUP(
    A136,
    IMPORTRANGE(
      ""1SCYQd7_cobOYqT0r_F0IqD4tE4rYn5y8Eup4PJTH8es"",
      ""Snapshot!A:M""
    ),
    7,
    FALSE
  ),
  0
)
"),120.0)</f>
        <v>120</v>
      </c>
      <c r="AH136" s="54">
        <f>IFERROR(__xludf.DUMMYFUNCTION("IFERROR(
  VLOOKUP(
    A136,
    IMPORTRANGE(
      ""1SCYQd7_cobOYqT0r_F0IqD4tE4rYn5y8Eup4PJTH8es"",
      ""Snapshot!A:M""
    ),
    8,
    FALSE
  ),
  0
)
"),0.0)</f>
        <v>0</v>
      </c>
      <c r="AI136" s="54">
        <f>IFERROR(__xludf.DUMMYFUNCTION("IFERROR(
  VLOOKUP(
    A136,
    IMPORTRANGE(
      ""1SCYQd7_cobOYqT0r_F0IqD4tE4rYn5y8Eup4PJTH8es"",
      ""Snapshot!A:M""
    ),
    9,
    FALSE
  ),
  0
)
"),1.0)</f>
        <v>1</v>
      </c>
      <c r="AJ136" s="54">
        <f>IFERROR(__xludf.DUMMYFUNCTION("IFERROR(
  VLOOKUP(
    A136,
    IMPORTRANGE(
      ""1SCYQd7_cobOYqT0r_F0IqD4tE4rYn5y8Eup4PJTH8es"",
      ""Snapshot!A:M""
    ),
    13,
    FALSE
  ),
  0
)
"),1.0)</f>
        <v>1</v>
      </c>
      <c r="AK136" s="49">
        <f t="shared" ref="AK136:AL136" si="675">LEN(C136)</f>
        <v>44</v>
      </c>
      <c r="AL136" s="49">
        <f t="shared" si="675"/>
        <v>55</v>
      </c>
    </row>
    <row r="137">
      <c r="A137" s="3" t="s">
        <v>1069</v>
      </c>
      <c r="B137" s="1" t="str">
        <f>IFERROR(__xludf.DUMMYFUNCTION("IFERROR(
  VLOOKUP(
    A137,
    IMPORTRANGE(
      ""1ZygntHC1J6IxzKbTidmOyf5nUyW4GCLurHCjexrLm_o"",
      ""HTMLキャッシュ!A:F""
    ),
    2,
    FALSE
  ),
  0
)
"),"NW")</f>
        <v>NW</v>
      </c>
      <c r="C137" s="1" t="str">
        <f>IFERROR(__xludf.DUMMYFUNCTION("IFERROR(
  VLOOKUP(
    A137,
    IMPORTRANGE(
      ""1ZygntHC1J6IxzKbTidmOyf5nUyW4GCLurHCjexrLm_o"",
      ""HTMLキャッシュ!A:F""
    ),
    5,
    FALSE
  ),
  0
)
"),"受験英語専門ゼミ「Re-Write」(リライト)開校いたします！ - 受験英語専門ゼミ「Re-Write」(リライト)")</f>
        <v>受験英語専門ゼミ「Re-Write」(リライト)開校いたします！ - 受験英語専門ゼミ「Re-Write」(リライト)</v>
      </c>
      <c r="D137" s="1" t="str">
        <f>IFERROR(__xludf.DUMMYFUNCTION("IFERROR(
  VLOOKUP(
    A137,
    IMPORTRANGE(
      ""1ZygntHC1J6IxzKbTidmOyf5nUyW4GCLurHCjexrLm_o        "",
      ""HTMLキャッシュ!A:F""
    ),
    6,
    FALSE
  ),
  0
)
"),"この度、受験英語に特化した塾、受験英語専門ゼミ「Re-Write」(リライト)を開校いたします。 当塾の指導は")</f>
        <v>この度、受験英語に特化した塾、受験英語専門ゼミ「Re-Write」(リライト)を開校いたします。 当塾の指導は</v>
      </c>
      <c r="E137" s="32">
        <f>IFERROR(__xludf.DUMMYFUNCTION("IFERROR(
  VLOOKUP(
    A137,
    IMPORTRANGE(
      ""1ZygntHC1J6IxzKbTidmOyf5nUyW4GCLurHCjexrLm_o        "",
      ""HTMLキャッシュ!A:F""
    ),
    3,
    FALSE
  ),
  0
)
"),43998.519421296296)</f>
        <v>43998.51942</v>
      </c>
      <c r="F137" s="49">
        <f>IFERROR(__xludf.DUMMYFUNCTION("IFERROR(
  VLOOKUP(
    A137,
    IMPORTRANGE(
      ""1ZHMy3vVUd_0MrSduXTe1etBb1HNpAlGwQr006ljwMiM"",
      ""GSC最新!A:F""
    ),
    2,
    FALSE
  ),
  0
)
"),0.0)</f>
        <v>0</v>
      </c>
      <c r="G137" s="49">
        <f>IFERROR(__xludf.DUMMYFUNCTION("IFERROR(
  VLOOKUP(
    A137,
    IMPORTRANGE(
      ""1ZHMy3vVUd_0MrSduXTe1etBb1HNpAlGwQr006ljwMiM"",
      ""GSC最新!A:F""
    ),
    3,
    FALSE
  ),
  0
)
"),0.0)</f>
        <v>0</v>
      </c>
      <c r="H137" s="49">
        <f>IFERROR(__xludf.DUMMYFUNCTION("IFERROR(
  VLOOKUP(
    A137,
    IMPORTRANGE(
      ""1ZHMy3vVUd_0MrSduXTe1etBb1HNpAlGwQr006ljwMiM"",
      ""GSC最新!A:F""
    ),
    4,
    FALSE
  ),
  0
)
"),0.0)</f>
        <v>0</v>
      </c>
      <c r="I137" s="49">
        <f>IFERROR(__xludf.DUMMYFUNCTION("IFERROR(
  VLOOKUP(
    A137,
    IMPORTRANGE(
      ""1ZHMy3vVUd_0MrSduXTe1etBb1HNpAlGwQr006ljwMiM"",
      ""GSC最新!A:F""
    ),
    5,
    FALSE
  ),
  0
)
"),0.0)</f>
        <v>0</v>
      </c>
      <c r="J137" s="50" t="str">
        <f t="shared" ref="J137:K137" si="676">IFERROR(F137/H137,"-")</f>
        <v>-</v>
      </c>
      <c r="K137" s="50" t="str">
        <f t="shared" si="676"/>
        <v>-</v>
      </c>
      <c r="L137" s="6">
        <f>IFERROR(__xludf.DUMMYFUNCTION("IFERROR(
  VLOOKUP(
    A137,
    IMPORTRANGE(
      ""1ZHMy3vVUd_0MrSduXTe1etBb1HNpAlGwQr006ljwMiM"",
      ""GSC最新!A:R""
    ),
    7,
    FALSE
  ),
  0
)
"),0.0)</f>
        <v>0</v>
      </c>
      <c r="M137" s="6">
        <f>IFERROR(__xludf.DUMMYFUNCTION("IFERROR(
  VLOOKUP(
    A137,
    IMPORTRANGE(
      ""1ZHMy3vVUd_0MrSduXTe1etBb1HNpAlGwQr006ljwMiM"",
      ""GSC最新!A:R""
    ),
    10,
    FALSE
  ),
  0
)
"),0.0)</f>
        <v>0</v>
      </c>
      <c r="N137" s="6">
        <f>IFERROR(__xludf.DUMMYFUNCTION("IFERROR(
  VLOOKUP(
    A137,
    IMPORTRANGE(
      ""1ZHMy3vVUd_0MrSduXTe1etBb1HNpAlGwQr006ljwMiM"",
      ""GSC最新!A:R""
    ),
    13,
    FALSE
  ),
  0
)
"),0.0)</f>
        <v>0</v>
      </c>
      <c r="O137" s="6">
        <f>IFERROR(__xludf.DUMMYFUNCTION("IFERROR(
  VLOOKUP(
    A137,
    IMPORTRANGE(
      ""1ZHMy3vVUd_0MrSduXTe1etBb1HNpAlGwQr006ljwMiM"",
      ""GSC最新!A:R""
    ),
    16,
    FALSE
  ),
  0
)
"),0.0)</f>
        <v>0</v>
      </c>
      <c r="P137" s="51" t="str">
        <f t="shared" ref="P137:Q137" si="677">IFERROR(L137/N137,"-")</f>
        <v>-</v>
      </c>
      <c r="Q137" s="51" t="str">
        <f t="shared" si="677"/>
        <v>-</v>
      </c>
      <c r="R137" s="9">
        <f>IFERROR(__xludf.DUMMYFUNCTION("IFERROR(
  VLOOKUP(
    A137,
    IMPORTRANGE(
      ""1ZHMy3vVUd_0MrSduXTe1etBb1HNpAlGwQr006ljwMiM"",
      ""GSC最新!A:R""
    ),
    8,
    FALSE
  ),
  0
)
"),0.0)</f>
        <v>0</v>
      </c>
      <c r="S137" s="9">
        <f>IFERROR(__xludf.DUMMYFUNCTION("IFERROR(
  VLOOKUP(
    A137,
    IMPORTRANGE(
      ""1ZHMy3vVUd_0MrSduXTe1etBb1HNpAlGwQr006ljwMiM"",
      ""GSC最新!A:R""
    ),
    11,
    FALSE
  ),
  0
)
"),0.0)</f>
        <v>0</v>
      </c>
      <c r="T137" s="9">
        <f>IFERROR(__xludf.DUMMYFUNCTION("IFERROR(
  VLOOKUP(
    A137,
    IMPORTRANGE(
      ""1ZHMy3vVUd_0MrSduXTe1etBb1HNpAlGwQr006ljwMiM"",
      ""GSC最新!A:R""
    ),
    14,
    FALSE
  ),
  0
)
"),0.0)</f>
        <v>0</v>
      </c>
      <c r="U137" s="9">
        <f>IFERROR(__xludf.DUMMYFUNCTION("IFERROR(
  VLOOKUP(
    A137,
    IMPORTRANGE(
      ""1ZHMy3vVUd_0MrSduXTe1etBb1HNpAlGwQr006ljwMiM"",
      ""GSC最新!A:R""
    ),
    17,
    FALSE
  ),
  0
)
"),0.0)</f>
        <v>0</v>
      </c>
      <c r="V137" s="9">
        <f t="shared" ref="V137:W137" si="678">IFERROR(R137-T137,"-")</f>
        <v>0</v>
      </c>
      <c r="W137" s="9">
        <f t="shared" si="678"/>
        <v>0</v>
      </c>
      <c r="X137" s="65" t="str">
        <f>IFERROR(__xludf.DUMMYFUNCTION("IFERROR(
  VLOOKUP(
    A137,
    IMPORTRANGE(
      ""1ZHMy3vVUd_0MrSduXTe1etBb1HNpAlGwQr006ljwMiM"",
      ""GSC最新!A:R""
    ),
    9,
    FALSE
  ),
  0
)
"),"")</f>
        <v/>
      </c>
      <c r="Y137" s="65" t="str">
        <f>IFERROR(__xludf.DUMMYFUNCTION("IFERROR(
  VLOOKUP(
    A137,
    IMPORTRANGE(
      ""1ZHMy3vVUd_0MrSduXTe1etBb1HNpAlGwQr006ljwMiM"",
      ""GSC最新!A:R""
    ),
    12,
    FALSE
  ),
  0
)
"),"")</f>
        <v/>
      </c>
      <c r="Z137" s="65" t="str">
        <f>IFERROR(__xludf.DUMMYFUNCTION("IFERROR(
  VLOOKUP(
    A137,
    IMPORTRANGE(
      ""1ZHMy3vVUd_0MrSduXTe1etBb1HNpAlGwQr006ljwMiM"",
      ""GSC最新!A:R""
    ),
    15,
    FALSE
  ),
  0
)
"),"")</f>
        <v/>
      </c>
      <c r="AA137" s="65" t="str">
        <f>IFERROR(__xludf.DUMMYFUNCTION("IFERROR(
  VLOOKUP(
    A137,
    IMPORTRANGE(
      ""1ZHMy3vVUd_0MrSduXTe1etBb1HNpAlGwQr006ljwMiM"",
      ""GSC最新!A:R""
    ),
    18,
    FALSE
  ),
  0
)
"),"")</f>
        <v/>
      </c>
      <c r="AB137" s="65">
        <f t="shared" ref="AB137:AC137" si="679">X137-Z137</f>
        <v>0</v>
      </c>
      <c r="AC137" s="65">
        <f t="shared" si="679"/>
        <v>0</v>
      </c>
      <c r="AD137" s="53">
        <f>IFERROR(__xludf.DUMMYFUNCTION("IFERROR(
  VLOOKUP(
    A137,
    IMPORTRANGE(
      ""1ZHMy3vVUd_0MrSduXTe1etBb1HNpAlGwQr006ljwMiM"",
      ""GSC最新!A:F""
    ),
    6,
    FALSE
  ),
  0
)
"),46081.0)</f>
        <v>46081</v>
      </c>
      <c r="AE137" s="54">
        <f>IFERROR(__xludf.DUMMYFUNCTION("IFERROR(
  VLOOKUP(
    A137,
    IMPORTRANGE(
      ""1SCYQd7_cobOYqT0r_F0IqD4tE4rYn5y8Eup4PJTH8es"",
      ""Snapshot!A:M""
    ),
    5,
    FALSE
  ),
  ""-""
)
"),0.0)</f>
        <v>0</v>
      </c>
      <c r="AF137" s="54">
        <f>IFERROR(__xludf.DUMMYFUNCTION("IFERROR(
  VLOOKUP(
    A137,
    IMPORTRANGE(
      ""1SCYQd7_cobOYqT0r_F0IqD4tE4rYn5y8Eup4PJTH8es"",
      ""Snapshot!A:M""
    ),
    6,
    FALSE
  ),
  0
)
"),0.0)</f>
        <v>0</v>
      </c>
      <c r="AG137" s="54">
        <f>IFERROR(__xludf.DUMMYFUNCTION("IFERROR(
  VLOOKUP(
    A137,
    IMPORTRANGE(
      ""1SCYQd7_cobOYqT0r_F0IqD4tE4rYn5y8Eup4PJTH8es"",
      ""Snapshot!A:M""
    ),
    7,
    FALSE
  ),
  0
)
"),254.0)</f>
        <v>254</v>
      </c>
      <c r="AH137" s="54">
        <f>IFERROR(__xludf.DUMMYFUNCTION("IFERROR(
  VLOOKUP(
    A137,
    IMPORTRANGE(
      ""1SCYQd7_cobOYqT0r_F0IqD4tE4rYn5y8Eup4PJTH8es"",
      ""Snapshot!A:M""
    ),
    8,
    FALSE
  ),
  0
)
"),0.0)</f>
        <v>0</v>
      </c>
      <c r="AI137" s="54">
        <f>IFERROR(__xludf.DUMMYFUNCTION("IFERROR(
  VLOOKUP(
    A137,
    IMPORTRANGE(
      ""1SCYQd7_cobOYqT0r_F0IqD4tE4rYn5y8Eup4PJTH8es"",
      ""Snapshot!A:M""
    ),
    9,
    FALSE
  ),
  0
)
"),1.0)</f>
        <v>1</v>
      </c>
      <c r="AJ137" s="54">
        <f>IFERROR(__xludf.DUMMYFUNCTION("IFERROR(
  VLOOKUP(
    A137,
    IMPORTRANGE(
      ""1SCYQd7_cobOYqT0r_F0IqD4tE4rYn5y8Eup4PJTH8es"",
      ""Snapshot!A:M""
    ),
    13,
    FALSE
  ),
  0
)
"),1.0)</f>
        <v>1</v>
      </c>
      <c r="AK137" s="49">
        <f t="shared" ref="AK137:AL137" si="680">LEN(C137)</f>
        <v>59</v>
      </c>
      <c r="AL137" s="49">
        <f t="shared" si="680"/>
        <v>55</v>
      </c>
    </row>
    <row r="138">
      <c r="A138" s="1" t="s">
        <v>1070</v>
      </c>
      <c r="B138" s="1" t="str">
        <f>IFERROR(__xludf.DUMMYFUNCTION("IFERROR(
  VLOOKUP(
    A138,
    IMPORTRANGE(
      ""1ZygntHC1J6IxzKbTidmOyf5nUyW4GCLurHCjexrLm_o"",
      ""HTMLキャッシュ!A:F""
    ),
    2,
    FALSE
  ),
  0
)
"),"NW")</f>
        <v>NW</v>
      </c>
      <c r="C138" s="1" t="str">
        <f>IFERROR(__xludf.DUMMYFUNCTION("IFERROR(
  VLOOKUP(
    A138,
    IMPORTRANGE(
      ""1ZygntHC1J6IxzKbTidmOyf5nUyW4GCLurHCjexrLm_o"",
      ""HTMLキャッシュ!A:F""
    ),
    5,
    FALSE
  ),
  0
)
"),"2023年度冬期講習開講のお知らせ - 受験英語専門ゼミ「Re-Write」(リライト)")</f>
        <v>2023年度冬期講習開講のお知らせ - 受験英語専門ゼミ「Re-Write」(リライト)</v>
      </c>
      <c r="D138" s="1" t="str">
        <f>IFERROR(__xludf.DUMMYFUNCTION("IFERROR(
  VLOOKUP(
    A138,
    IMPORTRANGE(
      ""1ZygntHC1J6IxzKbTidmOyf5nUyW4GCLurHCjexrLm_o        "",
      ""HTMLキャッシュ!A:F""
    ),
    6,
    FALSE
  ),
  0
)
"),"弊塾では、2023年度も冬期講習会を実施いたします。 現在当塾に通塾中の塾生の皆さんはもちろん、他塾に通われて")</f>
        <v>弊塾では、2023年度も冬期講習会を実施いたします。 現在当塾に通塾中の塾生の皆さんはもちろん、他塾に通われて</v>
      </c>
      <c r="E138" s="32">
        <f>IFERROR(__xludf.DUMMYFUNCTION("IFERROR(
  VLOOKUP(
    A138,
    IMPORTRANGE(
      ""1ZygntHC1J6IxzKbTidmOyf5nUyW4GCLurHCjexrLm_o        "",
      ""HTMLキャッシュ!A:F""
    ),
    3,
    FALSE
  ),
  0
)
"),45593.527974537035)</f>
        <v>45593.52797</v>
      </c>
      <c r="F138" s="49">
        <f>IFERROR(__xludf.DUMMYFUNCTION("IFERROR(
  VLOOKUP(
    A138,
    IMPORTRANGE(
      ""1ZHMy3vVUd_0MrSduXTe1etBb1HNpAlGwQr006ljwMiM"",
      ""GSC最新!A:F""
    ),
    2,
    FALSE
  ),
  0
)
"),0.0)</f>
        <v>0</v>
      </c>
      <c r="G138" s="49">
        <f>IFERROR(__xludf.DUMMYFUNCTION("IFERROR(
  VLOOKUP(
    A138,
    IMPORTRANGE(
      ""1ZHMy3vVUd_0MrSduXTe1etBb1HNpAlGwQr006ljwMiM"",
      ""GSC最新!A:F""
    ),
    3,
    FALSE
  ),
  0
)
"),0.0)</f>
        <v>0</v>
      </c>
      <c r="H138" s="49">
        <f>IFERROR(__xludf.DUMMYFUNCTION("IFERROR(
  VLOOKUP(
    A138,
    IMPORTRANGE(
      ""1ZHMy3vVUd_0MrSduXTe1etBb1HNpAlGwQr006ljwMiM"",
      ""GSC最新!A:F""
    ),
    4,
    FALSE
  ),
  0
)
"),0.0)</f>
        <v>0</v>
      </c>
      <c r="I138" s="49">
        <f>IFERROR(__xludf.DUMMYFUNCTION("IFERROR(
  VLOOKUP(
    A138,
    IMPORTRANGE(
      ""1ZHMy3vVUd_0MrSduXTe1etBb1HNpAlGwQr006ljwMiM"",
      ""GSC最新!A:F""
    ),
    5,
    FALSE
  ),
  0
)
"),0.0)</f>
        <v>0</v>
      </c>
      <c r="J138" s="50" t="str">
        <f t="shared" ref="J138:K138" si="681">IFERROR(F138/H138,"-")</f>
        <v>-</v>
      </c>
      <c r="K138" s="50" t="str">
        <f t="shared" si="681"/>
        <v>-</v>
      </c>
      <c r="L138" s="6">
        <f>IFERROR(__xludf.DUMMYFUNCTION("IFERROR(
  VLOOKUP(
    A138,
    IMPORTRANGE(
      ""1ZHMy3vVUd_0MrSduXTe1etBb1HNpAlGwQr006ljwMiM"",
      ""GSC最新!A:R""
    ),
    7,
    FALSE
  ),
  0
)
"),0.0)</f>
        <v>0</v>
      </c>
      <c r="M138" s="6">
        <f>IFERROR(__xludf.DUMMYFUNCTION("IFERROR(
  VLOOKUP(
    A138,
    IMPORTRANGE(
      ""1ZHMy3vVUd_0MrSduXTe1etBb1HNpAlGwQr006ljwMiM"",
      ""GSC最新!A:R""
    ),
    10,
    FALSE
  ),
  0
)
"),0.0)</f>
        <v>0</v>
      </c>
      <c r="N138" s="6">
        <f>IFERROR(__xludf.DUMMYFUNCTION("IFERROR(
  VLOOKUP(
    A138,
    IMPORTRANGE(
      ""1ZHMy3vVUd_0MrSduXTe1etBb1HNpAlGwQr006ljwMiM"",
      ""GSC最新!A:R""
    ),
    13,
    FALSE
  ),
  0
)
"),1.0)</f>
        <v>1</v>
      </c>
      <c r="O138" s="6">
        <f>IFERROR(__xludf.DUMMYFUNCTION("IFERROR(
  VLOOKUP(
    A138,
    IMPORTRANGE(
      ""1ZHMy3vVUd_0MrSduXTe1etBb1HNpAlGwQr006ljwMiM"",
      ""GSC最新!A:R""
    ),
    16,
    FALSE
  ),
  0
)
"),3.0)</f>
        <v>3</v>
      </c>
      <c r="P138" s="51">
        <f t="shared" ref="P138:Q138" si="682">IFERROR(L138/N138,"-")</f>
        <v>0</v>
      </c>
      <c r="Q138" s="51">
        <f t="shared" si="682"/>
        <v>0</v>
      </c>
      <c r="R138" s="9">
        <f>IFERROR(__xludf.DUMMYFUNCTION("IFERROR(
  VLOOKUP(
    A138,
    IMPORTRANGE(
      ""1ZHMy3vVUd_0MrSduXTe1etBb1HNpAlGwQr006ljwMiM"",
      ""GSC最新!A:R""
    ),
    8,
    FALSE
  ),
  0
)
"),0.0)</f>
        <v>0</v>
      </c>
      <c r="S138" s="9">
        <f>IFERROR(__xludf.DUMMYFUNCTION("IFERROR(
  VLOOKUP(
    A138,
    IMPORTRANGE(
      ""1ZHMy3vVUd_0MrSduXTe1etBb1HNpAlGwQr006ljwMiM"",
      ""GSC最新!A:R""
    ),
    11,
    FALSE
  ),
  0
)
"),0.0)</f>
        <v>0</v>
      </c>
      <c r="T138" s="9">
        <f>IFERROR(__xludf.DUMMYFUNCTION("IFERROR(
  VLOOKUP(
    A138,
    IMPORTRANGE(
      ""1ZHMy3vVUd_0MrSduXTe1etBb1HNpAlGwQr006ljwMiM"",
      ""GSC最新!A:R""
    ),
    14,
    FALSE
  ),
  0
)
"),0.0)</f>
        <v>0</v>
      </c>
      <c r="U138" s="9">
        <f>IFERROR(__xludf.DUMMYFUNCTION("IFERROR(
  VLOOKUP(
    A138,
    IMPORTRANGE(
      ""1ZHMy3vVUd_0MrSduXTe1etBb1HNpAlGwQr006ljwMiM"",
      ""GSC最新!A:R""
    ),
    17,
    FALSE
  ),
  0
)
"),0.0)</f>
        <v>0</v>
      </c>
      <c r="V138" s="9">
        <f t="shared" ref="V138:W138" si="683">IFERROR(R138-T138,"-")</f>
        <v>0</v>
      </c>
      <c r="W138" s="9">
        <f t="shared" si="683"/>
        <v>0</v>
      </c>
      <c r="X138" s="65" t="str">
        <f>IFERROR(__xludf.DUMMYFUNCTION("IFERROR(
  VLOOKUP(
    A138,
    IMPORTRANGE(
      ""1ZHMy3vVUd_0MrSduXTe1etBb1HNpAlGwQr006ljwMiM"",
      ""GSC最新!A:R""
    ),
    9,
    FALSE
  ),
  0
)
"),"")</f>
        <v/>
      </c>
      <c r="Y138" s="65" t="str">
        <f>IFERROR(__xludf.DUMMYFUNCTION("IFERROR(
  VLOOKUP(
    A138,
    IMPORTRANGE(
      ""1ZHMy3vVUd_0MrSduXTe1etBb1HNpAlGwQr006ljwMiM"",
      ""GSC最新!A:R""
    ),
    12,
    FALSE
  ),
  0
)
"),"")</f>
        <v/>
      </c>
      <c r="Z138" s="65">
        <f>IFERROR(__xludf.DUMMYFUNCTION("IFERROR(
  VLOOKUP(
    A138,
    IMPORTRANGE(
      ""1ZHMy3vVUd_0MrSduXTe1etBb1HNpAlGwQr006ljwMiM"",
      ""GSC最新!A:R""
    ),
    15,
    FALSE
  ),
  0
)
"),52.0)</f>
        <v>52</v>
      </c>
      <c r="AA138" s="65">
        <f>IFERROR(__xludf.DUMMYFUNCTION("IFERROR(
  VLOOKUP(
    A138,
    IMPORTRANGE(
      ""1ZHMy3vVUd_0MrSduXTe1etBb1HNpAlGwQr006ljwMiM"",
      ""GSC最新!A:R""
    ),
    18,
    FALSE
  ),
  0
)
"),22.666666666666668)</f>
        <v>22.66666667</v>
      </c>
      <c r="AB138" s="65">
        <f t="shared" ref="AB138:AC138" si="684">X138-Z138</f>
        <v>-52</v>
      </c>
      <c r="AC138" s="65">
        <f t="shared" si="684"/>
        <v>-22.66666667</v>
      </c>
      <c r="AD138" s="53">
        <f>IFERROR(__xludf.DUMMYFUNCTION("IFERROR(
  VLOOKUP(
    A138,
    IMPORTRANGE(
      ""1ZHMy3vVUd_0MrSduXTe1etBb1HNpAlGwQr006ljwMiM"",
      ""GSC最新!A:F""
    ),
    6,
    FALSE
  ),
  0
)
"),46081.0)</f>
        <v>46081</v>
      </c>
      <c r="AE138" s="54">
        <f>IFERROR(__xludf.DUMMYFUNCTION("IFERROR(
  VLOOKUP(
    A138,
    IMPORTRANGE(
      ""1SCYQd7_cobOYqT0r_F0IqD4tE4rYn5y8Eup4PJTH8es"",
      ""Snapshot!A:M""
    ),
    5,
    FALSE
  ),
  ""-""
)
"),0.0)</f>
        <v>0</v>
      </c>
      <c r="AF138" s="54">
        <f>IFERROR(__xludf.DUMMYFUNCTION("IFERROR(
  VLOOKUP(
    A138,
    IMPORTRANGE(
      ""1SCYQd7_cobOYqT0r_F0IqD4tE4rYn5y8Eup4PJTH8es"",
      ""Snapshot!A:M""
    ),
    6,
    FALSE
  ),
  0
)
"),0.0)</f>
        <v>0</v>
      </c>
      <c r="AG138" s="54">
        <f>IFERROR(__xludf.DUMMYFUNCTION("IFERROR(
  VLOOKUP(
    A138,
    IMPORTRANGE(
      ""1SCYQd7_cobOYqT0r_F0IqD4tE4rYn5y8Eup4PJTH8es"",
      ""Snapshot!A:M""
    ),
    7,
    FALSE
  ),
  0
)
"),498.0)</f>
        <v>498</v>
      </c>
      <c r="AH138" s="54">
        <f>IFERROR(__xludf.DUMMYFUNCTION("IFERROR(
  VLOOKUP(
    A138,
    IMPORTRANGE(
      ""1SCYQd7_cobOYqT0r_F0IqD4tE4rYn5y8Eup4PJTH8es"",
      ""Snapshot!A:M""
    ),
    8,
    FALSE
  ),
  0
)
"),1.0)</f>
        <v>1</v>
      </c>
      <c r="AI138" s="54">
        <f>IFERROR(__xludf.DUMMYFUNCTION("IFERROR(
  VLOOKUP(
    A138,
    IMPORTRANGE(
      ""1SCYQd7_cobOYqT0r_F0IqD4tE4rYn5y8Eup4PJTH8es"",
      ""Snapshot!A:M""
    ),
    9,
    FALSE
  ),
  0
)
"),1.0)</f>
        <v>1</v>
      </c>
      <c r="AJ138" s="54">
        <f>IFERROR(__xludf.DUMMYFUNCTION("IFERROR(
  VLOOKUP(
    A138,
    IMPORTRANGE(
      ""1SCYQd7_cobOYqT0r_F0IqD4tE4rYn5y8Eup4PJTH8es"",
      ""Snapshot!A:M""
    ),
    13,
    FALSE
  ),
  0
)
"),1.0)</f>
        <v>1</v>
      </c>
      <c r="AK138" s="49">
        <f t="shared" ref="AK138:AL138" si="685">LEN(C138)</f>
        <v>44</v>
      </c>
      <c r="AL138" s="49">
        <f t="shared" si="685"/>
        <v>55</v>
      </c>
    </row>
    <row r="139">
      <c r="A139" s="1" t="s">
        <v>1071</v>
      </c>
      <c r="B139" s="1" t="str">
        <f>IFERROR(__xludf.DUMMYFUNCTION("IFERROR(
  VLOOKUP(
    A139,
    IMPORTRANGE(
      ""1ZygntHC1J6IxzKbTidmOyf5nUyW4GCLurHCjexrLm_o"",
      ""HTMLキャッシュ!A:F""
    ),
    2,
    FALSE
  ),
  0
)
"),"NW")</f>
        <v>NW</v>
      </c>
      <c r="C139" s="1" t="str">
        <f>IFERROR(__xludf.DUMMYFUNCTION("IFERROR(
  VLOOKUP(
    A139,
    IMPORTRANGE(
      ""1ZygntHC1J6IxzKbTidmOyf5nUyW4GCLurHCjexrLm_o"",
      ""HTMLキャッシュ!A:F""
    ),
    5,
    FALSE
  ),
  0
)
"),"2023年度春期講習のお知らせ - 受験英語専門ゼミ「Re-Write」(リライト)")</f>
        <v>2023年度春期講習のお知らせ - 受験英語専門ゼミ「Re-Write」(リライト)</v>
      </c>
      <c r="D139" s="1" t="str">
        <f>IFERROR(__xludf.DUMMYFUNCTION("IFERROR(
  VLOOKUP(
    A139,
    IMPORTRANGE(
      ""1ZygntHC1J6IxzKbTidmOyf5nUyW4GCLurHCjexrLm_o        "",
      ""HTMLキャッシュ!A:F""
    ),
    6,
    FALSE
  ),
  0
)
"),"弊塾では、2023年度も春期講習会を実施いたします。 現在当塾に通塾中の塾生の皆さんはもちろん、他塾に通われて")</f>
        <v>弊塾では、2023年度も春期講習会を実施いたします。 現在当塾に通塾中の塾生の皆さんはもちろん、他塾に通われて</v>
      </c>
      <c r="E139" s="32">
        <f>IFERROR(__xludf.DUMMYFUNCTION("IFERROR(
  VLOOKUP(
    A139,
    IMPORTRANGE(
      ""1ZygntHC1J6IxzKbTidmOyf5nUyW4GCLurHCjexrLm_o        "",
      ""HTMLキャッシュ!A:F""
    ),
    3,
    FALSE
  ),
  0
)
"),45593.52545138889)</f>
        <v>45593.52545</v>
      </c>
      <c r="F139" s="49">
        <f>IFERROR(__xludf.DUMMYFUNCTION("IFERROR(
  VLOOKUP(
    A139,
    IMPORTRANGE(
      ""1ZHMy3vVUd_0MrSduXTe1etBb1HNpAlGwQr006ljwMiM"",
      ""GSC最新!A:F""
    ),
    2,
    FALSE
  ),
  0
)
"),0.0)</f>
        <v>0</v>
      </c>
      <c r="G139" s="49">
        <f>IFERROR(__xludf.DUMMYFUNCTION("IFERROR(
  VLOOKUP(
    A139,
    IMPORTRANGE(
      ""1ZHMy3vVUd_0MrSduXTe1etBb1HNpAlGwQr006ljwMiM"",
      ""GSC最新!A:F""
    ),
    3,
    FALSE
  ),
  0
)
"),0.0)</f>
        <v>0</v>
      </c>
      <c r="H139" s="49">
        <f>IFERROR(__xludf.DUMMYFUNCTION("IFERROR(
  VLOOKUP(
    A139,
    IMPORTRANGE(
      ""1ZHMy3vVUd_0MrSduXTe1etBb1HNpAlGwQr006ljwMiM"",
      ""GSC最新!A:F""
    ),
    4,
    FALSE
  ),
  0
)
"),0.0)</f>
        <v>0</v>
      </c>
      <c r="I139" s="49">
        <f>IFERROR(__xludf.DUMMYFUNCTION("IFERROR(
  VLOOKUP(
    A139,
    IMPORTRANGE(
      ""1ZHMy3vVUd_0MrSduXTe1etBb1HNpAlGwQr006ljwMiM"",
      ""GSC最新!A:F""
    ),
    5,
    FALSE
  ),
  0
)
"),0.0)</f>
        <v>0</v>
      </c>
      <c r="J139" s="50" t="str">
        <f t="shared" ref="J139:K139" si="686">IFERROR(F139/H139,"-")</f>
        <v>-</v>
      </c>
      <c r="K139" s="50" t="str">
        <f t="shared" si="686"/>
        <v>-</v>
      </c>
      <c r="L139" s="6">
        <f>IFERROR(__xludf.DUMMYFUNCTION("IFERROR(
  VLOOKUP(
    A139,
    IMPORTRANGE(
      ""1ZHMy3vVUd_0MrSduXTe1etBb1HNpAlGwQr006ljwMiM"",
      ""GSC最新!A:R""
    ),
    7,
    FALSE
  ),
  0
)
"),0.0)</f>
        <v>0</v>
      </c>
      <c r="M139" s="6">
        <f>IFERROR(__xludf.DUMMYFUNCTION("IFERROR(
  VLOOKUP(
    A139,
    IMPORTRANGE(
      ""1ZHMy3vVUd_0MrSduXTe1etBb1HNpAlGwQr006ljwMiM"",
      ""GSC最新!A:R""
    ),
    10,
    FALSE
  ),
  0
)
"),0.0)</f>
        <v>0</v>
      </c>
      <c r="N139" s="6">
        <f>IFERROR(__xludf.DUMMYFUNCTION("IFERROR(
  VLOOKUP(
    A139,
    IMPORTRANGE(
      ""1ZHMy3vVUd_0MrSduXTe1etBb1HNpAlGwQr006ljwMiM"",
      ""GSC最新!A:R""
    ),
    13,
    FALSE
  ),
  0
)
"),0.0)</f>
        <v>0</v>
      </c>
      <c r="O139" s="6">
        <f>IFERROR(__xludf.DUMMYFUNCTION("IFERROR(
  VLOOKUP(
    A139,
    IMPORTRANGE(
      ""1ZHMy3vVUd_0MrSduXTe1etBb1HNpAlGwQr006ljwMiM"",
      ""GSC最新!A:R""
    ),
    16,
    FALSE
  ),
  0
)
"),0.0)</f>
        <v>0</v>
      </c>
      <c r="P139" s="51" t="str">
        <f t="shared" ref="P139:Q139" si="687">IFERROR(L139/N139,"-")</f>
        <v>-</v>
      </c>
      <c r="Q139" s="51" t="str">
        <f t="shared" si="687"/>
        <v>-</v>
      </c>
      <c r="R139" s="9">
        <f>IFERROR(__xludf.DUMMYFUNCTION("IFERROR(
  VLOOKUP(
    A139,
    IMPORTRANGE(
      ""1ZHMy3vVUd_0MrSduXTe1etBb1HNpAlGwQr006ljwMiM"",
      ""GSC最新!A:R""
    ),
    8,
    FALSE
  ),
  0
)
"),0.0)</f>
        <v>0</v>
      </c>
      <c r="S139" s="9">
        <f>IFERROR(__xludf.DUMMYFUNCTION("IFERROR(
  VLOOKUP(
    A139,
    IMPORTRANGE(
      ""1ZHMy3vVUd_0MrSduXTe1etBb1HNpAlGwQr006ljwMiM"",
      ""GSC最新!A:R""
    ),
    11,
    FALSE
  ),
  0
)
"),0.0)</f>
        <v>0</v>
      </c>
      <c r="T139" s="9">
        <f>IFERROR(__xludf.DUMMYFUNCTION("IFERROR(
  VLOOKUP(
    A139,
    IMPORTRANGE(
      ""1ZHMy3vVUd_0MrSduXTe1etBb1HNpAlGwQr006ljwMiM"",
      ""GSC最新!A:R""
    ),
    14,
    FALSE
  ),
  0
)
"),0.0)</f>
        <v>0</v>
      </c>
      <c r="U139" s="9">
        <f>IFERROR(__xludf.DUMMYFUNCTION("IFERROR(
  VLOOKUP(
    A139,
    IMPORTRANGE(
      ""1ZHMy3vVUd_0MrSduXTe1etBb1HNpAlGwQr006ljwMiM"",
      ""GSC最新!A:R""
    ),
    17,
    FALSE
  ),
  0
)
"),0.0)</f>
        <v>0</v>
      </c>
      <c r="V139" s="9">
        <f t="shared" ref="V139:W139" si="688">IFERROR(R139-T139,"-")</f>
        <v>0</v>
      </c>
      <c r="W139" s="9">
        <f t="shared" si="688"/>
        <v>0</v>
      </c>
      <c r="X139" s="65" t="str">
        <f>IFERROR(__xludf.DUMMYFUNCTION("IFERROR(
  VLOOKUP(
    A139,
    IMPORTRANGE(
      ""1ZHMy3vVUd_0MrSduXTe1etBb1HNpAlGwQr006ljwMiM"",
      ""GSC最新!A:R""
    ),
    9,
    FALSE
  ),
  0
)
"),"")</f>
        <v/>
      </c>
      <c r="Y139" s="65" t="str">
        <f>IFERROR(__xludf.DUMMYFUNCTION("IFERROR(
  VLOOKUP(
    A139,
    IMPORTRANGE(
      ""1ZHMy3vVUd_0MrSduXTe1etBb1HNpAlGwQr006ljwMiM"",
      ""GSC最新!A:R""
    ),
    12,
    FALSE
  ),
  0
)
"),"")</f>
        <v/>
      </c>
      <c r="Z139" s="65" t="str">
        <f>IFERROR(__xludf.DUMMYFUNCTION("IFERROR(
  VLOOKUP(
    A139,
    IMPORTRANGE(
      ""1ZHMy3vVUd_0MrSduXTe1etBb1HNpAlGwQr006ljwMiM"",
      ""GSC最新!A:R""
    ),
    15,
    FALSE
  ),
  0
)
"),"")</f>
        <v/>
      </c>
      <c r="AA139" s="65" t="str">
        <f>IFERROR(__xludf.DUMMYFUNCTION("IFERROR(
  VLOOKUP(
    A139,
    IMPORTRANGE(
      ""1ZHMy3vVUd_0MrSduXTe1etBb1HNpAlGwQr006ljwMiM"",
      ""GSC最新!A:R""
    ),
    18,
    FALSE
  ),
  0
)
"),"")</f>
        <v/>
      </c>
      <c r="AB139" s="65">
        <f t="shared" ref="AB139:AC139" si="689">X139-Z139</f>
        <v>0</v>
      </c>
      <c r="AC139" s="65">
        <f t="shared" si="689"/>
        <v>0</v>
      </c>
      <c r="AD139" s="53">
        <f>IFERROR(__xludf.DUMMYFUNCTION("IFERROR(
  VLOOKUP(
    A139,
    IMPORTRANGE(
      ""1ZHMy3vVUd_0MrSduXTe1etBb1HNpAlGwQr006ljwMiM"",
      ""GSC最新!A:F""
    ),
    6,
    FALSE
  ),
  0
)
"),46081.0)</f>
        <v>46081</v>
      </c>
      <c r="AE139" s="54">
        <f>IFERROR(__xludf.DUMMYFUNCTION("IFERROR(
  VLOOKUP(
    A139,
    IMPORTRANGE(
      ""1SCYQd7_cobOYqT0r_F0IqD4tE4rYn5y8Eup4PJTH8es"",
      ""Snapshot!A:M""
    ),
    5,
    FALSE
  ),
  ""-""
)
"),0.0)</f>
        <v>0</v>
      </c>
      <c r="AF139" s="54">
        <f>IFERROR(__xludf.DUMMYFUNCTION("IFERROR(
  VLOOKUP(
    A139,
    IMPORTRANGE(
      ""1SCYQd7_cobOYqT0r_F0IqD4tE4rYn5y8Eup4PJTH8es"",
      ""Snapshot!A:M""
    ),
    6,
    FALSE
  ),
  0
)
"),0.0)</f>
        <v>0</v>
      </c>
      <c r="AG139" s="54">
        <f>IFERROR(__xludf.DUMMYFUNCTION("IFERROR(
  VLOOKUP(
    A139,
    IMPORTRANGE(
      ""1SCYQd7_cobOYqT0r_F0IqD4tE4rYn5y8Eup4PJTH8es"",
      ""Snapshot!A:M""
    ),
    7,
    FALSE
  ),
  0
)
"),500.0)</f>
        <v>500</v>
      </c>
      <c r="AH139" s="54">
        <f>IFERROR(__xludf.DUMMYFUNCTION("IFERROR(
  VLOOKUP(
    A139,
    IMPORTRANGE(
      ""1SCYQd7_cobOYqT0r_F0IqD4tE4rYn5y8Eup4PJTH8es"",
      ""Snapshot!A:M""
    ),
    8,
    FALSE
  ),
  0
)
"),1.0)</f>
        <v>1</v>
      </c>
      <c r="AI139" s="54">
        <f>IFERROR(__xludf.DUMMYFUNCTION("IFERROR(
  VLOOKUP(
    A139,
    IMPORTRANGE(
      ""1SCYQd7_cobOYqT0r_F0IqD4tE4rYn5y8Eup4PJTH8es"",
      ""Snapshot!A:M""
    ),
    9,
    FALSE
  ),
  0
)
"),1.0)</f>
        <v>1</v>
      </c>
      <c r="AJ139" s="54">
        <f>IFERROR(__xludf.DUMMYFUNCTION("IFERROR(
  VLOOKUP(
    A139,
    IMPORTRANGE(
      ""1SCYQd7_cobOYqT0r_F0IqD4tE4rYn5y8Eup4PJTH8es"",
      ""Snapshot!A:M""
    ),
    13,
    FALSE
  ),
  0
)
"),1.0)</f>
        <v>1</v>
      </c>
      <c r="AK139" s="49">
        <f t="shared" ref="AK139:AL139" si="690">LEN(C139)</f>
        <v>42</v>
      </c>
      <c r="AL139" s="49">
        <f t="shared" si="690"/>
        <v>55</v>
      </c>
    </row>
    <row r="140">
      <c r="A140" s="1" t="s">
        <v>1072</v>
      </c>
      <c r="B140" s="1" t="str">
        <f>IFERROR(__xludf.DUMMYFUNCTION("IFERROR(
  VLOOKUP(
    A140,
    IMPORTRANGE(
      ""1ZygntHC1J6IxzKbTidmOyf5nUyW4GCLurHCjexrLm_o"",
      ""HTMLキャッシュ!A:F""
    ),
    2,
    FALSE
  ),
  0
)
"),"NW")</f>
        <v>NW</v>
      </c>
      <c r="C140" s="1" t="str">
        <f>IFERROR(__xludf.DUMMYFUNCTION("IFERROR(
  VLOOKUP(
    A140,
    IMPORTRANGE(
      ""1ZygntHC1J6IxzKbTidmOyf5nUyW4GCLurHCjexrLm_o"",
      ""HTMLキャッシュ!A:F""
    ),
    5,
    FALSE
  ),
  0
)
"),"2022年度冬期講習開講のお知らせ - 受験英語専門ゼミ「Re-Write」(リライト)")</f>
        <v>2022年度冬期講習開講のお知らせ - 受験英語専門ゼミ「Re-Write」(リライト)</v>
      </c>
      <c r="D140" s="1" t="str">
        <f>IFERROR(__xludf.DUMMYFUNCTION("IFERROR(
  VLOOKUP(
    A140,
    IMPORTRANGE(
      ""1ZygntHC1J6IxzKbTidmOyf5nUyW4GCLurHCjexrLm_o        "",
      ""HTMLキャッシュ!A:F""
    ),
    6,
    FALSE
  ),
  0
)
"),"弊塾では、2022年度も冬期講習会を実施いたします。 現在当塾に通塾中の塾生の皆さんはもちろん、普段は他塾に通")</f>
        <v>弊塾では、2022年度も冬期講習会を実施いたします。 現在当塾に通塾中の塾生の皆さんはもちろん、普段は他塾に通</v>
      </c>
      <c r="E140" s="32">
        <f>IFERROR(__xludf.DUMMYFUNCTION("IFERROR(
  VLOOKUP(
    A140,
    IMPORTRANGE(
      ""1ZygntHC1J6IxzKbTidmOyf5nUyW4GCLurHCjexrLm_o        "",
      ""HTMLキャッシュ!A:F""
    ),
    3,
    FALSE
  ),
  0
)
"),45592.87385416667)</f>
        <v>45592.87385</v>
      </c>
      <c r="F140" s="49">
        <f>IFERROR(__xludf.DUMMYFUNCTION("IFERROR(
  VLOOKUP(
    A140,
    IMPORTRANGE(
      ""1ZHMy3vVUd_0MrSduXTe1etBb1HNpAlGwQr006ljwMiM"",
      ""GSC最新!A:F""
    ),
    2,
    FALSE
  ),
  0
)
"),0.0)</f>
        <v>0</v>
      </c>
      <c r="G140" s="49">
        <f>IFERROR(__xludf.DUMMYFUNCTION("IFERROR(
  VLOOKUP(
    A140,
    IMPORTRANGE(
      ""1ZHMy3vVUd_0MrSduXTe1etBb1HNpAlGwQr006ljwMiM"",
      ""GSC最新!A:F""
    ),
    3,
    FALSE
  ),
  0
)
"),0.0)</f>
        <v>0</v>
      </c>
      <c r="H140" s="49">
        <f>IFERROR(__xludf.DUMMYFUNCTION("IFERROR(
  VLOOKUP(
    A140,
    IMPORTRANGE(
      ""1ZHMy3vVUd_0MrSduXTe1etBb1HNpAlGwQr006ljwMiM"",
      ""GSC最新!A:F""
    ),
    4,
    FALSE
  ),
  0
)
"),0.0)</f>
        <v>0</v>
      </c>
      <c r="I140" s="49">
        <f>IFERROR(__xludf.DUMMYFUNCTION("IFERROR(
  VLOOKUP(
    A140,
    IMPORTRANGE(
      ""1ZHMy3vVUd_0MrSduXTe1etBb1HNpAlGwQr006ljwMiM"",
      ""GSC最新!A:F""
    ),
    5,
    FALSE
  ),
  0
)
"),0.0)</f>
        <v>0</v>
      </c>
      <c r="J140" s="50" t="str">
        <f t="shared" ref="J140:K140" si="691">IFERROR(F140/H140,"-")</f>
        <v>-</v>
      </c>
      <c r="K140" s="50" t="str">
        <f t="shared" si="691"/>
        <v>-</v>
      </c>
      <c r="L140" s="6">
        <f>IFERROR(__xludf.DUMMYFUNCTION("IFERROR(
  VLOOKUP(
    A140,
    IMPORTRANGE(
      ""1ZHMy3vVUd_0MrSduXTe1etBb1HNpAlGwQr006ljwMiM"",
      ""GSC最新!A:R""
    ),
    7,
    FALSE
  ),
  0
)
"),0.0)</f>
        <v>0</v>
      </c>
      <c r="M140" s="6">
        <f>IFERROR(__xludf.DUMMYFUNCTION("IFERROR(
  VLOOKUP(
    A140,
    IMPORTRANGE(
      ""1ZHMy3vVUd_0MrSduXTe1etBb1HNpAlGwQr006ljwMiM"",
      ""GSC最新!A:R""
    ),
    10,
    FALSE
  ),
  0
)
"),0.0)</f>
        <v>0</v>
      </c>
      <c r="N140" s="6">
        <f>IFERROR(__xludf.DUMMYFUNCTION("IFERROR(
  VLOOKUP(
    A140,
    IMPORTRANGE(
      ""1ZHMy3vVUd_0MrSduXTe1etBb1HNpAlGwQr006ljwMiM"",
      ""GSC最新!A:R""
    ),
    13,
    FALSE
  ),
  0
)
"),0.0)</f>
        <v>0</v>
      </c>
      <c r="O140" s="6">
        <f>IFERROR(__xludf.DUMMYFUNCTION("IFERROR(
  VLOOKUP(
    A140,
    IMPORTRANGE(
      ""1ZHMy3vVUd_0MrSduXTe1etBb1HNpAlGwQr006ljwMiM"",
      ""GSC最新!A:R""
    ),
    16,
    FALSE
  ),
  0
)
"),0.0)</f>
        <v>0</v>
      </c>
      <c r="P140" s="51" t="str">
        <f t="shared" ref="P140:Q140" si="692">IFERROR(L140/N140,"-")</f>
        <v>-</v>
      </c>
      <c r="Q140" s="51" t="str">
        <f t="shared" si="692"/>
        <v>-</v>
      </c>
      <c r="R140" s="9">
        <f>IFERROR(__xludf.DUMMYFUNCTION("IFERROR(
  VLOOKUP(
    A140,
    IMPORTRANGE(
      ""1ZHMy3vVUd_0MrSduXTe1etBb1HNpAlGwQr006ljwMiM"",
      ""GSC最新!A:R""
    ),
    8,
    FALSE
  ),
  0
)
"),0.0)</f>
        <v>0</v>
      </c>
      <c r="S140" s="9">
        <f>IFERROR(__xludf.DUMMYFUNCTION("IFERROR(
  VLOOKUP(
    A140,
    IMPORTRANGE(
      ""1ZHMy3vVUd_0MrSduXTe1etBb1HNpAlGwQr006ljwMiM"",
      ""GSC最新!A:R""
    ),
    11,
    FALSE
  ),
  0
)
"),0.0)</f>
        <v>0</v>
      </c>
      <c r="T140" s="9">
        <f>IFERROR(__xludf.DUMMYFUNCTION("IFERROR(
  VLOOKUP(
    A140,
    IMPORTRANGE(
      ""1ZHMy3vVUd_0MrSduXTe1etBb1HNpAlGwQr006ljwMiM"",
      ""GSC最新!A:R""
    ),
    14,
    FALSE
  ),
  0
)
"),0.0)</f>
        <v>0</v>
      </c>
      <c r="U140" s="9">
        <f>IFERROR(__xludf.DUMMYFUNCTION("IFERROR(
  VLOOKUP(
    A140,
    IMPORTRANGE(
      ""1ZHMy3vVUd_0MrSduXTe1etBb1HNpAlGwQr006ljwMiM"",
      ""GSC最新!A:R""
    ),
    17,
    FALSE
  ),
  0
)
"),0.0)</f>
        <v>0</v>
      </c>
      <c r="V140" s="9">
        <f t="shared" ref="V140:W140" si="693">IFERROR(R140-T140,"-")</f>
        <v>0</v>
      </c>
      <c r="W140" s="9">
        <f t="shared" si="693"/>
        <v>0</v>
      </c>
      <c r="X140" s="65" t="str">
        <f>IFERROR(__xludf.DUMMYFUNCTION("IFERROR(
  VLOOKUP(
    A140,
    IMPORTRANGE(
      ""1ZHMy3vVUd_0MrSduXTe1etBb1HNpAlGwQr006ljwMiM"",
      ""GSC最新!A:R""
    ),
    9,
    FALSE
  ),
  0
)
"),"")</f>
        <v/>
      </c>
      <c r="Y140" s="65" t="str">
        <f>IFERROR(__xludf.DUMMYFUNCTION("IFERROR(
  VLOOKUP(
    A140,
    IMPORTRANGE(
      ""1ZHMy3vVUd_0MrSduXTe1etBb1HNpAlGwQr006ljwMiM"",
      ""GSC最新!A:R""
    ),
    12,
    FALSE
  ),
  0
)
"),"")</f>
        <v/>
      </c>
      <c r="Z140" s="65" t="str">
        <f>IFERROR(__xludf.DUMMYFUNCTION("IFERROR(
  VLOOKUP(
    A140,
    IMPORTRANGE(
      ""1ZHMy3vVUd_0MrSduXTe1etBb1HNpAlGwQr006ljwMiM"",
      ""GSC最新!A:R""
    ),
    15,
    FALSE
  ),
  0
)
"),"")</f>
        <v/>
      </c>
      <c r="AA140" s="65" t="str">
        <f>IFERROR(__xludf.DUMMYFUNCTION("IFERROR(
  VLOOKUP(
    A140,
    IMPORTRANGE(
      ""1ZHMy3vVUd_0MrSduXTe1etBb1HNpAlGwQr006ljwMiM"",
      ""GSC最新!A:R""
    ),
    18,
    FALSE
  ),
  0
)
"),"")</f>
        <v/>
      </c>
      <c r="AB140" s="65">
        <f t="shared" ref="AB140:AC140" si="694">X140-Z140</f>
        <v>0</v>
      </c>
      <c r="AC140" s="65">
        <f t="shared" si="694"/>
        <v>0</v>
      </c>
      <c r="AD140" s="53">
        <f>IFERROR(__xludf.DUMMYFUNCTION("IFERROR(
  VLOOKUP(
    A140,
    IMPORTRANGE(
      ""1ZHMy3vVUd_0MrSduXTe1etBb1HNpAlGwQr006ljwMiM"",
      ""GSC最新!A:F""
    ),
    6,
    FALSE
  ),
  0
)
"),46081.0)</f>
        <v>46081</v>
      </c>
      <c r="AE140" s="54">
        <f>IFERROR(__xludf.DUMMYFUNCTION("IFERROR(
  VLOOKUP(
    A140,
    IMPORTRANGE(
      ""1SCYQd7_cobOYqT0r_F0IqD4tE4rYn5y8Eup4PJTH8es"",
      ""Snapshot!A:M""
    ),
    5,
    FALSE
  ),
  ""-""
)
"),0.0)</f>
        <v>0</v>
      </c>
      <c r="AF140" s="54">
        <f>IFERROR(__xludf.DUMMYFUNCTION("IFERROR(
  VLOOKUP(
    A140,
    IMPORTRANGE(
      ""1SCYQd7_cobOYqT0r_F0IqD4tE4rYn5y8Eup4PJTH8es"",
      ""Snapshot!A:M""
    ),
    6,
    FALSE
  ),
  0
)
"),0.0)</f>
        <v>0</v>
      </c>
      <c r="AG140" s="54">
        <f>IFERROR(__xludf.DUMMYFUNCTION("IFERROR(
  VLOOKUP(
    A140,
    IMPORTRANGE(
      ""1SCYQd7_cobOYqT0r_F0IqD4tE4rYn5y8Eup4PJTH8es"",
      ""Snapshot!A:M""
    ),
    7,
    FALSE
  ),
  0
)
"),508.0)</f>
        <v>508</v>
      </c>
      <c r="AH140" s="54">
        <f>IFERROR(__xludf.DUMMYFUNCTION("IFERROR(
  VLOOKUP(
    A140,
    IMPORTRANGE(
      ""1SCYQd7_cobOYqT0r_F0IqD4tE4rYn5y8Eup4PJTH8es"",
      ""Snapshot!A:M""
    ),
    8,
    FALSE
  ),
  0
)
"),1.0)</f>
        <v>1</v>
      </c>
      <c r="AI140" s="54">
        <f>IFERROR(__xludf.DUMMYFUNCTION("IFERROR(
  VLOOKUP(
    A140,
    IMPORTRANGE(
      ""1SCYQd7_cobOYqT0r_F0IqD4tE4rYn5y8Eup4PJTH8es"",
      ""Snapshot!A:M""
    ),
    9,
    FALSE
  ),
  0
)
"),1.0)</f>
        <v>1</v>
      </c>
      <c r="AJ140" s="54">
        <f>IFERROR(__xludf.DUMMYFUNCTION("IFERROR(
  VLOOKUP(
    A140,
    IMPORTRANGE(
      ""1SCYQd7_cobOYqT0r_F0IqD4tE4rYn5y8Eup4PJTH8es"",
      ""Snapshot!A:M""
    ),
    13,
    FALSE
  ),
  0
)
"),1.0)</f>
        <v>1</v>
      </c>
      <c r="AK140" s="49">
        <f t="shared" ref="AK140:AL140" si="695">LEN(C140)</f>
        <v>44</v>
      </c>
      <c r="AL140" s="49">
        <f t="shared" si="695"/>
        <v>55</v>
      </c>
    </row>
    <row r="141">
      <c r="A141" s="1" t="s">
        <v>1073</v>
      </c>
      <c r="B141" s="1" t="str">
        <f>IFERROR(__xludf.DUMMYFUNCTION("IFERROR(
  VLOOKUP(
    A141,
    IMPORTRANGE(
      ""1ZygntHC1J6IxzKbTidmOyf5nUyW4GCLurHCjexrLm_o"",
      ""HTMLキャッシュ!A:F""
    ),
    2,
    FALSE
  ),
  0
)
"),"NW")</f>
        <v>NW</v>
      </c>
      <c r="C141" s="1" t="str">
        <f>IFERROR(__xludf.DUMMYFUNCTION("IFERROR(
  VLOOKUP(
    A141,
    IMPORTRANGE(
      ""1ZygntHC1J6IxzKbTidmOyf5nUyW4GCLurHCjexrLm_o"",
      ""HTMLキャッシュ!A:F""
    ),
    5,
    FALSE
  ),
  0
)
"),"2022年度春期講習のお知らせ - 受験英語専門ゼミ「Re-Write」(リライト)")</f>
        <v>2022年度春期講習のお知らせ - 受験英語専門ゼミ「Re-Write」(リライト)</v>
      </c>
      <c r="D141" s="1" t="str">
        <f>IFERROR(__xludf.DUMMYFUNCTION("IFERROR(
  VLOOKUP(
    A141,
    IMPORTRANGE(
      ""1ZygntHC1J6IxzKbTidmOyf5nUyW4GCLurHCjexrLm_o        "",
      ""HTMLキャッシュ!A:F""
    ),
    6,
    FALSE
  ),
  0
)
"),"弊塾では、2022年度も春期講習会を実施いたします。 現在当塾に通塾中の塾生の皆さんはもちろん、普段は他塾に通")</f>
        <v>弊塾では、2022年度も春期講習会を実施いたします。 現在当塾に通塾中の塾生の皆さんはもちろん、普段は他塾に通</v>
      </c>
      <c r="E141" s="32">
        <f>IFERROR(__xludf.DUMMYFUNCTION("IFERROR(
  VLOOKUP(
    A141,
    IMPORTRANGE(
      ""1ZygntHC1J6IxzKbTidmOyf5nUyW4GCLurHCjexrLm_o        "",
      ""HTMLキャッシュ!A:F""
    ),
    3,
    FALSE
  ),
  0
)
"),45592.87173611111)</f>
        <v>45592.87174</v>
      </c>
      <c r="F141" s="49">
        <f>IFERROR(__xludf.DUMMYFUNCTION("IFERROR(
  VLOOKUP(
    A141,
    IMPORTRANGE(
      ""1ZHMy3vVUd_0MrSduXTe1etBb1HNpAlGwQr006ljwMiM"",
      ""GSC最新!A:F""
    ),
    2,
    FALSE
  ),
  0
)
"),0.0)</f>
        <v>0</v>
      </c>
      <c r="G141" s="49">
        <f>IFERROR(__xludf.DUMMYFUNCTION("IFERROR(
  VLOOKUP(
    A141,
    IMPORTRANGE(
      ""1ZHMy3vVUd_0MrSduXTe1etBb1HNpAlGwQr006ljwMiM"",
      ""GSC最新!A:F""
    ),
    3,
    FALSE
  ),
  0
)
"),0.0)</f>
        <v>0</v>
      </c>
      <c r="H141" s="49">
        <f>IFERROR(__xludf.DUMMYFUNCTION("IFERROR(
  VLOOKUP(
    A141,
    IMPORTRANGE(
      ""1ZHMy3vVUd_0MrSduXTe1etBb1HNpAlGwQr006ljwMiM"",
      ""GSC最新!A:F""
    ),
    4,
    FALSE
  ),
  0
)
"),0.0)</f>
        <v>0</v>
      </c>
      <c r="I141" s="49">
        <f>IFERROR(__xludf.DUMMYFUNCTION("IFERROR(
  VLOOKUP(
    A141,
    IMPORTRANGE(
      ""1ZHMy3vVUd_0MrSduXTe1etBb1HNpAlGwQr006ljwMiM"",
      ""GSC最新!A:F""
    ),
    5,
    FALSE
  ),
  0
)
"),0.0)</f>
        <v>0</v>
      </c>
      <c r="J141" s="50" t="str">
        <f t="shared" ref="J141:K141" si="696">IFERROR(F141/H141,"-")</f>
        <v>-</v>
      </c>
      <c r="K141" s="50" t="str">
        <f t="shared" si="696"/>
        <v>-</v>
      </c>
      <c r="L141" s="6">
        <f>IFERROR(__xludf.DUMMYFUNCTION("IFERROR(
  VLOOKUP(
    A141,
    IMPORTRANGE(
      ""1ZHMy3vVUd_0MrSduXTe1etBb1HNpAlGwQr006ljwMiM"",
      ""GSC最新!A:R""
    ),
    7,
    FALSE
  ),
  0
)
"),0.0)</f>
        <v>0</v>
      </c>
      <c r="M141" s="6">
        <f>IFERROR(__xludf.DUMMYFUNCTION("IFERROR(
  VLOOKUP(
    A141,
    IMPORTRANGE(
      ""1ZHMy3vVUd_0MrSduXTe1etBb1HNpAlGwQr006ljwMiM"",
      ""GSC最新!A:R""
    ),
    10,
    FALSE
  ),
  0
)
"),0.0)</f>
        <v>0</v>
      </c>
      <c r="N141" s="6">
        <f>IFERROR(__xludf.DUMMYFUNCTION("IFERROR(
  VLOOKUP(
    A141,
    IMPORTRANGE(
      ""1ZHMy3vVUd_0MrSduXTe1etBb1HNpAlGwQr006ljwMiM"",
      ""GSC最新!A:R""
    ),
    13,
    FALSE
  ),
  0
)
"),0.0)</f>
        <v>0</v>
      </c>
      <c r="O141" s="6">
        <f>IFERROR(__xludf.DUMMYFUNCTION("IFERROR(
  VLOOKUP(
    A141,
    IMPORTRANGE(
      ""1ZHMy3vVUd_0MrSduXTe1etBb1HNpAlGwQr006ljwMiM"",
      ""GSC最新!A:R""
    ),
    16,
    FALSE
  ),
  0
)
"),0.0)</f>
        <v>0</v>
      </c>
      <c r="P141" s="51" t="str">
        <f t="shared" ref="P141:Q141" si="697">IFERROR(L141/N141,"-")</f>
        <v>-</v>
      </c>
      <c r="Q141" s="51" t="str">
        <f t="shared" si="697"/>
        <v>-</v>
      </c>
      <c r="R141" s="9">
        <f>IFERROR(__xludf.DUMMYFUNCTION("IFERROR(
  VLOOKUP(
    A141,
    IMPORTRANGE(
      ""1ZHMy3vVUd_0MrSduXTe1etBb1HNpAlGwQr006ljwMiM"",
      ""GSC最新!A:R""
    ),
    8,
    FALSE
  ),
  0
)
"),0.0)</f>
        <v>0</v>
      </c>
      <c r="S141" s="9">
        <f>IFERROR(__xludf.DUMMYFUNCTION("IFERROR(
  VLOOKUP(
    A141,
    IMPORTRANGE(
      ""1ZHMy3vVUd_0MrSduXTe1etBb1HNpAlGwQr006ljwMiM"",
      ""GSC最新!A:R""
    ),
    11,
    FALSE
  ),
  0
)
"),0.0)</f>
        <v>0</v>
      </c>
      <c r="T141" s="9">
        <f>IFERROR(__xludf.DUMMYFUNCTION("IFERROR(
  VLOOKUP(
    A141,
    IMPORTRANGE(
      ""1ZHMy3vVUd_0MrSduXTe1etBb1HNpAlGwQr006ljwMiM"",
      ""GSC最新!A:R""
    ),
    14,
    FALSE
  ),
  0
)
"),0.0)</f>
        <v>0</v>
      </c>
      <c r="U141" s="9">
        <f>IFERROR(__xludf.DUMMYFUNCTION("IFERROR(
  VLOOKUP(
    A141,
    IMPORTRANGE(
      ""1ZHMy3vVUd_0MrSduXTe1etBb1HNpAlGwQr006ljwMiM"",
      ""GSC最新!A:R""
    ),
    17,
    FALSE
  ),
  0
)
"),0.0)</f>
        <v>0</v>
      </c>
      <c r="V141" s="9">
        <f t="shared" ref="V141:W141" si="698">IFERROR(R141-T141,"-")</f>
        <v>0</v>
      </c>
      <c r="W141" s="9">
        <f t="shared" si="698"/>
        <v>0</v>
      </c>
      <c r="X141" s="65" t="str">
        <f>IFERROR(__xludf.DUMMYFUNCTION("IFERROR(
  VLOOKUP(
    A141,
    IMPORTRANGE(
      ""1ZHMy3vVUd_0MrSduXTe1etBb1HNpAlGwQr006ljwMiM"",
      ""GSC最新!A:R""
    ),
    9,
    FALSE
  ),
  0
)
"),"")</f>
        <v/>
      </c>
      <c r="Y141" s="65" t="str">
        <f>IFERROR(__xludf.DUMMYFUNCTION("IFERROR(
  VLOOKUP(
    A141,
    IMPORTRANGE(
      ""1ZHMy3vVUd_0MrSduXTe1etBb1HNpAlGwQr006ljwMiM"",
      ""GSC最新!A:R""
    ),
    12,
    FALSE
  ),
  0
)
"),"")</f>
        <v/>
      </c>
      <c r="Z141" s="65" t="str">
        <f>IFERROR(__xludf.DUMMYFUNCTION("IFERROR(
  VLOOKUP(
    A141,
    IMPORTRANGE(
      ""1ZHMy3vVUd_0MrSduXTe1etBb1HNpAlGwQr006ljwMiM"",
      ""GSC最新!A:R""
    ),
    15,
    FALSE
  ),
  0
)
"),"")</f>
        <v/>
      </c>
      <c r="AA141" s="65" t="str">
        <f>IFERROR(__xludf.DUMMYFUNCTION("IFERROR(
  VLOOKUP(
    A141,
    IMPORTRANGE(
      ""1ZHMy3vVUd_0MrSduXTe1etBb1HNpAlGwQr006ljwMiM"",
      ""GSC最新!A:R""
    ),
    18,
    FALSE
  ),
  0
)
"),"")</f>
        <v/>
      </c>
      <c r="AB141" s="65">
        <f t="shared" ref="AB141:AC141" si="699">X141-Z141</f>
        <v>0</v>
      </c>
      <c r="AC141" s="65">
        <f t="shared" si="699"/>
        <v>0</v>
      </c>
      <c r="AD141" s="53">
        <f>IFERROR(__xludf.DUMMYFUNCTION("IFERROR(
  VLOOKUP(
    A141,
    IMPORTRANGE(
      ""1ZHMy3vVUd_0MrSduXTe1etBb1HNpAlGwQr006ljwMiM"",
      ""GSC最新!A:F""
    ),
    6,
    FALSE
  ),
  0
)
"),46081.0)</f>
        <v>46081</v>
      </c>
      <c r="AE141" s="54">
        <f>IFERROR(__xludf.DUMMYFUNCTION("IFERROR(
  VLOOKUP(
    A141,
    IMPORTRANGE(
      ""1SCYQd7_cobOYqT0r_F0IqD4tE4rYn5y8Eup4PJTH8es"",
      ""Snapshot!A:M""
    ),
    5,
    FALSE
  ),
  ""-""
)
"),0.0)</f>
        <v>0</v>
      </c>
      <c r="AF141" s="54">
        <f>IFERROR(__xludf.DUMMYFUNCTION("IFERROR(
  VLOOKUP(
    A141,
    IMPORTRANGE(
      ""1SCYQd7_cobOYqT0r_F0IqD4tE4rYn5y8Eup4PJTH8es"",
      ""Snapshot!A:M""
    ),
    6,
    FALSE
  ),
  0
)
"),0.0)</f>
        <v>0</v>
      </c>
      <c r="AG141" s="54">
        <f>IFERROR(__xludf.DUMMYFUNCTION("IFERROR(
  VLOOKUP(
    A141,
    IMPORTRANGE(
      ""1SCYQd7_cobOYqT0r_F0IqD4tE4rYn5y8Eup4PJTH8es"",
      ""Snapshot!A:M""
    ),
    7,
    FALSE
  ),
  0
)
"),510.0)</f>
        <v>510</v>
      </c>
      <c r="AH141" s="54">
        <f>IFERROR(__xludf.DUMMYFUNCTION("IFERROR(
  VLOOKUP(
    A141,
    IMPORTRANGE(
      ""1SCYQd7_cobOYqT0r_F0IqD4tE4rYn5y8Eup4PJTH8es"",
      ""Snapshot!A:M""
    ),
    8,
    FALSE
  ),
  0
)
"),1.0)</f>
        <v>1</v>
      </c>
      <c r="AI141" s="54">
        <f>IFERROR(__xludf.DUMMYFUNCTION("IFERROR(
  VLOOKUP(
    A141,
    IMPORTRANGE(
      ""1SCYQd7_cobOYqT0r_F0IqD4tE4rYn5y8Eup4PJTH8es"",
      ""Snapshot!A:M""
    ),
    9,
    FALSE
  ),
  0
)
"),1.0)</f>
        <v>1</v>
      </c>
      <c r="AJ141" s="54">
        <f>IFERROR(__xludf.DUMMYFUNCTION("IFERROR(
  VLOOKUP(
    A141,
    IMPORTRANGE(
      ""1SCYQd7_cobOYqT0r_F0IqD4tE4rYn5y8Eup4PJTH8es"",
      ""Snapshot!A:M""
    ),
    13,
    FALSE
  ),
  0
)
"),1.0)</f>
        <v>1</v>
      </c>
      <c r="AK141" s="49">
        <f t="shared" ref="AK141:AL141" si="700">LEN(C141)</f>
        <v>42</v>
      </c>
      <c r="AL141" s="49">
        <f t="shared" si="700"/>
        <v>55</v>
      </c>
    </row>
    <row r="142">
      <c r="A142" s="1" t="s">
        <v>1074</v>
      </c>
      <c r="B142" s="1" t="str">
        <f>IFERROR(__xludf.DUMMYFUNCTION("IFERROR(
  VLOOKUP(
    A142,
    IMPORTRANGE(
      ""1ZygntHC1J6IxzKbTidmOyf5nUyW4GCLurHCjexrLm_o"",
      ""HTMLキャッシュ!A:F""
    ),
    2,
    FALSE
  ),
  0
)
"),"NW")</f>
        <v>NW</v>
      </c>
      <c r="C142" s="1" t="str">
        <f>IFERROR(__xludf.DUMMYFUNCTION("IFERROR(
  VLOOKUP(
    A142,
    IMPORTRANGE(
      ""1ZygntHC1J6IxzKbTidmOyf5nUyW4GCLurHCjexrLm_o"",
      ""HTMLキャッシュ!A:F""
    ),
    5,
    FALSE
  ),
  0
)
"),"2023年度夏期講習開催のお知らせ - 受験英語専門ゼミ「Re-Write」(リライト)")</f>
        <v>2023年度夏期講習開催のお知らせ - 受験英語専門ゼミ「Re-Write」(リライト)</v>
      </c>
      <c r="D142" s="1" t="str">
        <f>IFERROR(__xludf.DUMMYFUNCTION("IFERROR(
  VLOOKUP(
    A142,
    IMPORTRANGE(
      ""1ZygntHC1J6IxzKbTidmOyf5nUyW4GCLurHCjexrLm_o        "",
      ""HTMLキャッシュ!A:F""
    ),
    6,
    FALSE
  ),
  0
)
"),"夏休みを目前に控え、弊塾では2023年度の夏期講習会を実施いたします。 現在当塾に通塾中の塾生の皆さんはもちろ")</f>
        <v>夏休みを目前に控え、弊塾では2023年度の夏期講習会を実施いたします。 現在当塾に通塾中の塾生の皆さんはもちろ</v>
      </c>
      <c r="E142" s="32">
        <f>IFERROR(__xludf.DUMMYFUNCTION("IFERROR(
  VLOOKUP(
    A142,
    IMPORTRANGE(
      ""1ZygntHC1J6IxzKbTidmOyf5nUyW4GCLurHCjexrLm_o        "",
      ""HTMLキャッシュ!A:F""
    ),
    3,
    FALSE
  ),
  0
)
"),45593.52678240741)</f>
        <v>45593.52678</v>
      </c>
      <c r="F142" s="49">
        <f>IFERROR(__xludf.DUMMYFUNCTION("IFERROR(
  VLOOKUP(
    A142,
    IMPORTRANGE(
      ""1ZHMy3vVUd_0MrSduXTe1etBb1HNpAlGwQr006ljwMiM"",
      ""GSC最新!A:F""
    ),
    2,
    FALSE
  ),
  0
)
"),0.0)</f>
        <v>0</v>
      </c>
      <c r="G142" s="49">
        <f>IFERROR(__xludf.DUMMYFUNCTION("IFERROR(
  VLOOKUP(
    A142,
    IMPORTRANGE(
      ""1ZHMy3vVUd_0MrSduXTe1etBb1HNpAlGwQr006ljwMiM"",
      ""GSC最新!A:F""
    ),
    3,
    FALSE
  ),
  0
)
"),0.0)</f>
        <v>0</v>
      </c>
      <c r="H142" s="49">
        <f>IFERROR(__xludf.DUMMYFUNCTION("IFERROR(
  VLOOKUP(
    A142,
    IMPORTRANGE(
      ""1ZHMy3vVUd_0MrSduXTe1etBb1HNpAlGwQr006ljwMiM"",
      ""GSC最新!A:F""
    ),
    4,
    FALSE
  ),
  0
)
"),0.0)</f>
        <v>0</v>
      </c>
      <c r="I142" s="49">
        <f>IFERROR(__xludf.DUMMYFUNCTION("IFERROR(
  VLOOKUP(
    A142,
    IMPORTRANGE(
      ""1ZHMy3vVUd_0MrSduXTe1etBb1HNpAlGwQr006ljwMiM"",
      ""GSC最新!A:F""
    ),
    5,
    FALSE
  ),
  0
)
"),0.0)</f>
        <v>0</v>
      </c>
      <c r="J142" s="50" t="str">
        <f t="shared" ref="J142:K142" si="701">IFERROR(F142/H142,"-")</f>
        <v>-</v>
      </c>
      <c r="K142" s="50" t="str">
        <f t="shared" si="701"/>
        <v>-</v>
      </c>
      <c r="L142" s="6">
        <f>IFERROR(__xludf.DUMMYFUNCTION("IFERROR(
  VLOOKUP(
    A142,
    IMPORTRANGE(
      ""1ZHMy3vVUd_0MrSduXTe1etBb1HNpAlGwQr006ljwMiM"",
      ""GSC最新!A:R""
    ),
    7,
    FALSE
  ),
  0
)
"),0.0)</f>
        <v>0</v>
      </c>
      <c r="M142" s="6">
        <f>IFERROR(__xludf.DUMMYFUNCTION("IFERROR(
  VLOOKUP(
    A142,
    IMPORTRANGE(
      ""1ZHMy3vVUd_0MrSduXTe1etBb1HNpAlGwQr006ljwMiM"",
      ""GSC最新!A:R""
    ),
    10,
    FALSE
  ),
  0
)
"),0.0)</f>
        <v>0</v>
      </c>
      <c r="N142" s="6">
        <f>IFERROR(__xludf.DUMMYFUNCTION("IFERROR(
  VLOOKUP(
    A142,
    IMPORTRANGE(
      ""1ZHMy3vVUd_0MrSduXTe1etBb1HNpAlGwQr006ljwMiM"",
      ""GSC最新!A:R""
    ),
    13,
    FALSE
  ),
  0
)
"),0.0)</f>
        <v>0</v>
      </c>
      <c r="O142" s="6">
        <f>IFERROR(__xludf.DUMMYFUNCTION("IFERROR(
  VLOOKUP(
    A142,
    IMPORTRANGE(
      ""1ZHMy3vVUd_0MrSduXTe1etBb1HNpAlGwQr006ljwMiM"",
      ""GSC最新!A:R""
    ),
    16,
    FALSE
  ),
  0
)
"),0.0)</f>
        <v>0</v>
      </c>
      <c r="P142" s="51" t="str">
        <f t="shared" ref="P142:Q142" si="702">IFERROR(L142/N142,"-")</f>
        <v>-</v>
      </c>
      <c r="Q142" s="51" t="str">
        <f t="shared" si="702"/>
        <v>-</v>
      </c>
      <c r="R142" s="9">
        <f>IFERROR(__xludf.DUMMYFUNCTION("IFERROR(
  VLOOKUP(
    A142,
    IMPORTRANGE(
      ""1ZHMy3vVUd_0MrSduXTe1etBb1HNpAlGwQr006ljwMiM"",
      ""GSC最新!A:R""
    ),
    8,
    FALSE
  ),
  0
)
"),0.0)</f>
        <v>0</v>
      </c>
      <c r="S142" s="9">
        <f>IFERROR(__xludf.DUMMYFUNCTION("IFERROR(
  VLOOKUP(
    A142,
    IMPORTRANGE(
      ""1ZHMy3vVUd_0MrSduXTe1etBb1HNpAlGwQr006ljwMiM"",
      ""GSC最新!A:R""
    ),
    11,
    FALSE
  ),
  0
)
"),0.0)</f>
        <v>0</v>
      </c>
      <c r="T142" s="9">
        <f>IFERROR(__xludf.DUMMYFUNCTION("IFERROR(
  VLOOKUP(
    A142,
    IMPORTRANGE(
      ""1ZHMy3vVUd_0MrSduXTe1etBb1HNpAlGwQr006ljwMiM"",
      ""GSC最新!A:R""
    ),
    14,
    FALSE
  ),
  0
)
"),0.0)</f>
        <v>0</v>
      </c>
      <c r="U142" s="9">
        <f>IFERROR(__xludf.DUMMYFUNCTION("IFERROR(
  VLOOKUP(
    A142,
    IMPORTRANGE(
      ""1ZHMy3vVUd_0MrSduXTe1etBb1HNpAlGwQr006ljwMiM"",
      ""GSC最新!A:R""
    ),
    17,
    FALSE
  ),
  0
)
"),0.0)</f>
        <v>0</v>
      </c>
      <c r="V142" s="9">
        <f t="shared" ref="V142:W142" si="703">IFERROR(R142-T142,"-")</f>
        <v>0</v>
      </c>
      <c r="W142" s="9">
        <f t="shared" si="703"/>
        <v>0</v>
      </c>
      <c r="X142" s="65" t="str">
        <f>IFERROR(__xludf.DUMMYFUNCTION("IFERROR(
  VLOOKUP(
    A142,
    IMPORTRANGE(
      ""1ZHMy3vVUd_0MrSduXTe1etBb1HNpAlGwQr006ljwMiM"",
      ""GSC最新!A:R""
    ),
    9,
    FALSE
  ),
  0
)
"),"")</f>
        <v/>
      </c>
      <c r="Y142" s="65" t="str">
        <f>IFERROR(__xludf.DUMMYFUNCTION("IFERROR(
  VLOOKUP(
    A142,
    IMPORTRANGE(
      ""1ZHMy3vVUd_0MrSduXTe1etBb1HNpAlGwQr006ljwMiM"",
      ""GSC最新!A:R""
    ),
    12,
    FALSE
  ),
  0
)
"),"")</f>
        <v/>
      </c>
      <c r="Z142" s="65" t="str">
        <f>IFERROR(__xludf.DUMMYFUNCTION("IFERROR(
  VLOOKUP(
    A142,
    IMPORTRANGE(
      ""1ZHMy3vVUd_0MrSduXTe1etBb1HNpAlGwQr006ljwMiM"",
      ""GSC最新!A:R""
    ),
    15,
    FALSE
  ),
  0
)
"),"")</f>
        <v/>
      </c>
      <c r="AA142" s="65" t="str">
        <f>IFERROR(__xludf.DUMMYFUNCTION("IFERROR(
  VLOOKUP(
    A142,
    IMPORTRANGE(
      ""1ZHMy3vVUd_0MrSduXTe1etBb1HNpAlGwQr006ljwMiM"",
      ""GSC最新!A:R""
    ),
    18,
    FALSE
  ),
  0
)
"),"")</f>
        <v/>
      </c>
      <c r="AB142" s="65">
        <f t="shared" ref="AB142:AC142" si="704">X142-Z142</f>
        <v>0</v>
      </c>
      <c r="AC142" s="65">
        <f t="shared" si="704"/>
        <v>0</v>
      </c>
      <c r="AD142" s="53">
        <f>IFERROR(__xludf.DUMMYFUNCTION("IFERROR(
  VLOOKUP(
    A142,
    IMPORTRANGE(
      ""1ZHMy3vVUd_0MrSduXTe1etBb1HNpAlGwQr006ljwMiM"",
      ""GSC最新!A:F""
    ),
    6,
    FALSE
  ),
  0
)
"),46081.0)</f>
        <v>46081</v>
      </c>
      <c r="AE142" s="54">
        <f>IFERROR(__xludf.DUMMYFUNCTION("IFERROR(
  VLOOKUP(
    A142,
    IMPORTRANGE(
      ""1SCYQd7_cobOYqT0r_F0IqD4tE4rYn5y8Eup4PJTH8es"",
      ""Snapshot!A:M""
    ),
    5,
    FALSE
  ),
  ""-""
)
"),0.0)</f>
        <v>0</v>
      </c>
      <c r="AF142" s="54">
        <f>IFERROR(__xludf.DUMMYFUNCTION("IFERROR(
  VLOOKUP(
    A142,
    IMPORTRANGE(
      ""1SCYQd7_cobOYqT0r_F0IqD4tE4rYn5y8Eup4PJTH8es"",
      ""Snapshot!A:M""
    ),
    6,
    FALSE
  ),
  0
)
"),0.0)</f>
        <v>0</v>
      </c>
      <c r="AG142" s="54">
        <f>IFERROR(__xludf.DUMMYFUNCTION("IFERROR(
  VLOOKUP(
    A142,
    IMPORTRANGE(
      ""1SCYQd7_cobOYqT0r_F0IqD4tE4rYn5y8Eup4PJTH8es"",
      ""Snapshot!A:M""
    ),
    7,
    FALSE
  ),
  0
)
"),540.0)</f>
        <v>540</v>
      </c>
      <c r="AH142" s="54">
        <f>IFERROR(__xludf.DUMMYFUNCTION("IFERROR(
  VLOOKUP(
    A142,
    IMPORTRANGE(
      ""1SCYQd7_cobOYqT0r_F0IqD4tE4rYn5y8Eup4PJTH8es"",
      ""Snapshot!A:M""
    ),
    8,
    FALSE
  ),
  0
)
"),1.0)</f>
        <v>1</v>
      </c>
      <c r="AI142" s="54">
        <f>IFERROR(__xludf.DUMMYFUNCTION("IFERROR(
  VLOOKUP(
    A142,
    IMPORTRANGE(
      ""1SCYQd7_cobOYqT0r_F0IqD4tE4rYn5y8Eup4PJTH8es"",
      ""Snapshot!A:M""
    ),
    9,
    FALSE
  ),
  0
)
"),1.0)</f>
        <v>1</v>
      </c>
      <c r="AJ142" s="54">
        <f>IFERROR(__xludf.DUMMYFUNCTION("IFERROR(
  VLOOKUP(
    A142,
    IMPORTRANGE(
      ""1SCYQd7_cobOYqT0r_F0IqD4tE4rYn5y8Eup4PJTH8es"",
      ""Snapshot!A:M""
    ),
    13,
    FALSE
  ),
  0
)
"),1.0)</f>
        <v>1</v>
      </c>
      <c r="AK142" s="49">
        <f t="shared" ref="AK142:AL142" si="705">LEN(C142)</f>
        <v>44</v>
      </c>
      <c r="AL142" s="49">
        <f t="shared" si="705"/>
        <v>55</v>
      </c>
    </row>
    <row r="143">
      <c r="A143" s="1" t="s">
        <v>1075</v>
      </c>
      <c r="B143" s="1" t="str">
        <f>IFERROR(__xludf.DUMMYFUNCTION("IFERROR(
  VLOOKUP(
    A143,
    IMPORTRANGE(
      ""1ZygntHC1J6IxzKbTidmOyf5nUyW4GCLurHCjexrLm_o"",
      ""HTMLキャッシュ!A:F""
    ),
    2,
    FALSE
  ),
  0
)
"),"NW")</f>
        <v>NW</v>
      </c>
      <c r="C143" s="1" t="str">
        <f>IFERROR(__xludf.DUMMYFUNCTION("IFERROR(
  VLOOKUP(
    A143,
    IMPORTRANGE(
      ""1ZygntHC1J6IxzKbTidmOyf5nUyW4GCLurHCjexrLm_o"",
      ""HTMLキャッシュ!A:F""
    ),
    5,
    FALSE
  ),
  0
)
"),"2022年度夏期講習開催のお知らせ - 受験英語専門ゼミ「Re-Write」(リライト)")</f>
        <v>2022年度夏期講習開催のお知らせ - 受験英語専門ゼミ「Re-Write」(リライト)</v>
      </c>
      <c r="D143" s="1" t="str">
        <f>IFERROR(__xludf.DUMMYFUNCTION("IFERROR(
  VLOOKUP(
    A143,
    IMPORTRANGE(
      ""1ZygntHC1J6IxzKbTidmOyf5nUyW4GCLurHCjexrLm_o        "",
      ""HTMLキャッシュ!A:F""
    ),
    6,
    FALSE
  ),
  0
)
"),"夏休みを目前に控え、弊塾では2022年度の夏期講習会を実施いたします。 現在当塾に通塾中の塾生の皆さんはもちろ")</f>
        <v>夏休みを目前に控え、弊塾では2022年度の夏期講習会を実施いたします。 現在当塾に通塾中の塾生の皆さんはもちろ</v>
      </c>
      <c r="E143" s="32">
        <f>IFERROR(__xludf.DUMMYFUNCTION("IFERROR(
  VLOOKUP(
    A143,
    IMPORTRANGE(
      ""1ZygntHC1J6IxzKbTidmOyf5nUyW4GCLurHCjexrLm_o        "",
      ""HTMLキャッシュ!A:F""
    ),
    3,
    FALSE
  ),
  0
)
"),45592.87150462963)</f>
        <v>45592.8715</v>
      </c>
      <c r="F143" s="49">
        <f>IFERROR(__xludf.DUMMYFUNCTION("IFERROR(
  VLOOKUP(
    A143,
    IMPORTRANGE(
      ""1ZHMy3vVUd_0MrSduXTe1etBb1HNpAlGwQr006ljwMiM"",
      ""GSC最新!A:F""
    ),
    2,
    FALSE
  ),
  0
)
"),0.0)</f>
        <v>0</v>
      </c>
      <c r="G143" s="49">
        <f>IFERROR(__xludf.DUMMYFUNCTION("IFERROR(
  VLOOKUP(
    A143,
    IMPORTRANGE(
      ""1ZHMy3vVUd_0MrSduXTe1etBb1HNpAlGwQr006ljwMiM"",
      ""GSC最新!A:F""
    ),
    3,
    FALSE
  ),
  0
)
"),0.0)</f>
        <v>0</v>
      </c>
      <c r="H143" s="49">
        <f>IFERROR(__xludf.DUMMYFUNCTION("IFERROR(
  VLOOKUP(
    A143,
    IMPORTRANGE(
      ""1ZHMy3vVUd_0MrSduXTe1etBb1HNpAlGwQr006ljwMiM"",
      ""GSC最新!A:F""
    ),
    4,
    FALSE
  ),
  0
)
"),0.0)</f>
        <v>0</v>
      </c>
      <c r="I143" s="49">
        <f>IFERROR(__xludf.DUMMYFUNCTION("IFERROR(
  VLOOKUP(
    A143,
    IMPORTRANGE(
      ""1ZHMy3vVUd_0MrSduXTe1etBb1HNpAlGwQr006ljwMiM"",
      ""GSC最新!A:F""
    ),
    5,
    FALSE
  ),
  0
)
"),0.0)</f>
        <v>0</v>
      </c>
      <c r="J143" s="50" t="str">
        <f t="shared" ref="J143:K143" si="706">IFERROR(F143/H143,"-")</f>
        <v>-</v>
      </c>
      <c r="K143" s="50" t="str">
        <f t="shared" si="706"/>
        <v>-</v>
      </c>
      <c r="L143" s="6">
        <f>IFERROR(__xludf.DUMMYFUNCTION("IFERROR(
  VLOOKUP(
    A143,
    IMPORTRANGE(
      ""1ZHMy3vVUd_0MrSduXTe1etBb1HNpAlGwQr006ljwMiM"",
      ""GSC最新!A:R""
    ),
    7,
    FALSE
  ),
  0
)
"),0.0)</f>
        <v>0</v>
      </c>
      <c r="M143" s="6">
        <f>IFERROR(__xludf.DUMMYFUNCTION("IFERROR(
  VLOOKUP(
    A143,
    IMPORTRANGE(
      ""1ZHMy3vVUd_0MrSduXTe1etBb1HNpAlGwQr006ljwMiM"",
      ""GSC最新!A:R""
    ),
    10,
    FALSE
  ),
  0
)
"),0.0)</f>
        <v>0</v>
      </c>
      <c r="N143" s="6">
        <f>IFERROR(__xludf.DUMMYFUNCTION("IFERROR(
  VLOOKUP(
    A143,
    IMPORTRANGE(
      ""1ZHMy3vVUd_0MrSduXTe1etBb1HNpAlGwQr006ljwMiM"",
      ""GSC最新!A:R""
    ),
    13,
    FALSE
  ),
  0
)
"),0.0)</f>
        <v>0</v>
      </c>
      <c r="O143" s="6">
        <f>IFERROR(__xludf.DUMMYFUNCTION("IFERROR(
  VLOOKUP(
    A143,
    IMPORTRANGE(
      ""1ZHMy3vVUd_0MrSduXTe1etBb1HNpAlGwQr006ljwMiM"",
      ""GSC最新!A:R""
    ),
    16,
    FALSE
  ),
  0
)
"),0.0)</f>
        <v>0</v>
      </c>
      <c r="P143" s="51" t="str">
        <f t="shared" ref="P143:Q143" si="707">IFERROR(L143/N143,"-")</f>
        <v>-</v>
      </c>
      <c r="Q143" s="51" t="str">
        <f t="shared" si="707"/>
        <v>-</v>
      </c>
      <c r="R143" s="9">
        <f>IFERROR(__xludf.DUMMYFUNCTION("IFERROR(
  VLOOKUP(
    A143,
    IMPORTRANGE(
      ""1ZHMy3vVUd_0MrSduXTe1etBb1HNpAlGwQr006ljwMiM"",
      ""GSC最新!A:R""
    ),
    8,
    FALSE
  ),
  0
)
"),0.0)</f>
        <v>0</v>
      </c>
      <c r="S143" s="9">
        <f>IFERROR(__xludf.DUMMYFUNCTION("IFERROR(
  VLOOKUP(
    A143,
    IMPORTRANGE(
      ""1ZHMy3vVUd_0MrSduXTe1etBb1HNpAlGwQr006ljwMiM"",
      ""GSC最新!A:R""
    ),
    11,
    FALSE
  ),
  0
)
"),0.0)</f>
        <v>0</v>
      </c>
      <c r="T143" s="9">
        <f>IFERROR(__xludf.DUMMYFUNCTION("IFERROR(
  VLOOKUP(
    A143,
    IMPORTRANGE(
      ""1ZHMy3vVUd_0MrSduXTe1etBb1HNpAlGwQr006ljwMiM"",
      ""GSC最新!A:R""
    ),
    14,
    FALSE
  ),
  0
)
"),0.0)</f>
        <v>0</v>
      </c>
      <c r="U143" s="9">
        <f>IFERROR(__xludf.DUMMYFUNCTION("IFERROR(
  VLOOKUP(
    A143,
    IMPORTRANGE(
      ""1ZHMy3vVUd_0MrSduXTe1etBb1HNpAlGwQr006ljwMiM"",
      ""GSC最新!A:R""
    ),
    17,
    FALSE
  ),
  0
)
"),0.0)</f>
        <v>0</v>
      </c>
      <c r="V143" s="9">
        <f t="shared" ref="V143:W143" si="708">IFERROR(R143-T143,"-")</f>
        <v>0</v>
      </c>
      <c r="W143" s="9">
        <f t="shared" si="708"/>
        <v>0</v>
      </c>
      <c r="X143" s="65" t="str">
        <f>IFERROR(__xludf.DUMMYFUNCTION("IFERROR(
  VLOOKUP(
    A143,
    IMPORTRANGE(
      ""1ZHMy3vVUd_0MrSduXTe1etBb1HNpAlGwQr006ljwMiM"",
      ""GSC最新!A:R""
    ),
    9,
    FALSE
  ),
  0
)
"),"")</f>
        <v/>
      </c>
      <c r="Y143" s="65" t="str">
        <f>IFERROR(__xludf.DUMMYFUNCTION("IFERROR(
  VLOOKUP(
    A143,
    IMPORTRANGE(
      ""1ZHMy3vVUd_0MrSduXTe1etBb1HNpAlGwQr006ljwMiM"",
      ""GSC最新!A:R""
    ),
    12,
    FALSE
  ),
  0
)
"),"")</f>
        <v/>
      </c>
      <c r="Z143" s="65" t="str">
        <f>IFERROR(__xludf.DUMMYFUNCTION("IFERROR(
  VLOOKUP(
    A143,
    IMPORTRANGE(
      ""1ZHMy3vVUd_0MrSduXTe1etBb1HNpAlGwQr006ljwMiM"",
      ""GSC最新!A:R""
    ),
    15,
    FALSE
  ),
  0
)
"),"")</f>
        <v/>
      </c>
      <c r="AA143" s="65" t="str">
        <f>IFERROR(__xludf.DUMMYFUNCTION("IFERROR(
  VLOOKUP(
    A143,
    IMPORTRANGE(
      ""1ZHMy3vVUd_0MrSduXTe1etBb1HNpAlGwQr006ljwMiM"",
      ""GSC最新!A:R""
    ),
    18,
    FALSE
  ),
  0
)
"),"")</f>
        <v/>
      </c>
      <c r="AB143" s="65">
        <f t="shared" ref="AB143:AC143" si="709">X143-Z143</f>
        <v>0</v>
      </c>
      <c r="AC143" s="65">
        <f t="shared" si="709"/>
        <v>0</v>
      </c>
      <c r="AD143" s="53">
        <f>IFERROR(__xludf.DUMMYFUNCTION("IFERROR(
  VLOOKUP(
    A143,
    IMPORTRANGE(
      ""1ZHMy3vVUd_0MrSduXTe1etBb1HNpAlGwQr006ljwMiM"",
      ""GSC最新!A:F""
    ),
    6,
    FALSE
  ),
  0
)
"),46081.0)</f>
        <v>46081</v>
      </c>
      <c r="AE143" s="54">
        <f>IFERROR(__xludf.DUMMYFUNCTION("IFERROR(
  VLOOKUP(
    A143,
    IMPORTRANGE(
      ""1SCYQd7_cobOYqT0r_F0IqD4tE4rYn5y8Eup4PJTH8es"",
      ""Snapshot!A:M""
    ),
    5,
    FALSE
  ),
  ""-""
)
"),0.0)</f>
        <v>0</v>
      </c>
      <c r="AF143" s="54">
        <f>IFERROR(__xludf.DUMMYFUNCTION("IFERROR(
  VLOOKUP(
    A143,
    IMPORTRANGE(
      ""1SCYQd7_cobOYqT0r_F0IqD4tE4rYn5y8Eup4PJTH8es"",
      ""Snapshot!A:M""
    ),
    6,
    FALSE
  ),
  0
)
"),0.0)</f>
        <v>0</v>
      </c>
      <c r="AG143" s="54">
        <f>IFERROR(__xludf.DUMMYFUNCTION("IFERROR(
  VLOOKUP(
    A143,
    IMPORTRANGE(
      ""1SCYQd7_cobOYqT0r_F0IqD4tE4rYn5y8Eup4PJTH8es"",
      ""Snapshot!A:M""
    ),
    7,
    FALSE
  ),
  0
)
"),550.0)</f>
        <v>550</v>
      </c>
      <c r="AH143" s="54">
        <f>IFERROR(__xludf.DUMMYFUNCTION("IFERROR(
  VLOOKUP(
    A143,
    IMPORTRANGE(
      ""1SCYQd7_cobOYqT0r_F0IqD4tE4rYn5y8Eup4PJTH8es"",
      ""Snapshot!A:M""
    ),
    8,
    FALSE
  ),
  0
)
"),1.0)</f>
        <v>1</v>
      </c>
      <c r="AI143" s="54">
        <f>IFERROR(__xludf.DUMMYFUNCTION("IFERROR(
  VLOOKUP(
    A143,
    IMPORTRANGE(
      ""1SCYQd7_cobOYqT0r_F0IqD4tE4rYn5y8Eup4PJTH8es"",
      ""Snapshot!A:M""
    ),
    9,
    FALSE
  ),
  0
)
"),1.0)</f>
        <v>1</v>
      </c>
      <c r="AJ143" s="54">
        <f>IFERROR(__xludf.DUMMYFUNCTION("IFERROR(
  VLOOKUP(
    A143,
    IMPORTRANGE(
      ""1SCYQd7_cobOYqT0r_F0IqD4tE4rYn5y8Eup4PJTH8es"",
      ""Snapshot!A:M""
    ),
    13,
    FALSE
  ),
  0
)
"),1.0)</f>
        <v>1</v>
      </c>
      <c r="AK143" s="49">
        <f t="shared" ref="AK143:AL143" si="710">LEN(C143)</f>
        <v>44</v>
      </c>
      <c r="AL143" s="49">
        <f t="shared" si="710"/>
        <v>55</v>
      </c>
    </row>
    <row r="144">
      <c r="A144" s="3" t="s">
        <v>1076</v>
      </c>
      <c r="B144" s="1" t="str">
        <f>IFERROR(__xludf.DUMMYFUNCTION("IFERROR(
  VLOOKUP(
    A144,
    IMPORTRANGE(
      ""1ZygntHC1J6IxzKbTidmOyf5nUyW4GCLurHCjexrLm_o"",
      ""HTMLキャッシュ!A:F""
    ),
    2,
    FALSE
  ),
  0
)
"),"NW")</f>
        <v>NW</v>
      </c>
      <c r="C144" s="1" t="str">
        <f>IFERROR(__xludf.DUMMYFUNCTION("IFERROR(
  VLOOKUP(
    A144,
    IMPORTRANGE(
      ""1ZygntHC1J6IxzKbTidmOyf5nUyW4GCLurHCjexrLm_o"",
      ""HTMLキャッシュ!A:F""
    ),
    5,
    FALSE
  ),
  0
)
"),"2020年度冬期講習開講のお知らせ - 受験英語専門ゼミ「Re-Write」(リライト)")</f>
        <v>2020年度冬期講習開講のお知らせ - 受験英語専門ゼミ「Re-Write」(リライト)</v>
      </c>
      <c r="D144" s="1" t="str">
        <f>IFERROR(__xludf.DUMMYFUNCTION("IFERROR(
  VLOOKUP(
    A144,
    IMPORTRANGE(
      ""1ZygntHC1J6IxzKbTidmOyf5nUyW4GCLurHCjexrLm_o        "",
      ""HTMLキャッシュ!A:F""
    ),
    6,
    FALSE
  ),
  0
)
"),"弊塾では冬期講習会を実施させて頂く運びとなりました。 現在当塾に通塾されている塾生の皆さんは勿論のこと、 普段")</f>
        <v>弊塾では冬期講習会を実施させて頂く運びとなりました。 現在当塾に通塾されている塾生の皆さんは勿論のこと、 普段</v>
      </c>
      <c r="E144" s="32">
        <f>IFERROR(__xludf.DUMMYFUNCTION("IFERROR(
  VLOOKUP(
    A144,
    IMPORTRANGE(
      ""1ZygntHC1J6IxzKbTidmOyf5nUyW4GCLurHCjexrLm_o        "",
      ""HTMLキャッシュ!A:F""
    ),
    3,
    FALSE
  ),
  0
)
"),44166.52579861111)</f>
        <v>44166.5258</v>
      </c>
      <c r="F144" s="49">
        <f>IFERROR(__xludf.DUMMYFUNCTION("IFERROR(
  VLOOKUP(
    A144,
    IMPORTRANGE(
      ""1ZHMy3vVUd_0MrSduXTe1etBb1HNpAlGwQr006ljwMiM"",
      ""GSC最新!A:F""
    ),
    2,
    FALSE
  ),
  0
)
"),0.0)</f>
        <v>0</v>
      </c>
      <c r="G144" s="49">
        <f>IFERROR(__xludf.DUMMYFUNCTION("IFERROR(
  VLOOKUP(
    A144,
    IMPORTRANGE(
      ""1ZHMy3vVUd_0MrSduXTe1etBb1HNpAlGwQr006ljwMiM"",
      ""GSC最新!A:F""
    ),
    3,
    FALSE
  ),
  0
)
"),0.0)</f>
        <v>0</v>
      </c>
      <c r="H144" s="49">
        <f>IFERROR(__xludf.DUMMYFUNCTION("IFERROR(
  VLOOKUP(
    A144,
    IMPORTRANGE(
      ""1ZHMy3vVUd_0MrSduXTe1etBb1HNpAlGwQr006ljwMiM"",
      ""GSC最新!A:F""
    ),
    4,
    FALSE
  ),
  0
)
"),0.0)</f>
        <v>0</v>
      </c>
      <c r="I144" s="49">
        <f>IFERROR(__xludf.DUMMYFUNCTION("IFERROR(
  VLOOKUP(
    A144,
    IMPORTRANGE(
      ""1ZHMy3vVUd_0MrSduXTe1etBb1HNpAlGwQr006ljwMiM"",
      ""GSC最新!A:F""
    ),
    5,
    FALSE
  ),
  0
)
"),0.0)</f>
        <v>0</v>
      </c>
      <c r="J144" s="50" t="str">
        <f t="shared" ref="J144:K144" si="711">IFERROR(F144/H144,"-")</f>
        <v>-</v>
      </c>
      <c r="K144" s="50" t="str">
        <f t="shared" si="711"/>
        <v>-</v>
      </c>
      <c r="L144" s="6">
        <f>IFERROR(__xludf.DUMMYFUNCTION("IFERROR(
  VLOOKUP(
    A144,
    IMPORTRANGE(
      ""1ZHMy3vVUd_0MrSduXTe1etBb1HNpAlGwQr006ljwMiM"",
      ""GSC最新!A:R""
    ),
    7,
    FALSE
  ),
  0
)
"),0.0)</f>
        <v>0</v>
      </c>
      <c r="M144" s="6">
        <f>IFERROR(__xludf.DUMMYFUNCTION("IFERROR(
  VLOOKUP(
    A144,
    IMPORTRANGE(
      ""1ZHMy3vVUd_0MrSduXTe1etBb1HNpAlGwQr006ljwMiM"",
      ""GSC最新!A:R""
    ),
    10,
    FALSE
  ),
  0
)
"),0.0)</f>
        <v>0</v>
      </c>
      <c r="N144" s="6">
        <f>IFERROR(__xludf.DUMMYFUNCTION("IFERROR(
  VLOOKUP(
    A144,
    IMPORTRANGE(
      ""1ZHMy3vVUd_0MrSduXTe1etBb1HNpAlGwQr006ljwMiM"",
      ""GSC最新!A:R""
    ),
    13,
    FALSE
  ),
  0
)
"),0.0)</f>
        <v>0</v>
      </c>
      <c r="O144" s="6">
        <f>IFERROR(__xludf.DUMMYFUNCTION("IFERROR(
  VLOOKUP(
    A144,
    IMPORTRANGE(
      ""1ZHMy3vVUd_0MrSduXTe1etBb1HNpAlGwQr006ljwMiM"",
      ""GSC最新!A:R""
    ),
    16,
    FALSE
  ),
  0
)
"),0.0)</f>
        <v>0</v>
      </c>
      <c r="P144" s="51" t="str">
        <f t="shared" ref="P144:Q144" si="712">IFERROR(L144/N144,"-")</f>
        <v>-</v>
      </c>
      <c r="Q144" s="51" t="str">
        <f t="shared" si="712"/>
        <v>-</v>
      </c>
      <c r="R144" s="9">
        <f>IFERROR(__xludf.DUMMYFUNCTION("IFERROR(
  VLOOKUP(
    A144,
    IMPORTRANGE(
      ""1ZHMy3vVUd_0MrSduXTe1etBb1HNpAlGwQr006ljwMiM"",
      ""GSC最新!A:R""
    ),
    8,
    FALSE
  ),
  0
)
"),0.0)</f>
        <v>0</v>
      </c>
      <c r="S144" s="9">
        <f>IFERROR(__xludf.DUMMYFUNCTION("IFERROR(
  VLOOKUP(
    A144,
    IMPORTRANGE(
      ""1ZHMy3vVUd_0MrSduXTe1etBb1HNpAlGwQr006ljwMiM"",
      ""GSC最新!A:R""
    ),
    11,
    FALSE
  ),
  0
)
"),0.0)</f>
        <v>0</v>
      </c>
      <c r="T144" s="9">
        <f>IFERROR(__xludf.DUMMYFUNCTION("IFERROR(
  VLOOKUP(
    A144,
    IMPORTRANGE(
      ""1ZHMy3vVUd_0MrSduXTe1etBb1HNpAlGwQr006ljwMiM"",
      ""GSC最新!A:R""
    ),
    14,
    FALSE
  ),
  0
)
"),0.0)</f>
        <v>0</v>
      </c>
      <c r="U144" s="9">
        <f>IFERROR(__xludf.DUMMYFUNCTION("IFERROR(
  VLOOKUP(
    A144,
    IMPORTRANGE(
      ""1ZHMy3vVUd_0MrSduXTe1etBb1HNpAlGwQr006ljwMiM"",
      ""GSC最新!A:R""
    ),
    17,
    FALSE
  ),
  0
)
"),0.0)</f>
        <v>0</v>
      </c>
      <c r="V144" s="9">
        <f t="shared" ref="V144:W144" si="713">IFERROR(R144-T144,"-")</f>
        <v>0</v>
      </c>
      <c r="W144" s="9">
        <f t="shared" si="713"/>
        <v>0</v>
      </c>
      <c r="X144" s="65" t="str">
        <f>IFERROR(__xludf.DUMMYFUNCTION("IFERROR(
  VLOOKUP(
    A144,
    IMPORTRANGE(
      ""1ZHMy3vVUd_0MrSduXTe1etBb1HNpAlGwQr006ljwMiM"",
      ""GSC最新!A:R""
    ),
    9,
    FALSE
  ),
  0
)
"),"")</f>
        <v/>
      </c>
      <c r="Y144" s="65" t="str">
        <f>IFERROR(__xludf.DUMMYFUNCTION("IFERROR(
  VLOOKUP(
    A144,
    IMPORTRANGE(
      ""1ZHMy3vVUd_0MrSduXTe1etBb1HNpAlGwQr006ljwMiM"",
      ""GSC最新!A:R""
    ),
    12,
    FALSE
  ),
  0
)
"),"")</f>
        <v/>
      </c>
      <c r="Z144" s="65" t="str">
        <f>IFERROR(__xludf.DUMMYFUNCTION("IFERROR(
  VLOOKUP(
    A144,
    IMPORTRANGE(
      ""1ZHMy3vVUd_0MrSduXTe1etBb1HNpAlGwQr006ljwMiM"",
      ""GSC最新!A:R""
    ),
    15,
    FALSE
  ),
  0
)
"),"")</f>
        <v/>
      </c>
      <c r="AA144" s="65" t="str">
        <f>IFERROR(__xludf.DUMMYFUNCTION("IFERROR(
  VLOOKUP(
    A144,
    IMPORTRANGE(
      ""1ZHMy3vVUd_0MrSduXTe1etBb1HNpAlGwQr006ljwMiM"",
      ""GSC最新!A:R""
    ),
    18,
    FALSE
  ),
  0
)
"),"")</f>
        <v/>
      </c>
      <c r="AB144" s="65">
        <f t="shared" ref="AB144:AC144" si="714">X144-Z144</f>
        <v>0</v>
      </c>
      <c r="AC144" s="65">
        <f t="shared" si="714"/>
        <v>0</v>
      </c>
      <c r="AD144" s="53">
        <f>IFERROR(__xludf.DUMMYFUNCTION("IFERROR(
  VLOOKUP(
    A144,
    IMPORTRANGE(
      ""1ZHMy3vVUd_0MrSduXTe1etBb1HNpAlGwQr006ljwMiM"",
      ""GSC最新!A:F""
    ),
    6,
    FALSE
  ),
  0
)
"),46081.0)</f>
        <v>46081</v>
      </c>
      <c r="AE144" s="54">
        <f>IFERROR(__xludf.DUMMYFUNCTION("IFERROR(
  VLOOKUP(
    A144,
    IMPORTRANGE(
      ""1SCYQd7_cobOYqT0r_F0IqD4tE4rYn5y8Eup4PJTH8es"",
      ""Snapshot!A:M""
    ),
    5,
    FALSE
  ),
  ""-""
)
"),0.0)</f>
        <v>0</v>
      </c>
      <c r="AF144" s="54">
        <f>IFERROR(__xludf.DUMMYFUNCTION("IFERROR(
  VLOOKUP(
    A144,
    IMPORTRANGE(
      ""1SCYQd7_cobOYqT0r_F0IqD4tE4rYn5y8Eup4PJTH8es"",
      ""Snapshot!A:M""
    ),
    6,
    FALSE
  ),
  0
)
"),0.0)</f>
        <v>0</v>
      </c>
      <c r="AG144" s="54">
        <f>IFERROR(__xludf.DUMMYFUNCTION("IFERROR(
  VLOOKUP(
    A144,
    IMPORTRANGE(
      ""1SCYQd7_cobOYqT0r_F0IqD4tE4rYn5y8Eup4PJTH8es"",
      ""Snapshot!A:M""
    ),
    7,
    FALSE
  ),
  0
)
"),678.0)</f>
        <v>678</v>
      </c>
      <c r="AH144" s="54">
        <f>IFERROR(__xludf.DUMMYFUNCTION("IFERROR(
  VLOOKUP(
    A144,
    IMPORTRANGE(
      ""1SCYQd7_cobOYqT0r_F0IqD4tE4rYn5y8Eup4PJTH8es"",
      ""Snapshot!A:M""
    ),
    8,
    FALSE
  ),
  0
)
"),1.0)</f>
        <v>1</v>
      </c>
      <c r="AI144" s="54">
        <f>IFERROR(__xludf.DUMMYFUNCTION("IFERROR(
  VLOOKUP(
    A144,
    IMPORTRANGE(
      ""1SCYQd7_cobOYqT0r_F0IqD4tE4rYn5y8Eup4PJTH8es"",
      ""Snapshot!A:M""
    ),
    9,
    FALSE
  ),
  0
)
"),1.0)</f>
        <v>1</v>
      </c>
      <c r="AJ144" s="54">
        <f>IFERROR(__xludf.DUMMYFUNCTION("IFERROR(
  VLOOKUP(
    A144,
    IMPORTRANGE(
      ""1SCYQd7_cobOYqT0r_F0IqD4tE4rYn5y8Eup4PJTH8es"",
      ""Snapshot!A:M""
    ),
    13,
    FALSE
  ),
  0
)
"),1.0)</f>
        <v>1</v>
      </c>
      <c r="AK144" s="49">
        <f t="shared" ref="AK144:AL144" si="715">LEN(C144)</f>
        <v>44</v>
      </c>
      <c r="AL144" s="49">
        <f t="shared" si="715"/>
        <v>55</v>
      </c>
    </row>
    <row r="145">
      <c r="A145" s="3" t="s">
        <v>1077</v>
      </c>
      <c r="B145" s="1" t="str">
        <f>IFERROR(__xludf.DUMMYFUNCTION("IFERROR(
  VLOOKUP(
    A145,
    IMPORTRANGE(
      ""1ZygntHC1J6IxzKbTidmOyf5nUyW4GCLurHCjexrLm_o"",
      ""HTMLキャッシュ!A:F""
    ),
    2,
    FALSE
  ),
  0
)
"),"NW")</f>
        <v>NW</v>
      </c>
      <c r="C145" s="1" t="str">
        <f>IFERROR(__xludf.DUMMYFUNCTION("IFERROR(
  VLOOKUP(
    A145,
    IMPORTRANGE(
      ""1ZygntHC1J6IxzKbTidmOyf5nUyW4GCLurHCjexrLm_o"",
      ""HTMLキャッシュ!A:F""
    ),
    5,
    FALSE
  ),
  0
)
"),"2021年度春期講習のお知らせ - 受験英語専門ゼミ「Re-Write」(リライト)")</f>
        <v>2021年度春期講習のお知らせ - 受験英語専門ゼミ「Re-Write」(リライト)</v>
      </c>
      <c r="D145" s="1" t="str">
        <f>IFERROR(__xludf.DUMMYFUNCTION("IFERROR(
  VLOOKUP(
    A145,
    IMPORTRANGE(
      ""1ZygntHC1J6IxzKbTidmOyf5nUyW4GCLurHCjexrLm_o        "",
      ""HTMLキャッシュ!A:F""
    ),
    6,
    FALSE
  ),
  0
)
"),"弊塾では春期講習会を実施させて頂く運びとなりました。 現在当塾に通塾されている塾生の皆さんは勿論のこと、 普段")</f>
        <v>弊塾では春期講習会を実施させて頂く運びとなりました。 現在当塾に通塾されている塾生の皆さんは勿論のこと、 普段</v>
      </c>
      <c r="E145" s="32">
        <f>IFERROR(__xludf.DUMMYFUNCTION("IFERROR(
  VLOOKUP(
    A145,
    IMPORTRANGE(
      ""1ZygntHC1J6IxzKbTidmOyf5nUyW4GCLurHCjexrLm_o        "",
      ""HTMLキャッシュ!A:F""
    ),
    3,
    FALSE
  ),
  0
)
"),44263.674166666664)</f>
        <v>44263.67417</v>
      </c>
      <c r="F145" s="49">
        <f>IFERROR(__xludf.DUMMYFUNCTION("IFERROR(
  VLOOKUP(
    A145,
    IMPORTRANGE(
      ""1ZHMy3vVUd_0MrSduXTe1etBb1HNpAlGwQr006ljwMiM"",
      ""GSC最新!A:F""
    ),
    2,
    FALSE
  ),
  0
)
"),0.0)</f>
        <v>0</v>
      </c>
      <c r="G145" s="49">
        <f>IFERROR(__xludf.DUMMYFUNCTION("IFERROR(
  VLOOKUP(
    A145,
    IMPORTRANGE(
      ""1ZHMy3vVUd_0MrSduXTe1etBb1HNpAlGwQr006ljwMiM"",
      ""GSC最新!A:F""
    ),
    3,
    FALSE
  ),
  0
)
"),0.0)</f>
        <v>0</v>
      </c>
      <c r="H145" s="49">
        <f>IFERROR(__xludf.DUMMYFUNCTION("IFERROR(
  VLOOKUP(
    A145,
    IMPORTRANGE(
      ""1ZHMy3vVUd_0MrSduXTe1etBb1HNpAlGwQr006ljwMiM"",
      ""GSC最新!A:F""
    ),
    4,
    FALSE
  ),
  0
)
"),0.0)</f>
        <v>0</v>
      </c>
      <c r="I145" s="49">
        <f>IFERROR(__xludf.DUMMYFUNCTION("IFERROR(
  VLOOKUP(
    A145,
    IMPORTRANGE(
      ""1ZHMy3vVUd_0MrSduXTe1etBb1HNpAlGwQr006ljwMiM"",
      ""GSC最新!A:F""
    ),
    5,
    FALSE
  ),
  0
)
"),0.0)</f>
        <v>0</v>
      </c>
      <c r="J145" s="50" t="str">
        <f t="shared" ref="J145:K145" si="716">IFERROR(F145/H145,"-")</f>
        <v>-</v>
      </c>
      <c r="K145" s="50" t="str">
        <f t="shared" si="716"/>
        <v>-</v>
      </c>
      <c r="L145" s="6">
        <f>IFERROR(__xludf.DUMMYFUNCTION("IFERROR(
  VLOOKUP(
    A145,
    IMPORTRANGE(
      ""1ZHMy3vVUd_0MrSduXTe1etBb1HNpAlGwQr006ljwMiM"",
      ""GSC最新!A:R""
    ),
    7,
    FALSE
  ),
  0
)
"),0.0)</f>
        <v>0</v>
      </c>
      <c r="M145" s="6">
        <f>IFERROR(__xludf.DUMMYFUNCTION("IFERROR(
  VLOOKUP(
    A145,
    IMPORTRANGE(
      ""1ZHMy3vVUd_0MrSduXTe1etBb1HNpAlGwQr006ljwMiM"",
      ""GSC最新!A:R""
    ),
    10,
    FALSE
  ),
  0
)
"),0.0)</f>
        <v>0</v>
      </c>
      <c r="N145" s="6">
        <f>IFERROR(__xludf.DUMMYFUNCTION("IFERROR(
  VLOOKUP(
    A145,
    IMPORTRANGE(
      ""1ZHMy3vVUd_0MrSduXTe1etBb1HNpAlGwQr006ljwMiM"",
      ""GSC最新!A:R""
    ),
    13,
    FALSE
  ),
  0
)
"),0.0)</f>
        <v>0</v>
      </c>
      <c r="O145" s="6">
        <f>IFERROR(__xludf.DUMMYFUNCTION("IFERROR(
  VLOOKUP(
    A145,
    IMPORTRANGE(
      ""1ZHMy3vVUd_0MrSduXTe1etBb1HNpAlGwQr006ljwMiM"",
      ""GSC最新!A:R""
    ),
    16,
    FALSE
  ),
  0
)
"),8.0)</f>
        <v>8</v>
      </c>
      <c r="P145" s="51" t="str">
        <f t="shared" ref="P145:Q145" si="717">IFERROR(L145/N145,"-")</f>
        <v>-</v>
      </c>
      <c r="Q145" s="51">
        <f t="shared" si="717"/>
        <v>0</v>
      </c>
      <c r="R145" s="9">
        <f>IFERROR(__xludf.DUMMYFUNCTION("IFERROR(
  VLOOKUP(
    A145,
    IMPORTRANGE(
      ""1ZHMy3vVUd_0MrSduXTe1etBb1HNpAlGwQr006ljwMiM"",
      ""GSC最新!A:R""
    ),
    8,
    FALSE
  ),
  0
)
"),0.0)</f>
        <v>0</v>
      </c>
      <c r="S145" s="9">
        <f>IFERROR(__xludf.DUMMYFUNCTION("IFERROR(
  VLOOKUP(
    A145,
    IMPORTRANGE(
      ""1ZHMy3vVUd_0MrSduXTe1etBb1HNpAlGwQr006ljwMiM"",
      ""GSC最新!A:R""
    ),
    11,
    FALSE
  ),
  0
)
"),0.0)</f>
        <v>0</v>
      </c>
      <c r="T145" s="9">
        <f>IFERROR(__xludf.DUMMYFUNCTION("IFERROR(
  VLOOKUP(
    A145,
    IMPORTRANGE(
      ""1ZHMy3vVUd_0MrSduXTe1etBb1HNpAlGwQr006ljwMiM"",
      ""GSC最新!A:R""
    ),
    14,
    FALSE
  ),
  0
)
"),0.0)</f>
        <v>0</v>
      </c>
      <c r="U145" s="9">
        <f>IFERROR(__xludf.DUMMYFUNCTION("IFERROR(
  VLOOKUP(
    A145,
    IMPORTRANGE(
      ""1ZHMy3vVUd_0MrSduXTe1etBb1HNpAlGwQr006ljwMiM"",
      ""GSC最新!A:R""
    ),
    17,
    FALSE
  ),
  0
)
"),0.0)</f>
        <v>0</v>
      </c>
      <c r="V145" s="9">
        <f t="shared" ref="V145:W145" si="718">IFERROR(R145-T145,"-")</f>
        <v>0</v>
      </c>
      <c r="W145" s="9">
        <f t="shared" si="718"/>
        <v>0</v>
      </c>
      <c r="X145" s="65" t="str">
        <f>IFERROR(__xludf.DUMMYFUNCTION("IFERROR(
  VLOOKUP(
    A145,
    IMPORTRANGE(
      ""1ZHMy3vVUd_0MrSduXTe1etBb1HNpAlGwQr006ljwMiM"",
      ""GSC最新!A:R""
    ),
    9,
    FALSE
  ),
  0
)
"),"")</f>
        <v/>
      </c>
      <c r="Y145" s="65" t="str">
        <f>IFERROR(__xludf.DUMMYFUNCTION("IFERROR(
  VLOOKUP(
    A145,
    IMPORTRANGE(
      ""1ZHMy3vVUd_0MrSduXTe1etBb1HNpAlGwQr006ljwMiM"",
      ""GSC最新!A:R""
    ),
    12,
    FALSE
  ),
  0
)
"),"")</f>
        <v/>
      </c>
      <c r="Z145" s="65" t="str">
        <f>IFERROR(__xludf.DUMMYFUNCTION("IFERROR(
  VLOOKUP(
    A145,
    IMPORTRANGE(
      ""1ZHMy3vVUd_0MrSduXTe1etBb1HNpAlGwQr006ljwMiM"",
      ""GSC最新!A:R""
    ),
    15,
    FALSE
  ),
  0
)
"),"")</f>
        <v/>
      </c>
      <c r="AA145" s="65">
        <f>IFERROR(__xludf.DUMMYFUNCTION("IFERROR(
  VLOOKUP(
    A145,
    IMPORTRANGE(
      ""1ZHMy3vVUd_0MrSduXTe1etBb1HNpAlGwQr006ljwMiM"",
      ""GSC最新!A:R""
    ),
    18,
    FALSE
  ),
  0
)
"),42.625)</f>
        <v>42.625</v>
      </c>
      <c r="AB145" s="65">
        <f t="shared" ref="AB145:AC145" si="719">X145-Z145</f>
        <v>0</v>
      </c>
      <c r="AC145" s="65">
        <f t="shared" si="719"/>
        <v>-42.625</v>
      </c>
      <c r="AD145" s="53">
        <f>IFERROR(__xludf.DUMMYFUNCTION("IFERROR(
  VLOOKUP(
    A145,
    IMPORTRANGE(
      ""1ZHMy3vVUd_0MrSduXTe1etBb1HNpAlGwQr006ljwMiM"",
      ""GSC最新!A:F""
    ),
    6,
    FALSE
  ),
  0
)
"),46081.0)</f>
        <v>46081</v>
      </c>
      <c r="AE145" s="54">
        <f>IFERROR(__xludf.DUMMYFUNCTION("IFERROR(
  VLOOKUP(
    A145,
    IMPORTRANGE(
      ""1SCYQd7_cobOYqT0r_F0IqD4tE4rYn5y8Eup4PJTH8es"",
      ""Snapshot!A:M""
    ),
    5,
    FALSE
  ),
  ""-""
)
"),0.0)</f>
        <v>0</v>
      </c>
      <c r="AF145" s="54">
        <f>IFERROR(__xludf.DUMMYFUNCTION("IFERROR(
  VLOOKUP(
    A145,
    IMPORTRANGE(
      ""1SCYQd7_cobOYqT0r_F0IqD4tE4rYn5y8Eup4PJTH8es"",
      ""Snapshot!A:M""
    ),
    6,
    FALSE
  ),
  0
)
"),0.0)</f>
        <v>0</v>
      </c>
      <c r="AG145" s="54">
        <f>IFERROR(__xludf.DUMMYFUNCTION("IFERROR(
  VLOOKUP(
    A145,
    IMPORTRANGE(
      ""1SCYQd7_cobOYqT0r_F0IqD4tE4rYn5y8Eup4PJTH8es"",
      ""Snapshot!A:M""
    ),
    7,
    FALSE
  ),
  0
)
"),680.0)</f>
        <v>680</v>
      </c>
      <c r="AH145" s="54">
        <f>IFERROR(__xludf.DUMMYFUNCTION("IFERROR(
  VLOOKUP(
    A145,
    IMPORTRANGE(
      ""1SCYQd7_cobOYqT0r_F0IqD4tE4rYn5y8Eup4PJTH8es"",
      ""Snapshot!A:M""
    ),
    8,
    FALSE
  ),
  0
)
"),1.0)</f>
        <v>1</v>
      </c>
      <c r="AI145" s="54">
        <f>IFERROR(__xludf.DUMMYFUNCTION("IFERROR(
  VLOOKUP(
    A145,
    IMPORTRANGE(
      ""1SCYQd7_cobOYqT0r_F0IqD4tE4rYn5y8Eup4PJTH8es"",
      ""Snapshot!A:M""
    ),
    9,
    FALSE
  ),
  0
)
"),1.0)</f>
        <v>1</v>
      </c>
      <c r="AJ145" s="54">
        <f>IFERROR(__xludf.DUMMYFUNCTION("IFERROR(
  VLOOKUP(
    A145,
    IMPORTRANGE(
      ""1SCYQd7_cobOYqT0r_F0IqD4tE4rYn5y8Eup4PJTH8es"",
      ""Snapshot!A:M""
    ),
    13,
    FALSE
  ),
  0
)
"),1.0)</f>
        <v>1</v>
      </c>
      <c r="AK145" s="49">
        <f t="shared" ref="AK145:AL145" si="720">LEN(C145)</f>
        <v>42</v>
      </c>
      <c r="AL145" s="49">
        <f t="shared" si="720"/>
        <v>55</v>
      </c>
    </row>
    <row r="146">
      <c r="A146" s="3" t="s">
        <v>1078</v>
      </c>
      <c r="B146" s="1" t="str">
        <f>IFERROR(__xludf.DUMMYFUNCTION("IFERROR(
  VLOOKUP(
    A146,
    IMPORTRANGE(
      ""1ZygntHC1J6IxzKbTidmOyf5nUyW4GCLurHCjexrLm_o"",
      ""HTMLキャッシュ!A:F""
    ),
    2,
    FALSE
  ),
  0
)
"),"NW")</f>
        <v>NW</v>
      </c>
      <c r="C146" s="1" t="str">
        <f>IFERROR(__xludf.DUMMYFUNCTION("IFERROR(
  VLOOKUP(
    A146,
    IMPORTRANGE(
      ""1ZygntHC1J6IxzKbTidmOyf5nUyW4GCLurHCjexrLm_o"",
      ""HTMLキャッシュ!A:F""
    ),
    5,
    FALSE
  ),
  0
)
"),"2021年度夏期講習開催のお知らせ - 受験英語専門ゼミ「Re-Write」(リライト)")</f>
        <v>2021年度夏期講習開催のお知らせ - 受験英語専門ゼミ「Re-Write」(リライト)</v>
      </c>
      <c r="D146" s="1" t="str">
        <f>IFERROR(__xludf.DUMMYFUNCTION("IFERROR(
  VLOOKUP(
    A146,
    IMPORTRANGE(
      ""1ZygntHC1J6IxzKbTidmOyf5nUyW4GCLurHCjexrLm_o        "",
      ""HTMLキャッシュ!A:F""
    ),
    6,
    FALSE
  ),
  0
)
"),"夏休みを目前に控え、弊塾では夏期講習会を実施させて頂く運びとなりました。 現在当塾に通塾されてい")</f>
        <v>夏休みを目前に控え、弊塾では夏期講習会を実施させて頂く運びとなりました。 現在当塾に通塾されてい</v>
      </c>
      <c r="E146" s="32">
        <f>IFERROR(__xludf.DUMMYFUNCTION("IFERROR(
  VLOOKUP(
    A146,
    IMPORTRANGE(
      ""1ZygntHC1J6IxzKbTidmOyf5nUyW4GCLurHCjexrLm_o        "",
      ""HTMLキャッシュ!A:F""
    ),
    3,
    FALSE
  ),
  0
)
"),44384.649930555555)</f>
        <v>44384.64993</v>
      </c>
      <c r="F146" s="49">
        <f>IFERROR(__xludf.DUMMYFUNCTION("IFERROR(
  VLOOKUP(
    A146,
    IMPORTRANGE(
      ""1ZHMy3vVUd_0MrSduXTe1etBb1HNpAlGwQr006ljwMiM"",
      ""GSC最新!A:F""
    ),
    2,
    FALSE
  ),
  0
)
"),0.0)</f>
        <v>0</v>
      </c>
      <c r="G146" s="49">
        <f>IFERROR(__xludf.DUMMYFUNCTION("IFERROR(
  VLOOKUP(
    A146,
    IMPORTRANGE(
      ""1ZHMy3vVUd_0MrSduXTe1etBb1HNpAlGwQr006ljwMiM"",
      ""GSC最新!A:F""
    ),
    3,
    FALSE
  ),
  0
)
"),0.0)</f>
        <v>0</v>
      </c>
      <c r="H146" s="49">
        <f>IFERROR(__xludf.DUMMYFUNCTION("IFERROR(
  VLOOKUP(
    A146,
    IMPORTRANGE(
      ""1ZHMy3vVUd_0MrSduXTe1etBb1HNpAlGwQr006ljwMiM"",
      ""GSC最新!A:F""
    ),
    4,
    FALSE
  ),
  0
)
"),0.0)</f>
        <v>0</v>
      </c>
      <c r="I146" s="49">
        <f>IFERROR(__xludf.DUMMYFUNCTION("IFERROR(
  VLOOKUP(
    A146,
    IMPORTRANGE(
      ""1ZHMy3vVUd_0MrSduXTe1etBb1HNpAlGwQr006ljwMiM"",
      ""GSC最新!A:F""
    ),
    5,
    FALSE
  ),
  0
)
"),0.0)</f>
        <v>0</v>
      </c>
      <c r="J146" s="50" t="str">
        <f t="shared" ref="J146:K146" si="721">IFERROR(F146/H146,"-")</f>
        <v>-</v>
      </c>
      <c r="K146" s="50" t="str">
        <f t="shared" si="721"/>
        <v>-</v>
      </c>
      <c r="L146" s="6">
        <f>IFERROR(__xludf.DUMMYFUNCTION("IFERROR(
  VLOOKUP(
    A146,
    IMPORTRANGE(
      ""1ZHMy3vVUd_0MrSduXTe1etBb1HNpAlGwQr006ljwMiM"",
      ""GSC最新!A:R""
    ),
    7,
    FALSE
  ),
  0
)
"),0.0)</f>
        <v>0</v>
      </c>
      <c r="M146" s="6">
        <f>IFERROR(__xludf.DUMMYFUNCTION("IFERROR(
  VLOOKUP(
    A146,
    IMPORTRANGE(
      ""1ZHMy3vVUd_0MrSduXTe1etBb1HNpAlGwQr006ljwMiM"",
      ""GSC最新!A:R""
    ),
    10,
    FALSE
  ),
  0
)
"),0.0)</f>
        <v>0</v>
      </c>
      <c r="N146" s="6">
        <f>IFERROR(__xludf.DUMMYFUNCTION("IFERROR(
  VLOOKUP(
    A146,
    IMPORTRANGE(
      ""1ZHMy3vVUd_0MrSduXTe1etBb1HNpAlGwQr006ljwMiM"",
      ""GSC最新!A:R""
    ),
    13,
    FALSE
  ),
  0
)
"),0.0)</f>
        <v>0</v>
      </c>
      <c r="O146" s="6">
        <f>IFERROR(__xludf.DUMMYFUNCTION("IFERROR(
  VLOOKUP(
    A146,
    IMPORTRANGE(
      ""1ZHMy3vVUd_0MrSduXTe1etBb1HNpAlGwQr006ljwMiM"",
      ""GSC最新!A:R""
    ),
    16,
    FALSE
  ),
  0
)
"),0.0)</f>
        <v>0</v>
      </c>
      <c r="P146" s="51" t="str">
        <f t="shared" ref="P146:Q146" si="722">IFERROR(L146/N146,"-")</f>
        <v>-</v>
      </c>
      <c r="Q146" s="51" t="str">
        <f t="shared" si="722"/>
        <v>-</v>
      </c>
      <c r="R146" s="9">
        <f>IFERROR(__xludf.DUMMYFUNCTION("IFERROR(
  VLOOKUP(
    A146,
    IMPORTRANGE(
      ""1ZHMy3vVUd_0MrSduXTe1etBb1HNpAlGwQr006ljwMiM"",
      ""GSC最新!A:R""
    ),
    8,
    FALSE
  ),
  0
)
"),0.0)</f>
        <v>0</v>
      </c>
      <c r="S146" s="9">
        <f>IFERROR(__xludf.DUMMYFUNCTION("IFERROR(
  VLOOKUP(
    A146,
    IMPORTRANGE(
      ""1ZHMy3vVUd_0MrSduXTe1etBb1HNpAlGwQr006ljwMiM"",
      ""GSC最新!A:R""
    ),
    11,
    FALSE
  ),
  0
)
"),0.0)</f>
        <v>0</v>
      </c>
      <c r="T146" s="9">
        <f>IFERROR(__xludf.DUMMYFUNCTION("IFERROR(
  VLOOKUP(
    A146,
    IMPORTRANGE(
      ""1ZHMy3vVUd_0MrSduXTe1etBb1HNpAlGwQr006ljwMiM"",
      ""GSC最新!A:R""
    ),
    14,
    FALSE
  ),
  0
)
"),0.0)</f>
        <v>0</v>
      </c>
      <c r="U146" s="9">
        <f>IFERROR(__xludf.DUMMYFUNCTION("IFERROR(
  VLOOKUP(
    A146,
    IMPORTRANGE(
      ""1ZHMy3vVUd_0MrSduXTe1etBb1HNpAlGwQr006ljwMiM"",
      ""GSC最新!A:R""
    ),
    17,
    FALSE
  ),
  0
)
"),0.0)</f>
        <v>0</v>
      </c>
      <c r="V146" s="9">
        <f t="shared" ref="V146:W146" si="723">IFERROR(R146-T146,"-")</f>
        <v>0</v>
      </c>
      <c r="W146" s="9">
        <f t="shared" si="723"/>
        <v>0</v>
      </c>
      <c r="X146" s="65" t="str">
        <f>IFERROR(__xludf.DUMMYFUNCTION("IFERROR(
  VLOOKUP(
    A146,
    IMPORTRANGE(
      ""1ZHMy3vVUd_0MrSduXTe1etBb1HNpAlGwQr006ljwMiM"",
      ""GSC最新!A:R""
    ),
    9,
    FALSE
  ),
  0
)
"),"")</f>
        <v/>
      </c>
      <c r="Y146" s="65" t="str">
        <f>IFERROR(__xludf.DUMMYFUNCTION("IFERROR(
  VLOOKUP(
    A146,
    IMPORTRANGE(
      ""1ZHMy3vVUd_0MrSduXTe1etBb1HNpAlGwQr006ljwMiM"",
      ""GSC最新!A:R""
    ),
    12,
    FALSE
  ),
  0
)
"),"")</f>
        <v/>
      </c>
      <c r="Z146" s="65" t="str">
        <f>IFERROR(__xludf.DUMMYFUNCTION("IFERROR(
  VLOOKUP(
    A146,
    IMPORTRANGE(
      ""1ZHMy3vVUd_0MrSduXTe1etBb1HNpAlGwQr006ljwMiM"",
      ""GSC最新!A:R""
    ),
    15,
    FALSE
  ),
  0
)
"),"")</f>
        <v/>
      </c>
      <c r="AA146" s="65" t="str">
        <f>IFERROR(__xludf.DUMMYFUNCTION("IFERROR(
  VLOOKUP(
    A146,
    IMPORTRANGE(
      ""1ZHMy3vVUd_0MrSduXTe1etBb1HNpAlGwQr006ljwMiM"",
      ""GSC最新!A:R""
    ),
    18,
    FALSE
  ),
  0
)
"),"")</f>
        <v/>
      </c>
      <c r="AB146" s="65">
        <f t="shared" ref="AB146:AC146" si="724">X146-Z146</f>
        <v>0</v>
      </c>
      <c r="AC146" s="65">
        <f t="shared" si="724"/>
        <v>0</v>
      </c>
      <c r="AD146" s="53">
        <f>IFERROR(__xludf.DUMMYFUNCTION("IFERROR(
  VLOOKUP(
    A146,
    IMPORTRANGE(
      ""1ZHMy3vVUd_0MrSduXTe1etBb1HNpAlGwQr006ljwMiM"",
      ""GSC最新!A:F""
    ),
    6,
    FALSE
  ),
  0
)
"),46081.0)</f>
        <v>46081</v>
      </c>
      <c r="AE146" s="54">
        <f>IFERROR(__xludf.DUMMYFUNCTION("IFERROR(
  VLOOKUP(
    A146,
    IMPORTRANGE(
      ""1SCYQd7_cobOYqT0r_F0IqD4tE4rYn5y8Eup4PJTH8es"",
      ""Snapshot!A:M""
    ),
    5,
    FALSE
  ),
  ""-""
)
"),0.0)</f>
        <v>0</v>
      </c>
      <c r="AF146" s="54">
        <f>IFERROR(__xludf.DUMMYFUNCTION("IFERROR(
  VLOOKUP(
    A146,
    IMPORTRANGE(
      ""1SCYQd7_cobOYqT0r_F0IqD4tE4rYn5y8Eup4PJTH8es"",
      ""Snapshot!A:M""
    ),
    6,
    FALSE
  ),
  0
)
"),0.0)</f>
        <v>0</v>
      </c>
      <c r="AG146" s="54">
        <f>IFERROR(__xludf.DUMMYFUNCTION("IFERROR(
  VLOOKUP(
    A146,
    IMPORTRANGE(
      ""1SCYQd7_cobOYqT0r_F0IqD4tE4rYn5y8Eup4PJTH8es"",
      ""Snapshot!A:M""
    ),
    7,
    FALSE
  ),
  0
)
"),719.0)</f>
        <v>719</v>
      </c>
      <c r="AH146" s="54">
        <f>IFERROR(__xludf.DUMMYFUNCTION("IFERROR(
  VLOOKUP(
    A146,
    IMPORTRANGE(
      ""1SCYQd7_cobOYqT0r_F0IqD4tE4rYn5y8Eup4PJTH8es"",
      ""Snapshot!A:M""
    ),
    8,
    FALSE
  ),
  0
)
"),1.0)</f>
        <v>1</v>
      </c>
      <c r="AI146" s="54">
        <f>IFERROR(__xludf.DUMMYFUNCTION("IFERROR(
  VLOOKUP(
    A146,
    IMPORTRANGE(
      ""1SCYQd7_cobOYqT0r_F0IqD4tE4rYn5y8Eup4PJTH8es"",
      ""Snapshot!A:M""
    ),
    9,
    FALSE
  ),
  0
)
"),1.0)</f>
        <v>1</v>
      </c>
      <c r="AJ146" s="54">
        <f>IFERROR(__xludf.DUMMYFUNCTION("IFERROR(
  VLOOKUP(
    A146,
    IMPORTRANGE(
      ""1SCYQd7_cobOYqT0r_F0IqD4tE4rYn5y8Eup4PJTH8es"",
      ""Snapshot!A:M""
    ),
    13,
    FALSE
  ),
  0
)
"),1.0)</f>
        <v>1</v>
      </c>
      <c r="AK146" s="49">
        <f t="shared" ref="AK146:AL146" si="725">LEN(C146)</f>
        <v>44</v>
      </c>
      <c r="AL146" s="49">
        <f t="shared" si="725"/>
        <v>48</v>
      </c>
    </row>
    <row r="147">
      <c r="A147" s="3" t="s">
        <v>1079</v>
      </c>
      <c r="B147" s="1" t="str">
        <f>IFERROR(__xludf.DUMMYFUNCTION("IFERROR(
  VLOOKUP(
    A147,
    IMPORTRANGE(
      ""1ZygntHC1J6IxzKbTidmOyf5nUyW4GCLurHCjexrLm_o"",
      ""HTMLキャッシュ!A:F""
    ),
    2,
    FALSE
  ),
  0
)
"),"NW")</f>
        <v>NW</v>
      </c>
      <c r="C147" s="1" t="str">
        <f>IFERROR(__xludf.DUMMYFUNCTION("IFERROR(
  VLOOKUP(
    A147,
    IMPORTRANGE(
      ""1ZygntHC1J6IxzKbTidmOyf5nUyW4GCLurHCjexrLm_o"",
      ""HTMLキャッシュ!A:F""
    ),
    5,
    FALSE
  ),
  0
)
"),"「早稲田大突破セミナー」が11月3日(火)に開催されます！ - 受験英語専門ゼミ「Re-Write」(リライト)")</f>
        <v>「早稲田大突破セミナー」が11月3日(火)に開催されます！ - 受験英語専門ゼミ「Re-Write」(リライト)</v>
      </c>
      <c r="D147" s="1" t="str">
        <f>IFERROR(__xludf.DUMMYFUNCTION("IFERROR(
  VLOOKUP(
    A147,
    IMPORTRANGE(
      ""1ZygntHC1J6IxzKbTidmOyf5nUyW4GCLurHCjexrLm_o        "",
      ""HTMLキャッシュ!A:F""
    ),
    6,
    FALSE
  ),
  0
)
"),"早稲田大突破セミナー開催のお知らせ 中高一貫校専門塾エスコットにて、11月3日(火)に、「早稲田大突破セミナー")</f>
        <v>早稲田大突破セミナー開催のお知らせ 中高一貫校専門塾エスコットにて、11月3日(火)に、「早稲田大突破セミナー</v>
      </c>
      <c r="E147" s="32">
        <f>IFERROR(__xludf.DUMMYFUNCTION("IFERROR(
  VLOOKUP(
    A147,
    IMPORTRANGE(
      ""1ZygntHC1J6IxzKbTidmOyf5nUyW4GCLurHCjexrLm_o        "",
      ""HTMLキャッシュ!A:F""
    ),
    3,
    FALSE
  ),
  0
)
"),44126.536412037036)</f>
        <v>44126.53641</v>
      </c>
      <c r="F147" s="49">
        <f>IFERROR(__xludf.DUMMYFUNCTION("IFERROR(
  VLOOKUP(
    A147,
    IMPORTRANGE(
      ""1ZHMy3vVUd_0MrSduXTe1etBb1HNpAlGwQr006ljwMiM"",
      ""GSC最新!A:F""
    ),
    2,
    FALSE
  ),
  0
)
"),0.0)</f>
        <v>0</v>
      </c>
      <c r="G147" s="49">
        <f>IFERROR(__xludf.DUMMYFUNCTION("IFERROR(
  VLOOKUP(
    A147,
    IMPORTRANGE(
      ""1ZHMy3vVUd_0MrSduXTe1etBb1HNpAlGwQr006ljwMiM"",
      ""GSC最新!A:F""
    ),
    3,
    FALSE
  ),
  0
)
"),0.0)</f>
        <v>0</v>
      </c>
      <c r="H147" s="49">
        <f>IFERROR(__xludf.DUMMYFUNCTION("IFERROR(
  VLOOKUP(
    A147,
    IMPORTRANGE(
      ""1ZHMy3vVUd_0MrSduXTe1etBb1HNpAlGwQr006ljwMiM"",
      ""GSC最新!A:F""
    ),
    4,
    FALSE
  ),
  0
)
"),0.0)</f>
        <v>0</v>
      </c>
      <c r="I147" s="49">
        <f>IFERROR(__xludf.DUMMYFUNCTION("IFERROR(
  VLOOKUP(
    A147,
    IMPORTRANGE(
      ""1ZHMy3vVUd_0MrSduXTe1etBb1HNpAlGwQr006ljwMiM"",
      ""GSC最新!A:F""
    ),
    5,
    FALSE
  ),
  0
)
"),0.0)</f>
        <v>0</v>
      </c>
      <c r="J147" s="50" t="str">
        <f t="shared" ref="J147:K147" si="726">IFERROR(F147/H147,"-")</f>
        <v>-</v>
      </c>
      <c r="K147" s="50" t="str">
        <f t="shared" si="726"/>
        <v>-</v>
      </c>
      <c r="L147" s="6">
        <f>IFERROR(__xludf.DUMMYFUNCTION("IFERROR(
  VLOOKUP(
    A147,
    IMPORTRANGE(
      ""1ZHMy3vVUd_0MrSduXTe1etBb1HNpAlGwQr006ljwMiM"",
      ""GSC最新!A:R""
    ),
    7,
    FALSE
  ),
  0
)
"),0.0)</f>
        <v>0</v>
      </c>
      <c r="M147" s="6">
        <f>IFERROR(__xludf.DUMMYFUNCTION("IFERROR(
  VLOOKUP(
    A147,
    IMPORTRANGE(
      ""1ZHMy3vVUd_0MrSduXTe1etBb1HNpAlGwQr006ljwMiM"",
      ""GSC最新!A:R""
    ),
    10,
    FALSE
  ),
  0
)
"),0.0)</f>
        <v>0</v>
      </c>
      <c r="N147" s="6">
        <f>IFERROR(__xludf.DUMMYFUNCTION("IFERROR(
  VLOOKUP(
    A147,
    IMPORTRANGE(
      ""1ZHMy3vVUd_0MrSduXTe1etBb1HNpAlGwQr006ljwMiM"",
      ""GSC最新!A:R""
    ),
    13,
    FALSE
  ),
  0
)
"),0.0)</f>
        <v>0</v>
      </c>
      <c r="O147" s="6">
        <f>IFERROR(__xludf.DUMMYFUNCTION("IFERROR(
  VLOOKUP(
    A147,
    IMPORTRANGE(
      ""1ZHMy3vVUd_0MrSduXTe1etBb1HNpAlGwQr006ljwMiM"",
      ""GSC最新!A:R""
    ),
    16,
    FALSE
  ),
  0
)
"),0.0)</f>
        <v>0</v>
      </c>
      <c r="P147" s="51" t="str">
        <f t="shared" ref="P147:Q147" si="727">IFERROR(L147/N147,"-")</f>
        <v>-</v>
      </c>
      <c r="Q147" s="51" t="str">
        <f t="shared" si="727"/>
        <v>-</v>
      </c>
      <c r="R147" s="9">
        <f>IFERROR(__xludf.DUMMYFUNCTION("IFERROR(
  VLOOKUP(
    A147,
    IMPORTRANGE(
      ""1ZHMy3vVUd_0MrSduXTe1etBb1HNpAlGwQr006ljwMiM"",
      ""GSC最新!A:R""
    ),
    8,
    FALSE
  ),
  0
)
"),0.0)</f>
        <v>0</v>
      </c>
      <c r="S147" s="9">
        <f>IFERROR(__xludf.DUMMYFUNCTION("IFERROR(
  VLOOKUP(
    A147,
    IMPORTRANGE(
      ""1ZHMy3vVUd_0MrSduXTe1etBb1HNpAlGwQr006ljwMiM"",
      ""GSC最新!A:R""
    ),
    11,
    FALSE
  ),
  0
)
"),0.0)</f>
        <v>0</v>
      </c>
      <c r="T147" s="9">
        <f>IFERROR(__xludf.DUMMYFUNCTION("IFERROR(
  VLOOKUP(
    A147,
    IMPORTRANGE(
      ""1ZHMy3vVUd_0MrSduXTe1etBb1HNpAlGwQr006ljwMiM"",
      ""GSC最新!A:R""
    ),
    14,
    FALSE
  ),
  0
)
"),0.0)</f>
        <v>0</v>
      </c>
      <c r="U147" s="9">
        <f>IFERROR(__xludf.DUMMYFUNCTION("IFERROR(
  VLOOKUP(
    A147,
    IMPORTRANGE(
      ""1ZHMy3vVUd_0MrSduXTe1etBb1HNpAlGwQr006ljwMiM"",
      ""GSC最新!A:R""
    ),
    17,
    FALSE
  ),
  0
)
"),0.0)</f>
        <v>0</v>
      </c>
      <c r="V147" s="9">
        <f t="shared" ref="V147:W147" si="728">IFERROR(R147-T147,"-")</f>
        <v>0</v>
      </c>
      <c r="W147" s="9">
        <f t="shared" si="728"/>
        <v>0</v>
      </c>
      <c r="X147" s="65" t="str">
        <f>IFERROR(__xludf.DUMMYFUNCTION("IFERROR(
  VLOOKUP(
    A147,
    IMPORTRANGE(
      ""1ZHMy3vVUd_0MrSduXTe1etBb1HNpAlGwQr006ljwMiM"",
      ""GSC最新!A:R""
    ),
    9,
    FALSE
  ),
  0
)
"),"")</f>
        <v/>
      </c>
      <c r="Y147" s="65" t="str">
        <f>IFERROR(__xludf.DUMMYFUNCTION("IFERROR(
  VLOOKUP(
    A147,
    IMPORTRANGE(
      ""1ZHMy3vVUd_0MrSduXTe1etBb1HNpAlGwQr006ljwMiM"",
      ""GSC最新!A:R""
    ),
    12,
    FALSE
  ),
  0
)
"),"")</f>
        <v/>
      </c>
      <c r="Z147" s="65" t="str">
        <f>IFERROR(__xludf.DUMMYFUNCTION("IFERROR(
  VLOOKUP(
    A147,
    IMPORTRANGE(
      ""1ZHMy3vVUd_0MrSduXTe1etBb1HNpAlGwQr006ljwMiM"",
      ""GSC最新!A:R""
    ),
    15,
    FALSE
  ),
  0
)
"),"")</f>
        <v/>
      </c>
      <c r="AA147" s="65" t="str">
        <f>IFERROR(__xludf.DUMMYFUNCTION("IFERROR(
  VLOOKUP(
    A147,
    IMPORTRANGE(
      ""1ZHMy3vVUd_0MrSduXTe1etBb1HNpAlGwQr006ljwMiM"",
      ""GSC最新!A:R""
    ),
    18,
    FALSE
  ),
  0
)
"),"")</f>
        <v/>
      </c>
      <c r="AB147" s="65">
        <f t="shared" ref="AB147:AC147" si="729">X147-Z147</f>
        <v>0</v>
      </c>
      <c r="AC147" s="65">
        <f t="shared" si="729"/>
        <v>0</v>
      </c>
      <c r="AD147" s="53">
        <f>IFERROR(__xludf.DUMMYFUNCTION("IFERROR(
  VLOOKUP(
    A147,
    IMPORTRANGE(
      ""1ZHMy3vVUd_0MrSduXTe1etBb1HNpAlGwQr006ljwMiM"",
      ""GSC最新!A:F""
    ),
    6,
    FALSE
  ),
  0
)
"),46081.0)</f>
        <v>46081</v>
      </c>
      <c r="AE147" s="54">
        <f>IFERROR(__xludf.DUMMYFUNCTION("IFERROR(
  VLOOKUP(
    A147,
    IMPORTRANGE(
      ""1SCYQd7_cobOYqT0r_F0IqD4tE4rYn5y8Eup4PJTH8es"",
      ""Snapshot!A:M""
    ),
    5,
    FALSE
  ),
  ""-""
)
"),1.0)</f>
        <v>1</v>
      </c>
      <c r="AF147" s="54">
        <f>IFERROR(__xludf.DUMMYFUNCTION("IFERROR(
  VLOOKUP(
    A147,
    IMPORTRANGE(
      ""1SCYQd7_cobOYqT0r_F0IqD4tE4rYn5y8Eup4PJTH8es"",
      ""Snapshot!A:M""
    ),
    6,
    FALSE
  ),
  0
)
"),0.0)</f>
        <v>0</v>
      </c>
      <c r="AG147" s="54">
        <f>IFERROR(__xludf.DUMMYFUNCTION("IFERROR(
  VLOOKUP(
    A147,
    IMPORTRANGE(
      ""1SCYQd7_cobOYqT0r_F0IqD4tE4rYn5y8Eup4PJTH8es"",
      ""Snapshot!A:M""
    ),
    7,
    FALSE
  ),
  0
)
"),720.0)</f>
        <v>720</v>
      </c>
      <c r="AH147" s="54">
        <f>IFERROR(__xludf.DUMMYFUNCTION("IFERROR(
  VLOOKUP(
    A147,
    IMPORTRANGE(
      ""1SCYQd7_cobOYqT0r_F0IqD4tE4rYn5y8Eup4PJTH8es"",
      ""Snapshot!A:M""
    ),
    8,
    FALSE
  ),
  0
)
"),0.0)</f>
        <v>0</v>
      </c>
      <c r="AI147" s="54">
        <f>IFERROR(__xludf.DUMMYFUNCTION("IFERROR(
  VLOOKUP(
    A147,
    IMPORTRANGE(
      ""1SCYQd7_cobOYqT0r_F0IqD4tE4rYn5y8Eup4PJTH8es"",
      ""Snapshot!A:M""
    ),
    9,
    FALSE
  ),
  0
)
"),1.0)</f>
        <v>1</v>
      </c>
      <c r="AJ147" s="54">
        <f>IFERROR(__xludf.DUMMYFUNCTION("IFERROR(
  VLOOKUP(
    A147,
    IMPORTRANGE(
      ""1SCYQd7_cobOYqT0r_F0IqD4tE4rYn5y8Eup4PJTH8es"",
      ""Snapshot!A:M""
    ),
    13,
    FALSE
  ),
  0
)
"),1.0)</f>
        <v>1</v>
      </c>
      <c r="AK147" s="49">
        <f t="shared" ref="AK147:AL147" si="730">LEN(C147)</f>
        <v>56</v>
      </c>
      <c r="AL147" s="49">
        <f t="shared" si="730"/>
        <v>55</v>
      </c>
    </row>
    <row r="148">
      <c r="A148" s="3" t="s">
        <v>1080</v>
      </c>
      <c r="B148" s="1" t="str">
        <f>IFERROR(__xludf.DUMMYFUNCTION("IFERROR(
  VLOOKUP(
    A148,
    IMPORTRANGE(
      ""1ZygntHC1J6IxzKbTidmOyf5nUyW4GCLurHCjexrLm_o"",
      ""HTMLキャッシュ!A:F""
    ),
    2,
    FALSE
  ),
  0
)
"),"MC")</f>
        <v>MC</v>
      </c>
      <c r="C148" s="1" t="str">
        <f>IFERROR(__xludf.DUMMYFUNCTION("IFERROR(
  VLOOKUP(
    A148,
    IMPORTRANGE(
      ""1ZygntHC1J6IxzKbTidmOyf5nUyW4GCLurHCjexrLm_o"",
      ""HTMLキャッシュ!A:F""
    ),
    5,
    FALSE
  ),
  0
)
"),"高校受験対策！英語の時期別勉強スケジュール - 受験英語専門ゼミ「Re-Write」(リライト)")</f>
        <v>高校受験対策！英語の時期別勉強スケジュール - 受験英語専門ゼミ「Re-Write」(リライト)</v>
      </c>
      <c r="D148" s="1" t="str">
        <f>IFERROR(__xludf.DUMMYFUNCTION("IFERROR(
  VLOOKUP(
    A148,
    IMPORTRANGE(
      ""1ZygntHC1J6IxzKbTidmOyf5nUyW4GCLurHCjexrLm_o        "",
      ""HTMLキャッシュ!A:F""
    ),
    6,
    FALSE
  ),
  0
)
"),"高校受験 英語 学年・時期別 英語の受験勉強は「順番」と「継続」で決まる 受験勉強は、計画を立ててコツコツと継")</f>
        <v>高校受験 英語 学年・時期別 英語の受験勉強は「順番」と「継続」で決まる 受験勉強は、計画を立ててコツコツと継</v>
      </c>
      <c r="E148" s="32">
        <f>IFERROR(__xludf.DUMMYFUNCTION("IFERROR(
  VLOOKUP(
    A148,
    IMPORTRANGE(
      ""1ZygntHC1J6IxzKbTidmOyf5nUyW4GCLurHCjexrLm_o        "",
      ""HTMLキャッシュ!A:F""
    ),
    3,
    FALSE
  ),
  0
)
"),46084.62997685185)</f>
        <v>46084.62998</v>
      </c>
      <c r="F148" s="49">
        <f>IFERROR(__xludf.DUMMYFUNCTION("IFERROR(
  VLOOKUP(
    A148,
    IMPORTRANGE(
      ""1ZHMy3vVUd_0MrSduXTe1etBb1HNpAlGwQr006ljwMiM"",
      ""GSC最新!A:F""
    ),
    2,
    FALSE
  ),
  0
)
"),0.0)</f>
        <v>0</v>
      </c>
      <c r="G148" s="49">
        <f>IFERROR(__xludf.DUMMYFUNCTION("IFERROR(
  VLOOKUP(
    A148,
    IMPORTRANGE(
      ""1ZHMy3vVUd_0MrSduXTe1etBb1HNpAlGwQr006ljwMiM"",
      ""GSC最新!A:F""
    ),
    3,
    FALSE
  ),
  0
)
"),0.0)</f>
        <v>0</v>
      </c>
      <c r="H148" s="49">
        <f>IFERROR(__xludf.DUMMYFUNCTION("IFERROR(
  VLOOKUP(
    A148,
    IMPORTRANGE(
      ""1ZHMy3vVUd_0MrSduXTe1etBb1HNpAlGwQr006ljwMiM"",
      ""GSC最新!A:F""
    ),
    4,
    FALSE
  ),
  0
)
"),0.0)</f>
        <v>0</v>
      </c>
      <c r="I148" s="49">
        <f>IFERROR(__xludf.DUMMYFUNCTION("IFERROR(
  VLOOKUP(
    A148,
    IMPORTRANGE(
      ""1ZHMy3vVUd_0MrSduXTe1etBb1HNpAlGwQr006ljwMiM"",
      ""GSC最新!A:F""
    ),
    5,
    FALSE
  ),
  0
)
"),0.0)</f>
        <v>0</v>
      </c>
      <c r="J148" s="50" t="str">
        <f t="shared" ref="J148:K148" si="731">IFERROR(F148/H148,"-")</f>
        <v>-</v>
      </c>
      <c r="K148" s="50" t="str">
        <f t="shared" si="731"/>
        <v>-</v>
      </c>
      <c r="L148" s="6">
        <f>IFERROR(__xludf.DUMMYFUNCTION("IFERROR(
  VLOOKUP(
    A148,
    IMPORTRANGE(
      ""1ZHMy3vVUd_0MrSduXTe1etBb1HNpAlGwQr006ljwMiM"",
      ""GSC最新!A:R""
    ),
    7,
    FALSE
  ),
  0
)
"),0.0)</f>
        <v>0</v>
      </c>
      <c r="M148" s="6">
        <f>IFERROR(__xludf.DUMMYFUNCTION("IFERROR(
  VLOOKUP(
    A148,
    IMPORTRANGE(
      ""1ZHMy3vVUd_0MrSduXTe1etBb1HNpAlGwQr006ljwMiM"",
      ""GSC最新!A:R""
    ),
    10,
    FALSE
  ),
  0
)
"),0.0)</f>
        <v>0</v>
      </c>
      <c r="N148" s="6">
        <f>IFERROR(__xludf.DUMMYFUNCTION("IFERROR(
  VLOOKUP(
    A148,
    IMPORTRANGE(
      ""1ZHMy3vVUd_0MrSduXTe1etBb1HNpAlGwQr006ljwMiM"",
      ""GSC最新!A:R""
    ),
    13,
    FALSE
  ),
  0
)
"),0.0)</f>
        <v>0</v>
      </c>
      <c r="O148" s="6">
        <f>IFERROR(__xludf.DUMMYFUNCTION("IFERROR(
  VLOOKUP(
    A148,
    IMPORTRANGE(
      ""1ZHMy3vVUd_0MrSduXTe1etBb1HNpAlGwQr006ljwMiM"",
      ""GSC最新!A:R""
    ),
    16,
    FALSE
  ),
  0
)
"),0.0)</f>
        <v>0</v>
      </c>
      <c r="P148" s="51" t="str">
        <f t="shared" ref="P148:Q148" si="732">IFERROR(L148/N148,"-")</f>
        <v>-</v>
      </c>
      <c r="Q148" s="51" t="str">
        <f t="shared" si="732"/>
        <v>-</v>
      </c>
      <c r="R148" s="9">
        <f>IFERROR(__xludf.DUMMYFUNCTION("IFERROR(
  VLOOKUP(
    A148,
    IMPORTRANGE(
      ""1ZHMy3vVUd_0MrSduXTe1etBb1HNpAlGwQr006ljwMiM"",
      ""GSC最新!A:R""
    ),
    8,
    FALSE
  ),
  0
)
"),0.0)</f>
        <v>0</v>
      </c>
      <c r="S148" s="9">
        <f>IFERROR(__xludf.DUMMYFUNCTION("IFERROR(
  VLOOKUP(
    A148,
    IMPORTRANGE(
      ""1ZHMy3vVUd_0MrSduXTe1etBb1HNpAlGwQr006ljwMiM"",
      ""GSC最新!A:R""
    ),
    11,
    FALSE
  ),
  0
)
"),0.0)</f>
        <v>0</v>
      </c>
      <c r="T148" s="9">
        <f>IFERROR(__xludf.DUMMYFUNCTION("IFERROR(
  VLOOKUP(
    A148,
    IMPORTRANGE(
      ""1ZHMy3vVUd_0MrSduXTe1etBb1HNpAlGwQr006ljwMiM"",
      ""GSC最新!A:R""
    ),
    14,
    FALSE
  ),
  0
)
"),0.0)</f>
        <v>0</v>
      </c>
      <c r="U148" s="9">
        <f>IFERROR(__xludf.DUMMYFUNCTION("IFERROR(
  VLOOKUP(
    A148,
    IMPORTRANGE(
      ""1ZHMy3vVUd_0MrSduXTe1etBb1HNpAlGwQr006ljwMiM"",
      ""GSC最新!A:R""
    ),
    17,
    FALSE
  ),
  0
)
"),0.0)</f>
        <v>0</v>
      </c>
      <c r="V148" s="9">
        <f t="shared" ref="V148:W148" si="733">IFERROR(R148-T148,"-")</f>
        <v>0</v>
      </c>
      <c r="W148" s="9">
        <f t="shared" si="733"/>
        <v>0</v>
      </c>
      <c r="X148" s="65" t="str">
        <f>IFERROR(__xludf.DUMMYFUNCTION("IFERROR(
  VLOOKUP(
    A148,
    IMPORTRANGE(
      ""1ZHMy3vVUd_0MrSduXTe1etBb1HNpAlGwQr006ljwMiM"",
      ""GSC最新!A:R""
    ),
    9,
    FALSE
  ),
  0
)
"),"")</f>
        <v/>
      </c>
      <c r="Y148" s="65" t="str">
        <f>IFERROR(__xludf.DUMMYFUNCTION("IFERROR(
  VLOOKUP(
    A148,
    IMPORTRANGE(
      ""1ZHMy3vVUd_0MrSduXTe1etBb1HNpAlGwQr006ljwMiM"",
      ""GSC最新!A:R""
    ),
    12,
    FALSE
  ),
  0
)
"),"")</f>
        <v/>
      </c>
      <c r="Z148" s="65" t="str">
        <f>IFERROR(__xludf.DUMMYFUNCTION("IFERROR(
  VLOOKUP(
    A148,
    IMPORTRANGE(
      ""1ZHMy3vVUd_0MrSduXTe1etBb1HNpAlGwQr006ljwMiM"",
      ""GSC最新!A:R""
    ),
    15,
    FALSE
  ),
  0
)
"),"")</f>
        <v/>
      </c>
      <c r="AA148" s="65" t="str">
        <f>IFERROR(__xludf.DUMMYFUNCTION("IFERROR(
  VLOOKUP(
    A148,
    IMPORTRANGE(
      ""1ZHMy3vVUd_0MrSduXTe1etBb1HNpAlGwQr006ljwMiM"",
      ""GSC最新!A:R""
    ),
    18,
    FALSE
  ),
  0
)
"),"")</f>
        <v/>
      </c>
      <c r="AB148" s="65">
        <f t="shared" ref="AB148:AC148" si="734">X148-Z148</f>
        <v>0</v>
      </c>
      <c r="AC148" s="65">
        <f t="shared" si="734"/>
        <v>0</v>
      </c>
      <c r="AD148" s="53">
        <f>IFERROR(__xludf.DUMMYFUNCTION("IFERROR(
  VLOOKUP(
    A148,
    IMPORTRANGE(
      ""1ZHMy3vVUd_0MrSduXTe1etBb1HNpAlGwQr006ljwMiM"",
      ""GSC最新!A:F""
    ),
    6,
    FALSE
  ),
  0
)
"),46081.0)</f>
        <v>46081</v>
      </c>
      <c r="AE148" s="54">
        <f>IFERROR(__xludf.DUMMYFUNCTION("IFERROR(
  VLOOKUP(
    A148,
    IMPORTRANGE(
      ""1SCYQd7_cobOYqT0r_F0IqD4tE4rYn5y8Eup4PJTH8es"",
      ""Snapshot!A:M""
    ),
    5,
    FALSE
  ),
  ""-""
)
"),1.0)</f>
        <v>1</v>
      </c>
      <c r="AF148" s="54">
        <f>IFERROR(__xludf.DUMMYFUNCTION("IFERROR(
  VLOOKUP(
    A148,
    IMPORTRANGE(
      ""1SCYQd7_cobOYqT0r_F0IqD4tE4rYn5y8Eup4PJTH8es"",
      ""Snapshot!A:M""
    ),
    6,
    FALSE
  ),
  0
)
"),3.0)</f>
        <v>3</v>
      </c>
      <c r="AG148" s="54">
        <f>IFERROR(__xludf.DUMMYFUNCTION("IFERROR(
  VLOOKUP(
    A148,
    IMPORTRANGE(
      ""1SCYQd7_cobOYqT0r_F0IqD4tE4rYn5y8Eup4PJTH8es"",
      ""Snapshot!A:M""
    ),
    7,
    FALSE
  ),
  0
)
"),2965.0)</f>
        <v>2965</v>
      </c>
      <c r="AH148" s="54">
        <f>IFERROR(__xludf.DUMMYFUNCTION("IFERROR(
  VLOOKUP(
    A148,
    IMPORTRANGE(
      ""1SCYQd7_cobOYqT0r_F0IqD4tE4rYn5y8Eup4PJTH8es"",
      ""Snapshot!A:M""
    ),
    8,
    FALSE
  ),
  0
)
"),3.0)</f>
        <v>3</v>
      </c>
      <c r="AI148" s="54">
        <f>IFERROR(__xludf.DUMMYFUNCTION("IFERROR(
  VLOOKUP(
    A148,
    IMPORTRANGE(
      ""1SCYQd7_cobOYqT0r_F0IqD4tE4rYn5y8Eup4PJTH8es"",
      ""Snapshot!A:M""
    ),
    9,
    FALSE
  ),
  0
)
"),3.0)</f>
        <v>3</v>
      </c>
      <c r="AJ148" s="54">
        <f>IFERROR(__xludf.DUMMYFUNCTION("IFERROR(
  VLOOKUP(
    A148,
    IMPORTRANGE(
      ""1SCYQd7_cobOYqT0r_F0IqD4tE4rYn5y8Eup4PJTH8es"",
      ""Snapshot!A:M""
    ),
    13,
    FALSE
  ),
  0
)
"),1.0)</f>
        <v>1</v>
      </c>
      <c r="AK148" s="49">
        <f t="shared" ref="AK148:AL148" si="735">LEN(C148)</f>
        <v>48</v>
      </c>
      <c r="AL148" s="49">
        <f t="shared" si="735"/>
        <v>55</v>
      </c>
    </row>
    <row r="149">
      <c r="A149" s="3" t="s">
        <v>1081</v>
      </c>
      <c r="B149" s="1" t="str">
        <f>IFERROR(__xludf.DUMMYFUNCTION("IFERROR(
  VLOOKUP(
    A149,
    IMPORTRANGE(
      ""1ZygntHC1J6IxzKbTidmOyf5nUyW4GCLurHCjexrLm_o"",
      ""HTMLキャッシュ!A:F""
    ),
    2,
    FALSE
  ),
  0
)
"),"MC")</f>
        <v>MC</v>
      </c>
      <c r="C149" s="1" t="str">
        <f>IFERROR(__xludf.DUMMYFUNCTION("IFERROR(
  VLOOKUP(
    A149,
    IMPORTRANGE(
      ""1ZygntHC1J6IxzKbTidmOyf5nUyW4GCLurHCjexrLm_o"",
      ""HTMLキャッシュ!A:F""
    ),
    5,
    FALSE
  ),
  0
)
"),"英単語を覚えるためのコツ - 受験英語専門ゼミ「Re-Write」(リライト)")</f>
        <v>英単語を覚えるためのコツ - 受験英語専門ゼミ「Re-Write」(リライト)</v>
      </c>
      <c r="D149" s="1" t="str">
        <f>IFERROR(__xludf.DUMMYFUNCTION("IFERROR(
  VLOOKUP(
    A149,
    IMPORTRANGE(
      ""1ZygntHC1J6IxzKbTidmOyf5nUyW4GCLurHCjexrLm_o        "",
      ""HTMLキャッシュ!A:F""
    ),
    6,
    FALSE
  ),
  0
)
"),"受験英語 語彙・単語 英単語は「思い出す回数」で決まる 受験英語を勉強するにあたり、単語の暗記は必ずしなくては")</f>
        <v>受験英語 語彙・単語 英単語は「思い出す回数」で決まる 受験英語を勉強するにあたり、単語の暗記は必ずしなくては</v>
      </c>
      <c r="E149" s="32">
        <f>IFERROR(__xludf.DUMMYFUNCTION("IFERROR(
  VLOOKUP(
    A149,
    IMPORTRANGE(
      ""1ZygntHC1J6IxzKbTidmOyf5nUyW4GCLurHCjexrLm_o        "",
      ""HTMLキャッシュ!A:F""
    ),
    3,
    FALSE
  ),
  0
)
"),46084.54329861111)</f>
        <v>46084.5433</v>
      </c>
      <c r="F149" s="49">
        <f>IFERROR(__xludf.DUMMYFUNCTION("IFERROR(
  VLOOKUP(
    A149,
    IMPORTRANGE(
      ""1ZHMy3vVUd_0MrSduXTe1etBb1HNpAlGwQr006ljwMiM"",
      ""GSC最新!A:F""
    ),
    2,
    FALSE
  ),
  0
)
"),0.0)</f>
        <v>0</v>
      </c>
      <c r="G149" s="49">
        <f>IFERROR(__xludf.DUMMYFUNCTION("IFERROR(
  VLOOKUP(
    A149,
    IMPORTRANGE(
      ""1ZHMy3vVUd_0MrSduXTe1etBb1HNpAlGwQr006ljwMiM"",
      ""GSC最新!A:F""
    ),
    3,
    FALSE
  ),
  0
)
"),0.0)</f>
        <v>0</v>
      </c>
      <c r="H149" s="49">
        <f>IFERROR(__xludf.DUMMYFUNCTION("IFERROR(
  VLOOKUP(
    A149,
    IMPORTRANGE(
      ""1ZHMy3vVUd_0MrSduXTe1etBb1HNpAlGwQr006ljwMiM"",
      ""GSC最新!A:F""
    ),
    4,
    FALSE
  ),
  0
)
"),0.0)</f>
        <v>0</v>
      </c>
      <c r="I149" s="49">
        <f>IFERROR(__xludf.DUMMYFUNCTION("IFERROR(
  VLOOKUP(
    A149,
    IMPORTRANGE(
      ""1ZHMy3vVUd_0MrSduXTe1etBb1HNpAlGwQr006ljwMiM"",
      ""GSC最新!A:F""
    ),
    5,
    FALSE
  ),
  0
)
"),0.0)</f>
        <v>0</v>
      </c>
      <c r="J149" s="50" t="str">
        <f t="shared" ref="J149:K149" si="736">IFERROR(F149/H149,"-")</f>
        <v>-</v>
      </c>
      <c r="K149" s="50" t="str">
        <f t="shared" si="736"/>
        <v>-</v>
      </c>
      <c r="L149" s="6">
        <f>IFERROR(__xludf.DUMMYFUNCTION("IFERROR(
  VLOOKUP(
    A149,
    IMPORTRANGE(
      ""1ZHMy3vVUd_0MrSduXTe1etBb1HNpAlGwQr006ljwMiM"",
      ""GSC最新!A:R""
    ),
    7,
    FALSE
  ),
  0
)
"),0.0)</f>
        <v>0</v>
      </c>
      <c r="M149" s="6">
        <f>IFERROR(__xludf.DUMMYFUNCTION("IFERROR(
  VLOOKUP(
    A149,
    IMPORTRANGE(
      ""1ZHMy3vVUd_0MrSduXTe1etBb1HNpAlGwQr006ljwMiM"",
      ""GSC最新!A:R""
    ),
    10,
    FALSE
  ),
  0
)
"),0.0)</f>
        <v>0</v>
      </c>
      <c r="N149" s="6">
        <f>IFERROR(__xludf.DUMMYFUNCTION("IFERROR(
  VLOOKUP(
    A149,
    IMPORTRANGE(
      ""1ZHMy3vVUd_0MrSduXTe1etBb1HNpAlGwQr006ljwMiM"",
      ""GSC最新!A:R""
    ),
    13,
    FALSE
  ),
  0
)
"),0.0)</f>
        <v>0</v>
      </c>
      <c r="O149" s="6">
        <f>IFERROR(__xludf.DUMMYFUNCTION("IFERROR(
  VLOOKUP(
    A149,
    IMPORTRANGE(
      ""1ZHMy3vVUd_0MrSduXTe1etBb1HNpAlGwQr006ljwMiM"",
      ""GSC最新!A:R""
    ),
    16,
    FALSE
  ),
  0
)
"),0.0)</f>
        <v>0</v>
      </c>
      <c r="P149" s="51" t="str">
        <f t="shared" ref="P149:Q149" si="737">IFERROR(L149/N149,"-")</f>
        <v>-</v>
      </c>
      <c r="Q149" s="51" t="str">
        <f t="shared" si="737"/>
        <v>-</v>
      </c>
      <c r="R149" s="9">
        <f>IFERROR(__xludf.DUMMYFUNCTION("IFERROR(
  VLOOKUP(
    A149,
    IMPORTRANGE(
      ""1ZHMy3vVUd_0MrSduXTe1etBb1HNpAlGwQr006ljwMiM"",
      ""GSC最新!A:R""
    ),
    8,
    FALSE
  ),
  0
)
"),0.0)</f>
        <v>0</v>
      </c>
      <c r="S149" s="9">
        <f>IFERROR(__xludf.DUMMYFUNCTION("IFERROR(
  VLOOKUP(
    A149,
    IMPORTRANGE(
      ""1ZHMy3vVUd_0MrSduXTe1etBb1HNpAlGwQr006ljwMiM"",
      ""GSC最新!A:R""
    ),
    11,
    FALSE
  ),
  0
)
"),0.0)</f>
        <v>0</v>
      </c>
      <c r="T149" s="9">
        <f>IFERROR(__xludf.DUMMYFUNCTION("IFERROR(
  VLOOKUP(
    A149,
    IMPORTRANGE(
      ""1ZHMy3vVUd_0MrSduXTe1etBb1HNpAlGwQr006ljwMiM"",
      ""GSC最新!A:R""
    ),
    14,
    FALSE
  ),
  0
)
"),0.0)</f>
        <v>0</v>
      </c>
      <c r="U149" s="9">
        <f>IFERROR(__xludf.DUMMYFUNCTION("IFERROR(
  VLOOKUP(
    A149,
    IMPORTRANGE(
      ""1ZHMy3vVUd_0MrSduXTe1etBb1HNpAlGwQr006ljwMiM"",
      ""GSC最新!A:R""
    ),
    17,
    FALSE
  ),
  0
)
"),0.0)</f>
        <v>0</v>
      </c>
      <c r="V149" s="9">
        <f t="shared" ref="V149:W149" si="738">IFERROR(R149-T149,"-")</f>
        <v>0</v>
      </c>
      <c r="W149" s="9">
        <f t="shared" si="738"/>
        <v>0</v>
      </c>
      <c r="X149" s="65" t="str">
        <f>IFERROR(__xludf.DUMMYFUNCTION("IFERROR(
  VLOOKUP(
    A149,
    IMPORTRANGE(
      ""1ZHMy3vVUd_0MrSduXTe1etBb1HNpAlGwQr006ljwMiM"",
      ""GSC最新!A:R""
    ),
    9,
    FALSE
  ),
  0
)
"),"")</f>
        <v/>
      </c>
      <c r="Y149" s="65" t="str">
        <f>IFERROR(__xludf.DUMMYFUNCTION("IFERROR(
  VLOOKUP(
    A149,
    IMPORTRANGE(
      ""1ZHMy3vVUd_0MrSduXTe1etBb1HNpAlGwQr006ljwMiM"",
      ""GSC最新!A:R""
    ),
    12,
    FALSE
  ),
  0
)
"),"")</f>
        <v/>
      </c>
      <c r="Z149" s="65" t="str">
        <f>IFERROR(__xludf.DUMMYFUNCTION("IFERROR(
  VLOOKUP(
    A149,
    IMPORTRANGE(
      ""1ZHMy3vVUd_0MrSduXTe1etBb1HNpAlGwQr006ljwMiM"",
      ""GSC最新!A:R""
    ),
    15,
    FALSE
  ),
  0
)
"),"")</f>
        <v/>
      </c>
      <c r="AA149" s="65" t="str">
        <f>IFERROR(__xludf.DUMMYFUNCTION("IFERROR(
  VLOOKUP(
    A149,
    IMPORTRANGE(
      ""1ZHMy3vVUd_0MrSduXTe1etBb1HNpAlGwQr006ljwMiM"",
      ""GSC最新!A:R""
    ),
    18,
    FALSE
  ),
  0
)
"),"")</f>
        <v/>
      </c>
      <c r="AB149" s="65">
        <f t="shared" ref="AB149:AC149" si="739">X149-Z149</f>
        <v>0</v>
      </c>
      <c r="AC149" s="65">
        <f t="shared" si="739"/>
        <v>0</v>
      </c>
      <c r="AD149" s="53">
        <f>IFERROR(__xludf.DUMMYFUNCTION("IFERROR(
  VLOOKUP(
    A149,
    IMPORTRANGE(
      ""1ZHMy3vVUd_0MrSduXTe1etBb1HNpAlGwQr006ljwMiM"",
      ""GSC最新!A:F""
    ),
    6,
    FALSE
  ),
  0
)
"),46081.0)</f>
        <v>46081</v>
      </c>
      <c r="AE149" s="54">
        <f>IFERROR(__xludf.DUMMYFUNCTION("IFERROR(
  VLOOKUP(
    A149,
    IMPORTRANGE(
      ""1SCYQd7_cobOYqT0r_F0IqD4tE4rYn5y8Eup4PJTH8es"",
      ""Snapshot!A:M""
    ),
    5,
    FALSE
  ),
  ""-""
)
"),1.0)</f>
        <v>1</v>
      </c>
      <c r="AF149" s="54">
        <f>IFERROR(__xludf.DUMMYFUNCTION("IFERROR(
  VLOOKUP(
    A149,
    IMPORTRANGE(
      ""1SCYQd7_cobOYqT0r_F0IqD4tE4rYn5y8Eup4PJTH8es"",
      ""Snapshot!A:M""
    ),
    6,
    FALSE
  ),
  0
)
"),8.0)</f>
        <v>8</v>
      </c>
      <c r="AG149" s="54">
        <f>IFERROR(__xludf.DUMMYFUNCTION("IFERROR(
  VLOOKUP(
    A149,
    IMPORTRANGE(
      ""1SCYQd7_cobOYqT0r_F0IqD4tE4rYn5y8Eup4PJTH8es"",
      ""Snapshot!A:M""
    ),
    7,
    FALSE
  ),
  0
)
"),3443.0)</f>
        <v>3443</v>
      </c>
      <c r="AH149" s="54">
        <f>IFERROR(__xludf.DUMMYFUNCTION("IFERROR(
  VLOOKUP(
    A149,
    IMPORTRANGE(
      ""1SCYQd7_cobOYqT0r_F0IqD4tE4rYn5y8Eup4PJTH8es"",
      ""Snapshot!A:M""
    ),
    8,
    FALSE
  ),
  0
)
"),4.0)</f>
        <v>4</v>
      </c>
      <c r="AI149" s="54">
        <f>IFERROR(__xludf.DUMMYFUNCTION("IFERROR(
  VLOOKUP(
    A149,
    IMPORTRANGE(
      ""1SCYQd7_cobOYqT0r_F0IqD4tE4rYn5y8Eup4PJTH8es"",
      ""Snapshot!A:M""
    ),
    9,
    FALSE
  ),
  0
)
"),3.0)</f>
        <v>3</v>
      </c>
      <c r="AJ149" s="54">
        <f>IFERROR(__xludf.DUMMYFUNCTION("IFERROR(
  VLOOKUP(
    A149,
    IMPORTRANGE(
      ""1SCYQd7_cobOYqT0r_F0IqD4tE4rYn5y8Eup4PJTH8es"",
      ""Snapshot!A:M""
    ),
    13,
    FALSE
  ),
  0
)
"),1.0)</f>
        <v>1</v>
      </c>
      <c r="AK149" s="49">
        <f t="shared" ref="AK149:AL149" si="740">LEN(C149)</f>
        <v>39</v>
      </c>
      <c r="AL149" s="49">
        <f t="shared" si="740"/>
        <v>55</v>
      </c>
    </row>
    <row r="150">
      <c r="A150" s="3" t="s">
        <v>1082</v>
      </c>
      <c r="B150" s="1" t="str">
        <f>IFERROR(__xludf.DUMMYFUNCTION("IFERROR(
  VLOOKUP(
    A150,
    IMPORTRANGE(
      ""1ZygntHC1J6IxzKbTidmOyf5nUyW4GCLurHCjexrLm_o"",
      ""HTMLキャッシュ!A:F""
    ),
    2,
    FALSE
  ),
  0
)
"),"MC")</f>
        <v>MC</v>
      </c>
      <c r="C150" s="1" t="str">
        <f>IFERROR(__xludf.DUMMYFUNCTION("IFERROR(
  VLOOKUP(
    A150,
    IMPORTRANGE(
      ""1ZygntHC1J6IxzKbTidmOyf5nUyW4GCLurHCjexrLm_o"",
      ""HTMLキャッシュ!A:F""
    ),
    5,
    FALSE
  ),
  0
)
"),"リスニング力を鍛えるためのポイント - 受験英語専門ゼミ「Re-Write」(リライト)")</f>
        <v>リスニング力を鍛えるためのポイント - 受験英語専門ゼミ「Re-Write」(リライト)</v>
      </c>
      <c r="D150" s="1" t="str">
        <f>IFERROR(__xludf.DUMMYFUNCTION("IFERROR(
  VLOOKUP(
    A150,
    IMPORTRANGE(
      ""1ZygntHC1J6IxzKbTidmOyf5nUyW4GCLurHCjexrLm_o        "",
      ""HTMLキャッシュ!A:F""
    ),
    6,
    FALSE
  ),
  0
)
"),"リスニングは都立高校では100点中20点を占めており、しっかりと点数をとっておきたいところです。 リスニング対")</f>
        <v>リスニングは都立高校では100点中20点を占めており、しっかりと点数をとっておきたいところです。 リスニング対</v>
      </c>
      <c r="E150" s="32">
        <f>IFERROR(__xludf.DUMMYFUNCTION("IFERROR(
  VLOOKUP(
    A150,
    IMPORTRANGE(
      ""1ZygntHC1J6IxzKbTidmOyf5nUyW4GCLurHCjexrLm_o        "",
      ""HTMLキャッシュ!A:F""
    ),
    3,
    FALSE
  ),
  0
)
"),46083.66168981481)</f>
        <v>46083.66169</v>
      </c>
      <c r="F150" s="49">
        <f>IFERROR(__xludf.DUMMYFUNCTION("IFERROR(
  VLOOKUP(
    A150,
    IMPORTRANGE(
      ""1ZHMy3vVUd_0MrSduXTe1etBb1HNpAlGwQr006ljwMiM"",
      ""GSC最新!A:F""
    ),
    2,
    FALSE
  ),
  0
)
"),0.0)</f>
        <v>0</v>
      </c>
      <c r="G150" s="49">
        <f>IFERROR(__xludf.DUMMYFUNCTION("IFERROR(
  VLOOKUP(
    A150,
    IMPORTRANGE(
      ""1ZHMy3vVUd_0MrSduXTe1etBb1HNpAlGwQr006ljwMiM"",
      ""GSC最新!A:F""
    ),
    3,
    FALSE
  ),
  0
)
"),0.0)</f>
        <v>0</v>
      </c>
      <c r="H150" s="49">
        <f>IFERROR(__xludf.DUMMYFUNCTION("IFERROR(
  VLOOKUP(
    A150,
    IMPORTRANGE(
      ""1ZHMy3vVUd_0MrSduXTe1etBb1HNpAlGwQr006ljwMiM"",
      ""GSC最新!A:F""
    ),
    4,
    FALSE
  ),
  0
)
"),0.0)</f>
        <v>0</v>
      </c>
      <c r="I150" s="49">
        <f>IFERROR(__xludf.DUMMYFUNCTION("IFERROR(
  VLOOKUP(
    A150,
    IMPORTRANGE(
      ""1ZHMy3vVUd_0MrSduXTe1etBb1HNpAlGwQr006ljwMiM"",
      ""GSC最新!A:F""
    ),
    5,
    FALSE
  ),
  0
)
"),0.0)</f>
        <v>0</v>
      </c>
      <c r="J150" s="50" t="str">
        <f t="shared" ref="J150:K150" si="741">IFERROR(F150/H150,"-")</f>
        <v>-</v>
      </c>
      <c r="K150" s="50" t="str">
        <f t="shared" si="741"/>
        <v>-</v>
      </c>
      <c r="L150" s="6">
        <f>IFERROR(__xludf.DUMMYFUNCTION("IFERROR(
  VLOOKUP(
    A150,
    IMPORTRANGE(
      ""1ZHMy3vVUd_0MrSduXTe1etBb1HNpAlGwQr006ljwMiM"",
      ""GSC最新!A:R""
    ),
    7,
    FALSE
  ),
  0
)
"),0.0)</f>
        <v>0</v>
      </c>
      <c r="M150" s="6">
        <f>IFERROR(__xludf.DUMMYFUNCTION("IFERROR(
  VLOOKUP(
    A150,
    IMPORTRANGE(
      ""1ZHMy3vVUd_0MrSduXTe1etBb1HNpAlGwQr006ljwMiM"",
      ""GSC最新!A:R""
    ),
    10,
    FALSE
  ),
  0
)
"),0.0)</f>
        <v>0</v>
      </c>
      <c r="N150" s="6">
        <f>IFERROR(__xludf.DUMMYFUNCTION("IFERROR(
  VLOOKUP(
    A150,
    IMPORTRANGE(
      ""1ZHMy3vVUd_0MrSduXTe1etBb1HNpAlGwQr006ljwMiM"",
      ""GSC最新!A:R""
    ),
    13,
    FALSE
  ),
  0
)
"),0.0)</f>
        <v>0</v>
      </c>
      <c r="O150" s="6">
        <f>IFERROR(__xludf.DUMMYFUNCTION("IFERROR(
  VLOOKUP(
    A150,
    IMPORTRANGE(
      ""1ZHMy3vVUd_0MrSduXTe1etBb1HNpAlGwQr006ljwMiM"",
      ""GSC最新!A:R""
    ),
    16,
    FALSE
  ),
  0
)
"),0.0)</f>
        <v>0</v>
      </c>
      <c r="P150" s="51" t="str">
        <f t="shared" ref="P150:Q150" si="742">IFERROR(L150/N150,"-")</f>
        <v>-</v>
      </c>
      <c r="Q150" s="51" t="str">
        <f t="shared" si="742"/>
        <v>-</v>
      </c>
      <c r="R150" s="9">
        <f>IFERROR(__xludf.DUMMYFUNCTION("IFERROR(
  VLOOKUP(
    A150,
    IMPORTRANGE(
      ""1ZHMy3vVUd_0MrSduXTe1etBb1HNpAlGwQr006ljwMiM"",
      ""GSC最新!A:R""
    ),
    8,
    FALSE
  ),
  0
)
"),0.0)</f>
        <v>0</v>
      </c>
      <c r="S150" s="9">
        <f>IFERROR(__xludf.DUMMYFUNCTION("IFERROR(
  VLOOKUP(
    A150,
    IMPORTRANGE(
      ""1ZHMy3vVUd_0MrSduXTe1etBb1HNpAlGwQr006ljwMiM"",
      ""GSC最新!A:R""
    ),
    11,
    FALSE
  ),
  0
)
"),0.0)</f>
        <v>0</v>
      </c>
      <c r="T150" s="9">
        <f>IFERROR(__xludf.DUMMYFUNCTION("IFERROR(
  VLOOKUP(
    A150,
    IMPORTRANGE(
      ""1ZHMy3vVUd_0MrSduXTe1etBb1HNpAlGwQr006ljwMiM"",
      ""GSC最新!A:R""
    ),
    14,
    FALSE
  ),
  0
)
"),0.0)</f>
        <v>0</v>
      </c>
      <c r="U150" s="9">
        <f>IFERROR(__xludf.DUMMYFUNCTION("IFERROR(
  VLOOKUP(
    A150,
    IMPORTRANGE(
      ""1ZHMy3vVUd_0MrSduXTe1etBb1HNpAlGwQr006ljwMiM"",
      ""GSC最新!A:R""
    ),
    17,
    FALSE
  ),
  0
)
"),0.0)</f>
        <v>0</v>
      </c>
      <c r="V150" s="9">
        <f t="shared" ref="V150:W150" si="743">IFERROR(R150-T150,"-")</f>
        <v>0</v>
      </c>
      <c r="W150" s="9">
        <f t="shared" si="743"/>
        <v>0</v>
      </c>
      <c r="X150" s="65" t="str">
        <f>IFERROR(__xludf.DUMMYFUNCTION("IFERROR(
  VLOOKUP(
    A150,
    IMPORTRANGE(
      ""1ZHMy3vVUd_0MrSduXTe1etBb1HNpAlGwQr006ljwMiM"",
      ""GSC最新!A:R""
    ),
    9,
    FALSE
  ),
  0
)
"),"")</f>
        <v/>
      </c>
      <c r="Y150" s="65" t="str">
        <f>IFERROR(__xludf.DUMMYFUNCTION("IFERROR(
  VLOOKUP(
    A150,
    IMPORTRANGE(
      ""1ZHMy3vVUd_0MrSduXTe1etBb1HNpAlGwQr006ljwMiM"",
      ""GSC最新!A:R""
    ),
    12,
    FALSE
  ),
  0
)
"),"")</f>
        <v/>
      </c>
      <c r="Z150" s="65" t="str">
        <f>IFERROR(__xludf.DUMMYFUNCTION("IFERROR(
  VLOOKUP(
    A150,
    IMPORTRANGE(
      ""1ZHMy3vVUd_0MrSduXTe1etBb1HNpAlGwQr006ljwMiM"",
      ""GSC最新!A:R""
    ),
    15,
    FALSE
  ),
  0
)
"),"")</f>
        <v/>
      </c>
      <c r="AA150" s="65" t="str">
        <f>IFERROR(__xludf.DUMMYFUNCTION("IFERROR(
  VLOOKUP(
    A150,
    IMPORTRANGE(
      ""1ZHMy3vVUd_0MrSduXTe1etBb1HNpAlGwQr006ljwMiM"",
      ""GSC最新!A:R""
    ),
    18,
    FALSE
  ),
  0
)
"),"")</f>
        <v/>
      </c>
      <c r="AB150" s="65">
        <f t="shared" ref="AB150:AC150" si="744">X150-Z150</f>
        <v>0</v>
      </c>
      <c r="AC150" s="65">
        <f t="shared" si="744"/>
        <v>0</v>
      </c>
      <c r="AD150" s="53">
        <f>IFERROR(__xludf.DUMMYFUNCTION("IFERROR(
  VLOOKUP(
    A150,
    IMPORTRANGE(
      ""1ZHMy3vVUd_0MrSduXTe1etBb1HNpAlGwQr006ljwMiM"",
      ""GSC最新!A:F""
    ),
    6,
    FALSE
  ),
  0
)
"),46081.0)</f>
        <v>46081</v>
      </c>
      <c r="AE150" s="54">
        <f>IFERROR(__xludf.DUMMYFUNCTION("IFERROR(
  VLOOKUP(
    A150,
    IMPORTRANGE(
      ""1SCYQd7_cobOYqT0r_F0IqD4tE4rYn5y8Eup4PJTH8es"",
      ""Snapshot!A:M""
    ),
    5,
    FALSE
  ),
  ""-""
)
"),0.0)</f>
        <v>0</v>
      </c>
      <c r="AF150" s="54">
        <f>IFERROR(__xludf.DUMMYFUNCTION("IFERROR(
  VLOOKUP(
    A150,
    IMPORTRANGE(
      ""1SCYQd7_cobOYqT0r_F0IqD4tE4rYn5y8Eup4PJTH8es"",
      ""Snapshot!A:M""
    ),
    6,
    FALSE
  ),
  0
)
"),7.0)</f>
        <v>7</v>
      </c>
      <c r="AG150" s="54">
        <f>IFERROR(__xludf.DUMMYFUNCTION("IFERROR(
  VLOOKUP(
    A150,
    IMPORTRANGE(
      ""1SCYQd7_cobOYqT0r_F0IqD4tE4rYn5y8Eup4PJTH8es"",
      ""Snapshot!A:M""
    ),
    7,
    FALSE
  ),
  0
)
"),1347.0)</f>
        <v>1347</v>
      </c>
      <c r="AH150" s="54">
        <f>IFERROR(__xludf.DUMMYFUNCTION("IFERROR(
  VLOOKUP(
    A150,
    IMPORTRANGE(
      ""1SCYQd7_cobOYqT0r_F0IqD4tE4rYn5y8Eup4PJTH8es"",
      ""Snapshot!A:M""
    ),
    8,
    FALSE
  ),
  0
)
"),3.0)</f>
        <v>3</v>
      </c>
      <c r="AI150" s="54">
        <f>IFERROR(__xludf.DUMMYFUNCTION("IFERROR(
  VLOOKUP(
    A150,
    IMPORTRANGE(
      ""1SCYQd7_cobOYqT0r_F0IqD4tE4rYn5y8Eup4PJTH8es"",
      ""Snapshot!A:M""
    ),
    9,
    FALSE
  ),
  0
)
"),2.0)</f>
        <v>2</v>
      </c>
      <c r="AJ150" s="54">
        <f>IFERROR(__xludf.DUMMYFUNCTION("IFERROR(
  VLOOKUP(
    A150,
    IMPORTRANGE(
      ""1SCYQd7_cobOYqT0r_F0IqD4tE4rYn5y8Eup4PJTH8es"",
      ""Snapshot!A:M""
    ),
    13,
    FALSE
  ),
  0
)
"),1.0)</f>
        <v>1</v>
      </c>
      <c r="AK150" s="49">
        <f t="shared" ref="AK150:AL150" si="745">LEN(C150)</f>
        <v>44</v>
      </c>
      <c r="AL150" s="49">
        <f t="shared" si="745"/>
        <v>55</v>
      </c>
    </row>
    <row r="151">
      <c r="A151" s="3" t="s">
        <v>1083</v>
      </c>
      <c r="B151" s="1" t="str">
        <f>IFERROR(__xludf.DUMMYFUNCTION("IFERROR(
  VLOOKUP(
    A151,
    IMPORTRANGE(
      ""1ZygntHC1J6IxzKbTidmOyf5nUyW4GCLurHCjexrLm_o"",
      ""HTMLキャッシュ!A:F""
    ),
    2,
    FALSE
  ),
  0
)
"),"MC")</f>
        <v>MC</v>
      </c>
      <c r="C151" s="1" t="str">
        <f>IFERROR(__xludf.DUMMYFUNCTION("IFERROR(
  VLOOKUP(
    A151,
    IMPORTRANGE(
      ""1ZygntHC1J6IxzKbTidmOyf5nUyW4GCLurHCjexrLm_o"",
      ""HTMLキャッシュ!A:F""
    ),
    5,
    FALSE
  ),
  0
)
"),"英語の基本的な勉強方法 - 受験英語専門ゼミ「Re-Write」(リライト)")</f>
        <v>英語の基本的な勉強方法 - 受験英語専門ゼミ「Re-Write」(リライト)</v>
      </c>
      <c r="D151" s="1" t="str">
        <f>IFERROR(__xludf.DUMMYFUNCTION("IFERROR(
  VLOOKUP(
    A151,
    IMPORTRANGE(
      ""1ZygntHC1J6IxzKbTidmOyf5nUyW4GCLurHCjexrLm_o        "",
      ""HTMLキャッシュ!A:F""
    ),
    6,
    FALSE
  ),
  0
)
"),"受験英語 学習の順番 英語は「順番」を決めると伸び始める 英語の力をつけたいけれど、そもそも何から手をつけたら")</f>
        <v>受験英語 学習の順番 英語は「順番」を決めると伸び始める 英語の力をつけたいけれど、そもそも何から手をつけたら</v>
      </c>
      <c r="E151" s="32">
        <f>IFERROR(__xludf.DUMMYFUNCTION("IFERROR(
  VLOOKUP(
    A151,
    IMPORTRANGE(
      ""1ZygntHC1J6IxzKbTidmOyf5nUyW4GCLurHCjexrLm_o        "",
      ""HTMLキャッシュ!A:F""
    ),
    3,
    FALSE
  ),
  0
)
"),46084.555613425924)</f>
        <v>46084.55561</v>
      </c>
      <c r="F151" s="49">
        <f>IFERROR(__xludf.DUMMYFUNCTION("IFERROR(
  VLOOKUP(
    A151,
    IMPORTRANGE(
      ""1ZHMy3vVUd_0MrSduXTe1etBb1HNpAlGwQr006ljwMiM"",
      ""GSC最新!A:F""
    ),
    2,
    FALSE
  ),
  0
)
"),0.0)</f>
        <v>0</v>
      </c>
      <c r="G151" s="49">
        <f>IFERROR(__xludf.DUMMYFUNCTION("IFERROR(
  VLOOKUP(
    A151,
    IMPORTRANGE(
      ""1ZHMy3vVUd_0MrSduXTe1etBb1HNpAlGwQr006ljwMiM"",
      ""GSC最新!A:F""
    ),
    3,
    FALSE
  ),
  0
)
"),0.0)</f>
        <v>0</v>
      </c>
      <c r="H151" s="49">
        <f>IFERROR(__xludf.DUMMYFUNCTION("IFERROR(
  VLOOKUP(
    A151,
    IMPORTRANGE(
      ""1ZHMy3vVUd_0MrSduXTe1etBb1HNpAlGwQr006ljwMiM"",
      ""GSC最新!A:F""
    ),
    4,
    FALSE
  ),
  0
)
"),0.0)</f>
        <v>0</v>
      </c>
      <c r="I151" s="49">
        <f>IFERROR(__xludf.DUMMYFUNCTION("IFERROR(
  VLOOKUP(
    A151,
    IMPORTRANGE(
      ""1ZHMy3vVUd_0MrSduXTe1etBb1HNpAlGwQr006ljwMiM"",
      ""GSC最新!A:F""
    ),
    5,
    FALSE
  ),
  0
)
"),0.0)</f>
        <v>0</v>
      </c>
      <c r="J151" s="50" t="str">
        <f t="shared" ref="J151:K151" si="746">IFERROR(F151/H151,"-")</f>
        <v>-</v>
      </c>
      <c r="K151" s="50" t="str">
        <f t="shared" si="746"/>
        <v>-</v>
      </c>
      <c r="L151" s="6">
        <f>IFERROR(__xludf.DUMMYFUNCTION("IFERROR(
  VLOOKUP(
    A151,
    IMPORTRANGE(
      ""1ZHMy3vVUd_0MrSduXTe1etBb1HNpAlGwQr006ljwMiM"",
      ""GSC最新!A:R""
    ),
    7,
    FALSE
  ),
  0
)
"),0.0)</f>
        <v>0</v>
      </c>
      <c r="M151" s="6">
        <f>IFERROR(__xludf.DUMMYFUNCTION("IFERROR(
  VLOOKUP(
    A151,
    IMPORTRANGE(
      ""1ZHMy3vVUd_0MrSduXTe1etBb1HNpAlGwQr006ljwMiM"",
      ""GSC最新!A:R""
    ),
    10,
    FALSE
  ),
  0
)
"),0.0)</f>
        <v>0</v>
      </c>
      <c r="N151" s="6">
        <f>IFERROR(__xludf.DUMMYFUNCTION("IFERROR(
  VLOOKUP(
    A151,
    IMPORTRANGE(
      ""1ZHMy3vVUd_0MrSduXTe1etBb1HNpAlGwQr006ljwMiM"",
      ""GSC最新!A:R""
    ),
    13,
    FALSE
  ),
  0
)
"),0.0)</f>
        <v>0</v>
      </c>
      <c r="O151" s="6">
        <f>IFERROR(__xludf.DUMMYFUNCTION("IFERROR(
  VLOOKUP(
    A151,
    IMPORTRANGE(
      ""1ZHMy3vVUd_0MrSduXTe1etBb1HNpAlGwQr006ljwMiM"",
      ""GSC最新!A:R""
    ),
    16,
    FALSE
  ),
  0
)
"),0.0)</f>
        <v>0</v>
      </c>
      <c r="P151" s="51" t="str">
        <f t="shared" ref="P151:Q151" si="747">IFERROR(L151/N151,"-")</f>
        <v>-</v>
      </c>
      <c r="Q151" s="51" t="str">
        <f t="shared" si="747"/>
        <v>-</v>
      </c>
      <c r="R151" s="9">
        <f>IFERROR(__xludf.DUMMYFUNCTION("IFERROR(
  VLOOKUP(
    A151,
    IMPORTRANGE(
      ""1ZHMy3vVUd_0MrSduXTe1etBb1HNpAlGwQr006ljwMiM"",
      ""GSC最新!A:R""
    ),
    8,
    FALSE
  ),
  0
)
"),0.0)</f>
        <v>0</v>
      </c>
      <c r="S151" s="9">
        <f>IFERROR(__xludf.DUMMYFUNCTION("IFERROR(
  VLOOKUP(
    A151,
    IMPORTRANGE(
      ""1ZHMy3vVUd_0MrSduXTe1etBb1HNpAlGwQr006ljwMiM"",
      ""GSC最新!A:R""
    ),
    11,
    FALSE
  ),
  0
)
"),0.0)</f>
        <v>0</v>
      </c>
      <c r="T151" s="9">
        <f>IFERROR(__xludf.DUMMYFUNCTION("IFERROR(
  VLOOKUP(
    A151,
    IMPORTRANGE(
      ""1ZHMy3vVUd_0MrSduXTe1etBb1HNpAlGwQr006ljwMiM"",
      ""GSC最新!A:R""
    ),
    14,
    FALSE
  ),
  0
)
"),0.0)</f>
        <v>0</v>
      </c>
      <c r="U151" s="9">
        <f>IFERROR(__xludf.DUMMYFUNCTION("IFERROR(
  VLOOKUP(
    A151,
    IMPORTRANGE(
      ""1ZHMy3vVUd_0MrSduXTe1etBb1HNpAlGwQr006ljwMiM"",
      ""GSC最新!A:R""
    ),
    17,
    FALSE
  ),
  0
)
"),0.0)</f>
        <v>0</v>
      </c>
      <c r="V151" s="9">
        <f t="shared" ref="V151:W151" si="748">IFERROR(R151-T151,"-")</f>
        <v>0</v>
      </c>
      <c r="W151" s="9">
        <f t="shared" si="748"/>
        <v>0</v>
      </c>
      <c r="X151" s="65" t="str">
        <f>IFERROR(__xludf.DUMMYFUNCTION("IFERROR(
  VLOOKUP(
    A151,
    IMPORTRANGE(
      ""1ZHMy3vVUd_0MrSduXTe1etBb1HNpAlGwQr006ljwMiM"",
      ""GSC最新!A:R""
    ),
    9,
    FALSE
  ),
  0
)
"),"")</f>
        <v/>
      </c>
      <c r="Y151" s="65" t="str">
        <f>IFERROR(__xludf.DUMMYFUNCTION("IFERROR(
  VLOOKUP(
    A151,
    IMPORTRANGE(
      ""1ZHMy3vVUd_0MrSduXTe1etBb1HNpAlGwQr006ljwMiM"",
      ""GSC最新!A:R""
    ),
    12,
    FALSE
  ),
  0
)
"),"")</f>
        <v/>
      </c>
      <c r="Z151" s="65" t="str">
        <f>IFERROR(__xludf.DUMMYFUNCTION("IFERROR(
  VLOOKUP(
    A151,
    IMPORTRANGE(
      ""1ZHMy3vVUd_0MrSduXTe1etBb1HNpAlGwQr006ljwMiM"",
      ""GSC最新!A:R""
    ),
    15,
    FALSE
  ),
  0
)
"),"")</f>
        <v/>
      </c>
      <c r="AA151" s="65" t="str">
        <f>IFERROR(__xludf.DUMMYFUNCTION("IFERROR(
  VLOOKUP(
    A151,
    IMPORTRANGE(
      ""1ZHMy3vVUd_0MrSduXTe1etBb1HNpAlGwQr006ljwMiM"",
      ""GSC最新!A:R""
    ),
    18,
    FALSE
  ),
  0
)
"),"")</f>
        <v/>
      </c>
      <c r="AB151" s="65">
        <f t="shared" ref="AB151:AC151" si="749">X151-Z151</f>
        <v>0</v>
      </c>
      <c r="AC151" s="65">
        <f t="shared" si="749"/>
        <v>0</v>
      </c>
      <c r="AD151" s="53">
        <f>IFERROR(__xludf.DUMMYFUNCTION("IFERROR(
  VLOOKUP(
    A151,
    IMPORTRANGE(
      ""1ZHMy3vVUd_0MrSduXTe1etBb1HNpAlGwQr006ljwMiM"",
      ""GSC最新!A:F""
    ),
    6,
    FALSE
  ),
  0
)
"),46081.0)</f>
        <v>46081</v>
      </c>
      <c r="AE151" s="54">
        <f>IFERROR(__xludf.DUMMYFUNCTION("IFERROR(
  VLOOKUP(
    A151,
    IMPORTRANGE(
      ""1SCYQd7_cobOYqT0r_F0IqD4tE4rYn5y8Eup4PJTH8es"",
      ""Snapshot!A:M""
    ),
    5,
    FALSE
  ),
  ""-""
)
"),7.0)</f>
        <v>7</v>
      </c>
      <c r="AF151" s="54">
        <f>IFERROR(__xludf.DUMMYFUNCTION("IFERROR(
  VLOOKUP(
    A151,
    IMPORTRANGE(
      ""1SCYQd7_cobOYqT0r_F0IqD4tE4rYn5y8Eup4PJTH8es"",
      ""Snapshot!A:M""
    ),
    6,
    FALSE
  ),
  0
)
"),4.0)</f>
        <v>4</v>
      </c>
      <c r="AG151" s="54">
        <f>IFERROR(__xludf.DUMMYFUNCTION("IFERROR(
  VLOOKUP(
    A151,
    IMPORTRANGE(
      ""1SCYQd7_cobOYqT0r_F0IqD4tE4rYn5y8Eup4PJTH8es"",
      ""Snapshot!A:M""
    ),
    7,
    FALSE
  ),
  0
)
"),4617.0)</f>
        <v>4617</v>
      </c>
      <c r="AH151" s="54">
        <f>IFERROR(__xludf.DUMMYFUNCTION("IFERROR(
  VLOOKUP(
    A151,
    IMPORTRANGE(
      ""1SCYQd7_cobOYqT0r_F0IqD4tE4rYn5y8Eup4PJTH8es"",
      ""Snapshot!A:M""
    ),
    8,
    FALSE
  ),
  0
)
"),2.0)</f>
        <v>2</v>
      </c>
      <c r="AI151" s="54">
        <f>IFERROR(__xludf.DUMMYFUNCTION("IFERROR(
  VLOOKUP(
    A151,
    IMPORTRANGE(
      ""1SCYQd7_cobOYqT0r_F0IqD4tE4rYn5y8Eup4PJTH8es"",
      ""Snapshot!A:M""
    ),
    9,
    FALSE
  ),
  0
)
"),1.0)</f>
        <v>1</v>
      </c>
      <c r="AJ151" s="54">
        <f>IFERROR(__xludf.DUMMYFUNCTION("IFERROR(
  VLOOKUP(
    A151,
    IMPORTRANGE(
      ""1SCYQd7_cobOYqT0r_F0IqD4tE4rYn5y8Eup4PJTH8es"",
      ""Snapshot!A:M""
    ),
    13,
    FALSE
  ),
  0
)
"),1.0)</f>
        <v>1</v>
      </c>
      <c r="AK151" s="49">
        <f t="shared" ref="AK151:AL151" si="750">LEN(C151)</f>
        <v>38</v>
      </c>
      <c r="AL151" s="49">
        <f t="shared" si="750"/>
        <v>55</v>
      </c>
    </row>
    <row r="152">
      <c r="A152" s="3" t="s">
        <v>1084</v>
      </c>
      <c r="B152" s="1" t="str">
        <f>IFERROR(__xludf.DUMMYFUNCTION("IFERROR(
  VLOOKUP(
    A152,
    IMPORTRANGE(
      ""1ZygntHC1J6IxzKbTidmOyf5nUyW4GCLurHCjexrLm_o"",
      ""HTMLキャッシュ!A:F""
    ),
    2,
    FALSE
  ),
  0
)
"),"MC")</f>
        <v>MC</v>
      </c>
      <c r="C152" s="1" t="str">
        <f>IFERROR(__xludf.DUMMYFUNCTION("IFERROR(
  VLOOKUP(
    A152,
    IMPORTRANGE(
      ""1ZygntHC1J6IxzKbTidmOyf5nUyW4GCLurHCjexrLm_o"",
      ""HTMLキャッシュ!A:F""
    ),
    5,
    FALSE
  ),
  0
)
"),"STAGE3｜高校英文法の総まとめ（時制・助動詞・不定詞・関係詞・名詞節） - 英語リライト")</f>
        <v>STAGE3｜高校英文法の総まとめ（時制・助動詞・不定詞・関係詞・名詞節） - 英語リライト</v>
      </c>
      <c r="D152" s="1" t="str">
        <f>IFERROR(__xludf.DUMMYFUNCTION("IFERROR(
  VLOOKUP(
    A152,
    IMPORTRANGE(
      ""1ZygntHC1J6IxzKbTidmOyf5nUyW4GCLurHCjexrLm_o        "",
      ""HTMLキャッシュ!A:F""
    ),
    6,
    FALSE
  ),
  0
)
"),"STAGE3で扱う高校英文法の重要テーマを一覧化し、最短で仕上げる学習順に整理。過去完了／助動詞の推量／不定詞の発展／受動態／副詞節／関係詞／名詞節まで、各Lessonへすぐ移動できます。")</f>
        <v>STAGE3で扱う高校英文法の重要テーマを一覧化し、最短で仕上げる学習順に整理。過去完了／助動詞の推量／不定詞の発展／受動態／副詞節／関係詞／名詞節まで、各Lessonへすぐ移動できます。</v>
      </c>
      <c r="E152" s="32">
        <f>IFERROR(__xludf.DUMMYFUNCTION("IFERROR(
  VLOOKUP(
    A152,
    IMPORTRANGE(
      ""1ZygntHC1J6IxzKbTidmOyf5nUyW4GCLurHCjexrLm_o        "",
      ""HTMLキャッシュ!A:F""
    ),
    3,
    FALSE
  ),
  0
)
"),46059.75268518519)</f>
        <v>46059.75269</v>
      </c>
      <c r="F152" s="49">
        <f>IFERROR(__xludf.DUMMYFUNCTION("IFERROR(
  VLOOKUP(
    A152,
    IMPORTRANGE(
      ""1ZHMy3vVUd_0MrSduXTe1etBb1HNpAlGwQr006ljwMiM"",
      ""GSC最新!A:F""
    ),
    2,
    FALSE
  ),
  0
)
"),0.0)</f>
        <v>0</v>
      </c>
      <c r="G152" s="49">
        <f>IFERROR(__xludf.DUMMYFUNCTION("IFERROR(
  VLOOKUP(
    A152,
    IMPORTRANGE(
      ""1ZHMy3vVUd_0MrSduXTe1etBb1HNpAlGwQr006ljwMiM"",
      ""GSC最新!A:F""
    ),
    3,
    FALSE
  ),
  0
)
"),0.0)</f>
        <v>0</v>
      </c>
      <c r="H152" s="49">
        <f>IFERROR(__xludf.DUMMYFUNCTION("IFERROR(
  VLOOKUP(
    A152,
    IMPORTRANGE(
      ""1ZHMy3vVUd_0MrSduXTe1etBb1HNpAlGwQr006ljwMiM"",
      ""GSC最新!A:F""
    ),
    4,
    FALSE
  ),
  0
)
"),0.0)</f>
        <v>0</v>
      </c>
      <c r="I152" s="49">
        <f>IFERROR(__xludf.DUMMYFUNCTION("IFERROR(
  VLOOKUP(
    A152,
    IMPORTRANGE(
      ""1ZHMy3vVUd_0MrSduXTe1etBb1HNpAlGwQr006ljwMiM"",
      ""GSC最新!A:F""
    ),
    5,
    FALSE
  ),
  0
)
"),0.0)</f>
        <v>0</v>
      </c>
      <c r="J152" s="50" t="str">
        <f t="shared" ref="J152:K152" si="751">IFERROR(F152/H152,"-")</f>
        <v>-</v>
      </c>
      <c r="K152" s="50" t="str">
        <f t="shared" si="751"/>
        <v>-</v>
      </c>
      <c r="L152" s="6">
        <f>IFERROR(__xludf.DUMMYFUNCTION("IFERROR(
  VLOOKUP(
    A152,
    IMPORTRANGE(
      ""1ZHMy3vVUd_0MrSduXTe1etBb1HNpAlGwQr006ljwMiM"",
      ""GSC最新!A:R""
    ),
    7,
    FALSE
  ),
  0
)
"),0.0)</f>
        <v>0</v>
      </c>
      <c r="M152" s="6">
        <f>IFERROR(__xludf.DUMMYFUNCTION("IFERROR(
  VLOOKUP(
    A152,
    IMPORTRANGE(
      ""1ZHMy3vVUd_0MrSduXTe1etBb1HNpAlGwQr006ljwMiM"",
      ""GSC最新!A:R""
    ),
    10,
    FALSE
  ),
  0
)
"),0.0)</f>
        <v>0</v>
      </c>
      <c r="N152" s="6">
        <f>IFERROR(__xludf.DUMMYFUNCTION("IFERROR(
  VLOOKUP(
    A152,
    IMPORTRANGE(
      ""1ZHMy3vVUd_0MrSduXTe1etBb1HNpAlGwQr006ljwMiM"",
      ""GSC最新!A:R""
    ),
    13,
    FALSE
  ),
  0
)
"),0.0)</f>
        <v>0</v>
      </c>
      <c r="O152" s="6">
        <f>IFERROR(__xludf.DUMMYFUNCTION("IFERROR(
  VLOOKUP(
    A152,
    IMPORTRANGE(
      ""1ZHMy3vVUd_0MrSduXTe1etBb1HNpAlGwQr006ljwMiM"",
      ""GSC最新!A:R""
    ),
    16,
    FALSE
  ),
  0
)
"),0.0)</f>
        <v>0</v>
      </c>
      <c r="P152" s="51" t="str">
        <f t="shared" ref="P152:Q152" si="752">IFERROR(L152/N152,"-")</f>
        <v>-</v>
      </c>
      <c r="Q152" s="51" t="str">
        <f t="shared" si="752"/>
        <v>-</v>
      </c>
      <c r="R152" s="9">
        <f>IFERROR(__xludf.DUMMYFUNCTION("IFERROR(
  VLOOKUP(
    A152,
    IMPORTRANGE(
      ""1ZHMy3vVUd_0MrSduXTe1etBb1HNpAlGwQr006ljwMiM"",
      ""GSC最新!A:R""
    ),
    8,
    FALSE
  ),
  0
)
"),0.0)</f>
        <v>0</v>
      </c>
      <c r="S152" s="9">
        <f>IFERROR(__xludf.DUMMYFUNCTION("IFERROR(
  VLOOKUP(
    A152,
    IMPORTRANGE(
      ""1ZHMy3vVUd_0MrSduXTe1etBb1HNpAlGwQr006ljwMiM"",
      ""GSC最新!A:R""
    ),
    11,
    FALSE
  ),
  0
)
"),0.0)</f>
        <v>0</v>
      </c>
      <c r="T152" s="9">
        <f>IFERROR(__xludf.DUMMYFUNCTION("IFERROR(
  VLOOKUP(
    A152,
    IMPORTRANGE(
      ""1ZHMy3vVUd_0MrSduXTe1etBb1HNpAlGwQr006ljwMiM"",
      ""GSC最新!A:R""
    ),
    14,
    FALSE
  ),
  0
)
"),0.0)</f>
        <v>0</v>
      </c>
      <c r="U152" s="9">
        <f>IFERROR(__xludf.DUMMYFUNCTION("IFERROR(
  VLOOKUP(
    A152,
    IMPORTRANGE(
      ""1ZHMy3vVUd_0MrSduXTe1etBb1HNpAlGwQr006ljwMiM"",
      ""GSC最新!A:R""
    ),
    17,
    FALSE
  ),
  0
)
"),0.0)</f>
        <v>0</v>
      </c>
      <c r="V152" s="9">
        <f t="shared" ref="V152:W152" si="753">IFERROR(R152-T152,"-")</f>
        <v>0</v>
      </c>
      <c r="W152" s="9">
        <f t="shared" si="753"/>
        <v>0</v>
      </c>
      <c r="X152" s="65" t="str">
        <f>IFERROR(__xludf.DUMMYFUNCTION("IFERROR(
  VLOOKUP(
    A152,
    IMPORTRANGE(
      ""1ZHMy3vVUd_0MrSduXTe1etBb1HNpAlGwQr006ljwMiM"",
      ""GSC最新!A:R""
    ),
    9,
    FALSE
  ),
  0
)
"),"")</f>
        <v/>
      </c>
      <c r="Y152" s="65" t="str">
        <f>IFERROR(__xludf.DUMMYFUNCTION("IFERROR(
  VLOOKUP(
    A152,
    IMPORTRANGE(
      ""1ZHMy3vVUd_0MrSduXTe1etBb1HNpAlGwQr006ljwMiM"",
      ""GSC最新!A:R""
    ),
    12,
    FALSE
  ),
  0
)
"),"")</f>
        <v/>
      </c>
      <c r="Z152" s="65" t="str">
        <f>IFERROR(__xludf.DUMMYFUNCTION("IFERROR(
  VLOOKUP(
    A152,
    IMPORTRANGE(
      ""1ZHMy3vVUd_0MrSduXTe1etBb1HNpAlGwQr006ljwMiM"",
      ""GSC最新!A:R""
    ),
    15,
    FALSE
  ),
  0
)
"),"")</f>
        <v/>
      </c>
      <c r="AA152" s="65" t="str">
        <f>IFERROR(__xludf.DUMMYFUNCTION("IFERROR(
  VLOOKUP(
    A152,
    IMPORTRANGE(
      ""1ZHMy3vVUd_0MrSduXTe1etBb1HNpAlGwQr006ljwMiM"",
      ""GSC最新!A:R""
    ),
    18,
    FALSE
  ),
  0
)
"),"")</f>
        <v/>
      </c>
      <c r="AB152" s="65">
        <f t="shared" ref="AB152:AC152" si="754">X152-Z152</f>
        <v>0</v>
      </c>
      <c r="AC152" s="65">
        <f t="shared" si="754"/>
        <v>0</v>
      </c>
      <c r="AD152" s="53">
        <f>IFERROR(__xludf.DUMMYFUNCTION("IFERROR(
  VLOOKUP(
    A152,
    IMPORTRANGE(
      ""1ZHMy3vVUd_0MrSduXTe1etBb1HNpAlGwQr006ljwMiM"",
      ""GSC最新!A:F""
    ),
    6,
    FALSE
  ),
  0
)
"),46081.0)</f>
        <v>46081</v>
      </c>
      <c r="AE152" s="54">
        <f>IFERROR(__xludf.DUMMYFUNCTION("IFERROR(
  VLOOKUP(
    A152,
    IMPORTRANGE(
      ""1SCYQd7_cobOYqT0r_F0IqD4tE4rYn5y8Eup4PJTH8es"",
      ""Snapshot!A:M""
    ),
    5,
    FALSE
  ),
  ""-""
)
"),11.0)</f>
        <v>11</v>
      </c>
      <c r="AF152" s="54">
        <f>IFERROR(__xludf.DUMMYFUNCTION("IFERROR(
  VLOOKUP(
    A152,
    IMPORTRANGE(
      ""1SCYQd7_cobOYqT0r_F0IqD4tE4rYn5y8Eup4PJTH8es"",
      ""Snapshot!A:M""
    ),
    6,
    FALSE
  ),
  0
)
"),0.0)</f>
        <v>0</v>
      </c>
      <c r="AG152" s="54">
        <f>IFERROR(__xludf.DUMMYFUNCTION("IFERROR(
  VLOOKUP(
    A152,
    IMPORTRANGE(
      ""1SCYQd7_cobOYqT0r_F0IqD4tE4rYn5y8Eup4PJTH8es"",
      ""Snapshot!A:M""
    ),
    7,
    FALSE
  ),
  0
)
"),3497.0)</f>
        <v>3497</v>
      </c>
      <c r="AH152" s="54">
        <f>IFERROR(__xludf.DUMMYFUNCTION("IFERROR(
  VLOOKUP(
    A152,
    IMPORTRANGE(
      ""1SCYQd7_cobOYqT0r_F0IqD4tE4rYn5y8Eup4PJTH8es"",
      ""Snapshot!A:M""
    ),
    8,
    FALSE
  ),
  0
)
"),26.0)</f>
        <v>26</v>
      </c>
      <c r="AI152" s="54">
        <f>IFERROR(__xludf.DUMMYFUNCTION("IFERROR(
  VLOOKUP(
    A152,
    IMPORTRANGE(
      ""1SCYQd7_cobOYqT0r_F0IqD4tE4rYn5y8Eup4PJTH8es"",
      ""Snapshot!A:M""
    ),
    9,
    FALSE
  ),
  0
)
"),2.0)</f>
        <v>2</v>
      </c>
      <c r="AJ152" s="54">
        <f>IFERROR(__xludf.DUMMYFUNCTION("IFERROR(
  VLOOKUP(
    A152,
    IMPORTRANGE(
      ""1SCYQd7_cobOYqT0r_F0IqD4tE4rYn5y8Eup4PJTH8es"",
      ""Snapshot!A:M""
    ),
    13,
    FALSE
  ),
  0
)
"),1.0)</f>
        <v>1</v>
      </c>
      <c r="AK152" s="49">
        <f t="shared" ref="AK152:AL152" si="755">LEN(C152)</f>
        <v>46</v>
      </c>
      <c r="AL152" s="49">
        <f t="shared" si="755"/>
        <v>94</v>
      </c>
    </row>
    <row r="153">
      <c r="A153" s="56" t="s">
        <v>1085</v>
      </c>
      <c r="B153" s="1" t="str">
        <f>IFERROR(__xludf.DUMMYFUNCTION("IFERROR(
  VLOOKUP(
    A153,
    IMPORTRANGE(
      ""1ZygntHC1J6IxzKbTidmOyf5nUyW4GCLurHCjexrLm_o"",
      ""HTMLキャッシュ!A:F""
    ),
    2,
    FALSE
  ),
  0
)
"),"MC")</f>
        <v>MC</v>
      </c>
      <c r="C153" s="1" t="str">
        <f>IFERROR(__xludf.DUMMYFUNCTION("IFERROR(
  VLOOKUP(
    A153,
    IMPORTRANGE(
      ""1ZygntHC1J6IxzKbTidmOyf5nUyW4GCLurHCjexrLm_o"",
      ""HTMLキャッシュ!A:F""
    ),
    5,
    FALSE
  ),
  0
)
"),"NEW TREASURE STAGE2｜中2英文法 総括＋Lesson一覧")</f>
        <v>NEW TREASURE STAGE2｜中2英文法 総括＋Lesson一覧</v>
      </c>
      <c r="D153" s="1" t="str">
        <f>IFERROR(__xludf.DUMMYFUNCTION("IFERROR(
  VLOOKUP(
    A153,
    IMPORTRANGE(
      ""1ZygntHC1J6IxzKbTidmOyf5nUyW4GCLurHCjexrLm_o        "",
      ""HTMLキャッシュ!A:F""
    ),
    6,
    FALSE
  ),
  0
)
"),"中高一貫の中2英語向け（NEW TREASURE STAGE2）。総括→Lesson別に整理した目次ページです。接続詞・文型・不定詞/動名詞・受動態・現在完了・後置修飾・関係代名詞・仮定法まで、必要な解説へ最短で辿れます。")</f>
        <v>中高一貫の中2英語向け（NEW TREASURE STAGE2）。総括→Lesson別に整理した目次ページです。接続詞・文型・不定詞/動名詞・受動態・現在完了・後置修飾・関係代名詞・仮定法まで、必要な解説へ最短で辿れます。</v>
      </c>
      <c r="E153" s="32">
        <f>IFERROR(__xludf.DUMMYFUNCTION("IFERROR(
  VLOOKUP(
    A153,
    IMPORTRANGE(
      ""1ZygntHC1J6IxzKbTidmOyf5nUyW4GCLurHCjexrLm_o        "",
      ""HTMLキャッシュ!A:F""
    ),
    3,
    FALSE
  ),
  0
)
"),46059.778761574074)</f>
        <v>46059.77876</v>
      </c>
      <c r="F153" s="49">
        <f>IFERROR(__xludf.DUMMYFUNCTION("IFERROR(
  VLOOKUP(
    A153,
    IMPORTRANGE(
      ""1ZHMy3vVUd_0MrSduXTe1etBb1HNpAlGwQr006ljwMiM"",
      ""GSC最新!A:F""
    ),
    2,
    FALSE
  ),
  0
)
"),0.0)</f>
        <v>0</v>
      </c>
      <c r="G153" s="49">
        <f>IFERROR(__xludf.DUMMYFUNCTION("IFERROR(
  VLOOKUP(
    A153,
    IMPORTRANGE(
      ""1ZHMy3vVUd_0MrSduXTe1etBb1HNpAlGwQr006ljwMiM"",
      ""GSC最新!A:F""
    ),
    3,
    FALSE
  ),
  0
)
"),0.0)</f>
        <v>0</v>
      </c>
      <c r="H153" s="49">
        <f>IFERROR(__xludf.DUMMYFUNCTION("IFERROR(
  VLOOKUP(
    A153,
    IMPORTRANGE(
      ""1ZHMy3vVUd_0MrSduXTe1etBb1HNpAlGwQr006ljwMiM"",
      ""GSC最新!A:F""
    ),
    4,
    FALSE
  ),
  0
)
"),0.0)</f>
        <v>0</v>
      </c>
      <c r="I153" s="49">
        <f>IFERROR(__xludf.DUMMYFUNCTION("IFERROR(
  VLOOKUP(
    A153,
    IMPORTRANGE(
      ""1ZHMy3vVUd_0MrSduXTe1etBb1HNpAlGwQr006ljwMiM"",
      ""GSC最新!A:F""
    ),
    5,
    FALSE
  ),
  0
)
"),0.0)</f>
        <v>0</v>
      </c>
      <c r="J153" s="50" t="str">
        <f t="shared" ref="J153:K153" si="756">IFERROR(F153/H153,"-")</f>
        <v>-</v>
      </c>
      <c r="K153" s="50" t="str">
        <f t="shared" si="756"/>
        <v>-</v>
      </c>
      <c r="L153" s="6">
        <f>IFERROR(__xludf.DUMMYFUNCTION("IFERROR(
  VLOOKUP(
    A153,
    IMPORTRANGE(
      ""1ZHMy3vVUd_0MrSduXTe1etBb1HNpAlGwQr006ljwMiM"",
      ""GSC最新!A:R""
    ),
    7,
    FALSE
  ),
  0
)
"),0.0)</f>
        <v>0</v>
      </c>
      <c r="M153" s="6">
        <f>IFERROR(__xludf.DUMMYFUNCTION("IFERROR(
  VLOOKUP(
    A153,
    IMPORTRANGE(
      ""1ZHMy3vVUd_0MrSduXTe1etBb1HNpAlGwQr006ljwMiM"",
      ""GSC最新!A:R""
    ),
    10,
    FALSE
  ),
  0
)
"),0.0)</f>
        <v>0</v>
      </c>
      <c r="N153" s="6">
        <f>IFERROR(__xludf.DUMMYFUNCTION("IFERROR(
  VLOOKUP(
    A153,
    IMPORTRANGE(
      ""1ZHMy3vVUd_0MrSduXTe1etBb1HNpAlGwQr006ljwMiM"",
      ""GSC最新!A:R""
    ),
    13,
    FALSE
  ),
  0
)
"),0.0)</f>
        <v>0</v>
      </c>
      <c r="O153" s="6">
        <f>IFERROR(__xludf.DUMMYFUNCTION("IFERROR(
  VLOOKUP(
    A153,
    IMPORTRANGE(
      ""1ZHMy3vVUd_0MrSduXTe1etBb1HNpAlGwQr006ljwMiM"",
      ""GSC最新!A:R""
    ),
    16,
    FALSE
  ),
  0
)
"),0.0)</f>
        <v>0</v>
      </c>
      <c r="P153" s="51" t="str">
        <f t="shared" ref="P153:Q153" si="757">IFERROR(L153/N153,"-")</f>
        <v>-</v>
      </c>
      <c r="Q153" s="51" t="str">
        <f t="shared" si="757"/>
        <v>-</v>
      </c>
      <c r="R153" s="9">
        <f>IFERROR(__xludf.DUMMYFUNCTION("IFERROR(
  VLOOKUP(
    A153,
    IMPORTRANGE(
      ""1ZHMy3vVUd_0MrSduXTe1etBb1HNpAlGwQr006ljwMiM"",
      ""GSC最新!A:R""
    ),
    8,
    FALSE
  ),
  0
)
"),0.0)</f>
        <v>0</v>
      </c>
      <c r="S153" s="9">
        <f>IFERROR(__xludf.DUMMYFUNCTION("IFERROR(
  VLOOKUP(
    A153,
    IMPORTRANGE(
      ""1ZHMy3vVUd_0MrSduXTe1etBb1HNpAlGwQr006ljwMiM"",
      ""GSC最新!A:R""
    ),
    11,
    FALSE
  ),
  0
)
"),0.0)</f>
        <v>0</v>
      </c>
      <c r="T153" s="9">
        <f>IFERROR(__xludf.DUMMYFUNCTION("IFERROR(
  VLOOKUP(
    A153,
    IMPORTRANGE(
      ""1ZHMy3vVUd_0MrSduXTe1etBb1HNpAlGwQr006ljwMiM"",
      ""GSC最新!A:R""
    ),
    14,
    FALSE
  ),
  0
)
"),0.0)</f>
        <v>0</v>
      </c>
      <c r="U153" s="9">
        <f>IFERROR(__xludf.DUMMYFUNCTION("IFERROR(
  VLOOKUP(
    A153,
    IMPORTRANGE(
      ""1ZHMy3vVUd_0MrSduXTe1etBb1HNpAlGwQr006ljwMiM"",
      ""GSC最新!A:R""
    ),
    17,
    FALSE
  ),
  0
)
"),0.0)</f>
        <v>0</v>
      </c>
      <c r="V153" s="9">
        <f t="shared" ref="V153:W153" si="758">IFERROR(R153-T153,"-")</f>
        <v>0</v>
      </c>
      <c r="W153" s="9">
        <f t="shared" si="758"/>
        <v>0</v>
      </c>
      <c r="X153" s="65" t="str">
        <f>IFERROR(__xludf.DUMMYFUNCTION("IFERROR(
  VLOOKUP(
    A153,
    IMPORTRANGE(
      ""1ZHMy3vVUd_0MrSduXTe1etBb1HNpAlGwQr006ljwMiM"",
      ""GSC最新!A:R""
    ),
    9,
    FALSE
  ),
  0
)
"),"")</f>
        <v/>
      </c>
      <c r="Y153" s="65" t="str">
        <f>IFERROR(__xludf.DUMMYFUNCTION("IFERROR(
  VLOOKUP(
    A153,
    IMPORTRANGE(
      ""1ZHMy3vVUd_0MrSduXTe1etBb1HNpAlGwQr006ljwMiM"",
      ""GSC最新!A:R""
    ),
    12,
    FALSE
  ),
  0
)
"),"")</f>
        <v/>
      </c>
      <c r="Z153" s="65" t="str">
        <f>IFERROR(__xludf.DUMMYFUNCTION("IFERROR(
  VLOOKUP(
    A153,
    IMPORTRANGE(
      ""1ZHMy3vVUd_0MrSduXTe1etBb1HNpAlGwQr006ljwMiM"",
      ""GSC最新!A:R""
    ),
    15,
    FALSE
  ),
  0
)
"),"")</f>
        <v/>
      </c>
      <c r="AA153" s="65" t="str">
        <f>IFERROR(__xludf.DUMMYFUNCTION("IFERROR(
  VLOOKUP(
    A153,
    IMPORTRANGE(
      ""1ZHMy3vVUd_0MrSduXTe1etBb1HNpAlGwQr006ljwMiM"",
      ""GSC最新!A:R""
    ),
    18,
    FALSE
  ),
  0
)
"),"")</f>
        <v/>
      </c>
      <c r="AB153" s="65">
        <f t="shared" ref="AB153:AC153" si="759">X153-Z153</f>
        <v>0</v>
      </c>
      <c r="AC153" s="65">
        <f t="shared" si="759"/>
        <v>0</v>
      </c>
      <c r="AD153" s="53">
        <f>IFERROR(__xludf.DUMMYFUNCTION("IFERROR(
  VLOOKUP(
    A153,
    IMPORTRANGE(
      ""1ZHMy3vVUd_0MrSduXTe1etBb1HNpAlGwQr006ljwMiM"",
      ""GSC最新!A:F""
    ),
    6,
    FALSE
  ),
  0
)
"),46081.0)</f>
        <v>46081</v>
      </c>
      <c r="AE153" s="54">
        <f>IFERROR(__xludf.DUMMYFUNCTION("IFERROR(
  VLOOKUP(
    A153,
    IMPORTRANGE(
      ""1SCYQd7_cobOYqT0r_F0IqD4tE4rYn5y8Eup4PJTH8es"",
      ""Snapshot!A:M""
    ),
    5,
    FALSE
  ),
  ""-""
)
"),15.0)</f>
        <v>15</v>
      </c>
      <c r="AF153" s="54">
        <f>IFERROR(__xludf.DUMMYFUNCTION("IFERROR(
  VLOOKUP(
    A153,
    IMPORTRANGE(
      ""1SCYQd7_cobOYqT0r_F0IqD4tE4rYn5y8Eup4PJTH8es"",
      ""Snapshot!A:M""
    ),
    6,
    FALSE
  ),
  0
)
"),0.0)</f>
        <v>0</v>
      </c>
      <c r="AG153" s="54">
        <f>IFERROR(__xludf.DUMMYFUNCTION("IFERROR(
  VLOOKUP(
    A153,
    IMPORTRANGE(
      ""1SCYQd7_cobOYqT0r_F0IqD4tE4rYn5y8Eup4PJTH8es"",
      ""Snapshot!A:M""
    ),
    7,
    FALSE
  ),
  0
)
"),4209.0)</f>
        <v>4209</v>
      </c>
      <c r="AH153" s="54">
        <f>IFERROR(__xludf.DUMMYFUNCTION("IFERROR(
  VLOOKUP(
    A153,
    IMPORTRANGE(
      ""1SCYQd7_cobOYqT0r_F0IqD4tE4rYn5y8Eup4PJTH8es"",
      ""Snapshot!A:M""
    ),
    8,
    FALSE
  ),
  0
)
"),39.0)</f>
        <v>39</v>
      </c>
      <c r="AI153" s="54">
        <f>IFERROR(__xludf.DUMMYFUNCTION("IFERROR(
  VLOOKUP(
    A153,
    IMPORTRANGE(
      ""1SCYQd7_cobOYqT0r_F0IqD4tE4rYn5y8Eup4PJTH8es"",
      ""Snapshot!A:M""
    ),
    9,
    FALSE
  ),
  0
)
"),0.0)</f>
        <v>0</v>
      </c>
      <c r="AJ153" s="54">
        <f>IFERROR(__xludf.DUMMYFUNCTION("IFERROR(
  VLOOKUP(
    A153,
    IMPORTRANGE(
      ""1SCYQd7_cobOYqT0r_F0IqD4tE4rYn5y8Eup4PJTH8es"",
      ""Snapshot!A:M""
    ),
    13,
    FALSE
  ),
  0
)
"),1.0)</f>
        <v>1</v>
      </c>
      <c r="AK153" s="49">
        <f t="shared" ref="AK153:AL153" si="760">LEN(C153)</f>
        <v>37</v>
      </c>
      <c r="AL153" s="49">
        <f t="shared" si="760"/>
        <v>111</v>
      </c>
    </row>
    <row r="154">
      <c r="A154" s="56" t="s">
        <v>1086</v>
      </c>
      <c r="B154" s="1" t="str">
        <f>IFERROR(__xludf.DUMMYFUNCTION("IFERROR(
  VLOOKUP(
    A154,
    IMPORTRANGE(
      ""1ZygntHC1J6IxzKbTidmOyf5nUyW4GCLurHCjexrLm_o"",
      ""HTMLキャッシュ!A:F""
    ),
    2,
    FALSE
  ),
  0
)
"),"MC")</f>
        <v>MC</v>
      </c>
      <c r="C154" s="1" t="str">
        <f>IFERROR(__xludf.DUMMYFUNCTION("IFERROR(
  VLOOKUP(
    A154,
    IMPORTRANGE(
      ""1ZygntHC1J6IxzKbTidmOyf5nUyW4GCLurHCjexrLm_o"",
      ""HTMLキャッシュ!A:F""
    ),
    5,
    FALSE
  ),
  0
)
"),"NEW TREASURE STAGE1｜中1英文法 総括＋Lesson一覧")</f>
        <v>NEW TREASURE STAGE1｜中1英文法 総括＋Lesson一覧</v>
      </c>
      <c r="D154" s="1" t="str">
        <f>IFERROR(__xludf.DUMMYFUNCTION("IFERROR(
  VLOOKUP(
    A154,
    IMPORTRANGE(
      ""1ZygntHC1J6IxzKbTidmOyf5nUyW4GCLurHCjexrLm_o        "",
      ""HTMLキャッシュ!A:F""
    ),
    6,
    FALSE
  ),
  0
)
"),"中高一貫の中1英語向け（NEW TREASURE STAGE1）。総括→Lesson別に整理した目次ページです。be動詞・一般動詞・疑問文・進行形・過去・助動詞・there構文・比較まで、必要な解説へ最短で辿れます。")</f>
        <v>中高一貫の中1英語向け（NEW TREASURE STAGE1）。総括→Lesson別に整理した目次ページです。be動詞・一般動詞・疑問文・進行形・過去・助動詞・there構文・比較まで、必要な解説へ最短で辿れます。</v>
      </c>
      <c r="E154" s="32">
        <f>IFERROR(__xludf.DUMMYFUNCTION("IFERROR(
  VLOOKUP(
    A154,
    IMPORTRANGE(
      ""1ZygntHC1J6IxzKbTidmOyf5nUyW4GCLurHCjexrLm_o        "",
      ""HTMLキャッシュ!A:F""
    ),
    3,
    FALSE
  ),
  0
)
"),46052.75009259259)</f>
        <v>46052.75009</v>
      </c>
      <c r="F154" s="49">
        <f>IFERROR(__xludf.DUMMYFUNCTION("IFERROR(
  VLOOKUP(
    A154,
    IMPORTRANGE(
      ""1ZHMy3vVUd_0MrSduXTe1etBb1HNpAlGwQr006ljwMiM"",
      ""GSC最新!A:F""
    ),
    2,
    FALSE
  ),
  0
)
"),0.0)</f>
        <v>0</v>
      </c>
      <c r="G154" s="49">
        <f>IFERROR(__xludf.DUMMYFUNCTION("IFERROR(
  VLOOKUP(
    A154,
    IMPORTRANGE(
      ""1ZHMy3vVUd_0MrSduXTe1etBb1HNpAlGwQr006ljwMiM"",
      ""GSC最新!A:F""
    ),
    3,
    FALSE
  ),
  0
)
"),0.0)</f>
        <v>0</v>
      </c>
      <c r="H154" s="49">
        <f>IFERROR(__xludf.DUMMYFUNCTION("IFERROR(
  VLOOKUP(
    A154,
    IMPORTRANGE(
      ""1ZHMy3vVUd_0MrSduXTe1etBb1HNpAlGwQr006ljwMiM"",
      ""GSC最新!A:F""
    ),
    4,
    FALSE
  ),
  0
)
"),0.0)</f>
        <v>0</v>
      </c>
      <c r="I154" s="49">
        <f>IFERROR(__xludf.DUMMYFUNCTION("IFERROR(
  VLOOKUP(
    A154,
    IMPORTRANGE(
      ""1ZHMy3vVUd_0MrSduXTe1etBb1HNpAlGwQr006ljwMiM"",
      ""GSC最新!A:F""
    ),
    5,
    FALSE
  ),
  0
)
"),0.0)</f>
        <v>0</v>
      </c>
      <c r="J154" s="50" t="str">
        <f t="shared" ref="J154:K154" si="761">IFERROR(F154/H154,"-")</f>
        <v>-</v>
      </c>
      <c r="K154" s="50" t="str">
        <f t="shared" si="761"/>
        <v>-</v>
      </c>
      <c r="L154" s="6">
        <f>IFERROR(__xludf.DUMMYFUNCTION("IFERROR(
  VLOOKUP(
    A154,
    IMPORTRANGE(
      ""1ZHMy3vVUd_0MrSduXTe1etBb1HNpAlGwQr006ljwMiM"",
      ""GSC最新!A:R""
    ),
    7,
    FALSE
  ),
  0
)
"),0.0)</f>
        <v>0</v>
      </c>
      <c r="M154" s="6">
        <f>IFERROR(__xludf.DUMMYFUNCTION("IFERROR(
  VLOOKUP(
    A154,
    IMPORTRANGE(
      ""1ZHMy3vVUd_0MrSduXTe1etBb1HNpAlGwQr006ljwMiM"",
      ""GSC最新!A:R""
    ),
    10,
    FALSE
  ),
  0
)
"),0.0)</f>
        <v>0</v>
      </c>
      <c r="N154" s="6">
        <f>IFERROR(__xludf.DUMMYFUNCTION("IFERROR(
  VLOOKUP(
    A154,
    IMPORTRANGE(
      ""1ZHMy3vVUd_0MrSduXTe1etBb1HNpAlGwQr006ljwMiM"",
      ""GSC最新!A:R""
    ),
    13,
    FALSE
  ),
  0
)
"),0.0)</f>
        <v>0</v>
      </c>
      <c r="O154" s="6">
        <f>IFERROR(__xludf.DUMMYFUNCTION("IFERROR(
  VLOOKUP(
    A154,
    IMPORTRANGE(
      ""1ZHMy3vVUd_0MrSduXTe1etBb1HNpAlGwQr006ljwMiM"",
      ""GSC最新!A:R""
    ),
    16,
    FALSE
  ),
  0
)
"),0.0)</f>
        <v>0</v>
      </c>
      <c r="P154" s="51" t="str">
        <f t="shared" ref="P154:Q154" si="762">IFERROR(L154/N154,"-")</f>
        <v>-</v>
      </c>
      <c r="Q154" s="51" t="str">
        <f t="shared" si="762"/>
        <v>-</v>
      </c>
      <c r="R154" s="9">
        <f>IFERROR(__xludf.DUMMYFUNCTION("IFERROR(
  VLOOKUP(
    A154,
    IMPORTRANGE(
      ""1ZHMy3vVUd_0MrSduXTe1etBb1HNpAlGwQr006ljwMiM"",
      ""GSC最新!A:R""
    ),
    8,
    FALSE
  ),
  0
)
"),0.0)</f>
        <v>0</v>
      </c>
      <c r="S154" s="9">
        <f>IFERROR(__xludf.DUMMYFUNCTION("IFERROR(
  VLOOKUP(
    A154,
    IMPORTRANGE(
      ""1ZHMy3vVUd_0MrSduXTe1etBb1HNpAlGwQr006ljwMiM"",
      ""GSC最新!A:R""
    ),
    11,
    FALSE
  ),
  0
)
"),0.0)</f>
        <v>0</v>
      </c>
      <c r="T154" s="9">
        <f>IFERROR(__xludf.DUMMYFUNCTION("IFERROR(
  VLOOKUP(
    A154,
    IMPORTRANGE(
      ""1ZHMy3vVUd_0MrSduXTe1etBb1HNpAlGwQr006ljwMiM"",
      ""GSC最新!A:R""
    ),
    14,
    FALSE
  ),
  0
)
"),0.0)</f>
        <v>0</v>
      </c>
      <c r="U154" s="9">
        <f>IFERROR(__xludf.DUMMYFUNCTION("IFERROR(
  VLOOKUP(
    A154,
    IMPORTRANGE(
      ""1ZHMy3vVUd_0MrSduXTe1etBb1HNpAlGwQr006ljwMiM"",
      ""GSC最新!A:R""
    ),
    17,
    FALSE
  ),
  0
)
"),0.0)</f>
        <v>0</v>
      </c>
      <c r="V154" s="9">
        <f t="shared" ref="V154:W154" si="763">IFERROR(R154-T154,"-")</f>
        <v>0</v>
      </c>
      <c r="W154" s="9">
        <f t="shared" si="763"/>
        <v>0</v>
      </c>
      <c r="X154" s="65" t="str">
        <f>IFERROR(__xludf.DUMMYFUNCTION("IFERROR(
  VLOOKUP(
    A154,
    IMPORTRANGE(
      ""1ZHMy3vVUd_0MrSduXTe1etBb1HNpAlGwQr006ljwMiM"",
      ""GSC最新!A:R""
    ),
    9,
    FALSE
  ),
  0
)
"),"")</f>
        <v/>
      </c>
      <c r="Y154" s="65" t="str">
        <f>IFERROR(__xludf.DUMMYFUNCTION("IFERROR(
  VLOOKUP(
    A154,
    IMPORTRANGE(
      ""1ZHMy3vVUd_0MrSduXTe1etBb1HNpAlGwQr006ljwMiM"",
      ""GSC最新!A:R""
    ),
    12,
    FALSE
  ),
  0
)
"),"")</f>
        <v/>
      </c>
      <c r="Z154" s="65" t="str">
        <f>IFERROR(__xludf.DUMMYFUNCTION("IFERROR(
  VLOOKUP(
    A154,
    IMPORTRANGE(
      ""1ZHMy3vVUd_0MrSduXTe1etBb1HNpAlGwQr006ljwMiM"",
      ""GSC最新!A:R""
    ),
    15,
    FALSE
  ),
  0
)
"),"")</f>
        <v/>
      </c>
      <c r="AA154" s="65" t="str">
        <f>IFERROR(__xludf.DUMMYFUNCTION("IFERROR(
  VLOOKUP(
    A154,
    IMPORTRANGE(
      ""1ZHMy3vVUd_0MrSduXTe1etBb1HNpAlGwQr006ljwMiM"",
      ""GSC最新!A:R""
    ),
    18,
    FALSE
  ),
  0
)
"),"")</f>
        <v/>
      </c>
      <c r="AB154" s="65">
        <f t="shared" ref="AB154:AC154" si="764">X154-Z154</f>
        <v>0</v>
      </c>
      <c r="AC154" s="65">
        <f t="shared" si="764"/>
        <v>0</v>
      </c>
      <c r="AD154" s="53">
        <f>IFERROR(__xludf.DUMMYFUNCTION("IFERROR(
  VLOOKUP(
    A154,
    IMPORTRANGE(
      ""1ZHMy3vVUd_0MrSduXTe1etBb1HNpAlGwQr006ljwMiM"",
      ""GSC最新!A:F""
    ),
    6,
    FALSE
  ),
  0
)
"),46081.0)</f>
        <v>46081</v>
      </c>
      <c r="AE154" s="54">
        <f>IFERROR(__xludf.DUMMYFUNCTION("IFERROR(
  VLOOKUP(
    A154,
    IMPORTRANGE(
      ""1SCYQd7_cobOYqT0r_F0IqD4tE4rYn5y8Eup4PJTH8es"",
      ""Snapshot!A:M""
    ),
    5,
    FALSE
  ),
  ""-""
)
"),15.0)</f>
        <v>15</v>
      </c>
      <c r="AF154" s="54">
        <f>IFERROR(__xludf.DUMMYFUNCTION("IFERROR(
  VLOOKUP(
    A154,
    IMPORTRANGE(
      ""1SCYQd7_cobOYqT0r_F0IqD4tE4rYn5y8Eup4PJTH8es"",
      ""Snapshot!A:M""
    ),
    6,
    FALSE
  ),
  0
)
"),0.0)</f>
        <v>0</v>
      </c>
      <c r="AG154" s="54">
        <f>IFERROR(__xludf.DUMMYFUNCTION("IFERROR(
  VLOOKUP(
    A154,
    IMPORTRANGE(
      ""1SCYQd7_cobOYqT0r_F0IqD4tE4rYn5y8Eup4PJTH8es"",
      ""Snapshot!A:M""
    ),
    7,
    FALSE
  ),
  0
)
"),4285.0)</f>
        <v>4285</v>
      </c>
      <c r="AH154" s="54">
        <f>IFERROR(__xludf.DUMMYFUNCTION("IFERROR(
  VLOOKUP(
    A154,
    IMPORTRANGE(
      ""1SCYQd7_cobOYqT0r_F0IqD4tE4rYn5y8Eup4PJTH8es"",
      ""Snapshot!A:M""
    ),
    8,
    FALSE
  ),
  0
)
"),41.0)</f>
        <v>41</v>
      </c>
      <c r="AI154" s="54">
        <f>IFERROR(__xludf.DUMMYFUNCTION("IFERROR(
  VLOOKUP(
    A154,
    IMPORTRANGE(
      ""1SCYQd7_cobOYqT0r_F0IqD4tE4rYn5y8Eup4PJTH8es"",
      ""Snapshot!A:M""
    ),
    9,
    FALSE
  ),
  0
)
"),0.0)</f>
        <v>0</v>
      </c>
      <c r="AJ154" s="54">
        <f>IFERROR(__xludf.DUMMYFUNCTION("IFERROR(
  VLOOKUP(
    A154,
    IMPORTRANGE(
      ""1SCYQd7_cobOYqT0r_F0IqD4tE4rYn5y8Eup4PJTH8es"",
      ""Snapshot!A:M""
    ),
    13,
    FALSE
  ),
  0
)
"),1.0)</f>
        <v>1</v>
      </c>
      <c r="AK154" s="49">
        <f t="shared" ref="AK154:AL154" si="765">LEN(C154)</f>
        <v>37</v>
      </c>
      <c r="AL154" s="49">
        <f t="shared" si="765"/>
        <v>108</v>
      </c>
    </row>
    <row r="155">
      <c r="A155" s="3" t="s">
        <v>1087</v>
      </c>
      <c r="B155" s="1" t="str">
        <f>IFERROR(__xludf.DUMMYFUNCTION("IFERROR(
  VLOOKUP(
    A155,
    IMPORTRANGE(
      ""1ZygntHC1J6IxzKbTidmOyf5nUyW4GCLurHCjexrLm_o"",
      ""HTMLキャッシュ!A:F""
    ),
    2,
    FALSE
  ),
  0
)
"),"MC")</f>
        <v>MC</v>
      </c>
      <c r="C155" s="1" t="str">
        <f>IFERROR(__xludf.DUMMYFUNCTION("IFERROR(
  VLOOKUP(
    A155,
    IMPORTRANGE(
      ""1ZygntHC1J6IxzKbTidmOyf5nUyW4GCLurHCjexrLm_o"",
      ""HTMLキャッシュ!A:F""
    ),
    5,
    FALSE
  ),
  0
)
"),"STAGE3 Lesson8-1名詞節(疑問詞の関節疑問)【ニュートレジャーの道案内】 - 受験英語専門ゼミ「Re-Write」(リライト)")</f>
        <v>STAGE3 Lesson8-1名詞節(疑問詞の関節疑問)【ニュートレジャーの道案内】 - 受験英語専門ゼミ「Re-Write」(リライト)</v>
      </c>
      <c r="D155" s="1" t="str">
        <f>IFERROR(__xludf.DUMMYFUNCTION("IFERROR(
  VLOOKUP(
    A155,
    IMPORTRANGE(
      ""1ZygntHC1J6IxzKbTidmOyf5nUyW4GCLurHCjexrLm_o        "",
      ""HTMLキャッシュ!A:F""
    ),
    6,
    FALSE
  ),
  0
)
"),"間接疑問の導入 それでは Lesson8 セクション1を進めていきましょう。Lesson8 では 間接疑問")</f>
        <v>間接疑問の導入 それでは Lesson8 セクション1を進めていきましょう。Lesson8 では 間接疑問</v>
      </c>
      <c r="E155" s="32">
        <f>IFERROR(__xludf.DUMMYFUNCTION("IFERROR(
  VLOOKUP(
    A155,
    IMPORTRANGE(
      ""1ZygntHC1J6IxzKbTidmOyf5nUyW4GCLurHCjexrLm_o        "",
      ""HTMLキャッシュ!A:F""
    ),
    3,
    FALSE
  ),
  0
)
"),46043.62018518519)</f>
        <v>46043.62019</v>
      </c>
      <c r="F155" s="49">
        <f>IFERROR(__xludf.DUMMYFUNCTION("IFERROR(
  VLOOKUP(
    A155,
    IMPORTRANGE(
      ""1ZHMy3vVUd_0MrSduXTe1etBb1HNpAlGwQr006ljwMiM"",
      ""GSC最新!A:F""
    ),
    2,
    FALSE
  ),
  0
)
"),0.0)</f>
        <v>0</v>
      </c>
      <c r="G155" s="49">
        <f>IFERROR(__xludf.DUMMYFUNCTION("IFERROR(
  VLOOKUP(
    A155,
    IMPORTRANGE(
      ""1ZHMy3vVUd_0MrSduXTe1etBb1HNpAlGwQr006ljwMiM"",
      ""GSC最新!A:F""
    ),
    3,
    FALSE
  ),
  0
)
"),0.0)</f>
        <v>0</v>
      </c>
      <c r="H155" s="49">
        <f>IFERROR(__xludf.DUMMYFUNCTION("IFERROR(
  VLOOKUP(
    A155,
    IMPORTRANGE(
      ""1ZHMy3vVUd_0MrSduXTe1etBb1HNpAlGwQr006ljwMiM"",
      ""GSC最新!A:F""
    ),
    4,
    FALSE
  ),
  0
)
"),0.0)</f>
        <v>0</v>
      </c>
      <c r="I155" s="49">
        <f>IFERROR(__xludf.DUMMYFUNCTION("IFERROR(
  VLOOKUP(
    A155,
    IMPORTRANGE(
      ""1ZHMy3vVUd_0MrSduXTe1etBb1HNpAlGwQr006ljwMiM"",
      ""GSC最新!A:F""
    ),
    5,
    FALSE
  ),
  0
)
"),1.0)</f>
        <v>1</v>
      </c>
      <c r="J155" s="50" t="str">
        <f t="shared" ref="J155:K155" si="766">IFERROR(F155/H155,"-")</f>
        <v>-</v>
      </c>
      <c r="K155" s="50">
        <f t="shared" si="766"/>
        <v>0</v>
      </c>
      <c r="L155" s="6">
        <f>IFERROR(__xludf.DUMMYFUNCTION("IFERROR(
  VLOOKUP(
    A155,
    IMPORTRANGE(
      ""1ZHMy3vVUd_0MrSduXTe1etBb1HNpAlGwQr006ljwMiM"",
      ""GSC最新!A:R""
    ),
    7,
    FALSE
  ),
  0
)
"),0.0)</f>
        <v>0</v>
      </c>
      <c r="M155" s="6">
        <f>IFERROR(__xludf.DUMMYFUNCTION("IFERROR(
  VLOOKUP(
    A155,
    IMPORTRANGE(
      ""1ZHMy3vVUd_0MrSduXTe1etBb1HNpAlGwQr006ljwMiM"",
      ""GSC最新!A:R""
    ),
    10,
    FALSE
  ),
  0
)
"),0.0)</f>
        <v>0</v>
      </c>
      <c r="N155" s="6">
        <f>IFERROR(__xludf.DUMMYFUNCTION("IFERROR(
  VLOOKUP(
    A155,
    IMPORTRANGE(
      ""1ZHMy3vVUd_0MrSduXTe1etBb1HNpAlGwQr006ljwMiM"",
      ""GSC最新!A:R""
    ),
    13,
    FALSE
  ),
  0
)
"),0.0)</f>
        <v>0</v>
      </c>
      <c r="O155" s="6">
        <f>IFERROR(__xludf.DUMMYFUNCTION("IFERROR(
  VLOOKUP(
    A155,
    IMPORTRANGE(
      ""1ZHMy3vVUd_0MrSduXTe1etBb1HNpAlGwQr006ljwMiM"",
      ""GSC最新!A:R""
    ),
    16,
    FALSE
  ),
  0
)
"),4.0)</f>
        <v>4</v>
      </c>
      <c r="P155" s="51" t="str">
        <f t="shared" ref="P155:Q155" si="767">IFERROR(L155/N155,"-")</f>
        <v>-</v>
      </c>
      <c r="Q155" s="51">
        <f t="shared" si="767"/>
        <v>0</v>
      </c>
      <c r="R155" s="9">
        <f>IFERROR(__xludf.DUMMYFUNCTION("IFERROR(
  VLOOKUP(
    A155,
    IMPORTRANGE(
      ""1ZHMy3vVUd_0MrSduXTe1etBb1HNpAlGwQr006ljwMiM"",
      ""GSC最新!A:R""
    ),
    8,
    FALSE
  ),
  0
)
"),0.0)</f>
        <v>0</v>
      </c>
      <c r="S155" s="9">
        <f>IFERROR(__xludf.DUMMYFUNCTION("IFERROR(
  VLOOKUP(
    A155,
    IMPORTRANGE(
      ""1ZHMy3vVUd_0MrSduXTe1etBb1HNpAlGwQr006ljwMiM"",
      ""GSC最新!A:R""
    ),
    11,
    FALSE
  ),
  0
)
"),0.0)</f>
        <v>0</v>
      </c>
      <c r="T155" s="9">
        <f>IFERROR(__xludf.DUMMYFUNCTION("IFERROR(
  VLOOKUP(
    A155,
    IMPORTRANGE(
      ""1ZHMy3vVUd_0MrSduXTe1etBb1HNpAlGwQr006ljwMiM"",
      ""GSC最新!A:R""
    ),
    14,
    FALSE
  ),
  0
)
"),0.0)</f>
        <v>0</v>
      </c>
      <c r="U155" s="9">
        <f>IFERROR(__xludf.DUMMYFUNCTION("IFERROR(
  VLOOKUP(
    A155,
    IMPORTRANGE(
      ""1ZHMy3vVUd_0MrSduXTe1etBb1HNpAlGwQr006ljwMiM"",
      ""GSC最新!A:R""
    ),
    17,
    FALSE
  ),
  0
)
"),0.25)</f>
        <v>0.25</v>
      </c>
      <c r="V155" s="9">
        <f t="shared" ref="V155:W155" si="768">IFERROR(R155-T155,"-")</f>
        <v>0</v>
      </c>
      <c r="W155" s="9">
        <f t="shared" si="768"/>
        <v>-0.25</v>
      </c>
      <c r="X155" s="65" t="str">
        <f>IFERROR(__xludf.DUMMYFUNCTION("IFERROR(
  VLOOKUP(
    A155,
    IMPORTRANGE(
      ""1ZHMy3vVUd_0MrSduXTe1etBb1HNpAlGwQr006ljwMiM"",
      ""GSC最新!A:R""
    ),
    9,
    FALSE
  ),
  0
)
"),"")</f>
        <v/>
      </c>
      <c r="Y155" s="65" t="str">
        <f>IFERROR(__xludf.DUMMYFUNCTION("IFERROR(
  VLOOKUP(
    A155,
    IMPORTRANGE(
      ""1ZHMy3vVUd_0MrSduXTe1etBb1HNpAlGwQr006ljwMiM"",
      ""GSC最新!A:R""
    ),
    12,
    FALSE
  ),
  0
)
"),"")</f>
        <v/>
      </c>
      <c r="Z155" s="65" t="str">
        <f>IFERROR(__xludf.DUMMYFUNCTION("IFERROR(
  VLOOKUP(
    A155,
    IMPORTRANGE(
      ""1ZHMy3vVUd_0MrSduXTe1etBb1HNpAlGwQr006ljwMiM"",
      ""GSC最新!A:R""
    ),
    15,
    FALSE
  ),
  0
)
"),"")</f>
        <v/>
      </c>
      <c r="AA155" s="65">
        <f>IFERROR(__xludf.DUMMYFUNCTION("IFERROR(
  VLOOKUP(
    A155,
    IMPORTRANGE(
      ""1ZHMy3vVUd_0MrSduXTe1etBb1HNpAlGwQr006ljwMiM"",
      ""GSC最新!A:R""
    ),
    18,
    FALSE
  ),
  0
)
"),6.75)</f>
        <v>6.75</v>
      </c>
      <c r="AB155" s="65">
        <f t="shared" ref="AB155:AC155" si="769">X155-Z155</f>
        <v>0</v>
      </c>
      <c r="AC155" s="65">
        <f t="shared" si="769"/>
        <v>-6.75</v>
      </c>
      <c r="AD155" s="53">
        <f>IFERROR(__xludf.DUMMYFUNCTION("IFERROR(
  VLOOKUP(
    A155,
    IMPORTRANGE(
      ""1ZHMy3vVUd_0MrSduXTe1etBb1HNpAlGwQr006ljwMiM"",
      ""GSC最新!A:F""
    ),
    6,
    FALSE
  ),
  0
)
"),46081.0)</f>
        <v>46081</v>
      </c>
      <c r="AE155" s="54">
        <f>IFERROR(__xludf.DUMMYFUNCTION("IFERROR(
  VLOOKUP(
    A155,
    IMPORTRANGE(
      ""1SCYQd7_cobOYqT0r_F0IqD4tE4rYn5y8Eup4PJTH8es"",
      ""Snapshot!A:M""
    ),
    5,
    FALSE
  ),
  ""-""
)
"),1.0)</f>
        <v>1</v>
      </c>
      <c r="AF155" s="54">
        <f>IFERROR(__xludf.DUMMYFUNCTION("IFERROR(
  VLOOKUP(
    A155,
    IMPORTRANGE(
      ""1SCYQd7_cobOYqT0r_F0IqD4tE4rYn5y8Eup4PJTH8es"",
      ""Snapshot!A:M""
    ),
    6,
    FALSE
  ),
  0
)
"),19.0)</f>
        <v>19</v>
      </c>
      <c r="AG155" s="54">
        <f>IFERROR(__xludf.DUMMYFUNCTION("IFERROR(
  VLOOKUP(
    A155,
    IMPORTRANGE(
      ""1SCYQd7_cobOYqT0r_F0IqD4tE4rYn5y8Eup4PJTH8es"",
      ""Snapshot!A:M""
    ),
    7,
    FALSE
  ),
  0
)
"),5997.0)</f>
        <v>5997</v>
      </c>
      <c r="AH155" s="54">
        <f>IFERROR(__xludf.DUMMYFUNCTION("IFERROR(
  VLOOKUP(
    A155,
    IMPORTRANGE(
      ""1SCYQd7_cobOYqT0r_F0IqD4tE4rYn5y8Eup4PJTH8es"",
      ""Snapshot!A:M""
    ),
    8,
    FALSE
  ),
  0
)
"),2.0)</f>
        <v>2</v>
      </c>
      <c r="AI155" s="54">
        <f>IFERROR(__xludf.DUMMYFUNCTION("IFERROR(
  VLOOKUP(
    A155,
    IMPORTRANGE(
      ""1SCYQd7_cobOYqT0r_F0IqD4tE4rYn5y8Eup4PJTH8es"",
      ""Snapshot!A:M""
    ),
    9,
    FALSE
  ),
  0
)
"),1.0)</f>
        <v>1</v>
      </c>
      <c r="AJ155" s="54">
        <f>IFERROR(__xludf.DUMMYFUNCTION("IFERROR(
  VLOOKUP(
    A155,
    IMPORTRANGE(
      ""1SCYQd7_cobOYqT0r_F0IqD4tE4rYn5y8Eup4PJTH8es"",
      ""Snapshot!A:M""
    ),
    13,
    FALSE
  ),
  0
)
"),1.0)</f>
        <v>1</v>
      </c>
      <c r="AK155" s="49">
        <f t="shared" ref="AK155:AL155" si="770">LEN(C155)</f>
        <v>70</v>
      </c>
      <c r="AL155" s="49">
        <f t="shared" si="770"/>
        <v>53</v>
      </c>
    </row>
    <row r="156">
      <c r="A156" s="3" t="s">
        <v>1088</v>
      </c>
      <c r="B156" s="1" t="str">
        <f>IFERROR(__xludf.DUMMYFUNCTION("IFERROR(
  VLOOKUP(
    A156,
    IMPORTRANGE(
      ""1ZygntHC1J6IxzKbTidmOyf5nUyW4GCLurHCjexrLm_o"",
      ""HTMLキャッシュ!A:F""
    ),
    2,
    FALSE
  ),
  0
)
"),"MC")</f>
        <v>MC</v>
      </c>
      <c r="C156" s="1" t="str">
        <f>IFERROR(__xludf.DUMMYFUNCTION("IFERROR(
  VLOOKUP(
    A156,
    IMPORTRANGE(
      ""1ZygntHC1J6IxzKbTidmOyf5nUyW4GCLurHCjexrLm_o"",
      ""HTMLキャッシュ!A:F""
    ),
    5,
    FALSE
  ),
  0
)
"),"stage1_Lesson3-2 一般動詞の文①(疑問詞を使う疑問文)【ニュートレジャーの道案内】 - 受験英語専門ゼミ「Re-Write」(リライト)")</f>
        <v>stage1_Lesson3-2 一般動詞の文①(疑問詞を使う疑問文)【ニュートレジャーの道案内】 - 受験英語専門ゼミ「Re-Write」(リライト)</v>
      </c>
      <c r="D156" s="1" t="str">
        <f>IFERROR(__xludf.DUMMYFUNCTION("IFERROR(
  VLOOKUP(
    A156,
    IMPORTRANGE(
      ""1ZygntHC1J6IxzKbTidmOyf5nUyW4GCLurHCjexrLm_o        "",
      ""HTMLキャッシュ!A:F""
    ),
    6,
    FALSE
  ),
  0
)
"),"NEW TREASURE STAGE1 の文法事項・Lesson一覧の全体像は、NEW TREASURE ST")</f>
        <v>NEW TREASURE STAGE1 の文法事項・Lesson一覧の全体像は、NEW TREASURE ST</v>
      </c>
      <c r="E156" s="32">
        <f>IFERROR(__xludf.DUMMYFUNCTION("IFERROR(
  VLOOKUP(
    A156,
    IMPORTRANGE(
      ""1ZygntHC1J6IxzKbTidmOyf5nUyW4GCLurHCjexrLm_o        "",
      ""HTMLキャッシュ!A:F""
    ),
    3,
    FALSE
  ),
  0
)
"),46059.75121527778)</f>
        <v>46059.75122</v>
      </c>
      <c r="F156" s="49">
        <f>IFERROR(__xludf.DUMMYFUNCTION("IFERROR(
  VLOOKUP(
    A156,
    IMPORTRANGE(
      ""1ZHMy3vVUd_0MrSduXTe1etBb1HNpAlGwQr006ljwMiM"",
      ""GSC最新!A:F""
    ),
    2,
    FALSE
  ),
  0
)
"),0.0)</f>
        <v>0</v>
      </c>
      <c r="G156" s="49">
        <f>IFERROR(__xludf.DUMMYFUNCTION("IFERROR(
  VLOOKUP(
    A156,
    IMPORTRANGE(
      ""1ZHMy3vVUd_0MrSduXTe1etBb1HNpAlGwQr006ljwMiM"",
      ""GSC最新!A:F""
    ),
    3,
    FALSE
  ),
  0
)
"),0.0)</f>
        <v>0</v>
      </c>
      <c r="H156" s="49">
        <f>IFERROR(__xludf.DUMMYFUNCTION("IFERROR(
  VLOOKUP(
    A156,
    IMPORTRANGE(
      ""1ZHMy3vVUd_0MrSduXTe1etBb1HNpAlGwQr006ljwMiM"",
      ""GSC最新!A:F""
    ),
    4,
    FALSE
  ),
  0
)
"),0.0)</f>
        <v>0</v>
      </c>
      <c r="I156" s="49">
        <f>IFERROR(__xludf.DUMMYFUNCTION("IFERROR(
  VLOOKUP(
    A156,
    IMPORTRANGE(
      ""1ZHMy3vVUd_0MrSduXTe1etBb1HNpAlGwQr006ljwMiM"",
      ""GSC最新!A:F""
    ),
    5,
    FALSE
  ),
  0
)
"),0.0)</f>
        <v>0</v>
      </c>
      <c r="J156" s="50" t="str">
        <f t="shared" ref="J156:K156" si="771">IFERROR(F156/H156,"-")</f>
        <v>-</v>
      </c>
      <c r="K156" s="50" t="str">
        <f t="shared" si="771"/>
        <v>-</v>
      </c>
      <c r="L156" s="6">
        <f>IFERROR(__xludf.DUMMYFUNCTION("IFERROR(
  VLOOKUP(
    A156,
    IMPORTRANGE(
      ""1ZHMy3vVUd_0MrSduXTe1etBb1HNpAlGwQr006ljwMiM"",
      ""GSC最新!A:R""
    ),
    7,
    FALSE
  ),
  0
)
"),0.0)</f>
        <v>0</v>
      </c>
      <c r="M156" s="6">
        <f>IFERROR(__xludf.DUMMYFUNCTION("IFERROR(
  VLOOKUP(
    A156,
    IMPORTRANGE(
      ""1ZHMy3vVUd_0MrSduXTe1etBb1HNpAlGwQr006ljwMiM"",
      ""GSC最新!A:R""
    ),
    10,
    FALSE
  ),
  0
)
"),0.0)</f>
        <v>0</v>
      </c>
      <c r="N156" s="6">
        <f>IFERROR(__xludf.DUMMYFUNCTION("IFERROR(
  VLOOKUP(
    A156,
    IMPORTRANGE(
      ""1ZHMy3vVUd_0MrSduXTe1etBb1HNpAlGwQr006ljwMiM"",
      ""GSC最新!A:R""
    ),
    13,
    FALSE
  ),
  0
)
"),0.0)</f>
        <v>0</v>
      </c>
      <c r="O156" s="6">
        <f>IFERROR(__xludf.DUMMYFUNCTION("IFERROR(
  VLOOKUP(
    A156,
    IMPORTRANGE(
      ""1ZHMy3vVUd_0MrSduXTe1etBb1HNpAlGwQr006ljwMiM"",
      ""GSC最新!A:R""
    ),
    16,
    FALSE
  ),
  0
)
"),0.0)</f>
        <v>0</v>
      </c>
      <c r="P156" s="51" t="str">
        <f t="shared" ref="P156:Q156" si="772">IFERROR(L156/N156,"-")</f>
        <v>-</v>
      </c>
      <c r="Q156" s="51" t="str">
        <f t="shared" si="772"/>
        <v>-</v>
      </c>
      <c r="R156" s="9">
        <f>IFERROR(__xludf.DUMMYFUNCTION("IFERROR(
  VLOOKUP(
    A156,
    IMPORTRANGE(
      ""1ZHMy3vVUd_0MrSduXTe1etBb1HNpAlGwQr006ljwMiM"",
      ""GSC最新!A:R""
    ),
    8,
    FALSE
  ),
  0
)
"),0.0)</f>
        <v>0</v>
      </c>
      <c r="S156" s="9">
        <f>IFERROR(__xludf.DUMMYFUNCTION("IFERROR(
  VLOOKUP(
    A156,
    IMPORTRANGE(
      ""1ZHMy3vVUd_0MrSduXTe1etBb1HNpAlGwQr006ljwMiM"",
      ""GSC最新!A:R""
    ),
    11,
    FALSE
  ),
  0
)
"),0.0)</f>
        <v>0</v>
      </c>
      <c r="T156" s="9">
        <f>IFERROR(__xludf.DUMMYFUNCTION("IFERROR(
  VLOOKUP(
    A156,
    IMPORTRANGE(
      ""1ZHMy3vVUd_0MrSduXTe1etBb1HNpAlGwQr006ljwMiM"",
      ""GSC最新!A:R""
    ),
    14,
    FALSE
  ),
  0
)
"),0.0)</f>
        <v>0</v>
      </c>
      <c r="U156" s="9">
        <f>IFERROR(__xludf.DUMMYFUNCTION("IFERROR(
  VLOOKUP(
    A156,
    IMPORTRANGE(
      ""1ZHMy3vVUd_0MrSduXTe1etBb1HNpAlGwQr006ljwMiM"",
      ""GSC最新!A:R""
    ),
    17,
    FALSE
  ),
  0
)
"),0.0)</f>
        <v>0</v>
      </c>
      <c r="V156" s="9">
        <f t="shared" ref="V156:W156" si="773">IFERROR(R156-T156,"-")</f>
        <v>0</v>
      </c>
      <c r="W156" s="9">
        <f t="shared" si="773"/>
        <v>0</v>
      </c>
      <c r="X156" s="65" t="str">
        <f>IFERROR(__xludf.DUMMYFUNCTION("IFERROR(
  VLOOKUP(
    A156,
    IMPORTRANGE(
      ""1ZHMy3vVUd_0MrSduXTe1etBb1HNpAlGwQr006ljwMiM"",
      ""GSC最新!A:R""
    ),
    9,
    FALSE
  ),
  0
)
"),"")</f>
        <v/>
      </c>
      <c r="Y156" s="65" t="str">
        <f>IFERROR(__xludf.DUMMYFUNCTION("IFERROR(
  VLOOKUP(
    A156,
    IMPORTRANGE(
      ""1ZHMy3vVUd_0MrSduXTe1etBb1HNpAlGwQr006ljwMiM"",
      ""GSC最新!A:R""
    ),
    12,
    FALSE
  ),
  0
)
"),"")</f>
        <v/>
      </c>
      <c r="Z156" s="65" t="str">
        <f>IFERROR(__xludf.DUMMYFUNCTION("IFERROR(
  VLOOKUP(
    A156,
    IMPORTRANGE(
      ""1ZHMy3vVUd_0MrSduXTe1etBb1HNpAlGwQr006ljwMiM"",
      ""GSC最新!A:R""
    ),
    15,
    FALSE
  ),
  0
)
"),"")</f>
        <v/>
      </c>
      <c r="AA156" s="65" t="str">
        <f>IFERROR(__xludf.DUMMYFUNCTION("IFERROR(
  VLOOKUP(
    A156,
    IMPORTRANGE(
      ""1ZHMy3vVUd_0MrSduXTe1etBb1HNpAlGwQr006ljwMiM"",
      ""GSC最新!A:R""
    ),
    18,
    FALSE
  ),
  0
)
"),"")</f>
        <v/>
      </c>
      <c r="AB156" s="65">
        <f t="shared" ref="AB156:AC156" si="774">X156-Z156</f>
        <v>0</v>
      </c>
      <c r="AC156" s="65">
        <f t="shared" si="774"/>
        <v>0</v>
      </c>
      <c r="AD156" s="53">
        <f>IFERROR(__xludf.DUMMYFUNCTION("IFERROR(
  VLOOKUP(
    A156,
    IMPORTRANGE(
      ""1ZHMy3vVUd_0MrSduXTe1etBb1HNpAlGwQr006ljwMiM"",
      ""GSC最新!A:F""
    ),
    6,
    FALSE
  ),
  0
)
"),46081.0)</f>
        <v>46081</v>
      </c>
      <c r="AE156" s="54">
        <f>IFERROR(__xludf.DUMMYFUNCTION("IFERROR(
  VLOOKUP(
    A156,
    IMPORTRANGE(
      ""1SCYQd7_cobOYqT0r_F0IqD4tE4rYn5y8Eup4PJTH8es"",
      ""Snapshot!A:M""
    ),
    5,
    FALSE
  ),
  ""-""
)
"),0.0)</f>
        <v>0</v>
      </c>
      <c r="AF156" s="54">
        <f>IFERROR(__xludf.DUMMYFUNCTION("IFERROR(
  VLOOKUP(
    A156,
    IMPORTRANGE(
      ""1SCYQd7_cobOYqT0r_F0IqD4tE4rYn5y8Eup4PJTH8es"",
      ""Snapshot!A:M""
    ),
    6,
    FALSE
  ),
  0
)
"),0.0)</f>
        <v>0</v>
      </c>
      <c r="AG156" s="54">
        <f>IFERROR(__xludf.DUMMYFUNCTION("IFERROR(
  VLOOKUP(
    A156,
    IMPORTRANGE(
      ""1SCYQd7_cobOYqT0r_F0IqD4tE4rYn5y8Eup4PJTH8es"",
      ""Snapshot!A:M""
    ),
    7,
    FALSE
  ),
  0
)
"),8851.0)</f>
        <v>8851</v>
      </c>
      <c r="AH156" s="54">
        <f>IFERROR(__xludf.DUMMYFUNCTION("IFERROR(
  VLOOKUP(
    A156,
    IMPORTRANGE(
      ""1SCYQd7_cobOYqT0r_F0IqD4tE4rYn5y8Eup4PJTH8es"",
      ""Snapshot!A:M""
    ),
    8,
    FALSE
  ),
  0
)
"),2.0)</f>
        <v>2</v>
      </c>
      <c r="AI156" s="54">
        <f>IFERROR(__xludf.DUMMYFUNCTION("IFERROR(
  VLOOKUP(
    A156,
    IMPORTRANGE(
      ""1SCYQd7_cobOYqT0r_F0IqD4tE4rYn5y8Eup4PJTH8es"",
      ""Snapshot!A:M""
    ),
    9,
    FALSE
  ),
  0
)
"),1.0)</f>
        <v>1</v>
      </c>
      <c r="AJ156" s="54">
        <f>IFERROR(__xludf.DUMMYFUNCTION("IFERROR(
  VLOOKUP(
    A156,
    IMPORTRANGE(
      ""1SCYQd7_cobOYqT0r_F0IqD4tE4rYn5y8Eup4PJTH8es"",
      ""Snapshot!A:M""
    ),
    13,
    FALSE
  ),
  0
)
"),1.0)</f>
        <v>1</v>
      </c>
      <c r="AK156" s="49">
        <f t="shared" ref="AK156:AL156" si="775">LEN(C156)</f>
        <v>76</v>
      </c>
      <c r="AL156" s="49">
        <f t="shared" si="775"/>
        <v>55</v>
      </c>
    </row>
    <row r="157">
      <c r="D157" s="55"/>
      <c r="E157" s="67"/>
      <c r="F157" s="67"/>
      <c r="G157" s="67"/>
      <c r="H157" s="67"/>
      <c r="I157" s="53"/>
      <c r="J157" s="51"/>
      <c r="K157" s="51"/>
    </row>
    <row r="158">
      <c r="D158" s="55"/>
      <c r="E158" s="67"/>
      <c r="F158" s="67"/>
      <c r="G158" s="67"/>
      <c r="H158" s="67"/>
      <c r="I158" s="53"/>
      <c r="J158" s="51"/>
      <c r="K158" s="51"/>
    </row>
    <row r="159">
      <c r="D159" s="55"/>
      <c r="E159" s="67"/>
      <c r="F159" s="67"/>
      <c r="G159" s="67"/>
      <c r="H159" s="67"/>
      <c r="I159" s="53"/>
      <c r="J159" s="51"/>
      <c r="K159" s="51"/>
    </row>
    <row r="160">
      <c r="D160" s="55"/>
      <c r="E160" s="67"/>
      <c r="F160" s="67"/>
      <c r="G160" s="67"/>
      <c r="H160" s="67"/>
      <c r="I160" s="53"/>
      <c r="J160" s="51"/>
      <c r="K160" s="51"/>
    </row>
    <row r="161">
      <c r="D161" s="55"/>
      <c r="E161" s="67"/>
      <c r="F161" s="67"/>
      <c r="G161" s="67"/>
      <c r="H161" s="67"/>
      <c r="I161" s="53"/>
      <c r="J161" s="51"/>
      <c r="K161" s="51"/>
    </row>
    <row r="162">
      <c r="D162" s="55"/>
      <c r="E162" s="67"/>
      <c r="F162" s="67"/>
      <c r="G162" s="67"/>
      <c r="H162" s="67"/>
      <c r="I162" s="53"/>
      <c r="J162" s="51"/>
      <c r="K162" s="51"/>
    </row>
    <row r="163">
      <c r="D163" s="55"/>
      <c r="E163" s="67"/>
      <c r="F163" s="67"/>
      <c r="G163" s="67"/>
      <c r="H163" s="67"/>
      <c r="I163" s="53"/>
      <c r="J163" s="51"/>
      <c r="K163" s="51"/>
    </row>
    <row r="164">
      <c r="D164" s="55"/>
      <c r="E164" s="67"/>
      <c r="F164" s="67"/>
      <c r="G164" s="67"/>
      <c r="H164" s="67"/>
      <c r="I164" s="53"/>
      <c r="J164" s="51"/>
      <c r="K164" s="51"/>
    </row>
    <row r="165">
      <c r="D165" s="55"/>
      <c r="E165" s="67"/>
      <c r="F165" s="67"/>
      <c r="G165" s="67"/>
      <c r="H165" s="67"/>
      <c r="I165" s="53"/>
      <c r="J165" s="51"/>
      <c r="K165" s="51"/>
    </row>
    <row r="166">
      <c r="D166" s="55"/>
      <c r="E166" s="67"/>
      <c r="F166" s="67"/>
      <c r="G166" s="67"/>
      <c r="H166" s="67"/>
      <c r="I166" s="53"/>
      <c r="J166" s="51"/>
      <c r="K166" s="51"/>
    </row>
    <row r="167">
      <c r="D167" s="55"/>
      <c r="E167" s="67"/>
      <c r="F167" s="67"/>
      <c r="G167" s="67"/>
      <c r="H167" s="67"/>
      <c r="I167" s="53"/>
      <c r="J167" s="51"/>
      <c r="K167" s="51"/>
    </row>
    <row r="168">
      <c r="D168" s="55"/>
      <c r="E168" s="67"/>
      <c r="F168" s="67"/>
      <c r="G168" s="67"/>
      <c r="H168" s="67"/>
      <c r="I168" s="53"/>
      <c r="J168" s="51"/>
      <c r="K168" s="51"/>
    </row>
    <row r="169">
      <c r="D169" s="55"/>
      <c r="E169" s="67"/>
      <c r="F169" s="67"/>
      <c r="G169" s="67"/>
      <c r="H169" s="67"/>
      <c r="I169" s="53"/>
      <c r="J169" s="51"/>
      <c r="K169" s="51"/>
    </row>
    <row r="170">
      <c r="D170" s="55"/>
      <c r="E170" s="67"/>
      <c r="F170" s="67"/>
      <c r="G170" s="67"/>
      <c r="H170" s="67"/>
      <c r="I170" s="53"/>
      <c r="J170" s="51"/>
      <c r="K170" s="51"/>
    </row>
    <row r="171">
      <c r="D171" s="55"/>
      <c r="E171" s="67"/>
      <c r="F171" s="67"/>
      <c r="G171" s="67"/>
      <c r="H171" s="67"/>
      <c r="I171" s="53"/>
      <c r="J171" s="51"/>
      <c r="K171" s="51"/>
    </row>
    <row r="172">
      <c r="D172" s="55"/>
      <c r="E172" s="67"/>
      <c r="F172" s="67"/>
      <c r="G172" s="67"/>
      <c r="H172" s="67"/>
      <c r="I172" s="53"/>
      <c r="J172" s="51"/>
      <c r="K172" s="51"/>
    </row>
    <row r="173">
      <c r="D173" s="55"/>
      <c r="E173" s="67"/>
      <c r="F173" s="67"/>
      <c r="G173" s="67"/>
      <c r="H173" s="67"/>
      <c r="I173" s="53"/>
      <c r="J173" s="51"/>
      <c r="K173" s="51"/>
    </row>
    <row r="174">
      <c r="D174" s="55"/>
      <c r="E174" s="67"/>
      <c r="F174" s="67"/>
      <c r="G174" s="67"/>
      <c r="H174" s="67"/>
      <c r="I174" s="53"/>
      <c r="J174" s="51"/>
      <c r="K174" s="51"/>
    </row>
    <row r="175">
      <c r="D175" s="55"/>
      <c r="E175" s="67"/>
      <c r="F175" s="67"/>
      <c r="G175" s="67"/>
      <c r="H175" s="67"/>
      <c r="I175" s="53"/>
      <c r="J175" s="51"/>
      <c r="K175" s="51"/>
    </row>
    <row r="176">
      <c r="D176" s="55"/>
      <c r="E176" s="67"/>
      <c r="F176" s="67"/>
      <c r="G176" s="67"/>
      <c r="H176" s="67"/>
      <c r="I176" s="53"/>
      <c r="J176" s="51"/>
      <c r="K176" s="51"/>
    </row>
    <row r="177">
      <c r="D177" s="55"/>
      <c r="E177" s="67"/>
      <c r="F177" s="67"/>
      <c r="G177" s="67"/>
      <c r="H177" s="67"/>
      <c r="I177" s="53"/>
      <c r="J177" s="51"/>
      <c r="K177" s="51"/>
    </row>
    <row r="178">
      <c r="D178" s="55"/>
      <c r="E178" s="67"/>
      <c r="F178" s="67"/>
      <c r="G178" s="67"/>
      <c r="H178" s="67"/>
      <c r="I178" s="53"/>
      <c r="J178" s="51"/>
      <c r="K178" s="51"/>
    </row>
    <row r="179">
      <c r="D179" s="55"/>
      <c r="E179" s="67"/>
      <c r="F179" s="67"/>
      <c r="G179" s="67"/>
      <c r="H179" s="67"/>
      <c r="I179" s="53"/>
      <c r="J179" s="51"/>
      <c r="K179" s="51"/>
    </row>
    <row r="180">
      <c r="D180" s="55"/>
      <c r="E180" s="67"/>
      <c r="F180" s="67"/>
      <c r="G180" s="67"/>
      <c r="H180" s="67"/>
      <c r="I180" s="53"/>
      <c r="J180" s="51"/>
      <c r="K180" s="51"/>
    </row>
    <row r="181">
      <c r="D181" s="55"/>
      <c r="E181" s="67"/>
      <c r="F181" s="67"/>
      <c r="G181" s="67"/>
      <c r="H181" s="67"/>
      <c r="I181" s="53"/>
      <c r="J181" s="51"/>
      <c r="K181" s="51"/>
    </row>
    <row r="182">
      <c r="D182" s="55"/>
      <c r="E182" s="67"/>
      <c r="F182" s="67"/>
      <c r="G182" s="67"/>
      <c r="H182" s="67"/>
      <c r="I182" s="53"/>
      <c r="J182" s="51"/>
      <c r="K182" s="51"/>
    </row>
    <row r="183">
      <c r="D183" s="55"/>
      <c r="E183" s="67"/>
      <c r="F183" s="67"/>
      <c r="G183" s="67"/>
      <c r="H183" s="67"/>
      <c r="I183" s="53"/>
      <c r="J183" s="51"/>
      <c r="K183" s="51"/>
    </row>
    <row r="184">
      <c r="D184" s="55"/>
      <c r="E184" s="67"/>
      <c r="F184" s="67"/>
      <c r="G184" s="67"/>
      <c r="H184" s="67"/>
      <c r="I184" s="53"/>
      <c r="J184" s="51"/>
      <c r="K184" s="51"/>
    </row>
    <row r="185">
      <c r="D185" s="55"/>
      <c r="E185" s="67"/>
      <c r="F185" s="67"/>
      <c r="G185" s="67"/>
      <c r="H185" s="67"/>
      <c r="I185" s="53"/>
      <c r="J185" s="51"/>
      <c r="K185" s="51"/>
    </row>
    <row r="186">
      <c r="D186" s="55"/>
      <c r="E186" s="67"/>
      <c r="F186" s="67"/>
      <c r="G186" s="67"/>
      <c r="H186" s="67"/>
      <c r="I186" s="53"/>
      <c r="J186" s="51"/>
      <c r="K186" s="51"/>
    </row>
    <row r="187">
      <c r="D187" s="55"/>
      <c r="E187" s="67"/>
      <c r="F187" s="67"/>
      <c r="G187" s="67"/>
      <c r="H187" s="67"/>
      <c r="I187" s="53"/>
      <c r="J187" s="51"/>
      <c r="K187" s="51"/>
    </row>
    <row r="188">
      <c r="D188" s="55"/>
      <c r="E188" s="67"/>
      <c r="F188" s="67"/>
      <c r="G188" s="67"/>
      <c r="H188" s="67"/>
      <c r="I188" s="53"/>
      <c r="J188" s="51"/>
      <c r="K188" s="51"/>
    </row>
    <row r="189">
      <c r="D189" s="55"/>
      <c r="E189" s="67"/>
      <c r="F189" s="67"/>
      <c r="G189" s="67"/>
      <c r="H189" s="67"/>
      <c r="I189" s="53"/>
      <c r="J189" s="51"/>
      <c r="K189" s="51"/>
    </row>
    <row r="190">
      <c r="D190" s="55"/>
      <c r="E190" s="67"/>
      <c r="F190" s="67"/>
      <c r="G190" s="67"/>
      <c r="H190" s="67"/>
      <c r="I190" s="53"/>
      <c r="J190" s="51"/>
      <c r="K190" s="51"/>
    </row>
    <row r="191">
      <c r="D191" s="55"/>
      <c r="E191" s="67"/>
      <c r="F191" s="67"/>
      <c r="G191" s="67"/>
      <c r="H191" s="67"/>
      <c r="I191" s="53"/>
      <c r="J191" s="51"/>
      <c r="K191" s="51"/>
    </row>
    <row r="192">
      <c r="D192" s="55"/>
      <c r="E192" s="67"/>
      <c r="F192" s="67"/>
      <c r="G192" s="67"/>
      <c r="H192" s="67"/>
      <c r="I192" s="53"/>
      <c r="J192" s="51"/>
      <c r="K192" s="51"/>
    </row>
    <row r="193">
      <c r="D193" s="55"/>
      <c r="E193" s="67"/>
      <c r="F193" s="67"/>
      <c r="G193" s="67"/>
      <c r="H193" s="67"/>
      <c r="I193" s="53"/>
      <c r="J193" s="51"/>
      <c r="K193" s="51"/>
    </row>
    <row r="194">
      <c r="D194" s="55"/>
      <c r="E194" s="67"/>
      <c r="F194" s="67"/>
      <c r="G194" s="67"/>
      <c r="H194" s="67"/>
      <c r="I194" s="53"/>
      <c r="J194" s="51"/>
      <c r="K194" s="51"/>
    </row>
    <row r="195">
      <c r="D195" s="55"/>
      <c r="E195" s="67"/>
      <c r="F195" s="67"/>
      <c r="G195" s="67"/>
      <c r="H195" s="67"/>
      <c r="I195" s="53"/>
      <c r="J195" s="51"/>
      <c r="K195" s="51"/>
    </row>
    <row r="196">
      <c r="D196" s="55"/>
      <c r="E196" s="67"/>
      <c r="F196" s="67"/>
      <c r="G196" s="67"/>
      <c r="H196" s="67"/>
      <c r="I196" s="53"/>
      <c r="J196" s="51"/>
      <c r="K196" s="51"/>
    </row>
    <row r="197">
      <c r="D197" s="55"/>
      <c r="E197" s="67"/>
      <c r="F197" s="67"/>
      <c r="G197" s="67"/>
      <c r="H197" s="67"/>
      <c r="I197" s="53"/>
      <c r="J197" s="51"/>
      <c r="K197" s="51"/>
    </row>
    <row r="198">
      <c r="D198" s="55"/>
      <c r="E198" s="67"/>
      <c r="F198" s="67"/>
      <c r="G198" s="67"/>
      <c r="H198" s="67"/>
      <c r="I198" s="53"/>
      <c r="J198" s="51"/>
      <c r="K198" s="51"/>
    </row>
    <row r="199">
      <c r="D199" s="55"/>
      <c r="E199" s="67"/>
      <c r="F199" s="67"/>
      <c r="G199" s="67"/>
      <c r="H199" s="67"/>
      <c r="I199" s="53"/>
      <c r="J199" s="51"/>
      <c r="K199" s="51"/>
    </row>
    <row r="200">
      <c r="D200" s="55"/>
      <c r="E200" s="67"/>
      <c r="F200" s="67"/>
      <c r="G200" s="67"/>
      <c r="H200" s="67"/>
      <c r="I200" s="53"/>
      <c r="J200" s="51"/>
      <c r="K200" s="51"/>
    </row>
    <row r="201">
      <c r="D201" s="55"/>
      <c r="E201" s="67"/>
      <c r="F201" s="67"/>
      <c r="G201" s="67"/>
      <c r="H201" s="67"/>
      <c r="I201" s="53"/>
      <c r="J201" s="51"/>
      <c r="K201" s="51"/>
    </row>
    <row r="202">
      <c r="D202" s="55"/>
      <c r="E202" s="67"/>
      <c r="F202" s="67"/>
      <c r="G202" s="67"/>
      <c r="H202" s="67"/>
      <c r="I202" s="53"/>
      <c r="J202" s="51"/>
      <c r="K202" s="51"/>
    </row>
    <row r="203">
      <c r="D203" s="55"/>
      <c r="E203" s="67"/>
      <c r="F203" s="67"/>
      <c r="G203" s="67"/>
      <c r="H203" s="67"/>
      <c r="I203" s="53"/>
      <c r="J203" s="51"/>
      <c r="K203" s="51"/>
    </row>
    <row r="204">
      <c r="D204" s="55"/>
      <c r="E204" s="67"/>
      <c r="F204" s="67"/>
      <c r="G204" s="67"/>
      <c r="H204" s="67"/>
      <c r="I204" s="53"/>
      <c r="J204" s="51"/>
      <c r="K204" s="51"/>
    </row>
    <row r="205">
      <c r="D205" s="55"/>
      <c r="E205" s="67"/>
      <c r="F205" s="67"/>
      <c r="G205" s="67"/>
      <c r="H205" s="67"/>
      <c r="I205" s="53"/>
      <c r="J205" s="51"/>
      <c r="K205" s="51"/>
    </row>
    <row r="206">
      <c r="D206" s="55"/>
      <c r="E206" s="67"/>
      <c r="F206" s="67"/>
      <c r="G206" s="67"/>
      <c r="H206" s="67"/>
      <c r="I206" s="53"/>
      <c r="J206" s="51"/>
      <c r="K206" s="51"/>
    </row>
    <row r="207">
      <c r="D207" s="55"/>
      <c r="E207" s="67"/>
      <c r="F207" s="67"/>
      <c r="G207" s="67"/>
      <c r="H207" s="67"/>
      <c r="I207" s="53"/>
      <c r="J207" s="51"/>
      <c r="K207" s="51"/>
    </row>
    <row r="208">
      <c r="D208" s="55"/>
      <c r="E208" s="67"/>
      <c r="F208" s="67"/>
      <c r="G208" s="67"/>
      <c r="H208" s="67"/>
      <c r="I208" s="53"/>
      <c r="J208" s="51"/>
      <c r="K208" s="51"/>
    </row>
    <row r="209">
      <c r="D209" s="55"/>
      <c r="E209" s="67"/>
      <c r="F209" s="67"/>
      <c r="G209" s="67"/>
      <c r="H209" s="67"/>
      <c r="I209" s="53"/>
      <c r="J209" s="51"/>
      <c r="K209" s="51"/>
    </row>
    <row r="210">
      <c r="D210" s="55"/>
      <c r="E210" s="67"/>
      <c r="F210" s="67"/>
      <c r="G210" s="67"/>
      <c r="H210" s="67"/>
      <c r="I210" s="53"/>
      <c r="J210" s="51"/>
      <c r="K210" s="51"/>
    </row>
    <row r="211">
      <c r="D211" s="55"/>
      <c r="E211" s="67"/>
      <c r="F211" s="67"/>
      <c r="G211" s="67"/>
      <c r="H211" s="67"/>
      <c r="I211" s="53"/>
      <c r="J211" s="51"/>
      <c r="K211" s="51"/>
    </row>
    <row r="212">
      <c r="D212" s="55"/>
      <c r="E212" s="67"/>
      <c r="F212" s="67"/>
      <c r="G212" s="67"/>
      <c r="H212" s="67"/>
      <c r="I212" s="53"/>
      <c r="J212" s="51"/>
      <c r="K212" s="51"/>
    </row>
    <row r="213">
      <c r="D213" s="55"/>
      <c r="E213" s="67"/>
      <c r="F213" s="67"/>
      <c r="G213" s="67"/>
      <c r="H213" s="67"/>
      <c r="I213" s="53"/>
      <c r="J213" s="51"/>
      <c r="K213" s="51"/>
    </row>
    <row r="214">
      <c r="D214" s="55"/>
      <c r="E214" s="67"/>
      <c r="F214" s="67"/>
      <c r="G214" s="67"/>
      <c r="H214" s="67"/>
      <c r="I214" s="53"/>
      <c r="J214" s="51"/>
      <c r="K214" s="51"/>
    </row>
    <row r="215">
      <c r="D215" s="55"/>
      <c r="E215" s="67"/>
      <c r="F215" s="67"/>
      <c r="G215" s="67"/>
      <c r="H215" s="67"/>
      <c r="I215" s="53"/>
      <c r="J215" s="51"/>
      <c r="K215" s="51"/>
    </row>
    <row r="216">
      <c r="D216" s="55"/>
      <c r="E216" s="67"/>
      <c r="F216" s="67"/>
      <c r="G216" s="67"/>
      <c r="H216" s="67"/>
      <c r="I216" s="53"/>
      <c r="J216" s="51"/>
      <c r="K216" s="51"/>
    </row>
    <row r="217">
      <c r="D217" s="55"/>
      <c r="E217" s="67"/>
      <c r="F217" s="67"/>
      <c r="G217" s="67"/>
      <c r="H217" s="67"/>
      <c r="I217" s="53"/>
      <c r="J217" s="51"/>
      <c r="K217" s="51"/>
    </row>
    <row r="218">
      <c r="D218" s="55"/>
      <c r="E218" s="67"/>
      <c r="F218" s="67"/>
      <c r="G218" s="67"/>
      <c r="H218" s="67"/>
      <c r="I218" s="53"/>
      <c r="J218" s="51"/>
      <c r="K218" s="51"/>
    </row>
    <row r="219">
      <c r="D219" s="55"/>
      <c r="E219" s="67"/>
      <c r="F219" s="67"/>
      <c r="G219" s="67"/>
      <c r="H219" s="67"/>
      <c r="I219" s="53"/>
      <c r="J219" s="51"/>
      <c r="K219" s="51"/>
    </row>
    <row r="220">
      <c r="D220" s="55"/>
      <c r="E220" s="67"/>
      <c r="F220" s="67"/>
      <c r="G220" s="67"/>
      <c r="H220" s="67"/>
      <c r="I220" s="53"/>
      <c r="J220" s="51"/>
      <c r="K220" s="51"/>
    </row>
    <row r="221">
      <c r="D221" s="55"/>
      <c r="E221" s="67"/>
      <c r="F221" s="67"/>
      <c r="G221" s="67"/>
      <c r="H221" s="67"/>
      <c r="I221" s="53"/>
      <c r="J221" s="51"/>
      <c r="K221" s="51"/>
    </row>
    <row r="222">
      <c r="D222" s="55"/>
      <c r="E222" s="67"/>
      <c r="F222" s="67"/>
      <c r="G222" s="67"/>
      <c r="H222" s="67"/>
      <c r="I222" s="53"/>
      <c r="J222" s="51"/>
      <c r="K222" s="51"/>
    </row>
    <row r="223">
      <c r="D223" s="55"/>
      <c r="E223" s="67"/>
      <c r="F223" s="67"/>
      <c r="G223" s="67"/>
      <c r="H223" s="67"/>
      <c r="I223" s="53"/>
      <c r="J223" s="51"/>
      <c r="K223" s="51"/>
    </row>
    <row r="224">
      <c r="D224" s="55"/>
      <c r="E224" s="67"/>
      <c r="F224" s="67"/>
      <c r="G224" s="67"/>
      <c r="H224" s="67"/>
      <c r="I224" s="53"/>
      <c r="J224" s="51"/>
      <c r="K224" s="51"/>
    </row>
    <row r="225">
      <c r="D225" s="55"/>
      <c r="E225" s="67"/>
      <c r="F225" s="67"/>
      <c r="G225" s="67"/>
      <c r="H225" s="67"/>
      <c r="I225" s="53"/>
      <c r="J225" s="51"/>
      <c r="K225" s="51"/>
    </row>
    <row r="226">
      <c r="D226" s="55"/>
      <c r="E226" s="67"/>
      <c r="F226" s="67"/>
      <c r="G226" s="67"/>
      <c r="H226" s="67"/>
      <c r="I226" s="53"/>
      <c r="J226" s="51"/>
      <c r="K226" s="51"/>
    </row>
    <row r="227">
      <c r="D227" s="55"/>
      <c r="E227" s="67"/>
      <c r="F227" s="67"/>
      <c r="G227" s="67"/>
      <c r="H227" s="67"/>
      <c r="I227" s="53"/>
      <c r="J227" s="51"/>
      <c r="K227" s="51"/>
    </row>
    <row r="228">
      <c r="D228" s="55"/>
      <c r="E228" s="67"/>
      <c r="F228" s="67"/>
      <c r="G228" s="67"/>
      <c r="H228" s="67"/>
      <c r="I228" s="53"/>
      <c r="J228" s="51"/>
      <c r="K228" s="51"/>
    </row>
    <row r="229">
      <c r="D229" s="55"/>
      <c r="E229" s="67"/>
      <c r="F229" s="67"/>
      <c r="G229" s="67"/>
      <c r="H229" s="67"/>
      <c r="I229" s="53"/>
      <c r="J229" s="51"/>
      <c r="K229" s="51"/>
    </row>
    <row r="230">
      <c r="D230" s="55"/>
      <c r="E230" s="67"/>
      <c r="F230" s="67"/>
      <c r="G230" s="67"/>
      <c r="H230" s="67"/>
      <c r="I230" s="53"/>
      <c r="J230" s="51"/>
      <c r="K230" s="51"/>
    </row>
    <row r="231">
      <c r="D231" s="55"/>
      <c r="E231" s="67"/>
      <c r="F231" s="67"/>
      <c r="G231" s="67"/>
      <c r="H231" s="67"/>
      <c r="I231" s="53"/>
      <c r="J231" s="51"/>
      <c r="K231" s="51"/>
    </row>
    <row r="232">
      <c r="D232" s="55"/>
      <c r="E232" s="67"/>
      <c r="F232" s="67"/>
      <c r="G232" s="67"/>
      <c r="H232" s="67"/>
      <c r="I232" s="53"/>
      <c r="J232" s="51"/>
      <c r="K232" s="51"/>
    </row>
    <row r="233">
      <c r="D233" s="55"/>
      <c r="E233" s="67"/>
      <c r="F233" s="67"/>
      <c r="G233" s="67"/>
      <c r="H233" s="67"/>
      <c r="I233" s="53"/>
      <c r="J233" s="51"/>
      <c r="K233" s="51"/>
    </row>
    <row r="234">
      <c r="D234" s="55"/>
      <c r="E234" s="67"/>
      <c r="F234" s="67"/>
      <c r="G234" s="67"/>
      <c r="H234" s="67"/>
      <c r="I234" s="53"/>
      <c r="J234" s="51"/>
      <c r="K234" s="51"/>
    </row>
    <row r="235">
      <c r="D235" s="55"/>
      <c r="E235" s="67"/>
      <c r="F235" s="67"/>
      <c r="G235" s="67"/>
      <c r="H235" s="67"/>
      <c r="I235" s="53"/>
      <c r="J235" s="51"/>
      <c r="K235" s="51"/>
    </row>
    <row r="236">
      <c r="D236" s="55"/>
      <c r="E236" s="67"/>
      <c r="F236" s="67"/>
      <c r="G236" s="67"/>
      <c r="H236" s="67"/>
      <c r="I236" s="53"/>
      <c r="J236" s="51"/>
      <c r="K236" s="51"/>
    </row>
    <row r="237">
      <c r="D237" s="55"/>
      <c r="E237" s="67"/>
      <c r="F237" s="67"/>
      <c r="G237" s="67"/>
      <c r="H237" s="67"/>
      <c r="I237" s="53"/>
      <c r="J237" s="51"/>
      <c r="K237" s="51"/>
    </row>
    <row r="238">
      <c r="D238" s="55"/>
      <c r="E238" s="67"/>
      <c r="F238" s="67"/>
      <c r="G238" s="67"/>
      <c r="H238" s="67"/>
      <c r="I238" s="53"/>
      <c r="J238" s="51"/>
      <c r="K238" s="51"/>
    </row>
    <row r="239">
      <c r="D239" s="55"/>
      <c r="E239" s="67"/>
      <c r="F239" s="67"/>
      <c r="G239" s="67"/>
      <c r="H239" s="67"/>
      <c r="I239" s="53"/>
      <c r="J239" s="51"/>
      <c r="K239" s="51"/>
    </row>
    <row r="240">
      <c r="D240" s="55"/>
      <c r="E240" s="67"/>
      <c r="F240" s="67"/>
      <c r="G240" s="67"/>
      <c r="H240" s="67"/>
      <c r="I240" s="53"/>
      <c r="J240" s="51"/>
      <c r="K240" s="51"/>
    </row>
    <row r="241">
      <c r="D241" s="55"/>
      <c r="E241" s="67"/>
      <c r="F241" s="67"/>
      <c r="G241" s="67"/>
      <c r="H241" s="67"/>
      <c r="I241" s="53"/>
      <c r="J241" s="51"/>
      <c r="K241" s="51"/>
    </row>
    <row r="242">
      <c r="D242" s="55"/>
      <c r="E242" s="67"/>
      <c r="F242" s="67"/>
      <c r="G242" s="67"/>
      <c r="H242" s="67"/>
      <c r="I242" s="53"/>
      <c r="J242" s="51"/>
      <c r="K242" s="51"/>
    </row>
    <row r="243">
      <c r="D243" s="55"/>
      <c r="E243" s="67"/>
      <c r="F243" s="67"/>
      <c r="G243" s="67"/>
      <c r="H243" s="67"/>
      <c r="I243" s="53"/>
      <c r="J243" s="51"/>
      <c r="K243" s="51"/>
    </row>
    <row r="244">
      <c r="D244" s="55"/>
      <c r="E244" s="67"/>
      <c r="F244" s="67"/>
      <c r="G244" s="67"/>
      <c r="H244" s="67"/>
      <c r="I244" s="53"/>
      <c r="J244" s="51"/>
      <c r="K244" s="51"/>
    </row>
    <row r="245">
      <c r="D245" s="55"/>
      <c r="E245" s="67"/>
      <c r="F245" s="67"/>
      <c r="G245" s="67"/>
      <c r="H245" s="67"/>
      <c r="I245" s="53"/>
      <c r="J245" s="51"/>
      <c r="K245" s="51"/>
    </row>
    <row r="246">
      <c r="D246" s="55"/>
      <c r="E246" s="67"/>
      <c r="F246" s="67"/>
      <c r="G246" s="67"/>
      <c r="H246" s="67"/>
      <c r="I246" s="53"/>
      <c r="J246" s="51"/>
      <c r="K246" s="51"/>
    </row>
    <row r="247">
      <c r="D247" s="55"/>
      <c r="E247" s="67"/>
      <c r="F247" s="67"/>
      <c r="G247" s="67"/>
      <c r="H247" s="67"/>
      <c r="I247" s="53"/>
      <c r="J247" s="51"/>
      <c r="K247" s="51"/>
    </row>
    <row r="248">
      <c r="D248" s="55"/>
      <c r="E248" s="67"/>
      <c r="F248" s="67"/>
      <c r="G248" s="67"/>
      <c r="H248" s="67"/>
      <c r="I248" s="53"/>
      <c r="J248" s="51"/>
      <c r="K248" s="51"/>
    </row>
    <row r="249">
      <c r="D249" s="55"/>
      <c r="E249" s="67"/>
      <c r="F249" s="67"/>
      <c r="G249" s="67"/>
      <c r="H249" s="67"/>
      <c r="I249" s="53"/>
      <c r="J249" s="51"/>
      <c r="K249" s="51"/>
    </row>
    <row r="250">
      <c r="D250" s="55"/>
      <c r="E250" s="67"/>
      <c r="F250" s="67"/>
      <c r="G250" s="67"/>
      <c r="H250" s="67"/>
      <c r="I250" s="53"/>
      <c r="J250" s="51"/>
      <c r="K250" s="51"/>
    </row>
    <row r="251">
      <c r="D251" s="55"/>
      <c r="E251" s="67"/>
      <c r="F251" s="67"/>
      <c r="G251" s="67"/>
      <c r="H251" s="67"/>
      <c r="I251" s="53"/>
      <c r="J251" s="51"/>
      <c r="K251" s="51"/>
    </row>
    <row r="252">
      <c r="D252" s="55"/>
      <c r="E252" s="67"/>
      <c r="F252" s="67"/>
      <c r="G252" s="67"/>
      <c r="H252" s="67"/>
      <c r="I252" s="53"/>
      <c r="J252" s="51"/>
      <c r="K252" s="51"/>
    </row>
    <row r="253">
      <c r="D253" s="55"/>
      <c r="E253" s="67"/>
      <c r="F253" s="67"/>
      <c r="G253" s="67"/>
      <c r="H253" s="67"/>
      <c r="I253" s="53"/>
      <c r="J253" s="51"/>
      <c r="K253" s="51"/>
    </row>
    <row r="254">
      <c r="D254" s="55"/>
      <c r="E254" s="67"/>
      <c r="F254" s="67"/>
      <c r="G254" s="67"/>
      <c r="H254" s="67"/>
      <c r="I254" s="53"/>
      <c r="J254" s="51"/>
      <c r="K254" s="51"/>
    </row>
    <row r="255">
      <c r="D255" s="55"/>
      <c r="E255" s="67"/>
      <c r="F255" s="67"/>
      <c r="G255" s="67"/>
      <c r="H255" s="67"/>
      <c r="I255" s="53"/>
      <c r="J255" s="51"/>
      <c r="K255" s="51"/>
    </row>
    <row r="256">
      <c r="D256" s="55"/>
      <c r="E256" s="67"/>
      <c r="F256" s="67"/>
      <c r="G256" s="67"/>
      <c r="H256" s="67"/>
      <c r="I256" s="53"/>
      <c r="J256" s="51"/>
      <c r="K256" s="51"/>
    </row>
    <row r="257">
      <c r="D257" s="55"/>
      <c r="E257" s="67"/>
      <c r="F257" s="67"/>
      <c r="G257" s="67"/>
      <c r="H257" s="67"/>
      <c r="I257" s="53"/>
      <c r="J257" s="51"/>
      <c r="K257" s="51"/>
    </row>
    <row r="258">
      <c r="D258" s="55"/>
      <c r="E258" s="67"/>
      <c r="F258" s="67"/>
      <c r="G258" s="67"/>
      <c r="H258" s="67"/>
      <c r="I258" s="53"/>
      <c r="J258" s="51"/>
      <c r="K258" s="51"/>
    </row>
    <row r="259">
      <c r="D259" s="55"/>
      <c r="E259" s="67"/>
      <c r="F259" s="67"/>
      <c r="G259" s="67"/>
      <c r="H259" s="67"/>
      <c r="I259" s="53"/>
      <c r="J259" s="51"/>
      <c r="K259" s="51"/>
    </row>
    <row r="260">
      <c r="D260" s="55"/>
      <c r="E260" s="67"/>
      <c r="F260" s="67"/>
      <c r="G260" s="67"/>
      <c r="H260" s="67"/>
      <c r="I260" s="53"/>
      <c r="J260" s="51"/>
      <c r="K260" s="51"/>
    </row>
    <row r="261">
      <c r="D261" s="55"/>
      <c r="E261" s="67"/>
      <c r="F261" s="67"/>
      <c r="G261" s="67"/>
      <c r="H261" s="67"/>
      <c r="I261" s="53"/>
      <c r="J261" s="51"/>
      <c r="K261" s="51"/>
    </row>
    <row r="262">
      <c r="D262" s="55"/>
      <c r="E262" s="67"/>
      <c r="F262" s="67"/>
      <c r="G262" s="67"/>
      <c r="H262" s="67"/>
      <c r="I262" s="53"/>
      <c r="J262" s="51"/>
      <c r="K262" s="51"/>
    </row>
    <row r="263">
      <c r="D263" s="55"/>
      <c r="E263" s="67"/>
      <c r="F263" s="67"/>
      <c r="G263" s="67"/>
      <c r="H263" s="67"/>
      <c r="I263" s="53"/>
      <c r="J263" s="51"/>
      <c r="K263" s="51"/>
    </row>
    <row r="264">
      <c r="D264" s="55"/>
      <c r="E264" s="67"/>
      <c r="F264" s="67"/>
      <c r="G264" s="67"/>
      <c r="H264" s="67"/>
      <c r="I264" s="53"/>
      <c r="J264" s="51"/>
      <c r="K264" s="51"/>
    </row>
    <row r="265">
      <c r="D265" s="55"/>
      <c r="E265" s="67"/>
      <c r="F265" s="67"/>
      <c r="G265" s="67"/>
      <c r="H265" s="67"/>
      <c r="I265" s="53"/>
      <c r="J265" s="51"/>
      <c r="K265" s="51"/>
    </row>
    <row r="266">
      <c r="D266" s="55"/>
      <c r="E266" s="67"/>
      <c r="F266" s="67"/>
      <c r="G266" s="67"/>
      <c r="H266" s="67"/>
      <c r="I266" s="53"/>
      <c r="J266" s="51"/>
      <c r="K266" s="51"/>
    </row>
    <row r="267">
      <c r="D267" s="55"/>
      <c r="E267" s="67"/>
      <c r="F267" s="67"/>
      <c r="G267" s="67"/>
      <c r="H267" s="67"/>
      <c r="I267" s="53"/>
      <c r="J267" s="51"/>
      <c r="K267" s="51"/>
    </row>
    <row r="268">
      <c r="D268" s="55"/>
      <c r="E268" s="67"/>
      <c r="F268" s="67"/>
      <c r="G268" s="67"/>
      <c r="H268" s="67"/>
      <c r="I268" s="53"/>
      <c r="J268" s="51"/>
      <c r="K268" s="51"/>
    </row>
    <row r="269">
      <c r="D269" s="55"/>
      <c r="E269" s="67"/>
      <c r="F269" s="67"/>
      <c r="G269" s="67"/>
      <c r="H269" s="67"/>
      <c r="I269" s="53"/>
      <c r="J269" s="51"/>
      <c r="K269" s="51"/>
    </row>
    <row r="270">
      <c r="D270" s="55"/>
      <c r="E270" s="67"/>
      <c r="F270" s="67"/>
      <c r="G270" s="67"/>
      <c r="H270" s="67"/>
      <c r="I270" s="53"/>
      <c r="J270" s="51"/>
      <c r="K270" s="51"/>
    </row>
    <row r="271">
      <c r="D271" s="55"/>
      <c r="E271" s="67"/>
      <c r="F271" s="67"/>
      <c r="G271" s="67"/>
      <c r="H271" s="67"/>
      <c r="I271" s="53"/>
      <c r="J271" s="51"/>
      <c r="K271" s="51"/>
    </row>
    <row r="272">
      <c r="D272" s="55"/>
      <c r="E272" s="67"/>
      <c r="F272" s="67"/>
      <c r="G272" s="67"/>
      <c r="H272" s="67"/>
      <c r="I272" s="53"/>
      <c r="J272" s="51"/>
      <c r="K272" s="51"/>
    </row>
    <row r="273">
      <c r="D273" s="55"/>
      <c r="E273" s="67"/>
      <c r="F273" s="67"/>
      <c r="G273" s="67"/>
      <c r="H273" s="67"/>
      <c r="I273" s="53"/>
      <c r="J273" s="51"/>
      <c r="K273" s="51"/>
    </row>
    <row r="274">
      <c r="D274" s="55"/>
      <c r="E274" s="67"/>
      <c r="F274" s="67"/>
      <c r="G274" s="67"/>
      <c r="H274" s="67"/>
      <c r="I274" s="53"/>
      <c r="J274" s="51"/>
      <c r="K274" s="51"/>
    </row>
    <row r="275">
      <c r="D275" s="55"/>
      <c r="E275" s="67"/>
      <c r="F275" s="67"/>
      <c r="G275" s="67"/>
      <c r="H275" s="67"/>
      <c r="I275" s="53"/>
      <c r="J275" s="51"/>
      <c r="K275" s="51"/>
    </row>
    <row r="276">
      <c r="D276" s="55"/>
      <c r="E276" s="67"/>
      <c r="F276" s="67"/>
      <c r="G276" s="67"/>
      <c r="H276" s="67"/>
      <c r="I276" s="53"/>
      <c r="J276" s="51"/>
      <c r="K276" s="51"/>
    </row>
    <row r="277">
      <c r="D277" s="55"/>
      <c r="E277" s="67"/>
      <c r="F277" s="67"/>
      <c r="G277" s="67"/>
      <c r="H277" s="67"/>
      <c r="I277" s="53"/>
      <c r="J277" s="51"/>
      <c r="K277" s="51"/>
    </row>
    <row r="278">
      <c r="D278" s="55"/>
      <c r="E278" s="67"/>
      <c r="F278" s="67"/>
      <c r="G278" s="67"/>
      <c r="H278" s="67"/>
      <c r="I278" s="53"/>
      <c r="J278" s="51"/>
      <c r="K278" s="51"/>
    </row>
    <row r="279">
      <c r="D279" s="55"/>
      <c r="E279" s="67"/>
      <c r="F279" s="67"/>
      <c r="G279" s="67"/>
      <c r="H279" s="67"/>
      <c r="I279" s="53"/>
      <c r="J279" s="51"/>
      <c r="K279" s="51"/>
    </row>
    <row r="280">
      <c r="D280" s="55"/>
      <c r="E280" s="67"/>
      <c r="F280" s="67"/>
      <c r="G280" s="67"/>
      <c r="H280" s="67"/>
      <c r="I280" s="53"/>
      <c r="J280" s="51"/>
      <c r="K280" s="51"/>
    </row>
    <row r="281">
      <c r="D281" s="55"/>
      <c r="E281" s="67"/>
      <c r="F281" s="67"/>
      <c r="G281" s="67"/>
      <c r="H281" s="67"/>
      <c r="I281" s="53"/>
      <c r="J281" s="51"/>
      <c r="K281" s="51"/>
    </row>
    <row r="282">
      <c r="D282" s="55"/>
      <c r="E282" s="67"/>
      <c r="F282" s="67"/>
      <c r="G282" s="67"/>
      <c r="H282" s="67"/>
      <c r="I282" s="53"/>
      <c r="J282" s="51"/>
      <c r="K282" s="51"/>
    </row>
    <row r="283">
      <c r="D283" s="55"/>
      <c r="E283" s="67"/>
      <c r="F283" s="67"/>
      <c r="G283" s="67"/>
      <c r="H283" s="67"/>
      <c r="I283" s="53"/>
      <c r="J283" s="51"/>
      <c r="K283" s="51"/>
    </row>
    <row r="284">
      <c r="D284" s="55"/>
      <c r="E284" s="67"/>
      <c r="F284" s="67"/>
      <c r="G284" s="67"/>
      <c r="H284" s="67"/>
      <c r="I284" s="53"/>
      <c r="J284" s="51"/>
      <c r="K284" s="51"/>
    </row>
    <row r="285">
      <c r="D285" s="55"/>
      <c r="E285" s="67"/>
      <c r="F285" s="67"/>
      <c r="G285" s="67"/>
      <c r="H285" s="67"/>
      <c r="I285" s="53"/>
      <c r="J285" s="51"/>
      <c r="K285" s="51"/>
    </row>
    <row r="286">
      <c r="D286" s="55"/>
      <c r="E286" s="67"/>
      <c r="F286" s="67"/>
      <c r="G286" s="67"/>
      <c r="H286" s="67"/>
      <c r="I286" s="53"/>
      <c r="J286" s="51"/>
      <c r="K286" s="51"/>
    </row>
    <row r="287">
      <c r="D287" s="55"/>
      <c r="E287" s="67"/>
      <c r="F287" s="67"/>
      <c r="G287" s="67"/>
      <c r="H287" s="67"/>
      <c r="I287" s="53"/>
      <c r="J287" s="51"/>
      <c r="K287" s="51"/>
    </row>
    <row r="288">
      <c r="D288" s="55"/>
      <c r="E288" s="67"/>
      <c r="F288" s="67"/>
      <c r="G288" s="67"/>
      <c r="H288" s="67"/>
      <c r="I288" s="53"/>
      <c r="J288" s="51"/>
      <c r="K288" s="51"/>
    </row>
    <row r="289">
      <c r="D289" s="55"/>
      <c r="E289" s="67"/>
      <c r="F289" s="67"/>
      <c r="G289" s="67"/>
      <c r="H289" s="67"/>
      <c r="I289" s="53"/>
      <c r="J289" s="51"/>
      <c r="K289" s="51"/>
    </row>
    <row r="290">
      <c r="D290" s="55"/>
      <c r="E290" s="67"/>
      <c r="F290" s="67"/>
      <c r="G290" s="67"/>
      <c r="H290" s="67"/>
      <c r="I290" s="53"/>
      <c r="J290" s="51"/>
      <c r="K290" s="51"/>
    </row>
    <row r="291">
      <c r="D291" s="55"/>
      <c r="E291" s="67"/>
      <c r="F291" s="67"/>
      <c r="G291" s="67"/>
      <c r="H291" s="67"/>
      <c r="I291" s="53"/>
      <c r="J291" s="51"/>
      <c r="K291" s="51"/>
    </row>
    <row r="292">
      <c r="D292" s="55"/>
      <c r="E292" s="67"/>
      <c r="F292" s="67"/>
      <c r="G292" s="67"/>
      <c r="H292" s="67"/>
      <c r="I292" s="53"/>
      <c r="J292" s="51"/>
      <c r="K292" s="51"/>
    </row>
    <row r="293">
      <c r="D293" s="55"/>
      <c r="E293" s="67"/>
      <c r="F293" s="67"/>
      <c r="G293" s="67"/>
      <c r="H293" s="67"/>
      <c r="I293" s="53"/>
      <c r="J293" s="51"/>
      <c r="K293" s="51"/>
    </row>
    <row r="294">
      <c r="D294" s="55"/>
      <c r="E294" s="67"/>
      <c r="F294" s="67"/>
      <c r="G294" s="67"/>
      <c r="H294" s="67"/>
      <c r="I294" s="53"/>
      <c r="J294" s="51"/>
      <c r="K294" s="51"/>
    </row>
    <row r="295">
      <c r="D295" s="55"/>
      <c r="E295" s="67"/>
      <c r="F295" s="67"/>
      <c r="G295" s="67"/>
      <c r="H295" s="67"/>
      <c r="I295" s="53"/>
      <c r="J295" s="51"/>
      <c r="K295" s="51"/>
    </row>
    <row r="296">
      <c r="D296" s="55"/>
      <c r="E296" s="67"/>
      <c r="F296" s="67"/>
      <c r="G296" s="67"/>
      <c r="H296" s="67"/>
      <c r="I296" s="53"/>
      <c r="J296" s="51"/>
      <c r="K296" s="51"/>
    </row>
    <row r="297">
      <c r="D297" s="55"/>
      <c r="E297" s="67"/>
      <c r="F297" s="67"/>
      <c r="G297" s="67"/>
      <c r="H297" s="67"/>
      <c r="I297" s="53"/>
      <c r="J297" s="51"/>
      <c r="K297" s="51"/>
    </row>
    <row r="298">
      <c r="D298" s="55"/>
      <c r="E298" s="67"/>
      <c r="F298" s="67"/>
      <c r="G298" s="67"/>
      <c r="H298" s="67"/>
      <c r="I298" s="53"/>
      <c r="J298" s="51"/>
      <c r="K298" s="51"/>
    </row>
    <row r="299">
      <c r="D299" s="55"/>
      <c r="E299" s="67"/>
      <c r="F299" s="67"/>
      <c r="G299" s="67"/>
      <c r="H299" s="67"/>
      <c r="I299" s="53"/>
      <c r="J299" s="51"/>
      <c r="K299" s="51"/>
    </row>
    <row r="300">
      <c r="D300" s="55"/>
      <c r="E300" s="67"/>
      <c r="F300" s="67"/>
      <c r="G300" s="67"/>
      <c r="H300" s="67"/>
      <c r="I300" s="53"/>
      <c r="J300" s="51"/>
      <c r="K300" s="51"/>
    </row>
    <row r="301">
      <c r="D301" s="55"/>
      <c r="E301" s="67"/>
      <c r="F301" s="67"/>
      <c r="G301" s="67"/>
      <c r="H301" s="67"/>
      <c r="I301" s="53"/>
      <c r="J301" s="51"/>
      <c r="K301" s="51"/>
    </row>
    <row r="302">
      <c r="D302" s="55"/>
      <c r="E302" s="67"/>
      <c r="F302" s="67"/>
      <c r="G302" s="67"/>
      <c r="H302" s="67"/>
      <c r="I302" s="53"/>
      <c r="J302" s="51"/>
      <c r="K302" s="51"/>
    </row>
    <row r="303">
      <c r="D303" s="55"/>
      <c r="E303" s="67"/>
      <c r="F303" s="67"/>
      <c r="G303" s="67"/>
      <c r="H303" s="67"/>
      <c r="I303" s="53"/>
      <c r="J303" s="51"/>
      <c r="K303" s="51"/>
    </row>
    <row r="304">
      <c r="D304" s="55"/>
      <c r="E304" s="67"/>
      <c r="F304" s="67"/>
      <c r="G304" s="67"/>
      <c r="H304" s="67"/>
      <c r="I304" s="53"/>
      <c r="J304" s="51"/>
      <c r="K304" s="51"/>
    </row>
    <row r="305">
      <c r="D305" s="55"/>
      <c r="E305" s="67"/>
      <c r="F305" s="67"/>
      <c r="G305" s="67"/>
      <c r="H305" s="67"/>
      <c r="I305" s="53"/>
      <c r="J305" s="51"/>
      <c r="K305" s="51"/>
    </row>
    <row r="306">
      <c r="D306" s="55"/>
      <c r="E306" s="67"/>
      <c r="F306" s="67"/>
      <c r="G306" s="67"/>
      <c r="H306" s="67"/>
      <c r="I306" s="53"/>
      <c r="J306" s="51"/>
      <c r="K306" s="51"/>
    </row>
    <row r="307">
      <c r="D307" s="55"/>
      <c r="E307" s="67"/>
      <c r="F307" s="67"/>
      <c r="G307" s="67"/>
      <c r="H307" s="67"/>
      <c r="I307" s="53"/>
      <c r="J307" s="51"/>
      <c r="K307" s="51"/>
    </row>
    <row r="308">
      <c r="D308" s="55"/>
      <c r="E308" s="67"/>
      <c r="F308" s="67"/>
      <c r="G308" s="67"/>
      <c r="H308" s="67"/>
      <c r="I308" s="53"/>
      <c r="J308" s="51"/>
      <c r="K308" s="51"/>
    </row>
    <row r="309">
      <c r="D309" s="55"/>
      <c r="E309" s="67"/>
      <c r="F309" s="67"/>
      <c r="G309" s="67"/>
      <c r="H309" s="67"/>
      <c r="I309" s="53"/>
      <c r="J309" s="51"/>
      <c r="K309" s="51"/>
    </row>
    <row r="310">
      <c r="D310" s="55"/>
      <c r="E310" s="67"/>
      <c r="F310" s="67"/>
      <c r="G310" s="67"/>
      <c r="H310" s="67"/>
      <c r="I310" s="53"/>
      <c r="J310" s="51"/>
      <c r="K310" s="51"/>
    </row>
    <row r="311">
      <c r="D311" s="55"/>
      <c r="E311" s="67"/>
      <c r="F311" s="67"/>
      <c r="G311" s="67"/>
      <c r="H311" s="67"/>
      <c r="I311" s="53"/>
      <c r="J311" s="51"/>
      <c r="K311" s="51"/>
    </row>
    <row r="312">
      <c r="D312" s="55"/>
      <c r="E312" s="67"/>
      <c r="F312" s="67"/>
      <c r="G312" s="67"/>
      <c r="H312" s="67"/>
      <c r="I312" s="53"/>
      <c r="J312" s="51"/>
      <c r="K312" s="51"/>
    </row>
    <row r="313">
      <c r="D313" s="55"/>
      <c r="E313" s="67"/>
      <c r="F313" s="67"/>
      <c r="G313" s="67"/>
      <c r="H313" s="67"/>
      <c r="I313" s="53"/>
      <c r="J313" s="51"/>
      <c r="K313" s="51"/>
    </row>
    <row r="314">
      <c r="D314" s="55"/>
      <c r="E314" s="67"/>
      <c r="F314" s="67"/>
      <c r="G314" s="67"/>
      <c r="H314" s="67"/>
      <c r="I314" s="53"/>
      <c r="J314" s="51"/>
      <c r="K314" s="51"/>
    </row>
    <row r="315">
      <c r="D315" s="55"/>
      <c r="E315" s="67"/>
      <c r="F315" s="67"/>
      <c r="G315" s="67"/>
      <c r="H315" s="67"/>
      <c r="I315" s="53"/>
      <c r="J315" s="51"/>
      <c r="K315" s="51"/>
    </row>
    <row r="316">
      <c r="D316" s="55"/>
      <c r="E316" s="67"/>
      <c r="F316" s="67"/>
      <c r="G316" s="67"/>
      <c r="H316" s="67"/>
      <c r="I316" s="53"/>
      <c r="J316" s="51"/>
      <c r="K316" s="51"/>
    </row>
    <row r="317">
      <c r="D317" s="55"/>
      <c r="E317" s="67"/>
      <c r="F317" s="67"/>
      <c r="G317" s="67"/>
      <c r="H317" s="67"/>
      <c r="I317" s="53"/>
      <c r="J317" s="51"/>
      <c r="K317" s="51"/>
    </row>
    <row r="318">
      <c r="D318" s="55"/>
      <c r="E318" s="67"/>
      <c r="F318" s="67"/>
      <c r="G318" s="67"/>
      <c r="H318" s="67"/>
      <c r="I318" s="53"/>
      <c r="J318" s="51"/>
      <c r="K318" s="51"/>
    </row>
    <row r="319">
      <c r="D319" s="55"/>
      <c r="E319" s="67"/>
      <c r="F319" s="67"/>
      <c r="G319" s="67"/>
      <c r="H319" s="67"/>
      <c r="I319" s="53"/>
      <c r="J319" s="51"/>
      <c r="K319" s="51"/>
    </row>
    <row r="320">
      <c r="D320" s="55"/>
      <c r="E320" s="67"/>
      <c r="F320" s="67"/>
      <c r="G320" s="67"/>
      <c r="H320" s="67"/>
      <c r="I320" s="53"/>
      <c r="J320" s="51"/>
      <c r="K320" s="51"/>
    </row>
    <row r="321">
      <c r="D321" s="55"/>
      <c r="E321" s="67"/>
      <c r="F321" s="67"/>
      <c r="G321" s="67"/>
      <c r="H321" s="67"/>
      <c r="I321" s="53"/>
      <c r="J321" s="51"/>
      <c r="K321" s="51"/>
    </row>
    <row r="322">
      <c r="D322" s="55"/>
      <c r="E322" s="67"/>
      <c r="F322" s="67"/>
      <c r="G322" s="67"/>
      <c r="H322" s="67"/>
      <c r="I322" s="53"/>
      <c r="J322" s="51"/>
      <c r="K322" s="51"/>
    </row>
    <row r="323">
      <c r="D323" s="55"/>
      <c r="E323" s="67"/>
      <c r="F323" s="67"/>
      <c r="G323" s="67"/>
      <c r="H323" s="67"/>
      <c r="I323" s="53"/>
      <c r="J323" s="51"/>
      <c r="K323" s="51"/>
    </row>
    <row r="324">
      <c r="D324" s="55"/>
      <c r="E324" s="67"/>
      <c r="F324" s="67"/>
      <c r="G324" s="67"/>
      <c r="H324" s="67"/>
      <c r="I324" s="53"/>
      <c r="J324" s="51"/>
      <c r="K324" s="51"/>
    </row>
    <row r="325">
      <c r="D325" s="55"/>
      <c r="E325" s="67"/>
      <c r="F325" s="67"/>
      <c r="G325" s="67"/>
      <c r="H325" s="67"/>
      <c r="I325" s="53"/>
      <c r="J325" s="51"/>
      <c r="K325" s="51"/>
    </row>
    <row r="326">
      <c r="D326" s="55"/>
      <c r="E326" s="67"/>
      <c r="F326" s="67"/>
      <c r="G326" s="67"/>
      <c r="H326" s="67"/>
      <c r="I326" s="53"/>
      <c r="J326" s="51"/>
      <c r="K326" s="51"/>
    </row>
    <row r="327">
      <c r="D327" s="55"/>
      <c r="E327" s="67"/>
      <c r="F327" s="67"/>
      <c r="G327" s="67"/>
      <c r="H327" s="67"/>
      <c r="I327" s="53"/>
      <c r="J327" s="51"/>
      <c r="K327" s="51"/>
    </row>
    <row r="328">
      <c r="D328" s="55"/>
      <c r="E328" s="67"/>
      <c r="F328" s="67"/>
      <c r="G328" s="67"/>
      <c r="H328" s="67"/>
      <c r="I328" s="53"/>
      <c r="J328" s="51"/>
      <c r="K328" s="51"/>
    </row>
    <row r="329">
      <c r="D329" s="55"/>
      <c r="E329" s="67"/>
      <c r="F329" s="67"/>
      <c r="G329" s="67"/>
      <c r="H329" s="67"/>
      <c r="I329" s="53"/>
      <c r="J329" s="51"/>
      <c r="K329" s="51"/>
    </row>
    <row r="330">
      <c r="D330" s="55"/>
      <c r="E330" s="67"/>
      <c r="F330" s="67"/>
      <c r="G330" s="67"/>
      <c r="H330" s="67"/>
      <c r="I330" s="53"/>
      <c r="J330" s="51"/>
      <c r="K330" s="51"/>
    </row>
    <row r="331">
      <c r="D331" s="55"/>
      <c r="E331" s="67"/>
      <c r="F331" s="67"/>
      <c r="G331" s="67"/>
      <c r="H331" s="67"/>
      <c r="I331" s="53"/>
      <c r="J331" s="51"/>
      <c r="K331" s="51"/>
    </row>
    <row r="332">
      <c r="D332" s="55"/>
      <c r="E332" s="67"/>
      <c r="F332" s="67"/>
      <c r="G332" s="67"/>
      <c r="H332" s="67"/>
      <c r="I332" s="53"/>
      <c r="J332" s="51"/>
      <c r="K332" s="51"/>
    </row>
    <row r="333">
      <c r="D333" s="55"/>
      <c r="E333" s="67"/>
      <c r="F333" s="67"/>
      <c r="G333" s="67"/>
      <c r="H333" s="67"/>
      <c r="I333" s="53"/>
      <c r="J333" s="51"/>
      <c r="K333" s="51"/>
    </row>
    <row r="334">
      <c r="D334" s="55"/>
      <c r="E334" s="67"/>
      <c r="F334" s="67"/>
      <c r="G334" s="67"/>
      <c r="H334" s="67"/>
      <c r="I334" s="53"/>
      <c r="J334" s="51"/>
      <c r="K334" s="51"/>
    </row>
    <row r="335">
      <c r="D335" s="55"/>
      <c r="E335" s="67"/>
      <c r="F335" s="67"/>
      <c r="G335" s="67"/>
      <c r="H335" s="67"/>
      <c r="I335" s="53"/>
      <c r="J335" s="51"/>
      <c r="K335" s="51"/>
    </row>
    <row r="336">
      <c r="D336" s="55"/>
      <c r="E336" s="67"/>
      <c r="F336" s="67"/>
      <c r="G336" s="67"/>
      <c r="H336" s="67"/>
      <c r="I336" s="53"/>
      <c r="J336" s="51"/>
      <c r="K336" s="51"/>
    </row>
    <row r="337">
      <c r="D337" s="55"/>
      <c r="E337" s="67"/>
      <c r="F337" s="67"/>
      <c r="G337" s="67"/>
      <c r="H337" s="67"/>
      <c r="I337" s="53"/>
      <c r="J337" s="51"/>
      <c r="K337" s="51"/>
    </row>
    <row r="338">
      <c r="D338" s="55"/>
      <c r="E338" s="67"/>
      <c r="F338" s="67"/>
      <c r="G338" s="67"/>
      <c r="H338" s="67"/>
      <c r="I338" s="53"/>
      <c r="J338" s="51"/>
      <c r="K338" s="51"/>
    </row>
    <row r="339">
      <c r="D339" s="55"/>
      <c r="E339" s="67"/>
      <c r="F339" s="67"/>
      <c r="G339" s="67"/>
      <c r="H339" s="67"/>
      <c r="I339" s="53"/>
      <c r="J339" s="51"/>
      <c r="K339" s="51"/>
    </row>
    <row r="340">
      <c r="D340" s="55"/>
      <c r="E340" s="67"/>
      <c r="F340" s="67"/>
      <c r="G340" s="67"/>
      <c r="H340" s="67"/>
      <c r="I340" s="53"/>
      <c r="J340" s="51"/>
      <c r="K340" s="51"/>
    </row>
    <row r="341">
      <c r="D341" s="55"/>
      <c r="E341" s="67"/>
      <c r="F341" s="67"/>
      <c r="G341" s="67"/>
      <c r="H341" s="67"/>
      <c r="I341" s="53"/>
      <c r="J341" s="51"/>
      <c r="K341" s="51"/>
    </row>
    <row r="342">
      <c r="D342" s="55"/>
      <c r="E342" s="67"/>
      <c r="F342" s="67"/>
      <c r="G342" s="67"/>
      <c r="H342" s="67"/>
      <c r="I342" s="53"/>
      <c r="J342" s="51"/>
      <c r="K342" s="51"/>
    </row>
    <row r="343">
      <c r="D343" s="55"/>
      <c r="E343" s="67"/>
      <c r="F343" s="67"/>
      <c r="G343" s="67"/>
      <c r="H343" s="67"/>
      <c r="I343" s="53"/>
      <c r="J343" s="51"/>
      <c r="K343" s="51"/>
    </row>
    <row r="344">
      <c r="D344" s="55"/>
      <c r="E344" s="67"/>
      <c r="F344" s="67"/>
      <c r="G344" s="67"/>
      <c r="H344" s="67"/>
      <c r="I344" s="53"/>
      <c r="J344" s="51"/>
      <c r="K344" s="51"/>
    </row>
    <row r="345">
      <c r="D345" s="55"/>
      <c r="E345" s="67"/>
      <c r="F345" s="67"/>
      <c r="G345" s="67"/>
      <c r="H345" s="67"/>
      <c r="I345" s="53"/>
      <c r="J345" s="51"/>
      <c r="K345" s="51"/>
    </row>
    <row r="346">
      <c r="D346" s="55"/>
      <c r="E346" s="67"/>
      <c r="F346" s="67"/>
      <c r="G346" s="67"/>
      <c r="H346" s="67"/>
      <c r="I346" s="53"/>
      <c r="J346" s="51"/>
      <c r="K346" s="51"/>
    </row>
    <row r="347">
      <c r="D347" s="55"/>
      <c r="E347" s="67"/>
      <c r="F347" s="67"/>
      <c r="G347" s="67"/>
      <c r="H347" s="67"/>
      <c r="I347" s="53"/>
      <c r="J347" s="51"/>
      <c r="K347" s="51"/>
    </row>
    <row r="348">
      <c r="D348" s="55"/>
      <c r="E348" s="67"/>
      <c r="F348" s="67"/>
      <c r="G348" s="67"/>
      <c r="H348" s="67"/>
      <c r="I348" s="53"/>
      <c r="J348" s="51"/>
      <c r="K348" s="51"/>
    </row>
    <row r="349">
      <c r="D349" s="55"/>
      <c r="E349" s="67"/>
      <c r="F349" s="67"/>
      <c r="G349" s="67"/>
      <c r="H349" s="67"/>
      <c r="I349" s="53"/>
      <c r="J349" s="51"/>
      <c r="K349" s="51"/>
    </row>
    <row r="350">
      <c r="D350" s="55"/>
      <c r="E350" s="67"/>
      <c r="F350" s="67"/>
      <c r="G350" s="67"/>
      <c r="H350" s="67"/>
      <c r="I350" s="53"/>
      <c r="J350" s="51"/>
      <c r="K350" s="51"/>
    </row>
    <row r="351">
      <c r="D351" s="55"/>
      <c r="E351" s="67"/>
      <c r="F351" s="67"/>
      <c r="G351" s="67"/>
      <c r="H351" s="67"/>
      <c r="I351" s="53"/>
      <c r="J351" s="51"/>
      <c r="K351" s="51"/>
    </row>
    <row r="352">
      <c r="D352" s="55"/>
      <c r="E352" s="67"/>
      <c r="F352" s="67"/>
      <c r="G352" s="67"/>
      <c r="H352" s="67"/>
      <c r="I352" s="53"/>
      <c r="J352" s="51"/>
      <c r="K352" s="51"/>
    </row>
    <row r="353">
      <c r="D353" s="55"/>
      <c r="E353" s="67"/>
      <c r="F353" s="67"/>
      <c r="G353" s="67"/>
      <c r="H353" s="67"/>
      <c r="I353" s="53"/>
      <c r="J353" s="51"/>
      <c r="K353" s="51"/>
    </row>
    <row r="354">
      <c r="D354" s="55"/>
      <c r="E354" s="67"/>
      <c r="F354" s="67"/>
      <c r="G354" s="67"/>
      <c r="H354" s="67"/>
      <c r="I354" s="53"/>
      <c r="J354" s="51"/>
      <c r="K354" s="51"/>
    </row>
    <row r="355">
      <c r="D355" s="55"/>
      <c r="E355" s="67"/>
      <c r="F355" s="67"/>
      <c r="G355" s="67"/>
      <c r="H355" s="67"/>
      <c r="I355" s="53"/>
      <c r="J355" s="51"/>
      <c r="K355" s="51"/>
    </row>
    <row r="356">
      <c r="D356" s="55"/>
      <c r="E356" s="67"/>
      <c r="F356" s="67"/>
      <c r="G356" s="67"/>
      <c r="H356" s="67"/>
      <c r="I356" s="53"/>
      <c r="J356" s="51"/>
      <c r="K356" s="51"/>
    </row>
    <row r="357">
      <c r="D357" s="55"/>
      <c r="E357" s="67"/>
      <c r="F357" s="67"/>
      <c r="G357" s="67"/>
      <c r="H357" s="67"/>
      <c r="I357" s="53"/>
      <c r="J357" s="51"/>
      <c r="K357" s="51"/>
    </row>
    <row r="358">
      <c r="D358" s="55"/>
      <c r="E358" s="67"/>
      <c r="F358" s="67"/>
      <c r="G358" s="67"/>
      <c r="H358" s="67"/>
      <c r="I358" s="53"/>
      <c r="J358" s="51"/>
      <c r="K358" s="51"/>
    </row>
    <row r="359">
      <c r="D359" s="55"/>
      <c r="E359" s="67"/>
      <c r="F359" s="67"/>
      <c r="G359" s="67"/>
      <c r="H359" s="67"/>
      <c r="I359" s="53"/>
      <c r="J359" s="51"/>
      <c r="K359" s="51"/>
    </row>
    <row r="360">
      <c r="D360" s="55"/>
      <c r="E360" s="67"/>
      <c r="F360" s="67"/>
      <c r="G360" s="67"/>
      <c r="H360" s="67"/>
      <c r="I360" s="53"/>
      <c r="J360" s="51"/>
      <c r="K360" s="51"/>
    </row>
    <row r="361">
      <c r="D361" s="55"/>
      <c r="E361" s="67"/>
      <c r="F361" s="67"/>
      <c r="G361" s="67"/>
      <c r="H361" s="67"/>
      <c r="I361" s="53"/>
      <c r="J361" s="51"/>
      <c r="K361" s="51"/>
    </row>
    <row r="362">
      <c r="D362" s="55"/>
      <c r="E362" s="67"/>
      <c r="F362" s="67"/>
      <c r="G362" s="67"/>
      <c r="H362" s="67"/>
      <c r="I362" s="53"/>
      <c r="J362" s="51"/>
      <c r="K362" s="51"/>
    </row>
    <row r="363">
      <c r="D363" s="55"/>
      <c r="E363" s="67"/>
      <c r="F363" s="67"/>
      <c r="G363" s="67"/>
      <c r="H363" s="67"/>
      <c r="I363" s="53"/>
      <c r="J363" s="51"/>
      <c r="K363" s="51"/>
    </row>
    <row r="364">
      <c r="D364" s="55"/>
      <c r="E364" s="67"/>
      <c r="F364" s="67"/>
      <c r="G364" s="67"/>
      <c r="H364" s="67"/>
      <c r="I364" s="53"/>
      <c r="J364" s="51"/>
      <c r="K364" s="51"/>
    </row>
    <row r="365">
      <c r="D365" s="55"/>
      <c r="E365" s="67"/>
      <c r="F365" s="67"/>
      <c r="G365" s="67"/>
      <c r="H365" s="67"/>
      <c r="I365" s="53"/>
      <c r="J365" s="51"/>
      <c r="K365" s="51"/>
    </row>
    <row r="366">
      <c r="D366" s="55"/>
      <c r="E366" s="67"/>
      <c r="F366" s="67"/>
      <c r="G366" s="67"/>
      <c r="H366" s="67"/>
      <c r="I366" s="53"/>
      <c r="J366" s="51"/>
      <c r="K366" s="51"/>
    </row>
    <row r="367">
      <c r="D367" s="55"/>
      <c r="E367" s="67"/>
      <c r="F367" s="67"/>
      <c r="G367" s="67"/>
      <c r="H367" s="67"/>
      <c r="I367" s="53"/>
      <c r="J367" s="51"/>
      <c r="K367" s="51"/>
    </row>
    <row r="368">
      <c r="D368" s="55"/>
      <c r="E368" s="67"/>
      <c r="F368" s="67"/>
      <c r="G368" s="67"/>
      <c r="H368" s="67"/>
      <c r="I368" s="53"/>
      <c r="J368" s="51"/>
      <c r="K368" s="51"/>
    </row>
    <row r="369">
      <c r="D369" s="55"/>
      <c r="E369" s="67"/>
      <c r="F369" s="67"/>
      <c r="G369" s="67"/>
      <c r="H369" s="67"/>
      <c r="I369" s="53"/>
      <c r="J369" s="51"/>
      <c r="K369" s="51"/>
    </row>
    <row r="370">
      <c r="D370" s="55"/>
      <c r="E370" s="67"/>
      <c r="F370" s="67"/>
      <c r="G370" s="67"/>
      <c r="H370" s="67"/>
      <c r="I370" s="53"/>
      <c r="J370" s="51"/>
      <c r="K370" s="51"/>
    </row>
    <row r="371">
      <c r="D371" s="55"/>
      <c r="E371" s="67"/>
      <c r="F371" s="67"/>
      <c r="G371" s="67"/>
      <c r="H371" s="67"/>
      <c r="I371" s="53"/>
      <c r="J371" s="51"/>
      <c r="K371" s="51"/>
    </row>
    <row r="372">
      <c r="D372" s="55"/>
      <c r="E372" s="67"/>
      <c r="F372" s="67"/>
      <c r="G372" s="67"/>
      <c r="H372" s="67"/>
      <c r="I372" s="53"/>
      <c r="J372" s="51"/>
      <c r="K372" s="51"/>
    </row>
    <row r="373">
      <c r="D373" s="55"/>
      <c r="E373" s="67"/>
      <c r="F373" s="67"/>
      <c r="G373" s="67"/>
      <c r="H373" s="67"/>
      <c r="I373" s="53"/>
      <c r="J373" s="51"/>
      <c r="K373" s="51"/>
    </row>
    <row r="374">
      <c r="D374" s="55"/>
      <c r="E374" s="67"/>
      <c r="F374" s="67"/>
      <c r="G374" s="67"/>
      <c r="H374" s="67"/>
      <c r="I374" s="53"/>
      <c r="J374" s="51"/>
      <c r="K374" s="51"/>
    </row>
    <row r="375">
      <c r="D375" s="55"/>
      <c r="E375" s="67"/>
      <c r="F375" s="67"/>
      <c r="G375" s="67"/>
      <c r="H375" s="67"/>
      <c r="I375" s="53"/>
      <c r="J375" s="51"/>
      <c r="K375" s="51"/>
    </row>
    <row r="376">
      <c r="D376" s="55"/>
      <c r="E376" s="67"/>
      <c r="F376" s="67"/>
      <c r="G376" s="67"/>
      <c r="H376" s="67"/>
      <c r="I376" s="53"/>
      <c r="J376" s="51"/>
      <c r="K376" s="51"/>
    </row>
    <row r="377">
      <c r="D377" s="55"/>
      <c r="E377" s="67"/>
      <c r="F377" s="67"/>
      <c r="G377" s="67"/>
      <c r="H377" s="67"/>
      <c r="I377" s="53"/>
      <c r="J377" s="51"/>
      <c r="K377" s="51"/>
    </row>
    <row r="378">
      <c r="D378" s="55"/>
      <c r="E378" s="67"/>
      <c r="F378" s="67"/>
      <c r="G378" s="67"/>
      <c r="H378" s="67"/>
      <c r="I378" s="53"/>
      <c r="J378" s="51"/>
      <c r="K378" s="51"/>
    </row>
    <row r="379">
      <c r="D379" s="55"/>
      <c r="E379" s="67"/>
      <c r="F379" s="67"/>
      <c r="G379" s="67"/>
      <c r="H379" s="67"/>
      <c r="I379" s="53"/>
      <c r="J379" s="51"/>
      <c r="K379" s="51"/>
    </row>
    <row r="380">
      <c r="D380" s="55"/>
      <c r="E380" s="67"/>
      <c r="F380" s="67"/>
      <c r="G380" s="67"/>
      <c r="H380" s="67"/>
      <c r="I380" s="53"/>
      <c r="J380" s="51"/>
      <c r="K380" s="51"/>
    </row>
    <row r="381">
      <c r="D381" s="55"/>
      <c r="E381" s="67"/>
      <c r="F381" s="67"/>
      <c r="G381" s="67"/>
      <c r="H381" s="67"/>
      <c r="I381" s="53"/>
      <c r="J381" s="51"/>
      <c r="K381" s="51"/>
    </row>
    <row r="382">
      <c r="D382" s="55"/>
      <c r="E382" s="67"/>
      <c r="F382" s="67"/>
      <c r="G382" s="67"/>
      <c r="H382" s="67"/>
      <c r="I382" s="53"/>
      <c r="J382" s="51"/>
      <c r="K382" s="51"/>
    </row>
    <row r="383">
      <c r="D383" s="55"/>
      <c r="E383" s="67"/>
      <c r="F383" s="67"/>
      <c r="G383" s="67"/>
      <c r="H383" s="67"/>
      <c r="I383" s="53"/>
      <c r="J383" s="51"/>
      <c r="K383" s="51"/>
    </row>
    <row r="384">
      <c r="D384" s="55"/>
      <c r="E384" s="67"/>
      <c r="F384" s="67"/>
      <c r="G384" s="67"/>
      <c r="H384" s="67"/>
      <c r="I384" s="53"/>
      <c r="J384" s="51"/>
      <c r="K384" s="51"/>
    </row>
    <row r="385">
      <c r="D385" s="55"/>
      <c r="E385" s="67"/>
      <c r="F385" s="67"/>
      <c r="G385" s="67"/>
      <c r="H385" s="67"/>
      <c r="I385" s="53"/>
      <c r="J385" s="51"/>
      <c r="K385" s="51"/>
    </row>
    <row r="386">
      <c r="D386" s="55"/>
      <c r="E386" s="67"/>
      <c r="F386" s="67"/>
      <c r="G386" s="67"/>
      <c r="H386" s="67"/>
      <c r="I386" s="53"/>
      <c r="J386" s="51"/>
      <c r="K386" s="51"/>
    </row>
    <row r="387">
      <c r="D387" s="55"/>
      <c r="E387" s="67"/>
      <c r="F387" s="67"/>
      <c r="G387" s="67"/>
      <c r="H387" s="67"/>
      <c r="I387" s="53"/>
      <c r="J387" s="51"/>
      <c r="K387" s="51"/>
    </row>
    <row r="388">
      <c r="D388" s="55"/>
      <c r="E388" s="67"/>
      <c r="F388" s="67"/>
      <c r="G388" s="67"/>
      <c r="H388" s="67"/>
      <c r="I388" s="53"/>
      <c r="J388" s="51"/>
      <c r="K388" s="51"/>
    </row>
    <row r="389">
      <c r="D389" s="55"/>
      <c r="E389" s="67"/>
      <c r="F389" s="67"/>
      <c r="G389" s="67"/>
      <c r="H389" s="67"/>
      <c r="I389" s="53"/>
      <c r="J389" s="51"/>
      <c r="K389" s="51"/>
    </row>
    <row r="390">
      <c r="D390" s="55"/>
      <c r="E390" s="67"/>
      <c r="F390" s="67"/>
      <c r="G390" s="67"/>
      <c r="H390" s="67"/>
      <c r="I390" s="53"/>
      <c r="J390" s="51"/>
      <c r="K390" s="51"/>
    </row>
    <row r="391">
      <c r="D391" s="55"/>
      <c r="E391" s="67"/>
      <c r="F391" s="67"/>
      <c r="G391" s="67"/>
      <c r="H391" s="67"/>
      <c r="I391" s="53"/>
      <c r="J391" s="51"/>
      <c r="K391" s="51"/>
    </row>
    <row r="392">
      <c r="D392" s="55"/>
      <c r="E392" s="67"/>
      <c r="F392" s="67"/>
      <c r="G392" s="67"/>
      <c r="H392" s="67"/>
      <c r="I392" s="53"/>
      <c r="J392" s="51"/>
      <c r="K392" s="51"/>
    </row>
    <row r="393">
      <c r="D393" s="55"/>
      <c r="E393" s="67"/>
      <c r="F393" s="67"/>
      <c r="G393" s="67"/>
      <c r="H393" s="67"/>
      <c r="I393" s="53"/>
      <c r="J393" s="51"/>
      <c r="K393" s="51"/>
    </row>
    <row r="394">
      <c r="D394" s="55"/>
      <c r="E394" s="67"/>
      <c r="F394" s="67"/>
      <c r="G394" s="67"/>
      <c r="H394" s="67"/>
      <c r="I394" s="53"/>
      <c r="J394" s="51"/>
      <c r="K394" s="51"/>
    </row>
    <row r="395">
      <c r="D395" s="55"/>
      <c r="E395" s="67"/>
      <c r="F395" s="67"/>
      <c r="G395" s="67"/>
      <c r="H395" s="67"/>
      <c r="I395" s="53"/>
      <c r="J395" s="51"/>
      <c r="K395" s="51"/>
    </row>
    <row r="396">
      <c r="D396" s="55"/>
      <c r="E396" s="67"/>
      <c r="F396" s="67"/>
      <c r="G396" s="67"/>
      <c r="H396" s="67"/>
      <c r="I396" s="53"/>
      <c r="J396" s="51"/>
      <c r="K396" s="51"/>
    </row>
    <row r="397">
      <c r="D397" s="55"/>
      <c r="E397" s="67"/>
      <c r="F397" s="67"/>
      <c r="G397" s="67"/>
      <c r="H397" s="67"/>
      <c r="I397" s="53"/>
      <c r="J397" s="51"/>
      <c r="K397" s="51"/>
    </row>
    <row r="398">
      <c r="D398" s="55"/>
      <c r="E398" s="67"/>
      <c r="F398" s="67"/>
      <c r="G398" s="67"/>
      <c r="H398" s="67"/>
      <c r="I398" s="53"/>
      <c r="J398" s="51"/>
      <c r="K398" s="51"/>
    </row>
    <row r="399">
      <c r="D399" s="55"/>
      <c r="E399" s="67"/>
      <c r="F399" s="67"/>
      <c r="G399" s="67"/>
      <c r="H399" s="67"/>
      <c r="I399" s="53"/>
      <c r="J399" s="51"/>
      <c r="K399" s="51"/>
    </row>
    <row r="400">
      <c r="D400" s="55"/>
      <c r="E400" s="67"/>
      <c r="F400" s="67"/>
      <c r="G400" s="67"/>
      <c r="H400" s="67"/>
      <c r="I400" s="53"/>
      <c r="J400" s="51"/>
      <c r="K400" s="51"/>
    </row>
    <row r="401">
      <c r="D401" s="55"/>
      <c r="E401" s="67"/>
      <c r="F401" s="67"/>
      <c r="G401" s="67"/>
      <c r="H401" s="67"/>
      <c r="I401" s="53"/>
      <c r="J401" s="51"/>
      <c r="K401" s="51"/>
    </row>
    <row r="402">
      <c r="D402" s="55"/>
      <c r="E402" s="67"/>
      <c r="F402" s="67"/>
      <c r="G402" s="67"/>
      <c r="H402" s="67"/>
      <c r="I402" s="53"/>
      <c r="J402" s="51"/>
      <c r="K402" s="51"/>
    </row>
    <row r="403">
      <c r="D403" s="55"/>
      <c r="E403" s="67"/>
      <c r="F403" s="67"/>
      <c r="G403" s="67"/>
      <c r="H403" s="67"/>
      <c r="I403" s="53"/>
      <c r="J403" s="51"/>
      <c r="K403" s="51"/>
    </row>
    <row r="404">
      <c r="D404" s="55"/>
      <c r="E404" s="67"/>
      <c r="F404" s="67"/>
      <c r="G404" s="67"/>
      <c r="H404" s="67"/>
      <c r="I404" s="53"/>
      <c r="J404" s="51"/>
      <c r="K404" s="51"/>
    </row>
    <row r="405">
      <c r="D405" s="55"/>
      <c r="E405" s="67"/>
      <c r="F405" s="67"/>
      <c r="G405" s="67"/>
      <c r="H405" s="67"/>
      <c r="I405" s="53"/>
      <c r="J405" s="51"/>
      <c r="K405" s="51"/>
    </row>
    <row r="406">
      <c r="D406" s="55"/>
      <c r="E406" s="67"/>
      <c r="F406" s="67"/>
      <c r="G406" s="67"/>
      <c r="H406" s="67"/>
      <c r="I406" s="53"/>
      <c r="J406" s="51"/>
      <c r="K406" s="51"/>
    </row>
    <row r="407">
      <c r="D407" s="55"/>
      <c r="E407" s="67"/>
      <c r="F407" s="67"/>
      <c r="G407" s="67"/>
      <c r="H407" s="67"/>
      <c r="I407" s="53"/>
      <c r="J407" s="51"/>
      <c r="K407" s="51"/>
    </row>
    <row r="408">
      <c r="D408" s="55"/>
      <c r="E408" s="67"/>
      <c r="F408" s="67"/>
      <c r="G408" s="67"/>
      <c r="H408" s="67"/>
      <c r="I408" s="53"/>
      <c r="J408" s="51"/>
      <c r="K408" s="51"/>
    </row>
    <row r="409">
      <c r="D409" s="55"/>
      <c r="E409" s="67"/>
      <c r="F409" s="67"/>
      <c r="G409" s="67"/>
      <c r="H409" s="67"/>
      <c r="I409" s="53"/>
      <c r="J409" s="51"/>
      <c r="K409" s="51"/>
    </row>
    <row r="410">
      <c r="D410" s="55"/>
      <c r="E410" s="67"/>
      <c r="F410" s="67"/>
      <c r="G410" s="67"/>
      <c r="H410" s="67"/>
      <c r="I410" s="53"/>
      <c r="J410" s="51"/>
      <c r="K410" s="51"/>
    </row>
    <row r="411">
      <c r="D411" s="55"/>
      <c r="E411" s="67"/>
      <c r="F411" s="67"/>
      <c r="G411" s="67"/>
      <c r="H411" s="67"/>
      <c r="I411" s="53"/>
      <c r="J411" s="51"/>
      <c r="K411" s="51"/>
    </row>
    <row r="412">
      <c r="D412" s="55"/>
      <c r="E412" s="67"/>
      <c r="F412" s="67"/>
      <c r="G412" s="67"/>
      <c r="H412" s="67"/>
      <c r="I412" s="53"/>
      <c r="J412" s="51"/>
      <c r="K412" s="51"/>
    </row>
    <row r="413">
      <c r="D413" s="55"/>
      <c r="E413" s="67"/>
      <c r="F413" s="67"/>
      <c r="G413" s="67"/>
      <c r="H413" s="67"/>
      <c r="I413" s="53"/>
      <c r="J413" s="51"/>
      <c r="K413" s="51"/>
    </row>
    <row r="414">
      <c r="D414" s="55"/>
      <c r="E414" s="67"/>
      <c r="F414" s="67"/>
      <c r="G414" s="67"/>
      <c r="H414" s="67"/>
      <c r="I414" s="53"/>
      <c r="J414" s="51"/>
      <c r="K414" s="51"/>
    </row>
    <row r="415">
      <c r="D415" s="55"/>
      <c r="E415" s="67"/>
      <c r="F415" s="67"/>
      <c r="G415" s="67"/>
      <c r="H415" s="67"/>
      <c r="I415" s="53"/>
      <c r="J415" s="51"/>
      <c r="K415" s="51"/>
    </row>
    <row r="416">
      <c r="D416" s="55"/>
      <c r="E416" s="67"/>
      <c r="F416" s="67"/>
      <c r="G416" s="67"/>
      <c r="H416" s="67"/>
      <c r="I416" s="53"/>
      <c r="J416" s="51"/>
      <c r="K416" s="51"/>
    </row>
    <row r="417">
      <c r="D417" s="55"/>
      <c r="E417" s="67"/>
      <c r="F417" s="67"/>
      <c r="G417" s="67"/>
      <c r="H417" s="67"/>
      <c r="I417" s="53"/>
      <c r="J417" s="51"/>
      <c r="K417" s="51"/>
    </row>
    <row r="418">
      <c r="D418" s="55"/>
      <c r="E418" s="67"/>
      <c r="F418" s="67"/>
      <c r="G418" s="67"/>
      <c r="H418" s="67"/>
      <c r="I418" s="53"/>
      <c r="J418" s="51"/>
      <c r="K418" s="51"/>
    </row>
    <row r="419">
      <c r="D419" s="55"/>
      <c r="E419" s="67"/>
      <c r="F419" s="67"/>
      <c r="G419" s="67"/>
      <c r="H419" s="67"/>
      <c r="I419" s="53"/>
      <c r="J419" s="51"/>
      <c r="K419" s="51"/>
    </row>
    <row r="420">
      <c r="D420" s="55"/>
      <c r="E420" s="67"/>
      <c r="F420" s="67"/>
      <c r="G420" s="67"/>
      <c r="H420" s="67"/>
      <c r="I420" s="53"/>
      <c r="J420" s="51"/>
      <c r="K420" s="51"/>
    </row>
    <row r="421">
      <c r="D421" s="55"/>
      <c r="E421" s="67"/>
      <c r="F421" s="67"/>
      <c r="G421" s="67"/>
      <c r="H421" s="67"/>
      <c r="I421" s="53"/>
      <c r="J421" s="51"/>
      <c r="K421" s="51"/>
    </row>
    <row r="422">
      <c r="D422" s="55"/>
      <c r="E422" s="67"/>
      <c r="F422" s="67"/>
      <c r="G422" s="67"/>
      <c r="H422" s="67"/>
      <c r="I422" s="53"/>
      <c r="J422" s="51"/>
      <c r="K422" s="51"/>
    </row>
    <row r="423">
      <c r="D423" s="55"/>
      <c r="E423" s="67"/>
      <c r="F423" s="67"/>
      <c r="G423" s="67"/>
      <c r="H423" s="67"/>
      <c r="I423" s="53"/>
      <c r="J423" s="51"/>
      <c r="K423" s="51"/>
    </row>
    <row r="424">
      <c r="D424" s="55"/>
      <c r="E424" s="67"/>
      <c r="F424" s="67"/>
      <c r="G424" s="67"/>
      <c r="H424" s="67"/>
      <c r="I424" s="53"/>
      <c r="J424" s="51"/>
      <c r="K424" s="51"/>
    </row>
    <row r="425">
      <c r="D425" s="55"/>
      <c r="E425" s="67"/>
      <c r="F425" s="67"/>
      <c r="G425" s="67"/>
      <c r="H425" s="67"/>
      <c r="I425" s="53"/>
      <c r="J425" s="51"/>
      <c r="K425" s="51"/>
    </row>
    <row r="426">
      <c r="D426" s="55"/>
      <c r="E426" s="67"/>
      <c r="F426" s="67"/>
      <c r="G426" s="67"/>
      <c r="H426" s="67"/>
      <c r="I426" s="53"/>
      <c r="J426" s="51"/>
      <c r="K426" s="51"/>
    </row>
    <row r="427">
      <c r="D427" s="55"/>
      <c r="E427" s="67"/>
      <c r="F427" s="67"/>
      <c r="G427" s="67"/>
      <c r="H427" s="67"/>
      <c r="I427" s="53"/>
      <c r="J427" s="51"/>
      <c r="K427" s="51"/>
    </row>
    <row r="428">
      <c r="D428" s="55"/>
      <c r="E428" s="67"/>
      <c r="F428" s="67"/>
      <c r="G428" s="67"/>
      <c r="H428" s="67"/>
      <c r="I428" s="53"/>
      <c r="J428" s="51"/>
      <c r="K428" s="51"/>
    </row>
    <row r="429">
      <c r="D429" s="55"/>
      <c r="E429" s="67"/>
      <c r="F429" s="67"/>
      <c r="G429" s="67"/>
      <c r="H429" s="67"/>
      <c r="I429" s="53"/>
      <c r="J429" s="51"/>
      <c r="K429" s="51"/>
    </row>
    <row r="430">
      <c r="D430" s="55"/>
      <c r="E430" s="67"/>
      <c r="F430" s="67"/>
      <c r="G430" s="67"/>
      <c r="H430" s="67"/>
      <c r="I430" s="53"/>
      <c r="J430" s="51"/>
      <c r="K430" s="51"/>
    </row>
    <row r="431">
      <c r="D431" s="55"/>
      <c r="E431" s="67"/>
      <c r="F431" s="67"/>
      <c r="G431" s="67"/>
      <c r="H431" s="67"/>
      <c r="I431" s="53"/>
      <c r="J431" s="51"/>
      <c r="K431" s="51"/>
    </row>
    <row r="432">
      <c r="D432" s="55"/>
      <c r="E432" s="67"/>
      <c r="F432" s="67"/>
      <c r="G432" s="67"/>
      <c r="H432" s="67"/>
      <c r="I432" s="53"/>
      <c r="J432" s="51"/>
      <c r="K432" s="51"/>
    </row>
    <row r="433">
      <c r="D433" s="55"/>
      <c r="E433" s="67"/>
      <c r="F433" s="67"/>
      <c r="G433" s="67"/>
      <c r="H433" s="67"/>
      <c r="I433" s="53"/>
      <c r="J433" s="51"/>
      <c r="K433" s="51"/>
    </row>
    <row r="434">
      <c r="D434" s="55"/>
      <c r="E434" s="67"/>
      <c r="F434" s="67"/>
      <c r="G434" s="67"/>
      <c r="H434" s="67"/>
      <c r="I434" s="53"/>
      <c r="J434" s="51"/>
      <c r="K434" s="51"/>
    </row>
    <row r="435">
      <c r="D435" s="55"/>
      <c r="E435" s="67"/>
      <c r="F435" s="67"/>
      <c r="G435" s="67"/>
      <c r="H435" s="67"/>
      <c r="I435" s="53"/>
      <c r="J435" s="51"/>
      <c r="K435" s="51"/>
    </row>
    <row r="436">
      <c r="D436" s="55"/>
      <c r="E436" s="67"/>
      <c r="F436" s="67"/>
      <c r="G436" s="67"/>
      <c r="H436" s="67"/>
      <c r="I436" s="53"/>
      <c r="J436" s="51"/>
      <c r="K436" s="51"/>
    </row>
    <row r="437">
      <c r="D437" s="55"/>
      <c r="E437" s="67"/>
      <c r="F437" s="67"/>
      <c r="G437" s="67"/>
      <c r="H437" s="67"/>
      <c r="I437" s="53"/>
      <c r="J437" s="51"/>
      <c r="K437" s="51"/>
    </row>
    <row r="438">
      <c r="D438" s="55"/>
      <c r="E438" s="67"/>
      <c r="F438" s="67"/>
      <c r="G438" s="67"/>
      <c r="H438" s="67"/>
      <c r="I438" s="53"/>
      <c r="J438" s="51"/>
      <c r="K438" s="51"/>
    </row>
    <row r="439">
      <c r="D439" s="55"/>
      <c r="E439" s="67"/>
      <c r="F439" s="67"/>
      <c r="G439" s="67"/>
      <c r="H439" s="67"/>
      <c r="I439" s="53"/>
      <c r="J439" s="51"/>
      <c r="K439" s="51"/>
    </row>
    <row r="440">
      <c r="D440" s="55"/>
      <c r="E440" s="67"/>
      <c r="F440" s="67"/>
      <c r="G440" s="67"/>
      <c r="H440" s="67"/>
      <c r="I440" s="53"/>
      <c r="J440" s="51"/>
      <c r="K440" s="51"/>
    </row>
    <row r="441">
      <c r="D441" s="55"/>
      <c r="E441" s="67"/>
      <c r="F441" s="67"/>
      <c r="G441" s="67"/>
      <c r="H441" s="67"/>
      <c r="I441" s="53"/>
      <c r="J441" s="51"/>
      <c r="K441" s="51"/>
    </row>
    <row r="442">
      <c r="D442" s="55"/>
      <c r="E442" s="67"/>
      <c r="F442" s="67"/>
      <c r="G442" s="67"/>
      <c r="H442" s="67"/>
      <c r="I442" s="53"/>
      <c r="J442" s="51"/>
      <c r="K442" s="51"/>
    </row>
    <row r="443">
      <c r="D443" s="55"/>
      <c r="E443" s="67"/>
      <c r="F443" s="67"/>
      <c r="G443" s="67"/>
      <c r="H443" s="67"/>
      <c r="I443" s="53"/>
      <c r="J443" s="51"/>
      <c r="K443" s="51"/>
    </row>
    <row r="444">
      <c r="D444" s="55"/>
      <c r="E444" s="67"/>
      <c r="F444" s="67"/>
      <c r="G444" s="67"/>
      <c r="H444" s="67"/>
      <c r="I444" s="53"/>
      <c r="J444" s="51"/>
      <c r="K444" s="51"/>
    </row>
    <row r="445">
      <c r="D445" s="55"/>
      <c r="E445" s="67"/>
      <c r="F445" s="67"/>
      <c r="G445" s="67"/>
      <c r="H445" s="67"/>
      <c r="I445" s="53"/>
      <c r="J445" s="51"/>
      <c r="K445" s="51"/>
    </row>
    <row r="446">
      <c r="D446" s="55"/>
      <c r="E446" s="67"/>
      <c r="F446" s="67"/>
      <c r="G446" s="67"/>
      <c r="H446" s="67"/>
      <c r="I446" s="53"/>
      <c r="J446" s="51"/>
      <c r="K446" s="51"/>
    </row>
    <row r="447">
      <c r="D447" s="55"/>
      <c r="E447" s="67"/>
      <c r="F447" s="67"/>
      <c r="G447" s="67"/>
      <c r="H447" s="67"/>
      <c r="I447" s="53"/>
      <c r="J447" s="51"/>
      <c r="K447" s="51"/>
    </row>
    <row r="448">
      <c r="D448" s="55"/>
      <c r="E448" s="67"/>
      <c r="F448" s="67"/>
      <c r="G448" s="67"/>
      <c r="H448" s="67"/>
      <c r="I448" s="53"/>
      <c r="J448" s="51"/>
      <c r="K448" s="51"/>
    </row>
    <row r="449">
      <c r="D449" s="55"/>
      <c r="E449" s="67"/>
      <c r="F449" s="67"/>
      <c r="G449" s="67"/>
      <c r="H449" s="67"/>
      <c r="I449" s="53"/>
      <c r="J449" s="51"/>
      <c r="K449" s="51"/>
    </row>
    <row r="450">
      <c r="D450" s="55"/>
      <c r="E450" s="67"/>
      <c r="F450" s="67"/>
      <c r="G450" s="67"/>
      <c r="H450" s="67"/>
      <c r="I450" s="53"/>
      <c r="J450" s="51"/>
      <c r="K450" s="51"/>
    </row>
    <row r="451">
      <c r="D451" s="55"/>
      <c r="E451" s="67"/>
      <c r="F451" s="67"/>
      <c r="G451" s="67"/>
      <c r="H451" s="67"/>
      <c r="I451" s="53"/>
      <c r="J451" s="51"/>
      <c r="K451" s="51"/>
    </row>
    <row r="452">
      <c r="D452" s="55"/>
      <c r="E452" s="67"/>
      <c r="F452" s="67"/>
      <c r="G452" s="67"/>
      <c r="H452" s="67"/>
      <c r="I452" s="53"/>
      <c r="J452" s="51"/>
      <c r="K452" s="51"/>
    </row>
    <row r="453">
      <c r="D453" s="55"/>
      <c r="E453" s="67"/>
      <c r="F453" s="67"/>
      <c r="G453" s="67"/>
      <c r="H453" s="67"/>
      <c r="I453" s="53"/>
      <c r="J453" s="51"/>
      <c r="K453" s="51"/>
    </row>
    <row r="454">
      <c r="D454" s="55"/>
      <c r="E454" s="67"/>
      <c r="F454" s="67"/>
      <c r="G454" s="67"/>
      <c r="H454" s="67"/>
      <c r="I454" s="53"/>
      <c r="J454" s="51"/>
      <c r="K454" s="51"/>
    </row>
    <row r="455">
      <c r="D455" s="55"/>
      <c r="E455" s="67"/>
      <c r="F455" s="67"/>
      <c r="G455" s="67"/>
      <c r="H455" s="67"/>
      <c r="I455" s="53"/>
      <c r="J455" s="51"/>
      <c r="K455" s="51"/>
    </row>
    <row r="456">
      <c r="D456" s="55"/>
      <c r="E456" s="67"/>
      <c r="F456" s="67"/>
      <c r="G456" s="67"/>
      <c r="H456" s="67"/>
      <c r="I456" s="53"/>
      <c r="J456" s="51"/>
      <c r="K456" s="51"/>
    </row>
    <row r="457">
      <c r="D457" s="55"/>
      <c r="E457" s="67"/>
      <c r="F457" s="67"/>
      <c r="G457" s="67"/>
      <c r="H457" s="67"/>
      <c r="I457" s="53"/>
      <c r="J457" s="51"/>
      <c r="K457" s="51"/>
    </row>
    <row r="458">
      <c r="D458" s="55"/>
      <c r="E458" s="67"/>
      <c r="F458" s="67"/>
      <c r="G458" s="67"/>
      <c r="H458" s="67"/>
      <c r="I458" s="53"/>
      <c r="J458" s="51"/>
      <c r="K458" s="51"/>
    </row>
    <row r="459">
      <c r="D459" s="55"/>
      <c r="E459" s="67"/>
      <c r="F459" s="67"/>
      <c r="G459" s="67"/>
      <c r="H459" s="67"/>
      <c r="I459" s="53"/>
      <c r="J459" s="51"/>
      <c r="K459" s="51"/>
    </row>
    <row r="460">
      <c r="D460" s="55"/>
      <c r="E460" s="67"/>
      <c r="F460" s="67"/>
      <c r="G460" s="67"/>
      <c r="H460" s="67"/>
      <c r="I460" s="53"/>
      <c r="J460" s="51"/>
      <c r="K460" s="51"/>
    </row>
    <row r="461">
      <c r="D461" s="55"/>
      <c r="E461" s="67"/>
      <c r="F461" s="67"/>
      <c r="G461" s="67"/>
      <c r="H461" s="67"/>
      <c r="I461" s="53"/>
      <c r="J461" s="51"/>
      <c r="K461" s="51"/>
    </row>
    <row r="462">
      <c r="D462" s="55"/>
      <c r="E462" s="67"/>
      <c r="F462" s="67"/>
      <c r="G462" s="67"/>
      <c r="H462" s="67"/>
      <c r="I462" s="53"/>
      <c r="J462" s="51"/>
      <c r="K462" s="51"/>
    </row>
    <row r="463">
      <c r="D463" s="55"/>
      <c r="E463" s="67"/>
      <c r="F463" s="67"/>
      <c r="G463" s="67"/>
      <c r="H463" s="67"/>
      <c r="I463" s="53"/>
      <c r="J463" s="51"/>
      <c r="K463" s="51"/>
    </row>
    <row r="464">
      <c r="D464" s="55"/>
      <c r="E464" s="67"/>
      <c r="F464" s="67"/>
      <c r="G464" s="67"/>
      <c r="H464" s="67"/>
      <c r="I464" s="53"/>
      <c r="J464" s="51"/>
      <c r="K464" s="51"/>
    </row>
    <row r="465">
      <c r="D465" s="55"/>
      <c r="E465" s="67"/>
      <c r="F465" s="67"/>
      <c r="G465" s="67"/>
      <c r="H465" s="67"/>
      <c r="I465" s="53"/>
      <c r="J465" s="51"/>
      <c r="K465" s="51"/>
    </row>
    <row r="466">
      <c r="D466" s="55"/>
      <c r="E466" s="67"/>
      <c r="F466" s="67"/>
      <c r="G466" s="67"/>
      <c r="H466" s="67"/>
      <c r="I466" s="53"/>
      <c r="J466" s="51"/>
      <c r="K466" s="51"/>
    </row>
    <row r="467">
      <c r="D467" s="55"/>
      <c r="E467" s="67"/>
      <c r="F467" s="67"/>
      <c r="G467" s="67"/>
      <c r="H467" s="67"/>
      <c r="I467" s="53"/>
      <c r="J467" s="51"/>
      <c r="K467" s="51"/>
    </row>
    <row r="468">
      <c r="D468" s="55"/>
      <c r="E468" s="67"/>
      <c r="F468" s="67"/>
      <c r="G468" s="67"/>
      <c r="H468" s="67"/>
      <c r="I468" s="53"/>
      <c r="J468" s="51"/>
      <c r="K468" s="51"/>
    </row>
    <row r="469">
      <c r="D469" s="55"/>
      <c r="E469" s="67"/>
      <c r="F469" s="67"/>
      <c r="G469" s="67"/>
      <c r="H469" s="67"/>
      <c r="I469" s="53"/>
      <c r="J469" s="51"/>
      <c r="K469" s="51"/>
    </row>
    <row r="470">
      <c r="D470" s="55"/>
      <c r="E470" s="67"/>
      <c r="F470" s="67"/>
      <c r="G470" s="67"/>
      <c r="H470" s="67"/>
      <c r="I470" s="53"/>
      <c r="J470" s="51"/>
      <c r="K470" s="51"/>
    </row>
    <row r="471">
      <c r="D471" s="55"/>
      <c r="E471" s="67"/>
      <c r="F471" s="67"/>
      <c r="G471" s="67"/>
      <c r="H471" s="67"/>
      <c r="I471" s="53"/>
      <c r="J471" s="51"/>
      <c r="K471" s="51"/>
    </row>
    <row r="472">
      <c r="D472" s="55"/>
      <c r="E472" s="67"/>
      <c r="F472" s="67"/>
      <c r="G472" s="67"/>
      <c r="H472" s="67"/>
      <c r="I472" s="53"/>
      <c r="J472" s="51"/>
      <c r="K472" s="51"/>
    </row>
    <row r="473">
      <c r="D473" s="55"/>
      <c r="E473" s="67"/>
      <c r="F473" s="67"/>
      <c r="G473" s="67"/>
      <c r="H473" s="67"/>
      <c r="I473" s="53"/>
      <c r="J473" s="51"/>
      <c r="K473" s="51"/>
    </row>
    <row r="474">
      <c r="D474" s="55"/>
      <c r="E474" s="67"/>
      <c r="F474" s="67"/>
      <c r="G474" s="67"/>
      <c r="H474" s="67"/>
      <c r="I474" s="53"/>
      <c r="J474" s="51"/>
      <c r="K474" s="51"/>
    </row>
    <row r="475">
      <c r="D475" s="55"/>
      <c r="E475" s="67"/>
      <c r="F475" s="67"/>
      <c r="G475" s="67"/>
      <c r="H475" s="67"/>
      <c r="I475" s="53"/>
      <c r="J475" s="51"/>
      <c r="K475" s="51"/>
    </row>
    <row r="476">
      <c r="D476" s="55"/>
      <c r="E476" s="67"/>
      <c r="F476" s="67"/>
      <c r="G476" s="67"/>
      <c r="H476" s="67"/>
      <c r="I476" s="53"/>
      <c r="J476" s="51"/>
      <c r="K476" s="51"/>
    </row>
    <row r="477">
      <c r="D477" s="55"/>
      <c r="E477" s="67"/>
      <c r="F477" s="67"/>
      <c r="G477" s="67"/>
      <c r="H477" s="67"/>
      <c r="I477" s="53"/>
      <c r="J477" s="51"/>
      <c r="K477" s="51"/>
    </row>
    <row r="478">
      <c r="D478" s="55"/>
      <c r="E478" s="67"/>
      <c r="F478" s="67"/>
      <c r="G478" s="67"/>
      <c r="H478" s="67"/>
      <c r="I478" s="53"/>
      <c r="J478" s="51"/>
      <c r="K478" s="51"/>
    </row>
    <row r="479">
      <c r="D479" s="55"/>
      <c r="E479" s="67"/>
      <c r="F479" s="67"/>
      <c r="G479" s="67"/>
      <c r="H479" s="67"/>
      <c r="I479" s="53"/>
      <c r="J479" s="51"/>
      <c r="K479" s="51"/>
    </row>
    <row r="480">
      <c r="D480" s="55"/>
      <c r="E480" s="67"/>
      <c r="F480" s="67"/>
      <c r="G480" s="67"/>
      <c r="H480" s="67"/>
      <c r="I480" s="53"/>
      <c r="J480" s="51"/>
      <c r="K480" s="51"/>
    </row>
    <row r="481">
      <c r="D481" s="55"/>
      <c r="E481" s="67"/>
      <c r="F481" s="67"/>
      <c r="G481" s="67"/>
      <c r="H481" s="67"/>
      <c r="I481" s="53"/>
      <c r="J481" s="51"/>
      <c r="K481" s="51"/>
    </row>
    <row r="482">
      <c r="D482" s="55"/>
      <c r="E482" s="67"/>
      <c r="F482" s="67"/>
      <c r="G482" s="67"/>
      <c r="H482" s="67"/>
      <c r="I482" s="53"/>
      <c r="J482" s="51"/>
      <c r="K482" s="51"/>
    </row>
    <row r="483">
      <c r="D483" s="55"/>
      <c r="E483" s="67"/>
      <c r="F483" s="67"/>
      <c r="G483" s="67"/>
      <c r="H483" s="67"/>
      <c r="I483" s="53"/>
      <c r="J483" s="51"/>
      <c r="K483" s="51"/>
    </row>
    <row r="484">
      <c r="D484" s="55"/>
      <c r="E484" s="67"/>
      <c r="F484" s="67"/>
      <c r="G484" s="67"/>
      <c r="H484" s="67"/>
      <c r="I484" s="53"/>
      <c r="J484" s="51"/>
      <c r="K484" s="51"/>
    </row>
    <row r="485">
      <c r="D485" s="55"/>
      <c r="E485" s="67"/>
      <c r="F485" s="67"/>
      <c r="G485" s="67"/>
      <c r="H485" s="67"/>
      <c r="I485" s="53"/>
      <c r="J485" s="51"/>
      <c r="K485" s="51"/>
    </row>
    <row r="486">
      <c r="D486" s="55"/>
      <c r="E486" s="67"/>
      <c r="F486" s="67"/>
      <c r="G486" s="67"/>
      <c r="H486" s="67"/>
      <c r="I486" s="53"/>
      <c r="J486" s="51"/>
      <c r="K486" s="51"/>
    </row>
    <row r="487">
      <c r="D487" s="55"/>
      <c r="E487" s="67"/>
      <c r="F487" s="67"/>
      <c r="G487" s="67"/>
      <c r="H487" s="67"/>
      <c r="I487" s="53"/>
      <c r="J487" s="51"/>
      <c r="K487" s="51"/>
    </row>
    <row r="488">
      <c r="D488" s="55"/>
      <c r="E488" s="67"/>
      <c r="F488" s="67"/>
      <c r="G488" s="67"/>
      <c r="H488" s="67"/>
      <c r="I488" s="53"/>
      <c r="J488" s="51"/>
      <c r="K488" s="51"/>
    </row>
    <row r="489">
      <c r="D489" s="55"/>
      <c r="E489" s="67"/>
      <c r="F489" s="67"/>
      <c r="G489" s="67"/>
      <c r="H489" s="67"/>
      <c r="I489" s="53"/>
      <c r="J489" s="51"/>
      <c r="K489" s="51"/>
    </row>
    <row r="490">
      <c r="D490" s="55"/>
      <c r="E490" s="67"/>
      <c r="F490" s="67"/>
      <c r="G490" s="67"/>
      <c r="H490" s="67"/>
      <c r="I490" s="53"/>
      <c r="J490" s="51"/>
      <c r="K490" s="51"/>
    </row>
    <row r="491">
      <c r="D491" s="55"/>
      <c r="E491" s="67"/>
      <c r="F491" s="67"/>
      <c r="G491" s="67"/>
      <c r="H491" s="67"/>
      <c r="I491" s="53"/>
      <c r="J491" s="51"/>
      <c r="K491" s="51"/>
    </row>
    <row r="492">
      <c r="D492" s="55"/>
      <c r="E492" s="67"/>
      <c r="F492" s="67"/>
      <c r="G492" s="67"/>
      <c r="H492" s="67"/>
      <c r="I492" s="53"/>
      <c r="J492" s="51"/>
      <c r="K492" s="51"/>
    </row>
    <row r="493">
      <c r="D493" s="55"/>
      <c r="E493" s="67"/>
      <c r="F493" s="67"/>
      <c r="G493" s="67"/>
      <c r="H493" s="67"/>
      <c r="I493" s="53"/>
      <c r="J493" s="51"/>
      <c r="K493" s="51"/>
    </row>
    <row r="494">
      <c r="D494" s="55"/>
      <c r="E494" s="67"/>
      <c r="F494" s="67"/>
      <c r="G494" s="67"/>
      <c r="H494" s="67"/>
      <c r="I494" s="53"/>
      <c r="J494" s="51"/>
      <c r="K494" s="51"/>
    </row>
    <row r="495">
      <c r="D495" s="55"/>
      <c r="E495" s="67"/>
      <c r="F495" s="67"/>
      <c r="G495" s="67"/>
      <c r="H495" s="67"/>
      <c r="I495" s="53"/>
      <c r="J495" s="51"/>
      <c r="K495" s="51"/>
    </row>
    <row r="496">
      <c r="D496" s="55"/>
      <c r="E496" s="67"/>
      <c r="F496" s="67"/>
      <c r="G496" s="67"/>
      <c r="H496" s="67"/>
      <c r="I496" s="53"/>
      <c r="J496" s="51"/>
      <c r="K496" s="51"/>
    </row>
    <row r="497">
      <c r="D497" s="55"/>
      <c r="E497" s="67"/>
      <c r="F497" s="67"/>
      <c r="G497" s="67"/>
      <c r="H497" s="67"/>
      <c r="I497" s="53"/>
      <c r="J497" s="51"/>
      <c r="K497" s="51"/>
    </row>
    <row r="498">
      <c r="D498" s="55"/>
      <c r="E498" s="67"/>
      <c r="F498" s="67"/>
      <c r="G498" s="67"/>
      <c r="H498" s="67"/>
      <c r="I498" s="53"/>
      <c r="J498" s="51"/>
      <c r="K498" s="51"/>
    </row>
    <row r="499">
      <c r="D499" s="55"/>
      <c r="E499" s="67"/>
      <c r="F499" s="67"/>
      <c r="G499" s="67"/>
      <c r="H499" s="67"/>
      <c r="I499" s="53"/>
      <c r="J499" s="51"/>
      <c r="K499" s="51"/>
    </row>
    <row r="500">
      <c r="D500" s="55"/>
      <c r="E500" s="67"/>
      <c r="F500" s="67"/>
      <c r="G500" s="67"/>
      <c r="H500" s="67"/>
      <c r="I500" s="53"/>
      <c r="J500" s="51"/>
      <c r="K500" s="51"/>
    </row>
    <row r="501">
      <c r="D501" s="55"/>
      <c r="E501" s="67"/>
      <c r="F501" s="67"/>
      <c r="G501" s="67"/>
      <c r="H501" s="67"/>
      <c r="I501" s="53"/>
      <c r="J501" s="51"/>
      <c r="K501" s="51"/>
    </row>
    <row r="502">
      <c r="D502" s="55"/>
      <c r="E502" s="67"/>
      <c r="F502" s="67"/>
      <c r="G502" s="67"/>
      <c r="H502" s="67"/>
      <c r="I502" s="53"/>
      <c r="J502" s="51"/>
      <c r="K502" s="51"/>
    </row>
    <row r="503">
      <c r="D503" s="55"/>
      <c r="E503" s="67"/>
      <c r="F503" s="67"/>
      <c r="G503" s="67"/>
      <c r="H503" s="67"/>
      <c r="I503" s="53"/>
      <c r="J503" s="51"/>
      <c r="K503" s="51"/>
    </row>
    <row r="504">
      <c r="D504" s="55"/>
      <c r="E504" s="67"/>
      <c r="F504" s="67"/>
      <c r="G504" s="67"/>
      <c r="H504" s="67"/>
      <c r="I504" s="53"/>
      <c r="J504" s="51"/>
      <c r="K504" s="51"/>
    </row>
    <row r="505">
      <c r="D505" s="55"/>
      <c r="E505" s="67"/>
      <c r="F505" s="67"/>
      <c r="G505" s="67"/>
      <c r="H505" s="67"/>
      <c r="I505" s="53"/>
      <c r="J505" s="51"/>
      <c r="K505" s="51"/>
    </row>
    <row r="506">
      <c r="D506" s="55"/>
      <c r="E506" s="67"/>
      <c r="F506" s="67"/>
      <c r="G506" s="67"/>
      <c r="H506" s="67"/>
      <c r="I506" s="53"/>
      <c r="J506" s="51"/>
      <c r="K506" s="51"/>
    </row>
    <row r="507">
      <c r="D507" s="55"/>
      <c r="E507" s="67"/>
      <c r="F507" s="67"/>
      <c r="G507" s="67"/>
      <c r="H507" s="67"/>
      <c r="I507" s="53"/>
      <c r="J507" s="51"/>
      <c r="K507" s="51"/>
    </row>
    <row r="508">
      <c r="D508" s="55"/>
      <c r="E508" s="67"/>
      <c r="F508" s="67"/>
      <c r="G508" s="67"/>
      <c r="H508" s="67"/>
      <c r="I508" s="53"/>
      <c r="J508" s="51"/>
      <c r="K508" s="51"/>
    </row>
    <row r="509">
      <c r="D509" s="55"/>
      <c r="E509" s="67"/>
      <c r="F509" s="67"/>
      <c r="G509" s="67"/>
      <c r="H509" s="67"/>
      <c r="I509" s="53"/>
      <c r="J509" s="51"/>
      <c r="K509" s="51"/>
    </row>
    <row r="510">
      <c r="D510" s="55"/>
      <c r="E510" s="67"/>
      <c r="F510" s="67"/>
      <c r="G510" s="67"/>
      <c r="H510" s="67"/>
      <c r="I510" s="53"/>
      <c r="J510" s="51"/>
      <c r="K510" s="51"/>
    </row>
    <row r="511">
      <c r="D511" s="55"/>
      <c r="E511" s="67"/>
      <c r="F511" s="67"/>
      <c r="G511" s="67"/>
      <c r="H511" s="67"/>
      <c r="I511" s="53"/>
      <c r="J511" s="51"/>
      <c r="K511" s="51"/>
    </row>
    <row r="512">
      <c r="D512" s="55"/>
      <c r="E512" s="67"/>
      <c r="F512" s="67"/>
      <c r="G512" s="67"/>
      <c r="H512" s="67"/>
      <c r="I512" s="53"/>
      <c r="J512" s="51"/>
      <c r="K512" s="51"/>
    </row>
    <row r="513">
      <c r="D513" s="55"/>
      <c r="E513" s="67"/>
      <c r="F513" s="67"/>
      <c r="G513" s="67"/>
      <c r="H513" s="67"/>
      <c r="I513" s="53"/>
      <c r="J513" s="51"/>
      <c r="K513" s="51"/>
    </row>
    <row r="514">
      <c r="D514" s="55"/>
      <c r="E514" s="67"/>
      <c r="F514" s="67"/>
      <c r="G514" s="67"/>
      <c r="H514" s="67"/>
      <c r="I514" s="53"/>
      <c r="J514" s="51"/>
      <c r="K514" s="51"/>
    </row>
    <row r="515">
      <c r="D515" s="55"/>
      <c r="E515" s="67"/>
      <c r="F515" s="67"/>
      <c r="G515" s="67"/>
      <c r="H515" s="67"/>
      <c r="I515" s="53"/>
      <c r="J515" s="51"/>
      <c r="K515" s="51"/>
    </row>
    <row r="516">
      <c r="D516" s="55"/>
      <c r="E516" s="67"/>
      <c r="F516" s="67"/>
      <c r="G516" s="67"/>
      <c r="H516" s="67"/>
      <c r="I516" s="53"/>
      <c r="J516" s="51"/>
      <c r="K516" s="51"/>
    </row>
    <row r="517">
      <c r="D517" s="55"/>
      <c r="E517" s="67"/>
      <c r="F517" s="67"/>
      <c r="G517" s="67"/>
      <c r="H517" s="67"/>
      <c r="I517" s="53"/>
      <c r="J517" s="51"/>
      <c r="K517" s="51"/>
    </row>
    <row r="518">
      <c r="D518" s="55"/>
      <c r="E518" s="67"/>
      <c r="F518" s="67"/>
      <c r="G518" s="67"/>
      <c r="H518" s="67"/>
      <c r="I518" s="53"/>
      <c r="J518" s="51"/>
      <c r="K518" s="51"/>
    </row>
    <row r="519">
      <c r="D519" s="55"/>
      <c r="E519" s="67"/>
      <c r="F519" s="67"/>
      <c r="G519" s="67"/>
      <c r="H519" s="67"/>
      <c r="I519" s="53"/>
      <c r="J519" s="51"/>
      <c r="K519" s="51"/>
    </row>
    <row r="520">
      <c r="D520" s="55"/>
      <c r="E520" s="67"/>
      <c r="F520" s="67"/>
      <c r="G520" s="67"/>
      <c r="H520" s="67"/>
      <c r="I520" s="53"/>
      <c r="J520" s="51"/>
      <c r="K520" s="51"/>
    </row>
    <row r="521">
      <c r="D521" s="55"/>
      <c r="E521" s="67"/>
      <c r="F521" s="67"/>
      <c r="G521" s="67"/>
      <c r="H521" s="67"/>
      <c r="I521" s="53"/>
      <c r="J521" s="51"/>
      <c r="K521" s="51"/>
    </row>
    <row r="522">
      <c r="D522" s="55"/>
      <c r="E522" s="67"/>
      <c r="F522" s="67"/>
      <c r="G522" s="67"/>
      <c r="H522" s="67"/>
      <c r="I522" s="53"/>
      <c r="J522" s="51"/>
      <c r="K522" s="51"/>
    </row>
    <row r="523">
      <c r="D523" s="55"/>
      <c r="E523" s="67"/>
      <c r="F523" s="67"/>
      <c r="G523" s="67"/>
      <c r="H523" s="67"/>
      <c r="I523" s="53"/>
      <c r="J523" s="51"/>
      <c r="K523" s="51"/>
    </row>
    <row r="524">
      <c r="D524" s="55"/>
      <c r="E524" s="67"/>
      <c r="F524" s="67"/>
      <c r="G524" s="67"/>
      <c r="H524" s="67"/>
      <c r="I524" s="53"/>
      <c r="J524" s="51"/>
      <c r="K524" s="51"/>
    </row>
    <row r="525">
      <c r="D525" s="55"/>
      <c r="E525" s="67"/>
      <c r="F525" s="67"/>
      <c r="G525" s="67"/>
      <c r="H525" s="67"/>
      <c r="I525" s="53"/>
      <c r="J525" s="51"/>
      <c r="K525" s="51"/>
    </row>
    <row r="526">
      <c r="D526" s="55"/>
      <c r="E526" s="67"/>
      <c r="F526" s="67"/>
      <c r="G526" s="67"/>
      <c r="H526" s="67"/>
      <c r="I526" s="53"/>
      <c r="J526" s="51"/>
      <c r="K526" s="51"/>
    </row>
    <row r="527">
      <c r="D527" s="55"/>
      <c r="E527" s="67"/>
      <c r="F527" s="67"/>
      <c r="G527" s="67"/>
      <c r="H527" s="67"/>
      <c r="I527" s="53"/>
      <c r="J527" s="51"/>
      <c r="K527" s="51"/>
    </row>
    <row r="528">
      <c r="D528" s="55"/>
      <c r="E528" s="67"/>
      <c r="F528" s="67"/>
      <c r="G528" s="67"/>
      <c r="H528" s="67"/>
      <c r="I528" s="53"/>
      <c r="J528" s="51"/>
      <c r="K528" s="51"/>
    </row>
    <row r="529">
      <c r="D529" s="55"/>
      <c r="E529" s="67"/>
      <c r="F529" s="67"/>
      <c r="G529" s="67"/>
      <c r="H529" s="67"/>
      <c r="I529" s="53"/>
      <c r="J529" s="51"/>
      <c r="K529" s="51"/>
    </row>
    <row r="530">
      <c r="D530" s="55"/>
      <c r="E530" s="67"/>
      <c r="F530" s="67"/>
      <c r="G530" s="67"/>
      <c r="H530" s="67"/>
      <c r="I530" s="53"/>
      <c r="J530" s="51"/>
      <c r="K530" s="51"/>
    </row>
    <row r="531">
      <c r="D531" s="55"/>
      <c r="E531" s="67"/>
      <c r="F531" s="67"/>
      <c r="G531" s="67"/>
      <c r="H531" s="67"/>
      <c r="I531" s="53"/>
      <c r="J531" s="51"/>
      <c r="K531" s="51"/>
    </row>
    <row r="532">
      <c r="D532" s="55"/>
      <c r="E532" s="67"/>
      <c r="F532" s="67"/>
      <c r="G532" s="67"/>
      <c r="H532" s="67"/>
      <c r="I532" s="53"/>
      <c r="J532" s="51"/>
      <c r="K532" s="51"/>
    </row>
    <row r="533">
      <c r="D533" s="55"/>
      <c r="E533" s="67"/>
      <c r="F533" s="67"/>
      <c r="G533" s="67"/>
      <c r="H533" s="67"/>
      <c r="I533" s="53"/>
      <c r="J533" s="51"/>
      <c r="K533" s="51"/>
    </row>
    <row r="534">
      <c r="D534" s="55"/>
      <c r="E534" s="67"/>
      <c r="F534" s="67"/>
      <c r="G534" s="67"/>
      <c r="H534" s="67"/>
      <c r="I534" s="53"/>
      <c r="J534" s="51"/>
      <c r="K534" s="51"/>
    </row>
    <row r="535">
      <c r="D535" s="55"/>
      <c r="E535" s="67"/>
      <c r="F535" s="67"/>
      <c r="G535" s="67"/>
      <c r="H535" s="67"/>
      <c r="I535" s="53"/>
      <c r="J535" s="51"/>
      <c r="K535" s="51"/>
    </row>
    <row r="536">
      <c r="D536" s="55"/>
      <c r="E536" s="67"/>
      <c r="F536" s="67"/>
      <c r="G536" s="67"/>
      <c r="H536" s="67"/>
      <c r="I536" s="53"/>
      <c r="J536" s="51"/>
      <c r="K536" s="51"/>
    </row>
    <row r="537">
      <c r="D537" s="55"/>
      <c r="E537" s="67"/>
      <c r="F537" s="67"/>
      <c r="G537" s="67"/>
      <c r="H537" s="67"/>
      <c r="I537" s="53"/>
      <c r="J537" s="51"/>
      <c r="K537" s="51"/>
    </row>
    <row r="538">
      <c r="D538" s="55"/>
      <c r="E538" s="67"/>
      <c r="F538" s="67"/>
      <c r="G538" s="67"/>
      <c r="H538" s="67"/>
      <c r="I538" s="53"/>
      <c r="J538" s="51"/>
      <c r="K538" s="51"/>
    </row>
    <row r="539">
      <c r="D539" s="55"/>
      <c r="E539" s="67"/>
      <c r="F539" s="67"/>
      <c r="G539" s="67"/>
      <c r="H539" s="67"/>
      <c r="I539" s="53"/>
      <c r="J539" s="51"/>
      <c r="K539" s="51"/>
    </row>
    <row r="540">
      <c r="D540" s="55"/>
      <c r="E540" s="67"/>
      <c r="F540" s="67"/>
      <c r="G540" s="67"/>
      <c r="H540" s="67"/>
      <c r="I540" s="53"/>
      <c r="J540" s="51"/>
      <c r="K540" s="51"/>
    </row>
    <row r="541">
      <c r="D541" s="55"/>
      <c r="E541" s="67"/>
      <c r="F541" s="67"/>
      <c r="G541" s="67"/>
      <c r="H541" s="67"/>
      <c r="I541" s="53"/>
      <c r="J541" s="51"/>
      <c r="K541" s="51"/>
    </row>
    <row r="542">
      <c r="D542" s="55"/>
      <c r="E542" s="67"/>
      <c r="F542" s="67"/>
      <c r="G542" s="67"/>
      <c r="H542" s="67"/>
      <c r="I542" s="53"/>
      <c r="J542" s="51"/>
      <c r="K542" s="51"/>
    </row>
    <row r="543">
      <c r="D543" s="55"/>
      <c r="E543" s="67"/>
      <c r="F543" s="67"/>
      <c r="G543" s="67"/>
      <c r="H543" s="67"/>
      <c r="I543" s="53"/>
      <c r="J543" s="51"/>
      <c r="K543" s="51"/>
    </row>
    <row r="544">
      <c r="D544" s="55"/>
      <c r="E544" s="67"/>
      <c r="F544" s="67"/>
      <c r="G544" s="67"/>
      <c r="H544" s="67"/>
      <c r="I544" s="53"/>
      <c r="J544" s="51"/>
      <c r="K544" s="51"/>
    </row>
    <row r="545">
      <c r="D545" s="55"/>
      <c r="E545" s="67"/>
      <c r="F545" s="67"/>
      <c r="G545" s="67"/>
      <c r="H545" s="67"/>
      <c r="I545" s="53"/>
      <c r="J545" s="51"/>
      <c r="K545" s="51"/>
    </row>
    <row r="546">
      <c r="D546" s="55"/>
      <c r="E546" s="67"/>
      <c r="F546" s="67"/>
      <c r="G546" s="67"/>
      <c r="H546" s="67"/>
      <c r="I546" s="53"/>
      <c r="J546" s="51"/>
      <c r="K546" s="51"/>
    </row>
    <row r="547">
      <c r="D547" s="55"/>
      <c r="E547" s="67"/>
      <c r="F547" s="67"/>
      <c r="G547" s="67"/>
      <c r="H547" s="67"/>
      <c r="I547" s="53"/>
      <c r="J547" s="51"/>
      <c r="K547" s="51"/>
    </row>
    <row r="548">
      <c r="D548" s="55"/>
      <c r="E548" s="67"/>
      <c r="F548" s="67"/>
      <c r="G548" s="67"/>
      <c r="H548" s="67"/>
      <c r="I548" s="53"/>
      <c r="J548" s="51"/>
      <c r="K548" s="51"/>
    </row>
    <row r="549">
      <c r="D549" s="55"/>
      <c r="E549" s="67"/>
      <c r="F549" s="67"/>
      <c r="G549" s="67"/>
      <c r="H549" s="67"/>
      <c r="I549" s="53"/>
      <c r="J549" s="51"/>
      <c r="K549" s="51"/>
    </row>
    <row r="550">
      <c r="D550" s="55"/>
      <c r="E550" s="67"/>
      <c r="F550" s="67"/>
      <c r="G550" s="67"/>
      <c r="H550" s="67"/>
      <c r="I550" s="53"/>
      <c r="J550" s="51"/>
      <c r="K550" s="51"/>
    </row>
    <row r="551">
      <c r="D551" s="55"/>
      <c r="E551" s="67"/>
      <c r="F551" s="67"/>
      <c r="G551" s="67"/>
      <c r="H551" s="67"/>
      <c r="I551" s="53"/>
      <c r="J551" s="51"/>
      <c r="K551" s="51"/>
    </row>
    <row r="552">
      <c r="D552" s="55"/>
      <c r="E552" s="67"/>
      <c r="F552" s="67"/>
      <c r="G552" s="67"/>
      <c r="H552" s="67"/>
      <c r="I552" s="53"/>
      <c r="J552" s="51"/>
      <c r="K552" s="51"/>
    </row>
    <row r="553">
      <c r="D553" s="55"/>
      <c r="E553" s="67"/>
      <c r="F553" s="67"/>
      <c r="G553" s="67"/>
      <c r="H553" s="67"/>
      <c r="I553" s="53"/>
      <c r="J553" s="51"/>
      <c r="K553" s="51"/>
    </row>
    <row r="554">
      <c r="D554" s="55"/>
      <c r="E554" s="67"/>
      <c r="F554" s="67"/>
      <c r="G554" s="67"/>
      <c r="H554" s="67"/>
      <c r="I554" s="53"/>
      <c r="J554" s="51"/>
      <c r="K554" s="51"/>
    </row>
    <row r="555">
      <c r="D555" s="55"/>
      <c r="E555" s="67"/>
      <c r="F555" s="67"/>
      <c r="G555" s="67"/>
      <c r="H555" s="67"/>
      <c r="I555" s="53"/>
      <c r="J555" s="51"/>
      <c r="K555" s="51"/>
    </row>
    <row r="556">
      <c r="D556" s="55"/>
      <c r="E556" s="67"/>
      <c r="F556" s="67"/>
      <c r="G556" s="67"/>
      <c r="H556" s="67"/>
      <c r="I556" s="53"/>
      <c r="J556" s="51"/>
      <c r="K556" s="51"/>
    </row>
    <row r="557">
      <c r="D557" s="55"/>
      <c r="E557" s="67"/>
      <c r="F557" s="67"/>
      <c r="G557" s="67"/>
      <c r="H557" s="67"/>
      <c r="I557" s="53"/>
      <c r="J557" s="51"/>
      <c r="K557" s="51"/>
    </row>
    <row r="558">
      <c r="D558" s="55"/>
      <c r="E558" s="67"/>
      <c r="F558" s="67"/>
      <c r="G558" s="67"/>
      <c r="H558" s="67"/>
      <c r="I558" s="53"/>
      <c r="J558" s="51"/>
      <c r="K558" s="51"/>
    </row>
    <row r="559">
      <c r="D559" s="55"/>
      <c r="E559" s="67"/>
      <c r="F559" s="67"/>
      <c r="G559" s="67"/>
      <c r="H559" s="67"/>
      <c r="I559" s="53"/>
      <c r="J559" s="51"/>
      <c r="K559" s="51"/>
    </row>
    <row r="560">
      <c r="D560" s="55"/>
      <c r="E560" s="67"/>
      <c r="F560" s="67"/>
      <c r="G560" s="67"/>
      <c r="H560" s="67"/>
      <c r="I560" s="53"/>
      <c r="J560" s="51"/>
      <c r="K560" s="51"/>
    </row>
    <row r="561">
      <c r="D561" s="55"/>
      <c r="E561" s="67"/>
      <c r="F561" s="67"/>
      <c r="G561" s="67"/>
      <c r="H561" s="67"/>
      <c r="I561" s="53"/>
      <c r="J561" s="51"/>
      <c r="K561" s="51"/>
    </row>
    <row r="562">
      <c r="D562" s="55"/>
      <c r="E562" s="67"/>
      <c r="F562" s="67"/>
      <c r="G562" s="67"/>
      <c r="H562" s="67"/>
      <c r="I562" s="53"/>
      <c r="J562" s="51"/>
      <c r="K562" s="51"/>
    </row>
    <row r="563">
      <c r="D563" s="55"/>
      <c r="E563" s="67"/>
      <c r="F563" s="67"/>
      <c r="G563" s="67"/>
      <c r="H563" s="67"/>
      <c r="I563" s="53"/>
      <c r="J563" s="51"/>
      <c r="K563" s="51"/>
    </row>
    <row r="564">
      <c r="D564" s="55"/>
      <c r="E564" s="67"/>
      <c r="F564" s="67"/>
      <c r="G564" s="67"/>
      <c r="H564" s="67"/>
      <c r="I564" s="53"/>
      <c r="J564" s="51"/>
      <c r="K564" s="51"/>
    </row>
    <row r="565">
      <c r="D565" s="55"/>
      <c r="E565" s="67"/>
      <c r="F565" s="67"/>
      <c r="G565" s="67"/>
      <c r="H565" s="67"/>
      <c r="I565" s="53"/>
      <c r="J565" s="51"/>
      <c r="K565" s="51"/>
    </row>
    <row r="566">
      <c r="D566" s="55"/>
      <c r="E566" s="67"/>
      <c r="F566" s="67"/>
      <c r="G566" s="67"/>
      <c r="H566" s="67"/>
      <c r="I566" s="53"/>
      <c r="J566" s="51"/>
      <c r="K566" s="51"/>
    </row>
    <row r="567">
      <c r="D567" s="55"/>
      <c r="E567" s="67"/>
      <c r="F567" s="67"/>
      <c r="G567" s="67"/>
      <c r="H567" s="67"/>
      <c r="I567" s="53"/>
      <c r="J567" s="51"/>
      <c r="K567" s="51"/>
    </row>
    <row r="568">
      <c r="D568" s="55"/>
      <c r="E568" s="67"/>
      <c r="F568" s="67"/>
      <c r="G568" s="67"/>
      <c r="H568" s="67"/>
      <c r="I568" s="53"/>
      <c r="J568" s="51"/>
      <c r="K568" s="51"/>
    </row>
    <row r="569">
      <c r="D569" s="55"/>
      <c r="E569" s="67"/>
      <c r="F569" s="67"/>
      <c r="G569" s="67"/>
      <c r="H569" s="67"/>
      <c r="I569" s="53"/>
      <c r="J569" s="51"/>
      <c r="K569" s="51"/>
    </row>
    <row r="570">
      <c r="D570" s="55"/>
      <c r="E570" s="67"/>
      <c r="F570" s="67"/>
      <c r="G570" s="67"/>
      <c r="H570" s="67"/>
      <c r="I570" s="53"/>
      <c r="J570" s="51"/>
      <c r="K570" s="51"/>
    </row>
    <row r="571">
      <c r="D571" s="55"/>
      <c r="E571" s="67"/>
      <c r="F571" s="67"/>
      <c r="G571" s="67"/>
      <c r="H571" s="67"/>
      <c r="I571" s="53"/>
      <c r="J571" s="51"/>
      <c r="K571" s="51"/>
    </row>
    <row r="572">
      <c r="D572" s="55"/>
      <c r="E572" s="67"/>
      <c r="F572" s="67"/>
      <c r="G572" s="67"/>
      <c r="H572" s="67"/>
      <c r="I572" s="53"/>
      <c r="J572" s="51"/>
      <c r="K572" s="51"/>
    </row>
    <row r="573">
      <c r="D573" s="55"/>
      <c r="E573" s="67"/>
      <c r="F573" s="67"/>
      <c r="G573" s="67"/>
      <c r="H573" s="67"/>
      <c r="I573" s="53"/>
      <c r="J573" s="51"/>
      <c r="K573" s="51"/>
    </row>
    <row r="574">
      <c r="D574" s="55"/>
      <c r="E574" s="67"/>
      <c r="F574" s="67"/>
      <c r="G574" s="67"/>
      <c r="H574" s="67"/>
      <c r="I574" s="53"/>
      <c r="J574" s="51"/>
      <c r="K574" s="51"/>
    </row>
    <row r="575">
      <c r="D575" s="55"/>
      <c r="E575" s="67"/>
      <c r="F575" s="67"/>
      <c r="G575" s="67"/>
      <c r="H575" s="67"/>
      <c r="I575" s="53"/>
      <c r="J575" s="51"/>
      <c r="K575" s="51"/>
    </row>
    <row r="576">
      <c r="D576" s="55"/>
      <c r="E576" s="67"/>
      <c r="F576" s="67"/>
      <c r="G576" s="67"/>
      <c r="H576" s="67"/>
      <c r="I576" s="53"/>
      <c r="J576" s="51"/>
      <c r="K576" s="51"/>
    </row>
    <row r="577">
      <c r="D577" s="55"/>
      <c r="E577" s="67"/>
      <c r="F577" s="67"/>
      <c r="G577" s="67"/>
      <c r="H577" s="67"/>
      <c r="I577" s="53"/>
      <c r="J577" s="51"/>
      <c r="K577" s="51"/>
    </row>
    <row r="578">
      <c r="D578" s="55"/>
      <c r="E578" s="67"/>
      <c r="F578" s="67"/>
      <c r="G578" s="67"/>
      <c r="H578" s="67"/>
      <c r="I578" s="53"/>
      <c r="J578" s="51"/>
      <c r="K578" s="51"/>
    </row>
    <row r="579">
      <c r="D579" s="55"/>
      <c r="E579" s="67"/>
      <c r="F579" s="67"/>
      <c r="G579" s="67"/>
      <c r="H579" s="67"/>
      <c r="I579" s="53"/>
      <c r="J579" s="51"/>
      <c r="K579" s="51"/>
    </row>
    <row r="580">
      <c r="D580" s="55"/>
      <c r="E580" s="67"/>
      <c r="F580" s="67"/>
      <c r="G580" s="67"/>
      <c r="H580" s="67"/>
      <c r="I580" s="53"/>
      <c r="J580" s="51"/>
      <c r="K580" s="51"/>
    </row>
    <row r="581">
      <c r="D581" s="55"/>
      <c r="E581" s="67"/>
      <c r="F581" s="67"/>
      <c r="G581" s="67"/>
      <c r="H581" s="67"/>
      <c r="I581" s="53"/>
      <c r="J581" s="51"/>
      <c r="K581" s="51"/>
    </row>
    <row r="582">
      <c r="D582" s="55"/>
      <c r="E582" s="67"/>
      <c r="F582" s="67"/>
      <c r="G582" s="67"/>
      <c r="H582" s="67"/>
      <c r="I582" s="53"/>
      <c r="J582" s="51"/>
      <c r="K582" s="51"/>
    </row>
    <row r="583">
      <c r="D583" s="55"/>
      <c r="E583" s="67"/>
      <c r="F583" s="67"/>
      <c r="G583" s="67"/>
      <c r="H583" s="67"/>
      <c r="I583" s="53"/>
      <c r="J583" s="51"/>
      <c r="K583" s="51"/>
    </row>
    <row r="584">
      <c r="D584" s="55"/>
      <c r="E584" s="67"/>
      <c r="F584" s="67"/>
      <c r="G584" s="67"/>
      <c r="H584" s="67"/>
      <c r="I584" s="53"/>
      <c r="J584" s="51"/>
      <c r="K584" s="51"/>
    </row>
    <row r="585">
      <c r="D585" s="55"/>
      <c r="E585" s="67"/>
      <c r="F585" s="67"/>
      <c r="G585" s="67"/>
      <c r="H585" s="67"/>
      <c r="I585" s="53"/>
      <c r="J585" s="51"/>
      <c r="K585" s="51"/>
    </row>
    <row r="586">
      <c r="D586" s="55"/>
      <c r="E586" s="67"/>
      <c r="F586" s="67"/>
      <c r="G586" s="67"/>
      <c r="H586" s="67"/>
      <c r="I586" s="53"/>
      <c r="J586" s="51"/>
      <c r="K586" s="51"/>
    </row>
    <row r="587">
      <c r="D587" s="55"/>
      <c r="E587" s="67"/>
      <c r="F587" s="67"/>
      <c r="G587" s="67"/>
      <c r="H587" s="67"/>
      <c r="I587" s="53"/>
      <c r="J587" s="51"/>
      <c r="K587" s="51"/>
    </row>
    <row r="588">
      <c r="D588" s="55"/>
      <c r="E588" s="67"/>
      <c r="F588" s="67"/>
      <c r="G588" s="67"/>
      <c r="H588" s="67"/>
      <c r="I588" s="53"/>
      <c r="J588" s="51"/>
      <c r="K588" s="51"/>
    </row>
    <row r="589">
      <c r="D589" s="55"/>
      <c r="E589" s="67"/>
      <c r="F589" s="67"/>
      <c r="G589" s="67"/>
      <c r="H589" s="67"/>
      <c r="I589" s="53"/>
      <c r="J589" s="51"/>
      <c r="K589" s="51"/>
    </row>
    <row r="590">
      <c r="D590" s="55"/>
      <c r="E590" s="67"/>
      <c r="F590" s="67"/>
      <c r="G590" s="67"/>
      <c r="H590" s="67"/>
      <c r="I590" s="53"/>
      <c r="J590" s="51"/>
      <c r="K590" s="51"/>
    </row>
    <row r="591">
      <c r="D591" s="55"/>
      <c r="E591" s="67"/>
      <c r="F591" s="67"/>
      <c r="G591" s="67"/>
      <c r="H591" s="67"/>
      <c r="I591" s="53"/>
      <c r="J591" s="51"/>
      <c r="K591" s="51"/>
    </row>
    <row r="592">
      <c r="D592" s="55"/>
      <c r="E592" s="67"/>
      <c r="F592" s="67"/>
      <c r="G592" s="67"/>
      <c r="H592" s="67"/>
      <c r="I592" s="53"/>
      <c r="J592" s="51"/>
      <c r="K592" s="51"/>
    </row>
    <row r="593">
      <c r="D593" s="55"/>
      <c r="E593" s="67"/>
      <c r="F593" s="67"/>
      <c r="G593" s="67"/>
      <c r="H593" s="67"/>
      <c r="I593" s="53"/>
      <c r="J593" s="51"/>
      <c r="K593" s="51"/>
    </row>
    <row r="594">
      <c r="D594" s="55"/>
      <c r="E594" s="67"/>
      <c r="F594" s="67"/>
      <c r="G594" s="67"/>
      <c r="H594" s="67"/>
      <c r="I594" s="53"/>
      <c r="J594" s="51"/>
      <c r="K594" s="51"/>
    </row>
    <row r="595">
      <c r="D595" s="55"/>
      <c r="E595" s="67"/>
      <c r="F595" s="67"/>
      <c r="G595" s="67"/>
      <c r="H595" s="67"/>
      <c r="I595" s="53"/>
      <c r="J595" s="51"/>
      <c r="K595" s="51"/>
    </row>
    <row r="596">
      <c r="D596" s="55"/>
      <c r="E596" s="67"/>
      <c r="F596" s="67"/>
      <c r="G596" s="67"/>
      <c r="H596" s="67"/>
      <c r="I596" s="53"/>
      <c r="J596" s="51"/>
      <c r="K596" s="51"/>
    </row>
    <row r="597">
      <c r="D597" s="55"/>
      <c r="E597" s="67"/>
      <c r="F597" s="67"/>
      <c r="G597" s="67"/>
      <c r="H597" s="67"/>
      <c r="I597" s="53"/>
      <c r="J597" s="51"/>
      <c r="K597" s="51"/>
    </row>
    <row r="598">
      <c r="D598" s="55"/>
      <c r="E598" s="67"/>
      <c r="F598" s="67"/>
      <c r="G598" s="67"/>
      <c r="H598" s="67"/>
      <c r="I598" s="53"/>
      <c r="J598" s="51"/>
      <c r="K598" s="51"/>
    </row>
    <row r="599">
      <c r="D599" s="55"/>
      <c r="E599" s="67"/>
      <c r="F599" s="67"/>
      <c r="G599" s="67"/>
      <c r="H599" s="67"/>
      <c r="I599" s="53"/>
      <c r="J599" s="51"/>
      <c r="K599" s="51"/>
    </row>
    <row r="600">
      <c r="D600" s="55"/>
      <c r="E600" s="67"/>
      <c r="F600" s="67"/>
      <c r="G600" s="67"/>
      <c r="H600" s="67"/>
      <c r="I600" s="53"/>
      <c r="J600" s="51"/>
      <c r="K600" s="51"/>
    </row>
    <row r="601">
      <c r="D601" s="55"/>
      <c r="E601" s="67"/>
      <c r="F601" s="67"/>
      <c r="G601" s="67"/>
      <c r="H601" s="67"/>
      <c r="I601" s="53"/>
      <c r="J601" s="51"/>
      <c r="K601" s="51"/>
    </row>
    <row r="602">
      <c r="D602" s="55"/>
      <c r="E602" s="67"/>
      <c r="F602" s="67"/>
      <c r="G602" s="67"/>
      <c r="H602" s="67"/>
      <c r="I602" s="53"/>
      <c r="J602" s="51"/>
      <c r="K602" s="51"/>
    </row>
    <row r="603">
      <c r="D603" s="55"/>
      <c r="E603" s="67"/>
      <c r="F603" s="67"/>
      <c r="G603" s="67"/>
      <c r="H603" s="67"/>
      <c r="I603" s="53"/>
      <c r="J603" s="51"/>
      <c r="K603" s="51"/>
    </row>
    <row r="604">
      <c r="D604" s="55"/>
      <c r="E604" s="67"/>
      <c r="F604" s="67"/>
      <c r="G604" s="67"/>
      <c r="H604" s="67"/>
      <c r="I604" s="53"/>
      <c r="J604" s="51"/>
      <c r="K604" s="51"/>
    </row>
    <row r="605">
      <c r="D605" s="55"/>
      <c r="E605" s="67"/>
      <c r="F605" s="67"/>
      <c r="G605" s="67"/>
      <c r="H605" s="67"/>
      <c r="I605" s="53"/>
      <c r="J605" s="51"/>
      <c r="K605" s="51"/>
    </row>
    <row r="606">
      <c r="D606" s="55"/>
      <c r="E606" s="67"/>
      <c r="F606" s="67"/>
      <c r="G606" s="67"/>
      <c r="H606" s="67"/>
      <c r="I606" s="53"/>
      <c r="J606" s="51"/>
      <c r="K606" s="51"/>
    </row>
    <row r="607">
      <c r="D607" s="55"/>
      <c r="E607" s="67"/>
      <c r="F607" s="67"/>
      <c r="G607" s="67"/>
      <c r="H607" s="67"/>
      <c r="I607" s="53"/>
      <c r="J607" s="51"/>
      <c r="K607" s="51"/>
    </row>
    <row r="608">
      <c r="D608" s="55"/>
      <c r="E608" s="67"/>
      <c r="F608" s="67"/>
      <c r="G608" s="67"/>
      <c r="H608" s="67"/>
      <c r="I608" s="53"/>
      <c r="J608" s="51"/>
      <c r="K608" s="51"/>
    </row>
    <row r="609">
      <c r="D609" s="55"/>
      <c r="E609" s="67"/>
      <c r="F609" s="67"/>
      <c r="G609" s="67"/>
      <c r="H609" s="67"/>
      <c r="I609" s="53"/>
      <c r="J609" s="51"/>
      <c r="K609" s="51"/>
    </row>
    <row r="610">
      <c r="D610" s="55"/>
      <c r="E610" s="67"/>
      <c r="F610" s="67"/>
      <c r="G610" s="67"/>
      <c r="H610" s="67"/>
      <c r="I610" s="53"/>
      <c r="J610" s="51"/>
      <c r="K610" s="51"/>
    </row>
    <row r="611">
      <c r="D611" s="55"/>
      <c r="E611" s="67"/>
      <c r="F611" s="67"/>
      <c r="G611" s="67"/>
      <c r="H611" s="67"/>
      <c r="I611" s="53"/>
      <c r="J611" s="51"/>
      <c r="K611" s="51"/>
    </row>
    <row r="612">
      <c r="D612" s="55"/>
      <c r="E612" s="67"/>
      <c r="F612" s="67"/>
      <c r="G612" s="67"/>
      <c r="H612" s="67"/>
      <c r="I612" s="53"/>
      <c r="J612" s="51"/>
      <c r="K612" s="51"/>
    </row>
    <row r="613">
      <c r="D613" s="55"/>
      <c r="E613" s="67"/>
      <c r="F613" s="67"/>
      <c r="G613" s="67"/>
      <c r="H613" s="67"/>
      <c r="I613" s="53"/>
      <c r="J613" s="51"/>
      <c r="K613" s="51"/>
    </row>
    <row r="614">
      <c r="D614" s="55"/>
      <c r="E614" s="67"/>
      <c r="F614" s="67"/>
      <c r="G614" s="67"/>
      <c r="H614" s="67"/>
      <c r="I614" s="53"/>
      <c r="J614" s="51"/>
      <c r="K614" s="51"/>
    </row>
    <row r="615">
      <c r="D615" s="55"/>
      <c r="E615" s="67"/>
      <c r="F615" s="67"/>
      <c r="G615" s="67"/>
      <c r="H615" s="67"/>
      <c r="I615" s="53"/>
      <c r="J615" s="51"/>
      <c r="K615" s="51"/>
    </row>
    <row r="616">
      <c r="D616" s="55"/>
      <c r="E616" s="67"/>
      <c r="F616" s="67"/>
      <c r="G616" s="67"/>
      <c r="H616" s="67"/>
      <c r="I616" s="53"/>
      <c r="J616" s="51"/>
      <c r="K616" s="51"/>
    </row>
    <row r="617">
      <c r="D617" s="55"/>
      <c r="E617" s="67"/>
      <c r="F617" s="67"/>
      <c r="G617" s="67"/>
      <c r="H617" s="67"/>
      <c r="I617" s="53"/>
      <c r="J617" s="51"/>
      <c r="K617" s="51"/>
    </row>
    <row r="618">
      <c r="D618" s="55"/>
      <c r="E618" s="67"/>
      <c r="F618" s="67"/>
      <c r="G618" s="67"/>
      <c r="H618" s="67"/>
      <c r="I618" s="53"/>
      <c r="J618" s="51"/>
      <c r="K618" s="51"/>
    </row>
    <row r="619">
      <c r="D619" s="55"/>
      <c r="E619" s="67"/>
      <c r="F619" s="67"/>
      <c r="G619" s="67"/>
      <c r="H619" s="67"/>
      <c r="I619" s="53"/>
      <c r="J619" s="51"/>
      <c r="K619" s="51"/>
    </row>
    <row r="620">
      <c r="D620" s="55"/>
      <c r="E620" s="67"/>
      <c r="F620" s="67"/>
      <c r="G620" s="67"/>
      <c r="H620" s="67"/>
      <c r="I620" s="53"/>
      <c r="J620" s="51"/>
      <c r="K620" s="51"/>
    </row>
    <row r="621">
      <c r="D621" s="55"/>
      <c r="E621" s="67"/>
      <c r="F621" s="67"/>
      <c r="G621" s="67"/>
      <c r="H621" s="67"/>
      <c r="I621" s="53"/>
      <c r="J621" s="51"/>
      <c r="K621" s="51"/>
    </row>
    <row r="622">
      <c r="D622" s="55"/>
      <c r="E622" s="67"/>
      <c r="F622" s="67"/>
      <c r="G622" s="67"/>
      <c r="H622" s="67"/>
      <c r="I622" s="53"/>
      <c r="J622" s="51"/>
      <c r="K622" s="51"/>
    </row>
    <row r="623">
      <c r="D623" s="55"/>
      <c r="E623" s="67"/>
      <c r="F623" s="67"/>
      <c r="G623" s="67"/>
      <c r="H623" s="67"/>
      <c r="I623" s="53"/>
      <c r="J623" s="51"/>
      <c r="K623" s="51"/>
    </row>
    <row r="624">
      <c r="D624" s="55"/>
      <c r="E624" s="67"/>
      <c r="F624" s="67"/>
      <c r="G624" s="67"/>
      <c r="H624" s="67"/>
      <c r="I624" s="53"/>
      <c r="J624" s="51"/>
      <c r="K624" s="51"/>
    </row>
    <row r="625">
      <c r="D625" s="55"/>
      <c r="E625" s="67"/>
      <c r="F625" s="67"/>
      <c r="G625" s="67"/>
      <c r="H625" s="67"/>
      <c r="I625" s="53"/>
      <c r="J625" s="51"/>
      <c r="K625" s="51"/>
    </row>
    <row r="626">
      <c r="D626" s="55"/>
      <c r="E626" s="67"/>
      <c r="F626" s="67"/>
      <c r="G626" s="67"/>
      <c r="H626" s="67"/>
      <c r="I626" s="53"/>
      <c r="J626" s="51"/>
      <c r="K626" s="51"/>
    </row>
    <row r="627">
      <c r="D627" s="55"/>
      <c r="E627" s="67"/>
      <c r="F627" s="67"/>
      <c r="G627" s="67"/>
      <c r="H627" s="67"/>
      <c r="I627" s="53"/>
      <c r="J627" s="51"/>
      <c r="K627" s="51"/>
    </row>
    <row r="628">
      <c r="D628" s="55"/>
      <c r="E628" s="67"/>
      <c r="F628" s="67"/>
      <c r="G628" s="67"/>
      <c r="H628" s="67"/>
      <c r="I628" s="53"/>
      <c r="J628" s="51"/>
      <c r="K628" s="51"/>
    </row>
    <row r="629">
      <c r="D629" s="55"/>
      <c r="E629" s="67"/>
      <c r="F629" s="67"/>
      <c r="G629" s="67"/>
      <c r="H629" s="67"/>
      <c r="I629" s="53"/>
      <c r="J629" s="51"/>
      <c r="K629" s="51"/>
    </row>
    <row r="630">
      <c r="D630" s="55"/>
      <c r="E630" s="67"/>
      <c r="F630" s="67"/>
      <c r="G630" s="67"/>
      <c r="H630" s="67"/>
      <c r="I630" s="53"/>
      <c r="J630" s="51"/>
      <c r="K630" s="51"/>
    </row>
    <row r="631">
      <c r="D631" s="55"/>
      <c r="E631" s="67"/>
      <c r="F631" s="67"/>
      <c r="G631" s="67"/>
      <c r="H631" s="67"/>
      <c r="I631" s="53"/>
      <c r="J631" s="51"/>
      <c r="K631" s="51"/>
    </row>
    <row r="632">
      <c r="D632" s="55"/>
      <c r="E632" s="67"/>
      <c r="F632" s="67"/>
      <c r="G632" s="67"/>
      <c r="H632" s="67"/>
      <c r="I632" s="53"/>
      <c r="J632" s="51"/>
      <c r="K632" s="51"/>
    </row>
    <row r="633">
      <c r="D633" s="55"/>
      <c r="E633" s="67"/>
      <c r="F633" s="67"/>
      <c r="G633" s="67"/>
      <c r="H633" s="67"/>
      <c r="I633" s="53"/>
      <c r="J633" s="51"/>
      <c r="K633" s="51"/>
    </row>
    <row r="634">
      <c r="D634" s="55"/>
      <c r="E634" s="67"/>
      <c r="F634" s="67"/>
      <c r="G634" s="67"/>
      <c r="H634" s="67"/>
      <c r="I634" s="53"/>
      <c r="J634" s="51"/>
      <c r="K634" s="51"/>
    </row>
    <row r="635">
      <c r="D635" s="55"/>
      <c r="E635" s="67"/>
      <c r="F635" s="67"/>
      <c r="G635" s="67"/>
      <c r="H635" s="67"/>
      <c r="I635" s="53"/>
      <c r="J635" s="51"/>
      <c r="K635" s="51"/>
    </row>
    <row r="636">
      <c r="D636" s="55"/>
      <c r="E636" s="67"/>
      <c r="F636" s="67"/>
      <c r="G636" s="67"/>
      <c r="H636" s="67"/>
      <c r="I636" s="53"/>
      <c r="J636" s="51"/>
      <c r="K636" s="51"/>
    </row>
    <row r="637">
      <c r="D637" s="55"/>
      <c r="E637" s="67"/>
      <c r="F637" s="67"/>
      <c r="G637" s="67"/>
      <c r="H637" s="67"/>
      <c r="I637" s="53"/>
      <c r="J637" s="51"/>
      <c r="K637" s="51"/>
    </row>
    <row r="638">
      <c r="D638" s="55"/>
      <c r="E638" s="67"/>
      <c r="F638" s="67"/>
      <c r="G638" s="67"/>
      <c r="H638" s="67"/>
      <c r="I638" s="53"/>
      <c r="J638" s="51"/>
      <c r="K638" s="51"/>
    </row>
    <row r="639">
      <c r="D639" s="55"/>
      <c r="E639" s="67"/>
      <c r="F639" s="67"/>
      <c r="G639" s="67"/>
      <c r="H639" s="67"/>
      <c r="I639" s="53"/>
      <c r="J639" s="51"/>
      <c r="K639" s="51"/>
    </row>
    <row r="640">
      <c r="D640" s="55"/>
      <c r="E640" s="67"/>
      <c r="F640" s="67"/>
      <c r="G640" s="67"/>
      <c r="H640" s="67"/>
      <c r="I640" s="53"/>
      <c r="J640" s="51"/>
      <c r="K640" s="51"/>
    </row>
    <row r="641">
      <c r="D641" s="55"/>
      <c r="E641" s="67"/>
      <c r="F641" s="67"/>
      <c r="G641" s="67"/>
      <c r="H641" s="67"/>
      <c r="I641" s="53"/>
      <c r="J641" s="51"/>
      <c r="K641" s="51"/>
    </row>
    <row r="642">
      <c r="D642" s="55"/>
      <c r="E642" s="67"/>
      <c r="F642" s="67"/>
      <c r="G642" s="67"/>
      <c r="H642" s="67"/>
      <c r="I642" s="53"/>
      <c r="J642" s="51"/>
      <c r="K642" s="51"/>
    </row>
    <row r="643">
      <c r="D643" s="55"/>
      <c r="E643" s="67"/>
      <c r="F643" s="67"/>
      <c r="G643" s="67"/>
      <c r="H643" s="67"/>
      <c r="I643" s="53"/>
      <c r="J643" s="51"/>
      <c r="K643" s="51"/>
    </row>
    <row r="644">
      <c r="D644" s="55"/>
      <c r="E644" s="67"/>
      <c r="F644" s="67"/>
      <c r="G644" s="67"/>
      <c r="H644" s="67"/>
      <c r="I644" s="53"/>
      <c r="J644" s="51"/>
      <c r="K644" s="51"/>
    </row>
    <row r="645">
      <c r="D645" s="55"/>
      <c r="E645" s="67"/>
      <c r="F645" s="67"/>
      <c r="G645" s="67"/>
      <c r="H645" s="67"/>
      <c r="I645" s="53"/>
      <c r="J645" s="51"/>
      <c r="K645" s="51"/>
    </row>
    <row r="646">
      <c r="D646" s="55"/>
      <c r="E646" s="67"/>
      <c r="F646" s="67"/>
      <c r="G646" s="67"/>
      <c r="H646" s="67"/>
      <c r="I646" s="53"/>
      <c r="J646" s="51"/>
      <c r="K646" s="51"/>
    </row>
    <row r="647">
      <c r="D647" s="55"/>
      <c r="E647" s="67"/>
      <c r="F647" s="67"/>
      <c r="G647" s="67"/>
      <c r="H647" s="67"/>
      <c r="I647" s="53"/>
      <c r="J647" s="51"/>
      <c r="K647" s="51"/>
    </row>
    <row r="648">
      <c r="D648" s="55"/>
      <c r="E648" s="67"/>
      <c r="F648" s="67"/>
      <c r="G648" s="67"/>
      <c r="H648" s="67"/>
      <c r="I648" s="53"/>
      <c r="J648" s="51"/>
      <c r="K648" s="51"/>
    </row>
    <row r="649">
      <c r="D649" s="55"/>
      <c r="E649" s="67"/>
      <c r="F649" s="67"/>
      <c r="G649" s="67"/>
      <c r="H649" s="67"/>
      <c r="I649" s="53"/>
      <c r="J649" s="51"/>
      <c r="K649" s="51"/>
    </row>
    <row r="650">
      <c r="D650" s="55"/>
      <c r="E650" s="67"/>
      <c r="F650" s="67"/>
      <c r="G650" s="67"/>
      <c r="H650" s="67"/>
      <c r="I650" s="53"/>
      <c r="J650" s="51"/>
      <c r="K650" s="51"/>
    </row>
    <row r="651">
      <c r="D651" s="55"/>
      <c r="E651" s="67"/>
      <c r="F651" s="67"/>
      <c r="G651" s="67"/>
      <c r="H651" s="67"/>
      <c r="I651" s="53"/>
      <c r="J651" s="51"/>
      <c r="K651" s="51"/>
    </row>
    <row r="652">
      <c r="D652" s="55"/>
      <c r="E652" s="67"/>
      <c r="F652" s="67"/>
      <c r="G652" s="67"/>
      <c r="H652" s="67"/>
      <c r="I652" s="53"/>
      <c r="J652" s="51"/>
      <c r="K652" s="51"/>
    </row>
    <row r="653">
      <c r="D653" s="55"/>
      <c r="E653" s="67"/>
      <c r="F653" s="67"/>
      <c r="G653" s="67"/>
      <c r="H653" s="67"/>
      <c r="I653" s="53"/>
      <c r="J653" s="51"/>
      <c r="K653" s="51"/>
    </row>
    <row r="654">
      <c r="D654" s="55"/>
      <c r="E654" s="67"/>
      <c r="F654" s="67"/>
      <c r="G654" s="67"/>
      <c r="H654" s="67"/>
      <c r="I654" s="53"/>
      <c r="J654" s="51"/>
      <c r="K654" s="51"/>
    </row>
    <row r="655">
      <c r="D655" s="55"/>
      <c r="E655" s="67"/>
      <c r="F655" s="67"/>
      <c r="G655" s="67"/>
      <c r="H655" s="67"/>
      <c r="I655" s="53"/>
      <c r="J655" s="51"/>
      <c r="K655" s="51"/>
    </row>
    <row r="656">
      <c r="D656" s="55"/>
      <c r="E656" s="67"/>
      <c r="F656" s="67"/>
      <c r="G656" s="67"/>
      <c r="H656" s="67"/>
      <c r="I656" s="53"/>
      <c r="J656" s="51"/>
      <c r="K656" s="51"/>
    </row>
    <row r="657">
      <c r="D657" s="55"/>
      <c r="E657" s="67"/>
      <c r="F657" s="67"/>
      <c r="G657" s="67"/>
      <c r="H657" s="67"/>
      <c r="I657" s="53"/>
      <c r="J657" s="51"/>
      <c r="K657" s="51"/>
    </row>
    <row r="658">
      <c r="D658" s="55"/>
      <c r="E658" s="67"/>
      <c r="F658" s="67"/>
      <c r="G658" s="67"/>
      <c r="H658" s="67"/>
      <c r="I658" s="53"/>
      <c r="J658" s="51"/>
      <c r="K658" s="51"/>
    </row>
    <row r="659">
      <c r="D659" s="55"/>
      <c r="E659" s="67"/>
      <c r="F659" s="67"/>
      <c r="G659" s="67"/>
      <c r="H659" s="67"/>
      <c r="I659" s="53"/>
      <c r="J659" s="51"/>
      <c r="K659" s="51"/>
    </row>
    <row r="660">
      <c r="D660" s="55"/>
      <c r="E660" s="67"/>
      <c r="F660" s="67"/>
      <c r="G660" s="67"/>
      <c r="H660" s="67"/>
      <c r="I660" s="53"/>
      <c r="J660" s="51"/>
      <c r="K660" s="51"/>
    </row>
    <row r="661">
      <c r="D661" s="55"/>
      <c r="E661" s="67"/>
      <c r="F661" s="67"/>
      <c r="G661" s="67"/>
      <c r="H661" s="67"/>
      <c r="I661" s="53"/>
      <c r="J661" s="51"/>
      <c r="K661" s="51"/>
    </row>
    <row r="662">
      <c r="D662" s="55"/>
      <c r="E662" s="67"/>
      <c r="F662" s="67"/>
      <c r="G662" s="67"/>
      <c r="H662" s="67"/>
      <c r="I662" s="53"/>
      <c r="J662" s="51"/>
      <c r="K662" s="51"/>
    </row>
    <row r="663">
      <c r="D663" s="55"/>
      <c r="E663" s="67"/>
      <c r="F663" s="67"/>
      <c r="G663" s="67"/>
      <c r="H663" s="67"/>
      <c r="I663" s="53"/>
      <c r="J663" s="51"/>
      <c r="K663" s="51"/>
    </row>
    <row r="664">
      <c r="D664" s="55"/>
      <c r="E664" s="67"/>
      <c r="F664" s="67"/>
      <c r="G664" s="67"/>
      <c r="H664" s="67"/>
      <c r="I664" s="53"/>
      <c r="J664" s="51"/>
      <c r="K664" s="51"/>
    </row>
    <row r="665">
      <c r="D665" s="55"/>
      <c r="E665" s="67"/>
      <c r="F665" s="67"/>
      <c r="G665" s="67"/>
      <c r="H665" s="67"/>
      <c r="I665" s="53"/>
      <c r="J665" s="51"/>
      <c r="K665" s="51"/>
    </row>
    <row r="666">
      <c r="D666" s="55"/>
      <c r="E666" s="67"/>
      <c r="F666" s="67"/>
      <c r="G666" s="67"/>
      <c r="H666" s="67"/>
      <c r="I666" s="53"/>
      <c r="J666" s="51"/>
      <c r="K666" s="51"/>
    </row>
    <row r="667">
      <c r="D667" s="55"/>
      <c r="E667" s="67"/>
      <c r="F667" s="67"/>
      <c r="G667" s="67"/>
      <c r="H667" s="67"/>
      <c r="I667" s="53"/>
      <c r="J667" s="51"/>
      <c r="K667" s="51"/>
    </row>
    <row r="668">
      <c r="D668" s="55"/>
      <c r="E668" s="67"/>
      <c r="F668" s="67"/>
      <c r="G668" s="67"/>
      <c r="H668" s="67"/>
      <c r="I668" s="53"/>
      <c r="J668" s="51"/>
      <c r="K668" s="51"/>
    </row>
    <row r="669">
      <c r="D669" s="55"/>
      <c r="E669" s="67"/>
      <c r="F669" s="67"/>
      <c r="G669" s="67"/>
      <c r="H669" s="67"/>
      <c r="I669" s="53"/>
      <c r="J669" s="51"/>
      <c r="K669" s="51"/>
    </row>
    <row r="670">
      <c r="D670" s="55"/>
      <c r="E670" s="67"/>
      <c r="F670" s="67"/>
      <c r="G670" s="67"/>
      <c r="H670" s="67"/>
      <c r="I670" s="53"/>
      <c r="J670" s="51"/>
      <c r="K670" s="51"/>
    </row>
    <row r="671">
      <c r="D671" s="55"/>
      <c r="E671" s="67"/>
      <c r="F671" s="67"/>
      <c r="G671" s="67"/>
      <c r="H671" s="67"/>
      <c r="I671" s="53"/>
      <c r="J671" s="51"/>
      <c r="K671" s="51"/>
    </row>
    <row r="672">
      <c r="D672" s="55"/>
      <c r="E672" s="67"/>
      <c r="F672" s="67"/>
      <c r="G672" s="67"/>
      <c r="H672" s="67"/>
      <c r="I672" s="53"/>
      <c r="J672" s="51"/>
      <c r="K672" s="51"/>
    </row>
    <row r="673">
      <c r="D673" s="55"/>
      <c r="E673" s="67"/>
      <c r="F673" s="67"/>
      <c r="G673" s="67"/>
      <c r="H673" s="67"/>
      <c r="I673" s="53"/>
      <c r="J673" s="51"/>
      <c r="K673" s="51"/>
    </row>
    <row r="674">
      <c r="D674" s="55"/>
      <c r="E674" s="67"/>
      <c r="F674" s="67"/>
      <c r="G674" s="67"/>
      <c r="H674" s="67"/>
      <c r="I674" s="53"/>
      <c r="J674" s="51"/>
      <c r="K674" s="51"/>
    </row>
    <row r="675">
      <c r="D675" s="55"/>
      <c r="E675" s="67"/>
      <c r="F675" s="67"/>
      <c r="G675" s="67"/>
      <c r="H675" s="67"/>
      <c r="I675" s="53"/>
      <c r="J675" s="51"/>
      <c r="K675" s="51"/>
    </row>
    <row r="676">
      <c r="D676" s="55"/>
      <c r="E676" s="67"/>
      <c r="F676" s="67"/>
      <c r="G676" s="67"/>
      <c r="H676" s="67"/>
      <c r="I676" s="53"/>
      <c r="J676" s="51"/>
      <c r="K676" s="51"/>
    </row>
    <row r="677">
      <c r="D677" s="55"/>
      <c r="E677" s="67"/>
      <c r="F677" s="67"/>
      <c r="G677" s="67"/>
      <c r="H677" s="67"/>
      <c r="I677" s="53"/>
      <c r="J677" s="51"/>
      <c r="K677" s="51"/>
    </row>
    <row r="678">
      <c r="D678" s="55"/>
      <c r="E678" s="67"/>
      <c r="F678" s="67"/>
      <c r="G678" s="67"/>
      <c r="H678" s="67"/>
      <c r="I678" s="53"/>
      <c r="J678" s="51"/>
      <c r="K678" s="51"/>
    </row>
    <row r="679">
      <c r="D679" s="55"/>
      <c r="E679" s="67"/>
      <c r="F679" s="67"/>
      <c r="G679" s="67"/>
      <c r="H679" s="67"/>
      <c r="I679" s="53"/>
      <c r="J679" s="51"/>
      <c r="K679" s="51"/>
    </row>
    <row r="680">
      <c r="D680" s="55"/>
      <c r="E680" s="67"/>
      <c r="F680" s="67"/>
      <c r="G680" s="67"/>
      <c r="H680" s="67"/>
      <c r="I680" s="53"/>
      <c r="J680" s="51"/>
      <c r="K680" s="51"/>
    </row>
    <row r="681">
      <c r="D681" s="55"/>
      <c r="E681" s="67"/>
      <c r="F681" s="67"/>
      <c r="G681" s="67"/>
      <c r="H681" s="67"/>
      <c r="I681" s="53"/>
      <c r="J681" s="51"/>
      <c r="K681" s="51"/>
    </row>
    <row r="682">
      <c r="D682" s="55"/>
      <c r="E682" s="67"/>
      <c r="F682" s="67"/>
      <c r="G682" s="67"/>
      <c r="H682" s="67"/>
      <c r="I682" s="53"/>
      <c r="J682" s="51"/>
      <c r="K682" s="51"/>
    </row>
    <row r="683">
      <c r="D683" s="55"/>
      <c r="E683" s="67"/>
      <c r="F683" s="67"/>
      <c r="G683" s="67"/>
      <c r="H683" s="67"/>
      <c r="I683" s="53"/>
      <c r="J683" s="51"/>
      <c r="K683" s="51"/>
    </row>
    <row r="684">
      <c r="D684" s="55"/>
      <c r="E684" s="67"/>
      <c r="F684" s="67"/>
      <c r="G684" s="67"/>
      <c r="H684" s="67"/>
      <c r="I684" s="53"/>
      <c r="J684" s="51"/>
      <c r="K684" s="51"/>
    </row>
    <row r="685">
      <c r="D685" s="55"/>
      <c r="E685" s="67"/>
      <c r="F685" s="67"/>
      <c r="G685" s="67"/>
      <c r="H685" s="67"/>
      <c r="I685" s="53"/>
      <c r="J685" s="51"/>
      <c r="K685" s="51"/>
    </row>
    <row r="686">
      <c r="D686" s="55"/>
      <c r="E686" s="67"/>
      <c r="F686" s="67"/>
      <c r="G686" s="67"/>
      <c r="H686" s="67"/>
      <c r="I686" s="53"/>
      <c r="J686" s="51"/>
      <c r="K686" s="51"/>
    </row>
    <row r="687">
      <c r="D687" s="55"/>
      <c r="E687" s="67"/>
      <c r="F687" s="67"/>
      <c r="G687" s="67"/>
      <c r="H687" s="67"/>
      <c r="I687" s="53"/>
      <c r="J687" s="51"/>
      <c r="K687" s="51"/>
    </row>
    <row r="688">
      <c r="D688" s="55"/>
      <c r="E688" s="67"/>
      <c r="F688" s="67"/>
      <c r="G688" s="67"/>
      <c r="H688" s="67"/>
      <c r="I688" s="53"/>
      <c r="J688" s="51"/>
      <c r="K688" s="51"/>
    </row>
    <row r="689">
      <c r="D689" s="55"/>
      <c r="E689" s="67"/>
      <c r="F689" s="67"/>
      <c r="G689" s="67"/>
      <c r="H689" s="67"/>
      <c r="I689" s="53"/>
      <c r="J689" s="51"/>
      <c r="K689" s="51"/>
    </row>
    <row r="690">
      <c r="D690" s="55"/>
      <c r="E690" s="67"/>
      <c r="F690" s="67"/>
      <c r="G690" s="67"/>
      <c r="H690" s="67"/>
      <c r="I690" s="53"/>
      <c r="J690" s="51"/>
      <c r="K690" s="51"/>
    </row>
    <row r="691">
      <c r="D691" s="55"/>
      <c r="E691" s="67"/>
      <c r="F691" s="67"/>
      <c r="G691" s="67"/>
      <c r="H691" s="67"/>
      <c r="I691" s="53"/>
      <c r="J691" s="51"/>
      <c r="K691" s="51"/>
    </row>
    <row r="692">
      <c r="D692" s="55"/>
      <c r="E692" s="67"/>
      <c r="F692" s="67"/>
      <c r="G692" s="67"/>
      <c r="H692" s="67"/>
      <c r="I692" s="53"/>
      <c r="J692" s="51"/>
      <c r="K692" s="51"/>
    </row>
    <row r="693">
      <c r="D693" s="55"/>
      <c r="E693" s="67"/>
      <c r="F693" s="67"/>
      <c r="G693" s="67"/>
      <c r="H693" s="67"/>
      <c r="I693" s="53"/>
      <c r="J693" s="51"/>
      <c r="K693" s="51"/>
    </row>
    <row r="694">
      <c r="D694" s="55"/>
      <c r="E694" s="67"/>
      <c r="F694" s="67"/>
      <c r="G694" s="67"/>
      <c r="H694" s="67"/>
      <c r="I694" s="53"/>
      <c r="J694" s="51"/>
      <c r="K694" s="51"/>
    </row>
    <row r="695">
      <c r="D695" s="55"/>
      <c r="E695" s="67"/>
      <c r="F695" s="67"/>
      <c r="G695" s="67"/>
      <c r="H695" s="67"/>
      <c r="I695" s="53"/>
      <c r="J695" s="51"/>
      <c r="K695" s="51"/>
    </row>
    <row r="696">
      <c r="D696" s="55"/>
      <c r="E696" s="67"/>
      <c r="F696" s="67"/>
      <c r="G696" s="67"/>
      <c r="H696" s="67"/>
      <c r="I696" s="53"/>
      <c r="J696" s="51"/>
      <c r="K696" s="51"/>
    </row>
    <row r="697">
      <c r="D697" s="55"/>
      <c r="E697" s="67"/>
      <c r="F697" s="67"/>
      <c r="G697" s="67"/>
      <c r="H697" s="67"/>
      <c r="I697" s="53"/>
      <c r="J697" s="51"/>
      <c r="K697" s="51"/>
    </row>
    <row r="698">
      <c r="D698" s="55"/>
      <c r="E698" s="67"/>
      <c r="F698" s="67"/>
      <c r="G698" s="67"/>
      <c r="H698" s="67"/>
      <c r="I698" s="53"/>
      <c r="J698" s="51"/>
      <c r="K698" s="51"/>
    </row>
    <row r="699">
      <c r="D699" s="55"/>
      <c r="E699" s="67"/>
      <c r="F699" s="67"/>
      <c r="G699" s="67"/>
      <c r="H699" s="67"/>
      <c r="I699" s="53"/>
      <c r="J699" s="51"/>
      <c r="K699" s="51"/>
    </row>
    <row r="700">
      <c r="D700" s="55"/>
      <c r="E700" s="67"/>
      <c r="F700" s="67"/>
      <c r="G700" s="67"/>
      <c r="H700" s="67"/>
      <c r="I700" s="53"/>
      <c r="J700" s="51"/>
      <c r="K700" s="51"/>
    </row>
    <row r="701">
      <c r="D701" s="55"/>
      <c r="E701" s="67"/>
      <c r="F701" s="67"/>
      <c r="G701" s="67"/>
      <c r="H701" s="67"/>
      <c r="I701" s="53"/>
      <c r="J701" s="51"/>
      <c r="K701" s="51"/>
    </row>
    <row r="702">
      <c r="D702" s="55"/>
      <c r="E702" s="67"/>
      <c r="F702" s="67"/>
      <c r="G702" s="67"/>
      <c r="H702" s="67"/>
      <c r="I702" s="53"/>
      <c r="J702" s="51"/>
      <c r="K702" s="51"/>
    </row>
    <row r="703">
      <c r="D703" s="55"/>
      <c r="E703" s="67"/>
      <c r="F703" s="67"/>
      <c r="G703" s="67"/>
      <c r="H703" s="67"/>
      <c r="I703" s="53"/>
      <c r="J703" s="51"/>
      <c r="K703" s="51"/>
    </row>
    <row r="704">
      <c r="D704" s="55"/>
      <c r="E704" s="67"/>
      <c r="F704" s="67"/>
      <c r="G704" s="67"/>
      <c r="H704" s="67"/>
      <c r="I704" s="53"/>
      <c r="J704" s="51"/>
      <c r="K704" s="51"/>
    </row>
    <row r="705">
      <c r="D705" s="55"/>
      <c r="E705" s="67"/>
      <c r="F705" s="67"/>
      <c r="G705" s="67"/>
      <c r="H705" s="67"/>
      <c r="I705" s="53"/>
      <c r="J705" s="51"/>
      <c r="K705" s="51"/>
    </row>
    <row r="706">
      <c r="D706" s="55"/>
      <c r="E706" s="67"/>
      <c r="F706" s="67"/>
      <c r="G706" s="67"/>
      <c r="H706" s="67"/>
      <c r="I706" s="53"/>
      <c r="J706" s="51"/>
      <c r="K706" s="51"/>
    </row>
    <row r="707">
      <c r="D707" s="55"/>
      <c r="E707" s="67"/>
      <c r="F707" s="67"/>
      <c r="G707" s="67"/>
      <c r="H707" s="67"/>
      <c r="I707" s="53"/>
      <c r="J707" s="51"/>
      <c r="K707" s="51"/>
    </row>
    <row r="708">
      <c r="D708" s="55"/>
      <c r="E708" s="67"/>
      <c r="F708" s="67"/>
      <c r="G708" s="67"/>
      <c r="H708" s="67"/>
      <c r="I708" s="53"/>
      <c r="J708" s="51"/>
      <c r="K708" s="51"/>
    </row>
    <row r="709">
      <c r="D709" s="55"/>
      <c r="E709" s="67"/>
      <c r="F709" s="67"/>
      <c r="G709" s="67"/>
      <c r="H709" s="67"/>
      <c r="I709" s="53"/>
      <c r="J709" s="51"/>
      <c r="K709" s="51"/>
    </row>
    <row r="710">
      <c r="D710" s="55"/>
      <c r="E710" s="67"/>
      <c r="F710" s="67"/>
      <c r="G710" s="67"/>
      <c r="H710" s="67"/>
      <c r="I710" s="53"/>
      <c r="J710" s="51"/>
      <c r="K710" s="51"/>
    </row>
    <row r="711">
      <c r="D711" s="55"/>
      <c r="E711" s="67"/>
      <c r="F711" s="67"/>
      <c r="G711" s="67"/>
      <c r="H711" s="67"/>
      <c r="I711" s="53"/>
      <c r="J711" s="51"/>
      <c r="K711" s="51"/>
    </row>
    <row r="712">
      <c r="D712" s="55"/>
      <c r="E712" s="67"/>
      <c r="F712" s="67"/>
      <c r="G712" s="67"/>
      <c r="H712" s="67"/>
      <c r="I712" s="53"/>
      <c r="J712" s="51"/>
      <c r="K712" s="51"/>
    </row>
    <row r="713">
      <c r="D713" s="55"/>
      <c r="E713" s="67"/>
      <c r="F713" s="67"/>
      <c r="G713" s="67"/>
      <c r="H713" s="67"/>
      <c r="I713" s="53"/>
      <c r="J713" s="51"/>
      <c r="K713" s="51"/>
    </row>
    <row r="714">
      <c r="D714" s="55"/>
      <c r="E714" s="67"/>
      <c r="F714" s="67"/>
      <c r="G714" s="67"/>
      <c r="H714" s="67"/>
      <c r="I714" s="53"/>
      <c r="J714" s="51"/>
      <c r="K714" s="51"/>
    </row>
    <row r="715">
      <c r="D715" s="55"/>
      <c r="E715" s="67"/>
      <c r="F715" s="67"/>
      <c r="G715" s="67"/>
      <c r="H715" s="67"/>
      <c r="I715" s="53"/>
      <c r="J715" s="51"/>
      <c r="K715" s="51"/>
    </row>
    <row r="716">
      <c r="D716" s="55"/>
      <c r="E716" s="67"/>
      <c r="F716" s="67"/>
      <c r="G716" s="67"/>
      <c r="H716" s="67"/>
      <c r="I716" s="53"/>
      <c r="J716" s="51"/>
      <c r="K716" s="51"/>
    </row>
    <row r="717">
      <c r="D717" s="55"/>
      <c r="E717" s="67"/>
      <c r="F717" s="67"/>
      <c r="G717" s="67"/>
      <c r="H717" s="67"/>
      <c r="I717" s="53"/>
      <c r="J717" s="51"/>
      <c r="K717" s="51"/>
    </row>
    <row r="718">
      <c r="D718" s="55"/>
      <c r="E718" s="67"/>
      <c r="F718" s="67"/>
      <c r="G718" s="67"/>
      <c r="H718" s="67"/>
      <c r="I718" s="53"/>
      <c r="J718" s="51"/>
      <c r="K718" s="51"/>
    </row>
    <row r="719">
      <c r="D719" s="55"/>
      <c r="E719" s="67"/>
      <c r="F719" s="67"/>
      <c r="G719" s="67"/>
      <c r="H719" s="67"/>
      <c r="I719" s="53"/>
      <c r="J719" s="51"/>
      <c r="K719" s="51"/>
    </row>
    <row r="720">
      <c r="D720" s="55"/>
      <c r="E720" s="67"/>
      <c r="F720" s="67"/>
      <c r="G720" s="67"/>
      <c r="H720" s="67"/>
      <c r="I720" s="53"/>
      <c r="J720" s="51"/>
      <c r="K720" s="51"/>
    </row>
    <row r="721">
      <c r="D721" s="55"/>
      <c r="E721" s="67"/>
      <c r="F721" s="67"/>
      <c r="G721" s="67"/>
      <c r="H721" s="67"/>
      <c r="I721" s="53"/>
      <c r="J721" s="51"/>
      <c r="K721" s="51"/>
    </row>
    <row r="722">
      <c r="D722" s="55"/>
      <c r="E722" s="67"/>
      <c r="F722" s="67"/>
      <c r="G722" s="67"/>
      <c r="H722" s="67"/>
      <c r="I722" s="53"/>
      <c r="J722" s="51"/>
      <c r="K722" s="51"/>
    </row>
    <row r="723">
      <c r="D723" s="55"/>
      <c r="E723" s="67"/>
      <c r="F723" s="67"/>
      <c r="G723" s="67"/>
      <c r="H723" s="67"/>
      <c r="I723" s="53"/>
      <c r="J723" s="51"/>
      <c r="K723" s="51"/>
    </row>
    <row r="724">
      <c r="D724" s="55"/>
      <c r="E724" s="67"/>
      <c r="F724" s="67"/>
      <c r="G724" s="67"/>
      <c r="H724" s="67"/>
      <c r="I724" s="53"/>
      <c r="J724" s="51"/>
      <c r="K724" s="51"/>
    </row>
    <row r="725">
      <c r="D725" s="55"/>
      <c r="E725" s="67"/>
      <c r="F725" s="67"/>
      <c r="G725" s="67"/>
      <c r="H725" s="67"/>
      <c r="I725" s="53"/>
      <c r="J725" s="51"/>
      <c r="K725" s="51"/>
    </row>
    <row r="726">
      <c r="D726" s="55"/>
      <c r="E726" s="67"/>
      <c r="F726" s="67"/>
      <c r="G726" s="67"/>
      <c r="H726" s="67"/>
      <c r="I726" s="53"/>
      <c r="J726" s="51"/>
      <c r="K726" s="51"/>
    </row>
    <row r="727">
      <c r="D727" s="55"/>
      <c r="E727" s="67"/>
      <c r="F727" s="67"/>
      <c r="G727" s="67"/>
      <c r="H727" s="67"/>
      <c r="I727" s="53"/>
      <c r="J727" s="51"/>
      <c r="K727" s="51"/>
    </row>
    <row r="728">
      <c r="D728" s="55"/>
      <c r="E728" s="67"/>
      <c r="F728" s="67"/>
      <c r="G728" s="67"/>
      <c r="H728" s="67"/>
      <c r="I728" s="53"/>
      <c r="J728" s="51"/>
      <c r="K728" s="51"/>
    </row>
    <row r="729">
      <c r="D729" s="55"/>
      <c r="E729" s="67"/>
      <c r="F729" s="67"/>
      <c r="G729" s="67"/>
      <c r="H729" s="67"/>
      <c r="I729" s="53"/>
      <c r="J729" s="51"/>
      <c r="K729" s="51"/>
    </row>
    <row r="730">
      <c r="D730" s="55"/>
      <c r="E730" s="67"/>
      <c r="F730" s="67"/>
      <c r="G730" s="67"/>
      <c r="H730" s="67"/>
      <c r="I730" s="53"/>
      <c r="J730" s="51"/>
      <c r="K730" s="51"/>
    </row>
    <row r="731">
      <c r="D731" s="55"/>
      <c r="E731" s="67"/>
      <c r="F731" s="67"/>
      <c r="G731" s="67"/>
      <c r="H731" s="67"/>
      <c r="I731" s="53"/>
      <c r="J731" s="51"/>
      <c r="K731" s="51"/>
    </row>
    <row r="732">
      <c r="D732" s="55"/>
      <c r="E732" s="67"/>
      <c r="F732" s="67"/>
      <c r="G732" s="67"/>
      <c r="H732" s="67"/>
      <c r="I732" s="53"/>
      <c r="J732" s="51"/>
      <c r="K732" s="51"/>
    </row>
    <row r="733">
      <c r="D733" s="55"/>
      <c r="E733" s="67"/>
      <c r="F733" s="67"/>
      <c r="G733" s="67"/>
      <c r="H733" s="67"/>
      <c r="I733" s="53"/>
      <c r="J733" s="51"/>
      <c r="K733" s="51"/>
    </row>
    <row r="734">
      <c r="D734" s="55"/>
      <c r="E734" s="67"/>
      <c r="F734" s="67"/>
      <c r="G734" s="67"/>
      <c r="H734" s="67"/>
      <c r="I734" s="53"/>
      <c r="J734" s="51"/>
      <c r="K734" s="51"/>
    </row>
    <row r="735">
      <c r="D735" s="55"/>
      <c r="E735" s="67"/>
      <c r="F735" s="67"/>
      <c r="G735" s="67"/>
      <c r="H735" s="67"/>
      <c r="I735" s="53"/>
      <c r="J735" s="51"/>
      <c r="K735" s="51"/>
    </row>
    <row r="736">
      <c r="D736" s="55"/>
      <c r="E736" s="67"/>
      <c r="F736" s="67"/>
      <c r="G736" s="67"/>
      <c r="H736" s="67"/>
      <c r="I736" s="53"/>
      <c r="J736" s="51"/>
      <c r="K736" s="51"/>
    </row>
    <row r="737">
      <c r="D737" s="55"/>
      <c r="E737" s="67"/>
      <c r="F737" s="67"/>
      <c r="G737" s="67"/>
      <c r="H737" s="67"/>
      <c r="I737" s="53"/>
      <c r="J737" s="51"/>
      <c r="K737" s="51"/>
    </row>
    <row r="738">
      <c r="D738" s="55"/>
      <c r="E738" s="67"/>
      <c r="F738" s="67"/>
      <c r="G738" s="67"/>
      <c r="H738" s="67"/>
      <c r="I738" s="53"/>
      <c r="J738" s="51"/>
      <c r="K738" s="51"/>
    </row>
    <row r="739">
      <c r="D739" s="55"/>
      <c r="E739" s="67"/>
      <c r="F739" s="67"/>
      <c r="G739" s="67"/>
      <c r="H739" s="67"/>
      <c r="I739" s="53"/>
      <c r="J739" s="51"/>
      <c r="K739" s="51"/>
    </row>
    <row r="740">
      <c r="D740" s="55"/>
      <c r="E740" s="67"/>
      <c r="F740" s="67"/>
      <c r="G740" s="67"/>
      <c r="H740" s="67"/>
      <c r="I740" s="53"/>
      <c r="J740" s="51"/>
      <c r="K740" s="51"/>
    </row>
    <row r="741">
      <c r="D741" s="55"/>
      <c r="E741" s="67"/>
      <c r="F741" s="67"/>
      <c r="G741" s="67"/>
      <c r="H741" s="67"/>
      <c r="I741" s="53"/>
      <c r="J741" s="51"/>
      <c r="K741" s="51"/>
    </row>
    <row r="742">
      <c r="D742" s="55"/>
      <c r="E742" s="67"/>
      <c r="F742" s="67"/>
      <c r="G742" s="67"/>
      <c r="H742" s="67"/>
      <c r="I742" s="53"/>
      <c r="J742" s="51"/>
      <c r="K742" s="51"/>
    </row>
    <row r="743">
      <c r="D743" s="55"/>
      <c r="E743" s="67"/>
      <c r="F743" s="67"/>
      <c r="G743" s="67"/>
      <c r="H743" s="67"/>
      <c r="I743" s="53"/>
      <c r="J743" s="51"/>
      <c r="K743" s="51"/>
    </row>
    <row r="744">
      <c r="D744" s="55"/>
      <c r="E744" s="67"/>
      <c r="F744" s="67"/>
      <c r="G744" s="67"/>
      <c r="H744" s="67"/>
      <c r="I744" s="53"/>
      <c r="J744" s="51"/>
      <c r="K744" s="51"/>
    </row>
    <row r="745">
      <c r="D745" s="55"/>
      <c r="E745" s="67"/>
      <c r="F745" s="67"/>
      <c r="G745" s="67"/>
      <c r="H745" s="67"/>
      <c r="I745" s="53"/>
      <c r="J745" s="51"/>
      <c r="K745" s="51"/>
    </row>
    <row r="746">
      <c r="D746" s="55"/>
      <c r="E746" s="67"/>
      <c r="F746" s="67"/>
      <c r="G746" s="67"/>
      <c r="H746" s="67"/>
      <c r="I746" s="53"/>
      <c r="J746" s="51"/>
      <c r="K746" s="51"/>
    </row>
    <row r="747">
      <c r="D747" s="55"/>
      <c r="E747" s="67"/>
      <c r="F747" s="67"/>
      <c r="G747" s="67"/>
      <c r="H747" s="67"/>
      <c r="I747" s="53"/>
      <c r="J747" s="51"/>
      <c r="K747" s="51"/>
    </row>
    <row r="748">
      <c r="D748" s="55"/>
      <c r="E748" s="67"/>
      <c r="F748" s="67"/>
      <c r="G748" s="67"/>
      <c r="H748" s="67"/>
      <c r="I748" s="53"/>
      <c r="J748" s="51"/>
      <c r="K748" s="51"/>
    </row>
    <row r="749">
      <c r="D749" s="55"/>
      <c r="E749" s="67"/>
      <c r="F749" s="67"/>
      <c r="G749" s="67"/>
      <c r="H749" s="67"/>
      <c r="I749" s="53"/>
      <c r="J749" s="51"/>
      <c r="K749" s="51"/>
    </row>
    <row r="750">
      <c r="D750" s="55"/>
      <c r="E750" s="67"/>
      <c r="F750" s="67"/>
      <c r="G750" s="67"/>
      <c r="H750" s="67"/>
      <c r="I750" s="53"/>
      <c r="J750" s="51"/>
      <c r="K750" s="51"/>
    </row>
    <row r="751">
      <c r="D751" s="55"/>
      <c r="E751" s="67"/>
      <c r="F751" s="67"/>
      <c r="G751" s="67"/>
      <c r="H751" s="67"/>
      <c r="I751" s="53"/>
      <c r="J751" s="51"/>
      <c r="K751" s="51"/>
    </row>
    <row r="752">
      <c r="D752" s="55"/>
      <c r="E752" s="67"/>
      <c r="F752" s="67"/>
      <c r="G752" s="67"/>
      <c r="H752" s="67"/>
      <c r="I752" s="53"/>
      <c r="J752" s="51"/>
      <c r="K752" s="51"/>
    </row>
    <row r="753">
      <c r="D753" s="55"/>
      <c r="E753" s="67"/>
      <c r="F753" s="67"/>
      <c r="G753" s="67"/>
      <c r="H753" s="67"/>
      <c r="I753" s="53"/>
      <c r="J753" s="51"/>
      <c r="K753" s="51"/>
    </row>
    <row r="754">
      <c r="D754" s="55"/>
      <c r="E754" s="67"/>
      <c r="F754" s="67"/>
      <c r="G754" s="67"/>
      <c r="H754" s="67"/>
      <c r="I754" s="53"/>
      <c r="J754" s="51"/>
      <c r="K754" s="51"/>
    </row>
    <row r="755">
      <c r="D755" s="55"/>
      <c r="E755" s="67"/>
      <c r="F755" s="67"/>
      <c r="G755" s="67"/>
      <c r="H755" s="67"/>
      <c r="I755" s="53"/>
      <c r="J755" s="51"/>
      <c r="K755" s="51"/>
    </row>
    <row r="756">
      <c r="D756" s="55"/>
      <c r="E756" s="67"/>
      <c r="F756" s="67"/>
      <c r="G756" s="67"/>
      <c r="H756" s="67"/>
      <c r="I756" s="53"/>
      <c r="J756" s="51"/>
      <c r="K756" s="51"/>
    </row>
    <row r="757">
      <c r="D757" s="55"/>
      <c r="E757" s="67"/>
      <c r="F757" s="67"/>
      <c r="G757" s="67"/>
      <c r="H757" s="67"/>
      <c r="I757" s="53"/>
      <c r="J757" s="51"/>
      <c r="K757" s="51"/>
    </row>
    <row r="758">
      <c r="D758" s="55"/>
      <c r="E758" s="67"/>
      <c r="F758" s="67"/>
      <c r="G758" s="67"/>
      <c r="H758" s="67"/>
      <c r="I758" s="53"/>
      <c r="J758" s="51"/>
      <c r="K758" s="51"/>
    </row>
    <row r="759">
      <c r="D759" s="55"/>
      <c r="E759" s="67"/>
      <c r="F759" s="67"/>
      <c r="G759" s="67"/>
      <c r="H759" s="67"/>
      <c r="I759" s="53"/>
      <c r="J759" s="51"/>
      <c r="K759" s="51"/>
    </row>
    <row r="760">
      <c r="D760" s="55"/>
      <c r="E760" s="67"/>
      <c r="F760" s="67"/>
      <c r="G760" s="67"/>
      <c r="H760" s="67"/>
      <c r="I760" s="53"/>
      <c r="J760" s="51"/>
      <c r="K760" s="51"/>
    </row>
    <row r="761">
      <c r="D761" s="55"/>
      <c r="E761" s="67"/>
      <c r="F761" s="67"/>
      <c r="G761" s="67"/>
      <c r="H761" s="67"/>
      <c r="I761" s="53"/>
      <c r="J761" s="51"/>
      <c r="K761" s="51"/>
    </row>
    <row r="762">
      <c r="D762" s="55"/>
      <c r="E762" s="67"/>
      <c r="F762" s="67"/>
      <c r="G762" s="67"/>
      <c r="H762" s="67"/>
      <c r="I762" s="53"/>
      <c r="J762" s="51"/>
      <c r="K762" s="51"/>
    </row>
    <row r="763">
      <c r="D763" s="55"/>
      <c r="E763" s="67"/>
      <c r="F763" s="67"/>
      <c r="G763" s="67"/>
      <c r="H763" s="67"/>
      <c r="I763" s="53"/>
      <c r="J763" s="51"/>
      <c r="K763" s="51"/>
    </row>
    <row r="764">
      <c r="D764" s="55"/>
      <c r="E764" s="67"/>
      <c r="F764" s="67"/>
      <c r="G764" s="67"/>
      <c r="H764" s="67"/>
      <c r="I764" s="53"/>
      <c r="J764" s="51"/>
      <c r="K764" s="51"/>
    </row>
    <row r="765">
      <c r="D765" s="55"/>
      <c r="E765" s="67"/>
      <c r="F765" s="67"/>
      <c r="G765" s="67"/>
      <c r="H765" s="67"/>
      <c r="I765" s="53"/>
      <c r="J765" s="51"/>
      <c r="K765" s="51"/>
    </row>
    <row r="766">
      <c r="D766" s="55"/>
      <c r="E766" s="67"/>
      <c r="F766" s="67"/>
      <c r="G766" s="67"/>
      <c r="H766" s="67"/>
      <c r="I766" s="53"/>
      <c r="J766" s="51"/>
      <c r="K766" s="51"/>
    </row>
    <row r="767">
      <c r="D767" s="55"/>
      <c r="E767" s="67"/>
      <c r="F767" s="67"/>
      <c r="G767" s="67"/>
      <c r="H767" s="67"/>
      <c r="I767" s="53"/>
      <c r="J767" s="51"/>
      <c r="K767" s="51"/>
    </row>
    <row r="768">
      <c r="D768" s="55"/>
      <c r="E768" s="67"/>
      <c r="F768" s="67"/>
      <c r="G768" s="67"/>
      <c r="H768" s="67"/>
      <c r="I768" s="53"/>
      <c r="J768" s="51"/>
      <c r="K768" s="51"/>
    </row>
    <row r="769">
      <c r="D769" s="55"/>
      <c r="E769" s="67"/>
      <c r="F769" s="67"/>
      <c r="G769" s="67"/>
      <c r="H769" s="67"/>
      <c r="I769" s="53"/>
      <c r="J769" s="51"/>
      <c r="K769" s="51"/>
    </row>
    <row r="770">
      <c r="D770" s="55"/>
      <c r="E770" s="67"/>
      <c r="F770" s="67"/>
      <c r="G770" s="67"/>
      <c r="H770" s="67"/>
      <c r="I770" s="53"/>
      <c r="J770" s="51"/>
      <c r="K770" s="51"/>
    </row>
    <row r="771">
      <c r="D771" s="55"/>
      <c r="E771" s="67"/>
      <c r="F771" s="67"/>
      <c r="G771" s="67"/>
      <c r="H771" s="67"/>
      <c r="I771" s="53"/>
      <c r="J771" s="51"/>
      <c r="K771" s="51"/>
    </row>
    <row r="772">
      <c r="D772" s="55"/>
      <c r="E772" s="67"/>
      <c r="F772" s="67"/>
      <c r="G772" s="67"/>
      <c r="H772" s="67"/>
      <c r="I772" s="53"/>
      <c r="J772" s="51"/>
      <c r="K772" s="51"/>
    </row>
    <row r="773">
      <c r="D773" s="55"/>
      <c r="E773" s="67"/>
      <c r="F773" s="67"/>
      <c r="G773" s="67"/>
      <c r="H773" s="67"/>
      <c r="I773" s="53"/>
      <c r="J773" s="51"/>
      <c r="K773" s="51"/>
    </row>
    <row r="774">
      <c r="D774" s="55"/>
      <c r="E774" s="67"/>
      <c r="F774" s="67"/>
      <c r="G774" s="67"/>
      <c r="H774" s="67"/>
      <c r="I774" s="53"/>
      <c r="J774" s="51"/>
      <c r="K774" s="51"/>
    </row>
    <row r="775">
      <c r="D775" s="55"/>
      <c r="E775" s="67"/>
      <c r="F775" s="67"/>
      <c r="G775" s="67"/>
      <c r="H775" s="67"/>
      <c r="I775" s="53"/>
      <c r="J775" s="51"/>
      <c r="K775" s="51"/>
    </row>
    <row r="776">
      <c r="D776" s="55"/>
      <c r="E776" s="67"/>
      <c r="F776" s="67"/>
      <c r="G776" s="67"/>
      <c r="H776" s="67"/>
      <c r="I776" s="53"/>
      <c r="J776" s="51"/>
      <c r="K776" s="51"/>
    </row>
    <row r="777">
      <c r="D777" s="55"/>
      <c r="E777" s="67"/>
      <c r="F777" s="67"/>
      <c r="G777" s="67"/>
      <c r="H777" s="67"/>
      <c r="I777" s="53"/>
      <c r="J777" s="51"/>
      <c r="K777" s="51"/>
    </row>
    <row r="778">
      <c r="D778" s="55"/>
      <c r="E778" s="67"/>
      <c r="F778" s="67"/>
      <c r="G778" s="67"/>
      <c r="H778" s="67"/>
      <c r="I778" s="53"/>
      <c r="J778" s="51"/>
      <c r="K778" s="51"/>
    </row>
    <row r="779">
      <c r="D779" s="55"/>
      <c r="E779" s="67"/>
      <c r="F779" s="67"/>
      <c r="G779" s="67"/>
      <c r="H779" s="67"/>
      <c r="I779" s="53"/>
      <c r="J779" s="51"/>
      <c r="K779" s="51"/>
    </row>
    <row r="780">
      <c r="D780" s="55"/>
      <c r="E780" s="67"/>
      <c r="F780" s="67"/>
      <c r="G780" s="67"/>
      <c r="H780" s="67"/>
      <c r="I780" s="53"/>
      <c r="J780" s="51"/>
      <c r="K780" s="51"/>
    </row>
    <row r="781">
      <c r="D781" s="55"/>
      <c r="E781" s="67"/>
      <c r="F781" s="67"/>
      <c r="G781" s="67"/>
      <c r="H781" s="67"/>
      <c r="I781" s="53"/>
      <c r="J781" s="51"/>
      <c r="K781" s="51"/>
    </row>
    <row r="782">
      <c r="D782" s="55"/>
      <c r="E782" s="67"/>
      <c r="F782" s="67"/>
      <c r="G782" s="67"/>
      <c r="H782" s="67"/>
      <c r="I782" s="53"/>
      <c r="J782" s="51"/>
      <c r="K782" s="51"/>
    </row>
    <row r="783">
      <c r="D783" s="55"/>
      <c r="E783" s="67"/>
      <c r="F783" s="67"/>
      <c r="G783" s="67"/>
      <c r="H783" s="67"/>
      <c r="I783" s="53"/>
      <c r="J783" s="51"/>
      <c r="K783" s="51"/>
    </row>
    <row r="784">
      <c r="D784" s="55"/>
      <c r="E784" s="67"/>
      <c r="F784" s="67"/>
      <c r="G784" s="67"/>
      <c r="H784" s="67"/>
      <c r="I784" s="53"/>
      <c r="J784" s="51"/>
      <c r="K784" s="51"/>
    </row>
    <row r="785">
      <c r="D785" s="55"/>
      <c r="E785" s="67"/>
      <c r="F785" s="67"/>
      <c r="G785" s="67"/>
      <c r="H785" s="67"/>
      <c r="I785" s="53"/>
      <c r="J785" s="51"/>
      <c r="K785" s="51"/>
    </row>
    <row r="786">
      <c r="D786" s="55"/>
      <c r="E786" s="67"/>
      <c r="F786" s="67"/>
      <c r="G786" s="67"/>
      <c r="H786" s="67"/>
      <c r="I786" s="53"/>
      <c r="J786" s="51"/>
      <c r="K786" s="51"/>
    </row>
    <row r="787">
      <c r="D787" s="55"/>
      <c r="E787" s="67"/>
      <c r="F787" s="67"/>
      <c r="G787" s="67"/>
      <c r="H787" s="67"/>
      <c r="I787" s="53"/>
      <c r="J787" s="51"/>
      <c r="K787" s="51"/>
    </row>
    <row r="788">
      <c r="D788" s="55"/>
      <c r="E788" s="67"/>
      <c r="F788" s="67"/>
      <c r="G788" s="67"/>
      <c r="H788" s="67"/>
      <c r="I788" s="53"/>
      <c r="J788" s="51"/>
      <c r="K788" s="51"/>
    </row>
    <row r="789">
      <c r="D789" s="55"/>
      <c r="E789" s="67"/>
      <c r="F789" s="67"/>
      <c r="G789" s="67"/>
      <c r="H789" s="67"/>
      <c r="I789" s="53"/>
      <c r="J789" s="51"/>
      <c r="K789" s="51"/>
    </row>
    <row r="790">
      <c r="D790" s="55"/>
      <c r="E790" s="67"/>
      <c r="F790" s="67"/>
      <c r="G790" s="67"/>
      <c r="H790" s="67"/>
      <c r="I790" s="53"/>
      <c r="J790" s="51"/>
      <c r="K790" s="51"/>
    </row>
    <row r="791">
      <c r="D791" s="55"/>
      <c r="E791" s="67"/>
      <c r="F791" s="67"/>
      <c r="G791" s="67"/>
      <c r="H791" s="67"/>
      <c r="I791" s="53"/>
      <c r="J791" s="51"/>
      <c r="K791" s="51"/>
    </row>
    <row r="792">
      <c r="D792" s="55"/>
      <c r="E792" s="67"/>
      <c r="F792" s="67"/>
      <c r="G792" s="67"/>
      <c r="H792" s="67"/>
      <c r="I792" s="53"/>
      <c r="J792" s="51"/>
      <c r="K792" s="51"/>
    </row>
    <row r="793">
      <c r="D793" s="55"/>
      <c r="E793" s="67"/>
      <c r="F793" s="67"/>
      <c r="G793" s="67"/>
      <c r="H793" s="67"/>
      <c r="I793" s="53"/>
      <c r="J793" s="51"/>
      <c r="K793" s="51"/>
    </row>
    <row r="794">
      <c r="D794" s="55"/>
      <c r="E794" s="67"/>
      <c r="F794" s="67"/>
      <c r="G794" s="67"/>
      <c r="H794" s="67"/>
      <c r="I794" s="53"/>
      <c r="J794" s="51"/>
      <c r="K794" s="51"/>
    </row>
    <row r="795">
      <c r="D795" s="55"/>
      <c r="E795" s="67"/>
      <c r="F795" s="67"/>
      <c r="G795" s="67"/>
      <c r="H795" s="67"/>
      <c r="I795" s="53"/>
      <c r="J795" s="51"/>
      <c r="K795" s="51"/>
    </row>
    <row r="796">
      <c r="D796" s="55"/>
      <c r="E796" s="67"/>
      <c r="F796" s="67"/>
      <c r="G796" s="67"/>
      <c r="H796" s="67"/>
      <c r="I796" s="53"/>
      <c r="J796" s="51"/>
      <c r="K796" s="51"/>
    </row>
    <row r="797">
      <c r="D797" s="55"/>
      <c r="E797" s="67"/>
      <c r="F797" s="67"/>
      <c r="G797" s="67"/>
      <c r="H797" s="67"/>
      <c r="I797" s="53"/>
      <c r="J797" s="51"/>
      <c r="K797" s="51"/>
    </row>
    <row r="798">
      <c r="D798" s="55"/>
      <c r="E798" s="67"/>
      <c r="F798" s="67"/>
      <c r="G798" s="67"/>
      <c r="H798" s="67"/>
      <c r="I798" s="53"/>
      <c r="J798" s="51"/>
      <c r="K798" s="51"/>
    </row>
    <row r="799">
      <c r="D799" s="55"/>
      <c r="E799" s="67"/>
      <c r="F799" s="67"/>
      <c r="G799" s="67"/>
      <c r="H799" s="67"/>
      <c r="I799" s="53"/>
      <c r="J799" s="51"/>
      <c r="K799" s="51"/>
    </row>
    <row r="800">
      <c r="D800" s="55"/>
      <c r="E800" s="67"/>
      <c r="F800" s="67"/>
      <c r="G800" s="67"/>
      <c r="H800" s="67"/>
      <c r="I800" s="53"/>
      <c r="J800" s="51"/>
      <c r="K800" s="51"/>
    </row>
    <row r="801">
      <c r="D801" s="55"/>
      <c r="E801" s="67"/>
      <c r="F801" s="67"/>
      <c r="G801" s="67"/>
      <c r="H801" s="67"/>
      <c r="I801" s="53"/>
      <c r="J801" s="51"/>
      <c r="K801" s="51"/>
    </row>
    <row r="802">
      <c r="D802" s="55"/>
      <c r="E802" s="67"/>
      <c r="F802" s="67"/>
      <c r="G802" s="67"/>
      <c r="H802" s="67"/>
      <c r="I802" s="53"/>
      <c r="J802" s="51"/>
      <c r="K802" s="51"/>
    </row>
    <row r="803">
      <c r="D803" s="55"/>
      <c r="E803" s="67"/>
      <c r="F803" s="67"/>
      <c r="G803" s="67"/>
      <c r="H803" s="67"/>
      <c r="I803" s="53"/>
      <c r="J803" s="51"/>
      <c r="K803" s="51"/>
    </row>
    <row r="804">
      <c r="D804" s="55"/>
      <c r="E804" s="67"/>
      <c r="F804" s="67"/>
      <c r="G804" s="67"/>
      <c r="H804" s="67"/>
      <c r="I804" s="53"/>
      <c r="J804" s="51"/>
      <c r="K804" s="51"/>
    </row>
    <row r="805">
      <c r="D805" s="55"/>
      <c r="E805" s="67"/>
      <c r="F805" s="67"/>
      <c r="G805" s="67"/>
      <c r="H805" s="67"/>
      <c r="I805" s="53"/>
      <c r="J805" s="51"/>
      <c r="K805" s="51"/>
    </row>
    <row r="806">
      <c r="D806" s="55"/>
      <c r="E806" s="67"/>
      <c r="F806" s="67"/>
      <c r="G806" s="67"/>
      <c r="H806" s="67"/>
      <c r="I806" s="53"/>
      <c r="J806" s="51"/>
      <c r="K806" s="51"/>
    </row>
    <row r="807">
      <c r="D807" s="55"/>
      <c r="E807" s="67"/>
      <c r="F807" s="67"/>
      <c r="G807" s="67"/>
      <c r="H807" s="67"/>
      <c r="I807" s="53"/>
      <c r="J807" s="51"/>
      <c r="K807" s="51"/>
    </row>
    <row r="808">
      <c r="D808" s="55"/>
      <c r="E808" s="67"/>
      <c r="F808" s="67"/>
      <c r="G808" s="67"/>
      <c r="H808" s="67"/>
      <c r="I808" s="53"/>
      <c r="J808" s="51"/>
      <c r="K808" s="51"/>
    </row>
    <row r="809">
      <c r="D809" s="55"/>
      <c r="E809" s="67"/>
      <c r="F809" s="67"/>
      <c r="G809" s="67"/>
      <c r="H809" s="67"/>
      <c r="I809" s="53"/>
      <c r="J809" s="51"/>
      <c r="K809" s="51"/>
    </row>
    <row r="810">
      <c r="D810" s="55"/>
      <c r="E810" s="67"/>
      <c r="F810" s="67"/>
      <c r="G810" s="67"/>
      <c r="H810" s="67"/>
      <c r="I810" s="53"/>
      <c r="J810" s="51"/>
      <c r="K810" s="51"/>
    </row>
    <row r="811">
      <c r="D811" s="55"/>
      <c r="E811" s="67"/>
      <c r="F811" s="67"/>
      <c r="G811" s="67"/>
      <c r="H811" s="67"/>
      <c r="I811" s="53"/>
      <c r="J811" s="51"/>
      <c r="K811" s="51"/>
    </row>
    <row r="812">
      <c r="D812" s="55"/>
      <c r="E812" s="67"/>
      <c r="F812" s="67"/>
      <c r="G812" s="67"/>
      <c r="H812" s="67"/>
      <c r="I812" s="53"/>
      <c r="J812" s="51"/>
      <c r="K812" s="51"/>
    </row>
    <row r="813">
      <c r="D813" s="55"/>
      <c r="E813" s="67"/>
      <c r="F813" s="67"/>
      <c r="G813" s="67"/>
      <c r="H813" s="67"/>
      <c r="I813" s="53"/>
      <c r="J813" s="51"/>
      <c r="K813" s="51"/>
    </row>
    <row r="814">
      <c r="D814" s="55"/>
      <c r="E814" s="67"/>
      <c r="F814" s="67"/>
      <c r="G814" s="67"/>
      <c r="H814" s="67"/>
      <c r="I814" s="53"/>
      <c r="J814" s="51"/>
      <c r="K814" s="51"/>
    </row>
    <row r="815">
      <c r="D815" s="55"/>
      <c r="E815" s="67"/>
      <c r="F815" s="67"/>
      <c r="G815" s="67"/>
      <c r="H815" s="67"/>
      <c r="I815" s="53"/>
      <c r="J815" s="51"/>
      <c r="K815" s="51"/>
    </row>
    <row r="816">
      <c r="D816" s="55"/>
      <c r="E816" s="67"/>
      <c r="F816" s="67"/>
      <c r="G816" s="67"/>
      <c r="H816" s="67"/>
      <c r="I816" s="53"/>
      <c r="J816" s="51"/>
      <c r="K816" s="51"/>
    </row>
    <row r="817">
      <c r="D817" s="55"/>
      <c r="E817" s="67"/>
      <c r="F817" s="67"/>
      <c r="G817" s="67"/>
      <c r="H817" s="67"/>
      <c r="I817" s="53"/>
      <c r="J817" s="51"/>
      <c r="K817" s="51"/>
    </row>
    <row r="818">
      <c r="D818" s="55"/>
      <c r="E818" s="67"/>
      <c r="F818" s="67"/>
      <c r="G818" s="67"/>
      <c r="H818" s="67"/>
      <c r="I818" s="53"/>
      <c r="J818" s="51"/>
      <c r="K818" s="51"/>
    </row>
    <row r="819">
      <c r="D819" s="55"/>
      <c r="E819" s="67"/>
      <c r="F819" s="67"/>
      <c r="G819" s="67"/>
      <c r="H819" s="67"/>
      <c r="I819" s="53"/>
      <c r="J819" s="51"/>
      <c r="K819" s="51"/>
    </row>
    <row r="820">
      <c r="D820" s="55"/>
      <c r="E820" s="67"/>
      <c r="F820" s="67"/>
      <c r="G820" s="67"/>
      <c r="H820" s="67"/>
      <c r="I820" s="53"/>
      <c r="J820" s="51"/>
      <c r="K820" s="51"/>
    </row>
    <row r="821">
      <c r="D821" s="55"/>
      <c r="E821" s="67"/>
      <c r="F821" s="67"/>
      <c r="G821" s="67"/>
      <c r="H821" s="67"/>
      <c r="I821" s="53"/>
      <c r="J821" s="51"/>
      <c r="K821" s="51"/>
    </row>
    <row r="822">
      <c r="D822" s="55"/>
      <c r="E822" s="67"/>
      <c r="F822" s="67"/>
      <c r="G822" s="67"/>
      <c r="H822" s="67"/>
      <c r="I822" s="53"/>
      <c r="J822" s="51"/>
      <c r="K822" s="51"/>
    </row>
    <row r="823">
      <c r="D823" s="55"/>
      <c r="E823" s="67"/>
      <c r="F823" s="67"/>
      <c r="G823" s="67"/>
      <c r="H823" s="67"/>
      <c r="I823" s="53"/>
      <c r="J823" s="51"/>
      <c r="K823" s="51"/>
    </row>
    <row r="824">
      <c r="D824" s="55"/>
      <c r="E824" s="67"/>
      <c r="F824" s="67"/>
      <c r="G824" s="67"/>
      <c r="H824" s="67"/>
      <c r="I824" s="53"/>
      <c r="J824" s="51"/>
      <c r="K824" s="51"/>
    </row>
    <row r="825">
      <c r="D825" s="55"/>
      <c r="E825" s="67"/>
      <c r="F825" s="67"/>
      <c r="G825" s="67"/>
      <c r="H825" s="67"/>
      <c r="I825" s="53"/>
      <c r="J825" s="51"/>
      <c r="K825" s="51"/>
    </row>
    <row r="826">
      <c r="D826" s="55"/>
      <c r="E826" s="67"/>
      <c r="F826" s="67"/>
      <c r="G826" s="67"/>
      <c r="H826" s="67"/>
      <c r="I826" s="53"/>
      <c r="J826" s="51"/>
      <c r="K826" s="51"/>
    </row>
    <row r="827">
      <c r="D827" s="55"/>
      <c r="E827" s="67"/>
      <c r="F827" s="67"/>
      <c r="G827" s="67"/>
      <c r="H827" s="67"/>
      <c r="I827" s="53"/>
      <c r="J827" s="51"/>
      <c r="K827" s="51"/>
    </row>
    <row r="828">
      <c r="D828" s="55"/>
      <c r="E828" s="67"/>
      <c r="F828" s="67"/>
      <c r="G828" s="67"/>
      <c r="H828" s="67"/>
      <c r="I828" s="53"/>
      <c r="J828" s="51"/>
      <c r="K828" s="51"/>
    </row>
    <row r="829">
      <c r="D829" s="55"/>
      <c r="E829" s="67"/>
      <c r="F829" s="67"/>
      <c r="G829" s="67"/>
      <c r="H829" s="67"/>
      <c r="I829" s="53"/>
      <c r="J829" s="51"/>
      <c r="K829" s="51"/>
    </row>
    <row r="830">
      <c r="D830" s="55"/>
      <c r="E830" s="67"/>
      <c r="F830" s="67"/>
      <c r="G830" s="67"/>
      <c r="H830" s="67"/>
      <c r="I830" s="53"/>
      <c r="J830" s="51"/>
      <c r="K830" s="51"/>
    </row>
    <row r="831">
      <c r="D831" s="55"/>
      <c r="E831" s="67"/>
      <c r="F831" s="67"/>
      <c r="G831" s="67"/>
      <c r="H831" s="67"/>
      <c r="I831" s="53"/>
      <c r="J831" s="51"/>
      <c r="K831" s="51"/>
    </row>
    <row r="832">
      <c r="D832" s="55"/>
      <c r="E832" s="67"/>
      <c r="F832" s="67"/>
      <c r="G832" s="67"/>
      <c r="H832" s="67"/>
      <c r="I832" s="53"/>
      <c r="J832" s="51"/>
      <c r="K832" s="51"/>
    </row>
    <row r="833">
      <c r="D833" s="55"/>
      <c r="E833" s="67"/>
      <c r="F833" s="67"/>
      <c r="G833" s="67"/>
      <c r="H833" s="67"/>
      <c r="I833" s="53"/>
      <c r="J833" s="51"/>
      <c r="K833" s="51"/>
    </row>
    <row r="834">
      <c r="D834" s="55"/>
      <c r="E834" s="67"/>
      <c r="F834" s="67"/>
      <c r="G834" s="67"/>
      <c r="H834" s="67"/>
      <c r="I834" s="53"/>
      <c r="J834" s="51"/>
      <c r="K834" s="51"/>
    </row>
    <row r="835">
      <c r="D835" s="55"/>
      <c r="E835" s="67"/>
      <c r="F835" s="67"/>
      <c r="G835" s="67"/>
      <c r="H835" s="67"/>
      <c r="I835" s="53"/>
      <c r="J835" s="51"/>
      <c r="K835" s="51"/>
    </row>
    <row r="836">
      <c r="D836" s="55"/>
      <c r="E836" s="67"/>
      <c r="F836" s="67"/>
      <c r="G836" s="67"/>
      <c r="H836" s="67"/>
      <c r="I836" s="53"/>
      <c r="J836" s="51"/>
      <c r="K836" s="51"/>
    </row>
    <row r="837">
      <c r="D837" s="55"/>
      <c r="E837" s="67"/>
      <c r="F837" s="67"/>
      <c r="G837" s="67"/>
      <c r="H837" s="67"/>
      <c r="I837" s="53"/>
      <c r="J837" s="51"/>
      <c r="K837" s="51"/>
    </row>
    <row r="838">
      <c r="D838" s="55"/>
      <c r="E838" s="67"/>
      <c r="F838" s="67"/>
      <c r="G838" s="67"/>
      <c r="H838" s="67"/>
      <c r="I838" s="53"/>
      <c r="J838" s="51"/>
      <c r="K838" s="51"/>
    </row>
    <row r="839">
      <c r="D839" s="55"/>
      <c r="E839" s="67"/>
      <c r="F839" s="67"/>
      <c r="G839" s="67"/>
      <c r="H839" s="67"/>
      <c r="I839" s="53"/>
      <c r="J839" s="51"/>
      <c r="K839" s="51"/>
    </row>
    <row r="840">
      <c r="D840" s="55"/>
      <c r="E840" s="67"/>
      <c r="F840" s="67"/>
      <c r="G840" s="67"/>
      <c r="H840" s="67"/>
      <c r="I840" s="53"/>
      <c r="J840" s="51"/>
      <c r="K840" s="51"/>
    </row>
    <row r="841">
      <c r="D841" s="55"/>
      <c r="E841" s="67"/>
      <c r="F841" s="67"/>
      <c r="G841" s="67"/>
      <c r="H841" s="67"/>
      <c r="I841" s="53"/>
      <c r="J841" s="51"/>
      <c r="K841" s="51"/>
    </row>
    <row r="842">
      <c r="D842" s="55"/>
      <c r="E842" s="67"/>
      <c r="F842" s="67"/>
      <c r="G842" s="67"/>
      <c r="H842" s="67"/>
      <c r="I842" s="53"/>
      <c r="J842" s="51"/>
      <c r="K842" s="51"/>
    </row>
    <row r="843">
      <c r="D843" s="55"/>
      <c r="E843" s="67"/>
      <c r="F843" s="67"/>
      <c r="G843" s="67"/>
      <c r="H843" s="67"/>
      <c r="I843" s="53"/>
      <c r="J843" s="51"/>
      <c r="K843" s="51"/>
    </row>
    <row r="844">
      <c r="D844" s="55"/>
      <c r="E844" s="67"/>
      <c r="F844" s="67"/>
      <c r="G844" s="67"/>
      <c r="H844" s="67"/>
      <c r="I844" s="53"/>
      <c r="J844" s="51"/>
      <c r="K844" s="51"/>
    </row>
    <row r="845">
      <c r="D845" s="55"/>
      <c r="E845" s="67"/>
      <c r="F845" s="67"/>
      <c r="G845" s="67"/>
      <c r="H845" s="67"/>
      <c r="I845" s="53"/>
      <c r="J845" s="51"/>
      <c r="K845" s="51"/>
    </row>
    <row r="846">
      <c r="D846" s="55"/>
      <c r="E846" s="67"/>
      <c r="F846" s="67"/>
      <c r="G846" s="67"/>
      <c r="H846" s="67"/>
      <c r="I846" s="53"/>
      <c r="J846" s="51"/>
      <c r="K846" s="51"/>
    </row>
    <row r="847">
      <c r="D847" s="55"/>
      <c r="E847" s="67"/>
      <c r="F847" s="67"/>
      <c r="G847" s="67"/>
      <c r="H847" s="67"/>
      <c r="I847" s="53"/>
      <c r="J847" s="51"/>
      <c r="K847" s="51"/>
    </row>
    <row r="848">
      <c r="D848" s="55"/>
      <c r="E848" s="67"/>
      <c r="F848" s="67"/>
      <c r="G848" s="67"/>
      <c r="H848" s="67"/>
      <c r="I848" s="53"/>
      <c r="J848" s="51"/>
      <c r="K848" s="51"/>
    </row>
    <row r="849">
      <c r="D849" s="55"/>
      <c r="E849" s="67"/>
      <c r="F849" s="67"/>
      <c r="G849" s="67"/>
      <c r="H849" s="67"/>
      <c r="I849" s="53"/>
      <c r="J849" s="51"/>
      <c r="K849" s="51"/>
    </row>
    <row r="850">
      <c r="D850" s="55"/>
      <c r="E850" s="67"/>
      <c r="F850" s="67"/>
      <c r="G850" s="67"/>
      <c r="H850" s="67"/>
      <c r="I850" s="53"/>
      <c r="J850" s="51"/>
      <c r="K850" s="51"/>
    </row>
    <row r="851">
      <c r="D851" s="55"/>
      <c r="E851" s="67"/>
      <c r="F851" s="67"/>
      <c r="G851" s="67"/>
      <c r="H851" s="67"/>
      <c r="I851" s="53"/>
      <c r="J851" s="51"/>
      <c r="K851" s="51"/>
    </row>
    <row r="852">
      <c r="D852" s="55"/>
      <c r="E852" s="67"/>
      <c r="F852" s="67"/>
      <c r="G852" s="67"/>
      <c r="H852" s="67"/>
      <c r="I852" s="53"/>
      <c r="J852" s="51"/>
      <c r="K852" s="51"/>
    </row>
    <row r="853">
      <c r="D853" s="55"/>
      <c r="E853" s="67"/>
      <c r="F853" s="67"/>
      <c r="G853" s="67"/>
      <c r="H853" s="67"/>
      <c r="I853" s="53"/>
      <c r="J853" s="51"/>
      <c r="K853" s="51"/>
    </row>
    <row r="854">
      <c r="D854" s="55"/>
      <c r="E854" s="67"/>
      <c r="F854" s="67"/>
      <c r="G854" s="67"/>
      <c r="H854" s="67"/>
      <c r="I854" s="53"/>
      <c r="J854" s="51"/>
      <c r="K854" s="51"/>
    </row>
    <row r="855">
      <c r="D855" s="55"/>
      <c r="E855" s="67"/>
      <c r="F855" s="67"/>
      <c r="G855" s="67"/>
      <c r="H855" s="67"/>
      <c r="I855" s="53"/>
      <c r="J855" s="51"/>
      <c r="K855" s="51"/>
    </row>
    <row r="856">
      <c r="D856" s="55"/>
      <c r="E856" s="67"/>
      <c r="F856" s="67"/>
      <c r="G856" s="67"/>
      <c r="H856" s="67"/>
      <c r="I856" s="53"/>
      <c r="J856" s="51"/>
      <c r="K856" s="51"/>
    </row>
    <row r="857">
      <c r="D857" s="55"/>
      <c r="E857" s="67"/>
      <c r="F857" s="67"/>
      <c r="G857" s="67"/>
      <c r="H857" s="67"/>
      <c r="I857" s="53"/>
      <c r="J857" s="51"/>
      <c r="K857" s="51"/>
    </row>
    <row r="858">
      <c r="D858" s="55"/>
      <c r="E858" s="67"/>
      <c r="F858" s="67"/>
      <c r="G858" s="67"/>
      <c r="H858" s="67"/>
      <c r="I858" s="53"/>
      <c r="J858" s="51"/>
      <c r="K858" s="51"/>
    </row>
    <row r="859">
      <c r="D859" s="55"/>
      <c r="E859" s="67"/>
      <c r="F859" s="67"/>
      <c r="G859" s="67"/>
      <c r="H859" s="67"/>
      <c r="I859" s="53"/>
      <c r="J859" s="51"/>
      <c r="K859" s="51"/>
    </row>
    <row r="860">
      <c r="D860" s="55"/>
      <c r="E860" s="67"/>
      <c r="F860" s="67"/>
      <c r="G860" s="67"/>
      <c r="H860" s="67"/>
      <c r="I860" s="53"/>
      <c r="J860" s="51"/>
      <c r="K860" s="51"/>
    </row>
    <row r="861">
      <c r="D861" s="55"/>
      <c r="E861" s="67"/>
      <c r="F861" s="67"/>
      <c r="G861" s="67"/>
      <c r="H861" s="67"/>
      <c r="I861" s="53"/>
      <c r="J861" s="51"/>
      <c r="K861" s="51"/>
    </row>
    <row r="862">
      <c r="D862" s="55"/>
      <c r="E862" s="67"/>
      <c r="F862" s="67"/>
      <c r="G862" s="67"/>
      <c r="H862" s="67"/>
      <c r="I862" s="53"/>
      <c r="J862" s="51"/>
      <c r="K862" s="51"/>
    </row>
    <row r="863">
      <c r="D863" s="55"/>
      <c r="E863" s="67"/>
      <c r="F863" s="67"/>
      <c r="G863" s="67"/>
      <c r="H863" s="67"/>
      <c r="I863" s="53"/>
      <c r="J863" s="51"/>
      <c r="K863" s="51"/>
    </row>
    <row r="864">
      <c r="D864" s="55"/>
      <c r="E864" s="67"/>
      <c r="F864" s="67"/>
      <c r="G864" s="67"/>
      <c r="H864" s="67"/>
      <c r="I864" s="53"/>
      <c r="J864" s="51"/>
      <c r="K864" s="51"/>
    </row>
    <row r="865">
      <c r="D865" s="55"/>
      <c r="E865" s="67"/>
      <c r="F865" s="67"/>
      <c r="G865" s="67"/>
      <c r="H865" s="67"/>
      <c r="I865" s="53"/>
      <c r="J865" s="51"/>
      <c r="K865" s="51"/>
    </row>
    <row r="866">
      <c r="D866" s="55"/>
      <c r="E866" s="67"/>
      <c r="F866" s="67"/>
      <c r="G866" s="67"/>
      <c r="H866" s="67"/>
      <c r="I866" s="53"/>
      <c r="J866" s="51"/>
      <c r="K866" s="51"/>
    </row>
    <row r="867">
      <c r="D867" s="55"/>
      <c r="E867" s="67"/>
      <c r="F867" s="67"/>
      <c r="G867" s="67"/>
      <c r="H867" s="67"/>
      <c r="I867" s="53"/>
      <c r="J867" s="51"/>
      <c r="K867" s="51"/>
    </row>
    <row r="868">
      <c r="D868" s="55"/>
      <c r="E868" s="67"/>
      <c r="F868" s="67"/>
      <c r="G868" s="67"/>
      <c r="H868" s="67"/>
      <c r="I868" s="53"/>
      <c r="J868" s="51"/>
      <c r="K868" s="51"/>
    </row>
    <row r="869">
      <c r="D869" s="55"/>
      <c r="E869" s="67"/>
      <c r="F869" s="67"/>
      <c r="G869" s="67"/>
      <c r="H869" s="67"/>
      <c r="I869" s="53"/>
      <c r="J869" s="51"/>
      <c r="K869" s="51"/>
    </row>
    <row r="870">
      <c r="D870" s="55"/>
      <c r="E870" s="67"/>
      <c r="F870" s="67"/>
      <c r="G870" s="67"/>
      <c r="H870" s="67"/>
      <c r="I870" s="53"/>
      <c r="J870" s="51"/>
      <c r="K870" s="51"/>
    </row>
    <row r="871">
      <c r="D871" s="55"/>
      <c r="E871" s="67"/>
      <c r="F871" s="67"/>
      <c r="G871" s="67"/>
      <c r="H871" s="67"/>
      <c r="I871" s="53"/>
      <c r="J871" s="51"/>
      <c r="K871" s="51"/>
    </row>
    <row r="872">
      <c r="D872" s="55"/>
      <c r="E872" s="67"/>
      <c r="F872" s="67"/>
      <c r="G872" s="67"/>
      <c r="H872" s="67"/>
      <c r="I872" s="53"/>
      <c r="J872" s="51"/>
      <c r="K872" s="51"/>
    </row>
    <row r="873">
      <c r="D873" s="55"/>
      <c r="E873" s="67"/>
      <c r="F873" s="67"/>
      <c r="G873" s="67"/>
      <c r="H873" s="67"/>
      <c r="I873" s="53"/>
      <c r="J873" s="51"/>
      <c r="K873" s="51"/>
    </row>
    <row r="874">
      <c r="D874" s="55"/>
      <c r="E874" s="67"/>
      <c r="F874" s="67"/>
      <c r="G874" s="67"/>
      <c r="H874" s="67"/>
      <c r="I874" s="53"/>
      <c r="J874" s="51"/>
      <c r="K874" s="51"/>
    </row>
    <row r="875">
      <c r="D875" s="55"/>
      <c r="E875" s="67"/>
      <c r="F875" s="67"/>
      <c r="G875" s="67"/>
      <c r="H875" s="67"/>
      <c r="I875" s="53"/>
      <c r="J875" s="51"/>
      <c r="K875" s="51"/>
    </row>
    <row r="876">
      <c r="D876" s="55"/>
      <c r="E876" s="67"/>
      <c r="F876" s="67"/>
      <c r="G876" s="67"/>
      <c r="H876" s="67"/>
      <c r="I876" s="53"/>
      <c r="J876" s="51"/>
      <c r="K876" s="51"/>
    </row>
    <row r="877">
      <c r="D877" s="55"/>
      <c r="E877" s="67"/>
      <c r="F877" s="67"/>
      <c r="G877" s="67"/>
      <c r="H877" s="67"/>
      <c r="I877" s="53"/>
      <c r="J877" s="51"/>
      <c r="K877" s="51"/>
    </row>
    <row r="878">
      <c r="D878" s="55"/>
      <c r="E878" s="67"/>
      <c r="F878" s="67"/>
      <c r="G878" s="67"/>
      <c r="H878" s="67"/>
      <c r="I878" s="53"/>
      <c r="J878" s="51"/>
      <c r="K878" s="51"/>
    </row>
    <row r="879">
      <c r="D879" s="55"/>
      <c r="E879" s="67"/>
      <c r="F879" s="67"/>
      <c r="G879" s="67"/>
      <c r="H879" s="67"/>
      <c r="I879" s="53"/>
      <c r="J879" s="51"/>
      <c r="K879" s="51"/>
    </row>
    <row r="880">
      <c r="D880" s="55"/>
      <c r="E880" s="67"/>
      <c r="F880" s="67"/>
      <c r="G880" s="67"/>
      <c r="H880" s="67"/>
      <c r="I880" s="53"/>
      <c r="J880" s="51"/>
      <c r="K880" s="51"/>
    </row>
    <row r="881">
      <c r="D881" s="55"/>
      <c r="E881" s="67"/>
      <c r="F881" s="67"/>
      <c r="G881" s="67"/>
      <c r="H881" s="67"/>
      <c r="I881" s="53"/>
      <c r="J881" s="51"/>
      <c r="K881" s="51"/>
    </row>
    <row r="882">
      <c r="D882" s="55"/>
      <c r="E882" s="67"/>
      <c r="F882" s="67"/>
      <c r="G882" s="67"/>
      <c r="H882" s="67"/>
      <c r="I882" s="53"/>
      <c r="J882" s="51"/>
      <c r="K882" s="51"/>
    </row>
    <row r="883">
      <c r="D883" s="55"/>
      <c r="E883" s="67"/>
      <c r="F883" s="67"/>
      <c r="G883" s="67"/>
      <c r="H883" s="67"/>
      <c r="I883" s="53"/>
      <c r="J883" s="51"/>
      <c r="K883" s="51"/>
    </row>
    <row r="884">
      <c r="D884" s="55"/>
      <c r="E884" s="67"/>
      <c r="F884" s="67"/>
      <c r="G884" s="67"/>
      <c r="H884" s="67"/>
      <c r="I884" s="53"/>
      <c r="J884" s="51"/>
      <c r="K884" s="51"/>
    </row>
    <row r="885">
      <c r="D885" s="55"/>
      <c r="E885" s="67"/>
      <c r="F885" s="67"/>
      <c r="G885" s="67"/>
      <c r="H885" s="67"/>
      <c r="I885" s="53"/>
      <c r="J885" s="51"/>
      <c r="K885" s="51"/>
    </row>
    <row r="886">
      <c r="D886" s="55"/>
      <c r="E886" s="67"/>
      <c r="F886" s="67"/>
      <c r="G886" s="67"/>
      <c r="H886" s="67"/>
      <c r="I886" s="53"/>
      <c r="J886" s="51"/>
      <c r="K886" s="51"/>
    </row>
    <row r="887">
      <c r="D887" s="55"/>
      <c r="E887" s="67"/>
      <c r="F887" s="67"/>
      <c r="G887" s="67"/>
      <c r="H887" s="67"/>
      <c r="I887" s="53"/>
      <c r="J887" s="51"/>
      <c r="K887" s="51"/>
    </row>
    <row r="888">
      <c r="D888" s="55"/>
      <c r="E888" s="67"/>
      <c r="F888" s="67"/>
      <c r="G888" s="67"/>
      <c r="H888" s="67"/>
      <c r="I888" s="53"/>
      <c r="J888" s="51"/>
      <c r="K888" s="51"/>
    </row>
    <row r="889">
      <c r="D889" s="55"/>
      <c r="E889" s="67"/>
      <c r="F889" s="67"/>
      <c r="G889" s="67"/>
      <c r="H889" s="67"/>
      <c r="I889" s="53"/>
      <c r="J889" s="51"/>
      <c r="K889" s="51"/>
    </row>
    <row r="890">
      <c r="D890" s="55"/>
      <c r="E890" s="67"/>
      <c r="F890" s="67"/>
      <c r="G890" s="67"/>
      <c r="H890" s="67"/>
      <c r="I890" s="53"/>
      <c r="J890" s="51"/>
      <c r="K890" s="51"/>
    </row>
    <row r="891">
      <c r="D891" s="55"/>
      <c r="E891" s="67"/>
      <c r="F891" s="67"/>
      <c r="G891" s="67"/>
      <c r="H891" s="67"/>
      <c r="I891" s="53"/>
      <c r="J891" s="51"/>
      <c r="K891" s="51"/>
    </row>
    <row r="892">
      <c r="D892" s="55"/>
      <c r="E892" s="67"/>
      <c r="F892" s="67"/>
      <c r="G892" s="67"/>
      <c r="H892" s="67"/>
      <c r="I892" s="53"/>
      <c r="J892" s="51"/>
      <c r="K892" s="51"/>
    </row>
    <row r="893">
      <c r="D893" s="55"/>
      <c r="E893" s="67"/>
      <c r="F893" s="67"/>
      <c r="G893" s="67"/>
      <c r="H893" s="67"/>
      <c r="I893" s="53"/>
      <c r="J893" s="51"/>
      <c r="K893" s="51"/>
    </row>
    <row r="894">
      <c r="D894" s="55"/>
      <c r="E894" s="67"/>
      <c r="F894" s="67"/>
      <c r="G894" s="67"/>
      <c r="H894" s="67"/>
      <c r="I894" s="53"/>
      <c r="J894" s="51"/>
      <c r="K894" s="51"/>
    </row>
    <row r="895">
      <c r="D895" s="55"/>
      <c r="E895" s="67"/>
      <c r="F895" s="67"/>
      <c r="G895" s="67"/>
      <c r="H895" s="67"/>
      <c r="I895" s="53"/>
      <c r="J895" s="51"/>
      <c r="K895" s="51"/>
    </row>
    <row r="896">
      <c r="D896" s="55"/>
      <c r="E896" s="67"/>
      <c r="F896" s="67"/>
      <c r="G896" s="67"/>
      <c r="H896" s="67"/>
      <c r="I896" s="53"/>
      <c r="J896" s="51"/>
      <c r="K896" s="51"/>
    </row>
    <row r="897">
      <c r="D897" s="55"/>
      <c r="E897" s="67"/>
      <c r="F897" s="67"/>
      <c r="G897" s="67"/>
      <c r="H897" s="67"/>
      <c r="I897" s="53"/>
      <c r="J897" s="51"/>
      <c r="K897" s="51"/>
    </row>
    <row r="898">
      <c r="D898" s="55"/>
      <c r="E898" s="67"/>
      <c r="F898" s="67"/>
      <c r="G898" s="67"/>
      <c r="H898" s="67"/>
      <c r="I898" s="53"/>
      <c r="J898" s="51"/>
      <c r="K898" s="51"/>
    </row>
    <row r="899">
      <c r="D899" s="55"/>
      <c r="E899" s="67"/>
      <c r="F899" s="67"/>
      <c r="G899" s="67"/>
      <c r="H899" s="67"/>
      <c r="I899" s="53"/>
      <c r="J899" s="51"/>
      <c r="K899" s="51"/>
    </row>
    <row r="900">
      <c r="D900" s="55"/>
      <c r="E900" s="67"/>
      <c r="F900" s="67"/>
      <c r="G900" s="67"/>
      <c r="H900" s="67"/>
      <c r="I900" s="53"/>
      <c r="J900" s="51"/>
      <c r="K900" s="51"/>
    </row>
    <row r="901">
      <c r="D901" s="55"/>
      <c r="E901" s="67"/>
      <c r="F901" s="67"/>
      <c r="G901" s="67"/>
      <c r="H901" s="67"/>
      <c r="I901" s="53"/>
      <c r="J901" s="51"/>
      <c r="K901" s="51"/>
    </row>
    <row r="902">
      <c r="D902" s="55"/>
      <c r="E902" s="67"/>
      <c r="F902" s="67"/>
      <c r="G902" s="67"/>
      <c r="H902" s="67"/>
      <c r="I902" s="53"/>
      <c r="J902" s="51"/>
      <c r="K902" s="51"/>
    </row>
    <row r="903">
      <c r="D903" s="55"/>
      <c r="E903" s="67"/>
      <c r="F903" s="67"/>
      <c r="G903" s="67"/>
      <c r="H903" s="67"/>
      <c r="I903" s="53"/>
      <c r="J903" s="51"/>
      <c r="K903" s="51"/>
    </row>
    <row r="904">
      <c r="D904" s="55"/>
      <c r="E904" s="67"/>
      <c r="F904" s="67"/>
      <c r="G904" s="67"/>
      <c r="H904" s="67"/>
      <c r="I904" s="53"/>
      <c r="J904" s="51"/>
      <c r="K904" s="51"/>
    </row>
    <row r="905">
      <c r="D905" s="55"/>
      <c r="E905" s="67"/>
      <c r="F905" s="67"/>
      <c r="G905" s="67"/>
      <c r="H905" s="67"/>
      <c r="I905" s="53"/>
      <c r="J905" s="51"/>
      <c r="K905" s="51"/>
    </row>
    <row r="906">
      <c r="D906" s="55"/>
      <c r="E906" s="67"/>
      <c r="F906" s="67"/>
      <c r="G906" s="67"/>
      <c r="H906" s="67"/>
      <c r="I906" s="53"/>
      <c r="J906" s="51"/>
      <c r="K906" s="51"/>
    </row>
    <row r="907">
      <c r="D907" s="55"/>
      <c r="E907" s="67"/>
      <c r="F907" s="67"/>
      <c r="G907" s="67"/>
      <c r="H907" s="67"/>
      <c r="I907" s="53"/>
      <c r="J907" s="51"/>
      <c r="K907" s="51"/>
    </row>
    <row r="908">
      <c r="D908" s="55"/>
      <c r="E908" s="67"/>
      <c r="F908" s="67"/>
      <c r="G908" s="67"/>
      <c r="H908" s="67"/>
      <c r="I908" s="53"/>
      <c r="J908" s="51"/>
      <c r="K908" s="51"/>
    </row>
    <row r="909">
      <c r="D909" s="55"/>
      <c r="E909" s="67"/>
      <c r="F909" s="67"/>
      <c r="G909" s="67"/>
      <c r="H909" s="67"/>
      <c r="I909" s="53"/>
      <c r="J909" s="51"/>
      <c r="K909" s="51"/>
    </row>
    <row r="910">
      <c r="D910" s="55"/>
      <c r="E910" s="67"/>
      <c r="F910" s="67"/>
      <c r="G910" s="67"/>
      <c r="H910" s="67"/>
      <c r="I910" s="53"/>
      <c r="J910" s="51"/>
      <c r="K910" s="51"/>
    </row>
    <row r="911">
      <c r="D911" s="55"/>
      <c r="E911" s="67"/>
      <c r="F911" s="67"/>
      <c r="G911" s="67"/>
      <c r="H911" s="67"/>
      <c r="I911" s="53"/>
      <c r="J911" s="51"/>
      <c r="K911" s="51"/>
    </row>
    <row r="912">
      <c r="D912" s="55"/>
      <c r="E912" s="67"/>
      <c r="F912" s="67"/>
      <c r="G912" s="67"/>
      <c r="H912" s="67"/>
      <c r="I912" s="53"/>
      <c r="J912" s="51"/>
      <c r="K912" s="51"/>
    </row>
    <row r="913">
      <c r="D913" s="55"/>
      <c r="E913" s="67"/>
      <c r="F913" s="67"/>
      <c r="G913" s="67"/>
      <c r="H913" s="67"/>
      <c r="I913" s="53"/>
      <c r="J913" s="51"/>
      <c r="K913" s="51"/>
    </row>
    <row r="914">
      <c r="D914" s="55"/>
      <c r="E914" s="67"/>
      <c r="F914" s="67"/>
      <c r="G914" s="67"/>
      <c r="H914" s="67"/>
      <c r="I914" s="53"/>
      <c r="J914" s="51"/>
      <c r="K914" s="51"/>
    </row>
    <row r="915">
      <c r="D915" s="55"/>
      <c r="E915" s="67"/>
      <c r="F915" s="67"/>
      <c r="G915" s="67"/>
      <c r="H915" s="67"/>
      <c r="I915" s="53"/>
      <c r="J915" s="51"/>
      <c r="K915" s="51"/>
    </row>
    <row r="916">
      <c r="D916" s="55"/>
      <c r="E916" s="67"/>
      <c r="F916" s="67"/>
      <c r="G916" s="67"/>
      <c r="H916" s="67"/>
      <c r="I916" s="53"/>
      <c r="J916" s="51"/>
      <c r="K916" s="51"/>
    </row>
    <row r="917">
      <c r="D917" s="55"/>
      <c r="E917" s="67"/>
      <c r="F917" s="67"/>
      <c r="G917" s="67"/>
      <c r="H917" s="67"/>
      <c r="I917" s="53"/>
      <c r="J917" s="51"/>
      <c r="K917" s="51"/>
    </row>
    <row r="918">
      <c r="D918" s="55"/>
      <c r="E918" s="67"/>
      <c r="F918" s="67"/>
      <c r="G918" s="67"/>
      <c r="H918" s="67"/>
      <c r="I918" s="53"/>
      <c r="J918" s="51"/>
      <c r="K918" s="51"/>
    </row>
    <row r="919">
      <c r="D919" s="55"/>
      <c r="E919" s="67"/>
      <c r="F919" s="67"/>
      <c r="G919" s="67"/>
      <c r="H919" s="67"/>
      <c r="I919" s="53"/>
      <c r="J919" s="51"/>
      <c r="K919" s="51"/>
    </row>
    <row r="920">
      <c r="D920" s="55"/>
      <c r="E920" s="67"/>
      <c r="F920" s="67"/>
      <c r="G920" s="67"/>
      <c r="H920" s="67"/>
      <c r="I920" s="53"/>
      <c r="J920" s="51"/>
      <c r="K920" s="51"/>
    </row>
    <row r="921">
      <c r="D921" s="55"/>
      <c r="E921" s="67"/>
      <c r="F921" s="67"/>
      <c r="G921" s="67"/>
      <c r="H921" s="67"/>
      <c r="I921" s="53"/>
      <c r="J921" s="51"/>
      <c r="K921" s="51"/>
    </row>
    <row r="922">
      <c r="D922" s="55"/>
      <c r="E922" s="67"/>
      <c r="F922" s="67"/>
      <c r="G922" s="67"/>
      <c r="H922" s="67"/>
      <c r="I922" s="53"/>
      <c r="J922" s="51"/>
      <c r="K922" s="51"/>
    </row>
    <row r="923">
      <c r="D923" s="55"/>
      <c r="E923" s="67"/>
      <c r="F923" s="67"/>
      <c r="G923" s="67"/>
      <c r="H923" s="67"/>
      <c r="I923" s="53"/>
      <c r="J923" s="51"/>
      <c r="K923" s="51"/>
    </row>
    <row r="924">
      <c r="D924" s="55"/>
      <c r="E924" s="67"/>
      <c r="F924" s="67"/>
      <c r="G924" s="67"/>
      <c r="H924" s="67"/>
      <c r="I924" s="53"/>
      <c r="J924" s="51"/>
      <c r="K924" s="51"/>
    </row>
    <row r="925">
      <c r="D925" s="55"/>
      <c r="E925" s="67"/>
      <c r="F925" s="67"/>
      <c r="G925" s="67"/>
      <c r="H925" s="67"/>
      <c r="I925" s="53"/>
      <c r="J925" s="51"/>
      <c r="K925" s="51"/>
    </row>
    <row r="926">
      <c r="D926" s="55"/>
      <c r="E926" s="67"/>
      <c r="F926" s="67"/>
      <c r="G926" s="67"/>
      <c r="H926" s="67"/>
      <c r="I926" s="53"/>
      <c r="J926" s="51"/>
      <c r="K926" s="51"/>
    </row>
    <row r="927">
      <c r="D927" s="55"/>
      <c r="E927" s="67"/>
      <c r="F927" s="67"/>
      <c r="G927" s="67"/>
      <c r="H927" s="67"/>
      <c r="I927" s="53"/>
      <c r="J927" s="51"/>
      <c r="K927" s="51"/>
    </row>
    <row r="928">
      <c r="D928" s="55"/>
      <c r="E928" s="67"/>
      <c r="F928" s="67"/>
      <c r="G928" s="67"/>
      <c r="H928" s="67"/>
      <c r="I928" s="53"/>
      <c r="J928" s="51"/>
      <c r="K928" s="51"/>
    </row>
    <row r="929">
      <c r="D929" s="55"/>
      <c r="E929" s="67"/>
      <c r="F929" s="67"/>
      <c r="G929" s="67"/>
      <c r="H929" s="67"/>
      <c r="I929" s="53"/>
      <c r="J929" s="51"/>
      <c r="K929" s="51"/>
    </row>
    <row r="930">
      <c r="D930" s="55"/>
      <c r="E930" s="67"/>
      <c r="F930" s="67"/>
      <c r="G930" s="67"/>
      <c r="H930" s="67"/>
      <c r="I930" s="53"/>
      <c r="J930" s="51"/>
      <c r="K930" s="51"/>
    </row>
    <row r="931">
      <c r="D931" s="55"/>
      <c r="E931" s="67"/>
      <c r="F931" s="67"/>
      <c r="G931" s="67"/>
      <c r="H931" s="67"/>
      <c r="I931" s="53"/>
      <c r="J931" s="51"/>
      <c r="K931" s="51"/>
    </row>
    <row r="932">
      <c r="D932" s="55"/>
      <c r="E932" s="67"/>
      <c r="F932" s="67"/>
      <c r="G932" s="67"/>
      <c r="H932" s="67"/>
      <c r="I932" s="53"/>
      <c r="J932" s="51"/>
      <c r="K932" s="51"/>
    </row>
    <row r="933">
      <c r="D933" s="55"/>
      <c r="E933" s="67"/>
      <c r="F933" s="67"/>
      <c r="G933" s="67"/>
      <c r="H933" s="67"/>
      <c r="I933" s="53"/>
      <c r="J933" s="51"/>
      <c r="K933" s="51"/>
    </row>
    <row r="934">
      <c r="D934" s="55"/>
      <c r="E934" s="67"/>
      <c r="F934" s="67"/>
      <c r="G934" s="67"/>
      <c r="H934" s="67"/>
      <c r="I934" s="53"/>
      <c r="J934" s="51"/>
      <c r="K934" s="51"/>
    </row>
    <row r="935">
      <c r="D935" s="55"/>
      <c r="E935" s="67"/>
      <c r="F935" s="67"/>
      <c r="G935" s="67"/>
      <c r="H935" s="67"/>
      <c r="I935" s="53"/>
      <c r="J935" s="51"/>
      <c r="K935" s="51"/>
    </row>
    <row r="936">
      <c r="D936" s="55"/>
      <c r="E936" s="67"/>
      <c r="F936" s="67"/>
      <c r="G936" s="67"/>
      <c r="H936" s="67"/>
      <c r="I936" s="53"/>
      <c r="J936" s="51"/>
      <c r="K936" s="51"/>
    </row>
    <row r="937">
      <c r="D937" s="55"/>
      <c r="E937" s="67"/>
      <c r="F937" s="67"/>
      <c r="G937" s="67"/>
      <c r="H937" s="67"/>
      <c r="I937" s="53"/>
      <c r="J937" s="51"/>
      <c r="K937" s="51"/>
    </row>
    <row r="938">
      <c r="D938" s="55"/>
      <c r="E938" s="67"/>
      <c r="F938" s="67"/>
      <c r="G938" s="67"/>
      <c r="H938" s="67"/>
      <c r="I938" s="53"/>
      <c r="J938" s="51"/>
      <c r="K938" s="51"/>
    </row>
    <row r="939">
      <c r="D939" s="55"/>
      <c r="E939" s="67"/>
      <c r="F939" s="67"/>
      <c r="G939" s="67"/>
      <c r="H939" s="67"/>
      <c r="I939" s="53"/>
      <c r="J939" s="51"/>
      <c r="K939" s="51"/>
    </row>
    <row r="940">
      <c r="D940" s="55"/>
      <c r="E940" s="67"/>
      <c r="F940" s="67"/>
      <c r="G940" s="67"/>
      <c r="H940" s="67"/>
      <c r="I940" s="53"/>
      <c r="J940" s="51"/>
      <c r="K940" s="51"/>
    </row>
    <row r="941">
      <c r="D941" s="55"/>
      <c r="E941" s="67"/>
      <c r="F941" s="67"/>
      <c r="G941" s="67"/>
      <c r="H941" s="67"/>
      <c r="I941" s="53"/>
      <c r="J941" s="51"/>
      <c r="K941" s="51"/>
    </row>
    <row r="942">
      <c r="D942" s="55"/>
      <c r="E942" s="67"/>
      <c r="F942" s="67"/>
      <c r="G942" s="67"/>
      <c r="H942" s="67"/>
      <c r="I942" s="53"/>
      <c r="J942" s="51"/>
      <c r="K942" s="51"/>
    </row>
    <row r="943">
      <c r="D943" s="55"/>
      <c r="E943" s="67"/>
      <c r="F943" s="67"/>
      <c r="G943" s="67"/>
      <c r="H943" s="67"/>
      <c r="I943" s="53"/>
      <c r="J943" s="51"/>
      <c r="K943" s="51"/>
    </row>
    <row r="944">
      <c r="D944" s="55"/>
      <c r="E944" s="67"/>
      <c r="F944" s="67"/>
      <c r="G944" s="67"/>
      <c r="H944" s="67"/>
      <c r="I944" s="53"/>
      <c r="J944" s="51"/>
      <c r="K944" s="51"/>
    </row>
    <row r="945">
      <c r="D945" s="55"/>
      <c r="E945" s="67"/>
      <c r="F945" s="67"/>
      <c r="G945" s="67"/>
      <c r="H945" s="67"/>
      <c r="I945" s="53"/>
      <c r="J945" s="51"/>
      <c r="K945" s="51"/>
    </row>
    <row r="946">
      <c r="D946" s="55"/>
      <c r="E946" s="67"/>
      <c r="F946" s="67"/>
      <c r="G946" s="67"/>
      <c r="H946" s="67"/>
      <c r="I946" s="53"/>
      <c r="J946" s="51"/>
      <c r="K946" s="51"/>
    </row>
    <row r="947">
      <c r="D947" s="55"/>
      <c r="E947" s="67"/>
      <c r="F947" s="67"/>
      <c r="G947" s="67"/>
      <c r="H947" s="67"/>
      <c r="I947" s="53"/>
      <c r="J947" s="51"/>
      <c r="K947" s="51"/>
    </row>
    <row r="948">
      <c r="D948" s="55"/>
      <c r="E948" s="67"/>
      <c r="F948" s="67"/>
      <c r="G948" s="67"/>
      <c r="H948" s="67"/>
      <c r="I948" s="53"/>
      <c r="J948" s="51"/>
      <c r="K948" s="51"/>
    </row>
    <row r="949">
      <c r="D949" s="55"/>
      <c r="E949" s="67"/>
      <c r="F949" s="67"/>
      <c r="G949" s="67"/>
      <c r="H949" s="67"/>
      <c r="I949" s="53"/>
      <c r="J949" s="51"/>
      <c r="K949" s="51"/>
    </row>
    <row r="950">
      <c r="D950" s="55"/>
      <c r="E950" s="67"/>
      <c r="F950" s="67"/>
      <c r="G950" s="67"/>
      <c r="H950" s="67"/>
      <c r="I950" s="53"/>
      <c r="J950" s="51"/>
      <c r="K950" s="51"/>
    </row>
    <row r="951">
      <c r="D951" s="55"/>
      <c r="E951" s="67"/>
      <c r="F951" s="67"/>
      <c r="G951" s="67"/>
      <c r="H951" s="67"/>
      <c r="I951" s="53"/>
      <c r="J951" s="51"/>
      <c r="K951" s="51"/>
    </row>
    <row r="952">
      <c r="D952" s="55"/>
      <c r="E952" s="67"/>
      <c r="F952" s="67"/>
      <c r="G952" s="67"/>
      <c r="H952" s="67"/>
      <c r="I952" s="53"/>
      <c r="J952" s="51"/>
      <c r="K952" s="51"/>
    </row>
    <row r="953">
      <c r="D953" s="55"/>
      <c r="E953" s="67"/>
      <c r="F953" s="67"/>
      <c r="G953" s="67"/>
      <c r="H953" s="67"/>
      <c r="I953" s="53"/>
      <c r="J953" s="51"/>
      <c r="K953" s="51"/>
    </row>
    <row r="954">
      <c r="D954" s="55"/>
      <c r="E954" s="67"/>
      <c r="F954" s="67"/>
      <c r="G954" s="67"/>
      <c r="H954" s="67"/>
      <c r="I954" s="53"/>
      <c r="J954" s="51"/>
      <c r="K954" s="51"/>
    </row>
    <row r="955">
      <c r="D955" s="55"/>
      <c r="E955" s="67"/>
      <c r="F955" s="67"/>
      <c r="G955" s="67"/>
      <c r="H955" s="67"/>
      <c r="I955" s="53"/>
      <c r="J955" s="51"/>
      <c r="K955" s="51"/>
    </row>
    <row r="956">
      <c r="D956" s="55"/>
      <c r="E956" s="67"/>
      <c r="F956" s="67"/>
      <c r="G956" s="67"/>
      <c r="H956" s="67"/>
      <c r="I956" s="53"/>
      <c r="J956" s="51"/>
      <c r="K956" s="51"/>
    </row>
    <row r="957">
      <c r="D957" s="55"/>
      <c r="E957" s="67"/>
      <c r="F957" s="67"/>
      <c r="G957" s="67"/>
      <c r="H957" s="67"/>
      <c r="I957" s="53"/>
      <c r="J957" s="51"/>
      <c r="K957" s="51"/>
    </row>
    <row r="958">
      <c r="D958" s="55"/>
      <c r="E958" s="67"/>
      <c r="F958" s="67"/>
      <c r="G958" s="67"/>
      <c r="H958" s="67"/>
      <c r="I958" s="53"/>
      <c r="J958" s="51"/>
      <c r="K958" s="51"/>
    </row>
    <row r="959">
      <c r="D959" s="55"/>
      <c r="E959" s="67"/>
      <c r="F959" s="67"/>
      <c r="G959" s="67"/>
      <c r="H959" s="67"/>
      <c r="I959" s="53"/>
      <c r="J959" s="51"/>
      <c r="K959" s="51"/>
    </row>
    <row r="960">
      <c r="D960" s="55"/>
      <c r="E960" s="67"/>
      <c r="F960" s="67"/>
      <c r="G960" s="67"/>
      <c r="H960" s="67"/>
      <c r="I960" s="53"/>
      <c r="J960" s="51"/>
      <c r="K960" s="51"/>
    </row>
    <row r="961">
      <c r="D961" s="55"/>
      <c r="E961" s="67"/>
      <c r="F961" s="67"/>
      <c r="G961" s="67"/>
      <c r="H961" s="67"/>
      <c r="I961" s="53"/>
      <c r="J961" s="51"/>
      <c r="K961" s="51"/>
    </row>
    <row r="962">
      <c r="D962" s="55"/>
      <c r="E962" s="67"/>
      <c r="F962" s="67"/>
      <c r="G962" s="67"/>
      <c r="H962" s="67"/>
      <c r="I962" s="53"/>
      <c r="J962" s="51"/>
      <c r="K962" s="51"/>
    </row>
    <row r="963">
      <c r="D963" s="55"/>
      <c r="E963" s="67"/>
      <c r="F963" s="67"/>
      <c r="G963" s="67"/>
      <c r="H963" s="67"/>
      <c r="I963" s="53"/>
      <c r="J963" s="51"/>
      <c r="K963" s="51"/>
    </row>
    <row r="964">
      <c r="D964" s="55"/>
      <c r="E964" s="67"/>
      <c r="F964" s="67"/>
      <c r="G964" s="67"/>
      <c r="H964" s="67"/>
      <c r="I964" s="53"/>
      <c r="J964" s="51"/>
      <c r="K964" s="51"/>
    </row>
    <row r="965">
      <c r="D965" s="55"/>
      <c r="E965" s="67"/>
      <c r="F965" s="67"/>
      <c r="G965" s="67"/>
      <c r="H965" s="67"/>
      <c r="I965" s="53"/>
      <c r="J965" s="51"/>
      <c r="K965" s="51"/>
    </row>
    <row r="966">
      <c r="D966" s="55"/>
      <c r="E966" s="67"/>
      <c r="F966" s="67"/>
      <c r="G966" s="67"/>
      <c r="H966" s="67"/>
      <c r="I966" s="53"/>
      <c r="J966" s="51"/>
      <c r="K966" s="51"/>
    </row>
    <row r="967">
      <c r="D967" s="55"/>
      <c r="E967" s="67"/>
      <c r="F967" s="67"/>
      <c r="G967" s="67"/>
      <c r="H967" s="67"/>
      <c r="I967" s="53"/>
      <c r="J967" s="51"/>
      <c r="K967" s="51"/>
    </row>
    <row r="968">
      <c r="D968" s="55"/>
      <c r="E968" s="67"/>
      <c r="F968" s="67"/>
      <c r="G968" s="67"/>
      <c r="H968" s="67"/>
      <c r="I968" s="53"/>
      <c r="J968" s="51"/>
      <c r="K968" s="51"/>
    </row>
    <row r="969">
      <c r="D969" s="55"/>
      <c r="E969" s="67"/>
      <c r="F969" s="67"/>
      <c r="G969" s="67"/>
      <c r="H969" s="67"/>
      <c r="I969" s="53"/>
      <c r="J969" s="51"/>
      <c r="K969" s="51"/>
    </row>
    <row r="970">
      <c r="D970" s="55"/>
      <c r="E970" s="67"/>
      <c r="F970" s="67"/>
      <c r="G970" s="67"/>
      <c r="H970" s="67"/>
      <c r="I970" s="53"/>
      <c r="J970" s="51"/>
      <c r="K970" s="51"/>
    </row>
    <row r="971">
      <c r="D971" s="55"/>
      <c r="E971" s="67"/>
      <c r="F971" s="67"/>
      <c r="G971" s="67"/>
      <c r="H971" s="67"/>
      <c r="I971" s="53"/>
      <c r="J971" s="51"/>
      <c r="K971" s="51"/>
    </row>
    <row r="972">
      <c r="D972" s="55"/>
      <c r="E972" s="67"/>
      <c r="F972" s="67"/>
      <c r="G972" s="67"/>
      <c r="H972" s="67"/>
      <c r="I972" s="53"/>
      <c r="J972" s="51"/>
      <c r="K972" s="51"/>
    </row>
    <row r="973">
      <c r="D973" s="55"/>
      <c r="E973" s="67"/>
      <c r="F973" s="67"/>
      <c r="G973" s="67"/>
      <c r="H973" s="67"/>
      <c r="I973" s="53"/>
      <c r="J973" s="51"/>
      <c r="K973" s="51"/>
    </row>
    <row r="974">
      <c r="D974" s="55"/>
      <c r="E974" s="67"/>
      <c r="F974" s="67"/>
      <c r="G974" s="67"/>
      <c r="H974" s="67"/>
      <c r="I974" s="53"/>
      <c r="J974" s="51"/>
      <c r="K974" s="51"/>
    </row>
    <row r="975">
      <c r="D975" s="55"/>
      <c r="E975" s="67"/>
      <c r="F975" s="67"/>
      <c r="G975" s="67"/>
      <c r="H975" s="67"/>
      <c r="I975" s="53"/>
      <c r="J975" s="51"/>
      <c r="K975" s="51"/>
    </row>
    <row r="976">
      <c r="D976" s="55"/>
      <c r="E976" s="67"/>
      <c r="F976" s="67"/>
      <c r="G976" s="67"/>
      <c r="H976" s="67"/>
      <c r="I976" s="53"/>
      <c r="J976" s="51"/>
      <c r="K976" s="51"/>
    </row>
    <row r="977">
      <c r="D977" s="55"/>
      <c r="E977" s="67"/>
      <c r="F977" s="67"/>
      <c r="G977" s="67"/>
      <c r="H977" s="67"/>
      <c r="I977" s="53"/>
      <c r="J977" s="51"/>
      <c r="K977" s="51"/>
    </row>
    <row r="978">
      <c r="D978" s="55"/>
      <c r="E978" s="67"/>
      <c r="F978" s="67"/>
      <c r="G978" s="67"/>
      <c r="H978" s="67"/>
      <c r="I978" s="53"/>
      <c r="J978" s="51"/>
      <c r="K978" s="51"/>
    </row>
    <row r="979">
      <c r="D979" s="55"/>
      <c r="E979" s="67"/>
      <c r="F979" s="67"/>
      <c r="G979" s="67"/>
      <c r="H979" s="67"/>
      <c r="I979" s="53"/>
      <c r="J979" s="51"/>
      <c r="K979" s="51"/>
    </row>
    <row r="980">
      <c r="D980" s="55"/>
      <c r="E980" s="67"/>
      <c r="F980" s="67"/>
      <c r="G980" s="67"/>
      <c r="H980" s="67"/>
      <c r="I980" s="53"/>
      <c r="J980" s="51"/>
      <c r="K980" s="51"/>
    </row>
    <row r="981">
      <c r="D981" s="55"/>
      <c r="E981" s="67"/>
      <c r="F981" s="67"/>
      <c r="G981" s="67"/>
      <c r="H981" s="67"/>
      <c r="I981" s="53"/>
      <c r="J981" s="51"/>
      <c r="K981" s="51"/>
    </row>
    <row r="982">
      <c r="D982" s="55"/>
      <c r="E982" s="67"/>
      <c r="F982" s="67"/>
      <c r="G982" s="67"/>
      <c r="H982" s="67"/>
      <c r="I982" s="53"/>
      <c r="J982" s="51"/>
      <c r="K982" s="51"/>
    </row>
    <row r="983">
      <c r="D983" s="55"/>
      <c r="E983" s="67"/>
      <c r="F983" s="67"/>
      <c r="G983" s="67"/>
      <c r="H983" s="67"/>
      <c r="I983" s="53"/>
      <c r="J983" s="51"/>
      <c r="K983" s="51"/>
    </row>
    <row r="984">
      <c r="D984" s="55"/>
      <c r="E984" s="67"/>
      <c r="F984" s="67"/>
      <c r="G984" s="67"/>
      <c r="H984" s="67"/>
      <c r="I984" s="53"/>
      <c r="J984" s="51"/>
      <c r="K984" s="51"/>
    </row>
    <row r="985">
      <c r="D985" s="55"/>
      <c r="E985" s="67"/>
      <c r="F985" s="67"/>
      <c r="G985" s="67"/>
      <c r="H985" s="67"/>
      <c r="I985" s="53"/>
      <c r="J985" s="51"/>
      <c r="K985" s="51"/>
    </row>
    <row r="986">
      <c r="D986" s="55"/>
      <c r="E986" s="67"/>
      <c r="F986" s="67"/>
      <c r="G986" s="67"/>
      <c r="H986" s="67"/>
      <c r="I986" s="53"/>
      <c r="J986" s="51"/>
      <c r="K986" s="51"/>
    </row>
    <row r="987">
      <c r="D987" s="55"/>
      <c r="E987" s="67"/>
      <c r="F987" s="67"/>
      <c r="G987" s="67"/>
      <c r="H987" s="67"/>
      <c r="I987" s="53"/>
      <c r="J987" s="51"/>
      <c r="K987" s="51"/>
    </row>
    <row r="988">
      <c r="D988" s="55"/>
      <c r="E988" s="67"/>
      <c r="F988" s="67"/>
      <c r="G988" s="67"/>
      <c r="H988" s="67"/>
      <c r="I988" s="53"/>
      <c r="J988" s="51"/>
      <c r="K988" s="51"/>
    </row>
    <row r="989">
      <c r="D989" s="55"/>
      <c r="E989" s="67"/>
      <c r="F989" s="67"/>
      <c r="G989" s="67"/>
      <c r="H989" s="67"/>
      <c r="I989" s="53"/>
      <c r="J989" s="51"/>
      <c r="K989" s="51"/>
    </row>
    <row r="990">
      <c r="D990" s="55"/>
      <c r="E990" s="67"/>
      <c r="F990" s="67"/>
      <c r="G990" s="67"/>
      <c r="H990" s="67"/>
      <c r="I990" s="53"/>
      <c r="J990" s="51"/>
      <c r="K990" s="51"/>
    </row>
    <row r="991">
      <c r="D991" s="55"/>
      <c r="E991" s="67"/>
      <c r="F991" s="67"/>
      <c r="G991" s="67"/>
      <c r="H991" s="67"/>
      <c r="I991" s="53"/>
      <c r="J991" s="51"/>
      <c r="K991" s="51"/>
    </row>
    <row r="992">
      <c r="D992" s="55"/>
      <c r="E992" s="67"/>
      <c r="F992" s="67"/>
      <c r="G992" s="67"/>
      <c r="H992" s="67"/>
      <c r="I992" s="53"/>
      <c r="J992" s="51"/>
      <c r="K992" s="51"/>
    </row>
    <row r="993">
      <c r="D993" s="55"/>
      <c r="E993" s="67"/>
      <c r="F993" s="67"/>
      <c r="G993" s="67"/>
      <c r="H993" s="67"/>
      <c r="I993" s="53"/>
      <c r="J993" s="51"/>
      <c r="K993" s="51"/>
    </row>
    <row r="994">
      <c r="D994" s="55"/>
      <c r="E994" s="67"/>
      <c r="F994" s="67"/>
      <c r="G994" s="67"/>
      <c r="H994" s="67"/>
      <c r="I994" s="53"/>
      <c r="J994" s="51"/>
      <c r="K994" s="51"/>
    </row>
    <row r="995">
      <c r="D995" s="55"/>
      <c r="E995" s="67"/>
      <c r="F995" s="67"/>
      <c r="G995" s="67"/>
      <c r="H995" s="67"/>
      <c r="I995" s="53"/>
      <c r="J995" s="51"/>
      <c r="K995" s="51"/>
    </row>
    <row r="996">
      <c r="D996" s="55"/>
      <c r="E996" s="67"/>
      <c r="F996" s="67"/>
      <c r="G996" s="67"/>
      <c r="H996" s="67"/>
      <c r="I996" s="53"/>
      <c r="J996" s="51"/>
      <c r="K996" s="51"/>
    </row>
    <row r="997">
      <c r="D997" s="55"/>
      <c r="E997" s="67"/>
      <c r="F997" s="67"/>
      <c r="G997" s="67"/>
      <c r="H997" s="67"/>
      <c r="I997" s="53"/>
      <c r="J997" s="51"/>
      <c r="K997" s="51"/>
    </row>
    <row r="998">
      <c r="D998" s="55"/>
      <c r="E998" s="67"/>
      <c r="F998" s="67"/>
      <c r="G998" s="67"/>
      <c r="H998" s="67"/>
      <c r="I998" s="53"/>
      <c r="J998" s="51"/>
      <c r="K998" s="51"/>
    </row>
    <row r="999">
      <c r="D999" s="55"/>
      <c r="E999" s="67"/>
      <c r="F999" s="67"/>
      <c r="G999" s="67"/>
      <c r="H999" s="67"/>
      <c r="I999" s="53"/>
      <c r="J999" s="51"/>
      <c r="K999" s="51"/>
    </row>
  </sheetData>
  <autoFilter ref="$A$1:$AL$156">
    <sortState ref="A1:AL156">
      <sortCondition descending="1" ref="G1:G156"/>
      <sortCondition descending="1" ref="M1:M156"/>
      <sortCondition ref="AG1:AG156"/>
      <sortCondition ref="A1:A156"/>
    </sortState>
  </autoFilter>
  <conditionalFormatting sqref="AB1:AC1">
    <cfRule type="colorScale" priority="1">
      <colorScale>
        <cfvo type="min"/>
        <cfvo type="percentile" val="50"/>
        <cfvo type="max"/>
        <color rgb="FF57BB8A"/>
        <color rgb="FFFFFFFF"/>
        <color rgb="FFE67C73"/>
      </colorScale>
    </cfRule>
  </conditionalFormatting>
  <conditionalFormatting sqref="J1:K156 P1:Q156">
    <cfRule type="colorScale" priority="2">
      <colorScale>
        <cfvo type="formula" val="0"/>
        <cfvo type="formula" val="1"/>
        <cfvo type="formula" val="2"/>
        <color rgb="FFE67C73"/>
        <color rgb="FFFFFFFF"/>
        <color rgb="FF57BB8A"/>
      </colorScale>
    </cfRule>
  </conditionalFormatting>
  <conditionalFormatting sqref="AG1:AG156">
    <cfRule type="colorScale" priority="3">
      <colorScale>
        <cfvo type="min"/>
        <cfvo type="formula" val="3000"/>
        <cfvo type="formula" val="6000"/>
        <color rgb="FFE67C73"/>
        <color rgb="FFFFFFFF"/>
        <color rgb="FF57BB8A"/>
      </colorScale>
    </cfRule>
  </conditionalFormatting>
  <conditionalFormatting sqref="G1:G156 I1:I156">
    <cfRule type="colorScale" priority="4">
      <colorScale>
        <cfvo type="min"/>
        <cfvo type="formula" val="10"/>
        <cfvo type="max"/>
        <color rgb="FFE67C73"/>
        <color rgb="FFFFFFFF"/>
        <color rgb="FF57BB8A"/>
      </colorScale>
    </cfRule>
  </conditionalFormatting>
  <conditionalFormatting sqref="AK1:AK156 AL1">
    <cfRule type="colorScale" priority="5">
      <colorScale>
        <cfvo type="min"/>
        <cfvo type="percentile" val="50"/>
        <cfvo type="max"/>
        <color rgb="FFE67C73"/>
        <color rgb="FFFFFFFF"/>
        <color rgb="FF57BB8A"/>
      </colorScale>
    </cfRule>
  </conditionalFormatting>
  <conditionalFormatting sqref="AL1:AL156">
    <cfRule type="colorScale" priority="6">
      <colorScale>
        <cfvo type="min"/>
        <cfvo type="percentile" val="50"/>
        <cfvo type="max"/>
        <color rgb="FFE67C73"/>
        <color rgb="FFFFFFFF"/>
        <color rgb="FF57BB8A"/>
      </colorScale>
    </cfRule>
  </conditionalFormatting>
  <conditionalFormatting sqref="E1:E156">
    <cfRule type="colorScale" priority="7">
      <colorScale>
        <cfvo type="formula" val="45500"/>
        <cfvo type="percentile" val="50"/>
        <cfvo type="max"/>
        <color rgb="FFE67C73"/>
        <color rgb="FFFFFFFF"/>
        <color rgb="FF57BB8A"/>
      </colorScale>
    </cfRule>
  </conditionalFormatting>
  <conditionalFormatting sqref="V1:W156 AB1:AC1">
    <cfRule type="colorScale" priority="8">
      <colorScale>
        <cfvo type="formula" val="-0.1"/>
        <cfvo type="formula" val="0"/>
        <cfvo type="formula" val="0.1"/>
        <color rgb="FFE67C73"/>
        <color rgb="FFFFFFFF"/>
        <color rgb="FF57BB8A"/>
      </colorScale>
    </cfRule>
  </conditionalFormatting>
  <conditionalFormatting sqref="M1:M156 O1:O156">
    <cfRule type="colorScale" priority="9">
      <colorScale>
        <cfvo type="min"/>
        <cfvo type="percentile" val="80"/>
        <cfvo type="max"/>
        <color rgb="FFE67C73"/>
        <color rgb="FFFFFFFF"/>
        <color rgb="FF57BB8A"/>
      </colorScale>
    </cfRule>
  </conditionalFormatting>
  <conditionalFormatting sqref="AB1:AC156">
    <cfRule type="colorScale" priority="10">
      <colorScale>
        <cfvo type="formula" val="-10"/>
        <cfvo type="formula" val="0"/>
        <cfvo type="formula" val="10"/>
        <color rgb="FF57BB8A"/>
        <color rgb="FFFFFFFF"/>
        <color rgb="FFE67C73"/>
      </colorScale>
    </cfRule>
  </conditionalFormatting>
  <conditionalFormatting sqref="A2:A200">
    <cfRule type="expression" dxfId="0" priority="11">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5"/>
    <hyperlink r:id="rId122" ref="A126"/>
    <hyperlink r:id="rId123" ref="A128"/>
    <hyperlink r:id="rId124" ref="A134"/>
    <hyperlink r:id="rId125" ref="A136"/>
    <hyperlink r:id="rId126" ref="A137"/>
    <hyperlink r:id="rId127" ref="A144"/>
    <hyperlink r:id="rId128" ref="A145"/>
    <hyperlink r:id="rId129" ref="A146"/>
    <hyperlink r:id="rId130" ref="A147"/>
    <hyperlink r:id="rId131" ref="A148"/>
    <hyperlink r:id="rId132" ref="A149"/>
    <hyperlink r:id="rId133" ref="A150"/>
    <hyperlink r:id="rId134" ref="A151"/>
    <hyperlink r:id="rId135" ref="A152"/>
    <hyperlink r:id="rId136" ref="A153"/>
    <hyperlink r:id="rId137" ref="A154"/>
    <hyperlink r:id="rId138" ref="A155"/>
    <hyperlink r:id="rId139" ref="A156"/>
  </hyperlinks>
  <drawing r:id="rId14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8.5"/>
    <col customWidth="1" min="2" max="2" width="6.88"/>
    <col customWidth="1" min="3" max="3" width="10.88"/>
    <col customWidth="1" min="4" max="4" width="7.75"/>
    <col customWidth="1" min="5" max="5" width="14.75"/>
    <col customWidth="1" min="6" max="6" width="3.75"/>
    <col customWidth="1" min="7" max="8" width="3.88"/>
    <col customWidth="1" min="9" max="9" width="6.0"/>
    <col customWidth="1" min="10" max="11" width="5.75"/>
    <col customWidth="1" min="12" max="15" width="5.25"/>
    <col customWidth="1" min="16" max="20" width="3.63"/>
    <col customWidth="1" min="21" max="29" width="4.0"/>
    <col customWidth="1" min="30" max="30" width="7.25"/>
    <col customWidth="1" min="31" max="32" width="4.0"/>
    <col customWidth="1" min="33" max="33" width="5.5"/>
    <col customWidth="1" min="34" max="38" width="4.0"/>
  </cols>
  <sheetData>
    <row r="1">
      <c r="A1" s="1" t="s">
        <v>61</v>
      </c>
      <c r="B1" s="1" t="s">
        <v>29</v>
      </c>
      <c r="C1" s="1" t="s">
        <v>63</v>
      </c>
      <c r="D1" s="1" t="s">
        <v>243</v>
      </c>
      <c r="E1" s="32" t="s">
        <v>246</v>
      </c>
      <c r="F1" s="62" t="s">
        <v>65</v>
      </c>
      <c r="G1" s="62" t="s">
        <v>247</v>
      </c>
      <c r="H1" s="62" t="s">
        <v>248</v>
      </c>
      <c r="I1" s="62" t="s">
        <v>249</v>
      </c>
      <c r="J1" s="63" t="s">
        <v>250</v>
      </c>
      <c r="K1" s="63" t="s">
        <v>251</v>
      </c>
      <c r="L1" s="64" t="s">
        <v>64</v>
      </c>
      <c r="M1" s="62" t="s">
        <v>252</v>
      </c>
      <c r="N1" s="62" t="s">
        <v>253</v>
      </c>
      <c r="O1" s="62" t="s">
        <v>254</v>
      </c>
      <c r="P1" s="63" t="s">
        <v>255</v>
      </c>
      <c r="Q1" s="63" t="s">
        <v>256</v>
      </c>
      <c r="R1" s="64" t="s">
        <v>257</v>
      </c>
      <c r="S1" s="62" t="s">
        <v>258</v>
      </c>
      <c r="T1" s="62" t="s">
        <v>259</v>
      </c>
      <c r="U1" s="62" t="s">
        <v>260</v>
      </c>
      <c r="V1" s="63" t="s">
        <v>261</v>
      </c>
      <c r="W1" s="63" t="s">
        <v>262</v>
      </c>
      <c r="X1" s="64" t="s">
        <v>263</v>
      </c>
      <c r="Y1" s="62" t="s">
        <v>264</v>
      </c>
      <c r="Z1" s="62" t="s">
        <v>265</v>
      </c>
      <c r="AA1" s="62" t="s">
        <v>266</v>
      </c>
      <c r="AB1" s="63" t="s">
        <v>267</v>
      </c>
      <c r="AC1" s="63" t="s">
        <v>268</v>
      </c>
      <c r="AD1" s="46" t="s">
        <v>269</v>
      </c>
      <c r="AE1" s="47" t="s">
        <v>270</v>
      </c>
      <c r="AF1" s="47" t="s">
        <v>271</v>
      </c>
      <c r="AG1" s="47" t="s">
        <v>272</v>
      </c>
      <c r="AH1" s="47" t="s">
        <v>273</v>
      </c>
      <c r="AI1" s="47" t="s">
        <v>274</v>
      </c>
      <c r="AJ1" s="1" t="s">
        <v>275</v>
      </c>
      <c r="AK1" s="1" t="s">
        <v>244</v>
      </c>
      <c r="AL1" s="1" t="s">
        <v>245</v>
      </c>
    </row>
    <row r="2">
      <c r="A2" s="3" t="s">
        <v>1089</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"),"疑問詞が主語の疑問文｜語順・do/does/didを置かない・答え方")</f>
        <v>疑問詞が主語の疑問文｜語順・do/does/didを置かない・答え方</v>
      </c>
      <c r="D2" s="1" t="str">
        <f>IFERROR(__xludf.DUMMYFUNCTION("IFERROR(
  VLOOKUP(
    A2,
    IMPORTRANGE(
      ""1ZygntHC1J6IxzKbTidmOyf5nUyW4GCLurHCjexrLm_o        "",
      ""HTMLキャッシュ!A:F""
    ),
    6,
    FALSE
  ),
  0
)
"),"疑問詞が主語の疑問文を例文で解説。疑問詞のあとの語順、do/does/didを置かない形、三単現、答え方を中学英語で確認。")</f>
        <v>疑問詞が主語の疑問文を例文で解説。疑問詞のあとの語順、do/does/didを置かない形、三単現、答え方を中学英語で確認。</v>
      </c>
      <c r="E2" s="32">
        <f>IFERROR(__xludf.DUMMYFUNCTION("IFERROR(
  VLOOKUP(
    A2,
    IMPORTRANGE(
      ""1ZygntHC1J6IxzKbTidmOyf5nUyW4GCLurHCjexrLm_o        "",
      ""HTMLキャッシュ!A:F""
    ),
    3,
    FALSE
  ),
  0
)
"),46078.69012731482)</f>
        <v>46078.69013</v>
      </c>
      <c r="F2" s="49">
        <f>IFERROR(__xludf.DUMMYFUNCTION("IFERROR(
  VLOOKUP(
    A2,
    IMPORTRANGE(
      ""1ZHMy3vVUd_0MrSduXTe1etBb1HNpAlGwQr006ljwMiM"",
      ""GSC最新!A:F""
    ),
    2,
    FALSE
  ),
  0
)
"),164.0)</f>
        <v>164</v>
      </c>
      <c r="G2" s="49">
        <f>IFERROR(__xludf.DUMMYFUNCTION("IFERROR(
  VLOOKUP(
    A2,
    IMPORTRANGE(
      ""1ZHMy3vVUd_0MrSduXTe1etBb1HNpAlGwQr006ljwMiM"",
      ""GSC最新!A:F""
    ),
    3,
    FALSE
  ),
  0
)
"),502.0)</f>
        <v>502</v>
      </c>
      <c r="H2" s="49">
        <f>IFERROR(__xludf.DUMMYFUNCTION("IFERROR(
  VLOOKUP(
    A2,
    IMPORTRANGE(
      ""1ZHMy3vVUd_0MrSduXTe1etBb1HNpAlGwQr006ljwMiM"",
      ""GSC最新!A:F""
    ),
    4,
    FALSE
  ),
  0
)
"),336.0)</f>
        <v>336</v>
      </c>
      <c r="I2" s="49">
        <f>IFERROR(__xludf.DUMMYFUNCTION("IFERROR(
  VLOOKUP(
    A2,
    IMPORTRANGE(
      ""1ZHMy3vVUd_0MrSduXTe1etBb1HNpAlGwQr006ljwMiM"",
      ""GSC最新!A:F""
    ),
    5,
    FALSE
  ),
  0
)
"),821.0)</f>
        <v>821</v>
      </c>
      <c r="J2" s="50">
        <f t="shared" ref="J2:K2" si="1">IFERROR(F2/H2,"-")</f>
        <v>0.4880952381</v>
      </c>
      <c r="K2" s="50">
        <f t="shared" si="1"/>
        <v>0.6114494519</v>
      </c>
      <c r="L2" s="6">
        <f>IFERROR(__xludf.DUMMYFUNCTION("IFERROR(
  VLOOKUP(
    A2,
    IMPORTRANGE(
      ""1ZHMy3vVUd_0MrSduXTe1etBb1HNpAlGwQr006ljwMiM"",
      ""GSC最新!A:R""
    ),
    7,
    FALSE
  ),
  0
)
"),12035.0)</f>
        <v>12035</v>
      </c>
      <c r="M2" s="6">
        <f>IFERROR(__xludf.DUMMYFUNCTION("IFERROR(
  VLOOKUP(
    A2,
    IMPORTRANGE(
      ""1ZHMy3vVUd_0MrSduXTe1etBb1HNpAlGwQr006ljwMiM"",
      ""GSC最新!A:R""
    ),
    10,
    FALSE
  ),
  0
)
"),35465.0)</f>
        <v>35465</v>
      </c>
      <c r="N2" s="6">
        <f>IFERROR(__xludf.DUMMYFUNCTION("IFERROR(
  VLOOKUP(
    A2,
    IMPORTRANGE(
      ""1ZHMy3vVUd_0MrSduXTe1etBb1HNpAlGwQr006ljwMiM"",
      ""GSC最新!A:R""
    ),
    13,
    FALSE
  ),
  0
)
"),6189.0)</f>
        <v>6189</v>
      </c>
      <c r="O2" s="6">
        <f>IFERROR(__xludf.DUMMYFUNCTION("IFERROR(
  VLOOKUP(
    A2,
    IMPORTRANGE(
      ""1ZHMy3vVUd_0MrSduXTe1etBb1HNpAlGwQr006ljwMiM"",
      ""GSC最新!A:R""
    ),
    16,
    FALSE
  ),
  0
)
"),17846.0)</f>
        <v>17846</v>
      </c>
      <c r="P2" s="51">
        <f t="shared" ref="P2:Q2" si="2">IFERROR(L2/N2,"-")</f>
        <v>1.944579092</v>
      </c>
      <c r="Q2" s="51">
        <f t="shared" si="2"/>
        <v>1.987280063</v>
      </c>
      <c r="R2" s="9">
        <f>IFERROR(__xludf.DUMMYFUNCTION("IFERROR(
  VLOOKUP(
    A2,
    IMPORTRANGE(
      ""1ZHMy3vVUd_0MrSduXTe1etBb1HNpAlGwQr006ljwMiM"",
      ""GSC最新!A:R""
    ),
    8,
    FALSE
  ),
  0
)
"),0.013626921479019526)</f>
        <v>0.01362692148</v>
      </c>
      <c r="S2" s="9">
        <f>IFERROR(__xludf.DUMMYFUNCTION("IFERROR(
  VLOOKUP(
    A2,
    IMPORTRANGE(
      ""1ZHMy3vVUd_0MrSduXTe1etBb1HNpAlGwQr006ljwMiM"",
      ""GSC最新!A:R""
    ),
    11,
    FALSE
  ),
  0
)
"),0.014154800507542647)</f>
        <v>0.01415480051</v>
      </c>
      <c r="T2" s="9">
        <f>IFERROR(__xludf.DUMMYFUNCTION("IFERROR(
  VLOOKUP(
    A2,
    IMPORTRANGE(
      ""1ZHMy3vVUd_0MrSduXTe1etBb1HNpAlGwQr006ljwMiM"",
      ""GSC最新!A:R""
    ),
    14,
    FALSE
  ),
  0
)
"),0.05428986912263694)</f>
        <v>0.05428986912</v>
      </c>
      <c r="U2" s="9">
        <f>IFERROR(__xludf.DUMMYFUNCTION("IFERROR(
  VLOOKUP(
    A2,
    IMPORTRANGE(
      ""1ZHMy3vVUd_0MrSduXTe1etBb1HNpAlGwQr006ljwMiM"",
      ""GSC最新!A:R""
    ),
    17,
    FALSE
  ),
  0
)
"),0.04600470693712877)</f>
        <v>0.04600470694</v>
      </c>
      <c r="V2" s="9">
        <f t="shared" ref="V2:W2" si="3">IFERROR(R2-T2,"-")</f>
        <v>-0.04066294764</v>
      </c>
      <c r="W2" s="9">
        <f t="shared" si="3"/>
        <v>-0.03184990643</v>
      </c>
      <c r="X2" s="65">
        <f>IFERROR(__xludf.DUMMYFUNCTION("IFERROR(
  VLOOKUP(
    A2,
    IMPORTRANGE(
      ""1ZHMy3vVUd_0MrSduXTe1etBb1HNpAlGwQr006ljwMiM"",
      ""GSC最新!A:R""
    ),
    9,
    FALSE
  ),
  0
)
"),5.165932696302451)</f>
        <v>5.165932696</v>
      </c>
      <c r="Y2" s="65">
        <f>IFERROR(__xludf.DUMMYFUNCTION("IFERROR(
  VLOOKUP(
    A2,
    IMPORTRANGE(
      ""1ZHMy3vVUd_0MrSduXTe1etBb1HNpAlGwQr006ljwMiM"",
      ""GSC最新!A:R""
    ),
    12,
    FALSE
  ),
  0
)
"),5.6060059213308895)</f>
        <v>5.606005921</v>
      </c>
      <c r="Z2" s="65">
        <f>IFERROR(__xludf.DUMMYFUNCTION("IFERROR(
  VLOOKUP(
    A2,
    IMPORTRANGE(
      ""1ZHMy3vVUd_0MrSduXTe1etBb1HNpAlGwQr006ljwMiM"",
      ""GSC最新!A:R""
    ),
    15,
    FALSE
  ),
  0
)
"),7.508159638067539)</f>
        <v>7.508159638</v>
      </c>
      <c r="AA2" s="65">
        <f>IFERROR(__xludf.DUMMYFUNCTION("IFERROR(
  VLOOKUP(
    A2,
    IMPORTRANGE(
      ""1ZHMy3vVUd_0MrSduXTe1etBb1HNpAlGwQr006ljwMiM"",
      ""GSC最新!A:R""
    ),
    18,
    FALSE
  ),
  0
)
"),9.044099518099294)</f>
        <v>9.044099518</v>
      </c>
      <c r="AB2" s="65">
        <f t="shared" ref="AB2:AC2" si="4">X2-Z2</f>
        <v>-2.342226942</v>
      </c>
      <c r="AC2" s="65">
        <f t="shared" si="4"/>
        <v>-3.438093597</v>
      </c>
      <c r="AD2" s="53">
        <f>IFERROR(__xludf.DUMMYFUNCTION("IFERROR(
  VLOOKUP(
    A2,
    IMPORTRANGE(
      ""1ZHMy3vVUd_0MrSduXTe1etBb1HNpAlGwQr006ljwMiM"",
      ""GSC最新!A:F""
    ),
    6,
    FALSE
  ),
  0
)
"),46081.0)</f>
        <v>46081</v>
      </c>
      <c r="AE2" s="54">
        <f>IFERROR(__xludf.DUMMYFUNCTION("IFERROR(
  VLOOKUP(
    A2,
    IMPORTRANGE(
      ""1SCYQd7_cobOYqT0r_F0IqD4tE4rYn5y8Eup4PJTH8es"",
      ""Snapshot!A:M""
    ),
    5,
    FALSE
  ),
  ""-""
)
"),8.0)</f>
        <v>8</v>
      </c>
      <c r="AF2" s="54">
        <f>IFERROR(__xludf.DUMMYFUNCTION("IFERROR(
  VLOOKUP(
    A2,
    IMPORTRANGE(
      ""1SCYQd7_cobOYqT0r_F0IqD4tE4rYn5y8Eup4PJTH8es"",
      ""Snapshot!A:M""
    ),
    6,
    FALSE
  ),
  0
)
"),14.0)</f>
        <v>14</v>
      </c>
      <c r="AG2" s="54">
        <f>IFERROR(__xludf.DUMMYFUNCTION("IFERROR(
  VLOOKUP(
    A2,
    IMPORTRANGE(
      ""1SCYQd7_cobOYqT0r_F0IqD4tE4rYn5y8Eup4PJTH8es"",
      ""Snapshot!A:M""
    ),
    7,
    FALSE
  ),
  0
)
"),7552.0)</f>
        <v>7552</v>
      </c>
      <c r="AH2" s="54">
        <f>IFERROR(__xludf.DUMMYFUNCTION("IFERROR(
  VLOOKUP(
    A2,
    IMPORTRANGE(
      ""1SCYQd7_cobOYqT0r_F0IqD4tE4rYn5y8Eup4PJTH8es"",
      ""Snapshot!A:M""
    ),
    8,
    FALSE
  ),
  0
)
"),4.0)</f>
        <v>4</v>
      </c>
      <c r="AI2" s="54">
        <f>IFERROR(__xludf.DUMMYFUNCTION("IFERROR(
  VLOOKUP(
    A2,
    IMPORTRANGE(
      ""1SCYQd7_cobOYqT0r_F0IqD4tE4rYn5y8Eup4PJTH8es"",
      ""Snapshot!A:M""
    ),
    9,
    FALSE
  ),
  0
)
"),7.0)</f>
        <v>7</v>
      </c>
      <c r="AJ2" s="54">
        <f>IFERROR(__xludf.DUMMYFUNCTION("IFERROR(
  VLOOKUP(
    A2,
    IMPORTRANGE(
      ""1SCYQd7_cobOYqT0r_F0IqD4tE4rYn5y8Eup4PJTH8es"",
      ""Snapshot!A:M""
    ),
    13,
    FALSE
  ),
  0
)
"),1.0)</f>
        <v>1</v>
      </c>
      <c r="AK2" s="49">
        <f t="shared" ref="AK2:AL2" si="5">LEN(C2)</f>
        <v>34</v>
      </c>
      <c r="AL2" s="49">
        <f t="shared" si="5"/>
        <v>61</v>
      </c>
    </row>
    <row r="3">
      <c r="A3" s="3" t="s">
        <v>1090</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"),"doの過去形did｜疑問文は原形｜中1英語")</f>
        <v>doの過去形did｜疑問文は原形｜中1英語</v>
      </c>
      <c r="D3" s="1" t="str">
        <f>IFERROR(__xludf.DUMMYFUNCTION("IFERROR(
  VLOOKUP(
    A3,
    IMPORTRANGE(
      ""1ZygntHC1J6IxzKbTidmOyf5nUyW4GCLurHCjexrLm_o        "",
      ""HTMLキャッシュ!A:F""
    ),
    6,
    FALSE
  ),
  0
)
"),"do/doesの過去はdid。Did＋主語＋動詞原形で過去の疑問文。疑問詞つき、答え方、workedにしない注意も例文で確認。")</f>
        <v>do/doesの過去はdid。Did＋主語＋動詞原形で過去の疑問文。疑問詞つき、答え方、workedにしない注意も例文で確認。</v>
      </c>
      <c r="E3" s="32">
        <f>IFERROR(__xludf.DUMMYFUNCTION("IFERROR(
  VLOOKUP(
    A3,
    IMPORTRANGE(
      ""1ZygntHC1J6IxzKbTidmOyf5nUyW4GCLurHCjexrLm_o        "",
      ""HTMLキャッシュ!A:F""
    ),
    3,
    FALSE
  ),
  0
)
"),46072.866736111115)</f>
        <v>46072.86674</v>
      </c>
      <c r="F3" s="49">
        <f>IFERROR(__xludf.DUMMYFUNCTION("IFERROR(
  VLOOKUP(
    A3,
    IMPORTRANGE(
      ""1ZHMy3vVUd_0MrSduXTe1etBb1HNpAlGwQr006ljwMiM"",
      ""GSC最新!A:F""
    ),
    2,
    FALSE
  ),
  0
)
"),113.0)</f>
        <v>113</v>
      </c>
      <c r="G3" s="49">
        <f>IFERROR(__xludf.DUMMYFUNCTION("IFERROR(
  VLOOKUP(
    A3,
    IMPORTRANGE(
      ""1ZHMy3vVUd_0MrSduXTe1etBb1HNpAlGwQr006ljwMiM"",
      ""GSC最新!A:F""
    ),
    3,
    FALSE
  ),
  0
)
"),219.0)</f>
        <v>219</v>
      </c>
      <c r="H3" s="49">
        <f>IFERROR(__xludf.DUMMYFUNCTION("IFERROR(
  VLOOKUP(
    A3,
    IMPORTRANGE(
      ""1ZHMy3vVUd_0MrSduXTe1etBb1HNpAlGwQr006ljwMiM"",
      ""GSC最新!A:F""
    ),
    4,
    FALSE
  ),
  0
)
"),118.0)</f>
        <v>118</v>
      </c>
      <c r="I3" s="49">
        <f>IFERROR(__xludf.DUMMYFUNCTION("IFERROR(
  VLOOKUP(
    A3,
    IMPORTRANGE(
      ""1ZHMy3vVUd_0MrSduXTe1etBb1HNpAlGwQr006ljwMiM"",
      ""GSC最新!A:F""
    ),
    5,
    FALSE
  ),
  0
)
"),218.0)</f>
        <v>218</v>
      </c>
      <c r="J3" s="50">
        <f t="shared" ref="J3:K3" si="6">IFERROR(F3/H3,"-")</f>
        <v>0.9576271186</v>
      </c>
      <c r="K3" s="50">
        <f t="shared" si="6"/>
        <v>1.004587156</v>
      </c>
      <c r="L3" s="6">
        <f>IFERROR(__xludf.DUMMYFUNCTION("IFERROR(
  VLOOKUP(
    A3,
    IMPORTRANGE(
      ""1ZHMy3vVUd_0MrSduXTe1etBb1HNpAlGwQr006ljwMiM"",
      ""GSC最新!A:R""
    ),
    7,
    FALSE
  ),
  0
)
"),43709.0)</f>
        <v>43709</v>
      </c>
      <c r="M3" s="6">
        <f>IFERROR(__xludf.DUMMYFUNCTION("IFERROR(
  VLOOKUP(
    A3,
    IMPORTRANGE(
      ""1ZHMy3vVUd_0MrSduXTe1etBb1HNpAlGwQr006ljwMiM"",
      ""GSC最新!A:R""
    ),
    10,
    FALSE
  ),
  0
)
"),102135.0)</f>
        <v>102135</v>
      </c>
      <c r="N3" s="6">
        <f>IFERROR(__xludf.DUMMYFUNCTION("IFERROR(
  VLOOKUP(
    A3,
    IMPORTRANGE(
      ""1ZHMy3vVUd_0MrSduXTe1etBb1HNpAlGwQr006ljwMiM"",
      ""GSC最新!A:R""
    ),
    13,
    FALSE
  ),
  0
)
"),11993.0)</f>
        <v>11993</v>
      </c>
      <c r="O3" s="6">
        <f>IFERROR(__xludf.DUMMYFUNCTION("IFERROR(
  VLOOKUP(
    A3,
    IMPORTRANGE(
      ""1ZHMy3vVUd_0MrSduXTe1etBb1HNpAlGwQr006ljwMiM"",
      ""GSC最新!A:R""
    ),
    16,
    FALSE
  ),
  0
)
"),31246.0)</f>
        <v>31246</v>
      </c>
      <c r="P3" s="51">
        <f t="shared" ref="P3:Q3" si="7">IFERROR(L3/N3,"-")</f>
        <v>3.64454265</v>
      </c>
      <c r="Q3" s="51">
        <f t="shared" si="7"/>
        <v>3.268738399</v>
      </c>
      <c r="R3" s="9">
        <f>IFERROR(__xludf.DUMMYFUNCTION("IFERROR(
  VLOOKUP(
    A3,
    IMPORTRANGE(
      ""1ZHMy3vVUd_0MrSduXTe1etBb1HNpAlGwQr006ljwMiM"",
      ""GSC最新!A:R""
    ),
    8,
    FALSE
  ),
  0
)
"),0.0025852799194673866)</f>
        <v>0.002585279919</v>
      </c>
      <c r="S3" s="9">
        <f>IFERROR(__xludf.DUMMYFUNCTION("IFERROR(
  VLOOKUP(
    A3,
    IMPORTRANGE(
      ""1ZHMy3vVUd_0MrSduXTe1etBb1HNpAlGwQr006ljwMiM"",
      ""GSC最新!A:R""
    ),
    11,
    FALSE
  ),
  0
)
"),0.002144220884123954)</f>
        <v>0.002144220884</v>
      </c>
      <c r="T3" s="9">
        <f>IFERROR(__xludf.DUMMYFUNCTION("IFERROR(
  VLOOKUP(
    A3,
    IMPORTRANGE(
      ""1ZHMy3vVUd_0MrSduXTe1etBb1HNpAlGwQr006ljwMiM"",
      ""GSC最新!A:R""
    ),
    14,
    FALSE
  ),
  0
)
"),0.00983907279246227)</f>
        <v>0.009839072792</v>
      </c>
      <c r="U3" s="9">
        <f>IFERROR(__xludf.DUMMYFUNCTION("IFERROR(
  VLOOKUP(
    A3,
    IMPORTRANGE(
      ""1ZHMy3vVUd_0MrSduXTe1etBb1HNpAlGwQr006ljwMiM"",
      ""GSC最新!A:R""
    ),
    17,
    FALSE
  ),
  0
)
"),0.006976893042309416)</f>
        <v>0.006976893042</v>
      </c>
      <c r="V3" s="9">
        <f t="shared" ref="V3:W3" si="8">IFERROR(R3-T3,"-")</f>
        <v>-0.007253792873</v>
      </c>
      <c r="W3" s="9">
        <f t="shared" si="8"/>
        <v>-0.004832672158</v>
      </c>
      <c r="X3" s="65">
        <f>IFERROR(__xludf.DUMMYFUNCTION("IFERROR(
  VLOOKUP(
    A3,
    IMPORTRANGE(
      ""1ZHMy3vVUd_0MrSduXTe1etBb1HNpAlGwQr006ljwMiM"",
      ""GSC最新!A:R""
    ),
    9,
    FALSE
  ),
  0
)
"),3.007366903841314)</f>
        <v>3.007366904</v>
      </c>
      <c r="Y3" s="65">
        <f>IFERROR(__xludf.DUMMYFUNCTION("IFERROR(
  VLOOKUP(
    A3,
    IMPORTRANGE(
      ""1ZHMy3vVUd_0MrSduXTe1etBb1HNpAlGwQr006ljwMiM"",
      ""GSC最新!A:R""
    ),
    12,
    FALSE
  ),
  0
)
"),3.4679003279972584)</f>
        <v>3.467900328</v>
      </c>
      <c r="Z3" s="65">
        <f>IFERROR(__xludf.DUMMYFUNCTION("IFERROR(
  VLOOKUP(
    A3,
    IMPORTRANGE(
      ""1ZHMy3vVUd_0MrSduXTe1etBb1HNpAlGwQr006ljwMiM"",
      ""GSC最新!A:R""
    ),
    15,
    FALSE
  ),
  0
)
"),7.120070040857167)</f>
        <v>7.120070041</v>
      </c>
      <c r="AA3" s="65">
        <f>IFERROR(__xludf.DUMMYFUNCTION("IFERROR(
  VLOOKUP(
    A3,
    IMPORTRANGE(
      ""1ZHMy3vVUd_0MrSduXTe1etBb1HNpAlGwQr006ljwMiM"",
      ""GSC最新!A:R""
    ),
    18,
    FALSE
  ),
  0
)
"),7.40520386609486)</f>
        <v>7.405203866</v>
      </c>
      <c r="AB3" s="65">
        <f t="shared" ref="AB3:AC3" si="9">X3-Z3</f>
        <v>-4.112703137</v>
      </c>
      <c r="AC3" s="65">
        <f t="shared" si="9"/>
        <v>-3.937303538</v>
      </c>
      <c r="AD3" s="53">
        <f>IFERROR(__xludf.DUMMYFUNCTION("IFERROR(
  VLOOKUP(
    A3,
    IMPORTRANGE(
      ""1ZHMy3vVUd_0MrSduXTe1etBb1HNpAlGwQr006ljwMiM"",
      ""GSC最新!A:F""
    ),
    6,
    FALSE
  ),
  0
)
"),46081.0)</f>
        <v>46081</v>
      </c>
      <c r="AE3" s="54">
        <f>IFERROR(__xludf.DUMMYFUNCTION("IFERROR(
  VLOOKUP(
    A3,
    IMPORTRANGE(
      ""1SCYQd7_cobOYqT0r_F0IqD4tE4rYn5y8Eup4PJTH8es"",
      ""Snapshot!A:M""
    ),
    5,
    FALSE
  ),
  ""-""
)
"),6.0)</f>
        <v>6</v>
      </c>
      <c r="AF3" s="54">
        <f>IFERROR(__xludf.DUMMYFUNCTION("IFERROR(
  VLOOKUP(
    A3,
    IMPORTRANGE(
      ""1SCYQd7_cobOYqT0r_F0IqD4tE4rYn5y8Eup4PJTH8es"",
      ""Snapshot!A:M""
    ),
    6,
    FALSE
  ),
  0
)
"),9.0)</f>
        <v>9</v>
      </c>
      <c r="AG3" s="54">
        <f>IFERROR(__xludf.DUMMYFUNCTION("IFERROR(
  VLOOKUP(
    A3,
    IMPORTRANGE(
      ""1SCYQd7_cobOYqT0r_F0IqD4tE4rYn5y8Eup4PJTH8es"",
      ""Snapshot!A:M""
    ),
    7,
    FALSE
  ),
  0
)
"),5906.0)</f>
        <v>5906</v>
      </c>
      <c r="AH3" s="54">
        <f>IFERROR(__xludf.DUMMYFUNCTION("IFERROR(
  VLOOKUP(
    A3,
    IMPORTRANGE(
      ""1SCYQd7_cobOYqT0r_F0IqD4tE4rYn5y8Eup4PJTH8es"",
      ""Snapshot!A:M""
    ),
    8,
    FALSE
  ),
  0
)
"),1.0)</f>
        <v>1</v>
      </c>
      <c r="AI3" s="54">
        <f>IFERROR(__xludf.DUMMYFUNCTION("IFERROR(
  VLOOKUP(
    A3,
    IMPORTRANGE(
      ""1SCYQd7_cobOYqT0r_F0IqD4tE4rYn5y8Eup4PJTH8es"",
      ""Snapshot!A:M""
    ),
    9,
    FALSE
  ),
  0
)
"),5.0)</f>
        <v>5</v>
      </c>
      <c r="AJ3" s="54">
        <f>IFERROR(__xludf.DUMMYFUNCTION("IFERROR(
  VLOOKUP(
    A3,
    IMPORTRANGE(
      ""1SCYQd7_cobOYqT0r_F0IqD4tE4rYn5y8Eup4PJTH8es"",
      ""Snapshot!A:M""
    ),
    13,
    FALSE
  ),
  0
)
"),1.0)</f>
        <v>1</v>
      </c>
      <c r="AK3" s="49">
        <f t="shared" ref="AK3:AL3" si="10">LEN(C3)</f>
        <v>21</v>
      </c>
      <c r="AL3" s="49">
        <f t="shared" si="10"/>
        <v>63</v>
      </c>
    </row>
    <row r="4">
      <c r="A4" s="3" t="s">
        <v>1091</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"),"shall we 意味・使い方｜答え方とLet’s違い｜中1英語")</f>
        <v>shall we 意味・使い方｜答え方とLet’s違い｜中1英語</v>
      </c>
      <c r="D4" s="1" t="str">
        <f>IFERROR(__xludf.DUMMYFUNCTION("IFERROR(
  VLOOKUP(
    A4,
    IMPORTRANGE(
      ""1ZygntHC1J6IxzKbTidmOyf5nUyW4GCLurHCjexrLm_o        "",
      ""HTMLキャッシュ!A:F""
    ),
    6,
    FALSE
  ),
  0
)
"),"shall weの意味・使い方・答え方を中1英語で解説。Yes, let’s./No, let’s not. の返事、Let’sとの違い、文末の?、Shall we danceの意味も例文で確認。")</f>
        <v>shall weの意味・使い方・答え方を中1英語で解説。Yes, let’s./No, let’s not. の返事、Let’sとの違い、文末の?、Shall we danceの意味も例文で確認。</v>
      </c>
      <c r="E4" s="32">
        <f>IFERROR(__xludf.DUMMYFUNCTION("IFERROR(
  VLOOKUP(
    A4,
    IMPORTRANGE(
      ""1ZygntHC1J6IxzKbTidmOyf5nUyW4GCLurHCjexrLm_o        "",
      ""HTMLキャッシュ!A:F""
    ),
    3,
    FALSE
  ),
  0
)
"),46078.69068287037)</f>
        <v>46078.69068</v>
      </c>
      <c r="F4" s="49">
        <f>IFERROR(__xludf.DUMMYFUNCTION("IFERROR(
  VLOOKUP(
    A4,
    IMPORTRANGE(
      ""1ZHMy3vVUd_0MrSduXTe1etBb1HNpAlGwQr006ljwMiM"",
      ""GSC最新!A:F""
    ),
    2,
    FALSE
  ),
  0
)
"),60.0)</f>
        <v>60</v>
      </c>
      <c r="G4" s="49">
        <f>IFERROR(__xludf.DUMMYFUNCTION("IFERROR(
  VLOOKUP(
    A4,
    IMPORTRANGE(
      ""1ZHMy3vVUd_0MrSduXTe1etBb1HNpAlGwQr006ljwMiM"",
      ""GSC最新!A:F""
    ),
    3,
    FALSE
  ),
  0
)
"),184.0)</f>
        <v>184</v>
      </c>
      <c r="H4" s="49">
        <f>IFERROR(__xludf.DUMMYFUNCTION("IFERROR(
  VLOOKUP(
    A4,
    IMPORTRANGE(
      ""1ZHMy3vVUd_0MrSduXTe1etBb1HNpAlGwQr006ljwMiM"",
      ""GSC最新!A:F""
    ),
    4,
    FALSE
  ),
  0
)
"),88.0)</f>
        <v>88</v>
      </c>
      <c r="I4" s="49">
        <f>IFERROR(__xludf.DUMMYFUNCTION("IFERROR(
  VLOOKUP(
    A4,
    IMPORTRANGE(
      ""1ZHMy3vVUd_0MrSduXTe1etBb1HNpAlGwQr006ljwMiM"",
      ""GSC最新!A:F""
    ),
    5,
    FALSE
  ),
  0
)
"),244.0)</f>
        <v>244</v>
      </c>
      <c r="J4" s="50">
        <f t="shared" ref="J4:K4" si="11">IFERROR(F4/H4,"-")</f>
        <v>0.6818181818</v>
      </c>
      <c r="K4" s="50">
        <f t="shared" si="11"/>
        <v>0.7540983607</v>
      </c>
      <c r="L4" s="6">
        <f>IFERROR(__xludf.DUMMYFUNCTION("IFERROR(
  VLOOKUP(
    A4,
    IMPORTRANGE(
      ""1ZHMy3vVUd_0MrSduXTe1etBb1HNpAlGwQr006ljwMiM"",
      ""GSC最新!A:R""
    ),
    7,
    FALSE
  ),
  0
)
"),16256.0)</f>
        <v>16256</v>
      </c>
      <c r="M4" s="6">
        <f>IFERROR(__xludf.DUMMYFUNCTION("IFERROR(
  VLOOKUP(
    A4,
    IMPORTRANGE(
      ""1ZHMy3vVUd_0MrSduXTe1etBb1HNpAlGwQr006ljwMiM"",
      ""GSC最新!A:R""
    ),
    10,
    FALSE
  ),
  0
)
"),45660.0)</f>
        <v>45660</v>
      </c>
      <c r="N4" s="6">
        <f>IFERROR(__xludf.DUMMYFUNCTION("IFERROR(
  VLOOKUP(
    A4,
    IMPORTRANGE(
      ""1ZHMy3vVUd_0MrSduXTe1etBb1HNpAlGwQr006ljwMiM"",
      ""GSC最新!A:R""
    ),
    13,
    FALSE
  ),
  0
)
"),9464.0)</f>
        <v>9464</v>
      </c>
      <c r="O4" s="6">
        <f>IFERROR(__xludf.DUMMYFUNCTION("IFERROR(
  VLOOKUP(
    A4,
    IMPORTRANGE(
      ""1ZHMy3vVUd_0MrSduXTe1etBb1HNpAlGwQr006ljwMiM"",
      ""GSC最新!A:R""
    ),
    16,
    FALSE
  ),
  0
)
"),26585.0)</f>
        <v>26585</v>
      </c>
      <c r="P4" s="51">
        <f t="shared" ref="P4:Q4" si="12">IFERROR(L4/N4,"-")</f>
        <v>1.717666948</v>
      </c>
      <c r="Q4" s="51">
        <f t="shared" si="12"/>
        <v>1.717509874</v>
      </c>
      <c r="R4" s="9">
        <f>IFERROR(__xludf.DUMMYFUNCTION("IFERROR(
  VLOOKUP(
    A4,
    IMPORTRANGE(
      ""1ZHMy3vVUd_0MrSduXTe1etBb1HNpAlGwQr006ljwMiM"",
      ""GSC最新!A:R""
    ),
    8,
    FALSE
  ),
  0
)
"),0.0036909448818897637)</f>
        <v>0.003690944882</v>
      </c>
      <c r="S4" s="9">
        <f>IFERROR(__xludf.DUMMYFUNCTION("IFERROR(
  VLOOKUP(
    A4,
    IMPORTRANGE(
      ""1ZHMy3vVUd_0MrSduXTe1etBb1HNpAlGwQr006ljwMiM"",
      ""GSC最新!A:R""
    ),
    11,
    FALSE
  ),
  0
)
"),0.0040297853701270255)</f>
        <v>0.00402978537</v>
      </c>
      <c r="T4" s="9">
        <f>IFERROR(__xludf.DUMMYFUNCTION("IFERROR(
  VLOOKUP(
    A4,
    IMPORTRANGE(
      ""1ZHMy3vVUd_0MrSduXTe1etBb1HNpAlGwQr006ljwMiM"",
      ""GSC最新!A:R""
    ),
    14,
    FALSE
  ),
  0
)
"),0.009298393913778529)</f>
        <v>0.009298393914</v>
      </c>
      <c r="U4" s="9">
        <f>IFERROR(__xludf.DUMMYFUNCTION("IFERROR(
  VLOOKUP(
    A4,
    IMPORTRANGE(
      ""1ZHMy3vVUd_0MrSduXTe1etBb1HNpAlGwQr006ljwMiM"",
      ""GSC最新!A:R""
    ),
    17,
    FALSE
  ),
  0
)
"),0.009178107955614068)</f>
        <v>0.009178107956</v>
      </c>
      <c r="V4" s="9">
        <f t="shared" ref="V4:W4" si="13">IFERROR(R4-T4,"-")</f>
        <v>-0.005607449032</v>
      </c>
      <c r="W4" s="9">
        <f t="shared" si="13"/>
        <v>-0.005148322585</v>
      </c>
      <c r="X4" s="65">
        <f>IFERROR(__xludf.DUMMYFUNCTION("IFERROR(
  VLOOKUP(
    A4,
    IMPORTRANGE(
      ""1ZHMy3vVUd_0MrSduXTe1etBb1HNpAlGwQr006ljwMiM"",
      ""GSC最新!A:R""
    ),
    9,
    FALSE
  ),
  0
)
"),2.664185531496063)</f>
        <v>2.664185531</v>
      </c>
      <c r="Y4" s="65">
        <f>IFERROR(__xludf.DUMMYFUNCTION("IFERROR(
  VLOOKUP(
    A4,
    IMPORTRANGE(
      ""1ZHMy3vVUd_0MrSduXTe1etBb1HNpAlGwQr006ljwMiM"",
      ""GSC最新!A:R""
    ),
    12,
    FALSE
  ),
  0
)
"),3.30383267630311)</f>
        <v>3.303832676</v>
      </c>
      <c r="Z4" s="65">
        <f>IFERROR(__xludf.DUMMYFUNCTION("IFERROR(
  VLOOKUP(
    A4,
    IMPORTRANGE(
      ""1ZHMy3vVUd_0MrSduXTe1etBb1HNpAlGwQr006ljwMiM"",
      ""GSC最新!A:R""
    ),
    15,
    FALSE
  ),
  0
)
"),6.94167371090448)</f>
        <v>6.941673711</v>
      </c>
      <c r="AA4" s="65">
        <f>IFERROR(__xludf.DUMMYFUNCTION("IFERROR(
  VLOOKUP(
    A4,
    IMPORTRANGE(
      ""1ZHMy3vVUd_0MrSduXTe1etBb1HNpAlGwQr006ljwMiM"",
      ""GSC最新!A:R""
    ),
    18,
    FALSE
  ),
  0
)
"),7.392514575888659)</f>
        <v>7.392514576</v>
      </c>
      <c r="AB4" s="65">
        <f t="shared" ref="AB4:AC4" si="14">X4-Z4</f>
        <v>-4.277488179</v>
      </c>
      <c r="AC4" s="65">
        <f t="shared" si="14"/>
        <v>-4.0886819</v>
      </c>
      <c r="AD4" s="53">
        <f>IFERROR(__xludf.DUMMYFUNCTION("IFERROR(
  VLOOKUP(
    A4,
    IMPORTRANGE(
      ""1ZHMy3vVUd_0MrSduXTe1etBb1HNpAlGwQr006ljwMiM"",
      ""GSC最新!A:F""
    ),
    6,
    FALSE
  ),
  0
)
"),46081.0)</f>
        <v>46081</v>
      </c>
      <c r="AE4" s="54">
        <f>IFERROR(__xludf.DUMMYFUNCTION("IFERROR(
  VLOOKUP(
    A4,
    IMPORTRANGE(
      ""1SCYQd7_cobOYqT0r_F0IqD4tE4rYn5y8Eup4PJTH8es"",
      ""Snapshot!A:M""
    ),
    5,
    FALSE
  ),
  ""-""
)
"),5.0)</f>
        <v>5</v>
      </c>
      <c r="AF4" s="54">
        <f>IFERROR(__xludf.DUMMYFUNCTION("IFERROR(
  VLOOKUP(
    A4,
    IMPORTRANGE(
      ""1SCYQd7_cobOYqT0r_F0IqD4tE4rYn5y8Eup4PJTH8es"",
      ""Snapshot!A:M""
    ),
    6,
    FALSE
  ),
  0
)
"),11.0)</f>
        <v>11</v>
      </c>
      <c r="AG4" s="54">
        <f>IFERROR(__xludf.DUMMYFUNCTION("IFERROR(
  VLOOKUP(
    A4,
    IMPORTRANGE(
      ""1SCYQd7_cobOYqT0r_F0IqD4tE4rYn5y8Eup4PJTH8es"",
      ""Snapshot!A:M""
    ),
    7,
    FALSE
  ),
  0
)
"),3176.0)</f>
        <v>3176</v>
      </c>
      <c r="AH4" s="54">
        <f>IFERROR(__xludf.DUMMYFUNCTION("IFERROR(
  VLOOKUP(
    A4,
    IMPORTRANGE(
      ""1SCYQd7_cobOYqT0r_F0IqD4tE4rYn5y8Eup4PJTH8es"",
      ""Snapshot!A:M""
    ),
    8,
    FALSE
  ),
  0
)
"),1.0)</f>
        <v>1</v>
      </c>
      <c r="AI4" s="54">
        <f>IFERROR(__xludf.DUMMYFUNCTION("IFERROR(
  VLOOKUP(
    A4,
    IMPORTRANGE(
      ""1SCYQd7_cobOYqT0r_F0IqD4tE4rYn5y8Eup4PJTH8es"",
      ""Snapshot!A:M""
    ),
    9,
    FALSE
  ),
  0
)
"),5.0)</f>
        <v>5</v>
      </c>
      <c r="AJ4" s="54">
        <f>IFERROR(__xludf.DUMMYFUNCTION("IFERROR(
  VLOOKUP(
    A4,
    IMPORTRANGE(
      ""1SCYQd7_cobOYqT0r_F0IqD4tE4rYn5y8Eup4PJTH8es"",
      ""Snapshot!A:M""
    ),
    13,
    FALSE
  ),
  0
)
"),1.0)</f>
        <v>1</v>
      </c>
      <c r="AK4" s="49">
        <f t="shared" ref="AK4:AL4" si="15">LEN(C4)</f>
        <v>32</v>
      </c>
      <c r="AL4" s="49">
        <f t="shared" si="15"/>
        <v>98</v>
      </c>
    </row>
    <row r="5">
      <c r="A5" s="3" t="s">
        <v>1092</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"),"英語の形容詞と副詞の違いと見分け方｜修飾先で判定する基本")</f>
        <v>英語の形容詞と副詞の違いと見分け方｜修飾先で判定する基本</v>
      </c>
      <c r="D5" s="1" t="str">
        <f>IFERROR(__xludf.DUMMYFUNCTION("IFERROR(
  VLOOKUP(
    A5,
    IMPORTRANGE(
      ""1ZygntHC1J6IxzKbTidmOyf5nUyW4GCLurHCjexrLm_o        "",
      ""HTMLキャッシュ!A:F""
    ),
    6,
    FALSE
  ),
  0
)
"),"形容詞は名詞、副詞は名詞以外を修飾。修飾先→-ly→文の働きで判定し、good/well・get well・weekly・fast/earlyと入試例題まで整理。")</f>
        <v>形容詞は名詞、副詞は名詞以外を修飾。修飾先→-ly→文の働きで判定し、good/well・get well・weekly・fast/earlyと入試例題まで整理。</v>
      </c>
      <c r="E5" s="32">
        <f>IFERROR(__xludf.DUMMYFUNCTION("IFERROR(
  VLOOKUP(
    A5,
    IMPORTRANGE(
      ""1ZygntHC1J6IxzKbTidmOyf5nUyW4GCLurHCjexrLm_o        "",
      ""HTMLキャッシュ!A:F""
    ),
    3,
    FALSE
  ),
  0
)
"),46074.578576388885)</f>
        <v>46074.57858</v>
      </c>
      <c r="F5" s="49">
        <f>IFERROR(__xludf.DUMMYFUNCTION("IFERROR(
  VLOOKUP(
    A5,
    IMPORTRANGE(
      ""1ZHMy3vVUd_0MrSduXTe1etBb1HNpAlGwQr006ljwMiM"",
      ""GSC最新!A:F""
    ),
    2,
    FALSE
  ),
  0
)
"),91.0)</f>
        <v>91</v>
      </c>
      <c r="G5" s="49">
        <f>IFERROR(__xludf.DUMMYFUNCTION("IFERROR(
  VLOOKUP(
    A5,
    IMPORTRANGE(
      ""1ZHMy3vVUd_0MrSduXTe1etBb1HNpAlGwQr006ljwMiM"",
      ""GSC最新!A:F""
    ),
    3,
    FALSE
  ),
  0
)
"),188.0)</f>
        <v>188</v>
      </c>
      <c r="H5" s="49">
        <f>IFERROR(__xludf.DUMMYFUNCTION("IFERROR(
  VLOOKUP(
    A5,
    IMPORTRANGE(
      ""1ZHMy3vVUd_0MrSduXTe1etBb1HNpAlGwQr006ljwMiM"",
      ""GSC最新!A:F""
    ),
    4,
    FALSE
  ),
  0
)
"),28.0)</f>
        <v>28</v>
      </c>
      <c r="I5" s="49">
        <f>IFERROR(__xludf.DUMMYFUNCTION("IFERROR(
  VLOOKUP(
    A5,
    IMPORTRANGE(
      ""1ZHMy3vVUd_0MrSduXTe1etBb1HNpAlGwQr006ljwMiM"",
      ""GSC最新!A:F""
    ),
    5,
    FALSE
  ),
  0
)
"),114.0)</f>
        <v>114</v>
      </c>
      <c r="J5" s="50">
        <f t="shared" ref="J5:K5" si="16">IFERROR(F5/H5,"-")</f>
        <v>3.25</v>
      </c>
      <c r="K5" s="50">
        <f t="shared" si="16"/>
        <v>1.649122807</v>
      </c>
      <c r="L5" s="6">
        <f>IFERROR(__xludf.DUMMYFUNCTION("IFERROR(
  VLOOKUP(
    A5,
    IMPORTRANGE(
      ""1ZHMy3vVUd_0MrSduXTe1etBb1HNpAlGwQr006ljwMiM"",
      ""GSC最新!A:R""
    ),
    7,
    FALSE
  ),
  0
)
"),22939.0)</f>
        <v>22939</v>
      </c>
      <c r="M5" s="6">
        <f>IFERROR(__xludf.DUMMYFUNCTION("IFERROR(
  VLOOKUP(
    A5,
    IMPORTRANGE(
      ""1ZHMy3vVUd_0MrSduXTe1etBb1HNpAlGwQr006ljwMiM"",
      ""GSC最新!A:R""
    ),
    10,
    FALSE
  ),
  0
)
"),60415.0)</f>
        <v>60415</v>
      </c>
      <c r="N5" s="6">
        <f>IFERROR(__xludf.DUMMYFUNCTION("IFERROR(
  VLOOKUP(
    A5,
    IMPORTRANGE(
      ""1ZHMy3vVUd_0MrSduXTe1etBb1HNpAlGwQr006ljwMiM"",
      ""GSC最新!A:R""
    ),
    13,
    FALSE
  ),
  0
)
"),6006.0)</f>
        <v>6006</v>
      </c>
      <c r="O5" s="6">
        <f>IFERROR(__xludf.DUMMYFUNCTION("IFERROR(
  VLOOKUP(
    A5,
    IMPORTRANGE(
      ""1ZHMy3vVUd_0MrSduXTe1etBb1HNpAlGwQr006ljwMiM"",
      ""GSC最新!A:R""
    ),
    16,
    FALSE
  ),
  0
)
"),24878.0)</f>
        <v>24878</v>
      </c>
      <c r="P5" s="51">
        <f t="shared" ref="P5:Q5" si="17">IFERROR(L5/N5,"-")</f>
        <v>3.819347319</v>
      </c>
      <c r="Q5" s="51">
        <f t="shared" si="17"/>
        <v>2.42845084</v>
      </c>
      <c r="R5" s="9">
        <f>IFERROR(__xludf.DUMMYFUNCTION("IFERROR(
  VLOOKUP(
    A5,
    IMPORTRANGE(
      ""1ZHMy3vVUd_0MrSduXTe1etBb1HNpAlGwQr006ljwMiM"",
      ""GSC最新!A:R""
    ),
    8,
    FALSE
  ),
  0
)
"),0.003967043027158987)</f>
        <v>0.003967043027</v>
      </c>
      <c r="S5" s="9">
        <f>IFERROR(__xludf.DUMMYFUNCTION("IFERROR(
  VLOOKUP(
    A5,
    IMPORTRANGE(
      ""1ZHMy3vVUd_0MrSduXTe1etBb1HNpAlGwQr006ljwMiM"",
      ""GSC最新!A:R""
    ),
    11,
    FALSE
  ),
  0
)
"),0.003111809980964992)</f>
        <v>0.003111809981</v>
      </c>
      <c r="T5" s="9">
        <f>IFERROR(__xludf.DUMMYFUNCTION("IFERROR(
  VLOOKUP(
    A5,
    IMPORTRANGE(
      ""1ZHMy3vVUd_0MrSduXTe1etBb1HNpAlGwQr006ljwMiM"",
      ""GSC最新!A:R""
    ),
    14,
    FALSE
  ),
  0
)
"),0.004662004662004662)</f>
        <v>0.004662004662</v>
      </c>
      <c r="U5" s="9">
        <f>IFERROR(__xludf.DUMMYFUNCTION("IFERROR(
  VLOOKUP(
    A5,
    IMPORTRANGE(
      ""1ZHMy3vVUd_0MrSduXTe1etBb1HNpAlGwQr006ljwMiM"",
      ""GSC最新!A:R""
    ),
    17,
    FALSE
  ),
  0
)
"),0.004582361926199856)</f>
        <v>0.004582361926</v>
      </c>
      <c r="V5" s="9">
        <f t="shared" ref="V5:W5" si="18">IFERROR(R5-T5,"-")</f>
        <v>-0.0006949616348</v>
      </c>
      <c r="W5" s="9">
        <f t="shared" si="18"/>
        <v>-0.001470551945</v>
      </c>
      <c r="X5" s="65">
        <f>IFERROR(__xludf.DUMMYFUNCTION("IFERROR(
  VLOOKUP(
    A5,
    IMPORTRANGE(
      ""1ZHMy3vVUd_0MrSduXTe1etBb1HNpAlGwQr006ljwMiM"",
      ""GSC最新!A:R""
    ),
    9,
    FALSE
  ),
  0
)
"),4.299533545490213)</f>
        <v>4.299533545</v>
      </c>
      <c r="Y5" s="65">
        <f>IFERROR(__xludf.DUMMYFUNCTION("IFERROR(
  VLOOKUP(
    A5,
    IMPORTRANGE(
      ""1ZHMy3vVUd_0MrSduXTe1etBb1HNpAlGwQr006ljwMiM"",
      ""GSC最新!A:R""
    ),
    12,
    FALSE
  ),
  0
)
"),4.4708929901514525)</f>
        <v>4.47089299</v>
      </c>
      <c r="Z5" s="65">
        <f>IFERROR(__xludf.DUMMYFUNCTION("IFERROR(
  VLOOKUP(
    A5,
    IMPORTRANGE(
      ""1ZHMy3vVUd_0MrSduXTe1etBb1HNpAlGwQr006ljwMiM"",
      ""GSC最新!A:R""
    ),
    15,
    FALSE
  ),
  0
)
"),15.072927072927072)</f>
        <v>15.07292707</v>
      </c>
      <c r="AA5" s="65">
        <f>IFERROR(__xludf.DUMMYFUNCTION("IFERROR(
  VLOOKUP(
    A5,
    IMPORTRANGE(
      ""1ZHMy3vVUd_0MrSduXTe1etBb1HNpAlGwQr006ljwMiM"",
      ""GSC最新!A:R""
    ),
    18,
    FALSE
  ),
  0
)
"),13.96121070825629)</f>
        <v>13.96121071</v>
      </c>
      <c r="AB5" s="65">
        <f t="shared" ref="AB5:AC5" si="19">X5-Z5</f>
        <v>-10.77339353</v>
      </c>
      <c r="AC5" s="65">
        <f t="shared" si="19"/>
        <v>-9.490317718</v>
      </c>
      <c r="AD5" s="53">
        <f>IFERROR(__xludf.DUMMYFUNCTION("IFERROR(
  VLOOKUP(
    A5,
    IMPORTRANGE(
      ""1ZHMy3vVUd_0MrSduXTe1etBb1HNpAlGwQr006ljwMiM"",
      ""GSC最新!A:F""
    ),
    6,
    FALSE
  ),
  0
)
"),46081.0)</f>
        <v>46081</v>
      </c>
      <c r="AE5" s="54">
        <f>IFERROR(__xludf.DUMMYFUNCTION("IFERROR(
  VLOOKUP(
    A5,
    IMPORTRANGE(
      ""1SCYQd7_cobOYqT0r_F0IqD4tE4rYn5y8Eup4PJTH8es"",
      ""Snapshot!A:M""
    ),
    5,
    FALSE
  ),
  ""-""
)
"),8.0)</f>
        <v>8</v>
      </c>
      <c r="AF5" s="54">
        <f>IFERROR(__xludf.DUMMYFUNCTION("IFERROR(
  VLOOKUP(
    A5,
    IMPORTRANGE(
      ""1SCYQd7_cobOYqT0r_F0IqD4tE4rYn5y8Eup4PJTH8es"",
      ""Snapshot!A:M""
    ),
    6,
    FALSE
  ),
  0
)
"),22.0)</f>
        <v>22</v>
      </c>
      <c r="AG5" s="54">
        <f>IFERROR(__xludf.DUMMYFUNCTION("IFERROR(
  VLOOKUP(
    A5,
    IMPORTRANGE(
      ""1SCYQd7_cobOYqT0r_F0IqD4tE4rYn5y8Eup4PJTH8es"",
      ""Snapshot!A:M""
    ),
    7,
    FALSE
  ),
  0
)
"),5923.0)</f>
        <v>5923</v>
      </c>
      <c r="AH5" s="54">
        <f>IFERROR(__xludf.DUMMYFUNCTION("IFERROR(
  VLOOKUP(
    A5,
    IMPORTRANGE(
      ""1SCYQd7_cobOYqT0r_F0IqD4tE4rYn5y8Eup4PJTH8es"",
      ""Snapshot!A:M""
    ),
    8,
    FALSE
  ),
  0
)
"),4.0)</f>
        <v>4</v>
      </c>
      <c r="AI5" s="54">
        <f>IFERROR(__xludf.DUMMYFUNCTION("IFERROR(
  VLOOKUP(
    A5,
    IMPORTRANGE(
      ""1SCYQd7_cobOYqT0r_F0IqD4tE4rYn5y8Eup4PJTH8es"",
      ""Snapshot!A:M""
    ),
    9,
    FALSE
  ),
  0
)
"),6.0)</f>
        <v>6</v>
      </c>
      <c r="AJ5" s="54">
        <f>IFERROR(__xludf.DUMMYFUNCTION("IFERROR(
  VLOOKUP(
    A5,
    IMPORTRANGE(
      ""1SCYQd7_cobOYqT0r_F0IqD4tE4rYn5y8Eup4PJTH8es"",
      ""Snapshot!A:M""
    ),
    13,
    FALSE
  ),
  0
)
"),1.0)</f>
        <v>1</v>
      </c>
      <c r="AK5" s="49">
        <f t="shared" ref="AK5:AL5" si="20">LEN(C5)</f>
        <v>28</v>
      </c>
      <c r="AL5" s="49">
        <f t="shared" si="20"/>
        <v>81</v>
      </c>
    </row>
    <row r="6">
      <c r="A6" s="3" t="s">
        <v>1093</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"),"PROGRESS Book2 Lesson1-Scene2 英語表現と文法ポイント")</f>
        <v>PROGRESS Book2 Lesson1-Scene2 英語表現と文法ポイント</v>
      </c>
      <c r="D6" s="1" t="str">
        <f>IFERROR(__xludf.DUMMYFUNCTION("IFERROR(
  VLOOKUP(
    A6,
    IMPORTRANGE(
      ""1ZygntHC1J6IxzKbTidmOyf5nUyW4GCLurHCjexrLm_o        "",
      ""HTMLキャッシュ!A:F""
    ),
    6,
    FALSE
  ),
  0
)
"),"SVOC（第五文型）はO＝Cで見抜く。疑問文は平叙文に戻してO was Cを確認。make/call/name例で整理し、SVC・SVOOとの違いも表で確認。")</f>
        <v>SVOC（第五文型）はO＝Cで見抜く。疑問文は平叙文に戻してO was Cを確認。make/call/name例で整理し、SVC・SVOOとの違いも表で確認。</v>
      </c>
      <c r="E6" s="32">
        <f>IFERROR(__xludf.DUMMYFUNCTION("IFERROR(
  VLOOKUP(
    A6,
    IMPORTRANGE(
      ""1ZygntHC1J6IxzKbTidmOyf5nUyW4GCLurHCjexrLm_o        "",
      ""HTMLキャッシュ!A:F""
    ),
    3,
    FALSE
  ),
  0
)
"),46073.640081018515)</f>
        <v>46073.64008</v>
      </c>
      <c r="F6" s="49">
        <f>IFERROR(__xludf.DUMMYFUNCTION("IFERROR(
  VLOOKUP(
    A6,
    IMPORTRANGE(
      ""1ZHMy3vVUd_0MrSduXTe1etBb1HNpAlGwQr006ljwMiM"",
      ""GSC最新!A:F""
    ),
    2,
    FALSE
  ),
  0
)
"),56.0)</f>
        <v>56</v>
      </c>
      <c r="G6" s="49">
        <f>IFERROR(__xludf.DUMMYFUNCTION("IFERROR(
  VLOOKUP(
    A6,
    IMPORTRANGE(
      ""1ZHMy3vVUd_0MrSduXTe1etBb1HNpAlGwQr006ljwMiM"",
      ""GSC最新!A:F""
    ),
    3,
    FALSE
  ),
  0
)
"),158.0)</f>
        <v>158</v>
      </c>
      <c r="H6" s="49">
        <f>IFERROR(__xludf.DUMMYFUNCTION("IFERROR(
  VLOOKUP(
    A6,
    IMPORTRANGE(
      ""1ZHMy3vVUd_0MrSduXTe1etBb1HNpAlGwQr006ljwMiM"",
      ""GSC最新!A:F""
    ),
    4,
    FALSE
  ),
  0
)
"),30.0)</f>
        <v>30</v>
      </c>
      <c r="I6" s="49">
        <f>IFERROR(__xludf.DUMMYFUNCTION("IFERROR(
  VLOOKUP(
    A6,
    IMPORTRANGE(
      ""1ZHMy3vVUd_0MrSduXTe1etBb1HNpAlGwQr006ljwMiM"",
      ""GSC最新!A:F""
    ),
    5,
    FALSE
  ),
  0
)
"),76.0)</f>
        <v>76</v>
      </c>
      <c r="J6" s="50">
        <f t="shared" ref="J6:K6" si="21">IFERROR(F6/H6,"-")</f>
        <v>1.866666667</v>
      </c>
      <c r="K6" s="50">
        <f t="shared" si="21"/>
        <v>2.078947368</v>
      </c>
      <c r="L6" s="6">
        <f>IFERROR(__xludf.DUMMYFUNCTION("IFERROR(
  VLOOKUP(
    A6,
    IMPORTRANGE(
      ""1ZHMy3vVUd_0MrSduXTe1etBb1HNpAlGwQr006ljwMiM"",
      ""GSC最新!A:R""
    ),
    7,
    FALSE
  ),
  0
)
"),7209.0)</f>
        <v>7209</v>
      </c>
      <c r="M6" s="6">
        <f>IFERROR(__xludf.DUMMYFUNCTION("IFERROR(
  VLOOKUP(
    A6,
    IMPORTRANGE(
      ""1ZHMy3vVUd_0MrSduXTe1etBb1HNpAlGwQr006ljwMiM"",
      ""GSC最新!A:R""
    ),
    10,
    FALSE
  ),
  0
)
"),12029.0)</f>
        <v>12029</v>
      </c>
      <c r="N6" s="6">
        <f>IFERROR(__xludf.DUMMYFUNCTION("IFERROR(
  VLOOKUP(
    A6,
    IMPORTRANGE(
      ""1ZHMy3vVUd_0MrSduXTe1etBb1HNpAlGwQr006ljwMiM"",
      ""GSC最新!A:R""
    ),
    13,
    FALSE
  ),
  0
)
"),2593.0)</f>
        <v>2593</v>
      </c>
      <c r="O6" s="6">
        <f>IFERROR(__xludf.DUMMYFUNCTION("IFERROR(
  VLOOKUP(
    A6,
    IMPORTRANGE(
      ""1ZHMy3vVUd_0MrSduXTe1etBb1HNpAlGwQr006ljwMiM"",
      ""GSC最新!A:R""
    ),
    16,
    FALSE
  ),
  0
)
"),6597.0)</f>
        <v>6597</v>
      </c>
      <c r="P6" s="51">
        <f t="shared" ref="P6:Q6" si="22">IFERROR(L6/N6,"-")</f>
        <v>2.780177401</v>
      </c>
      <c r="Q6" s="51">
        <f t="shared" si="22"/>
        <v>1.823404578</v>
      </c>
      <c r="R6" s="9">
        <f>IFERROR(__xludf.DUMMYFUNCTION("IFERROR(
  VLOOKUP(
    A6,
    IMPORTRANGE(
      ""1ZHMy3vVUd_0MrSduXTe1etBb1HNpAlGwQr006ljwMiM"",
      ""GSC最新!A:R""
    ),
    8,
    FALSE
  ),
  0
)
"),0.007768067693161326)</f>
        <v>0.007768067693</v>
      </c>
      <c r="S6" s="9">
        <f>IFERROR(__xludf.DUMMYFUNCTION("IFERROR(
  VLOOKUP(
    A6,
    IMPORTRANGE(
      ""1ZHMy3vVUd_0MrSduXTe1etBb1HNpAlGwQr006ljwMiM"",
      ""GSC最新!A:R""
    ),
    11,
    FALSE
  ),
  0
)
"),0.013134923933826585)</f>
        <v>0.01313492393</v>
      </c>
      <c r="T6" s="9">
        <f>IFERROR(__xludf.DUMMYFUNCTION("IFERROR(
  VLOOKUP(
    A6,
    IMPORTRANGE(
      ""1ZHMy3vVUd_0MrSduXTe1etBb1HNpAlGwQr006ljwMiM"",
      ""GSC最新!A:R""
    ),
    14,
    FALSE
  ),
  0
)
"),0.011569610489780177)</f>
        <v>0.01156961049</v>
      </c>
      <c r="U6" s="9">
        <f>IFERROR(__xludf.DUMMYFUNCTION("IFERROR(
  VLOOKUP(
    A6,
    IMPORTRANGE(
      ""1ZHMy3vVUd_0MrSduXTe1etBb1HNpAlGwQr006ljwMiM"",
      ""GSC最新!A:R""
    ),
    17,
    FALSE
  ),
  0
)
"),0.011520388055176595)</f>
        <v>0.01152038806</v>
      </c>
      <c r="V6" s="9">
        <f t="shared" ref="V6:W6" si="23">IFERROR(R6-T6,"-")</f>
        <v>-0.003801542797</v>
      </c>
      <c r="W6" s="9">
        <f t="shared" si="23"/>
        <v>0.001614535879</v>
      </c>
      <c r="X6" s="65">
        <f>IFERROR(__xludf.DUMMYFUNCTION("IFERROR(
  VLOOKUP(
    A6,
    IMPORTRANGE(
      ""1ZHMy3vVUd_0MrSduXTe1etBb1HNpAlGwQr006ljwMiM"",
      ""GSC最新!A:R""
    ),
    9,
    FALSE
  ),
  0
)
"),3.224580385629075)</f>
        <v>3.224580386</v>
      </c>
      <c r="Y6" s="65">
        <f>IFERROR(__xludf.DUMMYFUNCTION("IFERROR(
  VLOOKUP(
    A6,
    IMPORTRANGE(
      ""1ZHMy3vVUd_0MrSduXTe1etBb1HNpAlGwQr006ljwMiM"",
      ""GSC最新!A:R""
    ),
    12,
    FALSE
  ),
  0
)
"),3.423227200931083)</f>
        <v>3.423227201</v>
      </c>
      <c r="Z6" s="65">
        <f>IFERROR(__xludf.DUMMYFUNCTION("IFERROR(
  VLOOKUP(
    A6,
    IMPORTRANGE(
      ""1ZHMy3vVUd_0MrSduXTe1etBb1HNpAlGwQr006ljwMiM"",
      ""GSC最新!A:R""
    ),
    15,
    FALSE
  ),
  0
)
"),10.373312765136907)</f>
        <v>10.37331277</v>
      </c>
      <c r="AA6" s="65">
        <f>IFERROR(__xludf.DUMMYFUNCTION("IFERROR(
  VLOOKUP(
    A6,
    IMPORTRANGE(
      ""1ZHMy3vVUd_0MrSduXTe1etBb1HNpAlGwQr006ljwMiM"",
      ""GSC最新!A:R""
    ),
    18,
    FALSE
  ),
  0
)
"),16.015916325602547)</f>
        <v>16.01591633</v>
      </c>
      <c r="AB6" s="65">
        <f t="shared" ref="AB6:AC6" si="24">X6-Z6</f>
        <v>-7.14873238</v>
      </c>
      <c r="AC6" s="65">
        <f t="shared" si="24"/>
        <v>-12.59268912</v>
      </c>
      <c r="AD6" s="53">
        <f>IFERROR(__xludf.DUMMYFUNCTION("IFERROR(
  VLOOKUP(
    A6,
    IMPORTRANGE(
      ""1ZHMy3vVUd_0MrSduXTe1etBb1HNpAlGwQr006ljwMiM"",
      ""GSC最新!A:F""
    ),
    6,
    FALSE
  ),
  0
)
"),46081.0)</f>
        <v>46081</v>
      </c>
      <c r="AE6" s="54">
        <f>IFERROR(__xludf.DUMMYFUNCTION("IFERROR(
  VLOOKUP(
    A6,
    IMPORTRANGE(
      ""1SCYQd7_cobOYqT0r_F0IqD4tE4rYn5y8Eup4PJTH8es"",
      ""Snapshot!A:M""
    ),
    5,
    FALSE
  ),
  ""-""
)
"),6.0)</f>
        <v>6</v>
      </c>
      <c r="AF6" s="54">
        <f>IFERROR(__xludf.DUMMYFUNCTION("IFERROR(
  VLOOKUP(
    A6,
    IMPORTRANGE(
      ""1SCYQd7_cobOYqT0r_F0IqD4tE4rYn5y8Eup4PJTH8es"",
      ""Snapshot!A:M""
    ),
    6,
    FALSE
  ),
  0
)
"),13.0)</f>
        <v>13</v>
      </c>
      <c r="AG6" s="54">
        <f>IFERROR(__xludf.DUMMYFUNCTION("IFERROR(
  VLOOKUP(
    A6,
    IMPORTRANGE(
      ""1SCYQd7_cobOYqT0r_F0IqD4tE4rYn5y8Eup4PJTH8es"",
      ""Snapshot!A:M""
    ),
    7,
    FALSE
  ),
  0
)
"),4233.0)</f>
        <v>4233</v>
      </c>
      <c r="AH6" s="54">
        <f>IFERROR(__xludf.DUMMYFUNCTION("IFERROR(
  VLOOKUP(
    A6,
    IMPORTRANGE(
      ""1SCYQd7_cobOYqT0r_F0IqD4tE4rYn5y8Eup4PJTH8es"",
      ""Snapshot!A:M""
    ),
    8,
    FALSE
  ),
  0
)
"),1.0)</f>
        <v>1</v>
      </c>
      <c r="AI6" s="54">
        <f>IFERROR(__xludf.DUMMYFUNCTION("IFERROR(
  VLOOKUP(
    A6,
    IMPORTRANGE(
      ""1SCYQd7_cobOYqT0r_F0IqD4tE4rYn5y8Eup4PJTH8es"",
      ""Snapshot!A:M""
    ),
    9,
    FALSE
  ),
  0
)
"),3.0)</f>
        <v>3</v>
      </c>
      <c r="AJ6" s="54">
        <f>IFERROR(__xludf.DUMMYFUNCTION("IFERROR(
  VLOOKUP(
    A6,
    IMPORTRANGE(
      ""1SCYQd7_cobOYqT0r_F0IqD4tE4rYn5y8Eup4PJTH8es"",
      ""Snapshot!A:M""
    ),
    13,
    FALSE
  ),
  0
)
"),1.0)</f>
        <v>1</v>
      </c>
      <c r="AK6" s="49">
        <f t="shared" ref="AK6:AL6" si="25">LEN(C6)</f>
        <v>41</v>
      </c>
      <c r="AL6" s="49">
        <f t="shared" si="25"/>
        <v>79</v>
      </c>
    </row>
    <row r="7">
      <c r="A7" s="3" t="s">
        <v>1094</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"),"There is / There are の否定文まとめ｜no 名詞・not any・neither の使い分け【Progress Book1 Lesson17-3】 - 新宿区四谷の英語専門塾「英語教室『サポート』」～英語は別に怖くない！～")</f>
        <v>There is / There are の否定文まとめ｜no 名詞・not any・neither の使い分け【Progress Book1 Lesson17-3】 - 新宿区四谷の英語専門塾「英語教室『サポート』」～英語は別に怖くない！～</v>
      </c>
      <c r="D7" s="1" t="str">
        <f>IFERROR(__xludf.DUMMYFUNCTION("IFERROR(
  VLOOKUP(
    A7,
    IMPORTRANGE(
      ""1ZygntHC1J6IxzKbTidmOyf5nUyW4GCLurHCjexrLm_o        "",
      ""HTMLキャッシュ!A:F""
    ),
    6,
    FALSE
  ),
  0
)
"),"there is / there are の否定文があいまいな中学生・中高一貫校生向けに、「There is not」「There are not」と no＋名詞（There is no …）の違い、are の否定形、neither を使った否定のしかたを整理。最近の定期テストでよく聞かれるパターンを、例文と日本語訳つきでわかりやすく解説します。")</f>
        <v>there is / there are の否定文があいまいな中学生・中高一貫校生向けに、「There is not」「There are not」と no＋名詞（There is no …）の違い、are の否定形、neither を使った否定のしかたを整理。最近の定期テストでよく聞かれるパターンを、例文と日本語訳つきでわかりやすく解説します。</v>
      </c>
      <c r="E7" s="32">
        <f>IFERROR(__xludf.DUMMYFUNCTION("IFERROR(
  VLOOKUP(
    A7,
    IMPORTRANGE(
      ""1ZygntHC1J6IxzKbTidmOyf5nUyW4GCLurHCjexrLm_o        "",
      ""HTMLキャッシュ!A:F""
    ),
    3,
    FALSE
  ),
  0
)
"),45989.619618055556)</f>
        <v>45989.61962</v>
      </c>
      <c r="F7" s="49">
        <f>IFERROR(__xludf.DUMMYFUNCTION("IFERROR(
  VLOOKUP(
    A7,
    IMPORTRANGE(
      ""1ZHMy3vVUd_0MrSduXTe1etBb1HNpAlGwQr006ljwMiM"",
      ""GSC最新!A:F""
    ),
    2,
    FALSE
  ),
  0
)
"),63.0)</f>
        <v>63</v>
      </c>
      <c r="G7" s="49">
        <f>IFERROR(__xludf.DUMMYFUNCTION("IFERROR(
  VLOOKUP(
    A7,
    IMPORTRANGE(
      ""1ZHMy3vVUd_0MrSduXTe1etBb1HNpAlGwQr006ljwMiM"",
      ""GSC最新!A:F""
    ),
    3,
    FALSE
  ),
  0
)
"),130.0)</f>
        <v>130</v>
      </c>
      <c r="H7" s="49">
        <f>IFERROR(__xludf.DUMMYFUNCTION("IFERROR(
  VLOOKUP(
    A7,
    IMPORTRANGE(
      ""1ZHMy3vVUd_0MrSduXTe1etBb1HNpAlGwQr006ljwMiM"",
      ""GSC最新!A:F""
    ),
    4,
    FALSE
  ),
  0
)
"),9.0)</f>
        <v>9</v>
      </c>
      <c r="I7" s="49">
        <f>IFERROR(__xludf.DUMMYFUNCTION("IFERROR(
  VLOOKUP(
    A7,
    IMPORTRANGE(
      ""1ZHMy3vVUd_0MrSduXTe1etBb1HNpAlGwQr006ljwMiM"",
      ""GSC最新!A:F""
    ),
    5,
    FALSE
  ),
  0
)
"),21.0)</f>
        <v>21</v>
      </c>
      <c r="J7" s="50">
        <f t="shared" ref="J7:K7" si="26">IFERROR(F7/H7,"-")</f>
        <v>7</v>
      </c>
      <c r="K7" s="50">
        <f t="shared" si="26"/>
        <v>6.19047619</v>
      </c>
      <c r="L7" s="6">
        <f>IFERROR(__xludf.DUMMYFUNCTION("IFERROR(
  VLOOKUP(
    A7,
    IMPORTRANGE(
      ""1ZHMy3vVUd_0MrSduXTe1etBb1HNpAlGwQr006ljwMiM"",
      ""GSC最新!A:R""
    ),
    7,
    FALSE
  ),
  0
)
"),5856.0)</f>
        <v>5856</v>
      </c>
      <c r="M7" s="6">
        <f>IFERROR(__xludf.DUMMYFUNCTION("IFERROR(
  VLOOKUP(
    A7,
    IMPORTRANGE(
      ""1ZHMy3vVUd_0MrSduXTe1etBb1HNpAlGwQr006ljwMiM"",
      ""GSC最新!A:R""
    ),
    10,
    FALSE
  ),
  0
)
"),12789.0)</f>
        <v>12789</v>
      </c>
      <c r="N7" s="6">
        <f>IFERROR(__xludf.DUMMYFUNCTION("IFERROR(
  VLOOKUP(
    A7,
    IMPORTRANGE(
      ""1ZHMy3vVUd_0MrSduXTe1etBb1HNpAlGwQr006ljwMiM"",
      ""GSC最新!A:R""
    ),
    13,
    FALSE
  ),
  0
)
"),385.0)</f>
        <v>385</v>
      </c>
      <c r="O7" s="6">
        <f>IFERROR(__xludf.DUMMYFUNCTION("IFERROR(
  VLOOKUP(
    A7,
    IMPORTRANGE(
      ""1ZHMy3vVUd_0MrSduXTe1etBb1HNpAlGwQr006ljwMiM"",
      ""GSC最新!A:R""
    ),
    16,
    FALSE
  ),
  0
)
"),1224.0)</f>
        <v>1224</v>
      </c>
      <c r="P7" s="51">
        <f t="shared" ref="P7:Q7" si="27">IFERROR(L7/N7,"-")</f>
        <v>15.21038961</v>
      </c>
      <c r="Q7" s="51">
        <f t="shared" si="27"/>
        <v>10.44852941</v>
      </c>
      <c r="R7" s="9">
        <f>IFERROR(__xludf.DUMMYFUNCTION("IFERROR(
  VLOOKUP(
    A7,
    IMPORTRANGE(
      ""1ZHMy3vVUd_0MrSduXTe1etBb1HNpAlGwQr006ljwMiM"",
      ""GSC最新!A:R""
    ),
    8,
    FALSE
  ),
  0
)
"),0.010758196721311475)</f>
        <v>0.01075819672</v>
      </c>
      <c r="S7" s="9">
        <f>IFERROR(__xludf.DUMMYFUNCTION("IFERROR(
  VLOOKUP(
    A7,
    IMPORTRANGE(
      ""1ZHMy3vVUd_0MrSduXTe1etBb1HNpAlGwQr006ljwMiM"",
      ""GSC最新!A:R""
    ),
    11,
    FALSE
  ),
  0
)
"),0.010164985534443663)</f>
        <v>0.01016498553</v>
      </c>
      <c r="T7" s="9">
        <f>IFERROR(__xludf.DUMMYFUNCTION("IFERROR(
  VLOOKUP(
    A7,
    IMPORTRANGE(
      ""1ZHMy3vVUd_0MrSduXTe1etBb1HNpAlGwQr006ljwMiM"",
      ""GSC最新!A:R""
    ),
    14,
    FALSE
  ),
  0
)
"),0.023376623376623377)</f>
        <v>0.02337662338</v>
      </c>
      <c r="U7" s="9">
        <f>IFERROR(__xludf.DUMMYFUNCTION("IFERROR(
  VLOOKUP(
    A7,
    IMPORTRANGE(
      ""1ZHMy3vVUd_0MrSduXTe1etBb1HNpAlGwQr006ljwMiM"",
      ""GSC最新!A:R""
    ),
    17,
    FALSE
  ),
  0
)
"),0.01715686274509804)</f>
        <v>0.01715686275</v>
      </c>
      <c r="V7" s="9">
        <f t="shared" ref="V7:W7" si="28">IFERROR(R7-T7,"-")</f>
        <v>-0.01261842666</v>
      </c>
      <c r="W7" s="9">
        <f t="shared" si="28"/>
        <v>-0.006991877211</v>
      </c>
      <c r="X7" s="65">
        <f>IFERROR(__xludf.DUMMYFUNCTION("IFERROR(
  VLOOKUP(
    A7,
    IMPORTRANGE(
      ""1ZHMy3vVUd_0MrSduXTe1etBb1HNpAlGwQr006ljwMiM"",
      ""GSC最新!A:R""
    ),
    9,
    FALSE
  ),
  0
)
"),4.883367486338798)</f>
        <v>4.883367486</v>
      </c>
      <c r="Y7" s="65">
        <f>IFERROR(__xludf.DUMMYFUNCTION("IFERROR(
  VLOOKUP(
    A7,
    IMPORTRANGE(
      ""1ZHMy3vVUd_0MrSduXTe1etBb1HNpAlGwQr006ljwMiM"",
      ""GSC最新!A:R""
    ),
    12,
    FALSE
  ),
  0
)
"),4.781140042223786)</f>
        <v>4.781140042</v>
      </c>
      <c r="Z7" s="65">
        <f>IFERROR(__xludf.DUMMYFUNCTION("IFERROR(
  VLOOKUP(
    A7,
    IMPORTRANGE(
      ""1ZHMy3vVUd_0MrSduXTe1etBb1HNpAlGwQr006ljwMiM"",
      ""GSC最新!A:R""
    ),
    15,
    FALSE
  ),
  0
)
"),9.818181818181818)</f>
        <v>9.818181818</v>
      </c>
      <c r="AA7" s="65">
        <f>IFERROR(__xludf.DUMMYFUNCTION("IFERROR(
  VLOOKUP(
    A7,
    IMPORTRANGE(
      ""1ZHMy3vVUd_0MrSduXTe1etBb1HNpAlGwQr006ljwMiM"",
      ""GSC最新!A:R""
    ),
    18,
    FALSE
  ),
  0
)
"),12.681372549019608)</f>
        <v>12.68137255</v>
      </c>
      <c r="AB7" s="65">
        <f t="shared" ref="AB7:AC7" si="29">X7-Z7</f>
        <v>-4.934814332</v>
      </c>
      <c r="AC7" s="65">
        <f t="shared" si="29"/>
        <v>-7.900232507</v>
      </c>
      <c r="AD7" s="53">
        <f>IFERROR(__xludf.DUMMYFUNCTION("IFERROR(
  VLOOKUP(
    A7,
    IMPORTRANGE(
      ""1ZHMy3vVUd_0MrSduXTe1etBb1HNpAlGwQr006ljwMiM"",
      ""GSC最新!A:F""
    ),
    6,
    FALSE
  ),
  0
)
"),46081.0)</f>
        <v>46081</v>
      </c>
      <c r="AE7" s="54">
        <f>IFERROR(__xludf.DUMMYFUNCTION("IFERROR(
  VLOOKUP(
    A7,
    IMPORTRANGE(
      ""1SCYQd7_cobOYqT0r_F0IqD4tE4rYn5y8Eup4PJTH8es"",
      ""Snapshot!A:M""
    ),
    5,
    FALSE
  ),
  ""-""
)
"),0.0)</f>
        <v>0</v>
      </c>
      <c r="AF7" s="54">
        <f>IFERROR(__xludf.DUMMYFUNCTION("IFERROR(
  VLOOKUP(
    A7,
    IMPORTRANGE(
      ""1SCYQd7_cobOYqT0r_F0IqD4tE4rYn5y8Eup4PJTH8es"",
      ""Snapshot!A:M""
    ),
    6,
    FALSE
  ),
  0
)
"),4.0)</f>
        <v>4</v>
      </c>
      <c r="AG7" s="54">
        <f>IFERROR(__xludf.DUMMYFUNCTION("IFERROR(
  VLOOKUP(
    A7,
    IMPORTRANGE(
      ""1SCYQd7_cobOYqT0r_F0IqD4tE4rYn5y8Eup4PJTH8es"",
      ""Snapshot!A:M""
    ),
    7,
    FALSE
  ),
  0
)
"),2576.0)</f>
        <v>2576</v>
      </c>
      <c r="AH7" s="54">
        <f>IFERROR(__xludf.DUMMYFUNCTION("IFERROR(
  VLOOKUP(
    A7,
    IMPORTRANGE(
      ""1SCYQd7_cobOYqT0r_F0IqD4tE4rYn5y8Eup4PJTH8es"",
      ""Snapshot!A:M""
    ),
    8,
    FALSE
  ),
  0
)
"),1.0)</f>
        <v>1</v>
      </c>
      <c r="AI7" s="54">
        <f>IFERROR(__xludf.DUMMYFUNCTION("IFERROR(
  VLOOKUP(
    A7,
    IMPORTRANGE(
      ""1SCYQd7_cobOYqT0r_F0IqD4tE4rYn5y8Eup4PJTH8es"",
      ""Snapshot!A:M""
    ),
    9,
    FALSE
  ),
  0
)
"),4.0)</f>
        <v>4</v>
      </c>
      <c r="AJ7" s="54">
        <f>IFERROR(__xludf.DUMMYFUNCTION("IFERROR(
  VLOOKUP(
    A7,
    IMPORTRANGE(
      ""1SCYQd7_cobOYqT0r_F0IqD4tE4rYn5y8Eup4PJTH8es"",
      ""Snapshot!A:M""
    ),
    13,
    FALSE
  ),
  0
)
"),1.0)</f>
        <v>1</v>
      </c>
      <c r="AK7" s="49">
        <f t="shared" ref="AK7:AL7" si="30">LEN(C7)</f>
        <v>121</v>
      </c>
      <c r="AL7" s="49">
        <f t="shared" si="30"/>
        <v>174</v>
      </c>
    </row>
    <row r="8">
      <c r="A8" s="3" t="s">
        <v>1095</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"),"How long｜意味・答え方・使い方｜中1英語")</f>
        <v>How long｜意味・答え方・使い方｜中1英語</v>
      </c>
      <c r="D8" s="1" t="str">
        <f>IFERROR(__xludf.DUMMYFUNCTION("IFERROR(
  VLOOKUP(
    A8,
    IMPORTRANGE(
      ""1ZygntHC1J6IxzKbTidmOyf5nUyW4GCLurHCjexrLm_o        "",
      ""HTMLキャッシュ!A:F""
    ),
    6,
    FALSE
  ),
  0
)
"),"How longの意味と答え方を中1英語で解説。for＋期間、It takes、How long is、例文、how long timeの誤りを確認。")</f>
        <v>How longの意味と答え方を中1英語で解説。for＋期間、It takes、How long is、例文、how long timeの誤りを確認。</v>
      </c>
      <c r="E8" s="32">
        <f>IFERROR(__xludf.DUMMYFUNCTION("IFERROR(
  VLOOKUP(
    A8,
    IMPORTRANGE(
      ""1ZygntHC1J6IxzKbTidmOyf5nUyW4GCLurHCjexrLm_o        "",
      ""HTMLキャッシュ!A:F""
    ),
    3,
    FALSE
  ),
  0
)
"),46078.69385416667)</f>
        <v>46078.69385</v>
      </c>
      <c r="F8" s="49">
        <f>IFERROR(__xludf.DUMMYFUNCTION("IFERROR(
  VLOOKUP(
    A8,
    IMPORTRANGE(
      ""1ZHMy3vVUd_0MrSduXTe1etBb1HNpAlGwQr006ljwMiM"",
      ""GSC最新!A:F""
    ),
    2,
    FALSE
  ),
  0
)
"),46.0)</f>
        <v>46</v>
      </c>
      <c r="G8" s="49">
        <f>IFERROR(__xludf.DUMMYFUNCTION("IFERROR(
  VLOOKUP(
    A8,
    IMPORTRANGE(
      ""1ZHMy3vVUd_0MrSduXTe1etBb1HNpAlGwQr006ljwMiM"",
      ""GSC最新!A:F""
    ),
    3,
    FALSE
  ),
  0
)
"),116.0)</f>
        <v>116</v>
      </c>
      <c r="H8" s="49">
        <f>IFERROR(__xludf.DUMMYFUNCTION("IFERROR(
  VLOOKUP(
    A8,
    IMPORTRANGE(
      ""1ZHMy3vVUd_0MrSduXTe1etBb1HNpAlGwQr006ljwMiM"",
      ""GSC最新!A:F""
    ),
    4,
    FALSE
  ),
  0
)
"),122.0)</f>
        <v>122</v>
      </c>
      <c r="I8" s="49">
        <f>IFERROR(__xludf.DUMMYFUNCTION("IFERROR(
  VLOOKUP(
    A8,
    IMPORTRANGE(
      ""1ZHMy3vVUd_0MrSduXTe1etBb1HNpAlGwQr006ljwMiM"",
      ""GSC最新!A:F""
    ),
    5,
    FALSE
  ),
  0
)
"),337.0)</f>
        <v>337</v>
      </c>
      <c r="J8" s="50">
        <f t="shared" ref="J8:K8" si="31">IFERROR(F8/H8,"-")</f>
        <v>0.3770491803</v>
      </c>
      <c r="K8" s="50">
        <f t="shared" si="31"/>
        <v>0.3442136499</v>
      </c>
      <c r="L8" s="6">
        <f>IFERROR(__xludf.DUMMYFUNCTION("IFERROR(
  VLOOKUP(
    A8,
    IMPORTRANGE(
      ""1ZHMy3vVUd_0MrSduXTe1etBb1HNpAlGwQr006ljwMiM"",
      ""GSC最新!A:R""
    ),
    7,
    FALSE
  ),
  0
)
"),9407.0)</f>
        <v>9407</v>
      </c>
      <c r="M8" s="6">
        <f>IFERROR(__xludf.DUMMYFUNCTION("IFERROR(
  VLOOKUP(
    A8,
    IMPORTRANGE(
      ""1ZHMy3vVUd_0MrSduXTe1etBb1HNpAlGwQr006ljwMiM"",
      ""GSC最新!A:R""
    ),
    10,
    FALSE
  ),
  0
)
"),25077.0)</f>
        <v>25077</v>
      </c>
      <c r="N8" s="6">
        <f>IFERROR(__xludf.DUMMYFUNCTION("IFERROR(
  VLOOKUP(
    A8,
    IMPORTRANGE(
      ""1ZHMy3vVUd_0MrSduXTe1etBb1HNpAlGwQr006ljwMiM"",
      ""GSC最新!A:R""
    ),
    13,
    FALSE
  ),
  0
)
"),3268.0)</f>
        <v>3268</v>
      </c>
      <c r="O8" s="6">
        <f>IFERROR(__xludf.DUMMYFUNCTION("IFERROR(
  VLOOKUP(
    A8,
    IMPORTRANGE(
      ""1ZHMy3vVUd_0MrSduXTe1etBb1HNpAlGwQr006ljwMiM"",
      ""GSC最新!A:R""
    ),
    16,
    FALSE
  ),
  0
)
"),9258.0)</f>
        <v>9258</v>
      </c>
      <c r="P8" s="51">
        <f t="shared" ref="P8:Q8" si="32">IFERROR(L8/N8,"-")</f>
        <v>2.878518972</v>
      </c>
      <c r="Q8" s="51">
        <f t="shared" si="32"/>
        <v>2.708684381</v>
      </c>
      <c r="R8" s="9">
        <f>IFERROR(__xludf.DUMMYFUNCTION("IFERROR(
  VLOOKUP(
    A8,
    IMPORTRANGE(
      ""1ZHMy3vVUd_0MrSduXTe1etBb1HNpAlGwQr006ljwMiM"",
      ""GSC最新!A:R""
    ),
    8,
    FALSE
  ),
  0
)
"),0.004889975550122249)</f>
        <v>0.00488997555</v>
      </c>
      <c r="S8" s="9">
        <f>IFERROR(__xludf.DUMMYFUNCTION("IFERROR(
  VLOOKUP(
    A8,
    IMPORTRANGE(
      ""1ZHMy3vVUd_0MrSduXTe1etBb1HNpAlGwQr006ljwMiM"",
      ""GSC最新!A:R""
    ),
    11,
    FALSE
  ),
  0
)
"),0.00462575268174024)</f>
        <v>0.004625752682</v>
      </c>
      <c r="T8" s="9">
        <f>IFERROR(__xludf.DUMMYFUNCTION("IFERROR(
  VLOOKUP(
    A8,
    IMPORTRANGE(
      ""1ZHMy3vVUd_0MrSduXTe1etBb1HNpAlGwQr006ljwMiM"",
      ""GSC最新!A:R""
    ),
    14,
    FALSE
  ),
  0
)
"),0.03733170134638923)</f>
        <v>0.03733170135</v>
      </c>
      <c r="U8" s="9">
        <f>IFERROR(__xludf.DUMMYFUNCTION("IFERROR(
  VLOOKUP(
    A8,
    IMPORTRANGE(
      ""1ZHMy3vVUd_0MrSduXTe1etBb1HNpAlGwQr006ljwMiM"",
      ""GSC最新!A:R""
    ),
    17,
    FALSE
  ),
  0
)
"),0.03640095052927198)</f>
        <v>0.03640095053</v>
      </c>
      <c r="V8" s="9">
        <f t="shared" ref="V8:W8" si="33">IFERROR(R8-T8,"-")</f>
        <v>-0.0324417258</v>
      </c>
      <c r="W8" s="9">
        <f t="shared" si="33"/>
        <v>-0.03177519785</v>
      </c>
      <c r="X8" s="65">
        <f>IFERROR(__xludf.DUMMYFUNCTION("IFERROR(
  VLOOKUP(
    A8,
    IMPORTRANGE(
      ""1ZHMy3vVUd_0MrSduXTe1etBb1HNpAlGwQr006ljwMiM"",
      ""GSC最新!A:R""
    ),
    9,
    FALSE
  ),
  0
)
"),3.568725417242479)</f>
        <v>3.568725417</v>
      </c>
      <c r="Y8" s="65">
        <f>IFERROR(__xludf.DUMMYFUNCTION("IFERROR(
  VLOOKUP(
    A8,
    IMPORTRANGE(
      ""1ZHMy3vVUd_0MrSduXTe1etBb1HNpAlGwQr006ljwMiM"",
      ""GSC最新!A:R""
    ),
    12,
    FALSE
  ),
  0
)
"),4.323802687721817)</f>
        <v>4.323802688</v>
      </c>
      <c r="Z8" s="65">
        <f>IFERROR(__xludf.DUMMYFUNCTION("IFERROR(
  VLOOKUP(
    A8,
    IMPORTRANGE(
      ""1ZHMy3vVUd_0MrSduXTe1etBb1HNpAlGwQr006ljwMiM"",
      ""GSC最新!A:R""
    ),
    15,
    FALSE
  ),
  0
)
"),4.731946144430845)</f>
        <v>4.731946144</v>
      </c>
      <c r="AA8" s="65">
        <f>IFERROR(__xludf.DUMMYFUNCTION("IFERROR(
  VLOOKUP(
    A8,
    IMPORTRANGE(
      ""1ZHMy3vVUd_0MrSduXTe1etBb1HNpAlGwQr006ljwMiM"",
      ""GSC最新!A:R""
    ),
    18,
    FALSE
  ),
  0
)
"),5.354828256642904)</f>
        <v>5.354828257</v>
      </c>
      <c r="AB8" s="65">
        <f t="shared" ref="AB8:AC8" si="34">X8-Z8</f>
        <v>-1.163220727</v>
      </c>
      <c r="AC8" s="65">
        <f t="shared" si="34"/>
        <v>-1.031025569</v>
      </c>
      <c r="AD8" s="53">
        <f>IFERROR(__xludf.DUMMYFUNCTION("IFERROR(
  VLOOKUP(
    A8,
    IMPORTRANGE(
      ""1ZHMy3vVUd_0MrSduXTe1etBb1HNpAlGwQr006ljwMiM"",
      ""GSC最新!A:F""
    ),
    6,
    FALSE
  ),
  0
)
"),46081.0)</f>
        <v>46081</v>
      </c>
      <c r="AE8" s="54">
        <f>IFERROR(__xludf.DUMMYFUNCTION("IFERROR(
  VLOOKUP(
    A8,
    IMPORTRANGE(
      ""1SCYQd7_cobOYqT0r_F0IqD4tE4rYn5y8Eup4PJTH8es"",
      ""Snapshot!A:M""
    ),
    5,
    FALSE
  ),
  ""-""
)
"),2.0)</f>
        <v>2</v>
      </c>
      <c r="AF8" s="54">
        <f>IFERROR(__xludf.DUMMYFUNCTION("IFERROR(
  VLOOKUP(
    A8,
    IMPORTRANGE(
      ""1SCYQd7_cobOYqT0r_F0IqD4tE4rYn5y8Eup4PJTH8es"",
      ""Snapshot!A:M""
    ),
    6,
    FALSE
  ),
  0
)
"),3.0)</f>
        <v>3</v>
      </c>
      <c r="AG8" s="54">
        <f>IFERROR(__xludf.DUMMYFUNCTION("IFERROR(
  VLOOKUP(
    A8,
    IMPORTRANGE(
      ""1SCYQd7_cobOYqT0r_F0IqD4tE4rYn5y8Eup4PJTH8es"",
      ""Snapshot!A:M""
    ),
    7,
    FALSE
  ),
  0
)
"),3105.0)</f>
        <v>3105</v>
      </c>
      <c r="AH8" s="54">
        <f>IFERROR(__xludf.DUMMYFUNCTION("IFERROR(
  VLOOKUP(
    A8,
    IMPORTRANGE(
      ""1SCYQd7_cobOYqT0r_F0IqD4tE4rYn5y8Eup4PJTH8es"",
      ""Snapshot!A:M""
    ),
    8,
    FALSE
  ),
  0
)
"),1.0)</f>
        <v>1</v>
      </c>
      <c r="AI8" s="54">
        <f>IFERROR(__xludf.DUMMYFUNCTION("IFERROR(
  VLOOKUP(
    A8,
    IMPORTRANGE(
      ""1SCYQd7_cobOYqT0r_F0IqD4tE4rYn5y8Eup4PJTH8es"",
      ""Snapshot!A:M""
    ),
    9,
    FALSE
  ),
  0
)
"),4.0)</f>
        <v>4</v>
      </c>
      <c r="AJ8" s="54">
        <f>IFERROR(__xludf.DUMMYFUNCTION("IFERROR(
  VLOOKUP(
    A8,
    IMPORTRANGE(
      ""1SCYQd7_cobOYqT0r_F0IqD4tE4rYn5y8Eup4PJTH8es"",
      ""Snapshot!A:M""
    ),
    13,
    FALSE
  ),
  0
)
"),1.0)</f>
        <v>1</v>
      </c>
      <c r="AK8" s="49">
        <f t="shared" ref="AK8:AL8" si="35">LEN(C8)</f>
        <v>24</v>
      </c>
      <c r="AL8" s="49">
        <f t="shared" si="35"/>
        <v>75</v>
      </c>
    </row>
    <row r="9">
      <c r="A9" s="3" t="s">
        <v>1096</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"),"PROGRESS IN ENGLISH 21 教科書の特徴と難易度")</f>
        <v>PROGRESS IN ENGLISH 21 教科書の特徴と難易度</v>
      </c>
      <c r="D9" s="1" t="str">
        <f>IFERROR(__xludf.DUMMYFUNCTION("IFERROR(
  VLOOKUP(
    A9,
    IMPORTRANGE(
      ""1ZygntHC1J6IxzKbTidmOyf5nUyW4GCLurHCjexrLm_o        "",
      ""HTMLキャッシュ!A:F""
    ),
    6,
    FALSE
  ),
  0
)
"),"Progress in English 21（プログレス21）教科書を特徴と難易度で整理。採用校の確認先、家庭学習の進め方、入試は別対策もまとめる。")</f>
        <v>Progress in English 21（プログレス21）教科書を特徴と難易度で整理。採用校の確認先、家庭学習の進め方、入試は別対策もまとめる。</v>
      </c>
      <c r="E9" s="32">
        <f>IFERROR(__xludf.DUMMYFUNCTION("IFERROR(
  VLOOKUP(
    A9,
    IMPORTRANGE(
      ""1ZygntHC1J6IxzKbTidmOyf5nUyW4GCLurHCjexrLm_o        "",
      ""HTMLキャッシュ!A:F""
    ),
    3,
    FALSE
  ),
  0
)
"),46074.58155092593)</f>
        <v>46074.58155</v>
      </c>
      <c r="F9" s="49">
        <f>IFERROR(__xludf.DUMMYFUNCTION("IFERROR(
  VLOOKUP(
    A9,
    IMPORTRANGE(
      ""1ZHMy3vVUd_0MrSduXTe1etBb1HNpAlGwQr006ljwMiM"",
      ""GSC最新!A:F""
    ),
    2,
    FALSE
  ),
  0
)
"),65.0)</f>
        <v>65</v>
      </c>
      <c r="G9" s="49">
        <f>IFERROR(__xludf.DUMMYFUNCTION("IFERROR(
  VLOOKUP(
    A9,
    IMPORTRANGE(
      ""1ZHMy3vVUd_0MrSduXTe1etBb1HNpAlGwQr006ljwMiM"",
      ""GSC最新!A:F""
    ),
    3,
    FALSE
  ),
  0
)
"),107.0)</f>
        <v>107</v>
      </c>
      <c r="H9" s="49">
        <f>IFERROR(__xludf.DUMMYFUNCTION("IFERROR(
  VLOOKUP(
    A9,
    IMPORTRANGE(
      ""1ZHMy3vVUd_0MrSduXTe1etBb1HNpAlGwQr006ljwMiM"",
      ""GSC最新!A:F""
    ),
    4,
    FALSE
  ),
  0
)
"),58.0)</f>
        <v>58</v>
      </c>
      <c r="I9" s="49">
        <f>IFERROR(__xludf.DUMMYFUNCTION("IFERROR(
  VLOOKUP(
    A9,
    IMPORTRANGE(
      ""1ZHMy3vVUd_0MrSduXTe1etBb1HNpAlGwQr006ljwMiM"",
      ""GSC最新!A:F""
    ),
    5,
    FALSE
  ),
  0
)
"),120.0)</f>
        <v>120</v>
      </c>
      <c r="J9" s="50">
        <f t="shared" ref="J9:K9" si="36">IFERROR(F9/H9,"-")</f>
        <v>1.120689655</v>
      </c>
      <c r="K9" s="50">
        <f t="shared" si="36"/>
        <v>0.8916666667</v>
      </c>
      <c r="L9" s="6">
        <f>IFERROR(__xludf.DUMMYFUNCTION("IFERROR(
  VLOOKUP(
    A9,
    IMPORTRANGE(
      ""1ZHMy3vVUd_0MrSduXTe1etBb1HNpAlGwQr006ljwMiM"",
      ""GSC最新!A:R""
    ),
    7,
    FALSE
  ),
  0
)
"),1589.0)</f>
        <v>1589</v>
      </c>
      <c r="M9" s="6">
        <f>IFERROR(__xludf.DUMMYFUNCTION("IFERROR(
  VLOOKUP(
    A9,
    IMPORTRANGE(
      ""1ZHMy3vVUd_0MrSduXTe1etBb1HNpAlGwQr006ljwMiM"",
      ""GSC最新!A:R""
    ),
    10,
    FALSE
  ),
  0
)
"),3488.0)</f>
        <v>3488</v>
      </c>
      <c r="N9" s="6">
        <f>IFERROR(__xludf.DUMMYFUNCTION("IFERROR(
  VLOOKUP(
    A9,
    IMPORTRANGE(
      ""1ZHMy3vVUd_0MrSduXTe1etBb1HNpAlGwQr006ljwMiM"",
      ""GSC最新!A:R""
    ),
    13,
    FALSE
  ),
  0
)
"),2202.0)</f>
        <v>2202</v>
      </c>
      <c r="O9" s="6">
        <f>IFERROR(__xludf.DUMMYFUNCTION("IFERROR(
  VLOOKUP(
    A9,
    IMPORTRANGE(
      ""1ZHMy3vVUd_0MrSduXTe1etBb1HNpAlGwQr006ljwMiM"",
      ""GSC最新!A:R""
    ),
    16,
    FALSE
  ),
  0
)
"),5062.0)</f>
        <v>5062</v>
      </c>
      <c r="P9" s="51">
        <f t="shared" ref="P9:Q9" si="37">IFERROR(L9/N9,"-")</f>
        <v>0.7216167121</v>
      </c>
      <c r="Q9" s="51">
        <f t="shared" si="37"/>
        <v>0.6890557092</v>
      </c>
      <c r="R9" s="9">
        <f>IFERROR(__xludf.DUMMYFUNCTION("IFERROR(
  VLOOKUP(
    A9,
    IMPORTRANGE(
      ""1ZHMy3vVUd_0MrSduXTe1etBb1HNpAlGwQr006ljwMiM"",
      ""GSC最新!A:R""
    ),
    8,
    FALSE
  ),
  0
)
"),0.04090623033354311)</f>
        <v>0.04090623033</v>
      </c>
      <c r="S9" s="9">
        <f>IFERROR(__xludf.DUMMYFUNCTION("IFERROR(
  VLOOKUP(
    A9,
    IMPORTRANGE(
      ""1ZHMy3vVUd_0MrSduXTe1etBb1HNpAlGwQr006ljwMiM"",
      ""GSC最新!A:R""
    ),
    11,
    FALSE
  ),
  0
)
"),0.030676605504587156)</f>
        <v>0.0306766055</v>
      </c>
      <c r="T9" s="9">
        <f>IFERROR(__xludf.DUMMYFUNCTION("IFERROR(
  VLOOKUP(
    A9,
    IMPORTRANGE(
      ""1ZHMy3vVUd_0MrSduXTe1etBb1HNpAlGwQr006ljwMiM"",
      ""GSC最新!A:R""
    ),
    14,
    FALSE
  ),
  0
)
"),0.02633969118982743)</f>
        <v>0.02633969119</v>
      </c>
      <c r="U9" s="9">
        <f>IFERROR(__xludf.DUMMYFUNCTION("IFERROR(
  VLOOKUP(
    A9,
    IMPORTRANGE(
      ""1ZHMy3vVUd_0MrSduXTe1etBb1HNpAlGwQr006ljwMiM"",
      ""GSC最新!A:R""
    ),
    17,
    FALSE
  ),
  0
)
"),0.023706045041485577)</f>
        <v>0.02370604504</v>
      </c>
      <c r="V9" s="9">
        <f t="shared" ref="V9:W9" si="38">IFERROR(R9-T9,"-")</f>
        <v>0.01456653914</v>
      </c>
      <c r="W9" s="9">
        <f t="shared" si="38"/>
        <v>0.006970560463</v>
      </c>
      <c r="X9" s="65">
        <f>IFERROR(__xludf.DUMMYFUNCTION("IFERROR(
  VLOOKUP(
    A9,
    IMPORTRANGE(
      ""1ZHMy3vVUd_0MrSduXTe1etBb1HNpAlGwQr006ljwMiM"",
      ""GSC最新!A:R""
    ),
    9,
    FALSE
  ),
  0
)
"),6.955947136563877)</f>
        <v>6.955947137</v>
      </c>
      <c r="Y9" s="65">
        <f>IFERROR(__xludf.DUMMYFUNCTION("IFERROR(
  VLOOKUP(
    A9,
    IMPORTRANGE(
      ""1ZHMy3vVUd_0MrSduXTe1etBb1HNpAlGwQr006ljwMiM"",
      ""GSC最新!A:R""
    ),
    12,
    FALSE
  ),
  0
)
"),7.332855504587156)</f>
        <v>7.332855505</v>
      </c>
      <c r="Z9" s="65">
        <f>IFERROR(__xludf.DUMMYFUNCTION("IFERROR(
  VLOOKUP(
    A9,
    IMPORTRANGE(
      ""1ZHMy3vVUd_0MrSduXTe1etBb1HNpAlGwQr006ljwMiM"",
      ""GSC最新!A:R""
    ),
    15,
    FALSE
  ),
  0
)
"),12.528610354223433)</f>
        <v>12.52861035</v>
      </c>
      <c r="AA9" s="65">
        <f>IFERROR(__xludf.DUMMYFUNCTION("IFERROR(
  VLOOKUP(
    A9,
    IMPORTRANGE(
      ""1ZHMy3vVUd_0MrSduXTe1etBb1HNpAlGwQr006ljwMiM"",
      ""GSC最新!A:R""
    ),
    18,
    FALSE
  ),
  0
)
"),15.009877518767286)</f>
        <v>15.00987752</v>
      </c>
      <c r="AB9" s="65">
        <f t="shared" ref="AB9:AC9" si="39">X9-Z9</f>
        <v>-5.572663218</v>
      </c>
      <c r="AC9" s="65">
        <f t="shared" si="39"/>
        <v>-7.677022014</v>
      </c>
      <c r="AD9" s="53">
        <f>IFERROR(__xludf.DUMMYFUNCTION("IFERROR(
  VLOOKUP(
    A9,
    IMPORTRANGE(
      ""1ZHMy3vVUd_0MrSduXTe1etBb1HNpAlGwQr006ljwMiM"",
      ""GSC最新!A:F""
    ),
    6,
    FALSE
  ),
  0
)
"),46081.0)</f>
        <v>46081</v>
      </c>
      <c r="AE9" s="54">
        <f>IFERROR(__xludf.DUMMYFUNCTION("IFERROR(
  VLOOKUP(
    A9,
    IMPORTRANGE(
      ""1SCYQd7_cobOYqT0r_F0IqD4tE4rYn5y8Eup4PJTH8es"",
      ""Snapshot!A:M""
    ),
    5,
    FALSE
  ),
  ""-""
)
"),5.0)</f>
        <v>5</v>
      </c>
      <c r="AF9" s="54">
        <f>IFERROR(__xludf.DUMMYFUNCTION("IFERROR(
  VLOOKUP(
    A9,
    IMPORTRANGE(
      ""1SCYQd7_cobOYqT0r_F0IqD4tE4rYn5y8Eup4PJTH8es"",
      ""Snapshot!A:M""
    ),
    6,
    FALSE
  ),
  0
)
"),16.0)</f>
        <v>16</v>
      </c>
      <c r="AG9" s="54">
        <f>IFERROR(__xludf.DUMMYFUNCTION("IFERROR(
  VLOOKUP(
    A9,
    IMPORTRANGE(
      ""1SCYQd7_cobOYqT0r_F0IqD4tE4rYn5y8Eup4PJTH8es"",
      ""Snapshot!A:M""
    ),
    7,
    FALSE
  ),
  0
)
"),5725.0)</f>
        <v>5725</v>
      </c>
      <c r="AH9" s="54">
        <f>IFERROR(__xludf.DUMMYFUNCTION("IFERROR(
  VLOOKUP(
    A9,
    IMPORTRANGE(
      ""1SCYQd7_cobOYqT0r_F0IqD4tE4rYn5y8Eup4PJTH8es"",
      ""Snapshot!A:M""
    ),
    8,
    FALSE
  ),
  0
)
"),1.0)</f>
        <v>1</v>
      </c>
      <c r="AI9" s="54">
        <f>IFERROR(__xludf.DUMMYFUNCTION("IFERROR(
  VLOOKUP(
    A9,
    IMPORTRANGE(
      ""1SCYQd7_cobOYqT0r_F0IqD4tE4rYn5y8Eup4PJTH8es"",
      ""Snapshot!A:M""
    ),
    9,
    FALSE
  ),
  0
)
"),5.0)</f>
        <v>5</v>
      </c>
      <c r="AJ9" s="54">
        <f>IFERROR(__xludf.DUMMYFUNCTION("IFERROR(
  VLOOKUP(
    A9,
    IMPORTRANGE(
      ""1SCYQd7_cobOYqT0r_F0IqD4tE4rYn5y8Eup4PJTH8es"",
      ""Snapshot!A:M""
    ),
    13,
    FALSE
  ),
  0
)
"),1.0)</f>
        <v>1</v>
      </c>
      <c r="AK9" s="49">
        <f t="shared" ref="AK9:AL9" si="40">LEN(C9)</f>
        <v>33</v>
      </c>
      <c r="AL9" s="49">
        <f t="shared" si="40"/>
        <v>74</v>
      </c>
    </row>
    <row r="10">
      <c r="A10" s="3" t="s">
        <v>1097</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"),"anyの後ろは複数形になる理由｜not＋any＝一つもない・疑問文のany・someとの違いまで例文で整理｜中1英語")</f>
        <v>anyの後ろは複数形になる理由｜not＋any＝一つもない・疑問文のany・someとの違いまで例文で整理｜中1英語</v>
      </c>
      <c r="D10" s="1" t="str">
        <f>IFERROR(__xludf.DUMMYFUNCTION("IFERROR(
  VLOOKUP(
    A10,
    IMPORTRANGE(
      ""1ZygntHC1J6IxzKbTidmOyf5nUyW4GCLurHCjexrLm_o        "",
      ""HTMLキャッシュ!A:F""
    ),
    6,
    FALSE
  ),
  0
)
"),"anyは否定文・疑問文で使うのが基本。not＋any＝一つもない／全くない、some→anyの切替、any lemonsのように後ろが複数形になる理由を例文で整理。テストで迷いがちな訳し分けも一緒に確認（Progress Book1 Lesson14-2）")</f>
        <v>anyは否定文・疑問文で使うのが基本。not＋any＝一つもない／全くない、some→anyの切替、any lemonsのように後ろが複数形になる理由を例文で整理。テストで迷いがちな訳し分けも一緒に確認（Progress Book1 Lesson14-2）</v>
      </c>
      <c r="E10" s="32">
        <f>IFERROR(__xludf.DUMMYFUNCTION("IFERROR(
  VLOOKUP(
    A10,
    IMPORTRANGE(
      ""1ZygntHC1J6IxzKbTidmOyf5nUyW4GCLurHCjexrLm_o        "",
      ""HTMLキャッシュ!A:F""
    ),
    3,
    FALSE
  ),
  0
)
"),46029.651296296295)</f>
        <v>46029.6513</v>
      </c>
      <c r="F10" s="49">
        <f>IFERROR(__xludf.DUMMYFUNCTION("IFERROR(
  VLOOKUP(
    A10,
    IMPORTRANGE(
      ""1ZHMy3vVUd_0MrSduXTe1etBb1HNpAlGwQr006ljwMiM"",
      ""GSC最新!A:F""
    ),
    2,
    FALSE
  ),
  0
)
"),47.0)</f>
        <v>47</v>
      </c>
      <c r="G10" s="49">
        <f>IFERROR(__xludf.DUMMYFUNCTION("IFERROR(
  VLOOKUP(
    A10,
    IMPORTRANGE(
      ""1ZHMy3vVUd_0MrSduXTe1etBb1HNpAlGwQr006ljwMiM"",
      ""GSC最新!A:F""
    ),
    3,
    FALSE
  ),
  0
)
"),98.0)</f>
        <v>98</v>
      </c>
      <c r="H10" s="49">
        <f>IFERROR(__xludf.DUMMYFUNCTION("IFERROR(
  VLOOKUP(
    A10,
    IMPORTRANGE(
      ""1ZHMy3vVUd_0MrSduXTe1etBb1HNpAlGwQr006ljwMiM"",
      ""GSC最新!A:F""
    ),
    4,
    FALSE
  ),
  0
)
"),17.0)</f>
        <v>17</v>
      </c>
      <c r="I10" s="49">
        <f>IFERROR(__xludf.DUMMYFUNCTION("IFERROR(
  VLOOKUP(
    A10,
    IMPORTRANGE(
      ""1ZHMy3vVUd_0MrSduXTe1etBb1HNpAlGwQr006ljwMiM"",
      ""GSC最新!A:F""
    ),
    5,
    FALSE
  ),
  0
)
"),39.0)</f>
        <v>39</v>
      </c>
      <c r="J10" s="50">
        <f t="shared" ref="J10:K10" si="41">IFERROR(F10/H10,"-")</f>
        <v>2.764705882</v>
      </c>
      <c r="K10" s="50">
        <f t="shared" si="41"/>
        <v>2.512820513</v>
      </c>
      <c r="L10" s="6">
        <f>IFERROR(__xludf.DUMMYFUNCTION("IFERROR(
  VLOOKUP(
    A10,
    IMPORTRANGE(
      ""1ZHMy3vVUd_0MrSduXTe1etBb1HNpAlGwQr006ljwMiM"",
      ""GSC最新!A:R""
    ),
    7,
    FALSE
  ),
  0
)
"),10568.0)</f>
        <v>10568</v>
      </c>
      <c r="M10" s="6">
        <f>IFERROR(__xludf.DUMMYFUNCTION("IFERROR(
  VLOOKUP(
    A10,
    IMPORTRANGE(
      ""1ZHMy3vVUd_0MrSduXTe1etBb1HNpAlGwQr006ljwMiM"",
      ""GSC最新!A:R""
    ),
    10,
    FALSE
  ),
  0
)
"),26021.0)</f>
        <v>26021</v>
      </c>
      <c r="N10" s="6">
        <f>IFERROR(__xludf.DUMMYFUNCTION("IFERROR(
  VLOOKUP(
    A10,
    IMPORTRANGE(
      ""1ZHMy3vVUd_0MrSduXTe1etBb1HNpAlGwQr006ljwMiM"",
      ""GSC最新!A:R""
    ),
    13,
    FALSE
  ),
  0
)
"),2739.0)</f>
        <v>2739</v>
      </c>
      <c r="O10" s="6">
        <f>IFERROR(__xludf.DUMMYFUNCTION("IFERROR(
  VLOOKUP(
    A10,
    IMPORTRANGE(
      ""1ZHMy3vVUd_0MrSduXTe1etBb1HNpAlGwQr006ljwMiM"",
      ""GSC最新!A:R""
    ),
    16,
    FALSE
  ),
  0
)
"),7801.0)</f>
        <v>7801</v>
      </c>
      <c r="P10" s="51">
        <f t="shared" ref="P10:Q10" si="42">IFERROR(L10/N10,"-")</f>
        <v>3.858342461</v>
      </c>
      <c r="Q10" s="51">
        <f t="shared" si="42"/>
        <v>3.335598</v>
      </c>
      <c r="R10" s="9">
        <f>IFERROR(__xludf.DUMMYFUNCTION("IFERROR(
  VLOOKUP(
    A10,
    IMPORTRANGE(
      ""1ZHMy3vVUd_0MrSduXTe1etBb1HNpAlGwQr006ljwMiM"",
      ""GSC最新!A:R""
    ),
    8,
    FALSE
  ),
  0
)
"),0.004447388342165026)</f>
        <v>0.004447388342</v>
      </c>
      <c r="S10" s="9">
        <f>IFERROR(__xludf.DUMMYFUNCTION("IFERROR(
  VLOOKUP(
    A10,
    IMPORTRANGE(
      ""1ZHMy3vVUd_0MrSduXTe1etBb1HNpAlGwQr006ljwMiM"",
      ""GSC最新!A:R""
    ),
    11,
    FALSE
  ),
  0
)
"),0.003766188847469352)</f>
        <v>0.003766188847</v>
      </c>
      <c r="T10" s="9">
        <f>IFERROR(__xludf.DUMMYFUNCTION("IFERROR(
  VLOOKUP(
    A10,
    IMPORTRANGE(
      ""1ZHMy3vVUd_0MrSduXTe1etBb1HNpAlGwQr006ljwMiM"",
      ""GSC最新!A:R""
    ),
    14,
    FALSE
  ),
  0
)
"),0.006206644760861628)</f>
        <v>0.006206644761</v>
      </c>
      <c r="U10" s="9">
        <f>IFERROR(__xludf.DUMMYFUNCTION("IFERROR(
  VLOOKUP(
    A10,
    IMPORTRANGE(
      ""1ZHMy3vVUd_0MrSduXTe1etBb1HNpAlGwQr006ljwMiM"",
      ""GSC最新!A:R""
    ),
    17,
    FALSE
  ),
  0
)
"),0.004999359056531214)</f>
        <v>0.004999359057</v>
      </c>
      <c r="V10" s="9">
        <f t="shared" ref="V10:W10" si="43">IFERROR(R10-T10,"-")</f>
        <v>-0.001759256419</v>
      </c>
      <c r="W10" s="9">
        <f t="shared" si="43"/>
        <v>-0.001233170209</v>
      </c>
      <c r="X10" s="65">
        <f>IFERROR(__xludf.DUMMYFUNCTION("IFERROR(
  VLOOKUP(
    A10,
    IMPORTRANGE(
      ""1ZHMy3vVUd_0MrSduXTe1etBb1HNpAlGwQr006ljwMiM"",
      ""GSC最新!A:R""
    ),
    9,
    FALSE
  ),
  0
)
"),4.624716124148373)</f>
        <v>4.624716124</v>
      </c>
      <c r="Y10" s="65">
        <f>IFERROR(__xludf.DUMMYFUNCTION("IFERROR(
  VLOOKUP(
    A10,
    IMPORTRANGE(
      ""1ZHMy3vVUd_0MrSduXTe1etBb1HNpAlGwQr006ljwMiM"",
      ""GSC最新!A:R""
    ),
    12,
    FALSE
  ),
  0
)
"),4.9276353714307675)</f>
        <v>4.927635371</v>
      </c>
      <c r="Z10" s="65">
        <f>IFERROR(__xludf.DUMMYFUNCTION("IFERROR(
  VLOOKUP(
    A10,
    IMPORTRANGE(
      ""1ZHMy3vVUd_0MrSduXTe1etBb1HNpAlGwQr006ljwMiM"",
      ""GSC最新!A:R""
    ),
    15,
    FALSE
  ),
  0
)
"),10.36838262139467)</f>
        <v>10.36838262</v>
      </c>
      <c r="AA10" s="65">
        <f>IFERROR(__xludf.DUMMYFUNCTION("IFERROR(
  VLOOKUP(
    A10,
    IMPORTRANGE(
      ""1ZHMy3vVUd_0MrSduXTe1etBb1HNpAlGwQr006ljwMiM"",
      ""GSC最新!A:R""
    ),
    18,
    FALSE
  ),
  0
)
"),11.83963594410973)</f>
        <v>11.83963594</v>
      </c>
      <c r="AB10" s="65">
        <f t="shared" ref="AB10:AC10" si="44">X10-Z10</f>
        <v>-5.743666497</v>
      </c>
      <c r="AC10" s="65">
        <f t="shared" si="44"/>
        <v>-6.912000573</v>
      </c>
      <c r="AD10" s="53">
        <f>IFERROR(__xludf.DUMMYFUNCTION("IFERROR(
  VLOOKUP(
    A10,
    IMPORTRANGE(
      ""1ZHMy3vVUd_0MrSduXTe1etBb1HNpAlGwQr006ljwMiM"",
      ""GSC最新!A:F""
    ),
    6,
    FALSE
  ),
  0
)
"),46081.0)</f>
        <v>46081</v>
      </c>
      <c r="AE10" s="54">
        <f>IFERROR(__xludf.DUMMYFUNCTION("IFERROR(
  VLOOKUP(
    A10,
    IMPORTRANGE(
      ""1SCYQd7_cobOYqT0r_F0IqD4tE4rYn5y8Eup4PJTH8es"",
      ""Snapshot!A:M""
    ),
    5,
    FALSE
  ),
  ""-""
)
"),3.0)</f>
        <v>3</v>
      </c>
      <c r="AF10" s="54">
        <f>IFERROR(__xludf.DUMMYFUNCTION("IFERROR(
  VLOOKUP(
    A10,
    IMPORTRANGE(
      ""1SCYQd7_cobOYqT0r_F0IqD4tE4rYn5y8Eup4PJTH8es"",
      ""Snapshot!A:M""
    ),
    6,
    FALSE
  ),
  0
)
"),1.0)</f>
        <v>1</v>
      </c>
      <c r="AG10" s="54">
        <f>IFERROR(__xludf.DUMMYFUNCTION("IFERROR(
  VLOOKUP(
    A10,
    IMPORTRANGE(
      ""1SCYQd7_cobOYqT0r_F0IqD4tE4rYn5y8Eup4PJTH8es"",
      ""Snapshot!A:M""
    ),
    7,
    FALSE
  ),
  0
)
"),2472.0)</f>
        <v>2472</v>
      </c>
      <c r="AH10" s="54">
        <f>IFERROR(__xludf.DUMMYFUNCTION("IFERROR(
  VLOOKUP(
    A10,
    IMPORTRANGE(
      ""1SCYQd7_cobOYqT0r_F0IqD4tE4rYn5y8Eup4PJTH8es"",
      ""Snapshot!A:M""
    ),
    8,
    FALSE
  ),
  0
)
"),1.0)</f>
        <v>1</v>
      </c>
      <c r="AI10" s="54">
        <f>IFERROR(__xludf.DUMMYFUNCTION("IFERROR(
  VLOOKUP(
    A10,
    IMPORTRANGE(
      ""1SCYQd7_cobOYqT0r_F0IqD4tE4rYn5y8Eup4PJTH8es"",
      ""Snapshot!A:M""
    ),
    9,
    FALSE
  ),
  0
)
"),4.0)</f>
        <v>4</v>
      </c>
      <c r="AJ10" s="54">
        <f>IFERROR(__xludf.DUMMYFUNCTION("IFERROR(
  VLOOKUP(
    A10,
    IMPORTRANGE(
      ""1SCYQd7_cobOYqT0r_F0IqD4tE4rYn5y8Eup4PJTH8es"",
      ""Snapshot!A:M""
    ),
    13,
    FALSE
  ),
  0
)
"),1.0)</f>
        <v>1</v>
      </c>
      <c r="AK10" s="49">
        <f t="shared" ref="AK10:AL10" si="45">LEN(C10)</f>
        <v>58</v>
      </c>
      <c r="AL10" s="49">
        <f t="shared" si="45"/>
        <v>128</v>
      </c>
    </row>
    <row r="11">
      <c r="A11" s="3" t="s">
        <v>1098</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"),"manyとmuchの違い｜too many/too much｜中学英語")</f>
        <v>manyとmuchの違い｜too many/too much｜中学英語</v>
      </c>
      <c r="D11" s="1" t="str">
        <f>IFERROR(__xludf.DUMMYFUNCTION("IFERROR(
  VLOOKUP(
    A11,
    IMPORTRANGE(
      ""1ZygntHC1J6IxzKbTidmOyf5nUyW4GCLurHCjexrLm_o        "",
      ""HTMLキャッシュ!A:F""
    ),
    6,
    FALSE
  ),
  0
)
"),"some/anyからmany/muchへ。複数形はmany、不可算名詞はmuch。too many/too much、how many/how much、a lot ofも例文で確認。")</f>
        <v>some/anyからmany/muchへ。複数形はmany、不可算名詞はmuch。too many/too much、how many/how much、a lot ofも例文で確認。</v>
      </c>
      <c r="E11" s="32">
        <f>IFERROR(__xludf.DUMMYFUNCTION("IFERROR(
  VLOOKUP(
    A11,
    IMPORTRANGE(
      ""1ZygntHC1J6IxzKbTidmOyf5nUyW4GCLurHCjexrLm_o        "",
      ""HTMLキャッシュ!A:F""
    ),
    3,
    FALSE
  ),
  0
)
"),46072.87042824074)</f>
        <v>46072.87043</v>
      </c>
      <c r="F11" s="49">
        <f>IFERROR(__xludf.DUMMYFUNCTION("IFERROR(
  VLOOKUP(
    A11,
    IMPORTRANGE(
      ""1ZHMy3vVUd_0MrSduXTe1etBb1HNpAlGwQr006ljwMiM"",
      ""GSC最新!A:F""
    ),
    2,
    FALSE
  ),
  0
)
"),34.0)</f>
        <v>34</v>
      </c>
      <c r="G11" s="49">
        <f>IFERROR(__xludf.DUMMYFUNCTION("IFERROR(
  VLOOKUP(
    A11,
    IMPORTRANGE(
      ""1ZHMy3vVUd_0MrSduXTe1etBb1HNpAlGwQr006ljwMiM"",
      ""GSC最新!A:F""
    ),
    3,
    FALSE
  ),
  0
)
"),81.0)</f>
        <v>81</v>
      </c>
      <c r="H11" s="49">
        <f>IFERROR(__xludf.DUMMYFUNCTION("IFERROR(
  VLOOKUP(
    A11,
    IMPORTRANGE(
      ""1ZHMy3vVUd_0MrSduXTe1etBb1HNpAlGwQr006ljwMiM"",
      ""GSC最新!A:F""
    ),
    4,
    FALSE
  ),
  0
)
"),24.0)</f>
        <v>24</v>
      </c>
      <c r="I11" s="49">
        <f>IFERROR(__xludf.DUMMYFUNCTION("IFERROR(
  VLOOKUP(
    A11,
    IMPORTRANGE(
      ""1ZHMy3vVUd_0MrSduXTe1etBb1HNpAlGwQr006ljwMiM"",
      ""GSC最新!A:F""
    ),
    5,
    FALSE
  ),
  0
)
"),76.0)</f>
        <v>76</v>
      </c>
      <c r="J11" s="50">
        <f t="shared" ref="J11:K11" si="46">IFERROR(F11/H11,"-")</f>
        <v>1.416666667</v>
      </c>
      <c r="K11" s="50">
        <f t="shared" si="46"/>
        <v>1.065789474</v>
      </c>
      <c r="L11" s="6">
        <f>IFERROR(__xludf.DUMMYFUNCTION("IFERROR(
  VLOOKUP(
    A11,
    IMPORTRANGE(
      ""1ZHMy3vVUd_0MrSduXTe1etBb1HNpAlGwQr006ljwMiM"",
      ""GSC最新!A:R""
    ),
    7,
    FALSE
  ),
  0
)
"),19624.0)</f>
        <v>19624</v>
      </c>
      <c r="M11" s="6">
        <f>IFERROR(__xludf.DUMMYFUNCTION("IFERROR(
  VLOOKUP(
    A11,
    IMPORTRANGE(
      ""1ZHMy3vVUd_0MrSduXTe1etBb1HNpAlGwQr006ljwMiM"",
      ""GSC最新!A:R""
    ),
    10,
    FALSE
  ),
  0
)
"),46077.0)</f>
        <v>46077</v>
      </c>
      <c r="N11" s="6">
        <f>IFERROR(__xludf.DUMMYFUNCTION("IFERROR(
  VLOOKUP(
    A11,
    IMPORTRANGE(
      ""1ZHMy3vVUd_0MrSduXTe1etBb1HNpAlGwQr006ljwMiM"",
      ""GSC最新!A:R""
    ),
    13,
    FALSE
  ),
  0
)
"),4011.0)</f>
        <v>4011</v>
      </c>
      <c r="O11" s="6">
        <f>IFERROR(__xludf.DUMMYFUNCTION("IFERROR(
  VLOOKUP(
    A11,
    IMPORTRANGE(
      ""1ZHMy3vVUd_0MrSduXTe1etBb1HNpAlGwQr006ljwMiM"",
      ""GSC最新!A:R""
    ),
    16,
    FALSE
  ),
  0
)
"),11468.0)</f>
        <v>11468</v>
      </c>
      <c r="P11" s="51">
        <f t="shared" ref="P11:Q11" si="47">IFERROR(L11/N11,"-")</f>
        <v>4.8925455</v>
      </c>
      <c r="Q11" s="51">
        <f t="shared" si="47"/>
        <v>4.017875828</v>
      </c>
      <c r="R11" s="9">
        <f>IFERROR(__xludf.DUMMYFUNCTION("IFERROR(
  VLOOKUP(
    A11,
    IMPORTRANGE(
      ""1ZHMy3vVUd_0MrSduXTe1etBb1HNpAlGwQr006ljwMiM"",
      ""GSC最新!A:R""
    ),
    8,
    FALSE
  ),
  0
)
"),0.001732572360375051)</f>
        <v>0.00173257236</v>
      </c>
      <c r="S11" s="9">
        <f>IFERROR(__xludf.DUMMYFUNCTION("IFERROR(
  VLOOKUP(
    A11,
    IMPORTRANGE(
      ""1ZHMy3vVUd_0MrSduXTe1etBb1HNpAlGwQr006ljwMiM"",
      ""GSC最新!A:R""
    ),
    11,
    FALSE
  ),
  0
)
"),0.0017579269483690345)</f>
        <v>0.001757926948</v>
      </c>
      <c r="T11" s="9">
        <f>IFERROR(__xludf.DUMMYFUNCTION("IFERROR(
  VLOOKUP(
    A11,
    IMPORTRANGE(
      ""1ZHMy3vVUd_0MrSduXTe1etBb1HNpAlGwQr006ljwMiM"",
      ""GSC最新!A:R""
    ),
    14,
    FALSE
  ),
  0
)
"),0.005983545250560957)</f>
        <v>0.005983545251</v>
      </c>
      <c r="U11" s="9">
        <f>IFERROR(__xludf.DUMMYFUNCTION("IFERROR(
  VLOOKUP(
    A11,
    IMPORTRANGE(
      ""1ZHMy3vVUd_0MrSduXTe1etBb1HNpAlGwQr006ljwMiM"",
      ""GSC最新!A:R""
    ),
    17,
    FALSE
  ),
  0
)
"),0.006627136379490757)</f>
        <v>0.006627136379</v>
      </c>
      <c r="V11" s="9">
        <f t="shared" ref="V11:W11" si="48">IFERROR(R11-T11,"-")</f>
        <v>-0.00425097289</v>
      </c>
      <c r="W11" s="9">
        <f t="shared" si="48"/>
        <v>-0.004869209431</v>
      </c>
      <c r="X11" s="65">
        <f>IFERROR(__xludf.DUMMYFUNCTION("IFERROR(
  VLOOKUP(
    A11,
    IMPORTRANGE(
      ""1ZHMy3vVUd_0MrSduXTe1etBb1HNpAlGwQr006ljwMiM"",
      ""GSC最新!A:R""
    ),
    9,
    FALSE
  ),
  0
)
"),4.54998980839788)</f>
        <v>4.549989808</v>
      </c>
      <c r="Y11" s="65">
        <f>IFERROR(__xludf.DUMMYFUNCTION("IFERROR(
  VLOOKUP(
    A11,
    IMPORTRANGE(
      ""1ZHMy3vVUd_0MrSduXTe1etBb1HNpAlGwQr006ljwMiM"",
      ""GSC最新!A:R""
    ),
    12,
    FALSE
  ),
  0
)
"),4.6351759012088465)</f>
        <v>4.635175901</v>
      </c>
      <c r="Z11" s="65">
        <f>IFERROR(__xludf.DUMMYFUNCTION("IFERROR(
  VLOOKUP(
    A11,
    IMPORTRANGE(
      ""1ZHMy3vVUd_0MrSduXTe1etBb1HNpAlGwQr006ljwMiM"",
      ""GSC最新!A:R""
    ),
    15,
    FALSE
  ),
  0
)
"),8.523310895038644)</f>
        <v>8.523310895</v>
      </c>
      <c r="AA11" s="65">
        <f>IFERROR(__xludf.DUMMYFUNCTION("IFERROR(
  VLOOKUP(
    A11,
    IMPORTRANGE(
      ""1ZHMy3vVUd_0MrSduXTe1etBb1HNpAlGwQr006ljwMiM"",
      ""GSC最新!A:R""
    ),
    18,
    FALSE
  ),
  0
)
"),8.985088943146145)</f>
        <v>8.985088943</v>
      </c>
      <c r="AB11" s="65">
        <f t="shared" ref="AB11:AC11" si="49">X11-Z11</f>
        <v>-3.973321087</v>
      </c>
      <c r="AC11" s="65">
        <f t="shared" si="49"/>
        <v>-4.349913042</v>
      </c>
      <c r="AD11" s="53">
        <f>IFERROR(__xludf.DUMMYFUNCTION("IFERROR(
  VLOOKUP(
    A11,
    IMPORTRANGE(
      ""1ZHMy3vVUd_0MrSduXTe1etBb1HNpAlGwQr006ljwMiM"",
      ""GSC最新!A:F""
    ),
    6,
    FALSE
  ),
  0
)
"),46081.0)</f>
        <v>46081</v>
      </c>
      <c r="AE11" s="54">
        <f>IFERROR(__xludf.DUMMYFUNCTION("IFERROR(
  VLOOKUP(
    A11,
    IMPORTRANGE(
      ""1SCYQd7_cobOYqT0r_F0IqD4tE4rYn5y8Eup4PJTH8es"",
      ""Snapshot!A:M""
    ),
    5,
    FALSE
  ),
  ""-""
)
"),8.0)</f>
        <v>8</v>
      </c>
      <c r="AF11" s="54">
        <f>IFERROR(__xludf.DUMMYFUNCTION("IFERROR(
  VLOOKUP(
    A11,
    IMPORTRANGE(
      ""1SCYQd7_cobOYqT0r_F0IqD4tE4rYn5y8Eup4PJTH8es"",
      ""Snapshot!A:M""
    ),
    6,
    FALSE
  ),
  0
)
"),17.0)</f>
        <v>17</v>
      </c>
      <c r="AG11" s="54">
        <f>IFERROR(__xludf.DUMMYFUNCTION("IFERROR(
  VLOOKUP(
    A11,
    IMPORTRANGE(
      ""1SCYQd7_cobOYqT0r_F0IqD4tE4rYn5y8Eup4PJTH8es"",
      ""Snapshot!A:M""
    ),
    7,
    FALSE
  ),
  0
)
"),5244.0)</f>
        <v>5244</v>
      </c>
      <c r="AH11" s="54">
        <f>IFERROR(__xludf.DUMMYFUNCTION("IFERROR(
  VLOOKUP(
    A11,
    IMPORTRANGE(
      ""1SCYQd7_cobOYqT0r_F0IqD4tE4rYn5y8Eup4PJTH8es"",
      ""Snapshot!A:M""
    ),
    8,
    FALSE
  ),
  0
)
"),1.0)</f>
        <v>1</v>
      </c>
      <c r="AI11" s="54">
        <f>IFERROR(__xludf.DUMMYFUNCTION("IFERROR(
  VLOOKUP(
    A11,
    IMPORTRANGE(
      ""1SCYQd7_cobOYqT0r_F0IqD4tE4rYn5y8Eup4PJTH8es"",
      ""Snapshot!A:M""
    ),
    9,
    FALSE
  ),
  0
)
"),5.0)</f>
        <v>5</v>
      </c>
      <c r="AJ11" s="54">
        <f>IFERROR(__xludf.DUMMYFUNCTION("IFERROR(
  VLOOKUP(
    A11,
    IMPORTRANGE(
      ""1SCYQd7_cobOYqT0r_F0IqD4tE4rYn5y8Eup4PJTH8es"",
      ""Snapshot!A:M""
    ),
    13,
    FALSE
  ),
  0
)
"),1.0)</f>
        <v>1</v>
      </c>
      <c r="AK11" s="49">
        <f t="shared" ref="AK11:AL11" si="50">LEN(C11)</f>
        <v>35</v>
      </c>
      <c r="AL11" s="49">
        <f t="shared" si="50"/>
        <v>92</v>
      </c>
    </row>
    <row r="12">
      <c r="A12" s="3" t="s">
        <v>1099</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"),"所有格とは｜boy’s・boys’の違いと複数形s｜中学英語")</f>
        <v>所有格とは｜boy’s・boys’の違いと複数形s｜中学英語</v>
      </c>
      <c r="D12" s="1" t="str">
        <f>IFERROR(__xludf.DUMMYFUNCTION("IFERROR(
  VLOOKUP(
    A12,
    IMPORTRANGE(
      ""1ZygntHC1J6IxzKbTidmOyf5nUyW4GCLurHCjexrLm_o        "",
      ""HTMLキャッシュ!A:F""
    ),
    6,
    FALSE
  ),
  0
)
"),"所有格とは何かを中学英語で解説。boy’s・boys’・children’s・Jones’sを例文で確認し、複数形sと所有格の’/’sの違い、複数名詞の所有格の書き方をまとめます。")</f>
        <v>所有格とは何かを中学英語で解説。boy’s・boys’・children’s・Jones’sを例文で確認し、複数形sと所有格の’/’sの違い、複数名詞の所有格の書き方をまとめます。</v>
      </c>
      <c r="E12" s="32">
        <f>IFERROR(__xludf.DUMMYFUNCTION("IFERROR(
  VLOOKUP(
    A12,
    IMPORTRANGE(
      ""1ZygntHC1J6IxzKbTidmOyf5nUyW4GCLurHCjexrLm_o        "",
      ""HTMLキャッシュ!A:F""
    ),
    3,
    FALSE
  ),
  0
)
"),46078.69440972222)</f>
        <v>46078.69441</v>
      </c>
      <c r="F12" s="49">
        <f>IFERROR(__xludf.DUMMYFUNCTION("IFERROR(
  VLOOKUP(
    A12,
    IMPORTRANGE(
      ""1ZHMy3vVUd_0MrSduXTe1etBb1HNpAlGwQr006ljwMiM"",
      ""GSC最新!A:F""
    ),
    2,
    FALSE
  ),
  0
)
"),35.0)</f>
        <v>35</v>
      </c>
      <c r="G12" s="49">
        <f>IFERROR(__xludf.DUMMYFUNCTION("IFERROR(
  VLOOKUP(
    A12,
    IMPORTRANGE(
      ""1ZHMy3vVUd_0MrSduXTe1etBb1HNpAlGwQr006ljwMiM"",
      ""GSC最新!A:F""
    ),
    3,
    FALSE
  ),
  0
)
"),72.0)</f>
        <v>72</v>
      </c>
      <c r="H12" s="49">
        <f>IFERROR(__xludf.DUMMYFUNCTION("IFERROR(
  VLOOKUP(
    A12,
    IMPORTRANGE(
      ""1ZHMy3vVUd_0MrSduXTe1etBb1HNpAlGwQr006ljwMiM"",
      ""GSC最新!A:F""
    ),
    4,
    FALSE
  ),
  0
)
"),59.0)</f>
        <v>59</v>
      </c>
      <c r="I12" s="49">
        <f>IFERROR(__xludf.DUMMYFUNCTION("IFERROR(
  VLOOKUP(
    A12,
    IMPORTRANGE(
      ""1ZHMy3vVUd_0MrSduXTe1etBb1HNpAlGwQr006ljwMiM"",
      ""GSC最新!A:F""
    ),
    5,
    FALSE
  ),
  0
)
"),153.0)</f>
        <v>153</v>
      </c>
      <c r="J12" s="50">
        <f t="shared" ref="J12:K12" si="51">IFERROR(F12/H12,"-")</f>
        <v>0.593220339</v>
      </c>
      <c r="K12" s="50">
        <f t="shared" si="51"/>
        <v>0.4705882353</v>
      </c>
      <c r="L12" s="6">
        <f>IFERROR(__xludf.DUMMYFUNCTION("IFERROR(
  VLOOKUP(
    A12,
    IMPORTRANGE(
      ""1ZHMy3vVUd_0MrSduXTe1etBb1HNpAlGwQr006ljwMiM"",
      ""GSC最新!A:R""
    ),
    7,
    FALSE
  ),
  0
)
"),9086.0)</f>
        <v>9086</v>
      </c>
      <c r="M12" s="6">
        <f>IFERROR(__xludf.DUMMYFUNCTION("IFERROR(
  VLOOKUP(
    A12,
    IMPORTRANGE(
      ""1ZHMy3vVUd_0MrSduXTe1etBb1HNpAlGwQr006ljwMiM"",
      ""GSC最新!A:R""
    ),
    10,
    FALSE
  ),
  0
)
"),23446.0)</f>
        <v>23446</v>
      </c>
      <c r="N12" s="6">
        <f>IFERROR(__xludf.DUMMYFUNCTION("IFERROR(
  VLOOKUP(
    A12,
    IMPORTRANGE(
      ""1ZHMy3vVUd_0MrSduXTe1etBb1HNpAlGwQr006ljwMiM"",
      ""GSC最新!A:R""
    ),
    13,
    FALSE
  ),
  0
)
"),2696.0)</f>
        <v>2696</v>
      </c>
      <c r="O12" s="6">
        <f>IFERROR(__xludf.DUMMYFUNCTION("IFERROR(
  VLOOKUP(
    A12,
    IMPORTRANGE(
      ""1ZHMy3vVUd_0MrSduXTe1etBb1HNpAlGwQr006ljwMiM"",
      ""GSC最新!A:R""
    ),
    16,
    FALSE
  ),
  0
)
"),8414.0)</f>
        <v>8414</v>
      </c>
      <c r="P12" s="51">
        <f t="shared" ref="P12:Q12" si="52">IFERROR(L12/N12,"-")</f>
        <v>3.370178042</v>
      </c>
      <c r="Q12" s="51">
        <f t="shared" si="52"/>
        <v>2.786546232</v>
      </c>
      <c r="R12" s="9">
        <f>IFERROR(__xludf.DUMMYFUNCTION("IFERROR(
  VLOOKUP(
    A12,
    IMPORTRANGE(
      ""1ZHMy3vVUd_0MrSduXTe1etBb1HNpAlGwQr006ljwMiM"",
      ""GSC最新!A:R""
    ),
    8,
    FALSE
  ),
  0
)
"),0.003852080123266564)</f>
        <v>0.003852080123</v>
      </c>
      <c r="S12" s="9">
        <f>IFERROR(__xludf.DUMMYFUNCTION("IFERROR(
  VLOOKUP(
    A12,
    IMPORTRANGE(
      ""1ZHMy3vVUd_0MrSduXTe1etBb1HNpAlGwQr006ljwMiM"",
      ""GSC最新!A:R""
    ),
    11,
    FALSE
  ),
  0
)
"),0.0030708862919048025)</f>
        <v>0.003070886292</v>
      </c>
      <c r="T12" s="9">
        <f>IFERROR(__xludf.DUMMYFUNCTION("IFERROR(
  VLOOKUP(
    A12,
    IMPORTRANGE(
      ""1ZHMy3vVUd_0MrSduXTe1etBb1HNpAlGwQr006ljwMiM"",
      ""GSC最新!A:R""
    ),
    14,
    FALSE
  ),
  0
)
"),0.02188427299703264)</f>
        <v>0.021884273</v>
      </c>
      <c r="U12" s="9">
        <f>IFERROR(__xludf.DUMMYFUNCTION("IFERROR(
  VLOOKUP(
    A12,
    IMPORTRANGE(
      ""1ZHMy3vVUd_0MrSduXTe1etBb1HNpAlGwQr006ljwMiM"",
      ""GSC最新!A:R""
    ),
    17,
    FALSE
  ),
  0
)
"),0.01818397908248158)</f>
        <v>0.01818397908</v>
      </c>
      <c r="V12" s="9">
        <f t="shared" ref="V12:W12" si="53">IFERROR(R12-T12,"-")</f>
        <v>-0.01803219287</v>
      </c>
      <c r="W12" s="9">
        <f t="shared" si="53"/>
        <v>-0.01511309279</v>
      </c>
      <c r="X12" s="65">
        <f>IFERROR(__xludf.DUMMYFUNCTION("IFERROR(
  VLOOKUP(
    A12,
    IMPORTRANGE(
      ""1ZHMy3vVUd_0MrSduXTe1etBb1HNpAlGwQr006ljwMiM"",
      ""GSC最新!A:R""
    ),
    9,
    FALSE
  ),
  0
)
"),3.947611710323575)</f>
        <v>3.94761171</v>
      </c>
      <c r="Y12" s="65">
        <f>IFERROR(__xludf.DUMMYFUNCTION("IFERROR(
  VLOOKUP(
    A12,
    IMPORTRANGE(
      ""1ZHMy3vVUd_0MrSduXTe1etBb1HNpAlGwQr006ljwMiM"",
      ""GSC最新!A:R""
    ),
    12,
    FALSE
  ),
  0
)
"),3.9432739059967585)</f>
        <v>3.943273906</v>
      </c>
      <c r="Z12" s="65">
        <f>IFERROR(__xludf.DUMMYFUNCTION("IFERROR(
  VLOOKUP(
    A12,
    IMPORTRANGE(
      ""1ZHMy3vVUd_0MrSduXTe1etBb1HNpAlGwQr006ljwMiM"",
      ""GSC最新!A:R""
    ),
    15,
    FALSE
  ),
  0
)
"),7.091246290801187)</f>
        <v>7.091246291</v>
      </c>
      <c r="AA12" s="65">
        <f>IFERROR(__xludf.DUMMYFUNCTION("IFERROR(
  VLOOKUP(
    A12,
    IMPORTRANGE(
      ""1ZHMy3vVUd_0MrSduXTe1etBb1HNpAlGwQr006ljwMiM"",
      ""GSC最新!A:R""
    ),
    18,
    FALSE
  ),
  0
)
"),7.893629664844307)</f>
        <v>7.893629665</v>
      </c>
      <c r="AB12" s="65">
        <f t="shared" ref="AB12:AC12" si="54">X12-Z12</f>
        <v>-3.14363458</v>
      </c>
      <c r="AC12" s="65">
        <f t="shared" si="54"/>
        <v>-3.950355759</v>
      </c>
      <c r="AD12" s="53">
        <f>IFERROR(__xludf.DUMMYFUNCTION("IFERROR(
  VLOOKUP(
    A12,
    IMPORTRANGE(
      ""1ZHMy3vVUd_0MrSduXTe1etBb1HNpAlGwQr006ljwMiM"",
      ""GSC最新!A:F""
    ),
    6,
    FALSE
  ),
  0
)
"),46081.0)</f>
        <v>46081</v>
      </c>
      <c r="AE12" s="54">
        <f>IFERROR(__xludf.DUMMYFUNCTION("IFERROR(
  VLOOKUP(
    A12,
    IMPORTRANGE(
      ""1SCYQd7_cobOYqT0r_F0IqD4tE4rYn5y8Eup4PJTH8es"",
      ""Snapshot!A:M""
    ),
    5,
    FALSE
  ),
  ""-""
)
"),6.0)</f>
        <v>6</v>
      </c>
      <c r="AF12" s="54">
        <f>IFERROR(__xludf.DUMMYFUNCTION("IFERROR(
  VLOOKUP(
    A12,
    IMPORTRANGE(
      ""1SCYQd7_cobOYqT0r_F0IqD4tE4rYn5y8Eup4PJTH8es"",
      ""Snapshot!A:M""
    ),
    6,
    FALSE
  ),
  0
)
"),8.0)</f>
        <v>8</v>
      </c>
      <c r="AG12" s="54">
        <f>IFERROR(__xludf.DUMMYFUNCTION("IFERROR(
  VLOOKUP(
    A12,
    IMPORTRANGE(
      ""1SCYQd7_cobOYqT0r_F0IqD4tE4rYn5y8Eup4PJTH8es"",
      ""Snapshot!A:M""
    ),
    7,
    FALSE
  ),
  0
)
"),3423.0)</f>
        <v>3423</v>
      </c>
      <c r="AH12" s="54">
        <f>IFERROR(__xludf.DUMMYFUNCTION("IFERROR(
  VLOOKUP(
    A12,
    IMPORTRANGE(
      ""1SCYQd7_cobOYqT0r_F0IqD4tE4rYn5y8Eup4PJTH8es"",
      ""Snapshot!A:M""
    ),
    8,
    FALSE
  ),
  0
)
"),1.0)</f>
        <v>1</v>
      </c>
      <c r="AI12" s="54">
        <f>IFERROR(__xludf.DUMMYFUNCTION("IFERROR(
  VLOOKUP(
    A12,
    IMPORTRANGE(
      ""1SCYQd7_cobOYqT0r_F0IqD4tE4rYn5y8Eup4PJTH8es"",
      ""Snapshot!A:M""
    ),
    9,
    FALSE
  ),
  0
)
"),4.0)</f>
        <v>4</v>
      </c>
      <c r="AJ12" s="54">
        <f>IFERROR(__xludf.DUMMYFUNCTION("IFERROR(
  VLOOKUP(
    A12,
    IMPORTRANGE(
      ""1SCYQd7_cobOYqT0r_F0IqD4tE4rYn5y8Eup4PJTH8es"",
      ""Snapshot!A:M""
    ),
    13,
    FALSE
  ),
  0
)
"),1.0)</f>
        <v>1</v>
      </c>
      <c r="AK12" s="49">
        <f t="shared" ref="AK12:AL12" si="55">LEN(C12)</f>
        <v>30</v>
      </c>
      <c r="AL12" s="49">
        <f t="shared" si="55"/>
        <v>90</v>
      </c>
    </row>
    <row r="13">
      <c r="A13" s="3" t="s">
        <v>1100</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"),"one of the＋最上級・複数形｜get/become＋形容詞｜中学英語")</f>
        <v>one of the＋最上級・複数形｜get/become＋形容詞｜中学英語</v>
      </c>
      <c r="D13" s="1" t="str">
        <f>IFERROR(__xludf.DUMMYFUNCTION("IFERROR(
  VLOOKUP(
    A13,
    IMPORTRANGE(
      ""1ZygntHC1J6IxzKbTidmOyf5nUyW4GCLurHCjexrLm_o        "",
      ""HTMLキャッシュ!A:F""
    ),
    6,
    FALSE
  ),
  0
)
"),"one of the＋最上級＋複数名詞、get/become＋形容詞、比較級and比較級を例文で解説。more and moreとone ofの後ろの複数形も確認。")</f>
        <v>one of the＋最上級＋複数名詞、get/become＋形容詞、比較級and比較級を例文で解説。more and moreとone ofの後ろの複数形も確認。</v>
      </c>
      <c r="E13" s="32">
        <f>IFERROR(__xludf.DUMMYFUNCTION("IFERROR(
  VLOOKUP(
    A13,
    IMPORTRANGE(
      ""1ZygntHC1J6IxzKbTidmOyf5nUyW4GCLurHCjexrLm_o        "",
      ""HTMLキャッシュ!A:F""
    ),
    3,
    FALSE
  ),
  0
)
"),46078.69734953704)</f>
        <v>46078.69735</v>
      </c>
      <c r="F13" s="49">
        <f>IFERROR(__xludf.DUMMYFUNCTION("IFERROR(
  VLOOKUP(
    A13,
    IMPORTRANGE(
      ""1ZHMy3vVUd_0MrSduXTe1etBb1HNpAlGwQr006ljwMiM"",
      ""GSC最新!A:F""
    ),
    2,
    FALSE
  ),
  0
)
"),30.0)</f>
        <v>30</v>
      </c>
      <c r="G13" s="49">
        <f>IFERROR(__xludf.DUMMYFUNCTION("IFERROR(
  VLOOKUP(
    A13,
    IMPORTRANGE(
      ""1ZHMy3vVUd_0MrSduXTe1etBb1HNpAlGwQr006ljwMiM"",
      ""GSC最新!A:F""
    ),
    3,
    FALSE
  ),
  0
)
"),76.0)</f>
        <v>76</v>
      </c>
      <c r="H13" s="49">
        <f>IFERROR(__xludf.DUMMYFUNCTION("IFERROR(
  VLOOKUP(
    A13,
    IMPORTRANGE(
      ""1ZHMy3vVUd_0MrSduXTe1etBb1HNpAlGwQr006ljwMiM"",
      ""GSC最新!A:F""
    ),
    4,
    FALSE
  ),
  0
)
"),78.0)</f>
        <v>78</v>
      </c>
      <c r="I13" s="49">
        <f>IFERROR(__xludf.DUMMYFUNCTION("IFERROR(
  VLOOKUP(
    A13,
    IMPORTRANGE(
      ""1ZHMy3vVUd_0MrSduXTe1etBb1HNpAlGwQr006ljwMiM"",
      ""GSC最新!A:F""
    ),
    5,
    FALSE
  ),
  0
)
"),216.0)</f>
        <v>216</v>
      </c>
      <c r="J13" s="50">
        <f t="shared" ref="J13:K13" si="56">IFERROR(F13/H13,"-")</f>
        <v>0.3846153846</v>
      </c>
      <c r="K13" s="50">
        <f t="shared" si="56"/>
        <v>0.3518518519</v>
      </c>
      <c r="L13" s="6">
        <f>IFERROR(__xludf.DUMMYFUNCTION("IFERROR(
  VLOOKUP(
    A13,
    IMPORTRANGE(
      ""1ZHMy3vVUd_0MrSduXTe1etBb1HNpAlGwQr006ljwMiM"",
      ""GSC最新!A:R""
    ),
    7,
    FALSE
  ),
  0
)
"),8088.0)</f>
        <v>8088</v>
      </c>
      <c r="M13" s="6">
        <f>IFERROR(__xludf.DUMMYFUNCTION("IFERROR(
  VLOOKUP(
    A13,
    IMPORTRANGE(
      ""1ZHMy3vVUd_0MrSduXTe1etBb1HNpAlGwQr006ljwMiM"",
      ""GSC最新!A:R""
    ),
    10,
    FALSE
  ),
  0
)
"),16841.0)</f>
        <v>16841</v>
      </c>
      <c r="N13" s="6">
        <f>IFERROR(__xludf.DUMMYFUNCTION("IFERROR(
  VLOOKUP(
    A13,
    IMPORTRANGE(
      ""1ZHMy3vVUd_0MrSduXTe1etBb1HNpAlGwQr006ljwMiM"",
      ""GSC最新!A:R""
    ),
    13,
    FALSE
  ),
  0
)
"),2905.0)</f>
        <v>2905</v>
      </c>
      <c r="O13" s="6">
        <f>IFERROR(__xludf.DUMMYFUNCTION("IFERROR(
  VLOOKUP(
    A13,
    IMPORTRANGE(
      ""1ZHMy3vVUd_0MrSduXTe1etBb1HNpAlGwQr006ljwMiM"",
      ""GSC最新!A:R""
    ),
    16,
    FALSE
  ),
  0
)
"),8966.0)</f>
        <v>8966</v>
      </c>
      <c r="P13" s="51">
        <f t="shared" ref="P13:Q13" si="57">IFERROR(L13/N13,"-")</f>
        <v>2.784165232</v>
      </c>
      <c r="Q13" s="51">
        <f t="shared" si="57"/>
        <v>1.878318091</v>
      </c>
      <c r="R13" s="9">
        <f>IFERROR(__xludf.DUMMYFUNCTION("IFERROR(
  VLOOKUP(
    A13,
    IMPORTRANGE(
      ""1ZHMy3vVUd_0MrSduXTe1etBb1HNpAlGwQr006ljwMiM"",
      ""GSC最新!A:R""
    ),
    8,
    FALSE
  ),
  0
)
"),0.00370919881305638)</f>
        <v>0.003709198813</v>
      </c>
      <c r="S13" s="9">
        <f>IFERROR(__xludf.DUMMYFUNCTION("IFERROR(
  VLOOKUP(
    A13,
    IMPORTRANGE(
      ""1ZHMy3vVUd_0MrSduXTe1etBb1HNpAlGwQr006ljwMiM"",
      ""GSC最新!A:R""
    ),
    11,
    FALSE
  ),
  0
)
"),0.004512796152247491)</f>
        <v>0.004512796152</v>
      </c>
      <c r="T13" s="9">
        <f>IFERROR(__xludf.DUMMYFUNCTION("IFERROR(
  VLOOKUP(
    A13,
    IMPORTRANGE(
      ""1ZHMy3vVUd_0MrSduXTe1etBb1HNpAlGwQr006ljwMiM"",
      ""GSC最新!A:R""
    ),
    14,
    FALSE
  ),
  0
)
"),0.02685025817555938)</f>
        <v>0.02685025818</v>
      </c>
      <c r="U13" s="9">
        <f>IFERROR(__xludf.DUMMYFUNCTION("IFERROR(
  VLOOKUP(
    A13,
    IMPORTRANGE(
      ""1ZHMy3vVUd_0MrSduXTe1etBb1HNpAlGwQr006ljwMiM"",
      ""GSC最新!A:R""
    ),
    17,
    FALSE
  ),
  0
)
"),0.024091010484050858)</f>
        <v>0.02409101048</v>
      </c>
      <c r="V13" s="9">
        <f t="shared" ref="V13:W13" si="58">IFERROR(R13-T13,"-")</f>
        <v>-0.02314105936</v>
      </c>
      <c r="W13" s="9">
        <f t="shared" si="58"/>
        <v>-0.01957821433</v>
      </c>
      <c r="X13" s="65">
        <f>IFERROR(__xludf.DUMMYFUNCTION("IFERROR(
  VLOOKUP(
    A13,
    IMPORTRANGE(
      ""1ZHMy3vVUd_0MrSduXTe1etBb1HNpAlGwQr006ljwMiM"",
      ""GSC最新!A:R""
    ),
    9,
    FALSE
  ),
  0
)
"),2.8978733926805145)</f>
        <v>2.897873393</v>
      </c>
      <c r="Y13" s="65">
        <f>IFERROR(__xludf.DUMMYFUNCTION("IFERROR(
  VLOOKUP(
    A13,
    IMPORTRANGE(
      ""1ZHMy3vVUd_0MrSduXTe1etBb1HNpAlGwQr006ljwMiM"",
      ""GSC最新!A:R""
    ),
    12,
    FALSE
  ),
  0
)
"),3.2081230330740453)</f>
        <v>3.208123033</v>
      </c>
      <c r="Z13" s="65">
        <f>IFERROR(__xludf.DUMMYFUNCTION("IFERROR(
  VLOOKUP(
    A13,
    IMPORTRANGE(
      ""1ZHMy3vVUd_0MrSduXTe1etBb1HNpAlGwQr006ljwMiM"",
      ""GSC最新!A:R""
    ),
    15,
    FALSE
  ),
  0
)
"),6.571772805507745)</f>
        <v>6.571772806</v>
      </c>
      <c r="AA13" s="65">
        <f>IFERROR(__xludf.DUMMYFUNCTION("IFERROR(
  VLOOKUP(
    A13,
    IMPORTRANGE(
      ""1ZHMy3vVUd_0MrSduXTe1etBb1HNpAlGwQr006ljwMiM"",
      ""GSC最新!A:R""
    ),
    18,
    FALSE
  ),
  0
)
"),8.241244702208343)</f>
        <v>8.241244702</v>
      </c>
      <c r="AB13" s="65">
        <f t="shared" ref="AB13:AC13" si="59">X13-Z13</f>
        <v>-3.673899413</v>
      </c>
      <c r="AC13" s="65">
        <f t="shared" si="59"/>
        <v>-5.033121669</v>
      </c>
      <c r="AD13" s="53">
        <f>IFERROR(__xludf.DUMMYFUNCTION("IFERROR(
  VLOOKUP(
    A13,
    IMPORTRANGE(
      ""1ZHMy3vVUd_0MrSduXTe1etBb1HNpAlGwQr006ljwMiM"",
      ""GSC最新!A:F""
    ),
    6,
    FALSE
  ),
  0
)
"),46081.0)</f>
        <v>46081</v>
      </c>
      <c r="AE13" s="54">
        <f>IFERROR(__xludf.DUMMYFUNCTION("IFERROR(
  VLOOKUP(
    A13,
    IMPORTRANGE(
      ""1SCYQd7_cobOYqT0r_F0IqD4tE4rYn5y8Eup4PJTH8es"",
      ""Snapshot!A:M""
    ),
    5,
    FALSE
  ),
  ""-""
)
"),7.0)</f>
        <v>7</v>
      </c>
      <c r="AF13" s="54">
        <f>IFERROR(__xludf.DUMMYFUNCTION("IFERROR(
  VLOOKUP(
    A13,
    IMPORTRANGE(
      ""1SCYQd7_cobOYqT0r_F0IqD4tE4rYn5y8Eup4PJTH8es"",
      ""Snapshot!A:M""
    ),
    6,
    FALSE
  ),
  0
)
"),10.0)</f>
        <v>10</v>
      </c>
      <c r="AG13" s="54">
        <f>IFERROR(__xludf.DUMMYFUNCTION("IFERROR(
  VLOOKUP(
    A13,
    IMPORTRANGE(
      ""1SCYQd7_cobOYqT0r_F0IqD4tE4rYn5y8Eup4PJTH8es"",
      ""Snapshot!A:M""
    ),
    7,
    FALSE
  ),
  0
)
"),6082.0)</f>
        <v>6082</v>
      </c>
      <c r="AH13" s="54">
        <f>IFERROR(__xludf.DUMMYFUNCTION("IFERROR(
  VLOOKUP(
    A13,
    IMPORTRANGE(
      ""1SCYQd7_cobOYqT0r_F0IqD4tE4rYn5y8Eup4PJTH8es"",
      ""Snapshot!A:M""
    ),
    8,
    FALSE
  ),
  0
)
"),1.0)</f>
        <v>1</v>
      </c>
      <c r="AI13" s="54">
        <f>IFERROR(__xludf.DUMMYFUNCTION("IFERROR(
  VLOOKUP(
    A13,
    IMPORTRANGE(
      ""1SCYQd7_cobOYqT0r_F0IqD4tE4rYn5y8Eup4PJTH8es"",
      ""Snapshot!A:M""
    ),
    9,
    FALSE
  ),
  0
)
"),5.0)</f>
        <v>5</v>
      </c>
      <c r="AJ13" s="54">
        <f>IFERROR(__xludf.DUMMYFUNCTION("IFERROR(
  VLOOKUP(
    A13,
    IMPORTRANGE(
      ""1SCYQd7_cobOYqT0r_F0IqD4tE4rYn5y8Eup4PJTH8es"",
      ""Snapshot!A:M""
    ),
    13,
    FALSE
  ),
  0
)
"),1.0)</f>
        <v>1</v>
      </c>
      <c r="AK13" s="49">
        <f t="shared" ref="AK13:AL13" si="60">LEN(C13)</f>
        <v>38</v>
      </c>
      <c r="AL13" s="49">
        <f t="shared" si="60"/>
        <v>82</v>
      </c>
    </row>
    <row r="14">
      <c r="A14" s="3" t="s">
        <v>1101</v>
      </c>
      <c r="B14" s="1" t="str">
        <f>IFERROR(__xludf.DUMMYFUNCTION("IFERROR(
  VLOOKUP(
    A14,
    IMPORTRANGE(
      ""1ZygntHC1J6IxzKbTidmOyf5nUyW4GCLurHCjexrLm_o"",
      ""HTMLキャッシュ!A:F""
    ),
    2,
    FALSE
  ),
  0
)
"),"MC")</f>
        <v>MC</v>
      </c>
      <c r="C14" s="1" t="str">
        <f>IFERROR(__xludf.DUMMYFUNCTION("IFERROR(
  VLOOKUP(
    A14,
    IMPORTRANGE(
      ""1ZygntHC1J6IxzKbTidmOyf5nUyW4GCLurHCjexrLm_o"",
      ""HTMLキャッシュ!A:F""
    ),
    5,
    FALSE
  ),
  0
)
"),"how muchの意味｜how manyとの違い｜中学英語")</f>
        <v>how muchの意味｜how manyとの違い｜中学英語</v>
      </c>
      <c r="D14" s="1" t="str">
        <f>IFERROR(__xludf.DUMMYFUNCTION("IFERROR(
  VLOOKUP(
    A14,
    IMPORTRANGE(
      ""1ZygntHC1J6IxzKbTidmOyf5nUyW4GCLurHCjexrLm_o        "",
      ""HTMLキャッシュ!A:F""
    ),
    6,
    FALSE
  ),
  0
)
"),"how muchは値段だけでなく量・程度も聞ける。how manyとの違い、不可算名詞の組み合わせ、how much ofの答え方を例文で確認。")</f>
        <v>how muchは値段だけでなく量・程度も聞ける。how manyとの違い、不可算名詞の組み合わせ、how much ofの答え方を例文で確認。</v>
      </c>
      <c r="E14" s="32">
        <f>IFERROR(__xludf.DUMMYFUNCTION("IFERROR(
  VLOOKUP(
    A14,
    IMPORTRANGE(
      ""1ZygntHC1J6IxzKbTidmOyf5nUyW4GCLurHCjexrLm_o        "",
      ""HTMLキャッシュ!A:F""
    ),
    3,
    FALSE
  ),
  0
)
"),46061.90662037037)</f>
        <v>46061.90662</v>
      </c>
      <c r="F14" s="49">
        <f>IFERROR(__xludf.DUMMYFUNCTION("IFERROR(
  VLOOKUP(
    A14,
    IMPORTRANGE(
      ""1ZHMy3vVUd_0MrSduXTe1etBb1HNpAlGwQr006ljwMiM"",
      ""GSC最新!A:F""
    ),
    2,
    FALSE
  ),
  0
)
"),32.0)</f>
        <v>32</v>
      </c>
      <c r="G14" s="49">
        <f>IFERROR(__xludf.DUMMYFUNCTION("IFERROR(
  VLOOKUP(
    A14,
    IMPORTRANGE(
      ""1ZHMy3vVUd_0MrSduXTe1etBb1HNpAlGwQr006ljwMiM"",
      ""GSC最新!A:F""
    ),
    3,
    FALSE
  ),
  0
)
"),73.0)</f>
        <v>73</v>
      </c>
      <c r="H14" s="49">
        <f>IFERROR(__xludf.DUMMYFUNCTION("IFERROR(
  VLOOKUP(
    A14,
    IMPORTRANGE(
      ""1ZHMy3vVUd_0MrSduXTe1etBb1HNpAlGwQr006ljwMiM"",
      ""GSC最新!A:F""
    ),
    4,
    FALSE
  ),
  0
)
"),12.0)</f>
        <v>12</v>
      </c>
      <c r="I14" s="49">
        <f>IFERROR(__xludf.DUMMYFUNCTION("IFERROR(
  VLOOKUP(
    A14,
    IMPORTRANGE(
      ""1ZHMy3vVUd_0MrSduXTe1etBb1HNpAlGwQr006ljwMiM"",
      ""GSC最新!A:F""
    ),
    5,
    FALSE
  ),
  0
)
"),47.0)</f>
        <v>47</v>
      </c>
      <c r="J14" s="50">
        <f t="shared" ref="J14:K14" si="61">IFERROR(F14/H14,"-")</f>
        <v>2.666666667</v>
      </c>
      <c r="K14" s="50">
        <f t="shared" si="61"/>
        <v>1.553191489</v>
      </c>
      <c r="L14" s="6">
        <f>IFERROR(__xludf.DUMMYFUNCTION("IFERROR(
  VLOOKUP(
    A14,
    IMPORTRANGE(
      ""1ZHMy3vVUd_0MrSduXTe1etBb1HNpAlGwQr006ljwMiM"",
      ""GSC最新!A:R""
    ),
    7,
    FALSE
  ),
  0
)
"),14896.0)</f>
        <v>14896</v>
      </c>
      <c r="M14" s="6">
        <f>IFERROR(__xludf.DUMMYFUNCTION("IFERROR(
  VLOOKUP(
    A14,
    IMPORTRANGE(
      ""1ZHMy3vVUd_0MrSduXTe1etBb1HNpAlGwQr006ljwMiM"",
      ""GSC最新!A:R""
    ),
    10,
    FALSE
  ),
  0
)
"),30994.0)</f>
        <v>30994</v>
      </c>
      <c r="N14" s="6">
        <f>IFERROR(__xludf.DUMMYFUNCTION("IFERROR(
  VLOOKUP(
    A14,
    IMPORTRANGE(
      ""1ZHMy3vVUd_0MrSduXTe1etBb1HNpAlGwQr006ljwMiM"",
      ""GSC最新!A:R""
    ),
    13,
    FALSE
  ),
  0
)
"),1261.0)</f>
        <v>1261</v>
      </c>
      <c r="O14" s="6">
        <f>IFERROR(__xludf.DUMMYFUNCTION("IFERROR(
  VLOOKUP(
    A14,
    IMPORTRANGE(
      ""1ZHMy3vVUd_0MrSduXTe1etBb1HNpAlGwQr006ljwMiM"",
      ""GSC最新!A:R""
    ),
    16,
    FALSE
  ),
  0
)
"),3592.0)</f>
        <v>3592</v>
      </c>
      <c r="P14" s="51">
        <f t="shared" ref="P14:Q14" si="62">IFERROR(L14/N14,"-")</f>
        <v>11.81284695</v>
      </c>
      <c r="Q14" s="51">
        <f t="shared" si="62"/>
        <v>8.628619154</v>
      </c>
      <c r="R14" s="9">
        <f>IFERROR(__xludf.DUMMYFUNCTION("IFERROR(
  VLOOKUP(
    A14,
    IMPORTRANGE(
      ""1ZHMy3vVUd_0MrSduXTe1etBb1HNpAlGwQr006ljwMiM"",
      ""GSC最新!A:R""
    ),
    8,
    FALSE
  ),
  0
)
"),0.0021482277121374865)</f>
        <v>0.002148227712</v>
      </c>
      <c r="S14" s="9">
        <f>IFERROR(__xludf.DUMMYFUNCTION("IFERROR(
  VLOOKUP(
    A14,
    IMPORTRANGE(
      ""1ZHMy3vVUd_0MrSduXTe1etBb1HNpAlGwQr006ljwMiM"",
      ""GSC最新!A:R""
    ),
    11,
    FALSE
  ),
  0
)
"),0.002355294573143189)</f>
        <v>0.002355294573</v>
      </c>
      <c r="T14" s="9">
        <f>IFERROR(__xludf.DUMMYFUNCTION("IFERROR(
  VLOOKUP(
    A14,
    IMPORTRANGE(
      ""1ZHMy3vVUd_0MrSduXTe1etBb1HNpAlGwQr006ljwMiM"",
      ""GSC最新!A:R""
    ),
    14,
    FALSE
  ),
  0
)
"),0.00951625693893735)</f>
        <v>0.009516256939</v>
      </c>
      <c r="U14" s="9">
        <f>IFERROR(__xludf.DUMMYFUNCTION("IFERROR(
  VLOOKUP(
    A14,
    IMPORTRANGE(
      ""1ZHMy3vVUd_0MrSduXTe1etBb1HNpAlGwQr006ljwMiM"",
      ""GSC最新!A:R""
    ),
    17,
    FALSE
  ),
  0
)
"),0.013084632516703786)</f>
        <v>0.01308463252</v>
      </c>
      <c r="V14" s="9">
        <f t="shared" ref="V14:W14" si="63">IFERROR(R14-T14,"-")</f>
        <v>-0.007368029227</v>
      </c>
      <c r="W14" s="9">
        <f t="shared" si="63"/>
        <v>-0.01072933794</v>
      </c>
      <c r="X14" s="65">
        <f>IFERROR(__xludf.DUMMYFUNCTION("IFERROR(
  VLOOKUP(
    A14,
    IMPORTRANGE(
      ""1ZHMy3vVUd_0MrSduXTe1etBb1HNpAlGwQr006ljwMiM"",
      ""GSC最新!A:R""
    ),
    9,
    FALSE
  ),
  0
)
"),5.404672395273899)</f>
        <v>5.404672395</v>
      </c>
      <c r="Y14" s="65">
        <f>IFERROR(__xludf.DUMMYFUNCTION("IFERROR(
  VLOOKUP(
    A14,
    IMPORTRANGE(
      ""1ZHMy3vVUd_0MrSduXTe1etBb1HNpAlGwQr006ljwMiM"",
      ""GSC最新!A:R""
    ),
    12,
    FALSE
  ),
  0
)
"),5.832354649286959)</f>
        <v>5.832354649</v>
      </c>
      <c r="Z14" s="65">
        <f>IFERROR(__xludf.DUMMYFUNCTION("IFERROR(
  VLOOKUP(
    A14,
    IMPORTRANGE(
      ""1ZHMy3vVUd_0MrSduXTe1etBb1HNpAlGwQr006ljwMiM"",
      ""GSC最新!A:R""
    ),
    15,
    FALSE
  ),
  0
)
"),8.608247422680412)</f>
        <v>8.608247423</v>
      </c>
      <c r="AA14" s="65">
        <f>IFERROR(__xludf.DUMMYFUNCTION("IFERROR(
  VLOOKUP(
    A14,
    IMPORTRANGE(
      ""1ZHMy3vVUd_0MrSduXTe1etBb1HNpAlGwQr006ljwMiM"",
      ""GSC最新!A:R""
    ),
    18,
    FALSE
  ),
  0
)
"),9.33825167037862)</f>
        <v>9.33825167</v>
      </c>
      <c r="AB14" s="65">
        <f t="shared" ref="AB14:AC14" si="64">X14-Z14</f>
        <v>-3.203575027</v>
      </c>
      <c r="AC14" s="65">
        <f t="shared" si="64"/>
        <v>-3.505897021</v>
      </c>
      <c r="AD14" s="53">
        <f>IFERROR(__xludf.DUMMYFUNCTION("IFERROR(
  VLOOKUP(
    A14,
    IMPORTRANGE(
      ""1ZHMy3vVUd_0MrSduXTe1etBb1HNpAlGwQr006ljwMiM"",
      ""GSC最新!A:F""
    ),
    6,
    FALSE
  ),
  0
)
"),46081.0)</f>
        <v>46081</v>
      </c>
      <c r="AE14" s="54">
        <f>IFERROR(__xludf.DUMMYFUNCTION("IFERROR(
  VLOOKUP(
    A14,
    IMPORTRANGE(
      ""1SCYQd7_cobOYqT0r_F0IqD4tE4rYn5y8Eup4PJTH8es"",
      ""Snapshot!A:M""
    ),
    5,
    FALSE
  ),
  ""-""
)
"),4.0)</f>
        <v>4</v>
      </c>
      <c r="AF14" s="54">
        <f>IFERROR(__xludf.DUMMYFUNCTION("IFERROR(
  VLOOKUP(
    A14,
    IMPORTRANGE(
      ""1SCYQd7_cobOYqT0r_F0IqD4tE4rYn5y8Eup4PJTH8es"",
      ""Snapshot!A:M""
    ),
    6,
    FALSE
  ),
  0
)
"),9.0)</f>
        <v>9</v>
      </c>
      <c r="AG14" s="54">
        <f>IFERROR(__xludf.DUMMYFUNCTION("IFERROR(
  VLOOKUP(
    A14,
    IMPORTRANGE(
      ""1SCYQd7_cobOYqT0r_F0IqD4tE4rYn5y8Eup4PJTH8es"",
      ""Snapshot!A:M""
    ),
    7,
    FALSE
  ),
  0
)
"),4178.0)</f>
        <v>4178</v>
      </c>
      <c r="AH14" s="54">
        <f>IFERROR(__xludf.DUMMYFUNCTION("IFERROR(
  VLOOKUP(
    A14,
    IMPORTRANGE(
      ""1SCYQd7_cobOYqT0r_F0IqD4tE4rYn5y8Eup4PJTH8es"",
      ""Snapshot!A:M""
    ),
    8,
    FALSE
  ),
  0
)
"),1.0)</f>
        <v>1</v>
      </c>
      <c r="AI14" s="54">
        <f>IFERROR(__xludf.DUMMYFUNCTION("IFERROR(
  VLOOKUP(
    A14,
    IMPORTRANGE(
      ""1SCYQd7_cobOYqT0r_F0IqD4tE4rYn5y8Eup4PJTH8es"",
      ""Snapshot!A:M""
    ),
    9,
    FALSE
  ),
  0
)
"),4.0)</f>
        <v>4</v>
      </c>
      <c r="AJ14" s="54">
        <f>IFERROR(__xludf.DUMMYFUNCTION("IFERROR(
  VLOOKUP(
    A14,
    IMPORTRANGE(
      ""1SCYQd7_cobOYqT0r_F0IqD4tE4rYn5y8Eup4PJTH8es"",
      ""Snapshot!A:M""
    ),
    13,
    FALSE
  ),
  0
)
"),1.0)</f>
        <v>1</v>
      </c>
      <c r="AK14" s="49">
        <f t="shared" ref="AK14:AL14" si="65">LEN(C14)</f>
        <v>29</v>
      </c>
      <c r="AL14" s="49">
        <f t="shared" si="65"/>
        <v>72</v>
      </c>
    </row>
    <row r="15">
      <c r="A15" s="3" t="s">
        <v>1102</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"),"shall意味と使い方｜Shall I/Weと返事｜中学英語")</f>
        <v>shall意味と使い方｜Shall I/Weと返事｜中学英語</v>
      </c>
      <c r="D15" s="1" t="str">
        <f>IFERROR(__xludf.DUMMYFUNCTION("IFERROR(
  VLOOKUP(
    A15,
    IMPORTRANGE(
      ""1ZygntHC1J6IxzKbTidmOyf5nUyW4GCLurHCjexrLm_o        "",
      ""HTMLキャッシュ!A:F""
    ),
    6,
    FALSE
  ),
  0
)
"),"shallはShall we＝提案、Shall I＝申し出。Yes/No返事、What/When shall I…も例文で確認。Progress14-1対応")</f>
        <v>shallはShall we＝提案、Shall I＝申し出。Yes/No返事、What/When shall I…も例文で確認。Progress14-1対応</v>
      </c>
      <c r="E15" s="32">
        <f>IFERROR(__xludf.DUMMYFUNCTION("IFERROR(
  VLOOKUP(
    A15,
    IMPORTRANGE(
      ""1ZygntHC1J6IxzKbTidmOyf5nUyW4GCLurHCjexrLm_o        "",
      ""HTMLキャッシュ!A:F""
    ),
    3,
    FALSE
  ),
  0
)
"),46046.578055555554)</f>
        <v>46046.57806</v>
      </c>
      <c r="F15" s="49">
        <f>IFERROR(__xludf.DUMMYFUNCTION("IFERROR(
  VLOOKUP(
    A15,
    IMPORTRANGE(
      ""1ZHMy3vVUd_0MrSduXTe1etBb1HNpAlGwQr006ljwMiM"",
      ""GSC最新!A:F""
    ),
    2,
    FALSE
  ),
  0
)
"),30.0)</f>
        <v>30</v>
      </c>
      <c r="G15" s="49">
        <f>IFERROR(__xludf.DUMMYFUNCTION("IFERROR(
  VLOOKUP(
    A15,
    IMPORTRANGE(
      ""1ZHMy3vVUd_0MrSduXTe1etBb1HNpAlGwQr006ljwMiM"",
      ""GSC最新!A:F""
    ),
    3,
    FALSE
  ),
  0
)
"),74.0)</f>
        <v>74</v>
      </c>
      <c r="H15" s="49">
        <f>IFERROR(__xludf.DUMMYFUNCTION("IFERROR(
  VLOOKUP(
    A15,
    IMPORTRANGE(
      ""1ZHMy3vVUd_0MrSduXTe1etBb1HNpAlGwQr006ljwMiM"",
      ""GSC最新!A:F""
    ),
    4,
    FALSE
  ),
  0
)
"),14.0)</f>
        <v>14</v>
      </c>
      <c r="I15" s="49">
        <f>IFERROR(__xludf.DUMMYFUNCTION("IFERROR(
  VLOOKUP(
    A15,
    IMPORTRANGE(
      ""1ZHMy3vVUd_0MrSduXTe1etBb1HNpAlGwQr006ljwMiM"",
      ""GSC最新!A:F""
    ),
    5,
    FALSE
  ),
  0
)
"),50.0)</f>
        <v>50</v>
      </c>
      <c r="J15" s="50">
        <f t="shared" ref="J15:K15" si="66">IFERROR(F15/H15,"-")</f>
        <v>2.142857143</v>
      </c>
      <c r="K15" s="50">
        <f t="shared" si="66"/>
        <v>1.48</v>
      </c>
      <c r="L15" s="6">
        <f>IFERROR(__xludf.DUMMYFUNCTION("IFERROR(
  VLOOKUP(
    A15,
    IMPORTRANGE(
      ""1ZHMy3vVUd_0MrSduXTe1etBb1HNpAlGwQr006ljwMiM"",
      ""GSC最新!A:R""
    ),
    7,
    FALSE
  ),
  0
)
"),22300.0)</f>
        <v>22300</v>
      </c>
      <c r="M15" s="6">
        <f>IFERROR(__xludf.DUMMYFUNCTION("IFERROR(
  VLOOKUP(
    A15,
    IMPORTRANGE(
      ""1ZHMy3vVUd_0MrSduXTe1etBb1HNpAlGwQr006ljwMiM"",
      ""GSC最新!A:R""
    ),
    10,
    FALSE
  ),
  0
)
"),65067.0)</f>
        <v>65067</v>
      </c>
      <c r="N15" s="6">
        <f>IFERROR(__xludf.DUMMYFUNCTION("IFERROR(
  VLOOKUP(
    A15,
    IMPORTRANGE(
      ""1ZHMy3vVUd_0MrSduXTe1etBb1HNpAlGwQr006ljwMiM"",
      ""GSC最新!A:R""
    ),
    13,
    FALSE
  ),
  0
)
"),10978.0)</f>
        <v>10978</v>
      </c>
      <c r="O15" s="6">
        <f>IFERROR(__xludf.DUMMYFUNCTION("IFERROR(
  VLOOKUP(
    A15,
    IMPORTRANGE(
      ""1ZHMy3vVUd_0MrSduXTe1etBb1HNpAlGwQr006ljwMiM"",
      ""GSC最新!A:R""
    ),
    16,
    FALSE
  ),
  0
)
"),30645.0)</f>
        <v>30645</v>
      </c>
      <c r="P15" s="51">
        <f t="shared" ref="P15:Q15" si="67">IFERROR(L15/N15,"-")</f>
        <v>2.031335398</v>
      </c>
      <c r="Q15" s="51">
        <f t="shared" si="67"/>
        <v>2.123250122</v>
      </c>
      <c r="R15" s="9">
        <f>IFERROR(__xludf.DUMMYFUNCTION("IFERROR(
  VLOOKUP(
    A15,
    IMPORTRANGE(
      ""1ZHMy3vVUd_0MrSduXTe1etBb1HNpAlGwQr006ljwMiM"",
      ""GSC最新!A:R""
    ),
    8,
    FALSE
  ),
  0
)
"),0.0013452914798206279)</f>
        <v>0.00134529148</v>
      </c>
      <c r="S15" s="9">
        <f>IFERROR(__xludf.DUMMYFUNCTION("IFERROR(
  VLOOKUP(
    A15,
    IMPORTRANGE(
      ""1ZHMy3vVUd_0MrSduXTe1etBb1HNpAlGwQr006ljwMiM"",
      ""GSC最新!A:R""
    ),
    11,
    FALSE
  ),
  0
)
"),0.0011372892556902885)</f>
        <v>0.001137289256</v>
      </c>
      <c r="T15" s="9">
        <f>IFERROR(__xludf.DUMMYFUNCTION("IFERROR(
  VLOOKUP(
    A15,
    IMPORTRANGE(
      ""1ZHMy3vVUd_0MrSduXTe1etBb1HNpAlGwQr006ljwMiM"",
      ""GSC最新!A:R""
    ),
    14,
    FALSE
  ),
  0
)
"),0.0012752778283840408)</f>
        <v>0.001275277828</v>
      </c>
      <c r="U15" s="9">
        <f>IFERROR(__xludf.DUMMYFUNCTION("IFERROR(
  VLOOKUP(
    A15,
    IMPORTRANGE(
      ""1ZHMy3vVUd_0MrSduXTe1etBb1HNpAlGwQr006ljwMiM"",
      ""GSC最新!A:R""
    ),
    17,
    FALSE
  ),
  0
)
"),0.0016315875346712351)</f>
        <v>0.001631587535</v>
      </c>
      <c r="V15" s="9">
        <f t="shared" ref="V15:W15" si="68">IFERROR(R15-T15,"-")</f>
        <v>0.00007001365144</v>
      </c>
      <c r="W15" s="9">
        <f t="shared" si="68"/>
        <v>-0.000494298279</v>
      </c>
      <c r="X15" s="65">
        <f>IFERROR(__xludf.DUMMYFUNCTION("IFERROR(
  VLOOKUP(
    A15,
    IMPORTRANGE(
      ""1ZHMy3vVUd_0MrSduXTe1etBb1HNpAlGwQr006ljwMiM"",
      ""GSC最新!A:R""
    ),
    9,
    FALSE
  ),
  0
)
"),6.260448430493273)</f>
        <v>6.26044843</v>
      </c>
      <c r="Y15" s="65">
        <f>IFERROR(__xludf.DUMMYFUNCTION("IFERROR(
  VLOOKUP(
    A15,
    IMPORTRANGE(
      ""1ZHMy3vVUd_0MrSduXTe1etBb1HNpAlGwQr006ljwMiM"",
      ""GSC最新!A:R""
    ),
    12,
    FALSE
  ),
  0
)
"),6.6818971214286815)</f>
        <v>6.681897121</v>
      </c>
      <c r="Z15" s="65">
        <f>IFERROR(__xludf.DUMMYFUNCTION("IFERROR(
  VLOOKUP(
    A15,
    IMPORTRANGE(
      ""1ZHMy3vVUd_0MrSduXTe1etBb1HNpAlGwQr006ljwMiM"",
      ""GSC最新!A:R""
    ),
    15,
    FALSE
  ),
  0
)
"),8.293860448169065)</f>
        <v>8.293860448</v>
      </c>
      <c r="AA15" s="65">
        <f>IFERROR(__xludf.DUMMYFUNCTION("IFERROR(
  VLOOKUP(
    A15,
    IMPORTRANGE(
      ""1ZHMy3vVUd_0MrSduXTe1etBb1HNpAlGwQr006ljwMiM"",
      ""GSC最新!A:R""
    ),
    18,
    FALSE
  ),
  0
)
"),9.20257790830478)</f>
        <v>9.202577908</v>
      </c>
      <c r="AB15" s="65">
        <f t="shared" ref="AB15:AC15" si="69">X15-Z15</f>
        <v>-2.033412018</v>
      </c>
      <c r="AC15" s="65">
        <f t="shared" si="69"/>
        <v>-2.520680787</v>
      </c>
      <c r="AD15" s="53">
        <f>IFERROR(__xludf.DUMMYFUNCTION("IFERROR(
  VLOOKUP(
    A15,
    IMPORTRANGE(
      ""1ZHMy3vVUd_0MrSduXTe1etBb1HNpAlGwQr006ljwMiM"",
      ""GSC最新!A:F""
    ),
    6,
    FALSE
  ),
  0
)
"),46081.0)</f>
        <v>46081</v>
      </c>
      <c r="AE15" s="54">
        <f>IFERROR(__xludf.DUMMYFUNCTION("IFERROR(
  VLOOKUP(
    A15,
    IMPORTRANGE(
      ""1SCYQd7_cobOYqT0r_F0IqD4tE4rYn5y8Eup4PJTH8es"",
      ""Snapshot!A:M""
    ),
    5,
    FALSE
  ),
  ""-""
)
"),0.0)</f>
        <v>0</v>
      </c>
      <c r="AF15" s="54">
        <f>IFERROR(__xludf.DUMMYFUNCTION("IFERROR(
  VLOOKUP(
    A15,
    IMPORTRANGE(
      ""1SCYQd7_cobOYqT0r_F0IqD4tE4rYn5y8Eup4PJTH8es"",
      ""Snapshot!A:M""
    ),
    6,
    FALSE
  ),
  0
)
"),6.0)</f>
        <v>6</v>
      </c>
      <c r="AG15" s="54">
        <f>IFERROR(__xludf.DUMMYFUNCTION("IFERROR(
  VLOOKUP(
    A15,
    IMPORTRANGE(
      ""1SCYQd7_cobOYqT0r_F0IqD4tE4rYn5y8Eup4PJTH8es"",
      ""Snapshot!A:M""
    ),
    7,
    FALSE
  ),
  0
)
"),3674.0)</f>
        <v>3674</v>
      </c>
      <c r="AH15" s="54">
        <f>IFERROR(__xludf.DUMMYFUNCTION("IFERROR(
  VLOOKUP(
    A15,
    IMPORTRANGE(
      ""1SCYQd7_cobOYqT0r_F0IqD4tE4rYn5y8Eup4PJTH8es"",
      ""Snapshot!A:M""
    ),
    8,
    FALSE
  ),
  0
)
"),1.0)</f>
        <v>1</v>
      </c>
      <c r="AI15" s="54">
        <f>IFERROR(__xludf.DUMMYFUNCTION("IFERROR(
  VLOOKUP(
    A15,
    IMPORTRANGE(
      ""1SCYQd7_cobOYqT0r_F0IqD4tE4rYn5y8Eup4PJTH8es"",
      ""Snapshot!A:M""
    ),
    9,
    FALSE
  ),
  0
)
"),4.0)</f>
        <v>4</v>
      </c>
      <c r="AJ15" s="54">
        <f>IFERROR(__xludf.DUMMYFUNCTION("IFERROR(
  VLOOKUP(
    A15,
    IMPORTRANGE(
      ""1SCYQd7_cobOYqT0r_F0IqD4tE4rYn5y8Eup4PJTH8es"",
      ""Snapshot!A:M""
    ),
    13,
    FALSE
  ),
  0
)
"),1.0)</f>
        <v>1</v>
      </c>
      <c r="AK15" s="49">
        <f t="shared" ref="AK15:AL15" si="70">LEN(C15)</f>
        <v>30</v>
      </c>
      <c r="AL15" s="49">
        <f t="shared" si="70"/>
        <v>78</v>
      </c>
    </row>
    <row r="16">
      <c r="A16" s="3" t="s">
        <v>1103</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"),"far from意味｜near from誤り回避｜中学英語")</f>
        <v>far from意味｜near from誤り回避｜中学英語</v>
      </c>
      <c r="D16" s="1" t="str">
        <f>IFERROR(__xludf.DUMMYFUNCTION("IFERROR(
  VLOOKUP(
    A16,
    IMPORTRANGE(
      ""1ZygntHC1J6IxzKbTidmOyf5nUyW4GCLurHCjexrLm_o        "",
      ""HTMLキャッシュ!A:F""
    ),
    6,
    FALSE
  ),
  0
)
"),"far fromはbe far from＋場所（距離）/＋形容詞・名詞（評価）の2用法。near/far/fromを前置詞・形容詞・副詞で判定し、near fromの誤りを防ぐ。")</f>
        <v>far fromはbe far from＋場所（距離）/＋形容詞・名詞（評価）の2用法。near/far/fromを前置詞・形容詞・副詞で判定し、near fromの誤りを防ぐ。</v>
      </c>
      <c r="E16" s="32">
        <f>IFERROR(__xludf.DUMMYFUNCTION("IFERROR(
  VLOOKUP(
    A16,
    IMPORTRANGE(
      ""1ZygntHC1J6IxzKbTidmOyf5nUyW4GCLurHCjexrLm_o        "",
      ""HTMLキャッシュ!A:F""
    ),
    3,
    FALSE
  ),
  0
)
"),46069.826203703706)</f>
        <v>46069.8262</v>
      </c>
      <c r="F16" s="49">
        <f>IFERROR(__xludf.DUMMYFUNCTION("IFERROR(
  VLOOKUP(
    A16,
    IMPORTRANGE(
      ""1ZHMy3vVUd_0MrSduXTe1etBb1HNpAlGwQr006ljwMiM"",
      ""GSC最新!A:F""
    ),
    2,
    FALSE
  ),
  0
)
"),15.0)</f>
        <v>15</v>
      </c>
      <c r="G16" s="49">
        <f>IFERROR(__xludf.DUMMYFUNCTION("IFERROR(
  VLOOKUP(
    A16,
    IMPORTRANGE(
      ""1ZHMy3vVUd_0MrSduXTe1etBb1HNpAlGwQr006ljwMiM"",
      ""GSC最新!A:F""
    ),
    3,
    FALSE
  ),
  0
)
"),51.0)</f>
        <v>51</v>
      </c>
      <c r="H16" s="49">
        <f>IFERROR(__xludf.DUMMYFUNCTION("IFERROR(
  VLOOKUP(
    A16,
    IMPORTRANGE(
      ""1ZHMy3vVUd_0MrSduXTe1etBb1HNpAlGwQr006ljwMiM"",
      ""GSC最新!A:F""
    ),
    4,
    FALSE
  ),
  0
)
"),8.0)</f>
        <v>8</v>
      </c>
      <c r="I16" s="49">
        <f>IFERROR(__xludf.DUMMYFUNCTION("IFERROR(
  VLOOKUP(
    A16,
    IMPORTRANGE(
      ""1ZHMy3vVUd_0MrSduXTe1etBb1HNpAlGwQr006ljwMiM"",
      ""GSC最新!A:F""
    ),
    5,
    FALSE
  ),
  0
)
"),29.0)</f>
        <v>29</v>
      </c>
      <c r="J16" s="50">
        <f t="shared" ref="J16:K16" si="71">IFERROR(F16/H16,"-")</f>
        <v>1.875</v>
      </c>
      <c r="K16" s="50">
        <f t="shared" si="71"/>
        <v>1.75862069</v>
      </c>
      <c r="L16" s="6">
        <f>IFERROR(__xludf.DUMMYFUNCTION("IFERROR(
  VLOOKUP(
    A16,
    IMPORTRANGE(
      ""1ZHMy3vVUd_0MrSduXTe1etBb1HNpAlGwQr006ljwMiM"",
      ""GSC最新!A:R""
    ),
    7,
    FALSE
  ),
  0
)
"),9460.0)</f>
        <v>9460</v>
      </c>
      <c r="M16" s="6">
        <f>IFERROR(__xludf.DUMMYFUNCTION("IFERROR(
  VLOOKUP(
    A16,
    IMPORTRANGE(
      ""1ZHMy3vVUd_0MrSduXTe1etBb1HNpAlGwQr006ljwMiM"",
      ""GSC最新!A:R""
    ),
    10,
    FALSE
  ),
  0
)
"),27989.0)</f>
        <v>27989</v>
      </c>
      <c r="N16" s="6">
        <f>IFERROR(__xludf.DUMMYFUNCTION("IFERROR(
  VLOOKUP(
    A16,
    IMPORTRANGE(
      ""1ZHMy3vVUd_0MrSduXTe1etBb1HNpAlGwQr006ljwMiM"",
      ""GSC最新!A:R""
    ),
    13,
    FALSE
  ),
  0
)
"),1579.0)</f>
        <v>1579</v>
      </c>
      <c r="O16" s="6">
        <f>IFERROR(__xludf.DUMMYFUNCTION("IFERROR(
  VLOOKUP(
    A16,
    IMPORTRANGE(
      ""1ZHMy3vVUd_0MrSduXTe1etBb1HNpAlGwQr006ljwMiM"",
      ""GSC最新!A:R""
    ),
    16,
    FALSE
  ),
  0
)
"),4212.0)</f>
        <v>4212</v>
      </c>
      <c r="P16" s="51">
        <f t="shared" ref="P16:Q16" si="72">IFERROR(L16/N16,"-")</f>
        <v>5.991133629</v>
      </c>
      <c r="Q16" s="51">
        <f t="shared" si="72"/>
        <v>6.645061728</v>
      </c>
      <c r="R16" s="9">
        <f>IFERROR(__xludf.DUMMYFUNCTION("IFERROR(
  VLOOKUP(
    A16,
    IMPORTRANGE(
      ""1ZHMy3vVUd_0MrSduXTe1etBb1HNpAlGwQr006ljwMiM"",
      ""GSC最新!A:R""
    ),
    8,
    FALSE
  ),
  0
)
"),0.0015856236786469344)</f>
        <v>0.001585623679</v>
      </c>
      <c r="S16" s="9">
        <f>IFERROR(__xludf.DUMMYFUNCTION("IFERROR(
  VLOOKUP(
    A16,
    IMPORTRANGE(
      ""1ZHMy3vVUd_0MrSduXTe1etBb1HNpAlGwQr006ljwMiM"",
      ""GSC最新!A:R""
    ),
    11,
    FALSE
  ),
  0
)
"),0.0018221444138768802)</f>
        <v>0.001822144414</v>
      </c>
      <c r="T16" s="9">
        <f>IFERROR(__xludf.DUMMYFUNCTION("IFERROR(
  VLOOKUP(
    A16,
    IMPORTRANGE(
      ""1ZHMy3vVUd_0MrSduXTe1etBb1HNpAlGwQr006ljwMiM"",
      ""GSC最新!A:R""
    ),
    14,
    FALSE
  ),
  0
)
"),0.00506649778340722)</f>
        <v>0.005066497783</v>
      </c>
      <c r="U16" s="9">
        <f>IFERROR(__xludf.DUMMYFUNCTION("IFERROR(
  VLOOKUP(
    A16,
    IMPORTRANGE(
      ""1ZHMy3vVUd_0MrSduXTe1etBb1HNpAlGwQr006ljwMiM"",
      ""GSC最新!A:R""
    ),
    17,
    FALSE
  ),
  0
)
"),0.006885090218423552)</f>
        <v>0.006885090218</v>
      </c>
      <c r="V16" s="9">
        <f t="shared" ref="V16:W16" si="73">IFERROR(R16-T16,"-")</f>
        <v>-0.003480874105</v>
      </c>
      <c r="W16" s="9">
        <f t="shared" si="73"/>
        <v>-0.005062945805</v>
      </c>
      <c r="X16" s="65">
        <f>IFERROR(__xludf.DUMMYFUNCTION("IFERROR(
  VLOOKUP(
    A16,
    IMPORTRANGE(
      ""1ZHMy3vVUd_0MrSduXTe1etBb1HNpAlGwQr006ljwMiM"",
      ""GSC最新!A:R""
    ),
    9,
    FALSE
  ),
  0
)
"),6.736892177589852)</f>
        <v>6.736892178</v>
      </c>
      <c r="Y16" s="65">
        <f>IFERROR(__xludf.DUMMYFUNCTION("IFERROR(
  VLOOKUP(
    A16,
    IMPORTRANGE(
      ""1ZHMy3vVUd_0MrSduXTe1etBb1HNpAlGwQr006ljwMiM"",
      ""GSC最新!A:R""
    ),
    12,
    FALSE
  ),
  0
)
"),6.799635571117225)</f>
        <v>6.799635571</v>
      </c>
      <c r="Z16" s="65">
        <f>IFERROR(__xludf.DUMMYFUNCTION("IFERROR(
  VLOOKUP(
    A16,
    IMPORTRANGE(
      ""1ZHMy3vVUd_0MrSduXTe1etBb1HNpAlGwQr006ljwMiM"",
      ""GSC最新!A:R""
    ),
    15,
    FALSE
  ),
  0
)
"),9.288790373654212)</f>
        <v>9.288790374</v>
      </c>
      <c r="AA16" s="65">
        <f>IFERROR(__xludf.DUMMYFUNCTION("IFERROR(
  VLOOKUP(
    A16,
    IMPORTRANGE(
      ""1ZHMy3vVUd_0MrSduXTe1etBb1HNpAlGwQr006ljwMiM"",
      ""GSC最新!A:R""
    ),
    18,
    FALSE
  ),
  0
)
"),10.302469135802468)</f>
        <v>10.30246914</v>
      </c>
      <c r="AB16" s="65">
        <f t="shared" ref="AB16:AC16" si="74">X16-Z16</f>
        <v>-2.551898196</v>
      </c>
      <c r="AC16" s="65">
        <f t="shared" si="74"/>
        <v>-3.502833565</v>
      </c>
      <c r="AD16" s="53">
        <f>IFERROR(__xludf.DUMMYFUNCTION("IFERROR(
  VLOOKUP(
    A16,
    IMPORTRANGE(
      ""1ZHMy3vVUd_0MrSduXTe1etBb1HNpAlGwQr006ljwMiM"",
      ""GSC最新!A:F""
    ),
    6,
    FALSE
  ),
  0
)
"),46081.0)</f>
        <v>46081</v>
      </c>
      <c r="AE16" s="54">
        <f>IFERROR(__xludf.DUMMYFUNCTION("IFERROR(
  VLOOKUP(
    A16,
    IMPORTRANGE(
      ""1SCYQd7_cobOYqT0r_F0IqD4tE4rYn5y8Eup4PJTH8es"",
      ""Snapshot!A:M""
    ),
    5,
    FALSE
  ),
  ""-""
)
"),1.0)</f>
        <v>1</v>
      </c>
      <c r="AF16" s="54">
        <f>IFERROR(__xludf.DUMMYFUNCTION("IFERROR(
  VLOOKUP(
    A16,
    IMPORTRANGE(
      ""1SCYQd7_cobOYqT0r_F0IqD4tE4rYn5y8Eup4PJTH8es"",
      ""Snapshot!A:M""
    ),
    6,
    FALSE
  ),
  0
)
"),4.0)</f>
        <v>4</v>
      </c>
      <c r="AG16" s="54">
        <f>IFERROR(__xludf.DUMMYFUNCTION("IFERROR(
  VLOOKUP(
    A16,
    IMPORTRANGE(
      ""1SCYQd7_cobOYqT0r_F0IqD4tE4rYn5y8Eup4PJTH8es"",
      ""Snapshot!A:M""
    ),
    7,
    FALSE
  ),
  0
)
"),2113.0)</f>
        <v>2113</v>
      </c>
      <c r="AH16" s="54">
        <f>IFERROR(__xludf.DUMMYFUNCTION("IFERROR(
  VLOOKUP(
    A16,
    IMPORTRANGE(
      ""1SCYQd7_cobOYqT0r_F0IqD4tE4rYn5y8Eup4PJTH8es"",
      ""Snapshot!A:M""
    ),
    8,
    FALSE
  ),
  0
)
"),1.0)</f>
        <v>1</v>
      </c>
      <c r="AI16" s="54">
        <f>IFERROR(__xludf.DUMMYFUNCTION("IFERROR(
  VLOOKUP(
    A16,
    IMPORTRANGE(
      ""1SCYQd7_cobOYqT0r_F0IqD4tE4rYn5y8Eup4PJTH8es"",
      ""Snapshot!A:M""
    ),
    9,
    FALSE
  ),
  0
)
"),4.0)</f>
        <v>4</v>
      </c>
      <c r="AJ16" s="54">
        <f>IFERROR(__xludf.DUMMYFUNCTION("IFERROR(
  VLOOKUP(
    A16,
    IMPORTRANGE(
      ""1SCYQd7_cobOYqT0r_F0IqD4tE4rYn5y8Eup4PJTH8es"",
      ""Snapshot!A:M""
    ),
    13,
    FALSE
  ),
  0
)
"),1.0)</f>
        <v>1</v>
      </c>
      <c r="AK16" s="49">
        <f t="shared" ref="AK16:AL16" si="75">LEN(C16)</f>
        <v>29</v>
      </c>
      <c r="AL16" s="49">
        <f t="shared" si="75"/>
        <v>89</v>
      </c>
    </row>
    <row r="17">
      <c r="A17" s="3" t="s">
        <v>1104</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"),"letの後は原形｜Let's not語順｜中1英語")</f>
        <v>letの後は原形｜Let's not語順｜中1英語</v>
      </c>
      <c r="D17" s="1" t="str">
        <f>IFERROR(__xludf.DUMMYFUNCTION("IFERROR(
  VLOOKUP(
    A17,
    IMPORTRANGE(
      ""1ZygntHC1J6IxzKbTidmOyf5nUyW4GCLurHCjexrLm_o        "",
      ""HTMLキャッシュ!A:F""
    ),
    6,
    FALSE
  ),
  0
)
"),"letの後は動詞の原形。Let&amp;#039;s notの語順、Let usとの関係、例文、遅れないでおこうの英訳まで整理。")</f>
        <v>letの後は動詞の原形。Let&amp;#039;s notの語順、Let usとの関係、例文、遅れないでおこうの英訳まで整理。</v>
      </c>
      <c r="E17" s="32">
        <f>IFERROR(__xludf.DUMMYFUNCTION("IFERROR(
  VLOOKUP(
    A17,
    IMPORTRANGE(
      ""1ZygntHC1J6IxzKbTidmOyf5nUyW4GCLurHCjexrLm_o        "",
      ""HTMLキャッシュ!A:F""
    ),
    3,
    FALSE
  ),
  0
)
"),46061.96622685185)</f>
        <v>46061.96623</v>
      </c>
      <c r="F17" s="49">
        <f>IFERROR(__xludf.DUMMYFUNCTION("IFERROR(
  VLOOKUP(
    A17,
    IMPORTRANGE(
      ""1ZHMy3vVUd_0MrSduXTe1etBb1HNpAlGwQr006ljwMiM"",
      ""GSC最新!A:F""
    ),
    2,
    FALSE
  ),
  0
)
"),6.0)</f>
        <v>6</v>
      </c>
      <c r="G17" s="49">
        <f>IFERROR(__xludf.DUMMYFUNCTION("IFERROR(
  VLOOKUP(
    A17,
    IMPORTRANGE(
      ""1ZHMy3vVUd_0MrSduXTe1etBb1HNpAlGwQr006ljwMiM"",
      ""GSC最新!A:F""
    ),
    3,
    FALSE
  ),
  0
)
"),42.0)</f>
        <v>42</v>
      </c>
      <c r="H17" s="49">
        <f>IFERROR(__xludf.DUMMYFUNCTION("IFERROR(
  VLOOKUP(
    A17,
    IMPORTRANGE(
      ""1ZHMy3vVUd_0MrSduXTe1etBb1HNpAlGwQr006ljwMiM"",
      ""GSC最新!A:F""
    ),
    4,
    FALSE
  ),
  0
)
"),11.0)</f>
        <v>11</v>
      </c>
      <c r="I17" s="49">
        <f>IFERROR(__xludf.DUMMYFUNCTION("IFERROR(
  VLOOKUP(
    A17,
    IMPORTRANGE(
      ""1ZHMy3vVUd_0MrSduXTe1etBb1HNpAlGwQr006ljwMiM"",
      ""GSC最新!A:F""
    ),
    5,
    FALSE
  ),
  0
)
"),39.0)</f>
        <v>39</v>
      </c>
      <c r="J17" s="50">
        <f t="shared" ref="J17:K17" si="76">IFERROR(F17/H17,"-")</f>
        <v>0.5454545455</v>
      </c>
      <c r="K17" s="50">
        <f t="shared" si="76"/>
        <v>1.076923077</v>
      </c>
      <c r="L17" s="6">
        <f>IFERROR(__xludf.DUMMYFUNCTION("IFERROR(
  VLOOKUP(
    A17,
    IMPORTRANGE(
      ""1ZHMy3vVUd_0MrSduXTe1etBb1HNpAlGwQr006ljwMiM"",
      ""GSC最新!A:R""
    ),
    7,
    FALSE
  ),
  0
)
"),4155.0)</f>
        <v>4155</v>
      </c>
      <c r="M17" s="6">
        <f>IFERROR(__xludf.DUMMYFUNCTION("IFERROR(
  VLOOKUP(
    A17,
    IMPORTRANGE(
      ""1ZHMy3vVUd_0MrSduXTe1etBb1HNpAlGwQr006ljwMiM"",
      ""GSC最新!A:R""
    ),
    10,
    FALSE
  ),
  0
)
"),11430.0)</f>
        <v>11430</v>
      </c>
      <c r="N17" s="6">
        <f>IFERROR(__xludf.DUMMYFUNCTION("IFERROR(
  VLOOKUP(
    A17,
    IMPORTRANGE(
      ""1ZHMy3vVUd_0MrSduXTe1etBb1HNpAlGwQr006ljwMiM"",
      ""GSC最新!A:R""
    ),
    13,
    FALSE
  ),
  0
)
"),994.0)</f>
        <v>994</v>
      </c>
      <c r="O17" s="6">
        <f>IFERROR(__xludf.DUMMYFUNCTION("IFERROR(
  VLOOKUP(
    A17,
    IMPORTRANGE(
      ""1ZHMy3vVUd_0MrSduXTe1etBb1HNpAlGwQr006ljwMiM"",
      ""GSC最新!A:R""
    ),
    16,
    FALSE
  ),
  0
)
"),2865.0)</f>
        <v>2865</v>
      </c>
      <c r="P17" s="51">
        <f t="shared" ref="P17:Q17" si="77">IFERROR(L17/N17,"-")</f>
        <v>4.180080483</v>
      </c>
      <c r="Q17" s="51">
        <f t="shared" si="77"/>
        <v>3.989528796</v>
      </c>
      <c r="R17" s="9">
        <f>IFERROR(__xludf.DUMMYFUNCTION("IFERROR(
  VLOOKUP(
    A17,
    IMPORTRANGE(
      ""1ZHMy3vVUd_0MrSduXTe1etBb1HNpAlGwQr006ljwMiM"",
      ""GSC最新!A:R""
    ),
    8,
    FALSE
  ),
  0
)
"),0.001444043321299639)</f>
        <v>0.001444043321</v>
      </c>
      <c r="S17" s="9">
        <f>IFERROR(__xludf.DUMMYFUNCTION("IFERROR(
  VLOOKUP(
    A17,
    IMPORTRANGE(
      ""1ZHMy3vVUd_0MrSduXTe1etBb1HNpAlGwQr006ljwMiM"",
      ""GSC最新!A:R""
    ),
    11,
    FALSE
  ),
  0
)
"),0.003674540682414698)</f>
        <v>0.003674540682</v>
      </c>
      <c r="T17" s="9">
        <f>IFERROR(__xludf.DUMMYFUNCTION("IFERROR(
  VLOOKUP(
    A17,
    IMPORTRANGE(
      ""1ZHMy3vVUd_0MrSduXTe1etBb1HNpAlGwQr006ljwMiM"",
      ""GSC最新!A:R""
    ),
    14,
    FALSE
  ),
  0
)
"),0.011066398390342052)</f>
        <v>0.01106639839</v>
      </c>
      <c r="U17" s="9">
        <f>IFERROR(__xludf.DUMMYFUNCTION("IFERROR(
  VLOOKUP(
    A17,
    IMPORTRANGE(
      ""1ZHMy3vVUd_0MrSduXTe1etBb1HNpAlGwQr006ljwMiM"",
      ""GSC最新!A:R""
    ),
    17,
    FALSE
  ),
  0
)
"),0.013612565445026177)</f>
        <v>0.01361256545</v>
      </c>
      <c r="V17" s="9">
        <f t="shared" ref="V17:W17" si="78">IFERROR(R17-T17,"-")</f>
        <v>-0.009622355069</v>
      </c>
      <c r="W17" s="9">
        <f t="shared" si="78"/>
        <v>-0.009938024763</v>
      </c>
      <c r="X17" s="65">
        <f>IFERROR(__xludf.DUMMYFUNCTION("IFERROR(
  VLOOKUP(
    A17,
    IMPORTRANGE(
      ""1ZHMy3vVUd_0MrSduXTe1etBb1HNpAlGwQr006ljwMiM"",
      ""GSC最新!A:R""
    ),
    9,
    FALSE
  ),
  0
)
"),2.7915764139590857)</f>
        <v>2.791576414</v>
      </c>
      <c r="Y17" s="65">
        <f>IFERROR(__xludf.DUMMYFUNCTION("IFERROR(
  VLOOKUP(
    A17,
    IMPORTRANGE(
      ""1ZHMy3vVUd_0MrSduXTe1etBb1HNpAlGwQr006ljwMiM"",
      ""GSC最新!A:R""
    ),
    12,
    FALSE
  ),
  0
)
"),2.9187226596675417)</f>
        <v>2.91872266</v>
      </c>
      <c r="Z17" s="65">
        <f>IFERROR(__xludf.DUMMYFUNCTION("IFERROR(
  VLOOKUP(
    A17,
    IMPORTRANGE(
      ""1ZHMy3vVUd_0MrSduXTe1etBb1HNpAlGwQr006ljwMiM"",
      ""GSC最新!A:R""
    ),
    15,
    FALSE
  ),
  0
)
"),11.261569416498993)</f>
        <v>11.26156942</v>
      </c>
      <c r="AA17" s="65">
        <f>IFERROR(__xludf.DUMMYFUNCTION("IFERROR(
  VLOOKUP(
    A17,
    IMPORTRANGE(
      ""1ZHMy3vVUd_0MrSduXTe1etBb1HNpAlGwQr006ljwMiM"",
      ""GSC最新!A:R""
    ),
    18,
    FALSE
  ),
  0
)
"),12.373123909249564)</f>
        <v>12.37312391</v>
      </c>
      <c r="AB17" s="65">
        <f t="shared" ref="AB17:AC17" si="79">X17-Z17</f>
        <v>-8.469993003</v>
      </c>
      <c r="AC17" s="65">
        <f t="shared" si="79"/>
        <v>-9.45440125</v>
      </c>
      <c r="AD17" s="53">
        <f>IFERROR(__xludf.DUMMYFUNCTION("IFERROR(
  VLOOKUP(
    A17,
    IMPORTRANGE(
      ""1ZHMy3vVUd_0MrSduXTe1etBb1HNpAlGwQr006ljwMiM"",
      ""GSC最新!A:F""
    ),
    6,
    FALSE
  ),
  0
)
"),46081.0)</f>
        <v>46081</v>
      </c>
      <c r="AE17" s="54">
        <f>IFERROR(__xludf.DUMMYFUNCTION("IFERROR(
  VLOOKUP(
    A17,
    IMPORTRANGE(
      ""1SCYQd7_cobOYqT0r_F0IqD4tE4rYn5y8Eup4PJTH8es"",
      ""Snapshot!A:M""
    ),
    5,
    FALSE
  ),
  ""-""
)
"),5.0)</f>
        <v>5</v>
      </c>
      <c r="AF17" s="54">
        <f>IFERROR(__xludf.DUMMYFUNCTION("IFERROR(
  VLOOKUP(
    A17,
    IMPORTRANGE(
      ""1SCYQd7_cobOYqT0r_F0IqD4tE4rYn5y8Eup4PJTH8es"",
      ""Snapshot!A:M""
    ),
    6,
    FALSE
  ),
  0
)
"),8.0)</f>
        <v>8</v>
      </c>
      <c r="AG17" s="54">
        <f>IFERROR(__xludf.DUMMYFUNCTION("IFERROR(
  VLOOKUP(
    A17,
    IMPORTRANGE(
      ""1SCYQd7_cobOYqT0r_F0IqD4tE4rYn5y8Eup4PJTH8es"",
      ""Snapshot!A:M""
    ),
    7,
    FALSE
  ),
  0
)
"),3157.0)</f>
        <v>3157</v>
      </c>
      <c r="AH17" s="54">
        <f>IFERROR(__xludf.DUMMYFUNCTION("IFERROR(
  VLOOKUP(
    A17,
    IMPORTRANGE(
      ""1SCYQd7_cobOYqT0r_F0IqD4tE4rYn5y8Eup4PJTH8es"",
      ""Snapshot!A:M""
    ),
    8,
    FALSE
  ),
  0
)
"),1.0)</f>
        <v>1</v>
      </c>
      <c r="AI17" s="54">
        <f>IFERROR(__xludf.DUMMYFUNCTION("IFERROR(
  VLOOKUP(
    A17,
    IMPORTRANGE(
      ""1SCYQd7_cobOYqT0r_F0IqD4tE4rYn5y8Eup4PJTH8es"",
      ""Snapshot!A:M""
    ),
    9,
    FALSE
  ),
  0
)
"),4.0)</f>
        <v>4</v>
      </c>
      <c r="AJ17" s="54">
        <f>IFERROR(__xludf.DUMMYFUNCTION("IFERROR(
  VLOOKUP(
    A17,
    IMPORTRANGE(
      ""1SCYQd7_cobOYqT0r_F0IqD4tE4rYn5y8Eup4PJTH8es"",
      ""Snapshot!A:M""
    ),
    13,
    FALSE
  ),
  0
)
"),1.0)</f>
        <v>1</v>
      </c>
      <c r="AK17" s="49">
        <f t="shared" ref="AK17:AL17" si="80">LEN(C17)</f>
        <v>25</v>
      </c>
      <c r="AL17" s="49">
        <f t="shared" si="80"/>
        <v>60</v>
      </c>
    </row>
    <row r="18">
      <c r="A18" s="3" t="s">
        <v>1105</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"),"practiceのing形・過去形・三単現｜例文と活用ルール")</f>
        <v>practiceのing形・過去形・三単現｜例文と活用ルール</v>
      </c>
      <c r="D18" s="1" t="str">
        <f>IFERROR(__xludf.DUMMYFUNCTION("IFERROR(
  VLOOKUP(
    A18,
    IMPORTRANGE(
      ""1ZygntHC1J6IxzKbTidmOyf5nUyW4GCLurHCjexrLm_o        "",
      ""HTMLキャッシュ!A:F""
    ),
    6,
    FALSE
  ),
  0
)
"),"practiceのing形(practicing)や過去形(practiced)の作り方を解説。進行形・三単現との違いを例文で整理。中1英語のテスト対策に。")</f>
        <v>practiceのing形(practicing)や過去形(practiced)の作り方を解説。進行形・三単現との違いを例文で整理。中1英語のテスト対策に。</v>
      </c>
      <c r="E18" s="32">
        <f>IFERROR(__xludf.DUMMYFUNCTION("IFERROR(
  VLOOKUP(
    A18,
    IMPORTRANGE(
      ""1ZygntHC1J6IxzKbTidmOyf5nUyW4GCLurHCjexrLm_o        "",
      ""HTMLキャッシュ!A:F""
    ),
    3,
    FALSE
  ),
  0
)
"),46045.81966435185)</f>
        <v>46045.81966</v>
      </c>
      <c r="F18" s="49">
        <f>IFERROR(__xludf.DUMMYFUNCTION("IFERROR(
  VLOOKUP(
    A18,
    IMPORTRANGE(
      ""1ZHMy3vVUd_0MrSduXTe1etBb1HNpAlGwQr006ljwMiM"",
      ""GSC最新!A:F""
    ),
    2,
    FALSE
  ),
  0
)
"),18.0)</f>
        <v>18</v>
      </c>
      <c r="G18" s="49">
        <f>IFERROR(__xludf.DUMMYFUNCTION("IFERROR(
  VLOOKUP(
    A18,
    IMPORTRANGE(
      ""1ZHMy3vVUd_0MrSduXTe1etBb1HNpAlGwQr006ljwMiM"",
      ""GSC最新!A:F""
    ),
    3,
    FALSE
  ),
  0
)
"),41.0)</f>
        <v>41</v>
      </c>
      <c r="H18" s="49">
        <f>IFERROR(__xludf.DUMMYFUNCTION("IFERROR(
  VLOOKUP(
    A18,
    IMPORTRANGE(
      ""1ZHMy3vVUd_0MrSduXTe1etBb1HNpAlGwQr006ljwMiM"",
      ""GSC最新!A:F""
    ),
    4,
    FALSE
  ),
  0
)
"),10.0)</f>
        <v>10</v>
      </c>
      <c r="I18" s="49">
        <f>IFERROR(__xludf.DUMMYFUNCTION("IFERROR(
  VLOOKUP(
    A18,
    IMPORTRANGE(
      ""1ZHMy3vVUd_0MrSduXTe1etBb1HNpAlGwQr006ljwMiM"",
      ""GSC最新!A:F""
    ),
    5,
    FALSE
  ),
  0
)
"),29.0)</f>
        <v>29</v>
      </c>
      <c r="J18" s="50">
        <f t="shared" ref="J18:K18" si="81">IFERROR(F18/H18,"-")</f>
        <v>1.8</v>
      </c>
      <c r="K18" s="50">
        <f t="shared" si="81"/>
        <v>1.413793103</v>
      </c>
      <c r="L18" s="6">
        <f>IFERROR(__xludf.DUMMYFUNCTION("IFERROR(
  VLOOKUP(
    A18,
    IMPORTRANGE(
      ""1ZHMy3vVUd_0MrSduXTe1etBb1HNpAlGwQr006ljwMiM"",
      ""GSC最新!A:R""
    ),
    7,
    FALSE
  ),
  0
)
"),7416.0)</f>
        <v>7416</v>
      </c>
      <c r="M18" s="6">
        <f>IFERROR(__xludf.DUMMYFUNCTION("IFERROR(
  VLOOKUP(
    A18,
    IMPORTRANGE(
      ""1ZHMy3vVUd_0MrSduXTe1etBb1HNpAlGwQr006ljwMiM"",
      ""GSC最新!A:R""
    ),
    10,
    FALSE
  ),
  0
)
"),19785.0)</f>
        <v>19785</v>
      </c>
      <c r="N18" s="6">
        <f>IFERROR(__xludf.DUMMYFUNCTION("IFERROR(
  VLOOKUP(
    A18,
    IMPORTRANGE(
      ""1ZHMy3vVUd_0MrSduXTe1etBb1HNpAlGwQr006ljwMiM"",
      ""GSC最新!A:R""
    ),
    13,
    FALSE
  ),
  0
)
"),4425.0)</f>
        <v>4425</v>
      </c>
      <c r="O18" s="6">
        <f>IFERROR(__xludf.DUMMYFUNCTION("IFERROR(
  VLOOKUP(
    A18,
    IMPORTRANGE(
      ""1ZHMy3vVUd_0MrSduXTe1etBb1HNpAlGwQr006ljwMiM"",
      ""GSC最新!A:R""
    ),
    16,
    FALSE
  ),
  0
)
"),10393.0)</f>
        <v>10393</v>
      </c>
      <c r="P18" s="51">
        <f t="shared" ref="P18:Q18" si="82">IFERROR(L18/N18,"-")</f>
        <v>1.675932203</v>
      </c>
      <c r="Q18" s="51">
        <f t="shared" si="82"/>
        <v>1.903685173</v>
      </c>
      <c r="R18" s="9">
        <f>IFERROR(__xludf.DUMMYFUNCTION("IFERROR(
  VLOOKUP(
    A18,
    IMPORTRANGE(
      ""1ZHMy3vVUd_0MrSduXTe1etBb1HNpAlGwQr006ljwMiM"",
      ""GSC最新!A:R""
    ),
    8,
    FALSE
  ),
  0
)
"),0.0024271844660194173)</f>
        <v>0.002427184466</v>
      </c>
      <c r="S18" s="9">
        <f>IFERROR(__xludf.DUMMYFUNCTION("IFERROR(
  VLOOKUP(
    A18,
    IMPORTRANGE(
      ""1ZHMy3vVUd_0MrSduXTe1etBb1HNpAlGwQr006ljwMiM"",
      ""GSC最新!A:R""
    ),
    11,
    FALSE
  ),
  0
)
"),0.0020722769775082133)</f>
        <v>0.002072276978</v>
      </c>
      <c r="T18" s="9">
        <f>IFERROR(__xludf.DUMMYFUNCTION("IFERROR(
  VLOOKUP(
    A18,
    IMPORTRANGE(
      ""1ZHMy3vVUd_0MrSduXTe1etBb1HNpAlGwQr006ljwMiM"",
      ""GSC最新!A:R""
    ),
    14,
    FALSE
  ),
  0
)
"),0.0022598870056497176)</f>
        <v>0.002259887006</v>
      </c>
      <c r="U18" s="9">
        <f>IFERROR(__xludf.DUMMYFUNCTION("IFERROR(
  VLOOKUP(
    A18,
    IMPORTRANGE(
      ""1ZHMy3vVUd_0MrSduXTe1etBb1HNpAlGwQr006ljwMiM"",
      ""GSC最新!A:R""
    ),
    17,
    FALSE
  ),
  0
)
"),0.0027903396516886364)</f>
        <v>0.002790339652</v>
      </c>
      <c r="V18" s="9">
        <f t="shared" ref="V18:W18" si="83">IFERROR(R18-T18,"-")</f>
        <v>0.0001672974604</v>
      </c>
      <c r="W18" s="9">
        <f t="shared" si="83"/>
        <v>-0.0007180626742</v>
      </c>
      <c r="X18" s="65">
        <f>IFERROR(__xludf.DUMMYFUNCTION("IFERROR(
  VLOOKUP(
    A18,
    IMPORTRANGE(
      ""1ZHMy3vVUd_0MrSduXTe1etBb1HNpAlGwQr006ljwMiM"",
      ""GSC最新!A:R""
    ),
    9,
    FALSE
  ),
  0
)
"),4.317421790722761)</f>
        <v>4.317421791</v>
      </c>
      <c r="Y18" s="65">
        <f>IFERROR(__xludf.DUMMYFUNCTION("IFERROR(
  VLOOKUP(
    A18,
    IMPORTRANGE(
      ""1ZHMy3vVUd_0MrSduXTe1etBb1HNpAlGwQr006ljwMiM"",
      ""GSC最新!A:R""
    ),
    12,
    FALSE
  ),
  0
)
"),4.698357341420268)</f>
        <v>4.698357341</v>
      </c>
      <c r="Z18" s="65">
        <f>IFERROR(__xludf.DUMMYFUNCTION("IFERROR(
  VLOOKUP(
    A18,
    IMPORTRANGE(
      ""1ZHMy3vVUd_0MrSduXTe1etBb1HNpAlGwQr006ljwMiM"",
      ""GSC最新!A:R""
    ),
    15,
    FALSE
  ),
  0
)
"),7.24045197740113)</f>
        <v>7.240451977</v>
      </c>
      <c r="AA18" s="65">
        <f>IFERROR(__xludf.DUMMYFUNCTION("IFERROR(
  VLOOKUP(
    A18,
    IMPORTRANGE(
      ""1ZHMy3vVUd_0MrSduXTe1etBb1HNpAlGwQr006ljwMiM"",
      ""GSC最新!A:R""
    ),
    18,
    FALSE
  ),
  0
)
"),7.895699028192053)</f>
        <v>7.895699028</v>
      </c>
      <c r="AB18" s="65">
        <f t="shared" ref="AB18:AC18" si="84">X18-Z18</f>
        <v>-2.923030187</v>
      </c>
      <c r="AC18" s="65">
        <f t="shared" si="84"/>
        <v>-3.197341687</v>
      </c>
      <c r="AD18" s="53">
        <f>IFERROR(__xludf.DUMMYFUNCTION("IFERROR(
  VLOOKUP(
    A18,
    IMPORTRANGE(
      ""1ZHMy3vVUd_0MrSduXTe1etBb1HNpAlGwQr006ljwMiM"",
      ""GSC最新!A:F""
    ),
    6,
    FALSE
  ),
  0
)
"),46081.0)</f>
        <v>46081</v>
      </c>
      <c r="AE18" s="54">
        <f>IFERROR(__xludf.DUMMYFUNCTION("IFERROR(
  VLOOKUP(
    A18,
    IMPORTRANGE(
      ""1SCYQd7_cobOYqT0r_F0IqD4tE4rYn5y8Eup4PJTH8es"",
      ""Snapshot!A:M""
    ),
    5,
    FALSE
  ),
  ""-""
)
"),5.0)</f>
        <v>5</v>
      </c>
      <c r="AF18" s="54">
        <f>IFERROR(__xludf.DUMMYFUNCTION("IFERROR(
  VLOOKUP(
    A18,
    IMPORTRANGE(
      ""1SCYQd7_cobOYqT0r_F0IqD4tE4rYn5y8Eup4PJTH8es"",
      ""Snapshot!A:M""
    ),
    6,
    FALSE
  ),
  0
)
"),7.0)</f>
        <v>7</v>
      </c>
      <c r="AG18" s="54">
        <f>IFERROR(__xludf.DUMMYFUNCTION("IFERROR(
  VLOOKUP(
    A18,
    IMPORTRANGE(
      ""1SCYQd7_cobOYqT0r_F0IqD4tE4rYn5y8Eup4PJTH8es"",
      ""Snapshot!A:M""
    ),
    7,
    FALSE
  ),
  0
)
"),4253.0)</f>
        <v>4253</v>
      </c>
      <c r="AH18" s="54">
        <f>IFERROR(__xludf.DUMMYFUNCTION("IFERROR(
  VLOOKUP(
    A18,
    IMPORTRANGE(
      ""1SCYQd7_cobOYqT0r_F0IqD4tE4rYn5y8Eup4PJTH8es"",
      ""Snapshot!A:M""
    ),
    8,
    FALSE
  ),
  0
)
"),1.0)</f>
        <v>1</v>
      </c>
      <c r="AI18" s="54">
        <f>IFERROR(__xludf.DUMMYFUNCTION("IFERROR(
  VLOOKUP(
    A18,
    IMPORTRANGE(
      ""1SCYQd7_cobOYqT0r_F0IqD4tE4rYn5y8Eup4PJTH8es"",
      ""Snapshot!A:M""
    ),
    9,
    FALSE
  ),
  0
)
"),3.0)</f>
        <v>3</v>
      </c>
      <c r="AJ18" s="54">
        <f>IFERROR(__xludf.DUMMYFUNCTION("IFERROR(
  VLOOKUP(
    A18,
    IMPORTRANGE(
      ""1SCYQd7_cobOYqT0r_F0IqD4tE4rYn5y8Eup4PJTH8es"",
      ""Snapshot!A:M""
    ),
    13,
    FALSE
  ),
  0
)
"),1.0)</f>
        <v>1</v>
      </c>
      <c r="AK18" s="49">
        <f t="shared" ref="AK18:AL18" si="85">LEN(C18)</f>
        <v>30</v>
      </c>
      <c r="AL18" s="49">
        <f t="shared" si="85"/>
        <v>78</v>
      </c>
    </row>
    <row r="19">
      <c r="A19" s="3" t="s">
        <v>1106</v>
      </c>
      <c r="B19" s="1" t="str">
        <f>IFERROR(__xludf.DUMMYFUNCTION("IFERROR(
  VLOOKUP(
    A19,
    IMPORTRANGE(
      ""1ZygntHC1J6IxzKbTidmOyf5nUyW4GCLurHCjexrLm_o"",
      ""HTMLキャッシュ!A:F""
    ),
    2,
    FALSE
  ),
  0
)
"),"MC")</f>
        <v>MC</v>
      </c>
      <c r="C19" s="1" t="str">
        <f>IFERROR(__xludf.DUMMYFUNCTION("IFERROR(
  VLOOKUP(
    A19,
    IMPORTRANGE(
      ""1ZygntHC1J6IxzKbTidmOyf5nUyW4GCLurHCjexrLm_o"",
      ""HTMLキャッシュ!A:F""
    ),
    5,
    FALSE
  ),
  0
)
"),"than I expected・than expected")</f>
        <v>than I expected・than expected</v>
      </c>
      <c r="D19" s="1" t="str">
        <f>IFERROR(__xludf.DUMMYFUNCTION("IFERROR(
  VLOOKUP(
    A19,
    IMPORTRANGE(
      ""1ZygntHC1J6IxzKbTidmOyf5nUyW4GCLurHCjexrLm_o        "",
      ""HTMLキャッシュ!A:F""
    ),
    6,
    FALSE
  ),
  0
)
"),"than I expected／than expectedは「予想より〜」。thanの省略とexpected／had expectedの違いを例文で整理。")</f>
        <v>than I expected／than expectedは「予想より〜」。thanの省略とexpected／had expectedの違いを例文で整理。</v>
      </c>
      <c r="E19" s="32">
        <f>IFERROR(__xludf.DUMMYFUNCTION("IFERROR(
  VLOOKUP(
    A19,
    IMPORTRANGE(
      ""1ZygntHC1J6IxzKbTidmOyf5nUyW4GCLurHCjexrLm_o        "",
      ""HTMLキャッシュ!A:F""
    ),
    3,
    FALSE
  ),
  0
)
"),46071.95930555555)</f>
        <v>46071.95931</v>
      </c>
      <c r="F19" s="49">
        <f>IFERROR(__xludf.DUMMYFUNCTION("IFERROR(
  VLOOKUP(
    A19,
    IMPORTRANGE(
      ""1ZHMy3vVUd_0MrSduXTe1etBb1HNpAlGwQr006ljwMiM"",
      ""GSC最新!A:F""
    ),
    2,
    FALSE
  ),
  0
)
"),15.0)</f>
        <v>15</v>
      </c>
      <c r="G19" s="49">
        <f>IFERROR(__xludf.DUMMYFUNCTION("IFERROR(
  VLOOKUP(
    A19,
    IMPORTRANGE(
      ""1ZHMy3vVUd_0MrSduXTe1etBb1HNpAlGwQr006ljwMiM"",
      ""GSC最新!A:F""
    ),
    3,
    FALSE
  ),
  0
)
"),36.0)</f>
        <v>36</v>
      </c>
      <c r="H19" s="49">
        <f>IFERROR(__xludf.DUMMYFUNCTION("IFERROR(
  VLOOKUP(
    A19,
    IMPORTRANGE(
      ""1ZHMy3vVUd_0MrSduXTe1etBb1HNpAlGwQr006ljwMiM"",
      ""GSC最新!A:F""
    ),
    4,
    FALSE
  ),
  0
)
"),0.0)</f>
        <v>0</v>
      </c>
      <c r="I19" s="49">
        <f>IFERROR(__xludf.DUMMYFUNCTION("IFERROR(
  VLOOKUP(
    A19,
    IMPORTRANGE(
      ""1ZHMy3vVUd_0MrSduXTe1etBb1HNpAlGwQr006ljwMiM"",
      ""GSC最新!A:F""
    ),
    5,
    FALSE
  ),
  0
)
"),2.0)</f>
        <v>2</v>
      </c>
      <c r="J19" s="50" t="str">
        <f t="shared" ref="J19:K19" si="86">IFERROR(F19/H19,"-")</f>
        <v>-</v>
      </c>
      <c r="K19" s="50">
        <f t="shared" si="86"/>
        <v>18</v>
      </c>
      <c r="L19" s="6">
        <f>IFERROR(__xludf.DUMMYFUNCTION("IFERROR(
  VLOOKUP(
    A19,
    IMPORTRANGE(
      ""1ZHMy3vVUd_0MrSduXTe1etBb1HNpAlGwQr006ljwMiM"",
      ""GSC最新!A:R""
    ),
    7,
    FALSE
  ),
  0
)
"),1067.0)</f>
        <v>1067</v>
      </c>
      <c r="M19" s="6">
        <f>IFERROR(__xludf.DUMMYFUNCTION("IFERROR(
  VLOOKUP(
    A19,
    IMPORTRANGE(
      ""1ZHMy3vVUd_0MrSduXTe1etBb1HNpAlGwQr006ljwMiM"",
      ""GSC最新!A:R""
    ),
    10,
    FALSE
  ),
  0
)
"),3678.0)</f>
        <v>3678</v>
      </c>
      <c r="N19" s="6">
        <f>IFERROR(__xludf.DUMMYFUNCTION("IFERROR(
  VLOOKUP(
    A19,
    IMPORTRANGE(
      ""1ZHMy3vVUd_0MrSduXTe1etBb1HNpAlGwQr006ljwMiM"",
      ""GSC最新!A:R""
    ),
    13,
    FALSE
  ),
  0
)
"),16.0)</f>
        <v>16</v>
      </c>
      <c r="O19" s="6">
        <f>IFERROR(__xludf.DUMMYFUNCTION("IFERROR(
  VLOOKUP(
    A19,
    IMPORTRANGE(
      ""1ZHMy3vVUd_0MrSduXTe1etBb1HNpAlGwQr006ljwMiM"",
      ""GSC最新!A:R""
    ),
    16,
    FALSE
  ),
  0
)
"),52.0)</f>
        <v>52</v>
      </c>
      <c r="P19" s="51">
        <f t="shared" ref="P19:Q19" si="87">IFERROR(L19/N19,"-")</f>
        <v>66.6875</v>
      </c>
      <c r="Q19" s="51">
        <f t="shared" si="87"/>
        <v>70.73076923</v>
      </c>
      <c r="R19" s="9">
        <f>IFERROR(__xludf.DUMMYFUNCTION("IFERROR(
  VLOOKUP(
    A19,
    IMPORTRANGE(
      ""1ZHMy3vVUd_0MrSduXTe1etBb1HNpAlGwQr006ljwMiM"",
      ""GSC最新!A:R""
    ),
    8,
    FALSE
  ),
  0
)
"),0.014058106841611996)</f>
        <v>0.01405810684</v>
      </c>
      <c r="S19" s="9">
        <f>IFERROR(__xludf.DUMMYFUNCTION("IFERROR(
  VLOOKUP(
    A19,
    IMPORTRANGE(
      ""1ZHMy3vVUd_0MrSduXTe1etBb1HNpAlGwQr006ljwMiM"",
      ""GSC最新!A:R""
    ),
    11,
    FALSE
  ),
  0
)
"),0.009787928221859706)</f>
        <v>0.009787928222</v>
      </c>
      <c r="T19" s="9">
        <f>IFERROR(__xludf.DUMMYFUNCTION("IFERROR(
  VLOOKUP(
    A19,
    IMPORTRANGE(
      ""1ZHMy3vVUd_0MrSduXTe1etBb1HNpAlGwQr006ljwMiM"",
      ""GSC最新!A:R""
    ),
    14,
    FALSE
  ),
  0
)
"),0.0)</f>
        <v>0</v>
      </c>
      <c r="U19" s="9">
        <f>IFERROR(__xludf.DUMMYFUNCTION("IFERROR(
  VLOOKUP(
    A19,
    IMPORTRANGE(
      ""1ZHMy3vVUd_0MrSduXTe1etBb1HNpAlGwQr006ljwMiM"",
      ""GSC最新!A:R""
    ),
    17,
    FALSE
  ),
  0
)
"),0.038461538461538464)</f>
        <v>0.03846153846</v>
      </c>
      <c r="V19" s="9">
        <f t="shared" ref="V19:W19" si="88">IFERROR(R19-T19,"-")</f>
        <v>0.01405810684</v>
      </c>
      <c r="W19" s="9">
        <f t="shared" si="88"/>
        <v>-0.02867361024</v>
      </c>
      <c r="X19" s="65">
        <f>IFERROR(__xludf.DUMMYFUNCTION("IFERROR(
  VLOOKUP(
    A19,
    IMPORTRANGE(
      ""1ZHMy3vVUd_0MrSduXTe1etBb1HNpAlGwQr006ljwMiM"",
      ""GSC最新!A:R""
    ),
    9,
    FALSE
  ),
  0
)
"),6.118088097469541)</f>
        <v>6.118088097</v>
      </c>
      <c r="Y19" s="65">
        <f>IFERROR(__xludf.DUMMYFUNCTION("IFERROR(
  VLOOKUP(
    A19,
    IMPORTRANGE(
      ""1ZHMy3vVUd_0MrSduXTe1etBb1HNpAlGwQr006ljwMiM"",
      ""GSC最新!A:R""
    ),
    12,
    FALSE
  ),
  0
)
"),5.114464382816748)</f>
        <v>5.114464383</v>
      </c>
      <c r="Z19" s="65">
        <f>IFERROR(__xludf.DUMMYFUNCTION("IFERROR(
  VLOOKUP(
    A19,
    IMPORTRANGE(
      ""1ZHMy3vVUd_0MrSduXTe1etBb1HNpAlGwQr006ljwMiM"",
      ""GSC最新!A:R""
    ),
    15,
    FALSE
  ),
  0
)
"),5.75)</f>
        <v>5.75</v>
      </c>
      <c r="AA19" s="65">
        <f>IFERROR(__xludf.DUMMYFUNCTION("IFERROR(
  VLOOKUP(
    A19,
    IMPORTRANGE(
      ""1ZHMy3vVUd_0MrSduXTe1etBb1HNpAlGwQr006ljwMiM"",
      ""GSC最新!A:R""
    ),
    18,
    FALSE
  ),
  0
)
"),5.980769230769231)</f>
        <v>5.980769231</v>
      </c>
      <c r="AB19" s="65">
        <f t="shared" ref="AB19:AC19" si="89">X19-Z19</f>
        <v>0.3680880975</v>
      </c>
      <c r="AC19" s="65">
        <f t="shared" si="89"/>
        <v>-0.866304848</v>
      </c>
      <c r="AD19" s="53">
        <f>IFERROR(__xludf.DUMMYFUNCTION("IFERROR(
  VLOOKUP(
    A19,
    IMPORTRANGE(
      ""1ZHMy3vVUd_0MrSduXTe1etBb1HNpAlGwQr006ljwMiM"",
      ""GSC最新!A:F""
    ),
    6,
    FALSE
  ),
  0
)
"),46081.0)</f>
        <v>46081</v>
      </c>
      <c r="AE19" s="54">
        <f>IFERROR(__xludf.DUMMYFUNCTION("IFERROR(
  VLOOKUP(
    A19,
    IMPORTRANGE(
      ""1SCYQd7_cobOYqT0r_F0IqD4tE4rYn5y8Eup4PJTH8es"",
      ""Snapshot!A:M""
    ),
    5,
    FALSE
  ),
  ""-""
)
"),0.0)</f>
        <v>0</v>
      </c>
      <c r="AF19" s="54">
        <f>IFERROR(__xludf.DUMMYFUNCTION("IFERROR(
  VLOOKUP(
    A19,
    IMPORTRANGE(
      ""1SCYQd7_cobOYqT0r_F0IqD4tE4rYn5y8Eup4PJTH8es"",
      ""Snapshot!A:M""
    ),
    6,
    FALSE
  ),
  0
)
"),9.0)</f>
        <v>9</v>
      </c>
      <c r="AG19" s="54">
        <f>IFERROR(__xludf.DUMMYFUNCTION("IFERROR(
  VLOOKUP(
    A19,
    IMPORTRANGE(
      ""1SCYQd7_cobOYqT0r_F0IqD4tE4rYn5y8Eup4PJTH8es"",
      ""Snapshot!A:M""
    ),
    7,
    FALSE
  ),
  0
)
"),1350.0)</f>
        <v>1350</v>
      </c>
      <c r="AH19" s="54">
        <f>IFERROR(__xludf.DUMMYFUNCTION("IFERROR(
  VLOOKUP(
    A19,
    IMPORTRANGE(
      ""1SCYQd7_cobOYqT0r_F0IqD4tE4rYn5y8Eup4PJTH8es"",
      ""Snapshot!A:M""
    ),
    8,
    FALSE
  ),
  0
)
"),1.0)</f>
        <v>1</v>
      </c>
      <c r="AI19" s="54">
        <f>IFERROR(__xludf.DUMMYFUNCTION("IFERROR(
  VLOOKUP(
    A19,
    IMPORTRANGE(
      ""1SCYQd7_cobOYqT0r_F0IqD4tE4rYn5y8Eup4PJTH8es"",
      ""Snapshot!A:M""
    ),
    9,
    FALSE
  ),
  0
)
"),4.0)</f>
        <v>4</v>
      </c>
      <c r="AJ19" s="54">
        <f>IFERROR(__xludf.DUMMYFUNCTION("IFERROR(
  VLOOKUP(
    A19,
    IMPORTRANGE(
      ""1SCYQd7_cobOYqT0r_F0IqD4tE4rYn5y8Eup4PJTH8es"",
      ""Snapshot!A:M""
    ),
    13,
    FALSE
  ),
  0
)
"),1.0)</f>
        <v>1</v>
      </c>
      <c r="AK19" s="49">
        <f t="shared" ref="AK19:AL19" si="90">LEN(C19)</f>
        <v>29</v>
      </c>
      <c r="AL19" s="49">
        <f t="shared" si="90"/>
        <v>77</v>
      </c>
    </row>
    <row r="20">
      <c r="A20" s="3" t="s">
        <v>1107</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"),"比較級・最上級の完全整理──the の付け方と in／of の違い・疑問文の作り方【Book2 Lesson4 Scene1】 - 新宿区四谷の英語専門塾「英語教室『サポート』」～英語は別に怖くない！～")</f>
        <v>比較級・最上級の完全整理──the の付け方と in／of の違い・疑問文の作り方【Book2 Lesson4 Scene1】 - 新宿区四谷の英語専門塾「英語教室『サポート』」～英語は別に怖くない！～</v>
      </c>
      <c r="D20" s="1" t="str">
        <f>IFERROR(__xludf.DUMMYFUNCTION("IFERROR(
  VLOOKUP(
    A20,
    IMPORTRANGE(
      ""1ZygntHC1J6IxzKbTidmOyf5nUyW4GCLurHCjexrLm_o        "",
      ""HTMLキャッシュ!A:F""
    ),
    6,
    FALSE
  ),
  0
)
"),"形容詞・副詞の比較級／最上級を一から整理。the を付けるとき／付けないとき、in と of の使い分け、Who を使った疑問文と答え方を例文付きで解説。")</f>
        <v>形容詞・副詞の比較級／最上級を一から整理。the を付けるとき／付けないとき、in と of の使い分け、Who を使った疑問文と答え方を例文付きで解説。</v>
      </c>
      <c r="E20" s="32">
        <f>IFERROR(__xludf.DUMMYFUNCTION("IFERROR(
  VLOOKUP(
    A20,
    IMPORTRANGE(
      ""1ZygntHC1J6IxzKbTidmOyf5nUyW4GCLurHCjexrLm_o        "",
      ""HTMLキャッシュ!A:F""
    ),
    3,
    FALSE
  ),
  0
)
"),45990.81831018518)</f>
        <v>45990.81831</v>
      </c>
      <c r="F20" s="49">
        <f>IFERROR(__xludf.DUMMYFUNCTION("IFERROR(
  VLOOKUP(
    A20,
    IMPORTRANGE(
      ""1ZHMy3vVUd_0MrSduXTe1etBb1HNpAlGwQr006ljwMiM"",
      ""GSC最新!A:F""
    ),
    2,
    FALSE
  ),
  0
)
"),20.0)</f>
        <v>20</v>
      </c>
      <c r="G20" s="49">
        <f>IFERROR(__xludf.DUMMYFUNCTION("IFERROR(
  VLOOKUP(
    A20,
    IMPORTRANGE(
      ""1ZHMy3vVUd_0MrSduXTe1etBb1HNpAlGwQr006ljwMiM"",
      ""GSC最新!A:F""
    ),
    3,
    FALSE
  ),
  0
)
"),37.0)</f>
        <v>37</v>
      </c>
      <c r="H20" s="49">
        <f>IFERROR(__xludf.DUMMYFUNCTION("IFERROR(
  VLOOKUP(
    A20,
    IMPORTRANGE(
      ""1ZHMy3vVUd_0MrSduXTe1etBb1HNpAlGwQr006ljwMiM"",
      ""GSC最新!A:F""
    ),
    4,
    FALSE
  ),
  0
)
"),0.0)</f>
        <v>0</v>
      </c>
      <c r="I20" s="49">
        <f>IFERROR(__xludf.DUMMYFUNCTION("IFERROR(
  VLOOKUP(
    A20,
    IMPORTRANGE(
      ""1ZHMy3vVUd_0MrSduXTe1etBb1HNpAlGwQr006ljwMiM"",
      ""GSC最新!A:F""
    ),
    5,
    FALSE
  ),
  0
)
"),4.0)</f>
        <v>4</v>
      </c>
      <c r="J20" s="50" t="str">
        <f t="shared" ref="J20:K20" si="91">IFERROR(F20/H20,"-")</f>
        <v>-</v>
      </c>
      <c r="K20" s="50">
        <f t="shared" si="91"/>
        <v>9.25</v>
      </c>
      <c r="L20" s="6">
        <f>IFERROR(__xludf.DUMMYFUNCTION("IFERROR(
  VLOOKUP(
    A20,
    IMPORTRANGE(
      ""1ZHMy3vVUd_0MrSduXTe1etBb1HNpAlGwQr006ljwMiM"",
      ""GSC最新!A:R""
    ),
    7,
    FALSE
  ),
  0
)
"),9544.0)</f>
        <v>9544</v>
      </c>
      <c r="M20" s="6">
        <f>IFERROR(__xludf.DUMMYFUNCTION("IFERROR(
  VLOOKUP(
    A20,
    IMPORTRANGE(
      ""1ZHMy3vVUd_0MrSduXTe1etBb1HNpAlGwQr006ljwMiM"",
      ""GSC最新!A:R""
    ),
    10,
    FALSE
  ),
  0
)
"),17609.0)</f>
        <v>17609</v>
      </c>
      <c r="N20" s="6">
        <f>IFERROR(__xludf.DUMMYFUNCTION("IFERROR(
  VLOOKUP(
    A20,
    IMPORTRANGE(
      ""1ZHMy3vVUd_0MrSduXTe1etBb1HNpAlGwQr006ljwMiM"",
      ""GSC最新!A:R""
    ),
    13,
    FALSE
  ),
  0
)
"),146.0)</f>
        <v>146</v>
      </c>
      <c r="O20" s="6">
        <f>IFERROR(__xludf.DUMMYFUNCTION("IFERROR(
  VLOOKUP(
    A20,
    IMPORTRANGE(
      ""1ZHMy3vVUd_0MrSduXTe1etBb1HNpAlGwQr006ljwMiM"",
      ""GSC最新!A:R""
    ),
    16,
    FALSE
  ),
  0
)
"),518.0)</f>
        <v>518</v>
      </c>
      <c r="P20" s="51">
        <f t="shared" ref="P20:Q20" si="92">IFERROR(L20/N20,"-")</f>
        <v>65.36986301</v>
      </c>
      <c r="Q20" s="51">
        <f t="shared" si="92"/>
        <v>33.99420849</v>
      </c>
      <c r="R20" s="9">
        <f>IFERROR(__xludf.DUMMYFUNCTION("IFERROR(
  VLOOKUP(
    A20,
    IMPORTRANGE(
      ""1ZHMy3vVUd_0MrSduXTe1etBb1HNpAlGwQr006ljwMiM"",
      ""GSC最新!A:R""
    ),
    8,
    FALSE
  ),
  0
)
"),0.0020955574182732607)</f>
        <v>0.002095557418</v>
      </c>
      <c r="S20" s="9">
        <f>IFERROR(__xludf.DUMMYFUNCTION("IFERROR(
  VLOOKUP(
    A20,
    IMPORTRANGE(
      ""1ZHMy3vVUd_0MrSduXTe1etBb1HNpAlGwQr006ljwMiM"",
      ""GSC最新!A:R""
    ),
    11,
    FALSE
  ),
  0
)
"),0.002101198250894429)</f>
        <v>0.002101198251</v>
      </c>
      <c r="T20" s="9">
        <f>IFERROR(__xludf.DUMMYFUNCTION("IFERROR(
  VLOOKUP(
    A20,
    IMPORTRANGE(
      ""1ZHMy3vVUd_0MrSduXTe1etBb1HNpAlGwQr006ljwMiM"",
      ""GSC最新!A:R""
    ),
    14,
    FALSE
  ),
  0
)
"),0.0)</f>
        <v>0</v>
      </c>
      <c r="U20" s="9">
        <f>IFERROR(__xludf.DUMMYFUNCTION("IFERROR(
  VLOOKUP(
    A20,
    IMPORTRANGE(
      ""1ZHMy3vVUd_0MrSduXTe1etBb1HNpAlGwQr006ljwMiM"",
      ""GSC最新!A:R""
    ),
    17,
    FALSE
  ),
  0
)
"),0.007722007722007722)</f>
        <v>0.007722007722</v>
      </c>
      <c r="V20" s="9">
        <f t="shared" ref="V20:W20" si="93">IFERROR(R20-T20,"-")</f>
        <v>0.002095557418</v>
      </c>
      <c r="W20" s="9">
        <f t="shared" si="93"/>
        <v>-0.005620809471</v>
      </c>
      <c r="X20" s="65">
        <f>IFERROR(__xludf.DUMMYFUNCTION("IFERROR(
  VLOOKUP(
    A20,
    IMPORTRANGE(
      ""1ZHMy3vVUd_0MrSduXTe1etBb1HNpAlGwQr006ljwMiM"",
      ""GSC最新!A:R""
    ),
    9,
    FALSE
  ),
  0
)
"),5.947715842414082)</f>
        <v>5.947715842</v>
      </c>
      <c r="Y20" s="65">
        <f>IFERROR(__xludf.DUMMYFUNCTION("IFERROR(
  VLOOKUP(
    A20,
    IMPORTRANGE(
      ""1ZHMy3vVUd_0MrSduXTe1etBb1HNpAlGwQr006ljwMiM"",
      ""GSC最新!A:R""
    ),
    12,
    FALSE
  ),
  0
)
"),6.538928956783463)</f>
        <v>6.538928957</v>
      </c>
      <c r="Z20" s="65">
        <f>IFERROR(__xludf.DUMMYFUNCTION("IFERROR(
  VLOOKUP(
    A20,
    IMPORTRANGE(
      ""1ZHMy3vVUd_0MrSduXTe1etBb1HNpAlGwQr006ljwMiM"",
      ""GSC最新!A:R""
    ),
    15,
    FALSE
  ),
  0
)
"),11.45890410958904)</f>
        <v>11.45890411</v>
      </c>
      <c r="AA20" s="65">
        <f>IFERROR(__xludf.DUMMYFUNCTION("IFERROR(
  VLOOKUP(
    A20,
    IMPORTRANGE(
      ""1ZHMy3vVUd_0MrSduXTe1etBb1HNpAlGwQr006ljwMiM"",
      ""GSC最新!A:R""
    ),
    18,
    FALSE
  ),
  0
)
"),17.945945945945947)</f>
        <v>17.94594595</v>
      </c>
      <c r="AB20" s="65">
        <f t="shared" ref="AB20:AC20" si="94">X20-Z20</f>
        <v>-5.511188267</v>
      </c>
      <c r="AC20" s="65">
        <f t="shared" si="94"/>
        <v>-11.40701699</v>
      </c>
      <c r="AD20" s="53">
        <f>IFERROR(__xludf.DUMMYFUNCTION("IFERROR(
  VLOOKUP(
    A20,
    IMPORTRANGE(
      ""1ZHMy3vVUd_0MrSduXTe1etBb1HNpAlGwQr006ljwMiM"",
      ""GSC最新!A:F""
    ),
    6,
    FALSE
  ),
  0
)
"),46081.0)</f>
        <v>46081</v>
      </c>
      <c r="AE20" s="54">
        <f>IFERROR(__xludf.DUMMYFUNCTION("IFERROR(
  VLOOKUP(
    A20,
    IMPORTRANGE(
      ""1SCYQd7_cobOYqT0r_F0IqD4tE4rYn5y8Eup4PJTH8es"",
      ""Snapshot!A:M""
    ),
    5,
    FALSE
  ),
  ""-""
)
"),0.0)</f>
        <v>0</v>
      </c>
      <c r="AF20" s="54">
        <f>IFERROR(__xludf.DUMMYFUNCTION("IFERROR(
  VLOOKUP(
    A20,
    IMPORTRANGE(
      ""1SCYQd7_cobOYqT0r_F0IqD4tE4rYn5y8Eup4PJTH8es"",
      ""Snapshot!A:M""
    ),
    6,
    FALSE
  ),
  0
)
"),18.0)</f>
        <v>18</v>
      </c>
      <c r="AG20" s="54">
        <f>IFERROR(__xludf.DUMMYFUNCTION("IFERROR(
  VLOOKUP(
    A20,
    IMPORTRANGE(
      ""1SCYQd7_cobOYqT0r_F0IqD4tE4rYn5y8Eup4PJTH8es"",
      ""Snapshot!A:M""
    ),
    7,
    FALSE
  ),
  0
)
"),4762.0)</f>
        <v>4762</v>
      </c>
      <c r="AH20" s="54">
        <f>IFERROR(__xludf.DUMMYFUNCTION("IFERROR(
  VLOOKUP(
    A20,
    IMPORTRANGE(
      ""1SCYQd7_cobOYqT0r_F0IqD4tE4rYn5y8Eup4PJTH8es"",
      ""Snapshot!A:M""
    ),
    8,
    FALSE
  ),
  0
)
"),1.0)</f>
        <v>1</v>
      </c>
      <c r="AI20" s="54">
        <f>IFERROR(__xludf.DUMMYFUNCTION("IFERROR(
  VLOOKUP(
    A20,
    IMPORTRANGE(
      ""1SCYQd7_cobOYqT0r_F0IqD4tE4rYn5y8Eup4PJTH8es"",
      ""Snapshot!A:M""
    ),
    9,
    FALSE
  ),
  0
)
"),4.0)</f>
        <v>4</v>
      </c>
      <c r="AJ20" s="54">
        <f>IFERROR(__xludf.DUMMYFUNCTION("IFERROR(
  VLOOKUP(
    A20,
    IMPORTRANGE(
      ""1SCYQd7_cobOYqT0r_F0IqD4tE4rYn5y8Eup4PJTH8es"",
      ""Snapshot!A:M""
    ),
    13,
    FALSE
  ),
  0
)
"),1.0)</f>
        <v>1</v>
      </c>
      <c r="AK20" s="49">
        <f t="shared" ref="AK20:AL20" si="95">LEN(C20)</f>
        <v>101</v>
      </c>
      <c r="AL20" s="49">
        <f t="shared" si="95"/>
        <v>77</v>
      </c>
    </row>
    <row r="21">
      <c r="A21" s="3" t="s">
        <v>1108</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"),"in order not to意味｜違い例文｜英語")</f>
        <v>in order not to意味｜違い例文｜英語</v>
      </c>
      <c r="D21" s="1" t="str">
        <f>IFERROR(__xludf.DUMMYFUNCTION("IFERROR(
  VLOOKUP(
    A21,
    IMPORTRANGE(
      ""1ZygntHC1J6IxzKbTidmOyf5nUyW4GCLurHCjexrLm_o        "",
      ""HTMLキャッシュ!A:F""
    ),
    6,
    FALSE
  ),
  0
)
"),"in order not to＝〜しないために。in order to notとの違い、so as not to/so as to言い換えを例文で確認。")</f>
        <v>in order not to＝〜しないために。in order to notとの違い、so as not to/so as to言い換えを例文で確認。</v>
      </c>
      <c r="E21" s="32">
        <f>IFERROR(__xludf.DUMMYFUNCTION("IFERROR(
  VLOOKUP(
    A21,
    IMPORTRANGE(
      ""1ZygntHC1J6IxzKbTidmOyf5nUyW4GCLurHCjexrLm_o        "",
      ""HTMLキャッシュ!A:F""
    ),
    3,
    FALSE
  ),
  0
)
"),46046.58100694444)</f>
        <v>46046.58101</v>
      </c>
      <c r="F21" s="49">
        <f>IFERROR(__xludf.DUMMYFUNCTION("IFERROR(
  VLOOKUP(
    A21,
    IMPORTRANGE(
      ""1ZHMy3vVUd_0MrSduXTe1etBb1HNpAlGwQr006ljwMiM"",
      ""GSC最新!A:F""
    ),
    2,
    FALSE
  ),
  0
)
"),15.0)</f>
        <v>15</v>
      </c>
      <c r="G21" s="49">
        <f>IFERROR(__xludf.DUMMYFUNCTION("IFERROR(
  VLOOKUP(
    A21,
    IMPORTRANGE(
      ""1ZHMy3vVUd_0MrSduXTe1etBb1HNpAlGwQr006ljwMiM"",
      ""GSC最新!A:F""
    ),
    3,
    FALSE
  ),
  0
)
"),34.0)</f>
        <v>34</v>
      </c>
      <c r="H21" s="49">
        <f>IFERROR(__xludf.DUMMYFUNCTION("IFERROR(
  VLOOKUP(
    A21,
    IMPORTRANGE(
      ""1ZHMy3vVUd_0MrSduXTe1etBb1HNpAlGwQr006ljwMiM"",
      ""GSC最新!A:F""
    ),
    4,
    FALSE
  ),
  0
)
"),7.0)</f>
        <v>7</v>
      </c>
      <c r="I21" s="49">
        <f>IFERROR(__xludf.DUMMYFUNCTION("IFERROR(
  VLOOKUP(
    A21,
    IMPORTRANGE(
      ""1ZHMy3vVUd_0MrSduXTe1etBb1HNpAlGwQr006ljwMiM"",
      ""GSC最新!A:F""
    ),
    5,
    FALSE
  ),
  0
)
"),22.0)</f>
        <v>22</v>
      </c>
      <c r="J21" s="50">
        <f t="shared" ref="J21:K21" si="96">IFERROR(F21/H21,"-")</f>
        <v>2.142857143</v>
      </c>
      <c r="K21" s="50">
        <f t="shared" si="96"/>
        <v>1.545454545</v>
      </c>
      <c r="L21" s="6">
        <f>IFERROR(__xludf.DUMMYFUNCTION("IFERROR(
  VLOOKUP(
    A21,
    IMPORTRANGE(
      ""1ZHMy3vVUd_0MrSduXTe1etBb1HNpAlGwQr006ljwMiM"",
      ""GSC最新!A:R""
    ),
    7,
    FALSE
  ),
  0
)
"),9890.0)</f>
        <v>9890</v>
      </c>
      <c r="M21" s="6">
        <f>IFERROR(__xludf.DUMMYFUNCTION("IFERROR(
  VLOOKUP(
    A21,
    IMPORTRANGE(
      ""1ZHMy3vVUd_0MrSduXTe1etBb1HNpAlGwQr006ljwMiM"",
      ""GSC最新!A:R""
    ),
    10,
    FALSE
  ),
  0
)
"),18767.0)</f>
        <v>18767</v>
      </c>
      <c r="N21" s="6">
        <f>IFERROR(__xludf.DUMMYFUNCTION("IFERROR(
  VLOOKUP(
    A21,
    IMPORTRANGE(
      ""1ZHMy3vVUd_0MrSduXTe1etBb1HNpAlGwQr006ljwMiM"",
      ""GSC最新!A:R""
    ),
    13,
    FALSE
  ),
  0
)
"),1013.0)</f>
        <v>1013</v>
      </c>
      <c r="O21" s="6">
        <f>IFERROR(__xludf.DUMMYFUNCTION("IFERROR(
  VLOOKUP(
    A21,
    IMPORTRANGE(
      ""1ZHMy3vVUd_0MrSduXTe1etBb1HNpAlGwQr006ljwMiM"",
      ""GSC最新!A:R""
    ),
    16,
    FALSE
  ),
  0
)
"),2361.0)</f>
        <v>2361</v>
      </c>
      <c r="P21" s="51">
        <f t="shared" ref="P21:Q21" si="97">IFERROR(L21/N21,"-")</f>
        <v>9.763079961</v>
      </c>
      <c r="Q21" s="51">
        <f t="shared" si="97"/>
        <v>7.948750529</v>
      </c>
      <c r="R21" s="9">
        <f>IFERROR(__xludf.DUMMYFUNCTION("IFERROR(
  VLOOKUP(
    A21,
    IMPORTRANGE(
      ""1ZHMy3vVUd_0MrSduXTe1etBb1HNpAlGwQr006ljwMiM"",
      ""GSC最新!A:R""
    ),
    8,
    FALSE
  ),
  0
)
"),0.0015166835187057635)</f>
        <v>0.001516683519</v>
      </c>
      <c r="S21" s="9">
        <f>IFERROR(__xludf.DUMMYFUNCTION("IFERROR(
  VLOOKUP(
    A21,
    IMPORTRANGE(
      ""1ZHMy3vVUd_0MrSduXTe1etBb1HNpAlGwQr006ljwMiM"",
      ""GSC最新!A:R""
    ),
    11,
    FALSE
  ),
  0
)
"),0.0018116907337347471)</f>
        <v>0.001811690734</v>
      </c>
      <c r="T21" s="9">
        <f>IFERROR(__xludf.DUMMYFUNCTION("IFERROR(
  VLOOKUP(
    A21,
    IMPORTRANGE(
      ""1ZHMy3vVUd_0MrSduXTe1etBb1HNpAlGwQr006ljwMiM"",
      ""GSC最新!A:R""
    ),
    14,
    FALSE
  ),
  0
)
"),0.006910167818361303)</f>
        <v>0.006910167818</v>
      </c>
      <c r="U21" s="9">
        <f>IFERROR(__xludf.DUMMYFUNCTION("IFERROR(
  VLOOKUP(
    A21,
    IMPORTRANGE(
      ""1ZHMy3vVUd_0MrSduXTe1etBb1HNpAlGwQr006ljwMiM"",
      ""GSC最新!A:R""
    ),
    17,
    FALSE
  ),
  0
)
"),0.009318085556967387)</f>
        <v>0.009318085557</v>
      </c>
      <c r="V21" s="9">
        <f t="shared" ref="V21:W21" si="98">IFERROR(R21-T21,"-")</f>
        <v>-0.0053934843</v>
      </c>
      <c r="W21" s="9">
        <f t="shared" si="98"/>
        <v>-0.007506394823</v>
      </c>
      <c r="X21" s="65">
        <f>IFERROR(__xludf.DUMMYFUNCTION("IFERROR(
  VLOOKUP(
    A21,
    IMPORTRANGE(
      ""1ZHMy3vVUd_0MrSduXTe1etBb1HNpAlGwQr006ljwMiM"",
      ""GSC最新!A:R""
    ),
    9,
    FALSE
  ),
  0
)
"),2.9473205257836197)</f>
        <v>2.947320526</v>
      </c>
      <c r="Y21" s="65">
        <f>IFERROR(__xludf.DUMMYFUNCTION("IFERROR(
  VLOOKUP(
    A21,
    IMPORTRANGE(
      ""1ZHMy3vVUd_0MrSduXTe1etBb1HNpAlGwQr006ljwMiM"",
      ""GSC最新!A:R""
    ),
    12,
    FALSE
  ),
  0
)
"),3.44349123461395)</f>
        <v>3.443491235</v>
      </c>
      <c r="Z21" s="65">
        <f>IFERROR(__xludf.DUMMYFUNCTION("IFERROR(
  VLOOKUP(
    A21,
    IMPORTRANGE(
      ""1ZHMy3vVUd_0MrSduXTe1etBb1HNpAlGwQr006ljwMiM"",
      ""GSC最新!A:R""
    ),
    15,
    FALSE
  ),
  0
)
"),10.566633761105626)</f>
        <v>10.56663376</v>
      </c>
      <c r="AA21" s="65">
        <f>IFERROR(__xludf.DUMMYFUNCTION("IFERROR(
  VLOOKUP(
    A21,
    IMPORTRANGE(
      ""1ZHMy3vVUd_0MrSduXTe1etBb1HNpAlGwQr006ljwMiM"",
      ""GSC最新!A:R""
    ),
    18,
    FALSE
  ),
  0
)
"),14.195679796696314)</f>
        <v>14.1956798</v>
      </c>
      <c r="AB21" s="65">
        <f t="shared" ref="AB21:AC21" si="99">X21-Z21</f>
        <v>-7.619313235</v>
      </c>
      <c r="AC21" s="65">
        <f t="shared" si="99"/>
        <v>-10.75218856</v>
      </c>
      <c r="AD21" s="53">
        <f>IFERROR(__xludf.DUMMYFUNCTION("IFERROR(
  VLOOKUP(
    A21,
    IMPORTRANGE(
      ""1ZHMy3vVUd_0MrSduXTe1etBb1HNpAlGwQr006ljwMiM"",
      ""GSC最新!A:F""
    ),
    6,
    FALSE
  ),
  0
)
"),46081.0)</f>
        <v>46081</v>
      </c>
      <c r="AE21" s="54">
        <f>IFERROR(__xludf.DUMMYFUNCTION("IFERROR(
  VLOOKUP(
    A21,
    IMPORTRANGE(
      ""1SCYQd7_cobOYqT0r_F0IqD4tE4rYn5y8Eup4PJTH8es"",
      ""Snapshot!A:M""
    ),
    5,
    FALSE
  ),
  ""-""
)
"),0.0)</f>
        <v>0</v>
      </c>
      <c r="AF21" s="54">
        <f>IFERROR(__xludf.DUMMYFUNCTION("IFERROR(
  VLOOKUP(
    A21,
    IMPORTRANGE(
      ""1SCYQd7_cobOYqT0r_F0IqD4tE4rYn5y8Eup4PJTH8es"",
      ""Snapshot!A:M""
    ),
    6,
    FALSE
  ),
  0
)
"),10.0)</f>
        <v>10</v>
      </c>
      <c r="AG21" s="54">
        <f>IFERROR(__xludf.DUMMYFUNCTION("IFERROR(
  VLOOKUP(
    A21,
    IMPORTRANGE(
      ""1SCYQd7_cobOYqT0r_F0IqD4tE4rYn5y8Eup4PJTH8es"",
      ""Snapshot!A:M""
    ),
    7,
    FALSE
  ),
  0
)
"),2275.0)</f>
        <v>2275</v>
      </c>
      <c r="AH21" s="54">
        <f>IFERROR(__xludf.DUMMYFUNCTION("IFERROR(
  VLOOKUP(
    A21,
    IMPORTRANGE(
      ""1SCYQd7_cobOYqT0r_F0IqD4tE4rYn5y8Eup4PJTH8es"",
      ""Snapshot!A:M""
    ),
    8,
    FALSE
  ),
  0
)
"),1.0)</f>
        <v>1</v>
      </c>
      <c r="AI21" s="54">
        <f>IFERROR(__xludf.DUMMYFUNCTION("IFERROR(
  VLOOKUP(
    A21,
    IMPORTRANGE(
      ""1SCYQd7_cobOYqT0r_F0IqD4tE4rYn5y8Eup4PJTH8es"",
      ""Snapshot!A:M""
    ),
    9,
    FALSE
  ),
  0
)
"),4.0)</f>
        <v>4</v>
      </c>
      <c r="AJ21" s="54">
        <f>IFERROR(__xludf.DUMMYFUNCTION("IFERROR(
  VLOOKUP(
    A21,
    IMPORTRANGE(
      ""1SCYQd7_cobOYqT0r_F0IqD4tE4rYn5y8Eup4PJTH8es"",
      ""Snapshot!A:M""
    ),
    13,
    FALSE
  ),
  0
)
"),1.0)</f>
        <v>1</v>
      </c>
      <c r="AK21" s="49">
        <f t="shared" ref="AK21:AL21" si="100">LEN(C21)</f>
        <v>25</v>
      </c>
      <c r="AL21" s="49">
        <f t="shared" si="100"/>
        <v>76</v>
      </c>
    </row>
    <row r="22">
      <c r="A22" s="3" t="s">
        <v>1109</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"),"一般動詞現在形と三人称単数の s/副詞の位置まで整理")</f>
        <v>一般動詞現在形と三人称単数の s/副詞の位置まで整理</v>
      </c>
      <c r="D22" s="1" t="str">
        <f>IFERROR(__xludf.DUMMYFUNCTION("IFERROR(
  VLOOKUP(
    A22,
    IMPORTRANGE(
      ""1ZygntHC1J6IxzKbTidmOyf5nUyW4GCLurHCjexrLm_o        "",
      ""HTMLキャッシュ!A:F""
    ),
    6,
    FALSE
  ),
  0
)
"),"三単現のsを肯定文で整理。he/she/itはs、I/you/we/theyは原形。ソックスシチューでes判定を例文で確認。")</f>
        <v>三単現のsを肯定文で整理。he/she/itはs、I/you/we/theyは原形。ソックスシチューでes判定を例文で確認。</v>
      </c>
      <c r="E22" s="32">
        <f>IFERROR(__xludf.DUMMYFUNCTION("IFERROR(
  VLOOKUP(
    A22,
    IMPORTRANGE(
      ""1ZygntHC1J6IxzKbTidmOyf5nUyW4GCLurHCjexrLm_o        "",
      ""HTMLキャッシュ!A:F""
    ),
    3,
    FALSE
  ),
  0
)
"),46074.58056712963)</f>
        <v>46074.58057</v>
      </c>
      <c r="F22" s="49">
        <f>IFERROR(__xludf.DUMMYFUNCTION("IFERROR(
  VLOOKUP(
    A22,
    IMPORTRANGE(
      ""1ZHMy3vVUd_0MrSduXTe1etBb1HNpAlGwQr006ljwMiM"",
      ""GSC最新!A:F""
    ),
    2,
    FALSE
  ),
  0
)
"),19.0)</f>
        <v>19</v>
      </c>
      <c r="G22" s="49">
        <f>IFERROR(__xludf.DUMMYFUNCTION("IFERROR(
  VLOOKUP(
    A22,
    IMPORTRANGE(
      ""1ZHMy3vVUd_0MrSduXTe1etBb1HNpAlGwQr006ljwMiM"",
      ""GSC最新!A:F""
    ),
    3,
    FALSE
  ),
  0
)
"),37.0)</f>
        <v>37</v>
      </c>
      <c r="H22" s="49">
        <f>IFERROR(__xludf.DUMMYFUNCTION("IFERROR(
  VLOOKUP(
    A22,
    IMPORTRANGE(
      ""1ZHMy3vVUd_0MrSduXTe1etBb1HNpAlGwQr006ljwMiM"",
      ""GSC最新!A:F""
    ),
    4,
    FALSE
  ),
  0
)
"),8.0)</f>
        <v>8</v>
      </c>
      <c r="I22" s="49">
        <f>IFERROR(__xludf.DUMMYFUNCTION("IFERROR(
  VLOOKUP(
    A22,
    IMPORTRANGE(
      ""1ZHMy3vVUd_0MrSduXTe1etBb1HNpAlGwQr006ljwMiM"",
      ""GSC最新!A:F""
    ),
    5,
    FALSE
  ),
  0
)
"),24.0)</f>
        <v>24</v>
      </c>
      <c r="J22" s="50">
        <f t="shared" ref="J22:K22" si="101">IFERROR(F22/H22,"-")</f>
        <v>2.375</v>
      </c>
      <c r="K22" s="50">
        <f t="shared" si="101"/>
        <v>1.541666667</v>
      </c>
      <c r="L22" s="6">
        <f>IFERROR(__xludf.DUMMYFUNCTION("IFERROR(
  VLOOKUP(
    A22,
    IMPORTRANGE(
      ""1ZHMy3vVUd_0MrSduXTe1etBb1HNpAlGwQr006ljwMiM"",
      ""GSC最新!A:R""
    ),
    7,
    FALSE
  ),
  0
)
"),4966.0)</f>
        <v>4966</v>
      </c>
      <c r="M22" s="6">
        <f>IFERROR(__xludf.DUMMYFUNCTION("IFERROR(
  VLOOKUP(
    A22,
    IMPORTRANGE(
      ""1ZHMy3vVUd_0MrSduXTe1etBb1HNpAlGwQr006ljwMiM"",
      ""GSC最新!A:R""
    ),
    10,
    FALSE
  ),
  0
)
"),7986.0)</f>
        <v>7986</v>
      </c>
      <c r="N22" s="6">
        <f>IFERROR(__xludf.DUMMYFUNCTION("IFERROR(
  VLOOKUP(
    A22,
    IMPORTRANGE(
      ""1ZHMy3vVUd_0MrSduXTe1etBb1HNpAlGwQr006ljwMiM"",
      ""GSC最新!A:R""
    ),
    13,
    FALSE
  ),
  0
)
"),289.0)</f>
        <v>289</v>
      </c>
      <c r="O22" s="6">
        <f>IFERROR(__xludf.DUMMYFUNCTION("IFERROR(
  VLOOKUP(
    A22,
    IMPORTRANGE(
      ""1ZHMy3vVUd_0MrSduXTe1etBb1HNpAlGwQr006ljwMiM"",
      ""GSC最新!A:R""
    ),
    16,
    FALSE
  ),
  0
)
"),1090.0)</f>
        <v>1090</v>
      </c>
      <c r="P22" s="51">
        <f t="shared" ref="P22:Q22" si="102">IFERROR(L22/N22,"-")</f>
        <v>17.183391</v>
      </c>
      <c r="Q22" s="51">
        <f t="shared" si="102"/>
        <v>7.326605505</v>
      </c>
      <c r="R22" s="9">
        <f>IFERROR(__xludf.DUMMYFUNCTION("IFERROR(
  VLOOKUP(
    A22,
    IMPORTRANGE(
      ""1ZHMy3vVUd_0MrSduXTe1etBb1HNpAlGwQr006ljwMiM"",
      ""GSC最新!A:R""
    ),
    8,
    FALSE
  ),
  0
)
"),0.0038260169150221507)</f>
        <v>0.003826016915</v>
      </c>
      <c r="S22" s="9">
        <f>IFERROR(__xludf.DUMMYFUNCTION("IFERROR(
  VLOOKUP(
    A22,
    IMPORTRANGE(
      ""1ZHMy3vVUd_0MrSduXTe1etBb1HNpAlGwQr006ljwMiM"",
      ""GSC最新!A:R""
    ),
    11,
    FALSE
  ),
  0
)
"),0.004633107938893063)</f>
        <v>0.004633107939</v>
      </c>
      <c r="T22" s="9">
        <f>IFERROR(__xludf.DUMMYFUNCTION("IFERROR(
  VLOOKUP(
    A22,
    IMPORTRANGE(
      ""1ZHMy3vVUd_0MrSduXTe1etBb1HNpAlGwQr006ljwMiM"",
      ""GSC最新!A:R""
    ),
    14,
    FALSE
  ),
  0
)
"),0.02768166089965398)</f>
        <v>0.0276816609</v>
      </c>
      <c r="U22" s="9">
        <f>IFERROR(__xludf.DUMMYFUNCTION("IFERROR(
  VLOOKUP(
    A22,
    IMPORTRANGE(
      ""1ZHMy3vVUd_0MrSduXTe1etBb1HNpAlGwQr006ljwMiM"",
      ""GSC最新!A:R""
    ),
    17,
    FALSE
  ),
  0
)
"),0.022018348623853212)</f>
        <v>0.02201834862</v>
      </c>
      <c r="V22" s="9">
        <f t="shared" ref="V22:W22" si="103">IFERROR(R22-T22,"-")</f>
        <v>-0.02385564398</v>
      </c>
      <c r="W22" s="9">
        <f t="shared" si="103"/>
        <v>-0.01738524068</v>
      </c>
      <c r="X22" s="65">
        <f>IFERROR(__xludf.DUMMYFUNCTION("IFERROR(
  VLOOKUP(
    A22,
    IMPORTRANGE(
      ""1ZHMy3vVUd_0MrSduXTe1etBb1HNpAlGwQr006ljwMiM"",
      ""GSC最新!A:R""
    ),
    9,
    FALSE
  ),
  0
)
"),3.11840515505437)</f>
        <v>3.118405155</v>
      </c>
      <c r="Y22" s="65">
        <f>IFERROR(__xludf.DUMMYFUNCTION("IFERROR(
  VLOOKUP(
    A22,
    IMPORTRANGE(
      ""1ZHMy3vVUd_0MrSduXTe1etBb1HNpAlGwQr006ljwMiM"",
      ""GSC最新!A:R""
    ),
    12,
    FALSE
  ),
  0
)
"),4.333834209867268)</f>
        <v>4.33383421</v>
      </c>
      <c r="Z22" s="65">
        <f>IFERROR(__xludf.DUMMYFUNCTION("IFERROR(
  VLOOKUP(
    A22,
    IMPORTRANGE(
      ""1ZHMy3vVUd_0MrSduXTe1etBb1HNpAlGwQr006ljwMiM"",
      ""GSC最新!A:R""
    ),
    15,
    FALSE
  ),
  0
)
"),12.359861591695502)</f>
        <v>12.35986159</v>
      </c>
      <c r="AA22" s="65">
        <f>IFERROR(__xludf.DUMMYFUNCTION("IFERROR(
  VLOOKUP(
    A22,
    IMPORTRANGE(
      ""1ZHMy3vVUd_0MrSduXTe1etBb1HNpAlGwQr006ljwMiM"",
      ""GSC最新!A:R""
    ),
    18,
    FALSE
  ),
  0
)
"),18.459633027522937)</f>
        <v>18.45963303</v>
      </c>
      <c r="AB22" s="65">
        <f t="shared" ref="AB22:AC22" si="104">X22-Z22</f>
        <v>-9.241456437</v>
      </c>
      <c r="AC22" s="65">
        <f t="shared" si="104"/>
        <v>-14.12579882</v>
      </c>
      <c r="AD22" s="53">
        <f>IFERROR(__xludf.DUMMYFUNCTION("IFERROR(
  VLOOKUP(
    A22,
    IMPORTRANGE(
      ""1ZHMy3vVUd_0MrSduXTe1etBb1HNpAlGwQr006ljwMiM"",
      ""GSC最新!A:F""
    ),
    6,
    FALSE
  ),
  0
)
"),46081.0)</f>
        <v>46081</v>
      </c>
      <c r="AE22" s="54">
        <f>IFERROR(__xludf.DUMMYFUNCTION("IFERROR(
  VLOOKUP(
    A22,
    IMPORTRANGE(
      ""1SCYQd7_cobOYqT0r_F0IqD4tE4rYn5y8Eup4PJTH8es"",
      ""Snapshot!A:M""
    ),
    5,
    FALSE
  ),
  ""-""
)
"),0.0)</f>
        <v>0</v>
      </c>
      <c r="AF22" s="54">
        <f>IFERROR(__xludf.DUMMYFUNCTION("IFERROR(
  VLOOKUP(
    A22,
    IMPORTRANGE(
      ""1SCYQd7_cobOYqT0r_F0IqD4tE4rYn5y8Eup4PJTH8es"",
      ""Snapshot!A:M""
    ),
    6,
    FALSE
  ),
  0
)
"),6.0)</f>
        <v>6</v>
      </c>
      <c r="AG22" s="54">
        <f>IFERROR(__xludf.DUMMYFUNCTION("IFERROR(
  VLOOKUP(
    A22,
    IMPORTRANGE(
      ""1SCYQd7_cobOYqT0r_F0IqD4tE4rYn5y8Eup4PJTH8es"",
      ""Snapshot!A:M""
    ),
    7,
    FALSE
  ),
  0
)
"),2416.0)</f>
        <v>2416</v>
      </c>
      <c r="AH22" s="54">
        <f>IFERROR(__xludf.DUMMYFUNCTION("IFERROR(
  VLOOKUP(
    A22,
    IMPORTRANGE(
      ""1SCYQd7_cobOYqT0r_F0IqD4tE4rYn5y8Eup4PJTH8es"",
      ""Snapshot!A:M""
    ),
    8,
    FALSE
  ),
  0
)
"),1.0)</f>
        <v>1</v>
      </c>
      <c r="AI22" s="54">
        <f>IFERROR(__xludf.DUMMYFUNCTION("IFERROR(
  VLOOKUP(
    A22,
    IMPORTRANGE(
      ""1SCYQd7_cobOYqT0r_F0IqD4tE4rYn5y8Eup4PJTH8es"",
      ""Snapshot!A:M""
    ),
    9,
    FALSE
  ),
  0
)
"),4.0)</f>
        <v>4</v>
      </c>
      <c r="AJ22" s="54">
        <f>IFERROR(__xludf.DUMMYFUNCTION("IFERROR(
  VLOOKUP(
    A22,
    IMPORTRANGE(
      ""1SCYQd7_cobOYqT0r_F0IqD4tE4rYn5y8Eup4PJTH8es"",
      ""Snapshot!A:M""
    ),
    13,
    FALSE
  ),
  0
)
"),1.0)</f>
        <v>1</v>
      </c>
      <c r="AK22" s="49">
        <f t="shared" ref="AK22:AL22" si="105">LEN(C22)</f>
        <v>26</v>
      </c>
      <c r="AL22" s="49">
        <f t="shared" si="105"/>
        <v>62</v>
      </c>
    </row>
    <row r="23">
      <c r="A23" s="3" t="s">
        <v>1110</v>
      </c>
      <c r="B23" s="1" t="str">
        <f>IFERROR(__xludf.DUMMYFUNCTION("IFERROR(
  VLOOKUP(
    A23,
    IMPORTRANGE(
      ""1ZygntHC1J6IxzKbTidmOyf5nUyW4GCLurHCjexrLm_o"",
      ""HTMLキャッシュ!A:F""
    ),
    2,
    FALSE
  ),
  0
)
"),"MC")</f>
        <v>MC</v>
      </c>
      <c r="C23" s="1" t="str">
        <f>IFERROR(__xludf.DUMMYFUNCTION("IFERROR(
  VLOOKUP(
    A23,
    IMPORTRANGE(
      ""1ZygntHC1J6IxzKbTidmOyf5nUyW4GCLurHCjexrLm_o"",
      ""HTMLキャッシュ!A:F""
    ),
    5,
    FALSE
  ),
  0
)
"),"中学英語のYes/Noの答え方──Is/Areで聞かれたときの正しい返事パターン【Progress Book1 2-2】 - 新宿区四谷の英語専門塾「英語教室『サポート』」～英語は別に怖くない！～")</f>
        <v>中学英語のYes/Noの答え方──Is/Areで聞かれたときの正しい返事パターン【Progress Book1 2-2】 - 新宿区四谷の英語専門塾「英語教室『サポート』」～英語は別に怖くない！～</v>
      </c>
      <c r="D23" s="1" t="str">
        <f>IFERROR(__xludf.DUMMYFUNCTION("IFERROR(
  VLOOKUP(
    A23,
    IMPORTRANGE(
      ""1ZygntHC1J6IxzKbTidmOyf5nUyW4GCLurHCjexrLm_o        "",
      ""HTMLキャッシュ!A:F""
    ),
    6,
    FALSE
  ),
  0
)
"),"中学英語のYes/Noの答え方を基礎から整理。Is this～? Is it～? などbe動詞の疑問文にどう返事するかを、パターン別・練習問題付きで丁寧に解説します。")</f>
        <v>中学英語のYes/Noの答え方を基礎から整理。Is this～? Is it～? などbe動詞の疑問文にどう返事するかを、パターン別・練習問題付きで丁寧に解説します。</v>
      </c>
      <c r="E23" s="32">
        <f>IFERROR(__xludf.DUMMYFUNCTION("IFERROR(
  VLOOKUP(
    A23,
    IMPORTRANGE(
      ""1ZygntHC1J6IxzKbTidmOyf5nUyW4GCLurHCjexrLm_o        "",
      ""HTMLキャッシュ!A:F""
    ),
    3,
    FALSE
  ),
  0
)
"),45990.789293981485)</f>
        <v>45990.78929</v>
      </c>
      <c r="F23" s="49">
        <f>IFERROR(__xludf.DUMMYFUNCTION("IFERROR(
  VLOOKUP(
    A23,
    IMPORTRANGE(
      ""1ZHMy3vVUd_0MrSduXTe1etBb1HNpAlGwQr006ljwMiM"",
      ""GSC最新!A:F""
    ),
    2,
    FALSE
  ),
  0
)
"),7.0)</f>
        <v>7</v>
      </c>
      <c r="G23" s="49">
        <f>IFERROR(__xludf.DUMMYFUNCTION("IFERROR(
  VLOOKUP(
    A23,
    IMPORTRANGE(
      ""1ZHMy3vVUd_0MrSduXTe1etBb1HNpAlGwQr006ljwMiM"",
      ""GSC最新!A:F""
    ),
    3,
    FALSE
  ),
  0
)
"),31.0)</f>
        <v>31</v>
      </c>
      <c r="H23" s="49">
        <f>IFERROR(__xludf.DUMMYFUNCTION("IFERROR(
  VLOOKUP(
    A23,
    IMPORTRANGE(
      ""1ZHMy3vVUd_0MrSduXTe1etBb1HNpAlGwQr006ljwMiM"",
      ""GSC最新!A:F""
    ),
    4,
    FALSE
  ),
  0
)
"),9.0)</f>
        <v>9</v>
      </c>
      <c r="I23" s="49">
        <f>IFERROR(__xludf.DUMMYFUNCTION("IFERROR(
  VLOOKUP(
    A23,
    IMPORTRANGE(
      ""1ZHMy3vVUd_0MrSduXTe1etBb1HNpAlGwQr006ljwMiM"",
      ""GSC最新!A:F""
    ),
    5,
    FALSE
  ),
  0
)
"),26.0)</f>
        <v>26</v>
      </c>
      <c r="J23" s="50">
        <f t="shared" ref="J23:K23" si="106">IFERROR(F23/H23,"-")</f>
        <v>0.7777777778</v>
      </c>
      <c r="K23" s="50">
        <f t="shared" si="106"/>
        <v>1.192307692</v>
      </c>
      <c r="L23" s="6">
        <f>IFERROR(__xludf.DUMMYFUNCTION("IFERROR(
  VLOOKUP(
    A23,
    IMPORTRANGE(
      ""1ZHMy3vVUd_0MrSduXTe1etBb1HNpAlGwQr006ljwMiM"",
      ""GSC最新!A:R""
    ),
    7,
    FALSE
  ),
  0
)
"),1783.0)</f>
        <v>1783</v>
      </c>
      <c r="M23" s="6">
        <f>IFERROR(__xludf.DUMMYFUNCTION("IFERROR(
  VLOOKUP(
    A23,
    IMPORTRANGE(
      ""1ZHMy3vVUd_0MrSduXTe1etBb1HNpAlGwQr006ljwMiM"",
      ""GSC最新!A:R""
    ),
    10,
    FALSE
  ),
  0
)
"),6528.0)</f>
        <v>6528</v>
      </c>
      <c r="N23" s="6">
        <f>IFERROR(__xludf.DUMMYFUNCTION("IFERROR(
  VLOOKUP(
    A23,
    IMPORTRANGE(
      ""1ZHMy3vVUd_0MrSduXTe1etBb1HNpAlGwQr006ljwMiM"",
      ""GSC最新!A:R""
    ),
    13,
    FALSE
  ),
  0
)
"),921.0)</f>
        <v>921</v>
      </c>
      <c r="O23" s="6">
        <f>IFERROR(__xludf.DUMMYFUNCTION("IFERROR(
  VLOOKUP(
    A23,
    IMPORTRANGE(
      ""1ZHMy3vVUd_0MrSduXTe1etBb1HNpAlGwQr006ljwMiM"",
      ""GSC最新!A:R""
    ),
    16,
    FALSE
  ),
  0
)
"),2942.0)</f>
        <v>2942</v>
      </c>
      <c r="P23" s="51">
        <f t="shared" ref="P23:Q23" si="107">IFERROR(L23/N23,"-")</f>
        <v>1.935939197</v>
      </c>
      <c r="Q23" s="51">
        <f t="shared" si="107"/>
        <v>2.218898708</v>
      </c>
      <c r="R23" s="9">
        <f>IFERROR(__xludf.DUMMYFUNCTION("IFERROR(
  VLOOKUP(
    A23,
    IMPORTRANGE(
      ""1ZHMy3vVUd_0MrSduXTe1etBb1HNpAlGwQr006ljwMiM"",
      ""GSC最新!A:R""
    ),
    8,
    FALSE
  ),
  0
)
"),0.003925967470555244)</f>
        <v>0.003925967471</v>
      </c>
      <c r="S23" s="9">
        <f>IFERROR(__xludf.DUMMYFUNCTION("IFERROR(
  VLOOKUP(
    A23,
    IMPORTRANGE(
      ""1ZHMy3vVUd_0MrSduXTe1etBb1HNpAlGwQr006ljwMiM"",
      ""GSC最新!A:R""
    ),
    11,
    FALSE
  ),
  0
)
"),0.004748774509803921)</f>
        <v>0.00474877451</v>
      </c>
      <c r="T23" s="9">
        <f>IFERROR(__xludf.DUMMYFUNCTION("IFERROR(
  VLOOKUP(
    A23,
    IMPORTRANGE(
      ""1ZHMy3vVUd_0MrSduXTe1etBb1HNpAlGwQr006ljwMiM"",
      ""GSC最新!A:R""
    ),
    14,
    FALSE
  ),
  0
)
"),0.009771986970684038)</f>
        <v>0.009771986971</v>
      </c>
      <c r="U23" s="9">
        <f>IFERROR(__xludf.DUMMYFUNCTION("IFERROR(
  VLOOKUP(
    A23,
    IMPORTRANGE(
      ""1ZHMy3vVUd_0MrSduXTe1etBb1HNpAlGwQr006ljwMiM"",
      ""GSC最新!A:R""
    ),
    17,
    FALSE
  ),
  0
)
"),0.008837525492861998)</f>
        <v>0.008837525493</v>
      </c>
      <c r="V23" s="9">
        <f t="shared" ref="V23:W23" si="108">IFERROR(R23-T23,"-")</f>
        <v>-0.0058460195</v>
      </c>
      <c r="W23" s="9">
        <f t="shared" si="108"/>
        <v>-0.004088750983</v>
      </c>
      <c r="X23" s="65">
        <f>IFERROR(__xludf.DUMMYFUNCTION("IFERROR(
  VLOOKUP(
    A23,
    IMPORTRANGE(
      ""1ZHMy3vVUd_0MrSduXTe1etBb1HNpAlGwQr006ljwMiM"",
      ""GSC最新!A:R""
    ),
    9,
    FALSE
  ),
  0
)
"),5.042624789680314)</f>
        <v>5.04262479</v>
      </c>
      <c r="Y23" s="65">
        <f>IFERROR(__xludf.DUMMYFUNCTION("IFERROR(
  VLOOKUP(
    A23,
    IMPORTRANGE(
      ""1ZHMy3vVUd_0MrSduXTe1etBb1HNpAlGwQr006ljwMiM"",
      ""GSC最新!A:R""
    ),
    12,
    FALSE
  ),
  0
)
"),5.152420343137255)</f>
        <v>5.152420343</v>
      </c>
      <c r="Z23" s="65">
        <f>IFERROR(__xludf.DUMMYFUNCTION("IFERROR(
  VLOOKUP(
    A23,
    IMPORTRANGE(
      ""1ZHMy3vVUd_0MrSduXTe1etBb1HNpAlGwQr006ljwMiM"",
      ""GSC最新!A:R""
    ),
    15,
    FALSE
  ),
  0
)
"),9.42671009771987)</f>
        <v>9.426710098</v>
      </c>
      <c r="AA23" s="65">
        <f>IFERROR(__xludf.DUMMYFUNCTION("IFERROR(
  VLOOKUP(
    A23,
    IMPORTRANGE(
      ""1ZHMy3vVUd_0MrSduXTe1etBb1HNpAlGwQr006ljwMiM"",
      ""GSC最新!A:R""
    ),
    18,
    FALSE
  ),
  0
)
"),9.892590074779061)</f>
        <v>9.892590075</v>
      </c>
      <c r="AB23" s="65">
        <f t="shared" ref="AB23:AC23" si="109">X23-Z23</f>
        <v>-4.384085308</v>
      </c>
      <c r="AC23" s="65">
        <f t="shared" si="109"/>
        <v>-4.740169732</v>
      </c>
      <c r="AD23" s="53">
        <f>IFERROR(__xludf.DUMMYFUNCTION("IFERROR(
  VLOOKUP(
    A23,
    IMPORTRANGE(
      ""1ZHMy3vVUd_0MrSduXTe1etBb1HNpAlGwQr006ljwMiM"",
      ""GSC最新!A:F""
    ),
    6,
    FALSE
  ),
  0
)
"),46081.0)</f>
        <v>46081</v>
      </c>
      <c r="AE23" s="54">
        <f>IFERROR(__xludf.DUMMYFUNCTION("IFERROR(
  VLOOKUP(
    A23,
    IMPORTRANGE(
      ""1SCYQd7_cobOYqT0r_F0IqD4tE4rYn5y8Eup4PJTH8es"",
      ""Snapshot!A:M""
    ),
    5,
    FALSE
  ),
  ""-""
)
"),0.0)</f>
        <v>0</v>
      </c>
      <c r="AF23" s="54">
        <f>IFERROR(__xludf.DUMMYFUNCTION("IFERROR(
  VLOOKUP(
    A23,
    IMPORTRANGE(
      ""1SCYQd7_cobOYqT0r_F0IqD4tE4rYn5y8Eup4PJTH8es"",
      ""Snapshot!A:M""
    ),
    6,
    FALSE
  ),
  0
)
"),6.0)</f>
        <v>6</v>
      </c>
      <c r="AG23" s="54">
        <f>IFERROR(__xludf.DUMMYFUNCTION("IFERROR(
  VLOOKUP(
    A23,
    IMPORTRANGE(
      ""1SCYQd7_cobOYqT0r_F0IqD4tE4rYn5y8Eup4PJTH8es"",
      ""Snapshot!A:M""
    ),
    7,
    FALSE
  ),
  0
)
"),1103.0)</f>
        <v>1103</v>
      </c>
      <c r="AH23" s="54">
        <f>IFERROR(__xludf.DUMMYFUNCTION("IFERROR(
  VLOOKUP(
    A23,
    IMPORTRANGE(
      ""1SCYQd7_cobOYqT0r_F0IqD4tE4rYn5y8Eup4PJTH8es"",
      ""Snapshot!A:M""
    ),
    8,
    FALSE
  ),
  0
)
"),1.0)</f>
        <v>1</v>
      </c>
      <c r="AI23" s="54">
        <f>IFERROR(__xludf.DUMMYFUNCTION("IFERROR(
  VLOOKUP(
    A23,
    IMPORTRANGE(
      ""1SCYQd7_cobOYqT0r_F0IqD4tE4rYn5y8Eup4PJTH8es"",
      ""Snapshot!A:M""
    ),
    9,
    FALSE
  ),
  0
)
"),4.0)</f>
        <v>4</v>
      </c>
      <c r="AJ23" s="54">
        <f>IFERROR(__xludf.DUMMYFUNCTION("IFERROR(
  VLOOKUP(
    A23,
    IMPORTRANGE(
      ""1SCYQd7_cobOYqT0r_F0IqD4tE4rYn5y8Eup4PJTH8es"",
      ""Snapshot!A:M""
    ),
    13,
    FALSE
  ),
  0
)
"),1.0)</f>
        <v>1</v>
      </c>
      <c r="AK23" s="49">
        <f t="shared" ref="AK23:AL23" si="110">LEN(C23)</f>
        <v>98</v>
      </c>
      <c r="AL23" s="49">
        <f t="shared" si="110"/>
        <v>83</v>
      </c>
    </row>
    <row r="24">
      <c r="A24" s="3" t="s">
        <v>1111</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"),"副詞節：理由と時【Book2 Lesson2 Scene2 】 - 新宿区四谷の英語専門塾「英語教室『サポート』」～英語は別に怖くない！～")</f>
        <v>副詞節：理由と時【Book2 Lesson2 Scene2 】 - 新宿区四谷の英語専門塾「英語教室『サポート』」～英語は別に怖くない！～</v>
      </c>
      <c r="D24" s="1" t="str">
        <f>IFERROR(__xludf.DUMMYFUNCTION("IFERROR(
  VLOOKUP(
    A24,
    IMPORTRANGE(
      ""1ZygntHC1J6IxzKbTidmOyf5nUyW4GCLurHCjexrLm_o        "",
      ""HTMLキャッシュ!A:F""
    ),
    6,
    FALSE
  ),
  0
)
"),"副詞節とは？ 今回は、Book2 Lesson2-2の副詞節、理由と時について紹介します。副詞節")</f>
        <v>副詞節とは？ 今回は、Book2 Lesson2-2の副詞節、理由と時について紹介します。副詞節</v>
      </c>
      <c r="E24" s="32">
        <f>IFERROR(__xludf.DUMMYFUNCTION("IFERROR(
  VLOOKUP(
    A24,
    IMPORTRANGE(
      ""1ZygntHC1J6IxzKbTidmOyf5nUyW4GCLurHCjexrLm_o        "",
      ""HTMLキャッシュ!A:F""
    ),
    3,
    FALSE
  ),
  0
)
"),45972.742418981485)</f>
        <v>45972.74242</v>
      </c>
      <c r="F24" s="49">
        <f>IFERROR(__xludf.DUMMYFUNCTION("IFERROR(
  VLOOKUP(
    A24,
    IMPORTRANGE(
      ""1ZHMy3vVUd_0MrSduXTe1etBb1HNpAlGwQr006ljwMiM"",
      ""GSC最新!A:F""
    ),
    2,
    FALSE
  ),
  0
)
"),12.0)</f>
        <v>12</v>
      </c>
      <c r="G24" s="49">
        <f>IFERROR(__xludf.DUMMYFUNCTION("IFERROR(
  VLOOKUP(
    A24,
    IMPORTRANGE(
      ""1ZHMy3vVUd_0MrSduXTe1etBb1HNpAlGwQr006ljwMiM"",
      ""GSC最新!A:F""
    ),
    3,
    FALSE
  ),
  0
)
"),30.0)</f>
        <v>30</v>
      </c>
      <c r="H24" s="49">
        <f>IFERROR(__xludf.DUMMYFUNCTION("IFERROR(
  VLOOKUP(
    A24,
    IMPORTRANGE(
      ""1ZHMy3vVUd_0MrSduXTe1etBb1HNpAlGwQr006ljwMiM"",
      ""GSC最新!A:F""
    ),
    4,
    FALSE
  ),
  0
)
"),2.0)</f>
        <v>2</v>
      </c>
      <c r="I24" s="49">
        <f>IFERROR(__xludf.DUMMYFUNCTION("IFERROR(
  VLOOKUP(
    A24,
    IMPORTRANGE(
      ""1ZHMy3vVUd_0MrSduXTe1etBb1HNpAlGwQr006ljwMiM"",
      ""GSC最新!A:F""
    ),
    5,
    FALSE
  ),
  0
)
"),3.0)</f>
        <v>3</v>
      </c>
      <c r="J24" s="50">
        <f t="shared" ref="J24:K24" si="111">IFERROR(F24/H24,"-")</f>
        <v>6</v>
      </c>
      <c r="K24" s="50">
        <f t="shared" si="111"/>
        <v>10</v>
      </c>
      <c r="L24" s="6">
        <f>IFERROR(__xludf.DUMMYFUNCTION("IFERROR(
  VLOOKUP(
    A24,
    IMPORTRANGE(
      ""1ZHMy3vVUd_0MrSduXTe1etBb1HNpAlGwQr006ljwMiM"",
      ""GSC最新!A:R""
    ),
    7,
    FALSE
  ),
  0
)
"),6413.0)</f>
        <v>6413</v>
      </c>
      <c r="M24" s="6">
        <f>IFERROR(__xludf.DUMMYFUNCTION("IFERROR(
  VLOOKUP(
    A24,
    IMPORTRANGE(
      ""1ZHMy3vVUd_0MrSduXTe1etBb1HNpAlGwQr006ljwMiM"",
      ""GSC最新!A:R""
    ),
    10,
    FALSE
  ),
  0
)
"),17895.0)</f>
        <v>17895</v>
      </c>
      <c r="N24" s="6">
        <f>IFERROR(__xludf.DUMMYFUNCTION("IFERROR(
  VLOOKUP(
    A24,
    IMPORTRANGE(
      ""1ZHMy3vVUd_0MrSduXTe1etBb1HNpAlGwQr006ljwMiM"",
      ""GSC最新!A:R""
    ),
    13,
    FALSE
  ),
  0
)
"),503.0)</f>
        <v>503</v>
      </c>
      <c r="O24" s="6">
        <f>IFERROR(__xludf.DUMMYFUNCTION("IFERROR(
  VLOOKUP(
    A24,
    IMPORTRANGE(
      ""1ZHMy3vVUd_0MrSduXTe1etBb1HNpAlGwQr006ljwMiM"",
      ""GSC最新!A:R""
    ),
    16,
    FALSE
  ),
  0
)
"),1549.0)</f>
        <v>1549</v>
      </c>
      <c r="P24" s="51">
        <f t="shared" ref="P24:Q24" si="112">IFERROR(L24/N24,"-")</f>
        <v>12.74950298</v>
      </c>
      <c r="Q24" s="51">
        <f t="shared" si="112"/>
        <v>11.55261459</v>
      </c>
      <c r="R24" s="9">
        <f>IFERROR(__xludf.DUMMYFUNCTION("IFERROR(
  VLOOKUP(
    A24,
    IMPORTRANGE(
      ""1ZHMy3vVUd_0MrSduXTe1etBb1HNpAlGwQr006ljwMiM"",
      ""GSC最新!A:R""
    ),
    8,
    FALSE
  ),
  0
)
"),0.0018711991267737408)</f>
        <v>0.001871199127</v>
      </c>
      <c r="S24" s="9">
        <f>IFERROR(__xludf.DUMMYFUNCTION("IFERROR(
  VLOOKUP(
    A24,
    IMPORTRANGE(
      ""1ZHMy3vVUd_0MrSduXTe1etBb1HNpAlGwQr006ljwMiM"",
      ""GSC最新!A:R""
    ),
    11,
    FALSE
  ),
  0
)
"),0.0016764459346186086)</f>
        <v>0.001676445935</v>
      </c>
      <c r="T24" s="9">
        <f>IFERROR(__xludf.DUMMYFUNCTION("IFERROR(
  VLOOKUP(
    A24,
    IMPORTRANGE(
      ""1ZHMy3vVUd_0MrSduXTe1etBb1HNpAlGwQr006ljwMiM"",
      ""GSC最新!A:R""
    ),
    14,
    FALSE
  ),
  0
)
"),0.003976143141153081)</f>
        <v>0.003976143141</v>
      </c>
      <c r="U24" s="9">
        <f>IFERROR(__xludf.DUMMYFUNCTION("IFERROR(
  VLOOKUP(
    A24,
    IMPORTRANGE(
      ""1ZHMy3vVUd_0MrSduXTe1etBb1HNpAlGwQr006ljwMiM"",
      ""GSC最新!A:R""
    ),
    17,
    FALSE
  ),
  0
)
"),0.001936733376371853)</f>
        <v>0.001936733376</v>
      </c>
      <c r="V24" s="9">
        <f t="shared" ref="V24:W24" si="113">IFERROR(R24-T24,"-")</f>
        <v>-0.002104944014</v>
      </c>
      <c r="W24" s="9">
        <f t="shared" si="113"/>
        <v>-0.0002602874418</v>
      </c>
      <c r="X24" s="65">
        <f>IFERROR(__xludf.DUMMYFUNCTION("IFERROR(
  VLOOKUP(
    A24,
    IMPORTRANGE(
      ""1ZHMy3vVUd_0MrSduXTe1etBb1HNpAlGwQr006ljwMiM"",
      ""GSC最新!A:R""
    ),
    9,
    FALSE
  ),
  0
)
"),4.952440355527834)</f>
        <v>4.952440356</v>
      </c>
      <c r="Y24" s="65">
        <f>IFERROR(__xludf.DUMMYFUNCTION("IFERROR(
  VLOOKUP(
    A24,
    IMPORTRANGE(
      ""1ZHMy3vVUd_0MrSduXTe1etBb1HNpAlGwQr006ljwMiM"",
      ""GSC最新!A:R""
    ),
    12,
    FALSE
  ),
  0
)
"),4.185247275775357)</f>
        <v>4.185247276</v>
      </c>
      <c r="Z24" s="65">
        <f>IFERROR(__xludf.DUMMYFUNCTION("IFERROR(
  VLOOKUP(
    A24,
    IMPORTRANGE(
      ""1ZHMy3vVUd_0MrSduXTe1etBb1HNpAlGwQr006ljwMiM"",
      ""GSC最新!A:R""
    ),
    15,
    FALSE
  ),
  0
)
"),9.534791252485089)</f>
        <v>9.534791252</v>
      </c>
      <c r="AA24" s="65">
        <f>IFERROR(__xludf.DUMMYFUNCTION("IFERROR(
  VLOOKUP(
    A24,
    IMPORTRANGE(
      ""1ZHMy3vVUd_0MrSduXTe1etBb1HNpAlGwQr006ljwMiM"",
      ""GSC最新!A:R""
    ),
    18,
    FALSE
  ),
  0
)
"),10.299548095545513)</f>
        <v>10.2995481</v>
      </c>
      <c r="AB24" s="65">
        <f t="shared" ref="AB24:AC24" si="114">X24-Z24</f>
        <v>-4.582350897</v>
      </c>
      <c r="AC24" s="65">
        <f t="shared" si="114"/>
        <v>-6.11430082</v>
      </c>
      <c r="AD24" s="53">
        <f>IFERROR(__xludf.DUMMYFUNCTION("IFERROR(
  VLOOKUP(
    A24,
    IMPORTRANGE(
      ""1ZHMy3vVUd_0MrSduXTe1etBb1HNpAlGwQr006ljwMiM"",
      ""GSC最新!A:F""
    ),
    6,
    FALSE
  ),
  0
)
"),46081.0)</f>
        <v>46081</v>
      </c>
      <c r="AE24" s="54">
        <f>IFERROR(__xludf.DUMMYFUNCTION("IFERROR(
  VLOOKUP(
    A24,
    IMPORTRANGE(
      ""1SCYQd7_cobOYqT0r_F0IqD4tE4rYn5y8Eup4PJTH8es"",
      ""Snapshot!A:M""
    ),
    5,
    FALSE
  ),
  ""-""
)
"),0.0)</f>
        <v>0</v>
      </c>
      <c r="AF24" s="54">
        <f>IFERROR(__xludf.DUMMYFUNCTION("IFERROR(
  VLOOKUP(
    A24,
    IMPORTRANGE(
      ""1SCYQd7_cobOYqT0r_F0IqD4tE4rYn5y8Eup4PJTH8es"",
      ""Snapshot!A:M""
    ),
    6,
    FALSE
  ),
  0
)
"),15.0)</f>
        <v>15</v>
      </c>
      <c r="AG24" s="54">
        <f>IFERROR(__xludf.DUMMYFUNCTION("IFERROR(
  VLOOKUP(
    A24,
    IMPORTRANGE(
      ""1SCYQd7_cobOYqT0r_F0IqD4tE4rYn5y8Eup4PJTH8es"",
      ""Snapshot!A:M""
    ),
    7,
    FALSE
  ),
  0
)
"),4872.0)</f>
        <v>4872</v>
      </c>
      <c r="AH24" s="54">
        <f>IFERROR(__xludf.DUMMYFUNCTION("IFERROR(
  VLOOKUP(
    A24,
    IMPORTRANGE(
      ""1SCYQd7_cobOYqT0r_F0IqD4tE4rYn5y8Eup4PJTH8es"",
      ""Snapshot!A:M""
    ),
    8,
    FALSE
  ),
  0
)
"),1.0)</f>
        <v>1</v>
      </c>
      <c r="AI24" s="54">
        <f>IFERROR(__xludf.DUMMYFUNCTION("IFERROR(
  VLOOKUP(
    A24,
    IMPORTRANGE(
      ""1SCYQd7_cobOYqT0r_F0IqD4tE4rYn5y8Eup4PJTH8es"",
      ""Snapshot!A:M""
    ),
    9,
    FALSE
  ),
  0
)
"),4.0)</f>
        <v>4</v>
      </c>
      <c r="AJ24" s="54">
        <f>IFERROR(__xludf.DUMMYFUNCTION("IFERROR(
  VLOOKUP(
    A24,
    IMPORTRANGE(
      ""1SCYQd7_cobOYqT0r_F0IqD4tE4rYn5y8Eup4PJTH8es"",
      ""Snapshot!A:M""
    ),
    13,
    FALSE
  ),
  0
)
"),1.0)</f>
        <v>1</v>
      </c>
      <c r="AK24" s="49">
        <f t="shared" ref="AK24:AL24" si="115">LEN(C24)</f>
        <v>69</v>
      </c>
      <c r="AL24" s="49">
        <f t="shared" si="115"/>
        <v>48</v>
      </c>
    </row>
    <row r="25">
      <c r="A25" s="3" t="s">
        <v>1112</v>
      </c>
      <c r="B25" s="1" t="str">
        <f>IFERROR(__xludf.DUMMYFUNCTION("IFERROR(
  VLOOKUP(
    A25,
    IMPORTRANGE(
      ""1ZygntHC1J6IxzKbTidmOyf5nUyW4GCLurHCjexrLm_o"",
      ""HTMLキャッシュ!A:F""
    ),
    2,
    FALSE
  ),
  0
)
"),"MC")</f>
        <v>MC</v>
      </c>
      <c r="C25" s="1" t="str">
        <f>IFERROR(__xludf.DUMMYFUNCTION("IFERROR(
  VLOOKUP(
    A25,
    IMPORTRANGE(
      ""1ZygntHC1J6IxzKbTidmOyf5nUyW4GCLurHCjexrLm_o"",
      ""HTMLキャッシュ!A:F""
    ),
    5,
    FALSE
  ),
  0
)
"),"doの過去形はdid｜否定didn't＋原形｜中1英語")</f>
        <v>doの過去形はdid｜否定didn't＋原形｜中1英語</v>
      </c>
      <c r="D25" s="1" t="str">
        <f>IFERROR(__xludf.DUMMYFUNCTION("IFERROR(
  VLOOKUP(
    A25,
    IMPORTRANGE(
      ""1ZygntHC1J6IxzKbTidmOyf5nUyW4GCLurHCjexrLm_o        "",
      ""HTMLキャッシュ!A:F""
    ),
    6,
    FALSE
  ),
  0
)
"),"do/doesの過去はdid。否定はdidn&amp;#039;t＋動詞原形。三単現s・過去-edが否定で消える理由と、not＝「〜というわけではない」も例文で整理。")</f>
        <v>do/doesの過去はdid。否定はdidn&amp;#039;t＋動詞原形。三単現s・過去-edが否定で消える理由と、not＝「〜というわけではない」も例文で整理。</v>
      </c>
      <c r="E25" s="32">
        <f>IFERROR(__xludf.DUMMYFUNCTION("IFERROR(
  VLOOKUP(
    A25,
    IMPORTRANGE(
      ""1ZygntHC1J6IxzKbTidmOyf5nUyW4GCLurHCjexrLm_o        "",
      ""HTMLキャッシュ!A:F""
    ),
    3,
    FALSE
  ),
  0
)
"),46039.5844212963)</f>
        <v>46039.58442</v>
      </c>
      <c r="F25" s="49">
        <f>IFERROR(__xludf.DUMMYFUNCTION("IFERROR(
  VLOOKUP(
    A25,
    IMPORTRANGE(
      ""1ZHMy3vVUd_0MrSduXTe1etBb1HNpAlGwQr006ljwMiM"",
      ""GSC最新!A:F""
    ),
    2,
    FALSE
  ),
  0
)
"),13.0)</f>
        <v>13</v>
      </c>
      <c r="G25" s="49">
        <f>IFERROR(__xludf.DUMMYFUNCTION("IFERROR(
  VLOOKUP(
    A25,
    IMPORTRANGE(
      ""1ZHMy3vVUd_0MrSduXTe1etBb1HNpAlGwQr006ljwMiM"",
      ""GSC最新!A:F""
    ),
    3,
    FALSE
  ),
  0
)
"),27.0)</f>
        <v>27</v>
      </c>
      <c r="H25" s="49">
        <f>IFERROR(__xludf.DUMMYFUNCTION("IFERROR(
  VLOOKUP(
    A25,
    IMPORTRANGE(
      ""1ZHMy3vVUd_0MrSduXTe1etBb1HNpAlGwQr006ljwMiM"",
      ""GSC最新!A:F""
    ),
    4,
    FALSE
  ),
  0
)
"),9.0)</f>
        <v>9</v>
      </c>
      <c r="I25" s="49">
        <f>IFERROR(__xludf.DUMMYFUNCTION("IFERROR(
  VLOOKUP(
    A25,
    IMPORTRANGE(
      ""1ZHMy3vVUd_0MrSduXTe1etBb1HNpAlGwQr006ljwMiM"",
      ""GSC最新!A:F""
    ),
    5,
    FALSE
  ),
  0
)
"),21.0)</f>
        <v>21</v>
      </c>
      <c r="J25" s="50">
        <f t="shared" ref="J25:K25" si="116">IFERROR(F25/H25,"-")</f>
        <v>1.444444444</v>
      </c>
      <c r="K25" s="50">
        <f t="shared" si="116"/>
        <v>1.285714286</v>
      </c>
      <c r="L25" s="6">
        <f>IFERROR(__xludf.DUMMYFUNCTION("IFERROR(
  VLOOKUP(
    A25,
    IMPORTRANGE(
      ""1ZHMy3vVUd_0MrSduXTe1etBb1HNpAlGwQr006ljwMiM"",
      ""GSC最新!A:R""
    ),
    7,
    FALSE
  ),
  0
)
"),9723.0)</f>
        <v>9723</v>
      </c>
      <c r="M25" s="6">
        <f>IFERROR(__xludf.DUMMYFUNCTION("IFERROR(
  VLOOKUP(
    A25,
    IMPORTRANGE(
      ""1ZHMy3vVUd_0MrSduXTe1etBb1HNpAlGwQr006ljwMiM"",
      ""GSC最新!A:R""
    ),
    10,
    FALSE
  ),
  0
)
"),26907.0)</f>
        <v>26907</v>
      </c>
      <c r="N25" s="6">
        <f>IFERROR(__xludf.DUMMYFUNCTION("IFERROR(
  VLOOKUP(
    A25,
    IMPORTRANGE(
      ""1ZHMy3vVUd_0MrSduXTe1etBb1HNpAlGwQr006ljwMiM"",
      ""GSC最新!A:R""
    ),
    13,
    FALSE
  ),
  0
)
"),3551.0)</f>
        <v>3551</v>
      </c>
      <c r="O25" s="6">
        <f>IFERROR(__xludf.DUMMYFUNCTION("IFERROR(
  VLOOKUP(
    A25,
    IMPORTRANGE(
      ""1ZHMy3vVUd_0MrSduXTe1etBb1HNpAlGwQr006ljwMiM"",
      ""GSC最新!A:R""
    ),
    16,
    FALSE
  ),
  0
)
"),9526.0)</f>
        <v>9526</v>
      </c>
      <c r="P25" s="51">
        <f t="shared" ref="P25:Q25" si="117">IFERROR(L25/N25,"-")</f>
        <v>2.738101943</v>
      </c>
      <c r="Q25" s="51">
        <f t="shared" si="117"/>
        <v>2.824585345</v>
      </c>
      <c r="R25" s="9">
        <f>IFERROR(__xludf.DUMMYFUNCTION("IFERROR(
  VLOOKUP(
    A25,
    IMPORTRANGE(
      ""1ZHMy3vVUd_0MrSduXTe1etBb1HNpAlGwQr006ljwMiM"",
      ""GSC最新!A:R""
    ),
    8,
    FALSE
  ),
  0
)
"),0.0013370358942713155)</f>
        <v>0.001337035894</v>
      </c>
      <c r="S25" s="9">
        <f>IFERROR(__xludf.DUMMYFUNCTION("IFERROR(
  VLOOKUP(
    A25,
    IMPORTRANGE(
      ""1ZHMy3vVUd_0MrSduXTe1etBb1HNpAlGwQr006ljwMiM"",
      ""GSC最新!A:R""
    ),
    11,
    FALSE
  ),
  0
)
"),0.0010034563496487902)</f>
        <v>0.00100345635</v>
      </c>
      <c r="T25" s="9">
        <f>IFERROR(__xludf.DUMMYFUNCTION("IFERROR(
  VLOOKUP(
    A25,
    IMPORTRANGE(
      ""1ZHMy3vVUd_0MrSduXTe1etBb1HNpAlGwQr006ljwMiM"",
      ""GSC最新!A:R""
    ),
    14,
    FALSE
  ),
  0
)
"),0.0025344973246972683)</f>
        <v>0.002534497325</v>
      </c>
      <c r="U25" s="9">
        <f>IFERROR(__xludf.DUMMYFUNCTION("IFERROR(
  VLOOKUP(
    A25,
    IMPORTRANGE(
      ""1ZHMy3vVUd_0MrSduXTe1etBb1HNpAlGwQr006ljwMiM"",
      ""GSC最新!A:R""
    ),
    17,
    FALSE
  ),
  0
)
"),0.002204492966617678)</f>
        <v>0.002204492967</v>
      </c>
      <c r="V25" s="9">
        <f t="shared" ref="V25:W25" si="118">IFERROR(R25-T25,"-")</f>
        <v>-0.00119746143</v>
      </c>
      <c r="W25" s="9">
        <f t="shared" si="118"/>
        <v>-0.001201036617</v>
      </c>
      <c r="X25" s="65">
        <f>IFERROR(__xludf.DUMMYFUNCTION("IFERROR(
  VLOOKUP(
    A25,
    IMPORTRANGE(
      ""1ZHMy3vVUd_0MrSduXTe1etBb1HNpAlGwQr006ljwMiM"",
      ""GSC最新!A:R""
    ),
    9,
    FALSE
  ),
  0
)
"),4.788234084130412)</f>
        <v>4.788234084</v>
      </c>
      <c r="Y25" s="65">
        <f>IFERROR(__xludf.DUMMYFUNCTION("IFERROR(
  VLOOKUP(
    A25,
    IMPORTRANGE(
      ""1ZHMy3vVUd_0MrSduXTe1etBb1HNpAlGwQr006ljwMiM"",
      ""GSC最新!A:R""
    ),
    12,
    FALSE
  ),
  0
)
"),5.415616754004534)</f>
        <v>5.415616754</v>
      </c>
      <c r="Z25" s="65">
        <f>IFERROR(__xludf.DUMMYFUNCTION("IFERROR(
  VLOOKUP(
    A25,
    IMPORTRANGE(
      ""1ZHMy3vVUd_0MrSduXTe1etBb1HNpAlGwQr006ljwMiM"",
      ""GSC最新!A:R""
    ),
    15,
    FALSE
  ),
  0
)
"),8.010701210926499)</f>
        <v>8.010701211</v>
      </c>
      <c r="AA25" s="65">
        <f>IFERROR(__xludf.DUMMYFUNCTION("IFERROR(
  VLOOKUP(
    A25,
    IMPORTRANGE(
      ""1ZHMy3vVUd_0MrSduXTe1etBb1HNpAlGwQr006ljwMiM"",
      ""GSC最新!A:R""
    ),
    18,
    FALSE
  ),
  0
)
"),8.182762964518162)</f>
        <v>8.182762965</v>
      </c>
      <c r="AB25" s="65">
        <f t="shared" ref="AB25:AC25" si="119">X25-Z25</f>
        <v>-3.222467127</v>
      </c>
      <c r="AC25" s="65">
        <f t="shared" si="119"/>
        <v>-2.767146211</v>
      </c>
      <c r="AD25" s="53">
        <f>IFERROR(__xludf.DUMMYFUNCTION("IFERROR(
  VLOOKUP(
    A25,
    IMPORTRANGE(
      ""1ZHMy3vVUd_0MrSduXTe1etBb1HNpAlGwQr006ljwMiM"",
      ""GSC最新!A:F""
    ),
    6,
    FALSE
  ),
  0
)
"),46081.0)</f>
        <v>46081</v>
      </c>
      <c r="AE25" s="54">
        <f>IFERROR(__xludf.DUMMYFUNCTION("IFERROR(
  VLOOKUP(
    A25,
    IMPORTRANGE(
      ""1SCYQd7_cobOYqT0r_F0IqD4tE4rYn5y8Eup4PJTH8es"",
      ""Snapshot!A:M""
    ),
    5,
    FALSE
  ),
  ""-""
)
"),0.0)</f>
        <v>0</v>
      </c>
      <c r="AF25" s="54">
        <f>IFERROR(__xludf.DUMMYFUNCTION("IFERROR(
  VLOOKUP(
    A25,
    IMPORTRANGE(
      ""1SCYQd7_cobOYqT0r_F0IqD4tE4rYn5y8Eup4PJTH8es"",
      ""Snapshot!A:M""
    ),
    6,
    FALSE
  ),
  0
)
"),0.0)</f>
        <v>0</v>
      </c>
      <c r="AG25" s="54">
        <f>IFERROR(__xludf.DUMMYFUNCTION("IFERROR(
  VLOOKUP(
    A25,
    IMPORTRANGE(
      ""1SCYQd7_cobOYqT0r_F0IqD4tE4rYn5y8Eup4PJTH8es"",
      ""Snapshot!A:M""
    ),
    7,
    FALSE
  ),
  0
)
"),3298.0)</f>
        <v>3298</v>
      </c>
      <c r="AH25" s="54">
        <f>IFERROR(__xludf.DUMMYFUNCTION("IFERROR(
  VLOOKUP(
    A25,
    IMPORTRANGE(
      ""1SCYQd7_cobOYqT0r_F0IqD4tE4rYn5y8Eup4PJTH8es"",
      ""Snapshot!A:M""
    ),
    8,
    FALSE
  ),
  0
)
"),1.0)</f>
        <v>1</v>
      </c>
      <c r="AI25" s="54">
        <f>IFERROR(__xludf.DUMMYFUNCTION("IFERROR(
  VLOOKUP(
    A25,
    IMPORTRANGE(
      ""1SCYQd7_cobOYqT0r_F0IqD4tE4rYn5y8Eup4PJTH8es"",
      ""Snapshot!A:M""
    ),
    9,
    FALSE
  ),
  0
)
"),4.0)</f>
        <v>4</v>
      </c>
      <c r="AJ25" s="54">
        <f>IFERROR(__xludf.DUMMYFUNCTION("IFERROR(
  VLOOKUP(
    A25,
    IMPORTRANGE(
      ""1SCYQd7_cobOYqT0r_F0IqD4tE4rYn5y8Eup4PJTH8es"",
      ""Snapshot!A:M""
    ),
    13,
    FALSE
  ),
  0
)
"),1.0)</f>
        <v>1</v>
      </c>
      <c r="AK25" s="49">
        <f t="shared" ref="AK25:AL25" si="120">LEN(C25)</f>
        <v>27</v>
      </c>
      <c r="AL25" s="49">
        <f t="shared" si="120"/>
        <v>79</v>
      </c>
    </row>
    <row r="26">
      <c r="A26" s="3" t="s">
        <v>1113</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"),"否定疑問文の答え方｜Yes/Noの返し方と例文｜中学英語")</f>
        <v>否定疑問文の答え方｜Yes/Noの返し方と例文｜中学英語</v>
      </c>
      <c r="D26" s="1" t="str">
        <f>IFERROR(__xludf.DUMMYFUNCTION("IFERROR(
  VLOOKUP(
    A26,
    IMPORTRANGE(
      ""1ZygntHC1J6IxzKbTidmOyf5nUyW4GCLurHCjexrLm_o        "",
      ""HTMLキャッシュ!A:F""
    ),
    6,
    FALSE
  ),
  0
)
"),"否定疑問文の答え方を例文で解説。Yes/Noは日本語訳で選ばず、動詞の内容に合わせて答える。aren’t you・don’t you・isn’t he を普通疑問文と比べて確認。")</f>
        <v>否定疑問文の答え方を例文で解説。Yes/Noは日本語訳で選ばず、動詞の内容に合わせて答える。aren’t you・don’t you・isn’t he を普通疑問文と比べて確認。</v>
      </c>
      <c r="E26" s="32">
        <f>IFERROR(__xludf.DUMMYFUNCTION("IFERROR(
  VLOOKUP(
    A26,
    IMPORTRANGE(
      ""1ZygntHC1J6IxzKbTidmOyf5nUyW4GCLurHCjexrLm_o        "",
      ""HTMLキャッシュ!A:F""
    ),
    3,
    FALSE
  ),
  0
)
"),46078.75599537037)</f>
        <v>46078.756</v>
      </c>
      <c r="F26" s="49">
        <f>IFERROR(__xludf.DUMMYFUNCTION("IFERROR(
  VLOOKUP(
    A26,
    IMPORTRANGE(
      ""1ZHMy3vVUd_0MrSduXTe1etBb1HNpAlGwQr006ljwMiM"",
      ""GSC最新!A:F""
    ),
    2,
    FALSE
  ),
  0
)
"),6.0)</f>
        <v>6</v>
      </c>
      <c r="G26" s="49">
        <f>IFERROR(__xludf.DUMMYFUNCTION("IFERROR(
  VLOOKUP(
    A26,
    IMPORTRANGE(
      ""1ZHMy3vVUd_0MrSduXTe1etBb1HNpAlGwQr006ljwMiM"",
      ""GSC最新!A:F""
    ),
    3,
    FALSE
  ),
  0
)
"),24.0)</f>
        <v>24</v>
      </c>
      <c r="H26" s="49">
        <f>IFERROR(__xludf.DUMMYFUNCTION("IFERROR(
  VLOOKUP(
    A26,
    IMPORTRANGE(
      ""1ZHMy3vVUd_0MrSduXTe1etBb1HNpAlGwQr006ljwMiM"",
      ""GSC最新!A:F""
    ),
    4,
    FALSE
  ),
  0
)
"),12.0)</f>
        <v>12</v>
      </c>
      <c r="I26" s="49">
        <f>IFERROR(__xludf.DUMMYFUNCTION("IFERROR(
  VLOOKUP(
    A26,
    IMPORTRANGE(
      ""1ZHMy3vVUd_0MrSduXTe1etBb1HNpAlGwQr006ljwMiM"",
      ""GSC最新!A:F""
    ),
    5,
    FALSE
  ),
  0
)
"),30.0)</f>
        <v>30</v>
      </c>
      <c r="J26" s="50">
        <f t="shared" ref="J26:K26" si="121">IFERROR(F26/H26,"-")</f>
        <v>0.5</v>
      </c>
      <c r="K26" s="50">
        <f t="shared" si="121"/>
        <v>0.8</v>
      </c>
      <c r="L26" s="6">
        <f>IFERROR(__xludf.DUMMYFUNCTION("IFERROR(
  VLOOKUP(
    A26,
    IMPORTRANGE(
      ""1ZHMy3vVUd_0MrSduXTe1etBb1HNpAlGwQr006ljwMiM"",
      ""GSC最新!A:R""
    ),
    7,
    FALSE
  ),
  0
)
"),8416.0)</f>
        <v>8416</v>
      </c>
      <c r="M26" s="6">
        <f>IFERROR(__xludf.DUMMYFUNCTION("IFERROR(
  VLOOKUP(
    A26,
    IMPORTRANGE(
      ""1ZHMy3vVUd_0MrSduXTe1etBb1HNpAlGwQr006ljwMiM"",
      ""GSC最新!A:R""
    ),
    10,
    FALSE
  ),
  0
)
"),24586.0)</f>
        <v>24586</v>
      </c>
      <c r="N26" s="6">
        <f>IFERROR(__xludf.DUMMYFUNCTION("IFERROR(
  VLOOKUP(
    A26,
    IMPORTRANGE(
      ""1ZHMy3vVUd_0MrSduXTe1etBb1HNpAlGwQr006ljwMiM"",
      ""GSC最新!A:R""
    ),
    13,
    FALSE
  ),
  0
)
"),5232.0)</f>
        <v>5232</v>
      </c>
      <c r="O26" s="6">
        <f>IFERROR(__xludf.DUMMYFUNCTION("IFERROR(
  VLOOKUP(
    A26,
    IMPORTRANGE(
      ""1ZHMy3vVUd_0MrSduXTe1etBb1HNpAlGwQr006ljwMiM"",
      ""GSC最新!A:R""
    ),
    16,
    FALSE
  ),
  0
)
"),19025.0)</f>
        <v>19025</v>
      </c>
      <c r="P26" s="51">
        <f t="shared" ref="P26:Q26" si="122">IFERROR(L26/N26,"-")</f>
        <v>1.608562691</v>
      </c>
      <c r="Q26" s="51">
        <f t="shared" si="122"/>
        <v>1.292299606</v>
      </c>
      <c r="R26" s="9">
        <f>IFERROR(__xludf.DUMMYFUNCTION("IFERROR(
  VLOOKUP(
    A26,
    IMPORTRANGE(
      ""1ZHMy3vVUd_0MrSduXTe1etBb1HNpAlGwQr006ljwMiM"",
      ""GSC最新!A:R""
    ),
    8,
    FALSE
  ),
  0
)
"),7.129277566539924E-4)</f>
        <v>0.0007129277567</v>
      </c>
      <c r="S26" s="9">
        <f>IFERROR(__xludf.DUMMYFUNCTION("IFERROR(
  VLOOKUP(
    A26,
    IMPORTRANGE(
      ""1ZHMy3vVUd_0MrSduXTe1etBb1HNpAlGwQr006ljwMiM"",
      ""GSC最新!A:R""
    ),
    11,
    FALSE
  ),
  0
)
"),9.761652973236802E-4)</f>
        <v>0.0009761652973</v>
      </c>
      <c r="T26" s="9">
        <f>IFERROR(__xludf.DUMMYFUNCTION("IFERROR(
  VLOOKUP(
    A26,
    IMPORTRANGE(
      ""1ZHMy3vVUd_0MrSduXTe1etBb1HNpAlGwQr006ljwMiM"",
      ""GSC最新!A:R""
    ),
    14,
    FALSE
  ),
  0
)
"),0.0022935779816513763)</f>
        <v>0.002293577982</v>
      </c>
      <c r="U26" s="9">
        <f>IFERROR(__xludf.DUMMYFUNCTION("IFERROR(
  VLOOKUP(
    A26,
    IMPORTRANGE(
      ""1ZHMy3vVUd_0MrSduXTe1etBb1HNpAlGwQr006ljwMiM"",
      ""GSC最新!A:R""
    ),
    17,
    FALSE
  ),
  0
)
"),0.0015768725361366622)</f>
        <v>0.001576872536</v>
      </c>
      <c r="V26" s="9">
        <f t="shared" ref="V26:W26" si="123">IFERROR(R26-T26,"-")</f>
        <v>-0.001580650225</v>
      </c>
      <c r="W26" s="9">
        <f t="shared" si="123"/>
        <v>-0.0006007072388</v>
      </c>
      <c r="X26" s="65">
        <f>IFERROR(__xludf.DUMMYFUNCTION("IFERROR(
  VLOOKUP(
    A26,
    IMPORTRANGE(
      ""1ZHMy3vVUd_0MrSduXTe1etBb1HNpAlGwQr006ljwMiM"",
      ""GSC最新!A:R""
    ),
    9,
    FALSE
  ),
  0
)
"),8.17490494296578)</f>
        <v>8.174904943</v>
      </c>
      <c r="Y26" s="65">
        <f>IFERROR(__xludf.DUMMYFUNCTION("IFERROR(
  VLOOKUP(
    A26,
    IMPORTRANGE(
      ""1ZHMy3vVUd_0MrSduXTe1etBb1HNpAlGwQr006ljwMiM"",
      ""GSC最新!A:R""
    ),
    12,
    FALSE
  ),
  0
)
"),8.450418937606768)</f>
        <v>8.450418938</v>
      </c>
      <c r="Z26" s="65">
        <f>IFERROR(__xludf.DUMMYFUNCTION("IFERROR(
  VLOOKUP(
    A26,
    IMPORTRANGE(
      ""1ZHMy3vVUd_0MrSduXTe1etBb1HNpAlGwQr006ljwMiM"",
      ""GSC最新!A:R""
    ),
    15,
    FALSE
  ),
  0
)
"),7.892010703363915)</f>
        <v>7.892010703</v>
      </c>
      <c r="AA26" s="65">
        <f>IFERROR(__xludf.DUMMYFUNCTION("IFERROR(
  VLOOKUP(
    A26,
    IMPORTRANGE(
      ""1ZHMy3vVUd_0MrSduXTe1etBb1HNpAlGwQr006ljwMiM"",
      ""GSC最新!A:R""
    ),
    18,
    FALSE
  ),
  0
)
"),8.295243101182654)</f>
        <v>8.295243101</v>
      </c>
      <c r="AB26" s="65">
        <f t="shared" ref="AB26:AC26" si="124">X26-Z26</f>
        <v>0.2828942396</v>
      </c>
      <c r="AC26" s="65">
        <f t="shared" si="124"/>
        <v>0.1551758364</v>
      </c>
      <c r="AD26" s="53">
        <f>IFERROR(__xludf.DUMMYFUNCTION("IFERROR(
  VLOOKUP(
    A26,
    IMPORTRANGE(
      ""1ZHMy3vVUd_0MrSduXTe1etBb1HNpAlGwQr006ljwMiM"",
      ""GSC最新!A:F""
    ),
    6,
    FALSE
  ),
  0
)
"),46081.0)</f>
        <v>46081</v>
      </c>
      <c r="AE26" s="54">
        <f>IFERROR(__xludf.DUMMYFUNCTION("IFERROR(
  VLOOKUP(
    A26,
    IMPORTRANGE(
      ""1SCYQd7_cobOYqT0r_F0IqD4tE4rYn5y8Eup4PJTH8es"",
      ""Snapshot!A:M""
    ),
    5,
    FALSE
  ),
  ""-""
)
"),0.0)</f>
        <v>0</v>
      </c>
      <c r="AF26" s="54">
        <f>IFERROR(__xludf.DUMMYFUNCTION("IFERROR(
  VLOOKUP(
    A26,
    IMPORTRANGE(
      ""1SCYQd7_cobOYqT0r_F0IqD4tE4rYn5y8Eup4PJTH8es"",
      ""Snapshot!A:M""
    ),
    6,
    FALSE
  ),
  0
)
"),7.0)</f>
        <v>7</v>
      </c>
      <c r="AG26" s="54">
        <f>IFERROR(__xludf.DUMMYFUNCTION("IFERROR(
  VLOOKUP(
    A26,
    IMPORTRANGE(
      ""1SCYQd7_cobOYqT0r_F0IqD4tE4rYn5y8Eup4PJTH8es"",
      ""Snapshot!A:M""
    ),
    7,
    FALSE
  ),
  0
)
"),3312.0)</f>
        <v>3312</v>
      </c>
      <c r="AH26" s="54">
        <f>IFERROR(__xludf.DUMMYFUNCTION("IFERROR(
  VLOOKUP(
    A26,
    IMPORTRANGE(
      ""1SCYQd7_cobOYqT0r_F0IqD4tE4rYn5y8Eup4PJTH8es"",
      ""Snapshot!A:M""
    ),
    8,
    FALSE
  ),
  0
)
"),1.0)</f>
        <v>1</v>
      </c>
      <c r="AI26" s="54">
        <f>IFERROR(__xludf.DUMMYFUNCTION("IFERROR(
  VLOOKUP(
    A26,
    IMPORTRANGE(
      ""1SCYQd7_cobOYqT0r_F0IqD4tE4rYn5y8Eup4PJTH8es"",
      ""Snapshot!A:M""
    ),
    9,
    FALSE
  ),
  0
)
"),4.0)</f>
        <v>4</v>
      </c>
      <c r="AJ26" s="54">
        <f>IFERROR(__xludf.DUMMYFUNCTION("IFERROR(
  VLOOKUP(
    A26,
    IMPORTRANGE(
      ""1SCYQd7_cobOYqT0r_F0IqD4tE4rYn5y8Eup4PJTH8es"",
      ""Snapshot!A:M""
    ),
    13,
    FALSE
  ),
  0
)
"),1.0)</f>
        <v>1</v>
      </c>
      <c r="AK26" s="49">
        <f t="shared" ref="AK26:AL26" si="125">LEN(C26)</f>
        <v>28</v>
      </c>
      <c r="AL26" s="49">
        <f t="shared" si="125"/>
        <v>89</v>
      </c>
    </row>
    <row r="27">
      <c r="A27" s="3" t="s">
        <v>1114</v>
      </c>
      <c r="B27" s="1" t="str">
        <f>IFERROR(__xludf.DUMMYFUNCTION("IFERROR(
  VLOOKUP(
    A27,
    IMPORTRANGE(
      ""1ZygntHC1J6IxzKbTidmOyf5nUyW4GCLurHCjexrLm_o"",
      ""HTMLキャッシュ!A:F""
    ),
    2,
    FALSE
  ),
  0
)
"),"MC")</f>
        <v>MC</v>
      </c>
      <c r="C27" s="1" t="str">
        <f>IFERROR(__xludf.DUMMYFUNCTION("IFERROR(
  VLOOKUP(
    A27,
    IMPORTRANGE(
      ""1ZygntHC1J6IxzKbTidmOyf5nUyW4GCLurHCjexrLm_o"",
      ""HTMLキャッシュ!A:F""
    ),
    5,
    FALSE
  ),
  0
)
"),"所有・所属を表す of の使い方【Progress Book1 Lesson19-4】 - 新宿区四谷の英語専門塾「英語教室『サポート』」～英語は別に怖くない！～")</f>
        <v>所有・所属を表す of の使い方【Progress Book1 Lesson19-4】 - 新宿区四谷の英語専門塾「英語教室『サポート』」～英語は別に怖くない！～</v>
      </c>
      <c r="D27" s="1" t="str">
        <f>IFERROR(__xludf.DUMMYFUNCTION("IFERROR(
  VLOOKUP(
    A27,
    IMPORTRANGE(
      ""1ZygntHC1J6IxzKbTidmOyf5nUyW4GCLurHCjexrLm_o        "",
      ""HTMLキャッシュ!A:F""
    ),
    6,
    FALSE
  ),
  0
)
"),"所有を表す of と、所属・出身を表す of／from の違いを中学〜高校英語レベルで丁寧に整理。be of 名詞の意味や「〜の英語」「どこに所属しているのか」を尋ねる表現まで、豊富な例文で分かりやすく解説します。")</f>
        <v>所有を表す of と、所属・出身を表す of／from の違いを中学〜高校英語レベルで丁寧に整理。be of 名詞の意味や「〜の英語」「どこに所属しているのか」を尋ねる表現まで、豊富な例文で分かりやすく解説します。</v>
      </c>
      <c r="E27" s="32">
        <f>IFERROR(__xludf.DUMMYFUNCTION("IFERROR(
  VLOOKUP(
    A27,
    IMPORTRANGE(
      ""1ZygntHC1J6IxzKbTidmOyf5nUyW4GCLurHCjexrLm_o        "",
      ""HTMLキャッシュ!A:F""
    ),
    3,
    FALSE
  ),
  0
)
"),46078.591631944444)</f>
        <v>46078.59163</v>
      </c>
      <c r="F27" s="49">
        <f>IFERROR(__xludf.DUMMYFUNCTION("IFERROR(
  VLOOKUP(
    A27,
    IMPORTRANGE(
      ""1ZHMy3vVUd_0MrSduXTe1etBb1HNpAlGwQr006ljwMiM"",
      ""GSC最新!A:F""
    ),
    2,
    FALSE
  ),
  0
)
"),6.0)</f>
        <v>6</v>
      </c>
      <c r="G27" s="49">
        <f>IFERROR(__xludf.DUMMYFUNCTION("IFERROR(
  VLOOKUP(
    A27,
    IMPORTRANGE(
      ""1ZHMy3vVUd_0MrSduXTe1etBb1HNpAlGwQr006ljwMiM"",
      ""GSC最新!A:F""
    ),
    3,
    FALSE
  ),
  0
)
"),23.0)</f>
        <v>23</v>
      </c>
      <c r="H27" s="49">
        <f>IFERROR(__xludf.DUMMYFUNCTION("IFERROR(
  VLOOKUP(
    A27,
    IMPORTRANGE(
      ""1ZHMy3vVUd_0MrSduXTe1etBb1HNpAlGwQr006ljwMiM"",
      ""GSC最新!A:F""
    ),
    4,
    FALSE
  ),
  0
)
"),4.0)</f>
        <v>4</v>
      </c>
      <c r="I27" s="49">
        <f>IFERROR(__xludf.DUMMYFUNCTION("IFERROR(
  VLOOKUP(
    A27,
    IMPORTRANGE(
      ""1ZHMy3vVUd_0MrSduXTe1etBb1HNpAlGwQr006ljwMiM"",
      ""GSC最新!A:F""
    ),
    5,
    FALSE
  ),
  0
)
"),13.0)</f>
        <v>13</v>
      </c>
      <c r="J27" s="50">
        <f t="shared" ref="J27:K27" si="126">IFERROR(F27/H27,"-")</f>
        <v>1.5</v>
      </c>
      <c r="K27" s="50">
        <f t="shared" si="126"/>
        <v>1.769230769</v>
      </c>
      <c r="L27" s="6">
        <f>IFERROR(__xludf.DUMMYFUNCTION("IFERROR(
  VLOOKUP(
    A27,
    IMPORTRANGE(
      ""1ZHMy3vVUd_0MrSduXTe1etBb1HNpAlGwQr006ljwMiM"",
      ""GSC最新!A:R""
    ),
    7,
    FALSE
  ),
  0
)
"),652.0)</f>
        <v>652</v>
      </c>
      <c r="M27" s="6">
        <f>IFERROR(__xludf.DUMMYFUNCTION("IFERROR(
  VLOOKUP(
    A27,
    IMPORTRANGE(
      ""1ZHMy3vVUd_0MrSduXTe1etBb1HNpAlGwQr006ljwMiM"",
      ""GSC最新!A:R""
    ),
    10,
    FALSE
  ),
  0
)
"),1477.0)</f>
        <v>1477</v>
      </c>
      <c r="N27" s="6">
        <f>IFERROR(__xludf.DUMMYFUNCTION("IFERROR(
  VLOOKUP(
    A27,
    IMPORTRANGE(
      ""1ZHMy3vVUd_0MrSduXTe1etBb1HNpAlGwQr006ljwMiM"",
      ""GSC最新!A:R""
    ),
    13,
    FALSE
  ),
  0
)
"),220.0)</f>
        <v>220</v>
      </c>
      <c r="O27" s="6">
        <f>IFERROR(__xludf.DUMMYFUNCTION("IFERROR(
  VLOOKUP(
    A27,
    IMPORTRANGE(
      ""1ZHMy3vVUd_0MrSduXTe1etBb1HNpAlGwQr006ljwMiM"",
      ""GSC最新!A:R""
    ),
    16,
    FALSE
  ),
  0
)
"),757.0)</f>
        <v>757</v>
      </c>
      <c r="P27" s="51">
        <f t="shared" ref="P27:Q27" si="127">IFERROR(L27/N27,"-")</f>
        <v>2.963636364</v>
      </c>
      <c r="Q27" s="51">
        <f t="shared" si="127"/>
        <v>1.951122853</v>
      </c>
      <c r="R27" s="9">
        <f>IFERROR(__xludf.DUMMYFUNCTION("IFERROR(
  VLOOKUP(
    A27,
    IMPORTRANGE(
      ""1ZHMy3vVUd_0MrSduXTe1etBb1HNpAlGwQr006ljwMiM"",
      ""GSC最新!A:R""
    ),
    8,
    FALSE
  ),
  0
)
"),0.009202453987730062)</f>
        <v>0.009202453988</v>
      </c>
      <c r="S27" s="9">
        <f>IFERROR(__xludf.DUMMYFUNCTION("IFERROR(
  VLOOKUP(
    A27,
    IMPORTRANGE(
      ""1ZHMy3vVUd_0MrSduXTe1etBb1HNpAlGwQr006ljwMiM"",
      ""GSC最新!A:R""
    ),
    11,
    FALSE
  ),
  0
)
"),0.015572105619498984)</f>
        <v>0.01557210562</v>
      </c>
      <c r="T27" s="9">
        <f>IFERROR(__xludf.DUMMYFUNCTION("IFERROR(
  VLOOKUP(
    A27,
    IMPORTRANGE(
      ""1ZHMy3vVUd_0MrSduXTe1etBb1HNpAlGwQr006ljwMiM"",
      ""GSC最新!A:R""
    ),
    14,
    FALSE
  ),
  0
)
"),0.01818181818181818)</f>
        <v>0.01818181818</v>
      </c>
      <c r="U27" s="9">
        <f>IFERROR(__xludf.DUMMYFUNCTION("IFERROR(
  VLOOKUP(
    A27,
    IMPORTRANGE(
      ""1ZHMy3vVUd_0MrSduXTe1etBb1HNpAlGwQr006ljwMiM"",
      ""GSC最新!A:R""
    ),
    17,
    FALSE
  ),
  0
)
"),0.017173051519154558)</f>
        <v>0.01717305152</v>
      </c>
      <c r="V27" s="9">
        <f t="shared" ref="V27:W27" si="128">IFERROR(R27-T27,"-")</f>
        <v>-0.008979364194</v>
      </c>
      <c r="W27" s="9">
        <f t="shared" si="128"/>
        <v>-0.0016009459</v>
      </c>
      <c r="X27" s="65">
        <f>IFERROR(__xludf.DUMMYFUNCTION("IFERROR(
  VLOOKUP(
    A27,
    IMPORTRANGE(
      ""1ZHMy3vVUd_0MrSduXTe1etBb1HNpAlGwQr006ljwMiM"",
      ""GSC最新!A:R""
    ),
    9,
    FALSE
  ),
  0
)
"),4.5766871165644165)</f>
        <v>4.576687117</v>
      </c>
      <c r="Y27" s="65">
        <f>IFERROR(__xludf.DUMMYFUNCTION("IFERROR(
  VLOOKUP(
    A27,
    IMPORTRANGE(
      ""1ZHMy3vVUd_0MrSduXTe1etBb1HNpAlGwQr006ljwMiM"",
      ""GSC最新!A:R""
    ),
    12,
    FALSE
  ),
  0
)
"),5.877454299255247)</f>
        <v>5.877454299</v>
      </c>
      <c r="Z27" s="65">
        <f>IFERROR(__xludf.DUMMYFUNCTION("IFERROR(
  VLOOKUP(
    A27,
    IMPORTRANGE(
      ""1ZHMy3vVUd_0MrSduXTe1etBb1HNpAlGwQr006ljwMiM"",
      ""GSC最新!A:R""
    ),
    15,
    FALSE
  ),
  0
)
"),10.445454545454545)</f>
        <v>10.44545455</v>
      </c>
      <c r="AA27" s="65">
        <f>IFERROR(__xludf.DUMMYFUNCTION("IFERROR(
  VLOOKUP(
    A27,
    IMPORTRANGE(
      ""1ZHMy3vVUd_0MrSduXTe1etBb1HNpAlGwQr006ljwMiM"",
      ""GSC最新!A:R""
    ),
    18,
    FALSE
  ),
  0
)
"),19.784676354029063)</f>
        <v>19.78467635</v>
      </c>
      <c r="AB27" s="65">
        <f t="shared" ref="AB27:AC27" si="129">X27-Z27</f>
        <v>-5.868767429</v>
      </c>
      <c r="AC27" s="65">
        <f t="shared" si="129"/>
        <v>-13.90722205</v>
      </c>
      <c r="AD27" s="53">
        <f>IFERROR(__xludf.DUMMYFUNCTION("IFERROR(
  VLOOKUP(
    A27,
    IMPORTRANGE(
      ""1ZHMy3vVUd_0MrSduXTe1etBb1HNpAlGwQr006ljwMiM"",
      ""GSC最新!A:F""
    ),
    6,
    FALSE
  ),
  0
)
"),46081.0)</f>
        <v>46081</v>
      </c>
      <c r="AE27" s="54">
        <f>IFERROR(__xludf.DUMMYFUNCTION("IFERROR(
  VLOOKUP(
    A27,
    IMPORTRANGE(
      ""1SCYQd7_cobOYqT0r_F0IqD4tE4rYn5y8Eup4PJTH8es"",
      ""Snapshot!A:M""
    ),
    5,
    FALSE
  ),
  ""-""
)
"),0.0)</f>
        <v>0</v>
      </c>
      <c r="AF27" s="54">
        <f>IFERROR(__xludf.DUMMYFUNCTION("IFERROR(
  VLOOKUP(
    A27,
    IMPORTRANGE(
      ""1SCYQd7_cobOYqT0r_F0IqD4tE4rYn5y8Eup4PJTH8es"",
      ""Snapshot!A:M""
    ),
    6,
    FALSE
  ),
  0
)
"),0.0)</f>
        <v>0</v>
      </c>
      <c r="AG27" s="54">
        <f>IFERROR(__xludf.DUMMYFUNCTION("IFERROR(
  VLOOKUP(
    A27,
    IMPORTRANGE(
      ""1SCYQd7_cobOYqT0r_F0IqD4tE4rYn5y8Eup4PJTH8es"",
      ""Snapshot!A:M""
    ),
    7,
    FALSE
  ),
  0
)
"),1829.0)</f>
        <v>1829</v>
      </c>
      <c r="AH27" s="54">
        <f>IFERROR(__xludf.DUMMYFUNCTION("IFERROR(
  VLOOKUP(
    A27,
    IMPORTRANGE(
      ""1SCYQd7_cobOYqT0r_F0IqD4tE4rYn5y8Eup4PJTH8es"",
      ""Snapshot!A:M""
    ),
    8,
    FALSE
  ),
  0
)
"),1.0)</f>
        <v>1</v>
      </c>
      <c r="AI27" s="54">
        <f>IFERROR(__xludf.DUMMYFUNCTION("IFERROR(
  VLOOKUP(
    A27,
    IMPORTRANGE(
      ""1SCYQd7_cobOYqT0r_F0IqD4tE4rYn5y8Eup4PJTH8es"",
      ""Snapshot!A:M""
    ),
    9,
    FALSE
  ),
  0
)
"),4.0)</f>
        <v>4</v>
      </c>
      <c r="AJ27" s="54">
        <f>IFERROR(__xludf.DUMMYFUNCTION("IFERROR(
  VLOOKUP(
    A27,
    IMPORTRANGE(
      ""1SCYQd7_cobOYqT0r_F0IqD4tE4rYn5y8Eup4PJTH8es"",
      ""Snapshot!A:M""
    ),
    13,
    FALSE
  ),
  0
)
"),1.0)</f>
        <v>1</v>
      </c>
      <c r="AK27" s="49">
        <f t="shared" ref="AK27:AL27" si="130">LEN(C27)</f>
        <v>81</v>
      </c>
      <c r="AL27" s="49">
        <f t="shared" si="130"/>
        <v>107</v>
      </c>
    </row>
    <row r="28">
      <c r="A28" s="3" t="s">
        <v>1115</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"),"comeの過去形came｜read/lead注意｜中1英語")</f>
        <v>comeの過去形came｜read/lead注意｜中1英語</v>
      </c>
      <c r="D28" s="1" t="str">
        <f>IFERROR(__xludf.DUMMYFUNCTION("IFERROR(
  VLOOKUP(
    A28,
    IMPORTRANGE(
      ""1ZygntHC1J6IxzKbTidmOyf5nUyW4GCLurHCjexrLm_o        "",
      ""HTMLキャッシュ!A:F""
    ),
    6,
    FALSE
  ),
  0
)
"),"come→came等の不規則過去形を例文で整理。readは綴り同じで発音差、leadは三単現s無し＝過去形ledの判定まで。")</f>
        <v>come→came等の不規則過去形を例文で整理。readは綴り同じで発音差、leadは三単現s無し＝過去形ledの判定まで。</v>
      </c>
      <c r="E28" s="32">
        <f>IFERROR(__xludf.DUMMYFUNCTION("IFERROR(
  VLOOKUP(
    A28,
    IMPORTRANGE(
      ""1ZygntHC1J6IxzKbTidmOyf5nUyW4GCLurHCjexrLm_o        "",
      ""HTMLキャッシュ!A:F""
    ),
    3,
    FALSE
  ),
  0
)
"),46050.83157407407)</f>
        <v>46050.83157</v>
      </c>
      <c r="F28" s="49">
        <f>IFERROR(__xludf.DUMMYFUNCTION("IFERROR(
  VLOOKUP(
    A28,
    IMPORTRANGE(
      ""1ZHMy3vVUd_0MrSduXTe1etBb1HNpAlGwQr006ljwMiM"",
      ""GSC最新!A:F""
    ),
    2,
    FALSE
  ),
  0
)
"),16.0)</f>
        <v>16</v>
      </c>
      <c r="G28" s="49">
        <f>IFERROR(__xludf.DUMMYFUNCTION("IFERROR(
  VLOOKUP(
    A28,
    IMPORTRANGE(
      ""1ZHMy3vVUd_0MrSduXTe1etBb1HNpAlGwQr006ljwMiM"",
      ""GSC最新!A:F""
    ),
    3,
    FALSE
  ),
  0
)
"),24.0)</f>
        <v>24</v>
      </c>
      <c r="H28" s="49">
        <f>IFERROR(__xludf.DUMMYFUNCTION("IFERROR(
  VLOOKUP(
    A28,
    IMPORTRANGE(
      ""1ZHMy3vVUd_0MrSduXTe1etBb1HNpAlGwQr006ljwMiM"",
      ""GSC最新!A:F""
    ),
    4,
    FALSE
  ),
  0
)
"),3.0)</f>
        <v>3</v>
      </c>
      <c r="I28" s="49">
        <f>IFERROR(__xludf.DUMMYFUNCTION("IFERROR(
  VLOOKUP(
    A28,
    IMPORTRANGE(
      ""1ZHMy3vVUd_0MrSduXTe1etBb1HNpAlGwQr006ljwMiM"",
      ""GSC最新!A:F""
    ),
    5,
    FALSE
  ),
  0
)
"),11.0)</f>
        <v>11</v>
      </c>
      <c r="J28" s="50">
        <f t="shared" ref="J28:K28" si="131">IFERROR(F28/H28,"-")</f>
        <v>5.333333333</v>
      </c>
      <c r="K28" s="50">
        <f t="shared" si="131"/>
        <v>2.181818182</v>
      </c>
      <c r="L28" s="6">
        <f>IFERROR(__xludf.DUMMYFUNCTION("IFERROR(
  VLOOKUP(
    A28,
    IMPORTRANGE(
      ""1ZHMy3vVUd_0MrSduXTe1etBb1HNpAlGwQr006ljwMiM"",
      ""GSC最新!A:R""
    ),
    7,
    FALSE
  ),
  0
)
"),14690.0)</f>
        <v>14690</v>
      </c>
      <c r="M28" s="6">
        <f>IFERROR(__xludf.DUMMYFUNCTION("IFERROR(
  VLOOKUP(
    A28,
    IMPORTRANGE(
      ""1ZHMy3vVUd_0MrSduXTe1etBb1HNpAlGwQr006ljwMiM"",
      ""GSC最新!A:R""
    ),
    10,
    FALSE
  ),
  0
)
"),32957.0)</f>
        <v>32957</v>
      </c>
      <c r="N28" s="6">
        <f>IFERROR(__xludf.DUMMYFUNCTION("IFERROR(
  VLOOKUP(
    A28,
    IMPORTRANGE(
      ""1ZHMy3vVUd_0MrSduXTe1etBb1HNpAlGwQr006ljwMiM"",
      ""GSC最新!A:R""
    ),
    13,
    FALSE
  ),
  0
)
"),3765.0)</f>
        <v>3765</v>
      </c>
      <c r="O28" s="6">
        <f>IFERROR(__xludf.DUMMYFUNCTION("IFERROR(
  VLOOKUP(
    A28,
    IMPORTRANGE(
      ""1ZHMy3vVUd_0MrSduXTe1etBb1HNpAlGwQr006ljwMiM"",
      ""GSC最新!A:R""
    ),
    16,
    FALSE
  ),
  0
)
"),12021.0)</f>
        <v>12021</v>
      </c>
      <c r="P28" s="51">
        <f t="shared" ref="P28:Q28" si="132">IFERROR(L28/N28,"-")</f>
        <v>3.901726428</v>
      </c>
      <c r="Q28" s="51">
        <f t="shared" si="132"/>
        <v>2.741618834</v>
      </c>
      <c r="R28" s="9">
        <f>IFERROR(__xludf.DUMMYFUNCTION("IFERROR(
  VLOOKUP(
    A28,
    IMPORTRANGE(
      ""1ZHMy3vVUd_0MrSduXTe1etBb1HNpAlGwQr006ljwMiM"",
      ""GSC最新!A:R""
    ),
    8,
    FALSE
  ),
  0
)
"),0.0010891763104152485)</f>
        <v>0.00108917631</v>
      </c>
      <c r="S28" s="9">
        <f>IFERROR(__xludf.DUMMYFUNCTION("IFERROR(
  VLOOKUP(
    A28,
    IMPORTRANGE(
      ""1ZHMy3vVUd_0MrSduXTe1etBb1HNpAlGwQr006ljwMiM"",
      ""GSC最新!A:R""
    ),
    11,
    FALSE
  ),
  0
)
"),7.282216221136632E-4)</f>
        <v>0.0007282216221</v>
      </c>
      <c r="T28" s="9">
        <f>IFERROR(__xludf.DUMMYFUNCTION("IFERROR(
  VLOOKUP(
    A28,
    IMPORTRANGE(
      ""1ZHMy3vVUd_0MrSduXTe1etBb1HNpAlGwQr006ljwMiM"",
      ""GSC最新!A:R""
    ),
    14,
    FALSE
  ),
  0
)
"),7.968127490039841E-4)</f>
        <v>0.000796812749</v>
      </c>
      <c r="U28" s="9">
        <f>IFERROR(__xludf.DUMMYFUNCTION("IFERROR(
  VLOOKUP(
    A28,
    IMPORTRANGE(
      ""1ZHMy3vVUd_0MrSduXTe1etBb1HNpAlGwQr006ljwMiM"",
      ""GSC最新!A:R""
    ),
    17,
    FALSE
  ),
  0
)
"),9.150653023874886E-4)</f>
        <v>0.0009150653024</v>
      </c>
      <c r="V28" s="9">
        <f t="shared" ref="V28:W28" si="133">IFERROR(R28-T28,"-")</f>
        <v>0.0002923635614</v>
      </c>
      <c r="W28" s="9">
        <f t="shared" si="133"/>
        <v>-0.0001868436803</v>
      </c>
      <c r="X28" s="65">
        <f>IFERROR(__xludf.DUMMYFUNCTION("IFERROR(
  VLOOKUP(
    A28,
    IMPORTRANGE(
      ""1ZHMy3vVUd_0MrSduXTe1etBb1HNpAlGwQr006ljwMiM"",
      ""GSC最新!A:R""
    ),
    9,
    FALSE
  ),
  0
)
"),5.508781484002723)</f>
        <v>5.508781484</v>
      </c>
      <c r="Y28" s="65">
        <f>IFERROR(__xludf.DUMMYFUNCTION("IFERROR(
  VLOOKUP(
    A28,
    IMPORTRANGE(
      ""1ZHMy3vVUd_0MrSduXTe1etBb1HNpAlGwQr006ljwMiM"",
      ""GSC最新!A:R""
    ),
    12,
    FALSE
  ),
  0
)
"),6.736656855903147)</f>
        <v>6.736656856</v>
      </c>
      <c r="Z28" s="65">
        <f>IFERROR(__xludf.DUMMYFUNCTION("IFERROR(
  VLOOKUP(
    A28,
    IMPORTRANGE(
      ""1ZHMy3vVUd_0MrSduXTe1etBb1HNpAlGwQr006ljwMiM"",
      ""GSC最新!A:R""
    ),
    15,
    FALSE
  ),
  0
)
"),6.351660026560425)</f>
        <v>6.351660027</v>
      </c>
      <c r="AA28" s="65">
        <f>IFERROR(__xludf.DUMMYFUNCTION("IFERROR(
  VLOOKUP(
    A28,
    IMPORTRANGE(
      ""1ZHMy3vVUd_0MrSduXTe1etBb1HNpAlGwQr006ljwMiM"",
      ""GSC最新!A:R""
    ),
    18,
    FALSE
  ),
  0
)
"),8.034023791697862)</f>
        <v>8.034023792</v>
      </c>
      <c r="AB28" s="65">
        <f t="shared" ref="AB28:AC28" si="134">X28-Z28</f>
        <v>-0.8428785426</v>
      </c>
      <c r="AC28" s="65">
        <f t="shared" si="134"/>
        <v>-1.297366936</v>
      </c>
      <c r="AD28" s="53">
        <f>IFERROR(__xludf.DUMMYFUNCTION("IFERROR(
  VLOOKUP(
    A28,
    IMPORTRANGE(
      ""1ZHMy3vVUd_0MrSduXTe1etBb1HNpAlGwQr006ljwMiM"",
      ""GSC最新!A:F""
    ),
    6,
    FALSE
  ),
  0
)
"),46081.0)</f>
        <v>46081</v>
      </c>
      <c r="AE28" s="54">
        <f>IFERROR(__xludf.DUMMYFUNCTION("IFERROR(
  VLOOKUP(
    A28,
    IMPORTRANGE(
      ""1SCYQd7_cobOYqT0r_F0IqD4tE4rYn5y8Eup4PJTH8es"",
      ""Snapshot!A:M""
    ),
    5,
    FALSE
  ),
  ""-""
)
"),0.0)</f>
        <v>0</v>
      </c>
      <c r="AF28" s="54">
        <f>IFERROR(__xludf.DUMMYFUNCTION("IFERROR(
  VLOOKUP(
    A28,
    IMPORTRANGE(
      ""1SCYQd7_cobOYqT0r_F0IqD4tE4rYn5y8Eup4PJTH8es"",
      ""Snapshot!A:M""
    ),
    6,
    FALSE
  ),
  0
)
"),0.0)</f>
        <v>0</v>
      </c>
      <c r="AG28" s="54">
        <f>IFERROR(__xludf.DUMMYFUNCTION("IFERROR(
  VLOOKUP(
    A28,
    IMPORTRANGE(
      ""1SCYQd7_cobOYqT0r_F0IqD4tE4rYn5y8Eup4PJTH8es"",
      ""Snapshot!A:M""
    ),
    7,
    FALSE
  ),
  0
)
"),3437.0)</f>
        <v>3437</v>
      </c>
      <c r="AH28" s="54">
        <f>IFERROR(__xludf.DUMMYFUNCTION("IFERROR(
  VLOOKUP(
    A28,
    IMPORTRANGE(
      ""1SCYQd7_cobOYqT0r_F0IqD4tE4rYn5y8Eup4PJTH8es"",
      ""Snapshot!A:M""
    ),
    8,
    FALSE
  ),
  0
)
"),1.0)</f>
        <v>1</v>
      </c>
      <c r="AI28" s="54">
        <f>IFERROR(__xludf.DUMMYFUNCTION("IFERROR(
  VLOOKUP(
    A28,
    IMPORTRANGE(
      ""1SCYQd7_cobOYqT0r_F0IqD4tE4rYn5y8Eup4PJTH8es"",
      ""Snapshot!A:M""
    ),
    9,
    FALSE
  ),
  0
)
"),4.0)</f>
        <v>4</v>
      </c>
      <c r="AJ28" s="54">
        <f>IFERROR(__xludf.DUMMYFUNCTION("IFERROR(
  VLOOKUP(
    A28,
    IMPORTRANGE(
      ""1SCYQd7_cobOYqT0r_F0IqD4tE4rYn5y8Eup4PJTH8es"",
      ""Snapshot!A:M""
    ),
    13,
    FALSE
  ),
  0
)
"),1.0)</f>
        <v>1</v>
      </c>
      <c r="AK28" s="49">
        <f t="shared" ref="AK28:AL28" si="135">LEN(C28)</f>
        <v>29</v>
      </c>
      <c r="AL28" s="49">
        <f t="shared" si="135"/>
        <v>62</v>
      </c>
    </row>
    <row r="29">
      <c r="A29" s="3" t="s">
        <v>1116</v>
      </c>
      <c r="B29" s="1" t="str">
        <f>IFERROR(__xludf.DUMMYFUNCTION("IFERROR(
  VLOOKUP(
    A29,
    IMPORTRANGE(
      ""1ZygntHC1J6IxzKbTidmOyf5nUyW4GCLurHCjexrLm_o"",
      ""HTMLキャッシュ!A:F""
    ),
    2,
    FALSE
  ),
  0
)
"),"MC")</f>
        <v>MC</v>
      </c>
      <c r="C29" s="1" t="str">
        <f>IFERROR(__xludf.DUMMYFUNCTION("IFERROR(
  VLOOKUP(
    A29,
    IMPORTRANGE(
      ""1ZygntHC1J6IxzKbTidmOyf5nUyW4GCLurHCjexrLm_o"",
      ""HTMLキャッシュ!A:F""
    ),
    5,
    FALSE
  ),
  0
)
"),"be動詞とは？中1でもわかる意味・使い方と過去形（was／were）の整理【Progress Book1】")</f>
        <v>be動詞とは？中1でもわかる意味・使い方と過去形（was／were）の整理【Progress Book1】</v>
      </c>
      <c r="D29" s="1" t="str">
        <f>IFERROR(__xludf.DUMMYFUNCTION("IFERROR(
  VLOOKUP(
    A29,
    IMPORTRANGE(
      ""1ZygntHC1J6IxzKbTidmOyf5nUyW4GCLurHCjexrLm_o        "",
      ""HTMLキャッシュ!A:F""
    ),
    6,
    FALSE
  ),
  0
)
"),"be動詞があいまいな中1向けに、am・is・areと過去形was・wereの意味と使い方を一気に整理。疑問文・否定文の作り方や「youのbe動詞」まで、プログレスBook1の例文でやさしく解説します。")</f>
        <v>be動詞があいまいな中1向けに、am・is・areと過去形was・wereの意味と使い方を一気に整理。疑問文・否定文の作り方や「youのbe動詞」まで、プログレスBook1の例文でやさしく解説します。</v>
      </c>
      <c r="E29" s="32">
        <f>IFERROR(__xludf.DUMMYFUNCTION("IFERROR(
  VLOOKUP(
    A29,
    IMPORTRANGE(
      ""1ZygntHC1J6IxzKbTidmOyf5nUyW4GCLurHCjexrLm_o        "",
      ""HTMLキャッシュ!A:F""
    ),
    3,
    FALSE
  ),
  0
)
"),46020.67491898148)</f>
        <v>46020.67492</v>
      </c>
      <c r="F29" s="49">
        <f>IFERROR(__xludf.DUMMYFUNCTION("IFERROR(
  VLOOKUP(
    A29,
    IMPORTRANGE(
      ""1ZHMy3vVUd_0MrSduXTe1etBb1HNpAlGwQr006ljwMiM"",
      ""GSC最新!A:F""
    ),
    2,
    FALSE
  ),
  0
)
"),15.0)</f>
        <v>15</v>
      </c>
      <c r="G29" s="49">
        <f>IFERROR(__xludf.DUMMYFUNCTION("IFERROR(
  VLOOKUP(
    A29,
    IMPORTRANGE(
      ""1ZHMy3vVUd_0MrSduXTe1etBb1HNpAlGwQr006ljwMiM"",
      ""GSC最新!A:F""
    ),
    3,
    FALSE
  ),
  0
)
"),23.0)</f>
        <v>23</v>
      </c>
      <c r="H29" s="49">
        <f>IFERROR(__xludf.DUMMYFUNCTION("IFERROR(
  VLOOKUP(
    A29,
    IMPORTRANGE(
      ""1ZHMy3vVUd_0MrSduXTe1etBb1HNpAlGwQr006ljwMiM"",
      ""GSC最新!A:F""
    ),
    4,
    FALSE
  ),
  0
)
"),0.0)</f>
        <v>0</v>
      </c>
      <c r="I29" s="49">
        <f>IFERROR(__xludf.DUMMYFUNCTION("IFERROR(
  VLOOKUP(
    A29,
    IMPORTRANGE(
      ""1ZHMy3vVUd_0MrSduXTe1etBb1HNpAlGwQr006ljwMiM"",
      ""GSC最新!A:F""
    ),
    5,
    FALSE
  ),
  0
)
"),2.0)</f>
        <v>2</v>
      </c>
      <c r="J29" s="50" t="str">
        <f t="shared" ref="J29:K29" si="136">IFERROR(F29/H29,"-")</f>
        <v>-</v>
      </c>
      <c r="K29" s="50">
        <f t="shared" si="136"/>
        <v>11.5</v>
      </c>
      <c r="L29" s="6">
        <f>IFERROR(__xludf.DUMMYFUNCTION("IFERROR(
  VLOOKUP(
    A29,
    IMPORTRANGE(
      ""1ZHMy3vVUd_0MrSduXTe1etBb1HNpAlGwQr006ljwMiM"",
      ""GSC最新!A:R""
    ),
    7,
    FALSE
  ),
  0
)
"),15136.0)</f>
        <v>15136</v>
      </c>
      <c r="M29" s="6">
        <f>IFERROR(__xludf.DUMMYFUNCTION("IFERROR(
  VLOOKUP(
    A29,
    IMPORTRANGE(
      ""1ZHMy3vVUd_0MrSduXTe1etBb1HNpAlGwQr006ljwMiM"",
      ""GSC最新!A:R""
    ),
    10,
    FALSE
  ),
  0
)
"),22932.0)</f>
        <v>22932</v>
      </c>
      <c r="N29" s="6">
        <f>IFERROR(__xludf.DUMMYFUNCTION("IFERROR(
  VLOOKUP(
    A29,
    IMPORTRANGE(
      ""1ZHMy3vVUd_0MrSduXTe1etBb1HNpAlGwQr006ljwMiM"",
      ""GSC最新!A:R""
    ),
    13,
    FALSE
  ),
  0
)
"),37.0)</f>
        <v>37</v>
      </c>
      <c r="O29" s="6">
        <f>IFERROR(__xludf.DUMMYFUNCTION("IFERROR(
  VLOOKUP(
    A29,
    IMPORTRANGE(
      ""1ZHMy3vVUd_0MrSduXTe1etBb1HNpAlGwQr006ljwMiM"",
      ""GSC最新!A:R""
    ),
    16,
    FALSE
  ),
  0
)
"),135.0)</f>
        <v>135</v>
      </c>
      <c r="P29" s="51">
        <f t="shared" ref="P29:Q29" si="137">IFERROR(L29/N29,"-")</f>
        <v>409.0810811</v>
      </c>
      <c r="Q29" s="51">
        <f t="shared" si="137"/>
        <v>169.8666667</v>
      </c>
      <c r="R29" s="9">
        <f>IFERROR(__xludf.DUMMYFUNCTION("IFERROR(
  VLOOKUP(
    A29,
    IMPORTRANGE(
      ""1ZHMy3vVUd_0MrSduXTe1etBb1HNpAlGwQr006ljwMiM"",
      ""GSC最新!A:R""
    ),
    8,
    FALSE
  ),
  0
)
"),9.91014799154334E-4)</f>
        <v>0.0009910147992</v>
      </c>
      <c r="S29" s="9">
        <f>IFERROR(__xludf.DUMMYFUNCTION("IFERROR(
  VLOOKUP(
    A29,
    IMPORTRANGE(
      ""1ZHMy3vVUd_0MrSduXTe1etBb1HNpAlGwQr006ljwMiM"",
      ""GSC最新!A:R""
    ),
    11,
    FALSE
  ),
  0
)
"),0.0010029652886795744)</f>
        <v>0.001002965289</v>
      </c>
      <c r="T29" s="9">
        <f>IFERROR(__xludf.DUMMYFUNCTION("IFERROR(
  VLOOKUP(
    A29,
    IMPORTRANGE(
      ""1ZHMy3vVUd_0MrSduXTe1etBb1HNpAlGwQr006ljwMiM"",
      ""GSC最新!A:R""
    ),
    14,
    FALSE
  ),
  0
)
"),0.0)</f>
        <v>0</v>
      </c>
      <c r="U29" s="9">
        <f>IFERROR(__xludf.DUMMYFUNCTION("IFERROR(
  VLOOKUP(
    A29,
    IMPORTRANGE(
      ""1ZHMy3vVUd_0MrSduXTe1etBb1HNpAlGwQr006ljwMiM"",
      ""GSC最新!A:R""
    ),
    17,
    FALSE
  ),
  0
)
"),0.014814814814814815)</f>
        <v>0.01481481481</v>
      </c>
      <c r="V29" s="9">
        <f t="shared" ref="V29:W29" si="138">IFERROR(R29-T29,"-")</f>
        <v>0.0009910147992</v>
      </c>
      <c r="W29" s="9">
        <f t="shared" si="138"/>
        <v>-0.01381184953</v>
      </c>
      <c r="X29" s="65">
        <f>IFERROR(__xludf.DUMMYFUNCTION("IFERROR(
  VLOOKUP(
    A29,
    IMPORTRANGE(
      ""1ZHMy3vVUd_0MrSduXTe1etBb1HNpAlGwQr006ljwMiM"",
      ""GSC最新!A:R""
    ),
    9,
    FALSE
  ),
  0
)
"),4.489561310782241)</f>
        <v>4.489561311</v>
      </c>
      <c r="Y29" s="65">
        <f>IFERROR(__xludf.DUMMYFUNCTION("IFERROR(
  VLOOKUP(
    A29,
    IMPORTRANGE(
      ""1ZHMy3vVUd_0MrSduXTe1etBb1HNpAlGwQr006ljwMiM"",
      ""GSC最新!A:R""
    ),
    12,
    FALSE
  ),
  0
)
"),4.2601168672597245)</f>
        <v>4.260116867</v>
      </c>
      <c r="Z29" s="65">
        <f>IFERROR(__xludf.DUMMYFUNCTION("IFERROR(
  VLOOKUP(
    A29,
    IMPORTRANGE(
      ""1ZHMy3vVUd_0MrSduXTe1etBb1HNpAlGwQr006ljwMiM"",
      ""GSC最新!A:R""
    ),
    15,
    FALSE
  ),
  0
)
"),10.108108108108109)</f>
        <v>10.10810811</v>
      </c>
      <c r="AA29" s="65">
        <f>IFERROR(__xludf.DUMMYFUNCTION("IFERROR(
  VLOOKUP(
    A29,
    IMPORTRANGE(
      ""1ZHMy3vVUd_0MrSduXTe1etBb1HNpAlGwQr006ljwMiM"",
      ""GSC最新!A:R""
    ),
    18,
    FALSE
  ),
  0
)
"),17.622222222222224)</f>
        <v>17.62222222</v>
      </c>
      <c r="AB29" s="65">
        <f t="shared" ref="AB29:AC29" si="139">X29-Z29</f>
        <v>-5.618546797</v>
      </c>
      <c r="AC29" s="65">
        <f t="shared" si="139"/>
        <v>-13.36210535</v>
      </c>
      <c r="AD29" s="53">
        <f>IFERROR(__xludf.DUMMYFUNCTION("IFERROR(
  VLOOKUP(
    A29,
    IMPORTRANGE(
      ""1ZHMy3vVUd_0MrSduXTe1etBb1HNpAlGwQr006ljwMiM"",
      ""GSC最新!A:F""
    ),
    6,
    FALSE
  ),
  0
)
"),46081.0)</f>
        <v>46081</v>
      </c>
      <c r="AE29" s="54">
        <f>IFERROR(__xludf.DUMMYFUNCTION("IFERROR(
  VLOOKUP(
    A29,
    IMPORTRANGE(
      ""1SCYQd7_cobOYqT0r_F0IqD4tE4rYn5y8Eup4PJTH8es"",
      ""Snapshot!A:M""
    ),
    5,
    FALSE
  ),
  ""-""
)
"),1.0)</f>
        <v>1</v>
      </c>
      <c r="AF29" s="54">
        <f>IFERROR(__xludf.DUMMYFUNCTION("IFERROR(
  VLOOKUP(
    A29,
    IMPORTRANGE(
      ""1SCYQd7_cobOYqT0r_F0IqD4tE4rYn5y8Eup4PJTH8es"",
      ""Snapshot!A:M""
    ),
    6,
    FALSE
  ),
  0
)
"),5.0)</f>
        <v>5</v>
      </c>
      <c r="AG29" s="54">
        <f>IFERROR(__xludf.DUMMYFUNCTION("IFERROR(
  VLOOKUP(
    A29,
    IMPORTRANGE(
      ""1SCYQd7_cobOYqT0r_F0IqD4tE4rYn5y8Eup4PJTH8es"",
      ""Snapshot!A:M""
    ),
    7,
    FALSE
  ),
  0
)
"),1988.0)</f>
        <v>1988</v>
      </c>
      <c r="AH29" s="54">
        <f>IFERROR(__xludf.DUMMYFUNCTION("IFERROR(
  VLOOKUP(
    A29,
    IMPORTRANGE(
      ""1SCYQd7_cobOYqT0r_F0IqD4tE4rYn5y8Eup4PJTH8es"",
      ""Snapshot!A:M""
    ),
    8,
    FALSE
  ),
  0
)
"),1.0)</f>
        <v>1</v>
      </c>
      <c r="AI29" s="54">
        <f>IFERROR(__xludf.DUMMYFUNCTION("IFERROR(
  VLOOKUP(
    A29,
    IMPORTRANGE(
      ""1SCYQd7_cobOYqT0r_F0IqD4tE4rYn5y8Eup4PJTH8es"",
      ""Snapshot!A:M""
    ),
    9,
    FALSE
  ),
  0
)
"),4.0)</f>
        <v>4</v>
      </c>
      <c r="AJ29" s="54">
        <f>IFERROR(__xludf.DUMMYFUNCTION("IFERROR(
  VLOOKUP(
    A29,
    IMPORTRANGE(
      ""1SCYQd7_cobOYqT0r_F0IqD4tE4rYn5y8Eup4PJTH8es"",
      ""Snapshot!A:M""
    ),
    13,
    FALSE
  ),
  0
)
"),1.0)</f>
        <v>1</v>
      </c>
      <c r="AK29" s="49">
        <f t="shared" ref="AK29:AL29" si="140">LEN(C29)</f>
        <v>53</v>
      </c>
      <c r="AL29" s="49">
        <f t="shared" si="140"/>
        <v>100</v>
      </c>
    </row>
    <row r="30">
      <c r="A30" s="3" t="s">
        <v>1117</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"),"had/has/have to意味｜否定疑問の形｜中学英語")</f>
        <v>had/has/have to意味｜否定疑問の形｜中学英語</v>
      </c>
      <c r="D30" s="1" t="str">
        <f>IFERROR(__xludf.DUMMYFUNCTION("IFERROR(
  VLOOKUP(
    A30,
    IMPORTRANGE(
      ""1ZygntHC1J6IxzKbTidmOyf5nUyW4GCLurHCjexrLm_o        "",
      ""HTMLキャッシュ!A:F""
    ),
    6,
    FALSE
  ),
  0
)
"),"had to＝過去の必要。have/has/had toの形、否定didn&amp;#039;t have to、疑問Did…have to、原形とmust違いを例文で整理。")</f>
        <v>had to＝過去の必要。have/has/had toの形、否定didn&amp;#039;t have to、疑問Did…have to、原形とmust違いを例文で整理。</v>
      </c>
      <c r="E30" s="32">
        <f>IFERROR(__xludf.DUMMYFUNCTION("IFERROR(
  VLOOKUP(
    A30,
    IMPORTRANGE(
      ""1ZygntHC1J6IxzKbTidmOyf5nUyW4GCLurHCjexrLm_o        "",
      ""HTMLキャッシュ!A:F""
    ),
    3,
    FALSE
  ),
  0
)
"),46046.584189814814)</f>
        <v>46046.58419</v>
      </c>
      <c r="F30" s="49">
        <f>IFERROR(__xludf.DUMMYFUNCTION("IFERROR(
  VLOOKUP(
    A30,
    IMPORTRANGE(
      ""1ZHMy3vVUd_0MrSduXTe1etBb1HNpAlGwQr006ljwMiM"",
      ""GSC最新!A:F""
    ),
    2,
    FALSE
  ),
  0
)
"),7.0)</f>
        <v>7</v>
      </c>
      <c r="G30" s="49">
        <f>IFERROR(__xludf.DUMMYFUNCTION("IFERROR(
  VLOOKUP(
    A30,
    IMPORTRANGE(
      ""1ZHMy3vVUd_0MrSduXTe1etBb1HNpAlGwQr006ljwMiM"",
      ""GSC最新!A:F""
    ),
    3,
    FALSE
  ),
  0
)
"),22.0)</f>
        <v>22</v>
      </c>
      <c r="H30" s="49">
        <f>IFERROR(__xludf.DUMMYFUNCTION("IFERROR(
  VLOOKUP(
    A30,
    IMPORTRANGE(
      ""1ZHMy3vVUd_0MrSduXTe1etBb1HNpAlGwQr006ljwMiM"",
      ""GSC最新!A:F""
    ),
    4,
    FALSE
  ),
  0
)
"),3.0)</f>
        <v>3</v>
      </c>
      <c r="I30" s="49">
        <f>IFERROR(__xludf.DUMMYFUNCTION("IFERROR(
  VLOOKUP(
    A30,
    IMPORTRANGE(
      ""1ZHMy3vVUd_0MrSduXTe1etBb1HNpAlGwQr006ljwMiM"",
      ""GSC最新!A:F""
    ),
    5,
    FALSE
  ),
  0
)
"),11.0)</f>
        <v>11</v>
      </c>
      <c r="J30" s="50">
        <f t="shared" ref="J30:K30" si="141">IFERROR(F30/H30,"-")</f>
        <v>2.333333333</v>
      </c>
      <c r="K30" s="50">
        <f t="shared" si="141"/>
        <v>2</v>
      </c>
      <c r="L30" s="6">
        <f>IFERROR(__xludf.DUMMYFUNCTION("IFERROR(
  VLOOKUP(
    A30,
    IMPORTRANGE(
      ""1ZHMy3vVUd_0MrSduXTe1etBb1HNpAlGwQr006ljwMiM"",
      ""GSC最新!A:R""
    ),
    7,
    FALSE
  ),
  0
)
"),7049.0)</f>
        <v>7049</v>
      </c>
      <c r="M30" s="6">
        <f>IFERROR(__xludf.DUMMYFUNCTION("IFERROR(
  VLOOKUP(
    A30,
    IMPORTRANGE(
      ""1ZHMy3vVUd_0MrSduXTe1etBb1HNpAlGwQr006ljwMiM"",
      ""GSC最新!A:R""
    ),
    10,
    FALSE
  ),
  0
)
"),17307.0)</f>
        <v>17307</v>
      </c>
      <c r="N30" s="6">
        <f>IFERROR(__xludf.DUMMYFUNCTION("IFERROR(
  VLOOKUP(
    A30,
    IMPORTRANGE(
      ""1ZHMy3vVUd_0MrSduXTe1etBb1HNpAlGwQr006ljwMiM"",
      ""GSC最新!A:R""
    ),
    13,
    FALSE
  ),
  0
)
"),566.0)</f>
        <v>566</v>
      </c>
      <c r="O30" s="6">
        <f>IFERROR(__xludf.DUMMYFUNCTION("IFERROR(
  VLOOKUP(
    A30,
    IMPORTRANGE(
      ""1ZHMy3vVUd_0MrSduXTe1etBb1HNpAlGwQr006ljwMiM"",
      ""GSC最新!A:R""
    ),
    16,
    FALSE
  ),
  0
)
"),1682.0)</f>
        <v>1682</v>
      </c>
      <c r="P30" s="51">
        <f t="shared" ref="P30:Q30" si="142">IFERROR(L30/N30,"-")</f>
        <v>12.4540636</v>
      </c>
      <c r="Q30" s="51">
        <f t="shared" si="142"/>
        <v>10.28953627</v>
      </c>
      <c r="R30" s="9">
        <f>IFERROR(__xludf.DUMMYFUNCTION("IFERROR(
  VLOOKUP(
    A30,
    IMPORTRANGE(
      ""1ZHMy3vVUd_0MrSduXTe1etBb1HNpAlGwQr006ljwMiM"",
      ""GSC最新!A:R""
    ),
    8,
    FALSE
  ),
  0
)
"),9.930486593843098E-4)</f>
        <v>0.0009930486594</v>
      </c>
      <c r="S30" s="9">
        <f>IFERROR(__xludf.DUMMYFUNCTION("IFERROR(
  VLOOKUP(
    A30,
    IMPORTRANGE(
      ""1ZHMy3vVUd_0MrSduXTe1etBb1HNpAlGwQr006ljwMiM"",
      ""GSC最新!A:R""
    ),
    11,
    FALSE
  ),
  0
)
"),0.0012711619575894147)</f>
        <v>0.001271161958</v>
      </c>
      <c r="T30" s="9">
        <f>IFERROR(__xludf.DUMMYFUNCTION("IFERROR(
  VLOOKUP(
    A30,
    IMPORTRANGE(
      ""1ZHMy3vVUd_0MrSduXTe1etBb1HNpAlGwQr006ljwMiM"",
      ""GSC最新!A:R""
    ),
    14,
    FALSE
  ),
  0
)
"),0.00530035335689046)</f>
        <v>0.005300353357</v>
      </c>
      <c r="U30" s="9">
        <f>IFERROR(__xludf.DUMMYFUNCTION("IFERROR(
  VLOOKUP(
    A30,
    IMPORTRANGE(
      ""1ZHMy3vVUd_0MrSduXTe1etBb1HNpAlGwQr006ljwMiM"",
      ""GSC最新!A:R""
    ),
    17,
    FALSE
  ),
  0
)
"),0.006539833531510107)</f>
        <v>0.006539833532</v>
      </c>
      <c r="V30" s="9">
        <f t="shared" ref="V30:W30" si="143">IFERROR(R30-T30,"-")</f>
        <v>-0.004307304698</v>
      </c>
      <c r="W30" s="9">
        <f t="shared" si="143"/>
        <v>-0.005268671574</v>
      </c>
      <c r="X30" s="65">
        <f>IFERROR(__xludf.DUMMYFUNCTION("IFERROR(
  VLOOKUP(
    A30,
    IMPORTRANGE(
      ""1ZHMy3vVUd_0MrSduXTe1etBb1HNpAlGwQr006ljwMiM"",
      ""GSC最新!A:R""
    ),
    9,
    FALSE
  ),
  0
)
"),6.067385444743936)</f>
        <v>6.067385445</v>
      </c>
      <c r="Y30" s="65">
        <f>IFERROR(__xludf.DUMMYFUNCTION("IFERROR(
  VLOOKUP(
    A30,
    IMPORTRANGE(
      ""1ZHMy3vVUd_0MrSduXTe1etBb1HNpAlGwQr006ljwMiM"",
      ""GSC最新!A:R""
    ),
    12,
    FALSE
  ),
  0
)
"),6.72126885075403)</f>
        <v>6.721268851</v>
      </c>
      <c r="Z30" s="65">
        <f>IFERROR(__xludf.DUMMYFUNCTION("IFERROR(
  VLOOKUP(
    A30,
    IMPORTRANGE(
      ""1ZHMy3vVUd_0MrSduXTe1etBb1HNpAlGwQr006ljwMiM"",
      ""GSC最新!A:R""
    ),
    15,
    FALSE
  ),
  0
)
"),10.226148409893993)</f>
        <v>10.22614841</v>
      </c>
      <c r="AA30" s="65">
        <f>IFERROR(__xludf.DUMMYFUNCTION("IFERROR(
  VLOOKUP(
    A30,
    IMPORTRANGE(
      ""1ZHMy3vVUd_0MrSduXTe1etBb1HNpAlGwQr006ljwMiM"",
      ""GSC最新!A:R""
    ),
    18,
    FALSE
  ),
  0
)
"),12.72116527942925)</f>
        <v>12.72116528</v>
      </c>
      <c r="AB30" s="65">
        <f t="shared" ref="AB30:AC30" si="144">X30-Z30</f>
        <v>-4.158762965</v>
      </c>
      <c r="AC30" s="65">
        <f t="shared" si="144"/>
        <v>-5.999896429</v>
      </c>
      <c r="AD30" s="53">
        <f>IFERROR(__xludf.DUMMYFUNCTION("IFERROR(
  VLOOKUP(
    A30,
    IMPORTRANGE(
      ""1ZHMy3vVUd_0MrSduXTe1etBb1HNpAlGwQr006ljwMiM"",
      ""GSC最新!A:F""
    ),
    6,
    FALSE
  ),
  0
)
"),46081.0)</f>
        <v>46081</v>
      </c>
      <c r="AE30" s="54">
        <f>IFERROR(__xludf.DUMMYFUNCTION("IFERROR(
  VLOOKUP(
    A30,
    IMPORTRANGE(
      ""1SCYQd7_cobOYqT0r_F0IqD4tE4rYn5y8Eup4PJTH8es"",
      ""Snapshot!A:M""
    ),
    5,
    FALSE
  ),
  ""-""
)
"),0.0)</f>
        <v>0</v>
      </c>
      <c r="AF30" s="54">
        <f>IFERROR(__xludf.DUMMYFUNCTION("IFERROR(
  VLOOKUP(
    A30,
    IMPORTRANGE(
      ""1SCYQd7_cobOYqT0r_F0IqD4tE4rYn5y8Eup4PJTH8es"",
      ""Snapshot!A:M""
    ),
    6,
    FALSE
  ),
  0
)
"),8.0)</f>
        <v>8</v>
      </c>
      <c r="AG30" s="54">
        <f>IFERROR(__xludf.DUMMYFUNCTION("IFERROR(
  VLOOKUP(
    A30,
    IMPORTRANGE(
      ""1SCYQd7_cobOYqT0r_F0IqD4tE4rYn5y8Eup4PJTH8es"",
      ""Snapshot!A:M""
    ),
    7,
    FALSE
  ),
  0
)
"),3910.0)</f>
        <v>3910</v>
      </c>
      <c r="AH30" s="54">
        <f>IFERROR(__xludf.DUMMYFUNCTION("IFERROR(
  VLOOKUP(
    A30,
    IMPORTRANGE(
      ""1SCYQd7_cobOYqT0r_F0IqD4tE4rYn5y8Eup4PJTH8es"",
      ""Snapshot!A:M""
    ),
    8,
    FALSE
  ),
  0
)
"),1.0)</f>
        <v>1</v>
      </c>
      <c r="AI30" s="54">
        <f>IFERROR(__xludf.DUMMYFUNCTION("IFERROR(
  VLOOKUP(
    A30,
    IMPORTRANGE(
      ""1SCYQd7_cobOYqT0r_F0IqD4tE4rYn5y8Eup4PJTH8es"",
      ""Snapshot!A:M""
    ),
    9,
    FALSE
  ),
  0
)
"),4.0)</f>
        <v>4</v>
      </c>
      <c r="AJ30" s="54">
        <f>IFERROR(__xludf.DUMMYFUNCTION("IFERROR(
  VLOOKUP(
    A30,
    IMPORTRANGE(
      ""1SCYQd7_cobOYqT0r_F0IqD4tE4rYn5y8Eup4PJTH8es"",
      ""Snapshot!A:M""
    ),
    13,
    FALSE
  ),
  0
)
"),1.0)</f>
        <v>1</v>
      </c>
      <c r="AK30" s="49">
        <f t="shared" ref="AK30:AL30" si="145">LEN(C30)</f>
        <v>29</v>
      </c>
      <c r="AL30" s="49">
        <f t="shared" si="145"/>
        <v>83</v>
      </c>
    </row>
    <row r="31">
      <c r="A31" s="3" t="s">
        <v>1118</v>
      </c>
      <c r="B31" s="1" t="str">
        <f>IFERROR(__xludf.DUMMYFUNCTION("IFERROR(
  VLOOKUP(
    A31,
    IMPORTRANGE(
      ""1ZygntHC1J6IxzKbTidmOyf5nUyW4GCLurHCjexrLm_o"",
      ""HTMLキャッシュ!A:F""
    ),
    2,
    FALSE
  ),
  0
)
"),"MC")</f>
        <v>MC</v>
      </c>
      <c r="C31" s="1" t="str">
        <f>IFERROR(__xludf.DUMMYFUNCTION("IFERROR(
  VLOOKUP(
    A31,
    IMPORTRANGE(
      ""1ZygntHC1J6IxzKbTidmOyf5nUyW4GCLurHCjexrLm_o"",
      ""HTMLキャッシュ!A:F""
    ),
    5,
    FALSE
  ),
  0
)
"),"前置詞句とは？形容詞・副詞のどちらの働きかを中学英語で整理")</f>
        <v>前置詞句とは？形容詞・副詞のどちらの働きかを中学英語で整理</v>
      </c>
      <c r="D31" s="1" t="str">
        <f>IFERROR(__xludf.DUMMYFUNCTION("IFERROR(
  VLOOKUP(
    A31,
    IMPORTRANGE(
      ""1ZygntHC1J6IxzKbTidmOyf5nUyW4GCLurHCjexrLm_o        "",
      ""HTMLキャッシュ!A:F""
    ),
    6,
    FALSE
  ),
  0
)
"),"前置詞句とは「前置詞＋名詞」でできる語のかたまりです。本記事では、前置詞句が名詞を修飾する形容詞的用法か、動詞や文全体を修飾する副詞的用法かを、中学英語レベルの例文で分かりやすく整理します。")</f>
        <v>前置詞句とは「前置詞＋名詞」でできる語のかたまりです。本記事では、前置詞句が名詞を修飾する形容詞的用法か、動詞や文全体を修飾する副詞的用法かを、中学英語レベルの例文で分かりやすく整理します。</v>
      </c>
      <c r="E31" s="32">
        <f>IFERROR(__xludf.DUMMYFUNCTION("IFERROR(
  VLOOKUP(
    A31,
    IMPORTRANGE(
      ""1ZygntHC1J6IxzKbTidmOyf5nUyW4GCLurHCjexrLm_o        "",
      ""HTMLキャッシュ!A:F""
    ),
    3,
    FALSE
  ),
  0
)
"),46013.559270833335)</f>
        <v>46013.55927</v>
      </c>
      <c r="F31" s="49">
        <f>IFERROR(__xludf.DUMMYFUNCTION("IFERROR(
  VLOOKUP(
    A31,
    IMPORTRANGE(
      ""1ZHMy3vVUd_0MrSduXTe1etBb1HNpAlGwQr006ljwMiM"",
      ""GSC最新!A:F""
    ),
    2,
    FALSE
  ),
  0
)
"),4.0)</f>
        <v>4</v>
      </c>
      <c r="G31" s="49">
        <f>IFERROR(__xludf.DUMMYFUNCTION("IFERROR(
  VLOOKUP(
    A31,
    IMPORTRANGE(
      ""1ZHMy3vVUd_0MrSduXTe1etBb1HNpAlGwQr006ljwMiM"",
      ""GSC最新!A:F""
    ),
    3,
    FALSE
  ),
  0
)
"),17.0)</f>
        <v>17</v>
      </c>
      <c r="H31" s="49">
        <f>IFERROR(__xludf.DUMMYFUNCTION("IFERROR(
  VLOOKUP(
    A31,
    IMPORTRANGE(
      ""1ZHMy3vVUd_0MrSduXTe1etBb1HNpAlGwQr006ljwMiM"",
      ""GSC最新!A:F""
    ),
    4,
    FALSE
  ),
  0
)
"),1.0)</f>
        <v>1</v>
      </c>
      <c r="I31" s="49">
        <f>IFERROR(__xludf.DUMMYFUNCTION("IFERROR(
  VLOOKUP(
    A31,
    IMPORTRANGE(
      ""1ZHMy3vVUd_0MrSduXTe1etBb1HNpAlGwQr006ljwMiM"",
      ""GSC最新!A:F""
    ),
    5,
    FALSE
  ),
  0
)
"),11.0)</f>
        <v>11</v>
      </c>
      <c r="J31" s="50">
        <f t="shared" ref="J31:K31" si="146">IFERROR(F31/H31,"-")</f>
        <v>4</v>
      </c>
      <c r="K31" s="50">
        <f t="shared" si="146"/>
        <v>1.545454545</v>
      </c>
      <c r="L31" s="6">
        <f>IFERROR(__xludf.DUMMYFUNCTION("IFERROR(
  VLOOKUP(
    A31,
    IMPORTRANGE(
      ""1ZHMy3vVUd_0MrSduXTe1etBb1HNpAlGwQr006ljwMiM"",
      ""GSC最新!A:R""
    ),
    7,
    FALSE
  ),
  0
)
"),1804.0)</f>
        <v>1804</v>
      </c>
      <c r="M31" s="6">
        <f>IFERROR(__xludf.DUMMYFUNCTION("IFERROR(
  VLOOKUP(
    A31,
    IMPORTRANGE(
      ""1ZHMy3vVUd_0MrSduXTe1etBb1HNpAlGwQr006ljwMiM"",
      ""GSC最新!A:R""
    ),
    10,
    FALSE
  ),
  0
)
"),4966.0)</f>
        <v>4966</v>
      </c>
      <c r="N31" s="6">
        <f>IFERROR(__xludf.DUMMYFUNCTION("IFERROR(
  VLOOKUP(
    A31,
    IMPORTRANGE(
      ""1ZHMy3vVUd_0MrSduXTe1etBb1HNpAlGwQr006ljwMiM"",
      ""GSC最新!A:R""
    ),
    13,
    FALSE
  ),
  0
)
"),434.0)</f>
        <v>434</v>
      </c>
      <c r="O31" s="6">
        <f>IFERROR(__xludf.DUMMYFUNCTION("IFERROR(
  VLOOKUP(
    A31,
    IMPORTRANGE(
      ""1ZHMy3vVUd_0MrSduXTe1etBb1HNpAlGwQr006ljwMiM"",
      ""GSC最新!A:R""
    ),
    16,
    FALSE
  ),
  0
)
"),1257.0)</f>
        <v>1257</v>
      </c>
      <c r="P31" s="51">
        <f t="shared" ref="P31:Q31" si="147">IFERROR(L31/N31,"-")</f>
        <v>4.156682028</v>
      </c>
      <c r="Q31" s="51">
        <f t="shared" si="147"/>
        <v>3.950676213</v>
      </c>
      <c r="R31" s="9">
        <f>IFERROR(__xludf.DUMMYFUNCTION("IFERROR(
  VLOOKUP(
    A31,
    IMPORTRANGE(
      ""1ZHMy3vVUd_0MrSduXTe1etBb1HNpAlGwQr006ljwMiM"",
      ""GSC最新!A:R""
    ),
    8,
    FALSE
  ),
  0
)
"),0.0022172949002217295)</f>
        <v>0.0022172949</v>
      </c>
      <c r="S31" s="9">
        <f>IFERROR(__xludf.DUMMYFUNCTION("IFERROR(
  VLOOKUP(
    A31,
    IMPORTRANGE(
      ""1ZHMy3vVUd_0MrSduXTe1etBb1HNpAlGwQr006ljwMiM"",
      ""GSC最新!A:R""
    ),
    11,
    FALSE
  ),
  0
)
"),0.00342327829238824)</f>
        <v>0.003423278292</v>
      </c>
      <c r="T31" s="9">
        <f>IFERROR(__xludf.DUMMYFUNCTION("IFERROR(
  VLOOKUP(
    A31,
    IMPORTRANGE(
      ""1ZHMy3vVUd_0MrSduXTe1etBb1HNpAlGwQr006ljwMiM"",
      ""GSC最新!A:R""
    ),
    14,
    FALSE
  ),
  0
)
"),0.002304147465437788)</f>
        <v>0.002304147465</v>
      </c>
      <c r="U31" s="9">
        <f>IFERROR(__xludf.DUMMYFUNCTION("IFERROR(
  VLOOKUP(
    A31,
    IMPORTRANGE(
      ""1ZHMy3vVUd_0MrSduXTe1etBb1HNpAlGwQr006ljwMiM"",
      ""GSC最新!A:R""
    ),
    17,
    FALSE
  ),
  0
)
"),0.008750994431185362)</f>
        <v>0.008750994431</v>
      </c>
      <c r="V31" s="9">
        <f t="shared" ref="V31:W31" si="148">IFERROR(R31-T31,"-")</f>
        <v>-0.00008685256522</v>
      </c>
      <c r="W31" s="9">
        <f t="shared" si="148"/>
        <v>-0.005327716139</v>
      </c>
      <c r="X31" s="65">
        <f>IFERROR(__xludf.DUMMYFUNCTION("IFERROR(
  VLOOKUP(
    A31,
    IMPORTRANGE(
      ""1ZHMy3vVUd_0MrSduXTe1etBb1HNpAlGwQr006ljwMiM"",
      ""GSC最新!A:R""
    ),
    9,
    FALSE
  ),
  0
)
"),5.818181818181818)</f>
        <v>5.818181818</v>
      </c>
      <c r="Y31" s="65">
        <f>IFERROR(__xludf.DUMMYFUNCTION("IFERROR(
  VLOOKUP(
    A31,
    IMPORTRANGE(
      ""1ZHMy3vVUd_0MrSduXTe1etBb1HNpAlGwQr006ljwMiM"",
      ""GSC最新!A:R""
    ),
    12,
    FALSE
  ),
  0
)
"),6.261780104712042)</f>
        <v>6.261780105</v>
      </c>
      <c r="Z31" s="65">
        <f>IFERROR(__xludf.DUMMYFUNCTION("IFERROR(
  VLOOKUP(
    A31,
    IMPORTRANGE(
      ""1ZHMy3vVUd_0MrSduXTe1etBb1HNpAlGwQr006ljwMiM"",
      ""GSC最新!A:R""
    ),
    15,
    FALSE
  ),
  0
)
"),11.610599078341014)</f>
        <v>11.61059908</v>
      </c>
      <c r="AA31" s="65">
        <f>IFERROR(__xludf.DUMMYFUNCTION("IFERROR(
  VLOOKUP(
    A31,
    IMPORTRANGE(
      ""1ZHMy3vVUd_0MrSduXTe1etBb1HNpAlGwQr006ljwMiM"",
      ""GSC最新!A:R""
    ),
    18,
    FALSE
  ),
  0
)
"),11.270485282418457)</f>
        <v>11.27048528</v>
      </c>
      <c r="AB31" s="65">
        <f t="shared" ref="AB31:AC31" si="149">X31-Z31</f>
        <v>-5.79241726</v>
      </c>
      <c r="AC31" s="65">
        <f t="shared" si="149"/>
        <v>-5.008705178</v>
      </c>
      <c r="AD31" s="53">
        <f>IFERROR(__xludf.DUMMYFUNCTION("IFERROR(
  VLOOKUP(
    A31,
    IMPORTRANGE(
      ""1ZHMy3vVUd_0MrSduXTe1etBb1HNpAlGwQr006ljwMiM"",
      ""GSC最新!A:F""
    ),
    6,
    FALSE
  ),
  0
)
"),46081.0)</f>
        <v>46081</v>
      </c>
      <c r="AE31" s="54">
        <f>IFERROR(__xludf.DUMMYFUNCTION("IFERROR(
  VLOOKUP(
    A31,
    IMPORTRANGE(
      ""1SCYQd7_cobOYqT0r_F0IqD4tE4rYn5y8Eup4PJTH8es"",
      ""Snapshot!A:M""
    ),
    5,
    FALSE
  ),
  ""-""
)
"),0.0)</f>
        <v>0</v>
      </c>
      <c r="AF31" s="54">
        <f>IFERROR(__xludf.DUMMYFUNCTION("IFERROR(
  VLOOKUP(
    A31,
    IMPORTRANGE(
      ""1SCYQd7_cobOYqT0r_F0IqD4tE4rYn5y8Eup4PJTH8es"",
      ""Snapshot!A:M""
    ),
    6,
    FALSE
  ),
  0
)
"),7.0)</f>
        <v>7</v>
      </c>
      <c r="AG31" s="54">
        <f>IFERROR(__xludf.DUMMYFUNCTION("IFERROR(
  VLOOKUP(
    A31,
    IMPORTRANGE(
      ""1SCYQd7_cobOYqT0r_F0IqD4tE4rYn5y8Eup4PJTH8es"",
      ""Snapshot!A:M""
    ),
    7,
    FALSE
  ),
  0
)
"),1293.0)</f>
        <v>1293</v>
      </c>
      <c r="AH31" s="54">
        <f>IFERROR(__xludf.DUMMYFUNCTION("IFERROR(
  VLOOKUP(
    A31,
    IMPORTRANGE(
      ""1SCYQd7_cobOYqT0r_F0IqD4tE4rYn5y8Eup4PJTH8es"",
      ""Snapshot!A:M""
    ),
    8,
    FALSE
  ),
  0
)
"),1.0)</f>
        <v>1</v>
      </c>
      <c r="AI31" s="54">
        <f>IFERROR(__xludf.DUMMYFUNCTION("IFERROR(
  VLOOKUP(
    A31,
    IMPORTRANGE(
      ""1SCYQd7_cobOYqT0r_F0IqD4tE4rYn5y8Eup4PJTH8es"",
      ""Snapshot!A:M""
    ),
    9,
    FALSE
  ),
  0
)
"),4.0)</f>
        <v>4</v>
      </c>
      <c r="AJ31" s="54">
        <f>IFERROR(__xludf.DUMMYFUNCTION("IFERROR(
  VLOOKUP(
    A31,
    IMPORTRANGE(
      ""1SCYQd7_cobOYqT0r_F0IqD4tE4rYn5y8Eup4PJTH8es"",
      ""Snapshot!A:M""
    ),
    13,
    FALSE
  ),
  0
)
"),1.0)</f>
        <v>1</v>
      </c>
      <c r="AK31" s="49">
        <f t="shared" ref="AK31:AL31" si="150">LEN(C31)</f>
        <v>29</v>
      </c>
      <c r="AL31" s="49">
        <f t="shared" si="150"/>
        <v>95</v>
      </c>
    </row>
    <row r="32">
      <c r="A32" s="3" t="s">
        <v>1119</v>
      </c>
      <c r="B32" s="1" t="str">
        <f>IFERROR(__xludf.DUMMYFUNCTION("IFERROR(
  VLOOKUP(
    A32,
    IMPORTRANGE(
      ""1ZygntHC1J6IxzKbTidmOyf5nUyW4GCLurHCjexrLm_o"",
      ""HTMLキャッシュ!A:F""
    ),
    2,
    FALSE
  ),
  0
)
"),"MC")</f>
        <v>MC</v>
      </c>
      <c r="C32" s="1" t="str">
        <f>IFERROR(__xludf.DUMMYFUNCTION("IFERROR(
  VLOOKUP(
    A32,
    IMPORTRANGE(
      ""1ZygntHC1J6IxzKbTidmOyf5nUyW4GCLurHCjexrLm_o"",
      ""HTMLキャッシュ!A:F""
    ),
    5,
    FALSE
  ),
  0
)
"),"補語とは｜形容詞との違い・be動詞の補語｜中学英語support")</f>
        <v>補語とは｜形容詞との違い・be動詞の補語｜中学英語support</v>
      </c>
      <c r="D32" s="1" t="str">
        <f>IFERROR(__xludf.DUMMYFUNCTION("IFERROR(
  VLOOKUP(
    A32,
    IMPORTRANGE(
      ""1ZygntHC1J6IxzKbTidmOyf5nUyW4GCLurHCjexrLm_o        "",
      ""HTMLキャッシュ!A:F""
    ),
    6,
    FALSE
  ),
  0
)
"),"英語教室サポート（support）の中学英語解説。補語とは何かを、形容詞との違い・be動詞の後ろの語の見方を I am busy／a busy teacher の例文で確認。not very＝あまり〜ないも扱います。")</f>
        <v>英語教室サポート（support）の中学英語解説。補語とは何かを、形容詞との違い・be動詞の後ろの語の見方を I am busy／a busy teacher の例文で確認。not very＝あまり〜ないも扱います。</v>
      </c>
      <c r="E32" s="32">
        <f>IFERROR(__xludf.DUMMYFUNCTION("IFERROR(
  VLOOKUP(
    A32,
    IMPORTRANGE(
      ""1ZygntHC1J6IxzKbTidmOyf5nUyW4GCLurHCjexrLm_o        "",
      ""HTMLキャッシュ!A:F""
    ),
    3,
    FALSE
  ),
  0
)
"),46078.75780092592)</f>
        <v>46078.7578</v>
      </c>
      <c r="F32" s="49">
        <f>IFERROR(__xludf.DUMMYFUNCTION("IFERROR(
  VLOOKUP(
    A32,
    IMPORTRANGE(
      ""1ZHMy3vVUd_0MrSduXTe1etBb1HNpAlGwQr006ljwMiM"",
      ""GSC最新!A:F""
    ),
    2,
    FALSE
  ),
  0
)
"),8.0)</f>
        <v>8</v>
      </c>
      <c r="G32" s="49">
        <f>IFERROR(__xludf.DUMMYFUNCTION("IFERROR(
  VLOOKUP(
    A32,
    IMPORTRANGE(
      ""1ZHMy3vVUd_0MrSduXTe1etBb1HNpAlGwQr006ljwMiM"",
      ""GSC最新!A:F""
    ),
    3,
    FALSE
  ),
  0
)
"),17.0)</f>
        <v>17</v>
      </c>
      <c r="H32" s="49">
        <f>IFERROR(__xludf.DUMMYFUNCTION("IFERROR(
  VLOOKUP(
    A32,
    IMPORTRANGE(
      ""1ZHMy3vVUd_0MrSduXTe1etBb1HNpAlGwQr006ljwMiM"",
      ""GSC最新!A:F""
    ),
    4,
    FALSE
  ),
  0
)
"),5.0)</f>
        <v>5</v>
      </c>
      <c r="I32" s="49">
        <f>IFERROR(__xludf.DUMMYFUNCTION("IFERROR(
  VLOOKUP(
    A32,
    IMPORTRANGE(
      ""1ZHMy3vVUd_0MrSduXTe1etBb1HNpAlGwQr006ljwMiM"",
      ""GSC最新!A:F""
    ),
    5,
    FALSE
  ),
  0
)
"),24.0)</f>
        <v>24</v>
      </c>
      <c r="J32" s="50">
        <f t="shared" ref="J32:K32" si="151">IFERROR(F32/H32,"-")</f>
        <v>1.6</v>
      </c>
      <c r="K32" s="50">
        <f t="shared" si="151"/>
        <v>0.7083333333</v>
      </c>
      <c r="L32" s="6">
        <f>IFERROR(__xludf.DUMMYFUNCTION("IFERROR(
  VLOOKUP(
    A32,
    IMPORTRANGE(
      ""1ZHMy3vVUd_0MrSduXTe1etBb1HNpAlGwQr006ljwMiM"",
      ""GSC最新!A:R""
    ),
    7,
    FALSE
  ),
  0
)
"),1537.0)</f>
        <v>1537</v>
      </c>
      <c r="M32" s="6">
        <f>IFERROR(__xludf.DUMMYFUNCTION("IFERROR(
  VLOOKUP(
    A32,
    IMPORTRANGE(
      ""1ZHMy3vVUd_0MrSduXTe1etBb1HNpAlGwQr006ljwMiM"",
      ""GSC最新!A:R""
    ),
    10,
    FALSE
  ),
  0
)
"),3678.0)</f>
        <v>3678</v>
      </c>
      <c r="N32" s="6">
        <f>IFERROR(__xludf.DUMMYFUNCTION("IFERROR(
  VLOOKUP(
    A32,
    IMPORTRANGE(
      ""1ZHMy3vVUd_0MrSduXTe1etBb1HNpAlGwQr006ljwMiM"",
      ""GSC最新!A:R""
    ),
    13,
    FALSE
  ),
  0
)
"),755.0)</f>
        <v>755</v>
      </c>
      <c r="O32" s="6">
        <f>IFERROR(__xludf.DUMMYFUNCTION("IFERROR(
  VLOOKUP(
    A32,
    IMPORTRANGE(
      ""1ZHMy3vVUd_0MrSduXTe1etBb1HNpAlGwQr006ljwMiM"",
      ""GSC最新!A:R""
    ),
    16,
    FALSE
  ),
  0
)
"),2457.0)</f>
        <v>2457</v>
      </c>
      <c r="P32" s="51">
        <f t="shared" ref="P32:Q32" si="152">IFERROR(L32/N32,"-")</f>
        <v>2.035761589</v>
      </c>
      <c r="Q32" s="51">
        <f t="shared" si="152"/>
        <v>1.496947497</v>
      </c>
      <c r="R32" s="9">
        <f>IFERROR(__xludf.DUMMYFUNCTION("IFERROR(
  VLOOKUP(
    A32,
    IMPORTRANGE(
      ""1ZHMy3vVUd_0MrSduXTe1etBb1HNpAlGwQr006ljwMiM"",
      ""GSC最新!A:R""
    ),
    8,
    FALSE
  ),
  0
)
"),0.00520494469746259)</f>
        <v>0.005204944697</v>
      </c>
      <c r="S32" s="9">
        <f>IFERROR(__xludf.DUMMYFUNCTION("IFERROR(
  VLOOKUP(
    A32,
    IMPORTRANGE(
      ""1ZHMy3vVUd_0MrSduXTe1etBb1HNpAlGwQr006ljwMiM"",
      ""GSC最新!A:R""
    ),
    11,
    FALSE
  ),
  0
)
"),0.004622077215878194)</f>
        <v>0.004622077216</v>
      </c>
      <c r="T32" s="9">
        <f>IFERROR(__xludf.DUMMYFUNCTION("IFERROR(
  VLOOKUP(
    A32,
    IMPORTRANGE(
      ""1ZHMy3vVUd_0MrSduXTe1etBb1HNpAlGwQr006ljwMiM"",
      ""GSC最新!A:R""
    ),
    14,
    FALSE
  ),
  0
)
"),0.006622516556291391)</f>
        <v>0.006622516556</v>
      </c>
      <c r="U32" s="9">
        <f>IFERROR(__xludf.DUMMYFUNCTION("IFERROR(
  VLOOKUP(
    A32,
    IMPORTRANGE(
      ""1ZHMy3vVUd_0MrSduXTe1etBb1HNpAlGwQr006ljwMiM"",
      ""GSC最新!A:R""
    ),
    17,
    FALSE
  ),
  0
)
"),0.009768009768009768)</f>
        <v>0.009768009768</v>
      </c>
      <c r="V32" s="9">
        <f t="shared" ref="V32:W32" si="153">IFERROR(R32-T32,"-")</f>
        <v>-0.001417571859</v>
      </c>
      <c r="W32" s="9">
        <f t="shared" si="153"/>
        <v>-0.005145932552</v>
      </c>
      <c r="X32" s="65">
        <f>IFERROR(__xludf.DUMMYFUNCTION("IFERROR(
  VLOOKUP(
    A32,
    IMPORTRANGE(
      ""1ZHMy3vVUd_0MrSduXTe1etBb1HNpAlGwQr006ljwMiM"",
      ""GSC最新!A:R""
    ),
    9,
    FALSE
  ),
  0
)
"),4.346128822381262)</f>
        <v>4.346128822</v>
      </c>
      <c r="Y32" s="65">
        <f>IFERROR(__xludf.DUMMYFUNCTION("IFERROR(
  VLOOKUP(
    A32,
    IMPORTRANGE(
      ""1ZHMy3vVUd_0MrSduXTe1etBb1HNpAlGwQr006ljwMiM"",
      ""GSC最新!A:R""
    ),
    12,
    FALSE
  ),
  0
)
"),4.848558999456227)</f>
        <v>4.848558999</v>
      </c>
      <c r="Z32" s="65">
        <f>IFERROR(__xludf.DUMMYFUNCTION("IFERROR(
  VLOOKUP(
    A32,
    IMPORTRANGE(
      ""1ZHMy3vVUd_0MrSduXTe1etBb1HNpAlGwQr006ljwMiM"",
      ""GSC最新!A:R""
    ),
    15,
    FALSE
  ),
  0
)
"),10.762913907284767)</f>
        <v>10.76291391</v>
      </c>
      <c r="AA32" s="65">
        <f>IFERROR(__xludf.DUMMYFUNCTION("IFERROR(
  VLOOKUP(
    A32,
    IMPORTRANGE(
      ""1ZHMy3vVUd_0MrSduXTe1etBb1HNpAlGwQr006ljwMiM"",
      ""GSC最新!A:R""
    ),
    18,
    FALSE
  ),
  0
)
"),13.443223443223443)</f>
        <v>13.44322344</v>
      </c>
      <c r="AB32" s="65">
        <f t="shared" ref="AB32:AC32" si="154">X32-Z32</f>
        <v>-6.416785085</v>
      </c>
      <c r="AC32" s="65">
        <f t="shared" si="154"/>
        <v>-8.594664444</v>
      </c>
      <c r="AD32" s="53">
        <f>IFERROR(__xludf.DUMMYFUNCTION("IFERROR(
  VLOOKUP(
    A32,
    IMPORTRANGE(
      ""1ZHMy3vVUd_0MrSduXTe1etBb1HNpAlGwQr006ljwMiM"",
      ""GSC最新!A:F""
    ),
    6,
    FALSE
  ),
  0
)
"),46081.0)</f>
        <v>46081</v>
      </c>
      <c r="AE32" s="54">
        <f>IFERROR(__xludf.DUMMYFUNCTION("IFERROR(
  VLOOKUP(
    A32,
    IMPORTRANGE(
      ""1SCYQd7_cobOYqT0r_F0IqD4tE4rYn5y8Eup4PJTH8es"",
      ""Snapshot!A:M""
    ),
    5,
    FALSE
  ),
  ""-""
)
"),0.0)</f>
        <v>0</v>
      </c>
      <c r="AF32" s="54">
        <f>IFERROR(__xludf.DUMMYFUNCTION("IFERROR(
  VLOOKUP(
    A32,
    IMPORTRANGE(
      ""1SCYQd7_cobOYqT0r_F0IqD4tE4rYn5y8Eup4PJTH8es"",
      ""Snapshot!A:M""
    ),
    6,
    FALSE
  ),
  0
)
"),5.0)</f>
        <v>5</v>
      </c>
      <c r="AG32" s="54">
        <f>IFERROR(__xludf.DUMMYFUNCTION("IFERROR(
  VLOOKUP(
    A32,
    IMPORTRANGE(
      ""1SCYQd7_cobOYqT0r_F0IqD4tE4rYn5y8Eup4PJTH8es"",
      ""Snapshot!A:M""
    ),
    7,
    FALSE
  ),
  0
)
"),1165.0)</f>
        <v>1165</v>
      </c>
      <c r="AH32" s="54">
        <f>IFERROR(__xludf.DUMMYFUNCTION("IFERROR(
  VLOOKUP(
    A32,
    IMPORTRANGE(
      ""1SCYQd7_cobOYqT0r_F0IqD4tE4rYn5y8Eup4PJTH8es"",
      ""Snapshot!A:M""
    ),
    8,
    FALSE
  ),
  0
)
"),1.0)</f>
        <v>1</v>
      </c>
      <c r="AI32" s="54">
        <f>IFERROR(__xludf.DUMMYFUNCTION("IFERROR(
  VLOOKUP(
    A32,
    IMPORTRANGE(
      ""1SCYQd7_cobOYqT0r_F0IqD4tE4rYn5y8Eup4PJTH8es"",
      ""Snapshot!A:M""
    ),
    9,
    FALSE
  ),
  0
)
"),4.0)</f>
        <v>4</v>
      </c>
      <c r="AJ32" s="54">
        <f>IFERROR(__xludf.DUMMYFUNCTION("IFERROR(
  VLOOKUP(
    A32,
    IMPORTRANGE(
      ""1SCYQd7_cobOYqT0r_F0IqD4tE4rYn5y8Eup4PJTH8es"",
      ""Snapshot!A:M""
    ),
    13,
    FALSE
  ),
  0
)
"),1.0)</f>
        <v>1</v>
      </c>
      <c r="AK32" s="49">
        <f t="shared" ref="AK32:AL32" si="155">LEN(C32)</f>
        <v>32</v>
      </c>
      <c r="AL32" s="49">
        <f t="shared" si="155"/>
        <v>108</v>
      </c>
    </row>
    <row r="33">
      <c r="A33" s="3" t="s">
        <v>1120</v>
      </c>
      <c r="B33" s="1" t="str">
        <f>IFERROR(__xludf.DUMMYFUNCTION("IFERROR(
  VLOOKUP(
    A33,
    IMPORTRANGE(
      ""1ZygntHC1J6IxzKbTidmOyf5nUyW4GCLurHCjexrLm_o"",
      ""HTMLキャッシュ!A:F""
    ),
    2,
    FALSE
  ),
  0
)
"),"MC")</f>
        <v>MC</v>
      </c>
      <c r="C33" s="1" t="str">
        <f>IFERROR(__xludf.DUMMYFUNCTION("IFERROR(
  VLOOKUP(
    A33,
    IMPORTRANGE(
      ""1ZygntHC1J6IxzKbTidmOyf5nUyW4GCLurHCjexrLm_o"",
      ""HTMLキャッシュ!A:F""
    ),
    5,
    FALSE
  ),
  0
)
"),"代名詞 “one” の意味と使い方｜英語文法の基本と応用")</f>
        <v>代名詞 “one” の意味と使い方｜英語文法の基本と応用</v>
      </c>
      <c r="D33" s="1" t="str">
        <f>IFERROR(__xludf.DUMMYFUNCTION("IFERROR(
  VLOOKUP(
    A33,
    IMPORTRANGE(
      ""1ZygntHC1J6IxzKbTidmOyf5nUyW4GCLurHCjexrLm_o        "",
      ""HTMLキャッシュ!A:F""
    ),
    6,
    FALSE
  ),
  0
)
"),"oneは同じ名詞の言い換え。itとの違い、a red one/the one/ones、which oneの意味を例文で確認。Book2 9-3対応。")</f>
        <v>oneは同じ名詞の言い換え。itとの違い、a red one/the one/ones、which oneの意味を例文で確認。Book2 9-3対応。</v>
      </c>
      <c r="E33" s="32">
        <f>IFERROR(__xludf.DUMMYFUNCTION("IFERROR(
  VLOOKUP(
    A33,
    IMPORTRANGE(
      ""1ZygntHC1J6IxzKbTidmOyf5nUyW4GCLurHCjexrLm_o        "",
      ""HTMLキャッシュ!A:F""
    ),
    3,
    FALSE
  ),
  0
)
"),46074.54890046296)</f>
        <v>46074.5489</v>
      </c>
      <c r="F33" s="49">
        <f>IFERROR(__xludf.DUMMYFUNCTION("IFERROR(
  VLOOKUP(
    A33,
    IMPORTRANGE(
      ""1ZHMy3vVUd_0MrSduXTe1etBb1HNpAlGwQr006ljwMiM"",
      ""GSC最新!A:F""
    ),
    2,
    FALSE
  ),
  0
)
"),5.0)</f>
        <v>5</v>
      </c>
      <c r="G33" s="49">
        <f>IFERROR(__xludf.DUMMYFUNCTION("IFERROR(
  VLOOKUP(
    A33,
    IMPORTRANGE(
      ""1ZHMy3vVUd_0MrSduXTe1etBb1HNpAlGwQr006ljwMiM"",
      ""GSC最新!A:F""
    ),
    3,
    FALSE
  ),
  0
)
"),16.0)</f>
        <v>16</v>
      </c>
      <c r="H33" s="49">
        <f>IFERROR(__xludf.DUMMYFUNCTION("IFERROR(
  VLOOKUP(
    A33,
    IMPORTRANGE(
      ""1ZHMy3vVUd_0MrSduXTe1etBb1HNpAlGwQr006ljwMiM"",
      ""GSC最新!A:F""
    ),
    4,
    FALSE
  ),
  0
)
"),4.0)</f>
        <v>4</v>
      </c>
      <c r="I33" s="49">
        <f>IFERROR(__xludf.DUMMYFUNCTION("IFERROR(
  VLOOKUP(
    A33,
    IMPORTRANGE(
      ""1ZHMy3vVUd_0MrSduXTe1etBb1HNpAlGwQr006ljwMiM"",
      ""GSC最新!A:F""
    ),
    5,
    FALSE
  ),
  0
)
"),8.0)</f>
        <v>8</v>
      </c>
      <c r="J33" s="50">
        <f t="shared" ref="J33:K33" si="156">IFERROR(F33/H33,"-")</f>
        <v>1.25</v>
      </c>
      <c r="K33" s="50">
        <f t="shared" si="156"/>
        <v>2</v>
      </c>
      <c r="L33" s="6">
        <f>IFERROR(__xludf.DUMMYFUNCTION("IFERROR(
  VLOOKUP(
    A33,
    IMPORTRANGE(
      ""1ZHMy3vVUd_0MrSduXTe1etBb1HNpAlGwQr006ljwMiM"",
      ""GSC最新!A:R""
    ),
    7,
    FALSE
  ),
  0
)
"),2895.0)</f>
        <v>2895</v>
      </c>
      <c r="M33" s="6">
        <f>IFERROR(__xludf.DUMMYFUNCTION("IFERROR(
  VLOOKUP(
    A33,
    IMPORTRANGE(
      ""1ZHMy3vVUd_0MrSduXTe1etBb1HNpAlGwQr006ljwMiM"",
      ""GSC最新!A:R""
    ),
    10,
    FALSE
  ),
  0
)
"),8609.0)</f>
        <v>8609</v>
      </c>
      <c r="N33" s="6">
        <f>IFERROR(__xludf.DUMMYFUNCTION("IFERROR(
  VLOOKUP(
    A33,
    IMPORTRANGE(
      ""1ZHMy3vVUd_0MrSduXTe1etBb1HNpAlGwQr006ljwMiM"",
      ""GSC最新!A:R""
    ),
    13,
    FALSE
  ),
  0
)
"),580.0)</f>
        <v>580</v>
      </c>
      <c r="O33" s="6">
        <f>IFERROR(__xludf.DUMMYFUNCTION("IFERROR(
  VLOOKUP(
    A33,
    IMPORTRANGE(
      ""1ZHMy3vVUd_0MrSduXTe1etBb1HNpAlGwQr006ljwMiM"",
      ""GSC最新!A:R""
    ),
    16,
    FALSE
  ),
  0
)
"),893.0)</f>
        <v>893</v>
      </c>
      <c r="P33" s="51">
        <f t="shared" ref="P33:Q33" si="157">IFERROR(L33/N33,"-")</f>
        <v>4.99137931</v>
      </c>
      <c r="Q33" s="51">
        <f t="shared" si="157"/>
        <v>9.640537514</v>
      </c>
      <c r="R33" s="9">
        <f>IFERROR(__xludf.DUMMYFUNCTION("IFERROR(
  VLOOKUP(
    A33,
    IMPORTRANGE(
      ""1ZHMy3vVUd_0MrSduXTe1etBb1HNpAlGwQr006ljwMiM"",
      ""GSC最新!A:R""
    ),
    8,
    FALSE
  ),
  0
)
"),0.0017271157167530224)</f>
        <v>0.001727115717</v>
      </c>
      <c r="S33" s="9">
        <f>IFERROR(__xludf.DUMMYFUNCTION("IFERROR(
  VLOOKUP(
    A33,
    IMPORTRANGE(
      ""1ZHMy3vVUd_0MrSduXTe1etBb1HNpAlGwQr006ljwMiM"",
      ""GSC最新!A:R""
    ),
    11,
    FALSE
  ),
  0
)
"),0.0018585201533279127)</f>
        <v>0.001858520153</v>
      </c>
      <c r="T33" s="9">
        <f>IFERROR(__xludf.DUMMYFUNCTION("IFERROR(
  VLOOKUP(
    A33,
    IMPORTRANGE(
      ""1ZHMy3vVUd_0MrSduXTe1etBb1HNpAlGwQr006ljwMiM"",
      ""GSC最新!A:R""
    ),
    14,
    FALSE
  ),
  0
)
"),0.006896551724137931)</f>
        <v>0.006896551724</v>
      </c>
      <c r="U33" s="9">
        <f>IFERROR(__xludf.DUMMYFUNCTION("IFERROR(
  VLOOKUP(
    A33,
    IMPORTRANGE(
      ""1ZHMy3vVUd_0MrSduXTe1etBb1HNpAlGwQr006ljwMiM"",
      ""GSC最新!A:R""
    ),
    17,
    FALSE
  ),
  0
)
"),0.008958566629339306)</f>
        <v>0.008958566629</v>
      </c>
      <c r="V33" s="9">
        <f t="shared" ref="V33:W33" si="158">IFERROR(R33-T33,"-")</f>
        <v>-0.005169436007</v>
      </c>
      <c r="W33" s="9">
        <f t="shared" si="158"/>
        <v>-0.007100046476</v>
      </c>
      <c r="X33" s="65">
        <f>IFERROR(__xludf.DUMMYFUNCTION("IFERROR(
  VLOOKUP(
    A33,
    IMPORTRANGE(
      ""1ZHMy3vVUd_0MrSduXTe1etBb1HNpAlGwQr006ljwMiM"",
      ""GSC最新!A:R""
    ),
    9,
    FALSE
  ),
  0
)
"),5.0120898100172715)</f>
        <v>5.01208981</v>
      </c>
      <c r="Y33" s="65">
        <f>IFERROR(__xludf.DUMMYFUNCTION("IFERROR(
  VLOOKUP(
    A33,
    IMPORTRANGE(
      ""1ZHMy3vVUd_0MrSduXTe1etBb1HNpAlGwQr006ljwMiM"",
      ""GSC最新!A:R""
    ),
    12,
    FALSE
  ),
  0
)
"),3.9823440585433847)</f>
        <v>3.982344059</v>
      </c>
      <c r="Z33" s="65">
        <f>IFERROR(__xludf.DUMMYFUNCTION("IFERROR(
  VLOOKUP(
    A33,
    IMPORTRANGE(
      ""1ZHMy3vVUd_0MrSduXTe1etBb1HNpAlGwQr006ljwMiM"",
      ""GSC最新!A:R""
    ),
    15,
    FALSE
  ),
  0
)
"),10.920689655172414)</f>
        <v>10.92068966</v>
      </c>
      <c r="AA33" s="65">
        <f>IFERROR(__xludf.DUMMYFUNCTION("IFERROR(
  VLOOKUP(
    A33,
    IMPORTRANGE(
      ""1ZHMy3vVUd_0MrSduXTe1etBb1HNpAlGwQr006ljwMiM"",
      ""GSC最新!A:R""
    ),
    18,
    FALSE
  ),
  0
)
"),12.353863381858902)</f>
        <v>12.35386338</v>
      </c>
      <c r="AB33" s="65">
        <f t="shared" ref="AB33:AC33" si="159">X33-Z33</f>
        <v>-5.908599845</v>
      </c>
      <c r="AC33" s="65">
        <f t="shared" si="159"/>
        <v>-8.371519323</v>
      </c>
      <c r="AD33" s="53">
        <f>IFERROR(__xludf.DUMMYFUNCTION("IFERROR(
  VLOOKUP(
    A33,
    IMPORTRANGE(
      ""1ZHMy3vVUd_0MrSduXTe1etBb1HNpAlGwQr006ljwMiM"",
      ""GSC最新!A:F""
    ),
    6,
    FALSE
  ),
  0
)
"),46081.0)</f>
        <v>46081</v>
      </c>
      <c r="AE33" s="54">
        <f>IFERROR(__xludf.DUMMYFUNCTION("IFERROR(
  VLOOKUP(
    A33,
    IMPORTRANGE(
      ""1SCYQd7_cobOYqT0r_F0IqD4tE4rYn5y8Eup4PJTH8es"",
      ""Snapshot!A:M""
    ),
    5,
    FALSE
  ),
  ""-""
)
"),0.0)</f>
        <v>0</v>
      </c>
      <c r="AF33" s="54">
        <f>IFERROR(__xludf.DUMMYFUNCTION("IFERROR(
  VLOOKUP(
    A33,
    IMPORTRANGE(
      ""1SCYQd7_cobOYqT0r_F0IqD4tE4rYn5y8Eup4PJTH8es"",
      ""Snapshot!A:M""
    ),
    6,
    FALSE
  ),
  0
)
"),20.0)</f>
        <v>20</v>
      </c>
      <c r="AG33" s="54">
        <f>IFERROR(__xludf.DUMMYFUNCTION("IFERROR(
  VLOOKUP(
    A33,
    IMPORTRANGE(
      ""1SCYQd7_cobOYqT0r_F0IqD4tE4rYn5y8Eup4PJTH8es"",
      ""Snapshot!A:M""
    ),
    7,
    FALSE
  ),
  0
)
"),5481.0)</f>
        <v>5481</v>
      </c>
      <c r="AH33" s="54">
        <f>IFERROR(__xludf.DUMMYFUNCTION("IFERROR(
  VLOOKUP(
    A33,
    IMPORTRANGE(
      ""1SCYQd7_cobOYqT0r_F0IqD4tE4rYn5y8Eup4PJTH8es"",
      ""Snapshot!A:M""
    ),
    8,
    FALSE
  ),
  0
)
"),1.0)</f>
        <v>1</v>
      </c>
      <c r="AI33" s="54">
        <f>IFERROR(__xludf.DUMMYFUNCTION("IFERROR(
  VLOOKUP(
    A33,
    IMPORTRANGE(
      ""1SCYQd7_cobOYqT0r_F0IqD4tE4rYn5y8Eup4PJTH8es"",
      ""Snapshot!A:M""
    ),
    9,
    FALSE
  ),
  0
)
"),4.0)</f>
        <v>4</v>
      </c>
      <c r="AJ33" s="54">
        <f>IFERROR(__xludf.DUMMYFUNCTION("IFERROR(
  VLOOKUP(
    A33,
    IMPORTRANGE(
      ""1SCYQd7_cobOYqT0r_F0IqD4tE4rYn5y8Eup4PJTH8es"",
      ""Snapshot!A:M""
    ),
    13,
    FALSE
  ),
  0
)
"),1.0)</f>
        <v>1</v>
      </c>
      <c r="AK33" s="49">
        <f t="shared" ref="AK33:AL33" si="160">LEN(C33)</f>
        <v>28</v>
      </c>
      <c r="AL33" s="49">
        <f t="shared" si="160"/>
        <v>75</v>
      </c>
    </row>
    <row r="34">
      <c r="A34" s="3" t="s">
        <v>1121</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"),"中1英語 所有代名詞の使い方と進め方 Lesson12-3")</f>
        <v>中1英語 所有代名詞の使い方と進め方 Lesson12-3</v>
      </c>
      <c r="D34" s="1" t="str">
        <f>IFERROR(__xludf.DUMMYFUNCTION("IFERROR(
  VLOOKUP(
    A34,
    IMPORTRANGE(
      ""1ZygntHC1J6IxzKbTidmOyf5nUyW4GCLurHCjexrLm_o        "",
      ""HTMLキャッシュ!A:F""
    ),
    6,
    FALSE
  ),
  0
)
"),"myは後ろに名詞が必要、mineは単独で使える。it’s mine/this is mine、Whoseの返し方も例文で確認。")</f>
        <v>myは後ろに名詞が必要、mineは単独で使える。it’s mine/this is mine、Whoseの返し方も例文で確認。</v>
      </c>
      <c r="E34" s="32">
        <f>IFERROR(__xludf.DUMMYFUNCTION("IFERROR(
  VLOOKUP(
    A34,
    IMPORTRANGE(
      ""1ZygntHC1J6IxzKbTidmOyf5nUyW4GCLurHCjexrLm_o        "",
      ""HTMLキャッシュ!A:F""
    ),
    3,
    FALSE
  ),
  0
)
"),46072.856307870374)</f>
        <v>46072.85631</v>
      </c>
      <c r="F34" s="49">
        <f>IFERROR(__xludf.DUMMYFUNCTION("IFERROR(
  VLOOKUP(
    A34,
    IMPORTRANGE(
      ""1ZHMy3vVUd_0MrSduXTe1etBb1HNpAlGwQr006ljwMiM"",
      ""GSC最新!A:F""
    ),
    2,
    FALSE
  ),
  0
)
"),3.0)</f>
        <v>3</v>
      </c>
      <c r="G34" s="49">
        <f>IFERROR(__xludf.DUMMYFUNCTION("IFERROR(
  VLOOKUP(
    A34,
    IMPORTRANGE(
      ""1ZHMy3vVUd_0MrSduXTe1etBb1HNpAlGwQr006ljwMiM"",
      ""GSC最新!A:F""
    ),
    3,
    FALSE
  ),
  0
)
"),14.0)</f>
        <v>14</v>
      </c>
      <c r="H34" s="49">
        <f>IFERROR(__xludf.DUMMYFUNCTION("IFERROR(
  VLOOKUP(
    A34,
    IMPORTRANGE(
      ""1ZHMy3vVUd_0MrSduXTe1etBb1HNpAlGwQr006ljwMiM"",
      ""GSC最新!A:F""
    ),
    4,
    FALSE
  ),
  0
)
"),2.0)</f>
        <v>2</v>
      </c>
      <c r="I34" s="49">
        <f>IFERROR(__xludf.DUMMYFUNCTION("IFERROR(
  VLOOKUP(
    A34,
    IMPORTRANGE(
      ""1ZHMy3vVUd_0MrSduXTe1etBb1HNpAlGwQr006ljwMiM"",
      ""GSC最新!A:F""
    ),
    5,
    FALSE
  ),
  0
)
"),6.0)</f>
        <v>6</v>
      </c>
      <c r="J34" s="50">
        <f t="shared" ref="J34:K34" si="161">IFERROR(F34/H34,"-")</f>
        <v>1.5</v>
      </c>
      <c r="K34" s="50">
        <f t="shared" si="161"/>
        <v>2.333333333</v>
      </c>
      <c r="L34" s="6">
        <f>IFERROR(__xludf.DUMMYFUNCTION("IFERROR(
  VLOOKUP(
    A34,
    IMPORTRANGE(
      ""1ZHMy3vVUd_0MrSduXTe1etBb1HNpAlGwQr006ljwMiM"",
      ""GSC最新!A:R""
    ),
    7,
    FALSE
  ),
  0
)
"),5017.0)</f>
        <v>5017</v>
      </c>
      <c r="M34" s="6">
        <f>IFERROR(__xludf.DUMMYFUNCTION("IFERROR(
  VLOOKUP(
    A34,
    IMPORTRANGE(
      ""1ZHMy3vVUd_0MrSduXTe1etBb1HNpAlGwQr006ljwMiM"",
      ""GSC最新!A:R""
    ),
    10,
    FALSE
  ),
  0
)
"),14399.0)</f>
        <v>14399</v>
      </c>
      <c r="N34" s="6">
        <f>IFERROR(__xludf.DUMMYFUNCTION("IFERROR(
  VLOOKUP(
    A34,
    IMPORTRANGE(
      ""1ZHMy3vVUd_0MrSduXTe1etBb1HNpAlGwQr006ljwMiM"",
      ""GSC最新!A:R""
    ),
    13,
    FALSE
  ),
  0
)
"),2394.0)</f>
        <v>2394</v>
      </c>
      <c r="O34" s="6">
        <f>IFERROR(__xludf.DUMMYFUNCTION("IFERROR(
  VLOOKUP(
    A34,
    IMPORTRANGE(
      ""1ZHMy3vVUd_0MrSduXTe1etBb1HNpAlGwQr006ljwMiM"",
      ""GSC最新!A:R""
    ),
    16,
    FALSE
  ),
  0
)
"),9718.0)</f>
        <v>9718</v>
      </c>
      <c r="P34" s="51">
        <f t="shared" ref="P34:Q34" si="162">IFERROR(L34/N34,"-")</f>
        <v>2.095655806</v>
      </c>
      <c r="Q34" s="51">
        <f t="shared" si="162"/>
        <v>1.481683474</v>
      </c>
      <c r="R34" s="9">
        <f>IFERROR(__xludf.DUMMYFUNCTION("IFERROR(
  VLOOKUP(
    A34,
    IMPORTRANGE(
      ""1ZHMy3vVUd_0MrSduXTe1etBb1HNpAlGwQr006ljwMiM"",
      ""GSC最新!A:R""
    ),
    8,
    FALSE
  ),
  0
)
"),5.979669124975084E-4)</f>
        <v>0.0005979669125</v>
      </c>
      <c r="S34" s="9">
        <f>IFERROR(__xludf.DUMMYFUNCTION("IFERROR(
  VLOOKUP(
    A34,
    IMPORTRANGE(
      ""1ZHMy3vVUd_0MrSduXTe1etBb1HNpAlGwQr006ljwMiM"",
      ""GSC最新!A:R""
    ),
    11,
    FALSE
  ),
  0
)
"),9.722897423432182E-4)</f>
        <v>0.0009722897423</v>
      </c>
      <c r="T34" s="9">
        <f>IFERROR(__xludf.DUMMYFUNCTION("IFERROR(
  VLOOKUP(
    A34,
    IMPORTRANGE(
      ""1ZHMy3vVUd_0MrSduXTe1etBb1HNpAlGwQr006ljwMiM"",
      ""GSC最新!A:R""
    ),
    14,
    FALSE
  ),
  0
)
"),8.35421888053467E-4)</f>
        <v>0.0008354218881</v>
      </c>
      <c r="U34" s="9">
        <f>IFERROR(__xludf.DUMMYFUNCTION("IFERROR(
  VLOOKUP(
    A34,
    IMPORTRANGE(
      ""1ZHMy3vVUd_0MrSduXTe1etBb1HNpAlGwQr006ljwMiM"",
      ""GSC最新!A:R""
    ),
    17,
    FALSE
  ),
  0
)
"),6.174109899156205E-4)</f>
        <v>0.0006174109899</v>
      </c>
      <c r="V34" s="9">
        <f t="shared" ref="V34:W34" si="163">IFERROR(R34-T34,"-")</f>
        <v>-0.0002374549756</v>
      </c>
      <c r="W34" s="9">
        <f t="shared" si="163"/>
        <v>0.0003548787524</v>
      </c>
      <c r="X34" s="65">
        <f>IFERROR(__xludf.DUMMYFUNCTION("IFERROR(
  VLOOKUP(
    A34,
    IMPORTRANGE(
      ""1ZHMy3vVUd_0MrSduXTe1etBb1HNpAlGwQr006ljwMiM"",
      ""GSC最新!A:R""
    ),
    9,
    FALSE
  ),
  0
)
"),4.504883396452064)</f>
        <v>4.504883396</v>
      </c>
      <c r="Y34" s="65">
        <f>IFERROR(__xludf.DUMMYFUNCTION("IFERROR(
  VLOOKUP(
    A34,
    IMPORTRANGE(
      ""1ZHMy3vVUd_0MrSduXTe1etBb1HNpAlGwQr006ljwMiM"",
      ""GSC最新!A:R""
    ),
    12,
    FALSE
  ),
  0
)
"),4.236752552260574)</f>
        <v>4.236752552</v>
      </c>
      <c r="Z34" s="65">
        <f>IFERROR(__xludf.DUMMYFUNCTION("IFERROR(
  VLOOKUP(
    A34,
    IMPORTRANGE(
      ""1ZHMy3vVUd_0MrSduXTe1etBb1HNpAlGwQr006ljwMiM"",
      ""GSC最新!A:R""
    ),
    15,
    FALSE
  ),
  0
)
"),6.31453634085213)</f>
        <v>6.314536341</v>
      </c>
      <c r="AA34" s="65">
        <f>IFERROR(__xludf.DUMMYFUNCTION("IFERROR(
  VLOOKUP(
    A34,
    IMPORTRANGE(
      ""1ZHMy3vVUd_0MrSduXTe1etBb1HNpAlGwQr006ljwMiM"",
      ""GSC最新!A:R""
    ),
    18,
    FALSE
  ),
  0
)
"),5.5846882074500925)</f>
        <v>5.584688207</v>
      </c>
      <c r="AB34" s="65">
        <f t="shared" ref="AB34:AC34" si="164">X34-Z34</f>
        <v>-1.809652944</v>
      </c>
      <c r="AC34" s="65">
        <f t="shared" si="164"/>
        <v>-1.347935655</v>
      </c>
      <c r="AD34" s="53">
        <f>IFERROR(__xludf.DUMMYFUNCTION("IFERROR(
  VLOOKUP(
    A34,
    IMPORTRANGE(
      ""1ZHMy3vVUd_0MrSduXTe1etBb1HNpAlGwQr006ljwMiM"",
      ""GSC最新!A:F""
    ),
    6,
    FALSE
  ),
  0
)
"),46081.0)</f>
        <v>46081</v>
      </c>
      <c r="AE34" s="54">
        <f>IFERROR(__xludf.DUMMYFUNCTION("IFERROR(
  VLOOKUP(
    A34,
    IMPORTRANGE(
      ""1SCYQd7_cobOYqT0r_F0IqD4tE4rYn5y8Eup4PJTH8es"",
      ""Snapshot!A:M""
    ),
    5,
    FALSE
  ),
  ""-""
)
"),0.0)</f>
        <v>0</v>
      </c>
      <c r="AF34" s="54">
        <f>IFERROR(__xludf.DUMMYFUNCTION("IFERROR(
  VLOOKUP(
    A34,
    IMPORTRANGE(
      ""1SCYQd7_cobOYqT0r_F0IqD4tE4rYn5y8Eup4PJTH8es"",
      ""Snapshot!A:M""
    ),
    6,
    FALSE
  ),
  0
)
"),8.0)</f>
        <v>8</v>
      </c>
      <c r="AG34" s="54">
        <f>IFERROR(__xludf.DUMMYFUNCTION("IFERROR(
  VLOOKUP(
    A34,
    IMPORTRANGE(
      ""1SCYQd7_cobOYqT0r_F0IqD4tE4rYn5y8Eup4PJTH8es"",
      ""Snapshot!A:M""
    ),
    7,
    FALSE
  ),
  0
)
"),3086.0)</f>
        <v>3086</v>
      </c>
      <c r="AH34" s="54">
        <f>IFERROR(__xludf.DUMMYFUNCTION("IFERROR(
  VLOOKUP(
    A34,
    IMPORTRANGE(
      ""1SCYQd7_cobOYqT0r_F0IqD4tE4rYn5y8Eup4PJTH8es"",
      ""Snapshot!A:M""
    ),
    8,
    FALSE
  ),
  0
)
"),1.0)</f>
        <v>1</v>
      </c>
      <c r="AI34" s="54">
        <f>IFERROR(__xludf.DUMMYFUNCTION("IFERROR(
  VLOOKUP(
    A34,
    IMPORTRANGE(
      ""1SCYQd7_cobOYqT0r_F0IqD4tE4rYn5y8Eup4PJTH8es"",
      ""Snapshot!A:M""
    ),
    9,
    FALSE
  ),
  0
)
"),4.0)</f>
        <v>4</v>
      </c>
      <c r="AJ34" s="54">
        <f>IFERROR(__xludf.DUMMYFUNCTION("IFERROR(
  VLOOKUP(
    A34,
    IMPORTRANGE(
      ""1SCYQd7_cobOYqT0r_F0IqD4tE4rYn5y8Eup4PJTH8es"",
      ""Snapshot!A:M""
    ),
    13,
    FALSE
  ),
  0
)
"),1.0)</f>
        <v>1</v>
      </c>
      <c r="AK34" s="49">
        <f t="shared" ref="AK34:AL34" si="165">LEN(C34)</f>
        <v>29</v>
      </c>
      <c r="AL34" s="49">
        <f t="shared" si="165"/>
        <v>63</v>
      </c>
    </row>
    <row r="35">
      <c r="A35" s="3" t="s">
        <v>1122</v>
      </c>
      <c r="B35" s="1" t="str">
        <f>IFERROR(__xludf.DUMMYFUNCTION("IFERROR(
  VLOOKUP(
    A35,
    IMPORTRANGE(
      ""1ZygntHC1J6IxzKbTidmOyf5nUyW4GCLurHCjexrLm_o"",
      ""HTMLキャッシュ!A:F""
    ),
    2,
    FALSE
  ),
  0
)
"),"MC")</f>
        <v>MC</v>
      </c>
      <c r="C35" s="1" t="str">
        <f>IFERROR(__xludf.DUMMYFUNCTION("IFERROR(
  VLOOKUP(
    A35,
    IMPORTRANGE(
      ""1ZygntHC1J6IxzKbTidmOyf5nUyW4GCLurHCjexrLm_o"",
      ""HTMLキャッシュ!A:F""
    ),
    5,
    FALSE
  ),
  0
)
"),"頻度を表す副詞の位置｜often・sometimes｜中学英語")</f>
        <v>頻度を表す副詞の位置｜often・sometimes｜中学英語</v>
      </c>
      <c r="D35" s="1" t="str">
        <f>IFERROR(__xludf.DUMMYFUNCTION("IFERROR(
  VLOOKUP(
    A35,
    IMPORTRANGE(
      ""1ZygntHC1J6IxzKbTidmOyf5nUyW4GCLurHCjexrLm_o        "",
      ""HTMLキャッシュ!A:F""
    ),
    6,
    FALSE
  ),
  0
)
"),"頻度を表す副詞（always・often・sometimes等）の位置を整理。一般動詞・be動詞・助動詞での置き方を例文で確認。")</f>
        <v>頻度を表す副詞（always・often・sometimes等）の位置を整理。一般動詞・be動詞・助動詞での置き方を例文で確認。</v>
      </c>
      <c r="E35" s="32">
        <f>IFERROR(__xludf.DUMMYFUNCTION("IFERROR(
  VLOOKUP(
    A35,
    IMPORTRANGE(
      ""1ZygntHC1J6IxzKbTidmOyf5nUyW4GCLurHCjexrLm_o        "",
      ""HTMLキャッシュ!A:F""
    ),
    3,
    FALSE
  ),
  0
)
"),46064.56649305556)</f>
        <v>46064.56649</v>
      </c>
      <c r="F35" s="49">
        <f>IFERROR(__xludf.DUMMYFUNCTION("IFERROR(
  VLOOKUP(
    A35,
    IMPORTRANGE(
      ""1ZHMy3vVUd_0MrSduXTe1etBb1HNpAlGwQr006ljwMiM"",
      ""GSC最新!A:F""
    ),
    2,
    FALSE
  ),
  0
)
"),9.0)</f>
        <v>9</v>
      </c>
      <c r="G35" s="49">
        <f>IFERROR(__xludf.DUMMYFUNCTION("IFERROR(
  VLOOKUP(
    A35,
    IMPORTRANGE(
      ""1ZHMy3vVUd_0MrSduXTe1etBb1HNpAlGwQr006ljwMiM"",
      ""GSC最新!A:F""
    ),
    3,
    FALSE
  ),
  0
)
"),14.0)</f>
        <v>14</v>
      </c>
      <c r="H35" s="49">
        <f>IFERROR(__xludf.DUMMYFUNCTION("IFERROR(
  VLOOKUP(
    A35,
    IMPORTRANGE(
      ""1ZHMy3vVUd_0MrSduXTe1etBb1HNpAlGwQr006ljwMiM"",
      ""GSC最新!A:F""
    ),
    4,
    FALSE
  ),
  0
)
"),2.0)</f>
        <v>2</v>
      </c>
      <c r="I35" s="49">
        <f>IFERROR(__xludf.DUMMYFUNCTION("IFERROR(
  VLOOKUP(
    A35,
    IMPORTRANGE(
      ""1ZHMy3vVUd_0MrSduXTe1etBb1HNpAlGwQr006ljwMiM"",
      ""GSC最新!A:F""
    ),
    5,
    FALSE
  ),
  0
)
"),11.0)</f>
        <v>11</v>
      </c>
      <c r="J35" s="50">
        <f t="shared" ref="J35:K35" si="166">IFERROR(F35/H35,"-")</f>
        <v>4.5</v>
      </c>
      <c r="K35" s="50">
        <f t="shared" si="166"/>
        <v>1.272727273</v>
      </c>
      <c r="L35" s="6">
        <f>IFERROR(__xludf.DUMMYFUNCTION("IFERROR(
  VLOOKUP(
    A35,
    IMPORTRANGE(
      ""1ZHMy3vVUd_0MrSduXTe1etBb1HNpAlGwQr006ljwMiM"",
      ""GSC最新!A:R""
    ),
    7,
    FALSE
  ),
  0
)
"),5358.0)</f>
        <v>5358</v>
      </c>
      <c r="M35" s="6">
        <f>IFERROR(__xludf.DUMMYFUNCTION("IFERROR(
  VLOOKUP(
    A35,
    IMPORTRANGE(
      ""1ZHMy3vVUd_0MrSduXTe1etBb1HNpAlGwQr006ljwMiM"",
      ""GSC最新!A:R""
    ),
    10,
    FALSE
  ),
  0
)
"),10693.0)</f>
        <v>10693</v>
      </c>
      <c r="N35" s="6">
        <f>IFERROR(__xludf.DUMMYFUNCTION("IFERROR(
  VLOOKUP(
    A35,
    IMPORTRANGE(
      ""1ZHMy3vVUd_0MrSduXTe1etBb1HNpAlGwQr006ljwMiM"",
      ""GSC最新!A:R""
    ),
    13,
    FALSE
  ),
  0
)
"),408.0)</f>
        <v>408</v>
      </c>
      <c r="O35" s="6">
        <f>IFERROR(__xludf.DUMMYFUNCTION("IFERROR(
  VLOOKUP(
    A35,
    IMPORTRANGE(
      ""1ZHMy3vVUd_0MrSduXTe1etBb1HNpAlGwQr006ljwMiM"",
      ""GSC最新!A:R""
    ),
    16,
    FALSE
  ),
  0
)
"),1645.0)</f>
        <v>1645</v>
      </c>
      <c r="P35" s="51">
        <f t="shared" ref="P35:Q35" si="167">IFERROR(L35/N35,"-")</f>
        <v>13.13235294</v>
      </c>
      <c r="Q35" s="51">
        <f t="shared" si="167"/>
        <v>6.500303951</v>
      </c>
      <c r="R35" s="9">
        <f>IFERROR(__xludf.DUMMYFUNCTION("IFERROR(
  VLOOKUP(
    A35,
    IMPORTRANGE(
      ""1ZHMy3vVUd_0MrSduXTe1etBb1HNpAlGwQr006ljwMiM"",
      ""GSC最新!A:R""
    ),
    8,
    FALSE
  ),
  0
)
"),0.0016797312430011197)</f>
        <v>0.001679731243</v>
      </c>
      <c r="S35" s="9">
        <f>IFERROR(__xludf.DUMMYFUNCTION("IFERROR(
  VLOOKUP(
    A35,
    IMPORTRANGE(
      ""1ZHMy3vVUd_0MrSduXTe1etBb1HNpAlGwQr006ljwMiM"",
      ""GSC最新!A:R""
    ),
    11,
    FALSE
  ),
  0
)
"),0.0013092677452539044)</f>
        <v>0.001309267745</v>
      </c>
      <c r="T35" s="9">
        <f>IFERROR(__xludf.DUMMYFUNCTION("IFERROR(
  VLOOKUP(
    A35,
    IMPORTRANGE(
      ""1ZHMy3vVUd_0MrSduXTe1etBb1HNpAlGwQr006ljwMiM"",
      ""GSC最新!A:R""
    ),
    14,
    FALSE
  ),
  0
)
"),0.004901960784313725)</f>
        <v>0.004901960784</v>
      </c>
      <c r="U35" s="9">
        <f>IFERROR(__xludf.DUMMYFUNCTION("IFERROR(
  VLOOKUP(
    A35,
    IMPORTRANGE(
      ""1ZHMy3vVUd_0MrSduXTe1etBb1HNpAlGwQr006ljwMiM"",
      ""GSC最新!A:R""
    ),
    17,
    FALSE
  ),
  0
)
"),0.006686930091185411)</f>
        <v>0.006686930091</v>
      </c>
      <c r="V35" s="9">
        <f t="shared" ref="V35:W35" si="168">IFERROR(R35-T35,"-")</f>
        <v>-0.003222229541</v>
      </c>
      <c r="W35" s="9">
        <f t="shared" si="168"/>
        <v>-0.005377662346</v>
      </c>
      <c r="X35" s="65">
        <f>IFERROR(__xludf.DUMMYFUNCTION("IFERROR(
  VLOOKUP(
    A35,
    IMPORTRANGE(
      ""1ZHMy3vVUd_0MrSduXTe1etBb1HNpAlGwQr006ljwMiM"",
      ""GSC最新!A:R""
    ),
    9,
    FALSE
  ),
  0
)
"),8.303844718178425)</f>
        <v>8.303844718</v>
      </c>
      <c r="Y35" s="65">
        <f>IFERROR(__xludf.DUMMYFUNCTION("IFERROR(
  VLOOKUP(
    A35,
    IMPORTRANGE(
      ""1ZHMy3vVUd_0MrSduXTe1etBb1HNpAlGwQr006ljwMiM"",
      ""GSC最新!A:R""
    ),
    12,
    FALSE
  ),
  0
)
"),8.864116711867577)</f>
        <v>8.864116712</v>
      </c>
      <c r="Z35" s="65">
        <f>IFERROR(__xludf.DUMMYFUNCTION("IFERROR(
  VLOOKUP(
    A35,
    IMPORTRANGE(
      ""1ZHMy3vVUd_0MrSduXTe1etBb1HNpAlGwQr006ljwMiM"",
      ""GSC最新!A:R""
    ),
    15,
    FALSE
  ),
  0
)
"),13.269607843137255)</f>
        <v>13.26960784</v>
      </c>
      <c r="AA35" s="65">
        <f>IFERROR(__xludf.DUMMYFUNCTION("IFERROR(
  VLOOKUP(
    A35,
    IMPORTRANGE(
      ""1ZHMy3vVUd_0MrSduXTe1etBb1HNpAlGwQr006ljwMiM"",
      ""GSC最新!A:R""
    ),
    18,
    FALSE
  ),
  0
)
"),15.23951367781155)</f>
        <v>15.23951368</v>
      </c>
      <c r="AB35" s="65">
        <f t="shared" ref="AB35:AC35" si="169">X35-Z35</f>
        <v>-4.965763125</v>
      </c>
      <c r="AC35" s="65">
        <f t="shared" si="169"/>
        <v>-6.375396966</v>
      </c>
      <c r="AD35" s="53">
        <f>IFERROR(__xludf.DUMMYFUNCTION("IFERROR(
  VLOOKUP(
    A35,
    IMPORTRANGE(
      ""1ZHMy3vVUd_0MrSduXTe1etBb1HNpAlGwQr006ljwMiM"",
      ""GSC最新!A:F""
    ),
    6,
    FALSE
  ),
  0
)
"),46081.0)</f>
        <v>46081</v>
      </c>
      <c r="AE35" s="54">
        <f>IFERROR(__xludf.DUMMYFUNCTION("IFERROR(
  VLOOKUP(
    A35,
    IMPORTRANGE(
      ""1SCYQd7_cobOYqT0r_F0IqD4tE4rYn5y8Eup4PJTH8es"",
      ""Snapshot!A:M""
    ),
    5,
    FALSE
  ),
  ""-""
)
"),0.0)</f>
        <v>0</v>
      </c>
      <c r="AF35" s="54">
        <f>IFERROR(__xludf.DUMMYFUNCTION("IFERROR(
  VLOOKUP(
    A35,
    IMPORTRANGE(
      ""1SCYQd7_cobOYqT0r_F0IqD4tE4rYn5y8Eup4PJTH8es"",
      ""Snapshot!A:M""
    ),
    6,
    FALSE
  ),
  0
)
"),1.0)</f>
        <v>1</v>
      </c>
      <c r="AG35" s="54">
        <f>IFERROR(__xludf.DUMMYFUNCTION("IFERROR(
  VLOOKUP(
    A35,
    IMPORTRANGE(
      ""1SCYQd7_cobOYqT0r_F0IqD4tE4rYn5y8Eup4PJTH8es"",
      ""Snapshot!A:M""
    ),
    7,
    FALSE
  ),
  0
)
"),2586.0)</f>
        <v>2586</v>
      </c>
      <c r="AH35" s="54">
        <f>IFERROR(__xludf.DUMMYFUNCTION("IFERROR(
  VLOOKUP(
    A35,
    IMPORTRANGE(
      ""1SCYQd7_cobOYqT0r_F0IqD4tE4rYn5y8Eup4PJTH8es"",
      ""Snapshot!A:M""
    ),
    8,
    FALSE
  ),
  0
)
"),1.0)</f>
        <v>1</v>
      </c>
      <c r="AI35" s="54">
        <f>IFERROR(__xludf.DUMMYFUNCTION("IFERROR(
  VLOOKUP(
    A35,
    IMPORTRANGE(
      ""1SCYQd7_cobOYqT0r_F0IqD4tE4rYn5y8Eup4PJTH8es"",
      ""Snapshot!A:M""
    ),
    9,
    FALSE
  ),
  0
)
"),4.0)</f>
        <v>4</v>
      </c>
      <c r="AJ35" s="54">
        <f>IFERROR(__xludf.DUMMYFUNCTION("IFERROR(
  VLOOKUP(
    A35,
    IMPORTRANGE(
      ""1SCYQd7_cobOYqT0r_F0IqD4tE4rYn5y8Eup4PJTH8es"",
      ""Snapshot!A:M""
    ),
    13,
    FALSE
  ),
  0
)
"),1.0)</f>
        <v>1</v>
      </c>
      <c r="AK35" s="49">
        <f t="shared" ref="AK35:AL35" si="170">LEN(C35)</f>
        <v>31</v>
      </c>
      <c r="AL35" s="49">
        <f t="shared" si="170"/>
        <v>64</v>
      </c>
    </row>
    <row r="36">
      <c r="A36" s="3" t="s">
        <v>1123</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"),"knifeの複数形はknives｜kniveが誤りの理由")</f>
        <v>knifeの複数形はknives｜kniveが誤りの理由</v>
      </c>
      <c r="D36" s="1" t="str">
        <f>IFERROR(__xludf.DUMMYFUNCTION("IFERROR(
  VLOOKUP(
    A36,
    IMPORTRANGE(
      ""1ZygntHC1J6IxzKbTidmOyf5nUyW4GCLurHCjexrLm_o        "",
      ""HTMLキャッシュ!A:F""
    ),
    6,
    FALSE
  ),
  0
)
"),"knifeの複数形はknives。kniveは×。なぜfがvに変わるか、f/fe→ves・子音+y→ies・es語尾を例で確認。中1英語の復習用にも使えます。")</f>
        <v>knifeの複数形はknives。kniveは×。なぜfがvに変わるか、f/fe→ves・子音+y→ies・es語尾を例で確認。中1英語の復習用にも使えます。</v>
      </c>
      <c r="E36" s="32">
        <f>IFERROR(__xludf.DUMMYFUNCTION("IFERROR(
  VLOOKUP(
    A36,
    IMPORTRANGE(
      ""1ZygntHC1J6IxzKbTidmOyf5nUyW4GCLurHCjexrLm_o        "",
      ""HTMLキャッシュ!A:F""
    ),
    3,
    FALSE
  ),
  0
)
"),46078.76576388889)</f>
        <v>46078.76576</v>
      </c>
      <c r="F36" s="49">
        <f>IFERROR(__xludf.DUMMYFUNCTION("IFERROR(
  VLOOKUP(
    A36,
    IMPORTRANGE(
      ""1ZHMy3vVUd_0MrSduXTe1etBb1HNpAlGwQr006ljwMiM"",
      ""GSC最新!A:F""
    ),
    2,
    FALSE
  ),
  0
)
"),8.0)</f>
        <v>8</v>
      </c>
      <c r="G36" s="49">
        <f>IFERROR(__xludf.DUMMYFUNCTION("IFERROR(
  VLOOKUP(
    A36,
    IMPORTRANGE(
      ""1ZHMy3vVUd_0MrSduXTe1etBb1HNpAlGwQr006ljwMiM"",
      ""GSC最新!A:F""
    ),
    3,
    FALSE
  ),
  0
)
"),14.0)</f>
        <v>14</v>
      </c>
      <c r="H36" s="49">
        <f>IFERROR(__xludf.DUMMYFUNCTION("IFERROR(
  VLOOKUP(
    A36,
    IMPORTRANGE(
      ""1ZHMy3vVUd_0MrSduXTe1etBb1HNpAlGwQr006ljwMiM"",
      ""GSC最新!A:F""
    ),
    4,
    FALSE
  ),
  0
)
"),8.0)</f>
        <v>8</v>
      </c>
      <c r="I36" s="49">
        <f>IFERROR(__xludf.DUMMYFUNCTION("IFERROR(
  VLOOKUP(
    A36,
    IMPORTRANGE(
      ""1ZHMy3vVUd_0MrSduXTe1etBb1HNpAlGwQr006ljwMiM"",
      ""GSC最新!A:F""
    ),
    5,
    FALSE
  ),
  0
)
"),24.0)</f>
        <v>24</v>
      </c>
      <c r="J36" s="50">
        <f t="shared" ref="J36:K36" si="171">IFERROR(F36/H36,"-")</f>
        <v>1</v>
      </c>
      <c r="K36" s="50">
        <f t="shared" si="171"/>
        <v>0.5833333333</v>
      </c>
      <c r="L36" s="6">
        <f>IFERROR(__xludf.DUMMYFUNCTION("IFERROR(
  VLOOKUP(
    A36,
    IMPORTRANGE(
      ""1ZHMy3vVUd_0MrSduXTe1etBb1HNpAlGwQr006ljwMiM"",
      ""GSC最新!A:R""
    ),
    7,
    FALSE
  ),
  0
)
"),3135.0)</f>
        <v>3135</v>
      </c>
      <c r="M36" s="6">
        <f>IFERROR(__xludf.DUMMYFUNCTION("IFERROR(
  VLOOKUP(
    A36,
    IMPORTRANGE(
      ""1ZHMy3vVUd_0MrSduXTe1etBb1HNpAlGwQr006ljwMiM"",
      ""GSC最新!A:R""
    ),
    10,
    FALSE
  ),
  0
)
"),8463.0)</f>
        <v>8463</v>
      </c>
      <c r="N36" s="6">
        <f>IFERROR(__xludf.DUMMYFUNCTION("IFERROR(
  VLOOKUP(
    A36,
    IMPORTRANGE(
      ""1ZHMy3vVUd_0MrSduXTe1etBb1HNpAlGwQr006ljwMiM"",
      ""GSC最新!A:R""
    ),
    13,
    FALSE
  ),
  0
)
"),666.0)</f>
        <v>666</v>
      </c>
      <c r="O36" s="6">
        <f>IFERROR(__xludf.DUMMYFUNCTION("IFERROR(
  VLOOKUP(
    A36,
    IMPORTRANGE(
      ""1ZHMy3vVUd_0MrSduXTe1etBb1HNpAlGwQr006ljwMiM"",
      ""GSC最新!A:R""
    ),
    16,
    FALSE
  ),
  0
)
"),2452.0)</f>
        <v>2452</v>
      </c>
      <c r="P36" s="51">
        <f t="shared" ref="P36:Q36" si="172">IFERROR(L36/N36,"-")</f>
        <v>4.707207207</v>
      </c>
      <c r="Q36" s="51">
        <f t="shared" si="172"/>
        <v>3.451468189</v>
      </c>
      <c r="R36" s="9">
        <f>IFERROR(__xludf.DUMMYFUNCTION("IFERROR(
  VLOOKUP(
    A36,
    IMPORTRANGE(
      ""1ZHMy3vVUd_0MrSduXTe1etBb1HNpAlGwQr006ljwMiM"",
      ""GSC最新!A:R""
    ),
    8,
    FALSE
  ),
  0
)
"),0.002551834130781499)</f>
        <v>0.002551834131</v>
      </c>
      <c r="S36" s="9">
        <f>IFERROR(__xludf.DUMMYFUNCTION("IFERROR(
  VLOOKUP(
    A36,
    IMPORTRANGE(
      ""1ZHMy3vVUd_0MrSduXTe1etBb1HNpAlGwQr006ljwMiM"",
      ""GSC最新!A:R""
    ),
    11,
    FALSE
  ),
  0
)
"),0.0016542597187758478)</f>
        <v>0.001654259719</v>
      </c>
      <c r="T36" s="9">
        <f>IFERROR(__xludf.DUMMYFUNCTION("IFERROR(
  VLOOKUP(
    A36,
    IMPORTRANGE(
      ""1ZHMy3vVUd_0MrSduXTe1etBb1HNpAlGwQr006ljwMiM"",
      ""GSC最新!A:R""
    ),
    14,
    FALSE
  ),
  0
)
"),0.012012012012012012)</f>
        <v>0.01201201201</v>
      </c>
      <c r="U36" s="9">
        <f>IFERROR(__xludf.DUMMYFUNCTION("IFERROR(
  VLOOKUP(
    A36,
    IMPORTRANGE(
      ""1ZHMy3vVUd_0MrSduXTe1etBb1HNpAlGwQr006ljwMiM"",
      ""GSC最新!A:R""
    ),
    17,
    FALSE
  ),
  0
)
"),0.009787928221859706)</f>
        <v>0.009787928222</v>
      </c>
      <c r="V36" s="9">
        <f t="shared" ref="V36:W36" si="173">IFERROR(R36-T36,"-")</f>
        <v>-0.009460177881</v>
      </c>
      <c r="W36" s="9">
        <f t="shared" si="173"/>
        <v>-0.008133668503</v>
      </c>
      <c r="X36" s="65">
        <f>IFERROR(__xludf.DUMMYFUNCTION("IFERROR(
  VLOOKUP(
    A36,
    IMPORTRANGE(
      ""1ZHMy3vVUd_0MrSduXTe1etBb1HNpAlGwQr006ljwMiM"",
      ""GSC最新!A:R""
    ),
    9,
    FALSE
  ),
  0
)
"),2.6650717703349285)</f>
        <v>2.66507177</v>
      </c>
      <c r="Y36" s="65">
        <f>IFERROR(__xludf.DUMMYFUNCTION("IFERROR(
  VLOOKUP(
    A36,
    IMPORTRANGE(
      ""1ZHMy3vVUd_0MrSduXTe1etBb1HNpAlGwQr006ljwMiM"",
      ""GSC最新!A:R""
    ),
    12,
    FALSE
  ),
  0
)
"),3.3651187522155266)</f>
        <v>3.365118752</v>
      </c>
      <c r="Z36" s="65">
        <f>IFERROR(__xludf.DUMMYFUNCTION("IFERROR(
  VLOOKUP(
    A36,
    IMPORTRANGE(
      ""1ZHMy3vVUd_0MrSduXTe1etBb1HNpAlGwQr006ljwMiM"",
      ""GSC最新!A:R""
    ),
    15,
    FALSE
  ),
  0
)
"),10.33933933933934)</f>
        <v>10.33933934</v>
      </c>
      <c r="AA36" s="65">
        <f>IFERROR(__xludf.DUMMYFUNCTION("IFERROR(
  VLOOKUP(
    A36,
    IMPORTRANGE(
      ""1ZHMy3vVUd_0MrSduXTe1etBb1HNpAlGwQr006ljwMiM"",
      ""GSC最新!A:R""
    ),
    18,
    FALSE
  ),
  0
)
"),12.109298531810767)</f>
        <v>12.10929853</v>
      </c>
      <c r="AB36" s="65">
        <f t="shared" ref="AB36:AC36" si="174">X36-Z36</f>
        <v>-7.674267569</v>
      </c>
      <c r="AC36" s="65">
        <f t="shared" si="174"/>
        <v>-8.74417978</v>
      </c>
      <c r="AD36" s="53">
        <f>IFERROR(__xludf.DUMMYFUNCTION("IFERROR(
  VLOOKUP(
    A36,
    IMPORTRANGE(
      ""1ZHMy3vVUd_0MrSduXTe1etBb1HNpAlGwQr006ljwMiM"",
      ""GSC最新!A:F""
    ),
    6,
    FALSE
  ),
  0
)
"),46081.0)</f>
        <v>46081</v>
      </c>
      <c r="AE36" s="54">
        <f>IFERROR(__xludf.DUMMYFUNCTION("IFERROR(
  VLOOKUP(
    A36,
    IMPORTRANGE(
      ""1SCYQd7_cobOYqT0r_F0IqD4tE4rYn5y8Eup4PJTH8es"",
      ""Snapshot!A:M""
    ),
    5,
    FALSE
  ),
  ""-""
)
"),0.0)</f>
        <v>0</v>
      </c>
      <c r="AF36" s="54">
        <f>IFERROR(__xludf.DUMMYFUNCTION("IFERROR(
  VLOOKUP(
    A36,
    IMPORTRANGE(
      ""1SCYQd7_cobOYqT0r_F0IqD4tE4rYn5y8Eup4PJTH8es"",
      ""Snapshot!A:M""
    ),
    6,
    FALSE
  ),
  0
)
"),7.0)</f>
        <v>7</v>
      </c>
      <c r="AG36" s="54">
        <f>IFERROR(__xludf.DUMMYFUNCTION("IFERROR(
  VLOOKUP(
    A36,
    IMPORTRANGE(
      ""1SCYQd7_cobOYqT0r_F0IqD4tE4rYn5y8Eup4PJTH8es"",
      ""Snapshot!A:M""
    ),
    7,
    FALSE
  ),
  0
)
"),1135.0)</f>
        <v>1135</v>
      </c>
      <c r="AH36" s="54">
        <f>IFERROR(__xludf.DUMMYFUNCTION("IFERROR(
  VLOOKUP(
    A36,
    IMPORTRANGE(
      ""1SCYQd7_cobOYqT0r_F0IqD4tE4rYn5y8Eup4PJTH8es"",
      ""Snapshot!A:M""
    ),
    8,
    FALSE
  ),
  0
)
"),1.0)</f>
        <v>1</v>
      </c>
      <c r="AI36" s="54">
        <f>IFERROR(__xludf.DUMMYFUNCTION("IFERROR(
  VLOOKUP(
    A36,
    IMPORTRANGE(
      ""1SCYQd7_cobOYqT0r_F0IqD4tE4rYn5y8Eup4PJTH8es"",
      ""Snapshot!A:M""
    ),
    9,
    FALSE
  ),
  0
)
"),4.0)</f>
        <v>4</v>
      </c>
      <c r="AJ36" s="54">
        <f>IFERROR(__xludf.DUMMYFUNCTION("IFERROR(
  VLOOKUP(
    A36,
    IMPORTRANGE(
      ""1SCYQd7_cobOYqT0r_F0IqD4tE4rYn5y8Eup4PJTH8es"",
      ""Snapshot!A:M""
    ),
    13,
    FALSE
  ),
  0
)
"),1.0)</f>
        <v>1</v>
      </c>
      <c r="AK36" s="49">
        <f t="shared" ref="AK36:AL36" si="175">LEN(C36)</f>
        <v>28</v>
      </c>
      <c r="AL36" s="49">
        <f t="shared" si="175"/>
        <v>79</v>
      </c>
    </row>
    <row r="37">
      <c r="A37" s="3" t="s">
        <v>1124</v>
      </c>
      <c r="B37" s="1" t="str">
        <f>IFERROR(__xludf.DUMMYFUNCTION("IFERROR(
  VLOOKUP(
    A37,
    IMPORTRANGE(
      ""1ZygntHC1J6IxzKbTidmOyf5nUyW4GCLurHCjexrLm_o"",
      ""HTMLキャッシュ!A:F""
    ),
    2,
    FALSE
  ),
  0
)
"),"MC")</f>
        <v>MC</v>
      </c>
      <c r="C37" s="1" t="str">
        <f>IFERROR(__xludf.DUMMYFUNCTION("IFERROR(
  VLOOKUP(
    A37,
    IMPORTRANGE(
      ""1ZygntHC1J6IxzKbTidmOyf5nUyW4GCLurHCjexrLm_o"",
      ""HTMLキャッシュ!A:F""
    ),
    5,
    FALSE
  ),
  0
)
"),"何色ですか英語｜What color is it｜中1")</f>
        <v>何色ですか英語｜What color is it｜中1</v>
      </c>
      <c r="D37" s="1" t="str">
        <f>IFERROR(__xludf.DUMMYFUNCTION("IFERROR(
  VLOOKUP(
    A37,
    IMPORTRANGE(
      ""1ZygntHC1J6IxzKbTidmOyf5nUyW4GCLurHCjexrLm_o        "",
      ""HTMLキャッシュ!A:F""
    ),
    6,
    FALSE
  ),
  0
)
"),"「何色ですか」はWhat color is/are。It’s/They’reで答える。単数複数のis/areと語順（What is 〜 color?）を例文で確認。")</f>
        <v>「何色ですか」はWhat color is/are。It’s/They’reで答える。単数複数のis/areと語順（What is 〜 color?）を例文で確認。</v>
      </c>
      <c r="E37" s="32">
        <f>IFERROR(__xludf.DUMMYFUNCTION("IFERROR(
  VLOOKUP(
    A37,
    IMPORTRANGE(
      ""1ZygntHC1J6IxzKbTidmOyf5nUyW4GCLurHCjexrLm_o        "",
      ""HTMLキャッシュ!A:F""
    ),
    3,
    FALSE
  ),
  0
)
"),46061.91519675926)</f>
        <v>46061.9152</v>
      </c>
      <c r="F37" s="49">
        <f>IFERROR(__xludf.DUMMYFUNCTION("IFERROR(
  VLOOKUP(
    A37,
    IMPORTRANGE(
      ""1ZHMy3vVUd_0MrSduXTe1etBb1HNpAlGwQr006ljwMiM"",
      ""GSC最新!A:F""
    ),
    2,
    FALSE
  ),
  0
)
"),5.0)</f>
        <v>5</v>
      </c>
      <c r="G37" s="49">
        <f>IFERROR(__xludf.DUMMYFUNCTION("IFERROR(
  VLOOKUP(
    A37,
    IMPORTRANGE(
      ""1ZHMy3vVUd_0MrSduXTe1etBb1HNpAlGwQr006ljwMiM"",
      ""GSC最新!A:F""
    ),
    3,
    FALSE
  ),
  0
)
"),14.0)</f>
        <v>14</v>
      </c>
      <c r="H37" s="49">
        <f>IFERROR(__xludf.DUMMYFUNCTION("IFERROR(
  VLOOKUP(
    A37,
    IMPORTRANGE(
      ""1ZHMy3vVUd_0MrSduXTe1etBb1HNpAlGwQr006ljwMiM"",
      ""GSC最新!A:F""
    ),
    4,
    FALSE
  ),
  0
)
"),4.0)</f>
        <v>4</v>
      </c>
      <c r="I37" s="49">
        <f>IFERROR(__xludf.DUMMYFUNCTION("IFERROR(
  VLOOKUP(
    A37,
    IMPORTRANGE(
      ""1ZHMy3vVUd_0MrSduXTe1etBb1HNpAlGwQr006ljwMiM"",
      ""GSC最新!A:F""
    ),
    5,
    FALSE
  ),
  0
)
"),14.0)</f>
        <v>14</v>
      </c>
      <c r="J37" s="50">
        <f t="shared" ref="J37:K37" si="176">IFERROR(F37/H37,"-")</f>
        <v>1.25</v>
      </c>
      <c r="K37" s="50">
        <f t="shared" si="176"/>
        <v>1</v>
      </c>
      <c r="L37" s="6">
        <f>IFERROR(__xludf.DUMMYFUNCTION("IFERROR(
  VLOOKUP(
    A37,
    IMPORTRANGE(
      ""1ZHMy3vVUd_0MrSduXTe1etBb1HNpAlGwQr006ljwMiM"",
      ""GSC最新!A:R""
    ),
    7,
    FALSE
  ),
  0
)
"),1697.0)</f>
        <v>1697</v>
      </c>
      <c r="M37" s="6">
        <f>IFERROR(__xludf.DUMMYFUNCTION("IFERROR(
  VLOOKUP(
    A37,
    IMPORTRANGE(
      ""1ZHMy3vVUd_0MrSduXTe1etBb1HNpAlGwQr006ljwMiM"",
      ""GSC最新!A:R""
    ),
    10,
    FALSE
  ),
  0
)
"),4736.0)</f>
        <v>4736</v>
      </c>
      <c r="N37" s="6">
        <f>IFERROR(__xludf.DUMMYFUNCTION("IFERROR(
  VLOOKUP(
    A37,
    IMPORTRANGE(
      ""1ZHMy3vVUd_0MrSduXTe1etBb1HNpAlGwQr006ljwMiM"",
      ""GSC最新!A:R""
    ),
    13,
    FALSE
  ),
  0
)
"),342.0)</f>
        <v>342</v>
      </c>
      <c r="O37" s="6">
        <f>IFERROR(__xludf.DUMMYFUNCTION("IFERROR(
  VLOOKUP(
    A37,
    IMPORTRANGE(
      ""1ZHMy3vVUd_0MrSduXTe1etBb1HNpAlGwQr006ljwMiM"",
      ""GSC最新!A:R""
    ),
    16,
    FALSE
  ),
  0
)
"),1312.0)</f>
        <v>1312</v>
      </c>
      <c r="P37" s="51">
        <f t="shared" ref="P37:Q37" si="177">IFERROR(L37/N37,"-")</f>
        <v>4.961988304</v>
      </c>
      <c r="Q37" s="51">
        <f t="shared" si="177"/>
        <v>3.609756098</v>
      </c>
      <c r="R37" s="9">
        <f>IFERROR(__xludf.DUMMYFUNCTION("IFERROR(
  VLOOKUP(
    A37,
    IMPORTRANGE(
      ""1ZHMy3vVUd_0MrSduXTe1etBb1HNpAlGwQr006ljwMiM"",
      ""GSC最新!A:R""
    ),
    8,
    FALSE
  ),
  0
)
"),0.0029463759575721863)</f>
        <v>0.002946375958</v>
      </c>
      <c r="S37" s="9">
        <f>IFERROR(__xludf.DUMMYFUNCTION("IFERROR(
  VLOOKUP(
    A37,
    IMPORTRANGE(
      ""1ZHMy3vVUd_0MrSduXTe1etBb1HNpAlGwQr006ljwMiM"",
      ""GSC最新!A:R""
    ),
    11,
    FALSE
  ),
  0
)
"),0.0029560810810810812)</f>
        <v>0.002956081081</v>
      </c>
      <c r="T37" s="9">
        <f>IFERROR(__xludf.DUMMYFUNCTION("IFERROR(
  VLOOKUP(
    A37,
    IMPORTRANGE(
      ""1ZHMy3vVUd_0MrSduXTe1etBb1HNpAlGwQr006ljwMiM"",
      ""GSC最新!A:R""
    ),
    14,
    FALSE
  ),
  0
)
"),0.011695906432748537)</f>
        <v>0.01169590643</v>
      </c>
      <c r="U37" s="9">
        <f>IFERROR(__xludf.DUMMYFUNCTION("IFERROR(
  VLOOKUP(
    A37,
    IMPORTRANGE(
      ""1ZHMy3vVUd_0MrSduXTe1etBb1HNpAlGwQr006ljwMiM"",
      ""GSC最新!A:R""
    ),
    17,
    FALSE
  ),
  0
)
"),0.010670731707317074)</f>
        <v>0.01067073171</v>
      </c>
      <c r="V37" s="9">
        <f t="shared" ref="V37:W37" si="178">IFERROR(R37-T37,"-")</f>
        <v>-0.008749530475</v>
      </c>
      <c r="W37" s="9">
        <f t="shared" si="178"/>
        <v>-0.007714650626</v>
      </c>
      <c r="X37" s="65">
        <f>IFERROR(__xludf.DUMMYFUNCTION("IFERROR(
  VLOOKUP(
    A37,
    IMPORTRANGE(
      ""1ZHMy3vVUd_0MrSduXTe1etBb1HNpAlGwQr006ljwMiM"",
      ""GSC最新!A:R""
    ),
    9,
    FALSE
  ),
  0
)
"),6.967000589275192)</f>
        <v>6.967000589</v>
      </c>
      <c r="Y37" s="65">
        <f>IFERROR(__xludf.DUMMYFUNCTION("IFERROR(
  VLOOKUP(
    A37,
    IMPORTRANGE(
      ""1ZHMy3vVUd_0MrSduXTe1etBb1HNpAlGwQr006ljwMiM"",
      ""GSC最新!A:R""
    ),
    12,
    FALSE
  ),
  0
)
"),7.7483108108108105)</f>
        <v>7.748310811</v>
      </c>
      <c r="Z37" s="65">
        <f>IFERROR(__xludf.DUMMYFUNCTION("IFERROR(
  VLOOKUP(
    A37,
    IMPORTRANGE(
      ""1ZHMy3vVUd_0MrSduXTe1etBb1HNpAlGwQr006ljwMiM"",
      ""GSC最新!A:R""
    ),
    15,
    FALSE
  ),
  0
)
"),9.909356725146198)</f>
        <v>9.909356725</v>
      </c>
      <c r="AA37" s="65">
        <f>IFERROR(__xludf.DUMMYFUNCTION("IFERROR(
  VLOOKUP(
    A37,
    IMPORTRANGE(
      ""1ZHMy3vVUd_0MrSduXTe1etBb1HNpAlGwQr006ljwMiM"",
      ""GSC最新!A:R""
    ),
    18,
    FALSE
  ),
  0
)
"),9.888719512195122)</f>
        <v>9.888719512</v>
      </c>
      <c r="AB37" s="65">
        <f t="shared" ref="AB37:AC37" si="179">X37-Z37</f>
        <v>-2.942356136</v>
      </c>
      <c r="AC37" s="65">
        <f t="shared" si="179"/>
        <v>-2.140408701</v>
      </c>
      <c r="AD37" s="53">
        <f>IFERROR(__xludf.DUMMYFUNCTION("IFERROR(
  VLOOKUP(
    A37,
    IMPORTRANGE(
      ""1ZHMy3vVUd_0MrSduXTe1etBb1HNpAlGwQr006ljwMiM"",
      ""GSC最新!A:F""
    ),
    6,
    FALSE
  ),
  0
)
"),46081.0)</f>
        <v>46081</v>
      </c>
      <c r="AE37" s="54">
        <f>IFERROR(__xludf.DUMMYFUNCTION("IFERROR(
  VLOOKUP(
    A37,
    IMPORTRANGE(
      ""1SCYQd7_cobOYqT0r_F0IqD4tE4rYn5y8Eup4PJTH8es"",
      ""Snapshot!A:M""
    ),
    5,
    FALSE
  ),
  ""-""
)
"),0.0)</f>
        <v>0</v>
      </c>
      <c r="AF37" s="54">
        <f>IFERROR(__xludf.DUMMYFUNCTION("IFERROR(
  VLOOKUP(
    A37,
    IMPORTRANGE(
      ""1SCYQd7_cobOYqT0r_F0IqD4tE4rYn5y8Eup4PJTH8es"",
      ""Snapshot!A:M""
    ),
    6,
    FALSE
  ),
  0
)
"),3.0)</f>
        <v>3</v>
      </c>
      <c r="AG37" s="54">
        <f>IFERROR(__xludf.DUMMYFUNCTION("IFERROR(
  VLOOKUP(
    A37,
    IMPORTRANGE(
      ""1SCYQd7_cobOYqT0r_F0IqD4tE4rYn5y8Eup4PJTH8es"",
      ""Snapshot!A:M""
    ),
    7,
    FALSE
  ),
  0
)
"),1050.0)</f>
        <v>1050</v>
      </c>
      <c r="AH37" s="54">
        <f>IFERROR(__xludf.DUMMYFUNCTION("IFERROR(
  VLOOKUP(
    A37,
    IMPORTRANGE(
      ""1SCYQd7_cobOYqT0r_F0IqD4tE4rYn5y8Eup4PJTH8es"",
      ""Snapshot!A:M""
    ),
    8,
    FALSE
  ),
  0
)
"),1.0)</f>
        <v>1</v>
      </c>
      <c r="AI37" s="54">
        <f>IFERROR(__xludf.DUMMYFUNCTION("IFERROR(
  VLOOKUP(
    A37,
    IMPORTRANGE(
      ""1SCYQd7_cobOYqT0r_F0IqD4tE4rYn5y8Eup4PJTH8es"",
      ""Snapshot!A:M""
    ),
    9,
    FALSE
  ),
  0
)
"),4.0)</f>
        <v>4</v>
      </c>
      <c r="AJ37" s="54">
        <f>IFERROR(__xludf.DUMMYFUNCTION("IFERROR(
  VLOOKUP(
    A37,
    IMPORTRANGE(
      ""1SCYQd7_cobOYqT0r_F0IqD4tE4rYn5y8Eup4PJTH8es"",
      ""Snapshot!A:M""
    ),
    13,
    FALSE
  ),
  0
)
"),1.0)</f>
        <v>1</v>
      </c>
      <c r="AK37" s="49">
        <f t="shared" ref="AK37:AL37" si="180">LEN(C37)</f>
        <v>27</v>
      </c>
      <c r="AL37" s="49">
        <f t="shared" si="180"/>
        <v>82</v>
      </c>
    </row>
    <row r="38">
      <c r="A38" s="3" t="s">
        <v>1125</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"),"a few／a little／a lot ofの使い分け整理｜15-4")</f>
        <v>a few／a little／a lot ofの使い分け整理｜15-4</v>
      </c>
      <c r="D38" s="1" t="str">
        <f>IFERROR(__xludf.DUMMYFUNCTION("IFERROR(
  VLOOKUP(
    A38,
    IMPORTRANGE(
      ""1ZygntHC1J6IxzKbTidmOyf5nUyW4GCLurHCjexrLm_o        "",
      ""HTMLキャッシュ!A:F""
    ),
    6,
    FALSE
  ),
  0
)
"),"a lot ofの後ろが単数か複数かを可算/不可算で即判定。a few・a littleとの違いまで整理し、定期テストのミスを防ぐ。")</f>
        <v>a lot ofの後ろが単数か複数かを可算/不可算で即判定。a few・a littleとの違いまで整理し、定期テストのミスを防ぐ。</v>
      </c>
      <c r="E38" s="32">
        <f>IFERROR(__xludf.DUMMYFUNCTION("IFERROR(
  VLOOKUP(
    A38,
    IMPORTRANGE(
      ""1ZygntHC1J6IxzKbTidmOyf5nUyW4GCLurHCjexrLm_o        "",
      ""HTMLキャッシュ!A:F""
    ),
    3,
    FALSE
  ),
  0
)
"),46074.56427083333)</f>
        <v>46074.56427</v>
      </c>
      <c r="F38" s="49">
        <f>IFERROR(__xludf.DUMMYFUNCTION("IFERROR(
  VLOOKUP(
    A38,
    IMPORTRANGE(
      ""1ZHMy3vVUd_0MrSduXTe1etBb1HNpAlGwQr006ljwMiM"",
      ""GSC最新!A:F""
    ),
    2,
    FALSE
  ),
  0
)
"),7.0)</f>
        <v>7</v>
      </c>
      <c r="G38" s="49">
        <f>IFERROR(__xludf.DUMMYFUNCTION("IFERROR(
  VLOOKUP(
    A38,
    IMPORTRANGE(
      ""1ZHMy3vVUd_0MrSduXTe1etBb1HNpAlGwQr006ljwMiM"",
      ""GSC最新!A:F""
    ),
    3,
    FALSE
  ),
  0
)
"),13.0)</f>
        <v>13</v>
      </c>
      <c r="H38" s="49">
        <f>IFERROR(__xludf.DUMMYFUNCTION("IFERROR(
  VLOOKUP(
    A38,
    IMPORTRANGE(
      ""1ZHMy3vVUd_0MrSduXTe1etBb1HNpAlGwQr006ljwMiM"",
      ""GSC最新!A:F""
    ),
    4,
    FALSE
  ),
  0
)
"),0.0)</f>
        <v>0</v>
      </c>
      <c r="I38" s="49">
        <f>IFERROR(__xludf.DUMMYFUNCTION("IFERROR(
  VLOOKUP(
    A38,
    IMPORTRANGE(
      ""1ZHMy3vVUd_0MrSduXTe1etBb1HNpAlGwQr006ljwMiM"",
      ""GSC最新!A:F""
    ),
    5,
    FALSE
  ),
  0
)
"),4.0)</f>
        <v>4</v>
      </c>
      <c r="J38" s="50" t="str">
        <f t="shared" ref="J38:K38" si="181">IFERROR(F38/H38,"-")</f>
        <v>-</v>
      </c>
      <c r="K38" s="50">
        <f t="shared" si="181"/>
        <v>3.25</v>
      </c>
      <c r="L38" s="6">
        <f>IFERROR(__xludf.DUMMYFUNCTION("IFERROR(
  VLOOKUP(
    A38,
    IMPORTRANGE(
      ""1ZHMy3vVUd_0MrSduXTe1etBb1HNpAlGwQr006ljwMiM"",
      ""GSC最新!A:R""
    ),
    7,
    FALSE
  ),
  0
)
"),8201.0)</f>
        <v>8201</v>
      </c>
      <c r="M38" s="6">
        <f>IFERROR(__xludf.DUMMYFUNCTION("IFERROR(
  VLOOKUP(
    A38,
    IMPORTRANGE(
      ""1ZHMy3vVUd_0MrSduXTe1etBb1HNpAlGwQr006ljwMiM"",
      ""GSC最新!A:R""
    ),
    10,
    FALSE
  ),
  0
)
"),18074.0)</f>
        <v>18074</v>
      </c>
      <c r="N38" s="6">
        <f>IFERROR(__xludf.DUMMYFUNCTION("IFERROR(
  VLOOKUP(
    A38,
    IMPORTRANGE(
      ""1ZHMy3vVUd_0MrSduXTe1etBb1HNpAlGwQr006ljwMiM"",
      ""GSC最新!A:R""
    ),
    13,
    FALSE
  ),
  0
)
"),1060.0)</f>
        <v>1060</v>
      </c>
      <c r="O38" s="6">
        <f>IFERROR(__xludf.DUMMYFUNCTION("IFERROR(
  VLOOKUP(
    A38,
    IMPORTRANGE(
      ""1ZHMy3vVUd_0MrSduXTe1etBb1HNpAlGwQr006ljwMiM"",
      ""GSC最新!A:R""
    ),
    16,
    FALSE
  ),
  0
)
"),2683.0)</f>
        <v>2683</v>
      </c>
      <c r="P38" s="51">
        <f t="shared" ref="P38:Q38" si="182">IFERROR(L38/N38,"-")</f>
        <v>7.736792453</v>
      </c>
      <c r="Q38" s="51">
        <f t="shared" si="182"/>
        <v>6.736489005</v>
      </c>
      <c r="R38" s="9">
        <f>IFERROR(__xludf.DUMMYFUNCTION("IFERROR(
  VLOOKUP(
    A38,
    IMPORTRANGE(
      ""1ZHMy3vVUd_0MrSduXTe1etBb1HNpAlGwQr006ljwMiM"",
      ""GSC最新!A:R""
    ),
    8,
    FALSE
  ),
  0
)
"),8.535544445799293E-4)</f>
        <v>0.0008535544446</v>
      </c>
      <c r="S38" s="9">
        <f>IFERROR(__xludf.DUMMYFUNCTION("IFERROR(
  VLOOKUP(
    A38,
    IMPORTRANGE(
      ""1ZHMy3vVUd_0MrSduXTe1etBb1HNpAlGwQr006ljwMiM"",
      ""GSC最新!A:R""
    ),
    11,
    FALSE
  ),
  0
)
"),7.192652428903398E-4)</f>
        <v>0.0007192652429</v>
      </c>
      <c r="T38" s="9">
        <f>IFERROR(__xludf.DUMMYFUNCTION("IFERROR(
  VLOOKUP(
    A38,
    IMPORTRANGE(
      ""1ZHMy3vVUd_0MrSduXTe1etBb1HNpAlGwQr006ljwMiM"",
      ""GSC最新!A:R""
    ),
    14,
    FALSE
  ),
  0
)
"),0.0)</f>
        <v>0</v>
      </c>
      <c r="U38" s="9">
        <f>IFERROR(__xludf.DUMMYFUNCTION("IFERROR(
  VLOOKUP(
    A38,
    IMPORTRANGE(
      ""1ZHMy3vVUd_0MrSduXTe1etBb1HNpAlGwQr006ljwMiM"",
      ""GSC最新!A:R""
    ),
    17,
    FALSE
  ),
  0
)
"),0.0014908684308609765)</f>
        <v>0.001490868431</v>
      </c>
      <c r="V38" s="9">
        <f t="shared" ref="V38:W38" si="183">IFERROR(R38-T38,"-")</f>
        <v>0.0008535544446</v>
      </c>
      <c r="W38" s="9">
        <f t="shared" si="183"/>
        <v>-0.000771603188</v>
      </c>
      <c r="X38" s="65">
        <f>IFERROR(__xludf.DUMMYFUNCTION("IFERROR(
  VLOOKUP(
    A38,
    IMPORTRANGE(
      ""1ZHMy3vVUd_0MrSduXTe1etBb1HNpAlGwQr006ljwMiM"",
      ""GSC最新!A:R""
    ),
    9,
    FALSE
  ),
  0
)
"),7.621265699304963)</f>
        <v>7.621265699</v>
      </c>
      <c r="Y38" s="65">
        <f>IFERROR(__xludf.DUMMYFUNCTION("IFERROR(
  VLOOKUP(
    A38,
    IMPORTRANGE(
      ""1ZHMy3vVUd_0MrSduXTe1etBb1HNpAlGwQr006ljwMiM"",
      ""GSC最新!A:R""
    ),
    12,
    FALSE
  ),
  0
)
"),7.586699125816089)</f>
        <v>7.586699126</v>
      </c>
      <c r="Z38" s="65">
        <f>IFERROR(__xludf.DUMMYFUNCTION("IFERROR(
  VLOOKUP(
    A38,
    IMPORTRANGE(
      ""1ZHMy3vVUd_0MrSduXTe1etBb1HNpAlGwQr006ljwMiM"",
      ""GSC最新!A:R""
    ),
    15,
    FALSE
  ),
  0
)
"),9.116037735849057)</f>
        <v>9.116037736</v>
      </c>
      <c r="AA38" s="65">
        <f>IFERROR(__xludf.DUMMYFUNCTION("IFERROR(
  VLOOKUP(
    A38,
    IMPORTRANGE(
      ""1ZHMy3vVUd_0MrSduXTe1etBb1HNpAlGwQr006ljwMiM"",
      ""GSC最新!A:R""
    ),
    18,
    FALSE
  ),
  0
)
"),10.563920983973164)</f>
        <v>10.56392098</v>
      </c>
      <c r="AB38" s="65">
        <f t="shared" ref="AB38:AC38" si="184">X38-Z38</f>
        <v>-1.494772037</v>
      </c>
      <c r="AC38" s="65">
        <f t="shared" si="184"/>
        <v>-2.977221858</v>
      </c>
      <c r="AD38" s="53">
        <f>IFERROR(__xludf.DUMMYFUNCTION("IFERROR(
  VLOOKUP(
    A38,
    IMPORTRANGE(
      ""1ZHMy3vVUd_0MrSduXTe1etBb1HNpAlGwQr006ljwMiM"",
      ""GSC最新!A:F""
    ),
    6,
    FALSE
  ),
  0
)
"),46081.0)</f>
        <v>46081</v>
      </c>
      <c r="AE38" s="54">
        <f>IFERROR(__xludf.DUMMYFUNCTION("IFERROR(
  VLOOKUP(
    A38,
    IMPORTRANGE(
      ""1SCYQd7_cobOYqT0r_F0IqD4tE4rYn5y8Eup4PJTH8es"",
      ""Snapshot!A:M""
    ),
    5,
    FALSE
  ),
  ""-""
)
"),0.0)</f>
        <v>0</v>
      </c>
      <c r="AF38" s="54">
        <f>IFERROR(__xludf.DUMMYFUNCTION("IFERROR(
  VLOOKUP(
    A38,
    IMPORTRANGE(
      ""1SCYQd7_cobOYqT0r_F0IqD4tE4rYn5y8Eup4PJTH8es"",
      ""Snapshot!A:M""
    ),
    6,
    FALSE
  ),
  0
)
"),3.0)</f>
        <v>3</v>
      </c>
      <c r="AG38" s="54">
        <f>IFERROR(__xludf.DUMMYFUNCTION("IFERROR(
  VLOOKUP(
    A38,
    IMPORTRANGE(
      ""1SCYQd7_cobOYqT0r_F0IqD4tE4rYn5y8Eup4PJTH8es"",
      ""Snapshot!A:M""
    ),
    7,
    FALSE
  ),
  0
)
"),1746.0)</f>
        <v>1746</v>
      </c>
      <c r="AH38" s="54">
        <f>IFERROR(__xludf.DUMMYFUNCTION("IFERROR(
  VLOOKUP(
    A38,
    IMPORTRANGE(
      ""1SCYQd7_cobOYqT0r_F0IqD4tE4rYn5y8Eup4PJTH8es"",
      ""Snapshot!A:M""
    ),
    8,
    FALSE
  ),
  0
)
"),1.0)</f>
        <v>1</v>
      </c>
      <c r="AI38" s="54">
        <f>IFERROR(__xludf.DUMMYFUNCTION("IFERROR(
  VLOOKUP(
    A38,
    IMPORTRANGE(
      ""1SCYQd7_cobOYqT0r_F0IqD4tE4rYn5y8Eup4PJTH8es"",
      ""Snapshot!A:M""
    ),
    9,
    FALSE
  ),
  0
)
"),4.0)</f>
        <v>4</v>
      </c>
      <c r="AJ38" s="54">
        <f>IFERROR(__xludf.DUMMYFUNCTION("IFERROR(
  VLOOKUP(
    A38,
    IMPORTRANGE(
      ""1SCYQd7_cobOYqT0r_F0IqD4tE4rYn5y8Eup4PJTH8es"",
      ""Snapshot!A:M""
    ),
    13,
    FALSE
  ),
  0
)
"),1.0)</f>
        <v>1</v>
      </c>
      <c r="AK38" s="49">
        <f t="shared" ref="AK38:AL38" si="185">LEN(C38)</f>
        <v>35</v>
      </c>
      <c r="AL38" s="49">
        <f t="shared" si="185"/>
        <v>66</v>
      </c>
    </row>
    <row r="39">
      <c r="A39" s="3" t="s">
        <v>1126</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"),"三単現と do/does｜疑問文と否定文の作り方を徹底整理")</f>
        <v>三単現と do/does｜疑問文と否定文の作り方を徹底整理</v>
      </c>
      <c r="D39" s="1" t="str">
        <f>IFERROR(__xludf.DUMMYFUNCTION("IFERROR(
  VLOOKUP(
    A39,
    IMPORTRANGE(
      ""1ZygntHC1J6IxzKbTidmOyf5nUyW4GCLurHCjexrLm_o        "",
      ""HTMLキャッシュ!A:F""
    ),
    6,
    FALSE
  ),
  0
)
"),"疑問文・否定文はdo→does＋動詞原形。三単現のsは肯定文だけ。Does＋主語＋原形／doesn&amp;#039;t＋原形／Yes, it doesを例文で確認。")</f>
        <v>疑問文・否定文はdo→does＋動詞原形。三単現のsは肯定文だけ。Does＋主語＋原形／doesn&amp;#039;t＋原形／Yes, it doesを例文で確認。</v>
      </c>
      <c r="E39" s="32">
        <f>IFERROR(__xludf.DUMMYFUNCTION("IFERROR(
  VLOOKUP(
    A39,
    IMPORTRANGE(
      ""1ZygntHC1J6IxzKbTidmOyf5nUyW4GCLurHCjexrLm_o        "",
      ""HTMLキャッシュ!A:F""
    ),
    3,
    FALSE
  ),
  0
)
"),46074.58096064815)</f>
        <v>46074.58096</v>
      </c>
      <c r="F39" s="49">
        <f>IFERROR(__xludf.DUMMYFUNCTION("IFERROR(
  VLOOKUP(
    A39,
    IMPORTRANGE(
      ""1ZHMy3vVUd_0MrSduXTe1etBb1HNpAlGwQr006ljwMiM"",
      ""GSC最新!A:F""
    ),
    2,
    FALSE
  ),
  0
)
"),2.0)</f>
        <v>2</v>
      </c>
      <c r="G39" s="49">
        <f>IFERROR(__xludf.DUMMYFUNCTION("IFERROR(
  VLOOKUP(
    A39,
    IMPORTRANGE(
      ""1ZHMy3vVUd_0MrSduXTe1etBb1HNpAlGwQr006ljwMiM"",
      ""GSC最新!A:F""
    ),
    3,
    FALSE
  ),
  0
)
"),13.0)</f>
        <v>13</v>
      </c>
      <c r="H39" s="49">
        <f>IFERROR(__xludf.DUMMYFUNCTION("IFERROR(
  VLOOKUP(
    A39,
    IMPORTRANGE(
      ""1ZHMy3vVUd_0MrSduXTe1etBb1HNpAlGwQr006ljwMiM"",
      ""GSC最新!A:F""
    ),
    4,
    FALSE
  ),
  0
)
"),3.0)</f>
        <v>3</v>
      </c>
      <c r="I39" s="49">
        <f>IFERROR(__xludf.DUMMYFUNCTION("IFERROR(
  VLOOKUP(
    A39,
    IMPORTRANGE(
      ""1ZHMy3vVUd_0MrSduXTe1etBb1HNpAlGwQr006ljwMiM"",
      ""GSC最新!A:F""
    ),
    5,
    FALSE
  ),
  0
)
"),13.0)</f>
        <v>13</v>
      </c>
      <c r="J39" s="50">
        <f t="shared" ref="J39:K39" si="186">IFERROR(F39/H39,"-")</f>
        <v>0.6666666667</v>
      </c>
      <c r="K39" s="50">
        <f t="shared" si="186"/>
        <v>1</v>
      </c>
      <c r="L39" s="6">
        <f>IFERROR(__xludf.DUMMYFUNCTION("IFERROR(
  VLOOKUP(
    A39,
    IMPORTRANGE(
      ""1ZHMy3vVUd_0MrSduXTe1etBb1HNpAlGwQr006ljwMiM"",
      ""GSC最新!A:R""
    ),
    7,
    FALSE
  ),
  0
)
"),4697.0)</f>
        <v>4697</v>
      </c>
      <c r="M39" s="6">
        <f>IFERROR(__xludf.DUMMYFUNCTION("IFERROR(
  VLOOKUP(
    A39,
    IMPORTRANGE(
      ""1ZHMy3vVUd_0MrSduXTe1etBb1HNpAlGwQr006ljwMiM"",
      ""GSC最新!A:R""
    ),
    10,
    FALSE
  ),
  0
)
"),11797.0)</f>
        <v>11797</v>
      </c>
      <c r="N39" s="6">
        <f>IFERROR(__xludf.DUMMYFUNCTION("IFERROR(
  VLOOKUP(
    A39,
    IMPORTRANGE(
      ""1ZHMy3vVUd_0MrSduXTe1etBb1HNpAlGwQr006ljwMiM"",
      ""GSC最新!A:R""
    ),
    13,
    FALSE
  ),
  0
)
"),1321.0)</f>
        <v>1321</v>
      </c>
      <c r="O39" s="6">
        <f>IFERROR(__xludf.DUMMYFUNCTION("IFERROR(
  VLOOKUP(
    A39,
    IMPORTRANGE(
      ""1ZHMy3vVUd_0MrSduXTe1etBb1HNpAlGwQr006ljwMiM"",
      ""GSC最新!A:R""
    ),
    16,
    FALSE
  ),
  0
)
"),3702.0)</f>
        <v>3702</v>
      </c>
      <c r="P39" s="51">
        <f t="shared" ref="P39:Q39" si="187">IFERROR(L39/N39,"-")</f>
        <v>3.555639667</v>
      </c>
      <c r="Q39" s="51">
        <f t="shared" si="187"/>
        <v>3.186655862</v>
      </c>
      <c r="R39" s="9">
        <f>IFERROR(__xludf.DUMMYFUNCTION("IFERROR(
  VLOOKUP(
    A39,
    IMPORTRANGE(
      ""1ZHMy3vVUd_0MrSduXTe1etBb1HNpAlGwQr006ljwMiM"",
      ""GSC最新!A:R""
    ),
    8,
    FALSE
  ),
  0
)
"),4.258037044922291E-4)</f>
        <v>0.0004258037045</v>
      </c>
      <c r="S39" s="9">
        <f>IFERROR(__xludf.DUMMYFUNCTION("IFERROR(
  VLOOKUP(
    A39,
    IMPORTRANGE(
      ""1ZHMy3vVUd_0MrSduXTe1etBb1HNpAlGwQr006ljwMiM"",
      ""GSC最新!A:R""
    ),
    11,
    FALSE
  ),
  0
)
"),0.0011019750784097653)</f>
        <v>0.001101975078</v>
      </c>
      <c r="T39" s="9">
        <f>IFERROR(__xludf.DUMMYFUNCTION("IFERROR(
  VLOOKUP(
    A39,
    IMPORTRANGE(
      ""1ZHMy3vVUd_0MrSduXTe1etBb1HNpAlGwQr006ljwMiM"",
      ""GSC最新!A:R""
    ),
    14,
    FALSE
  ),
  0
)
"),0.002271006813020439)</f>
        <v>0.002271006813</v>
      </c>
      <c r="U39" s="9">
        <f>IFERROR(__xludf.DUMMYFUNCTION("IFERROR(
  VLOOKUP(
    A39,
    IMPORTRANGE(
      ""1ZHMy3vVUd_0MrSduXTe1etBb1HNpAlGwQr006ljwMiM"",
      ""GSC最新!A:R""
    ),
    17,
    FALSE
  ),
  0
)
"),0.0035116153430578066)</f>
        <v>0.003511615343</v>
      </c>
      <c r="V39" s="9">
        <f t="shared" ref="V39:W39" si="188">IFERROR(R39-T39,"-")</f>
        <v>-0.001845203109</v>
      </c>
      <c r="W39" s="9">
        <f t="shared" si="188"/>
        <v>-0.002409640265</v>
      </c>
      <c r="X39" s="65">
        <f>IFERROR(__xludf.DUMMYFUNCTION("IFERROR(
  VLOOKUP(
    A39,
    IMPORTRANGE(
      ""1ZHMy3vVUd_0MrSduXTe1etBb1HNpAlGwQr006ljwMiM"",
      ""GSC最新!A:R""
    ),
    9,
    FALSE
  ),
  0
)
"),3.189482648499042)</f>
        <v>3.189482648</v>
      </c>
      <c r="Y39" s="65">
        <f>IFERROR(__xludf.DUMMYFUNCTION("IFERROR(
  VLOOKUP(
    A39,
    IMPORTRANGE(
      ""1ZHMy3vVUd_0MrSduXTe1etBb1HNpAlGwQr006ljwMiM"",
      ""GSC最新!A:R""
    ),
    12,
    FALSE
  ),
  0
)
"),4.256505891328304)</f>
        <v>4.256505891</v>
      </c>
      <c r="Z39" s="65">
        <f>IFERROR(__xludf.DUMMYFUNCTION("IFERROR(
  VLOOKUP(
    A39,
    IMPORTRANGE(
      ""1ZHMy3vVUd_0MrSduXTe1etBb1HNpAlGwQr006ljwMiM"",
      ""GSC最新!A:R""
    ),
    15,
    FALSE
  ),
  0
)
"),5.6578349735049205)</f>
        <v>5.657834974</v>
      </c>
      <c r="AA39" s="65">
        <f>IFERROR(__xludf.DUMMYFUNCTION("IFERROR(
  VLOOKUP(
    A39,
    IMPORTRANGE(
      ""1ZHMy3vVUd_0MrSduXTe1etBb1HNpAlGwQr006ljwMiM"",
      ""GSC最新!A:R""
    ),
    18,
    FALSE
  ),
  0
)
"),6.387088060507834)</f>
        <v>6.387088061</v>
      </c>
      <c r="AB39" s="65">
        <f t="shared" ref="AB39:AC39" si="189">X39-Z39</f>
        <v>-2.468352325</v>
      </c>
      <c r="AC39" s="65">
        <f t="shared" si="189"/>
        <v>-2.130582169</v>
      </c>
      <c r="AD39" s="53">
        <f>IFERROR(__xludf.DUMMYFUNCTION("IFERROR(
  VLOOKUP(
    A39,
    IMPORTRANGE(
      ""1ZHMy3vVUd_0MrSduXTe1etBb1HNpAlGwQr006ljwMiM"",
      ""GSC最新!A:F""
    ),
    6,
    FALSE
  ),
  0
)
"),46081.0)</f>
        <v>46081</v>
      </c>
      <c r="AE39" s="54">
        <f>IFERROR(__xludf.DUMMYFUNCTION("IFERROR(
  VLOOKUP(
    A39,
    IMPORTRANGE(
      ""1SCYQd7_cobOYqT0r_F0IqD4tE4rYn5y8Eup4PJTH8es"",
      ""Snapshot!A:M""
    ),
    5,
    FALSE
  ),
  ""-""
)
"),0.0)</f>
        <v>0</v>
      </c>
      <c r="AF39" s="54">
        <f>IFERROR(__xludf.DUMMYFUNCTION("IFERROR(
  VLOOKUP(
    A39,
    IMPORTRANGE(
      ""1SCYQd7_cobOYqT0r_F0IqD4tE4rYn5y8Eup4PJTH8es"",
      ""Snapshot!A:M""
    ),
    6,
    FALSE
  ),
  0
)
"),0.0)</f>
        <v>0</v>
      </c>
      <c r="AG39" s="54">
        <f>IFERROR(__xludf.DUMMYFUNCTION("IFERROR(
  VLOOKUP(
    A39,
    IMPORTRANGE(
      ""1SCYQd7_cobOYqT0r_F0IqD4tE4rYn5y8Eup4PJTH8es"",
      ""Snapshot!A:M""
    ),
    7,
    FALSE
  ),
  0
)
"),1777.0)</f>
        <v>1777</v>
      </c>
      <c r="AH39" s="54">
        <f>IFERROR(__xludf.DUMMYFUNCTION("IFERROR(
  VLOOKUP(
    A39,
    IMPORTRANGE(
      ""1SCYQd7_cobOYqT0r_F0IqD4tE4rYn5y8Eup4PJTH8es"",
      ""Snapshot!A:M""
    ),
    8,
    FALSE
  ),
  0
)
"),1.0)</f>
        <v>1</v>
      </c>
      <c r="AI39" s="54">
        <f>IFERROR(__xludf.DUMMYFUNCTION("IFERROR(
  VLOOKUP(
    A39,
    IMPORTRANGE(
      ""1SCYQd7_cobOYqT0r_F0IqD4tE4rYn5y8Eup4PJTH8es"",
      ""Snapshot!A:M""
    ),
    9,
    FALSE
  ),
  0
)
"),4.0)</f>
        <v>4</v>
      </c>
      <c r="AJ39" s="54">
        <f>IFERROR(__xludf.DUMMYFUNCTION("IFERROR(
  VLOOKUP(
    A39,
    IMPORTRANGE(
      ""1SCYQd7_cobOYqT0r_F0IqD4tE4rYn5y8Eup4PJTH8es"",
      ""Snapshot!A:M""
    ),
    13,
    FALSE
  ),
  0
)
"),1.0)</f>
        <v>1</v>
      </c>
      <c r="AK39" s="49">
        <f t="shared" ref="AK39:AL39" si="190">LEN(C39)</f>
        <v>29</v>
      </c>
      <c r="AL39" s="49">
        <f t="shared" si="190"/>
        <v>79</v>
      </c>
    </row>
    <row r="40">
      <c r="A40" s="3" t="s">
        <v>1127</v>
      </c>
      <c r="B40" s="1" t="str">
        <f>IFERROR(__xludf.DUMMYFUNCTION("IFERROR(
  VLOOKUP(
    A40,
    IMPORTRANGE(
      ""1ZygntHC1J6IxzKbTidmOyf5nUyW4GCLurHCjexrLm_o"",
      ""HTMLキャッシュ!A:F""
    ),
    2,
    FALSE
  ),
  0
)
"),"MC")</f>
        <v>MC</v>
      </c>
      <c r="C40" s="1" t="str">
        <f>IFERROR(__xludf.DUMMYFUNCTION("IFERROR(
  VLOOKUP(
    A40,
    IMPORTRANGE(
      ""1ZygntHC1J6IxzKbTidmOyf5nUyW4GCLurHCjexrLm_o"",
      ""HTMLキャッシュ!A:F""
    ),
    5,
    FALSE
  ),
  0
)
"),"bread複数形｜loaf/loavesと数え方｜物質名詞")</f>
        <v>bread複数形｜loaf/loavesと数え方｜物質名詞</v>
      </c>
      <c r="D40" s="1" t="str">
        <f>IFERROR(__xludf.DUMMYFUNCTION("IFERROR(
  VLOOKUP(
    A40,
    IMPORTRANGE(
      ""1ZygntHC1J6IxzKbTidmOyf5nUyW4GCLurHCjexrLm_o        "",
      ""HTMLキャッシュ!A:F""
    ),
    6,
    FALSE
  ),
  0
)
"),"breadは不可算名詞。複数形にせず、a loaf of bread／two loaves、slice・pieceでの数え方を例文で確認。")</f>
        <v>breadは不可算名詞。複数形にせず、a loaf of bread／two loaves、slice・pieceでの数え方を例文で確認。</v>
      </c>
      <c r="E40" s="32">
        <f>IFERROR(__xludf.DUMMYFUNCTION("IFERROR(
  VLOOKUP(
    A40,
    IMPORTRANGE(
      ""1ZygntHC1J6IxzKbTidmOyf5nUyW4GCLurHCjexrLm_o        "",
      ""HTMLキャッシュ!A:F""
    ),
    3,
    FALSE
  ),
  0
)
"),46078.766122685185)</f>
        <v>46078.76612</v>
      </c>
      <c r="F40" s="49">
        <f>IFERROR(__xludf.DUMMYFUNCTION("IFERROR(
  VLOOKUP(
    A40,
    IMPORTRANGE(
      ""1ZHMy3vVUd_0MrSduXTe1etBb1HNpAlGwQr006ljwMiM"",
      ""GSC最新!A:F""
    ),
    2,
    FALSE
  ),
  0
)
"),7.0)</f>
        <v>7</v>
      </c>
      <c r="G40" s="49">
        <f>IFERROR(__xludf.DUMMYFUNCTION("IFERROR(
  VLOOKUP(
    A40,
    IMPORTRANGE(
      ""1ZHMy3vVUd_0MrSduXTe1etBb1HNpAlGwQr006ljwMiM"",
      ""GSC最新!A:F""
    ),
    3,
    FALSE
  ),
  0
)
"),14.0)</f>
        <v>14</v>
      </c>
      <c r="H40" s="49">
        <f>IFERROR(__xludf.DUMMYFUNCTION("IFERROR(
  VLOOKUP(
    A40,
    IMPORTRANGE(
      ""1ZHMy3vVUd_0MrSduXTe1etBb1HNpAlGwQr006ljwMiM"",
      ""GSC最新!A:F""
    ),
    4,
    FALSE
  ),
  0
)
"),5.0)</f>
        <v>5</v>
      </c>
      <c r="I40" s="49">
        <f>IFERROR(__xludf.DUMMYFUNCTION("IFERROR(
  VLOOKUP(
    A40,
    IMPORTRANGE(
      ""1ZHMy3vVUd_0MrSduXTe1etBb1HNpAlGwQr006ljwMiM"",
      ""GSC最新!A:F""
    ),
    5,
    FALSE
  ),
  0
)
"),15.0)</f>
        <v>15</v>
      </c>
      <c r="J40" s="50">
        <f t="shared" ref="J40:K40" si="191">IFERROR(F40/H40,"-")</f>
        <v>1.4</v>
      </c>
      <c r="K40" s="50">
        <f t="shared" si="191"/>
        <v>0.9333333333</v>
      </c>
      <c r="L40" s="6">
        <f>IFERROR(__xludf.DUMMYFUNCTION("IFERROR(
  VLOOKUP(
    A40,
    IMPORTRANGE(
      ""1ZHMy3vVUd_0MrSduXTe1etBb1HNpAlGwQr006ljwMiM"",
      ""GSC最新!A:R""
    ),
    7,
    FALSE
  ),
  0
)
"),3450.0)</f>
        <v>3450</v>
      </c>
      <c r="M40" s="6">
        <f>IFERROR(__xludf.DUMMYFUNCTION("IFERROR(
  VLOOKUP(
    A40,
    IMPORTRANGE(
      ""1ZHMy3vVUd_0MrSduXTe1etBb1HNpAlGwQr006ljwMiM"",
      ""GSC最新!A:R""
    ),
    10,
    FALSE
  ),
  0
)
"),7880.0)</f>
        <v>7880</v>
      </c>
      <c r="N40" s="6">
        <f>IFERROR(__xludf.DUMMYFUNCTION("IFERROR(
  VLOOKUP(
    A40,
    IMPORTRANGE(
      ""1ZHMy3vVUd_0MrSduXTe1etBb1HNpAlGwQr006ljwMiM"",
      ""GSC最新!A:R""
    ),
    13,
    FALSE
  ),
  0
)
"),640.0)</f>
        <v>640</v>
      </c>
      <c r="O40" s="6">
        <f>IFERROR(__xludf.DUMMYFUNCTION("IFERROR(
  VLOOKUP(
    A40,
    IMPORTRANGE(
      ""1ZHMy3vVUd_0MrSduXTe1etBb1HNpAlGwQr006ljwMiM"",
      ""GSC最新!A:R""
    ),
    16,
    FALSE
  ),
  0
)
"),2255.0)</f>
        <v>2255</v>
      </c>
      <c r="P40" s="51">
        <f t="shared" ref="P40:Q40" si="192">IFERROR(L40/N40,"-")</f>
        <v>5.390625</v>
      </c>
      <c r="Q40" s="51">
        <f t="shared" si="192"/>
        <v>3.494456763</v>
      </c>
      <c r="R40" s="9">
        <f>IFERROR(__xludf.DUMMYFUNCTION("IFERROR(
  VLOOKUP(
    A40,
    IMPORTRANGE(
      ""1ZHMy3vVUd_0MrSduXTe1etBb1HNpAlGwQr006ljwMiM"",
      ""GSC最新!A:R""
    ),
    8,
    FALSE
  ),
  0
)
"),0.002028985507246377)</f>
        <v>0.002028985507</v>
      </c>
      <c r="S40" s="9">
        <f>IFERROR(__xludf.DUMMYFUNCTION("IFERROR(
  VLOOKUP(
    A40,
    IMPORTRANGE(
      ""1ZHMy3vVUd_0MrSduXTe1etBb1HNpAlGwQr006ljwMiM"",
      ""GSC最新!A:R""
    ),
    11,
    FALSE
  ),
  0
)
"),0.0017766497461928934)</f>
        <v>0.001776649746</v>
      </c>
      <c r="T40" s="9">
        <f>IFERROR(__xludf.DUMMYFUNCTION("IFERROR(
  VLOOKUP(
    A40,
    IMPORTRANGE(
      ""1ZHMy3vVUd_0MrSduXTe1etBb1HNpAlGwQr006ljwMiM"",
      ""GSC最新!A:R""
    ),
    14,
    FALSE
  ),
  0
)
"),0.0078125)</f>
        <v>0.0078125</v>
      </c>
      <c r="U40" s="9">
        <f>IFERROR(__xludf.DUMMYFUNCTION("IFERROR(
  VLOOKUP(
    A40,
    IMPORTRANGE(
      ""1ZHMy3vVUd_0MrSduXTe1etBb1HNpAlGwQr006ljwMiM"",
      ""GSC最新!A:R""
    ),
    17,
    FALSE
  ),
  0
)
"),0.0066518847006651885)</f>
        <v>0.006651884701</v>
      </c>
      <c r="V40" s="9">
        <f t="shared" ref="V40:W40" si="193">IFERROR(R40-T40,"-")</f>
        <v>-0.005783514493</v>
      </c>
      <c r="W40" s="9">
        <f t="shared" si="193"/>
        <v>-0.004875234954</v>
      </c>
      <c r="X40" s="65">
        <f>IFERROR(__xludf.DUMMYFUNCTION("IFERROR(
  VLOOKUP(
    A40,
    IMPORTRANGE(
      ""1ZHMy3vVUd_0MrSduXTe1etBb1HNpAlGwQr006ljwMiM"",
      ""GSC最新!A:R""
    ),
    9,
    FALSE
  ),
  0
)
"),5.9571014492753624)</f>
        <v>5.957101449</v>
      </c>
      <c r="Y40" s="65">
        <f>IFERROR(__xludf.DUMMYFUNCTION("IFERROR(
  VLOOKUP(
    A40,
    IMPORTRANGE(
      ""1ZHMy3vVUd_0MrSduXTe1etBb1HNpAlGwQr006ljwMiM"",
      ""GSC最新!A:R""
    ),
    12,
    FALSE
  ),
  0
)
"),6.201269035532995)</f>
        <v>6.201269036</v>
      </c>
      <c r="Z40" s="65">
        <f>IFERROR(__xludf.DUMMYFUNCTION("IFERROR(
  VLOOKUP(
    A40,
    IMPORTRANGE(
      ""1ZHMy3vVUd_0MrSduXTe1etBb1HNpAlGwQr006ljwMiM"",
      ""GSC最新!A:R""
    ),
    15,
    FALSE
  ),
  0
)
"),6.796875)</f>
        <v>6.796875</v>
      </c>
      <c r="AA40" s="65">
        <f>IFERROR(__xludf.DUMMYFUNCTION("IFERROR(
  VLOOKUP(
    A40,
    IMPORTRANGE(
      ""1ZHMy3vVUd_0MrSduXTe1etBb1HNpAlGwQr006ljwMiM"",
      ""GSC最新!A:R""
    ),
    18,
    FALSE
  ),
  0
)
"),7.9609756097560975)</f>
        <v>7.96097561</v>
      </c>
      <c r="AB40" s="65">
        <f t="shared" ref="AB40:AC40" si="194">X40-Z40</f>
        <v>-0.8397735507</v>
      </c>
      <c r="AC40" s="65">
        <f t="shared" si="194"/>
        <v>-1.759706574</v>
      </c>
      <c r="AD40" s="53">
        <f>IFERROR(__xludf.DUMMYFUNCTION("IFERROR(
  VLOOKUP(
    A40,
    IMPORTRANGE(
      ""1ZHMy3vVUd_0MrSduXTe1etBb1HNpAlGwQr006ljwMiM"",
      ""GSC最新!A:F""
    ),
    6,
    FALSE
  ),
  0
)
"),46081.0)</f>
        <v>46081</v>
      </c>
      <c r="AE40" s="54">
        <f>IFERROR(__xludf.DUMMYFUNCTION("IFERROR(
  VLOOKUP(
    A40,
    IMPORTRANGE(
      ""1SCYQd7_cobOYqT0r_F0IqD4tE4rYn5y8Eup4PJTH8es"",
      ""Snapshot!A:M""
    ),
    5,
    FALSE
  ),
  ""-""
)
"),0.0)</f>
        <v>0</v>
      </c>
      <c r="AF40" s="54">
        <f>IFERROR(__xludf.DUMMYFUNCTION("IFERROR(
  VLOOKUP(
    A40,
    IMPORTRANGE(
      ""1SCYQd7_cobOYqT0r_F0IqD4tE4rYn5y8Eup4PJTH8es"",
      ""Snapshot!A:M""
    ),
    6,
    FALSE
  ),
  0
)
"),8.0)</f>
        <v>8</v>
      </c>
      <c r="AG40" s="54">
        <f>IFERROR(__xludf.DUMMYFUNCTION("IFERROR(
  VLOOKUP(
    A40,
    IMPORTRANGE(
      ""1SCYQd7_cobOYqT0r_F0IqD4tE4rYn5y8Eup4PJTH8es"",
      ""Snapshot!A:M""
    ),
    7,
    FALSE
  ),
  0
)
"),4111.0)</f>
        <v>4111</v>
      </c>
      <c r="AH40" s="54">
        <f>IFERROR(__xludf.DUMMYFUNCTION("IFERROR(
  VLOOKUP(
    A40,
    IMPORTRANGE(
      ""1SCYQd7_cobOYqT0r_F0IqD4tE4rYn5y8Eup4PJTH8es"",
      ""Snapshot!A:M""
    ),
    8,
    FALSE
  ),
  0
)
"),1.0)</f>
        <v>1</v>
      </c>
      <c r="AI40" s="54">
        <f>IFERROR(__xludf.DUMMYFUNCTION("IFERROR(
  VLOOKUP(
    A40,
    IMPORTRANGE(
      ""1SCYQd7_cobOYqT0r_F0IqD4tE4rYn5y8Eup4PJTH8es"",
      ""Snapshot!A:M""
    ),
    9,
    FALSE
  ),
  0
)
"),4.0)</f>
        <v>4</v>
      </c>
      <c r="AJ40" s="54">
        <f>IFERROR(__xludf.DUMMYFUNCTION("IFERROR(
  VLOOKUP(
    A40,
    IMPORTRANGE(
      ""1SCYQd7_cobOYqT0r_F0IqD4tE4rYn5y8Eup4PJTH8es"",
      ""Snapshot!A:M""
    ),
    13,
    FALSE
  ),
  0
)
"),1.0)</f>
        <v>1</v>
      </c>
      <c r="AK40" s="49">
        <f t="shared" ref="AK40:AL40" si="195">LEN(C40)</f>
        <v>29</v>
      </c>
      <c r="AL40" s="49">
        <f t="shared" si="195"/>
        <v>69</v>
      </c>
    </row>
    <row r="41">
      <c r="A41" s="3" t="s">
        <v>1128</v>
      </c>
      <c r="B41" s="1" t="str">
        <f>IFERROR(__xludf.DUMMYFUNCTION("IFERROR(
  VLOOKUP(
    A41,
    IMPORTRANGE(
      ""1ZygntHC1J6IxzKbTidmOyf5nUyW4GCLurHCjexrLm_o"",
      ""HTMLキャッシュ!A:F""
    ),
    2,
    FALSE
  ),
  0
)
"),"MC")</f>
        <v>MC</v>
      </c>
      <c r="C41" s="1" t="str">
        <f>IFERROR(__xludf.DUMMYFUNCTION("IFERROR(
  VLOOKUP(
    A41,
    IMPORTRANGE(
      ""1ZygntHC1J6IxzKbTidmOyf5nUyW4GCLurHCjexrLm_o"",
      ""HTMLキャッシュ!A:F""
    ),
    5,
    FALSE
  ),
  0
)
"),"動名詞構文【Book2 Lesson14 Scene1】 - 新宿区四谷の英語専門塾「英語教室『サポート』」～英語は別に怖くない！～")</f>
        <v>動名詞構文【Book2 Lesson14 Scene1】 - 新宿区四谷の英語専門塾「英語教室『サポート』」～英語は別に怖くない！～</v>
      </c>
      <c r="D41" s="1" t="str">
        <f>IFERROR(__xludf.DUMMYFUNCTION("IFERROR(
  VLOOKUP(
    A41,
    IMPORTRANGE(
      ""1ZygntHC1J6IxzKbTidmOyf5nUyW4GCLurHCjexrLm_o        "",
      ""HTMLキャッシュ!A:F""
    ),
    6,
    FALSE
  ),
  0
)
"),"動名詞構文の概要 今回のテーマは「動名詞構文」です。Book2 Lesson14のシーン1に基づき、特にbef")</f>
        <v>動名詞構文の概要 今回のテーマは「動名詞構文」です。Book2 Lesson14のシーン1に基づき、特にbef</v>
      </c>
      <c r="E41" s="32">
        <f>IFERROR(__xludf.DUMMYFUNCTION("IFERROR(
  VLOOKUP(
    A41,
    IMPORTRANGE(
      ""1ZygntHC1J6IxzKbTidmOyf5nUyW4GCLurHCjexrLm_o        "",
      ""HTMLキャッシュ!A:F""
    ),
    3,
    FALSE
  ),
  0
)
"),45972.691724537035)</f>
        <v>45972.69172</v>
      </c>
      <c r="F41" s="49">
        <f>IFERROR(__xludf.DUMMYFUNCTION("IFERROR(
  VLOOKUP(
    A41,
    IMPORTRANGE(
      ""1ZHMy3vVUd_0MrSduXTe1etBb1HNpAlGwQr006ljwMiM"",
      ""GSC最新!A:F""
    ),
    2,
    FALSE
  ),
  0
)
"),7.0)</f>
        <v>7</v>
      </c>
      <c r="G41" s="49">
        <f>IFERROR(__xludf.DUMMYFUNCTION("IFERROR(
  VLOOKUP(
    A41,
    IMPORTRANGE(
      ""1ZHMy3vVUd_0MrSduXTe1etBb1HNpAlGwQr006ljwMiM"",
      ""GSC最新!A:F""
    ),
    3,
    FALSE
  ),
  0
)
"),12.0)</f>
        <v>12</v>
      </c>
      <c r="H41" s="49">
        <f>IFERROR(__xludf.DUMMYFUNCTION("IFERROR(
  VLOOKUP(
    A41,
    IMPORTRANGE(
      ""1ZHMy3vVUd_0MrSduXTe1etBb1HNpAlGwQr006ljwMiM"",
      ""GSC最新!A:F""
    ),
    4,
    FALSE
  ),
  0
)
"),0.0)</f>
        <v>0</v>
      </c>
      <c r="I41" s="49">
        <f>IFERROR(__xludf.DUMMYFUNCTION("IFERROR(
  VLOOKUP(
    A41,
    IMPORTRANGE(
      ""1ZHMy3vVUd_0MrSduXTe1etBb1HNpAlGwQr006ljwMiM"",
      ""GSC最新!A:F""
    ),
    5,
    FALSE
  ),
  0
)
"),0.0)</f>
        <v>0</v>
      </c>
      <c r="J41" s="50" t="str">
        <f t="shared" ref="J41:K41" si="196">IFERROR(F41/H41,"-")</f>
        <v>-</v>
      </c>
      <c r="K41" s="50" t="str">
        <f t="shared" si="196"/>
        <v>-</v>
      </c>
      <c r="L41" s="6">
        <f>IFERROR(__xludf.DUMMYFUNCTION("IFERROR(
  VLOOKUP(
    A41,
    IMPORTRANGE(
      ""1ZHMy3vVUd_0MrSduXTe1etBb1HNpAlGwQr006ljwMiM"",
      ""GSC最新!A:R""
    ),
    7,
    FALSE
  ),
  0
)
"),452.0)</f>
        <v>452</v>
      </c>
      <c r="M41" s="6">
        <f>IFERROR(__xludf.DUMMYFUNCTION("IFERROR(
  VLOOKUP(
    A41,
    IMPORTRANGE(
      ""1ZHMy3vVUd_0MrSduXTe1etBb1HNpAlGwQr006ljwMiM"",
      ""GSC最新!A:R""
    ),
    10,
    FALSE
  ),
  0
)
"),1280.0)</f>
        <v>1280</v>
      </c>
      <c r="N41" s="6">
        <f>IFERROR(__xludf.DUMMYFUNCTION("IFERROR(
  VLOOKUP(
    A41,
    IMPORTRANGE(
      ""1ZHMy3vVUd_0MrSduXTe1etBb1HNpAlGwQr006ljwMiM"",
      ""GSC最新!A:R""
    ),
    13,
    FALSE
  ),
  0
)
"),8.0)</f>
        <v>8</v>
      </c>
      <c r="O41" s="6">
        <f>IFERROR(__xludf.DUMMYFUNCTION("IFERROR(
  VLOOKUP(
    A41,
    IMPORTRANGE(
      ""1ZHMy3vVUd_0MrSduXTe1etBb1HNpAlGwQr006ljwMiM"",
      ""GSC最新!A:R""
    ),
    16,
    FALSE
  ),
  0
)
"),15.0)</f>
        <v>15</v>
      </c>
      <c r="P41" s="51">
        <f t="shared" ref="P41:Q41" si="197">IFERROR(L41/N41,"-")</f>
        <v>56.5</v>
      </c>
      <c r="Q41" s="51">
        <f t="shared" si="197"/>
        <v>85.33333333</v>
      </c>
      <c r="R41" s="9">
        <f>IFERROR(__xludf.DUMMYFUNCTION("IFERROR(
  VLOOKUP(
    A41,
    IMPORTRANGE(
      ""1ZHMy3vVUd_0MrSduXTe1etBb1HNpAlGwQr006ljwMiM"",
      ""GSC最新!A:R""
    ),
    8,
    FALSE
  ),
  0
)
"),0.015486725663716814)</f>
        <v>0.01548672566</v>
      </c>
      <c r="S41" s="9">
        <f>IFERROR(__xludf.DUMMYFUNCTION("IFERROR(
  VLOOKUP(
    A41,
    IMPORTRANGE(
      ""1ZHMy3vVUd_0MrSduXTe1etBb1HNpAlGwQr006ljwMiM"",
      ""GSC最新!A:R""
    ),
    11,
    FALSE
  ),
  0
)
"),0.009375)</f>
        <v>0.009375</v>
      </c>
      <c r="T41" s="9">
        <f>IFERROR(__xludf.DUMMYFUNCTION("IFERROR(
  VLOOKUP(
    A41,
    IMPORTRANGE(
      ""1ZHMy3vVUd_0MrSduXTe1etBb1HNpAlGwQr006ljwMiM"",
      ""GSC最新!A:R""
    ),
    14,
    FALSE
  ),
  0
)
"),0.0)</f>
        <v>0</v>
      </c>
      <c r="U41" s="9">
        <f>IFERROR(__xludf.DUMMYFUNCTION("IFERROR(
  VLOOKUP(
    A41,
    IMPORTRANGE(
      ""1ZHMy3vVUd_0MrSduXTe1etBb1HNpAlGwQr006ljwMiM"",
      ""GSC最新!A:R""
    ),
    17,
    FALSE
  ),
  0
)
"),0.0)</f>
        <v>0</v>
      </c>
      <c r="V41" s="9">
        <f t="shared" ref="V41:W41" si="198">IFERROR(R41-T41,"-")</f>
        <v>0.01548672566</v>
      </c>
      <c r="W41" s="9">
        <f t="shared" si="198"/>
        <v>0.009375</v>
      </c>
      <c r="X41" s="65">
        <f>IFERROR(__xludf.DUMMYFUNCTION("IFERROR(
  VLOOKUP(
    A41,
    IMPORTRANGE(
      ""1ZHMy3vVUd_0MrSduXTe1etBb1HNpAlGwQr006ljwMiM"",
      ""GSC最新!A:R""
    ),
    9,
    FALSE
  ),
  0
)
"),6.676991150442478)</f>
        <v>6.67699115</v>
      </c>
      <c r="Y41" s="65">
        <f>IFERROR(__xludf.DUMMYFUNCTION("IFERROR(
  VLOOKUP(
    A41,
    IMPORTRANGE(
      ""1ZHMy3vVUd_0MrSduXTe1etBb1HNpAlGwQr006ljwMiM"",
      ""GSC最新!A:R""
    ),
    12,
    FALSE
  ),
  0
)
"),6.6125)</f>
        <v>6.6125</v>
      </c>
      <c r="Z41" s="65">
        <f>IFERROR(__xludf.DUMMYFUNCTION("IFERROR(
  VLOOKUP(
    A41,
    IMPORTRANGE(
      ""1ZHMy3vVUd_0MrSduXTe1etBb1HNpAlGwQr006ljwMiM"",
      ""GSC最新!A:R""
    ),
    15,
    FALSE
  ),
  0
)
"),8.5)</f>
        <v>8.5</v>
      </c>
      <c r="AA41" s="65">
        <f>IFERROR(__xludf.DUMMYFUNCTION("IFERROR(
  VLOOKUP(
    A41,
    IMPORTRANGE(
      ""1ZHMy3vVUd_0MrSduXTe1etBb1HNpAlGwQr006ljwMiM"",
      ""GSC最新!A:R""
    ),
    18,
    FALSE
  ),
  0
)
"),7.8)</f>
        <v>7.8</v>
      </c>
      <c r="AB41" s="65">
        <f t="shared" ref="AB41:AC41" si="199">X41-Z41</f>
        <v>-1.82300885</v>
      </c>
      <c r="AC41" s="65">
        <f t="shared" si="199"/>
        <v>-1.1875</v>
      </c>
      <c r="AD41" s="53">
        <f>IFERROR(__xludf.DUMMYFUNCTION("IFERROR(
  VLOOKUP(
    A41,
    IMPORTRANGE(
      ""1ZHMy3vVUd_0MrSduXTe1etBb1HNpAlGwQr006ljwMiM"",
      ""GSC最新!A:F""
    ),
    6,
    FALSE
  ),
  0
)
"),46081.0)</f>
        <v>46081</v>
      </c>
      <c r="AE41" s="54">
        <f>IFERROR(__xludf.DUMMYFUNCTION("IFERROR(
  VLOOKUP(
    A41,
    IMPORTRANGE(
      ""1SCYQd7_cobOYqT0r_F0IqD4tE4rYn5y8Eup4PJTH8es"",
      ""Snapshot!A:M""
    ),
    5,
    FALSE
  ),
  ""-""
)
"),0.0)</f>
        <v>0</v>
      </c>
      <c r="AF41" s="54">
        <f>IFERROR(__xludf.DUMMYFUNCTION("IFERROR(
  VLOOKUP(
    A41,
    IMPORTRANGE(
      ""1SCYQd7_cobOYqT0r_F0IqD4tE4rYn5y8Eup4PJTH8es"",
      ""Snapshot!A:M""
    ),
    6,
    FALSE
  ),
  0
)
"),17.0)</f>
        <v>17</v>
      </c>
      <c r="AG41" s="54">
        <f>IFERROR(__xludf.DUMMYFUNCTION("IFERROR(
  VLOOKUP(
    A41,
    IMPORTRANGE(
      ""1SCYQd7_cobOYqT0r_F0IqD4tE4rYn5y8Eup4PJTH8es"",
      ""Snapshot!A:M""
    ),
    7,
    FALSE
  ),
  0
)
"),3511.0)</f>
        <v>3511</v>
      </c>
      <c r="AH41" s="54">
        <f>IFERROR(__xludf.DUMMYFUNCTION("IFERROR(
  VLOOKUP(
    A41,
    IMPORTRANGE(
      ""1SCYQd7_cobOYqT0r_F0IqD4tE4rYn5y8Eup4PJTH8es"",
      ""Snapshot!A:M""
    ),
    8,
    FALSE
  ),
  0
)
"),1.0)</f>
        <v>1</v>
      </c>
      <c r="AI41" s="54">
        <f>IFERROR(__xludf.DUMMYFUNCTION("IFERROR(
  VLOOKUP(
    A41,
    IMPORTRANGE(
      ""1SCYQd7_cobOYqT0r_F0IqD4tE4rYn5y8Eup4PJTH8es"",
      ""Snapshot!A:M""
    ),
    9,
    FALSE
  ),
  0
)
"),4.0)</f>
        <v>4</v>
      </c>
      <c r="AJ41" s="54">
        <f>IFERROR(__xludf.DUMMYFUNCTION("IFERROR(
  VLOOKUP(
    A41,
    IMPORTRANGE(
      ""1SCYQd7_cobOYqT0r_F0IqD4tE4rYn5y8Eup4PJTH8es"",
      ""Snapshot!A:M""
    ),
    13,
    FALSE
  ),
  0
)
"),1.0)</f>
        <v>1</v>
      </c>
      <c r="AK41" s="49">
        <f t="shared" ref="AK41:AL41" si="200">LEN(C41)</f>
        <v>66</v>
      </c>
      <c r="AL41" s="49">
        <f t="shared" si="200"/>
        <v>55</v>
      </c>
    </row>
    <row r="42">
      <c r="A42" s="3" t="s">
        <v>1129</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"),"付加疑問文とは｜作り方・例文一覧・be動詞/一般動詞/助動詞")</f>
        <v>付加疑問文とは｜作り方・例文一覧・be動詞/一般動詞/助動詞</v>
      </c>
      <c r="D42" s="1" t="str">
        <f>IFERROR(__xludf.DUMMYFUNCTION("IFERROR(
  VLOOKUP(
    A42,
    IMPORTRANGE(
      ""1ZygntHC1J6IxzKbTidmOyf5nUyW4GCLurHCjexrLm_o        "",
      ""HTMLキャッシュ!A:F""
    ),
    6,
    FALSE
  ),
  0
)
"),"付加疑問文とは何か、作り方と例文を確認。肯定→否定・否定→肯定、be動詞/一般動詞/助動詞、That’s…isn’t it、Let’sの特別な形まで。")</f>
        <v>付加疑問文とは何か、作り方と例文を確認。肯定→否定・否定→肯定、be動詞/一般動詞/助動詞、That’s…isn’t it、Let’sの特別な形まで。</v>
      </c>
      <c r="E42" s="32">
        <f>IFERROR(__xludf.DUMMYFUNCTION("IFERROR(
  VLOOKUP(
    A42,
    IMPORTRANGE(
      ""1ZygntHC1J6IxzKbTidmOyf5nUyW4GCLurHCjexrLm_o        "",
      ""HTMLキャッシュ!A:F""
    ),
    3,
    FALSE
  ),
  0
)
"),46078.7809837963)</f>
        <v>46078.78098</v>
      </c>
      <c r="F42" s="49">
        <f>IFERROR(__xludf.DUMMYFUNCTION("IFERROR(
  VLOOKUP(
    A42,
    IMPORTRANGE(
      ""1ZHMy3vVUd_0MrSduXTe1etBb1HNpAlGwQr006ljwMiM"",
      ""GSC最新!A:F""
    ),
    2,
    FALSE
  ),
  0
)
"),7.0)</f>
        <v>7</v>
      </c>
      <c r="G42" s="49">
        <f>IFERROR(__xludf.DUMMYFUNCTION("IFERROR(
  VLOOKUP(
    A42,
    IMPORTRANGE(
      ""1ZHMy3vVUd_0MrSduXTe1etBb1HNpAlGwQr006ljwMiM"",
      ""GSC最新!A:F""
    ),
    3,
    FALSE
  ),
  0
)
"),13.0)</f>
        <v>13</v>
      </c>
      <c r="H42" s="49">
        <f>IFERROR(__xludf.DUMMYFUNCTION("IFERROR(
  VLOOKUP(
    A42,
    IMPORTRANGE(
      ""1ZHMy3vVUd_0MrSduXTe1etBb1HNpAlGwQr006ljwMiM"",
      ""GSC最新!A:F""
    ),
    4,
    FALSE
  ),
  0
)
"),8.0)</f>
        <v>8</v>
      </c>
      <c r="I42" s="49">
        <f>IFERROR(__xludf.DUMMYFUNCTION("IFERROR(
  VLOOKUP(
    A42,
    IMPORTRANGE(
      ""1ZHMy3vVUd_0MrSduXTe1etBb1HNpAlGwQr006ljwMiM"",
      ""GSC最新!A:F""
    ),
    5,
    FALSE
  ),
  0
)
"),16.0)</f>
        <v>16</v>
      </c>
      <c r="J42" s="50">
        <f t="shared" ref="J42:K42" si="201">IFERROR(F42/H42,"-")</f>
        <v>0.875</v>
      </c>
      <c r="K42" s="50">
        <f t="shared" si="201"/>
        <v>0.8125</v>
      </c>
      <c r="L42" s="6">
        <f>IFERROR(__xludf.DUMMYFUNCTION("IFERROR(
  VLOOKUP(
    A42,
    IMPORTRANGE(
      ""1ZHMy3vVUd_0MrSduXTe1etBb1HNpAlGwQr006ljwMiM"",
      ""GSC最新!A:R""
    ),
    7,
    FALSE
  ),
  0
)
"),6030.0)</f>
        <v>6030</v>
      </c>
      <c r="M42" s="6">
        <f>IFERROR(__xludf.DUMMYFUNCTION("IFERROR(
  VLOOKUP(
    A42,
    IMPORTRANGE(
      ""1ZHMy3vVUd_0MrSduXTe1etBb1HNpAlGwQr006ljwMiM"",
      ""GSC最新!A:R""
    ),
    10,
    FALSE
  ),
  0
)
"),12504.0)</f>
        <v>12504</v>
      </c>
      <c r="N42" s="6">
        <f>IFERROR(__xludf.DUMMYFUNCTION("IFERROR(
  VLOOKUP(
    A42,
    IMPORTRANGE(
      ""1ZHMy3vVUd_0MrSduXTe1etBb1HNpAlGwQr006ljwMiM"",
      ""GSC最新!A:R""
    ),
    13,
    FALSE
  ),
  0
)
"),550.0)</f>
        <v>550</v>
      </c>
      <c r="O42" s="6">
        <f>IFERROR(__xludf.DUMMYFUNCTION("IFERROR(
  VLOOKUP(
    A42,
    IMPORTRANGE(
      ""1ZHMy3vVUd_0MrSduXTe1etBb1HNpAlGwQr006ljwMiM"",
      ""GSC最新!A:R""
    ),
    16,
    FALSE
  ),
  0
)
"),1651.0)</f>
        <v>1651</v>
      </c>
      <c r="P42" s="51">
        <f t="shared" ref="P42:Q42" si="202">IFERROR(L42/N42,"-")</f>
        <v>10.96363636</v>
      </c>
      <c r="Q42" s="51">
        <f t="shared" si="202"/>
        <v>7.573591763</v>
      </c>
      <c r="R42" s="9">
        <f>IFERROR(__xludf.DUMMYFUNCTION("IFERROR(
  VLOOKUP(
    A42,
    IMPORTRANGE(
      ""1ZHMy3vVUd_0MrSduXTe1etBb1HNpAlGwQr006ljwMiM"",
      ""GSC最新!A:R""
    ),
    8,
    FALSE
  ),
  0
)
"),0.0011608623548922056)</f>
        <v>0.001160862355</v>
      </c>
      <c r="S42" s="9">
        <f>IFERROR(__xludf.DUMMYFUNCTION("IFERROR(
  VLOOKUP(
    A42,
    IMPORTRANGE(
      ""1ZHMy3vVUd_0MrSduXTe1etBb1HNpAlGwQr006ljwMiM"",
      ""GSC最新!A:R""
    ),
    11,
    FALSE
  ),
  0
)
"),0.0010396673064619322)</f>
        <v>0.001039667306</v>
      </c>
      <c r="T42" s="9">
        <f>IFERROR(__xludf.DUMMYFUNCTION("IFERROR(
  VLOOKUP(
    A42,
    IMPORTRANGE(
      ""1ZHMy3vVUd_0MrSduXTe1etBb1HNpAlGwQr006ljwMiM"",
      ""GSC最新!A:R""
    ),
    14,
    FALSE
  ),
  0
)
"),0.014545454545454545)</f>
        <v>0.01454545455</v>
      </c>
      <c r="U42" s="9">
        <f>IFERROR(__xludf.DUMMYFUNCTION("IFERROR(
  VLOOKUP(
    A42,
    IMPORTRANGE(
      ""1ZHMy3vVUd_0MrSduXTe1etBb1HNpAlGwQr006ljwMiM"",
      ""GSC最新!A:R""
    ),
    17,
    FALSE
  ),
  0
)
"),0.009691096305269533)</f>
        <v>0.009691096305</v>
      </c>
      <c r="V42" s="9">
        <f t="shared" ref="V42:W42" si="203">IFERROR(R42-T42,"-")</f>
        <v>-0.01338459219</v>
      </c>
      <c r="W42" s="9">
        <f t="shared" si="203"/>
        <v>-0.008651428999</v>
      </c>
      <c r="X42" s="65">
        <f>IFERROR(__xludf.DUMMYFUNCTION("IFERROR(
  VLOOKUP(
    A42,
    IMPORTRANGE(
      ""1ZHMy3vVUd_0MrSduXTe1etBb1HNpAlGwQr006ljwMiM"",
      ""GSC最新!A:R""
    ),
    9,
    FALSE
  ),
  0
)
"),6.5061359867330015)</f>
        <v>6.506135987</v>
      </c>
      <c r="Y42" s="65">
        <f>IFERROR(__xludf.DUMMYFUNCTION("IFERROR(
  VLOOKUP(
    A42,
    IMPORTRANGE(
      ""1ZHMy3vVUd_0MrSduXTe1etBb1HNpAlGwQr006ljwMiM"",
      ""GSC最新!A:R""
    ),
    12,
    FALSE
  ),
  0
)
"),6.174584133077415)</f>
        <v>6.174584133</v>
      </c>
      <c r="Z42" s="65">
        <f>IFERROR(__xludf.DUMMYFUNCTION("IFERROR(
  VLOOKUP(
    A42,
    IMPORTRANGE(
      ""1ZHMy3vVUd_0MrSduXTe1etBb1HNpAlGwQr006ljwMiM"",
      ""GSC最新!A:R""
    ),
    15,
    FALSE
  ),
  0
)
"),15.681818181818182)</f>
        <v>15.68181818</v>
      </c>
      <c r="AA42" s="65">
        <f>IFERROR(__xludf.DUMMYFUNCTION("IFERROR(
  VLOOKUP(
    A42,
    IMPORTRANGE(
      ""1ZHMy3vVUd_0MrSduXTe1etBb1HNpAlGwQr006ljwMiM"",
      ""GSC最新!A:R""
    ),
    18,
    FALSE
  ),
  0
)
"),14.765596608116294)</f>
        <v>14.76559661</v>
      </c>
      <c r="AB42" s="65">
        <f t="shared" ref="AB42:AC42" si="204">X42-Z42</f>
        <v>-9.175682195</v>
      </c>
      <c r="AC42" s="65">
        <f t="shared" si="204"/>
        <v>-8.591012475</v>
      </c>
      <c r="AD42" s="53">
        <f>IFERROR(__xludf.DUMMYFUNCTION("IFERROR(
  VLOOKUP(
    A42,
    IMPORTRANGE(
      ""1ZHMy3vVUd_0MrSduXTe1etBb1HNpAlGwQr006ljwMiM"",
      ""GSC最新!A:F""
    ),
    6,
    FALSE
  ),
  0
)
"),46081.0)</f>
        <v>46081</v>
      </c>
      <c r="AE42" s="54">
        <f>IFERROR(__xludf.DUMMYFUNCTION("IFERROR(
  VLOOKUP(
    A42,
    IMPORTRANGE(
      ""1SCYQd7_cobOYqT0r_F0IqD4tE4rYn5y8Eup4PJTH8es"",
      ""Snapshot!A:M""
    ),
    5,
    FALSE
  ),
  ""-""
)
"),0.0)</f>
        <v>0</v>
      </c>
      <c r="AF42" s="54">
        <f>IFERROR(__xludf.DUMMYFUNCTION("IFERROR(
  VLOOKUP(
    A42,
    IMPORTRANGE(
      ""1SCYQd7_cobOYqT0r_F0IqD4tE4rYn5y8Eup4PJTH8es"",
      ""Snapshot!A:M""
    ),
    6,
    FALSE
  ),
  0
)
"),21.0)</f>
        <v>21</v>
      </c>
      <c r="AG42" s="54">
        <f>IFERROR(__xludf.DUMMYFUNCTION("IFERROR(
  VLOOKUP(
    A42,
    IMPORTRANGE(
      ""1SCYQd7_cobOYqT0r_F0IqD4tE4rYn5y8Eup4PJTH8es"",
      ""Snapshot!A:M""
    ),
    7,
    FALSE
  ),
  0
)
"),5761.0)</f>
        <v>5761</v>
      </c>
      <c r="AH42" s="54">
        <f>IFERROR(__xludf.DUMMYFUNCTION("IFERROR(
  VLOOKUP(
    A42,
    IMPORTRANGE(
      ""1SCYQd7_cobOYqT0r_F0IqD4tE4rYn5y8Eup4PJTH8es"",
      ""Snapshot!A:M""
    ),
    8,
    FALSE
  ),
  0
)
"),1.0)</f>
        <v>1</v>
      </c>
      <c r="AI42" s="54">
        <f>IFERROR(__xludf.DUMMYFUNCTION("IFERROR(
  VLOOKUP(
    A42,
    IMPORTRANGE(
      ""1SCYQd7_cobOYqT0r_F0IqD4tE4rYn5y8Eup4PJTH8es"",
      ""Snapshot!A:M""
    ),
    9,
    FALSE
  ),
  0
)
"),4.0)</f>
        <v>4</v>
      </c>
      <c r="AJ42" s="54">
        <f>IFERROR(__xludf.DUMMYFUNCTION("IFERROR(
  VLOOKUP(
    A42,
    IMPORTRANGE(
      ""1SCYQd7_cobOYqT0r_F0IqD4tE4rYn5y8Eup4PJTH8es"",
      ""Snapshot!A:M""
    ),
    13,
    FALSE
  ),
  0
)
"),1.0)</f>
        <v>1</v>
      </c>
      <c r="AK42" s="49">
        <f t="shared" ref="AK42:AL42" si="205">LEN(C42)</f>
        <v>30</v>
      </c>
      <c r="AL42" s="49">
        <f t="shared" si="205"/>
        <v>75</v>
      </c>
    </row>
    <row r="43">
      <c r="A43" s="3" t="s">
        <v>1130</v>
      </c>
      <c r="B43" s="1" t="str">
        <f>IFERROR(__xludf.DUMMYFUNCTION("IFERROR(
  VLOOKUP(
    A43,
    IMPORTRANGE(
      ""1ZygntHC1J6IxzKbTidmOyf5nUyW4GCLurHCjexrLm_o"",
      ""HTMLキャッシュ!A:F""
    ),
    2,
    FALSE
  ),
  0
)
"),"MC")</f>
        <v>MC</v>
      </c>
      <c r="C43" s="1" t="str">
        <f>IFERROR(__xludf.DUMMYFUNCTION("IFERROR(
  VLOOKUP(
    A43,
    IMPORTRANGE(
      ""1ZygntHC1J6IxzKbTidmOyf5nUyW4GCLurHCjexrLm_o"",
      ""HTMLキャッシュ!A:F""
    ),
    5,
    FALSE
  ),
  0
)
"),"副詞の比較級・最上級ルール整理｜Book2 Lesson6 Scene1")</f>
        <v>副詞の比較級・最上級ルール整理｜Book2 Lesson6 Scene1</v>
      </c>
      <c r="D43" s="1" t="str">
        <f>IFERROR(__xludf.DUMMYFUNCTION("IFERROR(
  VLOOKUP(
    A43,
    IMPORTRANGE(
      ""1ZygntHC1J6IxzKbTidmOyf5nUyW4GCLurHCjexrLm_o        "",
      ""HTMLキャッシュ!A:F""
    ),
    6,
    FALSE
  ),
  0
)
"),"-ly副詞は比較級・最上級でmore/mostを使うのが原則。earlyだけer/estになる理由、happilyの判定、goodとwellの違いまで中2向けに整理。")</f>
        <v>-ly副詞は比較級・最上級でmore/mostを使うのが原則。earlyだけer/estになる理由、happilyの判定、goodとwellの違いまで中2向けに整理。</v>
      </c>
      <c r="E43" s="32">
        <f>IFERROR(__xludf.DUMMYFUNCTION("IFERROR(
  VLOOKUP(
    A43,
    IMPORTRANGE(
      ""1ZygntHC1J6IxzKbTidmOyf5nUyW4GCLurHCjexrLm_o        "",
      ""HTMLキャッシュ!A:F""
    ),
    3,
    FALSE
  ),
  0
)
"),46074.5622337963)</f>
        <v>46074.56223</v>
      </c>
      <c r="F43" s="49">
        <f>IFERROR(__xludf.DUMMYFUNCTION("IFERROR(
  VLOOKUP(
    A43,
    IMPORTRANGE(
      ""1ZHMy3vVUd_0MrSduXTe1etBb1HNpAlGwQr006ljwMiM"",
      ""GSC最新!A:F""
    ),
    2,
    FALSE
  ),
  0
)
"),12.0)</f>
        <v>12</v>
      </c>
      <c r="G43" s="49">
        <f>IFERROR(__xludf.DUMMYFUNCTION("IFERROR(
  VLOOKUP(
    A43,
    IMPORTRANGE(
      ""1ZHMy3vVUd_0MrSduXTe1etBb1HNpAlGwQr006ljwMiM"",
      ""GSC最新!A:F""
    ),
    3,
    FALSE
  ),
  0
)
"),12.0)</f>
        <v>12</v>
      </c>
      <c r="H43" s="49">
        <f>IFERROR(__xludf.DUMMYFUNCTION("IFERROR(
  VLOOKUP(
    A43,
    IMPORTRANGE(
      ""1ZHMy3vVUd_0MrSduXTe1etBb1HNpAlGwQr006ljwMiM"",
      ""GSC最新!A:F""
    ),
    4,
    FALSE
  ),
  0
)
"),2.0)</f>
        <v>2</v>
      </c>
      <c r="I43" s="49">
        <f>IFERROR(__xludf.DUMMYFUNCTION("IFERROR(
  VLOOKUP(
    A43,
    IMPORTRANGE(
      ""1ZHMy3vVUd_0MrSduXTe1etBb1HNpAlGwQr006ljwMiM"",
      ""GSC最新!A:F""
    ),
    5,
    FALSE
  ),
  0
)
"),3.0)</f>
        <v>3</v>
      </c>
      <c r="J43" s="50">
        <f t="shared" ref="J43:K43" si="206">IFERROR(F43/H43,"-")</f>
        <v>6</v>
      </c>
      <c r="K43" s="50">
        <f t="shared" si="206"/>
        <v>4</v>
      </c>
      <c r="L43" s="6">
        <f>IFERROR(__xludf.DUMMYFUNCTION("IFERROR(
  VLOOKUP(
    A43,
    IMPORTRANGE(
      ""1ZHMy3vVUd_0MrSduXTe1etBb1HNpAlGwQr006ljwMiM"",
      ""GSC最新!A:R""
    ),
    7,
    FALSE
  ),
  0
)
"),5576.0)</f>
        <v>5576</v>
      </c>
      <c r="M43" s="6">
        <f>IFERROR(__xludf.DUMMYFUNCTION("IFERROR(
  VLOOKUP(
    A43,
    IMPORTRANGE(
      ""1ZHMy3vVUd_0MrSduXTe1etBb1HNpAlGwQr006ljwMiM"",
      ""GSC最新!A:R""
    ),
    10,
    FALSE
  ),
  0
)
"),5888.0)</f>
        <v>5888</v>
      </c>
      <c r="N43" s="6">
        <f>IFERROR(__xludf.DUMMYFUNCTION("IFERROR(
  VLOOKUP(
    A43,
    IMPORTRANGE(
      ""1ZHMy3vVUd_0MrSduXTe1etBb1HNpAlGwQr006ljwMiM"",
      ""GSC最新!A:R""
    ),
    13,
    FALSE
  ),
  0
)
"),349.0)</f>
        <v>349</v>
      </c>
      <c r="O43" s="6">
        <f>IFERROR(__xludf.DUMMYFUNCTION("IFERROR(
  VLOOKUP(
    A43,
    IMPORTRANGE(
      ""1ZHMy3vVUd_0MrSduXTe1etBb1HNpAlGwQr006ljwMiM"",
      ""GSC最新!A:R""
    ),
    16,
    FALSE
  ),
  0
)
"),786.0)</f>
        <v>786</v>
      </c>
      <c r="P43" s="51">
        <f t="shared" ref="P43:Q43" si="207">IFERROR(L43/N43,"-")</f>
        <v>15.97707736</v>
      </c>
      <c r="Q43" s="51">
        <f t="shared" si="207"/>
        <v>7.491094148</v>
      </c>
      <c r="R43" s="9">
        <f>IFERROR(__xludf.DUMMYFUNCTION("IFERROR(
  VLOOKUP(
    A43,
    IMPORTRANGE(
      ""1ZHMy3vVUd_0MrSduXTe1etBb1HNpAlGwQr006ljwMiM"",
      ""GSC最新!A:R""
    ),
    8,
    FALSE
  ),
  0
)
"),0.002152080344332855)</f>
        <v>0.002152080344</v>
      </c>
      <c r="S43" s="9">
        <f>IFERROR(__xludf.DUMMYFUNCTION("IFERROR(
  VLOOKUP(
    A43,
    IMPORTRANGE(
      ""1ZHMy3vVUd_0MrSduXTe1etBb1HNpAlGwQr006ljwMiM"",
      ""GSC最新!A:R""
    ),
    11,
    FALSE
  ),
  0
)
"),0.0020380434782608695)</f>
        <v>0.002038043478</v>
      </c>
      <c r="T43" s="9">
        <f>IFERROR(__xludf.DUMMYFUNCTION("IFERROR(
  VLOOKUP(
    A43,
    IMPORTRANGE(
      ""1ZHMy3vVUd_0MrSduXTe1etBb1HNpAlGwQr006ljwMiM"",
      ""GSC最新!A:R""
    ),
    14,
    FALSE
  ),
  0
)
"),0.0057306590257879654)</f>
        <v>0.005730659026</v>
      </c>
      <c r="U43" s="9">
        <f>IFERROR(__xludf.DUMMYFUNCTION("IFERROR(
  VLOOKUP(
    A43,
    IMPORTRANGE(
      ""1ZHMy3vVUd_0MrSduXTe1etBb1HNpAlGwQr006ljwMiM"",
      ""GSC最新!A:R""
    ),
    17,
    FALSE
  ),
  0
)
"),0.003816793893129771)</f>
        <v>0.003816793893</v>
      </c>
      <c r="V43" s="9">
        <f t="shared" ref="V43:W43" si="208">IFERROR(R43-T43,"-")</f>
        <v>-0.003578578681</v>
      </c>
      <c r="W43" s="9">
        <f t="shared" si="208"/>
        <v>-0.001778750415</v>
      </c>
      <c r="X43" s="65">
        <f>IFERROR(__xludf.DUMMYFUNCTION("IFERROR(
  VLOOKUP(
    A43,
    IMPORTRANGE(
      ""1ZHMy3vVUd_0MrSduXTe1etBb1HNpAlGwQr006ljwMiM"",
      ""GSC最新!A:R""
    ),
    9,
    FALSE
  ),
  0
)
"),4.675215208034434)</f>
        <v>4.675215208</v>
      </c>
      <c r="Y43" s="65">
        <f>IFERROR(__xludf.DUMMYFUNCTION("IFERROR(
  VLOOKUP(
    A43,
    IMPORTRANGE(
      ""1ZHMy3vVUd_0MrSduXTe1etBb1HNpAlGwQr006ljwMiM"",
      ""GSC最新!A:R""
    ),
    12,
    FALSE
  ),
  0
)
"),4.783288043478261)</f>
        <v>4.783288043</v>
      </c>
      <c r="Z43" s="65">
        <f>IFERROR(__xludf.DUMMYFUNCTION("IFERROR(
  VLOOKUP(
    A43,
    IMPORTRANGE(
      ""1ZHMy3vVUd_0MrSduXTe1etBb1HNpAlGwQr006ljwMiM"",
      ""GSC最新!A:R""
    ),
    15,
    FALSE
  ),
  0
)
"),43.74785100286533)</f>
        <v>43.747851</v>
      </c>
      <c r="AA43" s="65">
        <f>IFERROR(__xludf.DUMMYFUNCTION("IFERROR(
  VLOOKUP(
    A43,
    IMPORTRANGE(
      ""1ZHMy3vVUd_0MrSduXTe1etBb1HNpAlGwQr006ljwMiM"",
      ""GSC最新!A:R""
    ),
    18,
    FALSE
  ),
  0
)
"),34.74809160305343)</f>
        <v>34.7480916</v>
      </c>
      <c r="AB43" s="65">
        <f t="shared" ref="AB43:AC43" si="209">X43-Z43</f>
        <v>-39.07263579</v>
      </c>
      <c r="AC43" s="65">
        <f t="shared" si="209"/>
        <v>-29.96480356</v>
      </c>
      <c r="AD43" s="53">
        <f>IFERROR(__xludf.DUMMYFUNCTION("IFERROR(
  VLOOKUP(
    A43,
    IMPORTRANGE(
      ""1ZHMy3vVUd_0MrSduXTe1etBb1HNpAlGwQr006ljwMiM"",
      ""GSC最新!A:F""
    ),
    6,
    FALSE
  ),
  0
)
"),46081.0)</f>
        <v>46081</v>
      </c>
      <c r="AE43" s="54">
        <f>IFERROR(__xludf.DUMMYFUNCTION("IFERROR(
  VLOOKUP(
    A43,
    IMPORTRANGE(
      ""1SCYQd7_cobOYqT0r_F0IqD4tE4rYn5y8Eup4PJTH8es"",
      ""Snapshot!A:M""
    ),
    5,
    FALSE
  ),
  ""-""
)
"),1.0)</f>
        <v>1</v>
      </c>
      <c r="AF43" s="54">
        <f>IFERROR(__xludf.DUMMYFUNCTION("IFERROR(
  VLOOKUP(
    A43,
    IMPORTRANGE(
      ""1SCYQd7_cobOYqT0r_F0IqD4tE4rYn5y8Eup4PJTH8es"",
      ""Snapshot!A:M""
    ),
    6,
    FALSE
  ),
  0
)
"),4.0)</f>
        <v>4</v>
      </c>
      <c r="AG43" s="54">
        <f>IFERROR(__xludf.DUMMYFUNCTION("IFERROR(
  VLOOKUP(
    A43,
    IMPORTRANGE(
      ""1SCYQd7_cobOYqT0r_F0IqD4tE4rYn5y8Eup4PJTH8es"",
      ""Snapshot!A:M""
    ),
    7,
    FALSE
  ),
  0
)
"),1719.0)</f>
        <v>1719</v>
      </c>
      <c r="AH43" s="54">
        <f>IFERROR(__xludf.DUMMYFUNCTION("IFERROR(
  VLOOKUP(
    A43,
    IMPORTRANGE(
      ""1SCYQd7_cobOYqT0r_F0IqD4tE4rYn5y8Eup4PJTH8es"",
      ""Snapshot!A:M""
    ),
    8,
    FALSE
  ),
  0
)
"),1.0)</f>
        <v>1</v>
      </c>
      <c r="AI43" s="54">
        <f>IFERROR(__xludf.DUMMYFUNCTION("IFERROR(
  VLOOKUP(
    A43,
    IMPORTRANGE(
      ""1SCYQd7_cobOYqT0r_F0IqD4tE4rYn5y8Eup4PJTH8es"",
      ""Snapshot!A:M""
    ),
    9,
    FALSE
  ),
  0
)
"),4.0)</f>
        <v>4</v>
      </c>
      <c r="AJ43" s="54">
        <f>IFERROR(__xludf.DUMMYFUNCTION("IFERROR(
  VLOOKUP(
    A43,
    IMPORTRANGE(
      ""1SCYQd7_cobOYqT0r_F0IqD4tE4rYn5y8Eup4PJTH8es"",
      ""Snapshot!A:M""
    ),
    13,
    FALSE
  ),
  0
)
"),1.0)</f>
        <v>1</v>
      </c>
      <c r="AK43" s="49">
        <f t="shared" ref="AK43:AL43" si="210">LEN(C43)</f>
        <v>36</v>
      </c>
      <c r="AL43" s="49">
        <f t="shared" si="210"/>
        <v>83</v>
      </c>
    </row>
    <row r="44">
      <c r="A44" s="3" t="s">
        <v>1131</v>
      </c>
      <c r="B44" s="1" t="str">
        <f>IFERROR(__xludf.DUMMYFUNCTION("IFERROR(
  VLOOKUP(
    A44,
    IMPORTRANGE(
      ""1ZygntHC1J6IxzKbTidmOyf5nUyW4GCLurHCjexrLm_o"",
      ""HTMLキャッシュ!A:F""
    ),
    2,
    FALSE
  ),
  0
)
"),"MC")</f>
        <v>MC</v>
      </c>
      <c r="C44" s="1" t="str">
        <f>IFERROR(__xludf.DUMMYFUNCTION("IFERROR(
  VLOOKUP(
    A44,
    IMPORTRANGE(
      ""1ZygntHC1J6IxzKbTidmOyf5nUyW4GCLurHCjexrLm_o"",
      ""HTMLキャッシュ!A:F""
    ),
    5,
    FALSE
  ),
  0
)
"),"How＋形容詞で数値を尋ねる疑問文の作り方｜Lesson18-3")</f>
        <v>How＋形容詞で数値を尋ねる疑問文の作り方｜Lesson18-3</v>
      </c>
      <c r="D44" s="1" t="str">
        <f>IFERROR(__xludf.DUMMYFUNCTION("IFERROR(
  VLOOKUP(
    A44,
    IMPORTRANGE(
      ""1ZygntHC1J6IxzKbTidmOyf5nUyW4GCLurHCjexrLm_o        "",
      ""HTMLキャッシュ!A:F""
    ),
    6,
    FALSE
  ),
  0
)
"),"How＋形容詞は年齢や身長など数値を聞く表現。How old/tall/long/deep/fastの語順と返答を例で確認")</f>
        <v>How＋形容詞は年齢や身長など数値を聞く表現。How old/tall/long/deep/fastの語順と返答を例で確認</v>
      </c>
      <c r="E44" s="32">
        <f>IFERROR(__xludf.DUMMYFUNCTION("IFERROR(
  VLOOKUP(
    A44,
    IMPORTRANGE(
      ""1ZygntHC1J6IxzKbTidmOyf5nUyW4GCLurHCjexrLm_o        "",
      ""HTMLキャッシュ!A:F""
    ),
    3,
    FALSE
  ),
  0
)
"),46074.56469907407)</f>
        <v>46074.5647</v>
      </c>
      <c r="F44" s="49">
        <f>IFERROR(__xludf.DUMMYFUNCTION("IFERROR(
  VLOOKUP(
    A44,
    IMPORTRANGE(
      ""1ZHMy3vVUd_0MrSduXTe1etBb1HNpAlGwQr006ljwMiM"",
      ""GSC最新!A:F""
    ),
    2,
    FALSE
  ),
  0
)
"),9.0)</f>
        <v>9</v>
      </c>
      <c r="G44" s="49">
        <f>IFERROR(__xludf.DUMMYFUNCTION("IFERROR(
  VLOOKUP(
    A44,
    IMPORTRANGE(
      ""1ZHMy3vVUd_0MrSduXTe1etBb1HNpAlGwQr006ljwMiM"",
      ""GSC最新!A:F""
    ),
    3,
    FALSE
  ),
  0
)
"),13.0)</f>
        <v>13</v>
      </c>
      <c r="H44" s="49">
        <f>IFERROR(__xludf.DUMMYFUNCTION("IFERROR(
  VLOOKUP(
    A44,
    IMPORTRANGE(
      ""1ZHMy3vVUd_0MrSduXTe1etBb1HNpAlGwQr006ljwMiM"",
      ""GSC最新!A:F""
    ),
    4,
    FALSE
  ),
  0
)
"),5.0)</f>
        <v>5</v>
      </c>
      <c r="I44" s="49">
        <f>IFERROR(__xludf.DUMMYFUNCTION("IFERROR(
  VLOOKUP(
    A44,
    IMPORTRANGE(
      ""1ZHMy3vVUd_0MrSduXTe1etBb1HNpAlGwQr006ljwMiM"",
      ""GSC最新!A:F""
    ),
    5,
    FALSE
  ),
  0
)
"),12.0)</f>
        <v>12</v>
      </c>
      <c r="J44" s="50">
        <f t="shared" ref="J44:K44" si="211">IFERROR(F44/H44,"-")</f>
        <v>1.8</v>
      </c>
      <c r="K44" s="50">
        <f t="shared" si="211"/>
        <v>1.083333333</v>
      </c>
      <c r="L44" s="6">
        <f>IFERROR(__xludf.DUMMYFUNCTION("IFERROR(
  VLOOKUP(
    A44,
    IMPORTRANGE(
      ""1ZHMy3vVUd_0MrSduXTe1etBb1HNpAlGwQr006ljwMiM"",
      ""GSC最新!A:R""
    ),
    7,
    FALSE
  ),
  0
)
"),1279.0)</f>
        <v>1279</v>
      </c>
      <c r="M44" s="6">
        <f>IFERROR(__xludf.DUMMYFUNCTION("IFERROR(
  VLOOKUP(
    A44,
    IMPORTRANGE(
      ""1ZHMy3vVUd_0MrSduXTe1etBb1HNpAlGwQr006ljwMiM"",
      ""GSC最新!A:R""
    ),
    10,
    FALSE
  ),
  0
)
"),3529.0)</f>
        <v>3529</v>
      </c>
      <c r="N44" s="6">
        <f>IFERROR(__xludf.DUMMYFUNCTION("IFERROR(
  VLOOKUP(
    A44,
    IMPORTRANGE(
      ""1ZHMy3vVUd_0MrSduXTe1etBb1HNpAlGwQr006ljwMiM"",
      ""GSC最新!A:R""
    ),
    13,
    FALSE
  ),
  0
)
"),161.0)</f>
        <v>161</v>
      </c>
      <c r="O44" s="6">
        <f>IFERROR(__xludf.DUMMYFUNCTION("IFERROR(
  VLOOKUP(
    A44,
    IMPORTRANGE(
      ""1ZHMy3vVUd_0MrSduXTe1etBb1HNpAlGwQr006ljwMiM"",
      ""GSC最新!A:R""
    ),
    16,
    FALSE
  ),
  0
)
"),667.0)</f>
        <v>667</v>
      </c>
      <c r="P44" s="51">
        <f t="shared" ref="P44:Q44" si="212">IFERROR(L44/N44,"-")</f>
        <v>7.944099379</v>
      </c>
      <c r="Q44" s="51">
        <f t="shared" si="212"/>
        <v>5.290854573</v>
      </c>
      <c r="R44" s="9">
        <f>IFERROR(__xludf.DUMMYFUNCTION("IFERROR(
  VLOOKUP(
    A44,
    IMPORTRANGE(
      ""1ZHMy3vVUd_0MrSduXTe1etBb1HNpAlGwQr006ljwMiM"",
      ""GSC最新!A:R""
    ),
    8,
    FALSE
  ),
  0
)
"),0.007036747458952306)</f>
        <v>0.007036747459</v>
      </c>
      <c r="S44" s="9">
        <f>IFERROR(__xludf.DUMMYFUNCTION("IFERROR(
  VLOOKUP(
    A44,
    IMPORTRANGE(
      ""1ZHMy3vVUd_0MrSduXTe1etBb1HNpAlGwQr006ljwMiM"",
      ""GSC最新!A:R""
    ),
    11,
    FALSE
  ),
  0
)
"),0.0036837631056956645)</f>
        <v>0.003683763106</v>
      </c>
      <c r="T44" s="9">
        <f>IFERROR(__xludf.DUMMYFUNCTION("IFERROR(
  VLOOKUP(
    A44,
    IMPORTRANGE(
      ""1ZHMy3vVUd_0MrSduXTe1etBb1HNpAlGwQr006ljwMiM"",
      ""GSC最新!A:R""
    ),
    14,
    FALSE
  ),
  0
)
"),0.031055900621118012)</f>
        <v>0.03105590062</v>
      </c>
      <c r="U44" s="9">
        <f>IFERROR(__xludf.DUMMYFUNCTION("IFERROR(
  VLOOKUP(
    A44,
    IMPORTRANGE(
      ""1ZHMy3vVUd_0MrSduXTe1etBb1HNpAlGwQr006ljwMiM"",
      ""GSC最新!A:R""
    ),
    17,
    FALSE
  ),
  0
)
"),0.017991004497751123)</f>
        <v>0.0179910045</v>
      </c>
      <c r="V44" s="9">
        <f t="shared" ref="V44:W44" si="213">IFERROR(R44-T44,"-")</f>
        <v>-0.02401915316</v>
      </c>
      <c r="W44" s="9">
        <f t="shared" si="213"/>
        <v>-0.01430724139</v>
      </c>
      <c r="X44" s="65">
        <f>IFERROR(__xludf.DUMMYFUNCTION("IFERROR(
  VLOOKUP(
    A44,
    IMPORTRANGE(
      ""1ZHMy3vVUd_0MrSduXTe1etBb1HNpAlGwQr006ljwMiM"",
      ""GSC最新!A:R""
    ),
    9,
    FALSE
  ),
  0
)
"),4.824863174354965)</f>
        <v>4.824863174</v>
      </c>
      <c r="Y44" s="65">
        <f>IFERROR(__xludf.DUMMYFUNCTION("IFERROR(
  VLOOKUP(
    A44,
    IMPORTRANGE(
      ""1ZHMy3vVUd_0MrSduXTe1etBb1HNpAlGwQr006ljwMiM"",
      ""GSC最新!A:R""
    ),
    12,
    FALSE
  ),
  0
)
"),4.958911873051856)</f>
        <v>4.958911873</v>
      </c>
      <c r="Z44" s="65">
        <f>IFERROR(__xludf.DUMMYFUNCTION("IFERROR(
  VLOOKUP(
    A44,
    IMPORTRANGE(
      ""1ZHMy3vVUd_0MrSduXTe1etBb1HNpAlGwQr006ljwMiM"",
      ""GSC最新!A:R""
    ),
    15,
    FALSE
  ),
  0
)
"),11.409937888198758)</f>
        <v>11.40993789</v>
      </c>
      <c r="AA44" s="65">
        <f>IFERROR(__xludf.DUMMYFUNCTION("IFERROR(
  VLOOKUP(
    A44,
    IMPORTRANGE(
      ""1ZHMy3vVUd_0MrSduXTe1etBb1HNpAlGwQr006ljwMiM"",
      ""GSC最新!A:R""
    ),
    18,
    FALSE
  ),
  0
)
"),12.63568215892054)</f>
        <v>12.63568216</v>
      </c>
      <c r="AB44" s="65">
        <f t="shared" ref="AB44:AC44" si="214">X44-Z44</f>
        <v>-6.585074714</v>
      </c>
      <c r="AC44" s="65">
        <f t="shared" si="214"/>
        <v>-7.676770286</v>
      </c>
      <c r="AD44" s="53">
        <f>IFERROR(__xludf.DUMMYFUNCTION("IFERROR(
  VLOOKUP(
    A44,
    IMPORTRANGE(
      ""1ZHMy3vVUd_0MrSduXTe1etBb1HNpAlGwQr006ljwMiM"",
      ""GSC最新!A:F""
    ),
    6,
    FALSE
  ),
  0
)
"),46081.0)</f>
        <v>46081</v>
      </c>
      <c r="AE44" s="54">
        <f>IFERROR(__xludf.DUMMYFUNCTION("IFERROR(
  VLOOKUP(
    A44,
    IMPORTRANGE(
      ""1SCYQd7_cobOYqT0r_F0IqD4tE4rYn5y8Eup4PJTH8es"",
      ""Snapshot!A:M""
    ),
    5,
    FALSE
  ),
  ""-""
)
"),0.0)</f>
        <v>0</v>
      </c>
      <c r="AF44" s="54">
        <f>IFERROR(__xludf.DUMMYFUNCTION("IFERROR(
  VLOOKUP(
    A44,
    IMPORTRANGE(
      ""1SCYQd7_cobOYqT0r_F0IqD4tE4rYn5y8Eup4PJTH8es"",
      ""Snapshot!A:M""
    ),
    6,
    FALSE
  ),
  0
)
"),4.0)</f>
        <v>4</v>
      </c>
      <c r="AG44" s="54">
        <f>IFERROR(__xludf.DUMMYFUNCTION("IFERROR(
  VLOOKUP(
    A44,
    IMPORTRANGE(
      ""1SCYQd7_cobOYqT0r_F0IqD4tE4rYn5y8Eup4PJTH8es"",
      ""Snapshot!A:M""
    ),
    7,
    FALSE
  ),
  0
)
"),1994.0)</f>
        <v>1994</v>
      </c>
      <c r="AH44" s="54">
        <f>IFERROR(__xludf.DUMMYFUNCTION("IFERROR(
  VLOOKUP(
    A44,
    IMPORTRANGE(
      ""1SCYQd7_cobOYqT0r_F0IqD4tE4rYn5y8Eup4PJTH8es"",
      ""Snapshot!A:M""
    ),
    8,
    FALSE
  ),
  0
)
"),1.0)</f>
        <v>1</v>
      </c>
      <c r="AI44" s="54">
        <f>IFERROR(__xludf.DUMMYFUNCTION("IFERROR(
  VLOOKUP(
    A44,
    IMPORTRANGE(
      ""1SCYQd7_cobOYqT0r_F0IqD4tE4rYn5y8Eup4PJTH8es"",
      ""Snapshot!A:M""
    ),
    9,
    FALSE
  ),
  0
)
"),4.0)</f>
        <v>4</v>
      </c>
      <c r="AJ44" s="54">
        <f>IFERROR(__xludf.DUMMYFUNCTION("IFERROR(
  VLOOKUP(
    A44,
    IMPORTRANGE(
      ""1SCYQd7_cobOYqT0r_F0IqD4tE4rYn5y8Eup4PJTH8es"",
      ""Snapshot!A:M""
    ),
    13,
    FALSE
  ),
  0
)
"),1.0)</f>
        <v>1</v>
      </c>
      <c r="AK44" s="49">
        <f t="shared" ref="AK44:AL44" si="215">LEN(C44)</f>
        <v>32</v>
      </c>
      <c r="AL44" s="49">
        <f t="shared" si="215"/>
        <v>61</v>
      </c>
    </row>
    <row r="45">
      <c r="A45" s="3" t="s">
        <v>1132</v>
      </c>
      <c r="B45" s="1" t="str">
        <f>IFERROR(__xludf.DUMMYFUNCTION("IFERROR(
  VLOOKUP(
    A45,
    IMPORTRANGE(
      ""1ZygntHC1J6IxzKbTidmOyf5nUyW4GCLurHCjexrLm_o"",
      ""HTMLキャッシュ!A:F""
    ),
    2,
    FALSE
  ),
  0
)
"),"MC")</f>
        <v>MC</v>
      </c>
      <c r="C45" s="1" t="str">
        <f>IFERROR(__xludf.DUMMYFUNCTION("IFERROR(
  VLOOKUP(
    A45,
    IMPORTRANGE(
      ""1ZygntHC1J6IxzKbTidmOyf5nUyW4GCLurHCjexrLm_o"",
      ""HTMLキャッシュ!A:F""
    ),
    5,
    FALSE
  ),
  0
)
"),"whereの意味と使い方｜文頭の語順・whereのあと・in/onの違い")</f>
        <v>whereの意味と使い方｜文頭の語順・whereのあと・in/onの違い</v>
      </c>
      <c r="D45" s="1" t="str">
        <f>IFERROR(__xludf.DUMMYFUNCTION("IFERROR(
  VLOOKUP(
    A45,
    IMPORTRANGE(
      ""1ZygntHC1J6IxzKbTidmOyf5nUyW4GCLurHCjexrLm_o        "",
      ""HTMLキャッシュ!A:F""
    ),
    6,
    FALSE
  ),
  0
)
"),"whereは「どこ」だけでなく、どこで・どこに・どこへの意味で使います。文頭の語順、whereのあと、前置詞in/onの違いを例文で確認。")</f>
        <v>whereは「どこ」だけでなく、どこで・どこに・どこへの意味で使います。文頭の語順、whereのあと、前置詞in/onの違いを例文で確認。</v>
      </c>
      <c r="E45" s="32">
        <f>IFERROR(__xludf.DUMMYFUNCTION("IFERROR(
  VLOOKUP(
    A45,
    IMPORTRANGE(
      ""1ZygntHC1J6IxzKbTidmOyf5nUyW4GCLurHCjexrLm_o        "",
      ""HTMLキャッシュ!A:F""
    ),
    3,
    FALSE
  ),
  0
)
"),46078.78046296296)</f>
        <v>46078.78046</v>
      </c>
      <c r="F45" s="49">
        <f>IFERROR(__xludf.DUMMYFUNCTION("IFERROR(
  VLOOKUP(
    A45,
    IMPORTRANGE(
      ""1ZHMy3vVUd_0MrSduXTe1etBb1HNpAlGwQr006ljwMiM"",
      ""GSC最新!A:F""
    ),
    2,
    FALSE
  ),
  0
)
"),4.0)</f>
        <v>4</v>
      </c>
      <c r="G45" s="49">
        <f>IFERROR(__xludf.DUMMYFUNCTION("IFERROR(
  VLOOKUP(
    A45,
    IMPORTRANGE(
      ""1ZHMy3vVUd_0MrSduXTe1etBb1HNpAlGwQr006ljwMiM"",
      ""GSC最新!A:F""
    ),
    3,
    FALSE
  ),
  0
)
"),11.0)</f>
        <v>11</v>
      </c>
      <c r="H45" s="49">
        <f>IFERROR(__xludf.DUMMYFUNCTION("IFERROR(
  VLOOKUP(
    A45,
    IMPORTRANGE(
      ""1ZHMy3vVUd_0MrSduXTe1etBb1HNpAlGwQr006ljwMiM"",
      ""GSC最新!A:F""
    ),
    4,
    FALSE
  ),
  0
)
"),6.0)</f>
        <v>6</v>
      </c>
      <c r="I45" s="49">
        <f>IFERROR(__xludf.DUMMYFUNCTION("IFERROR(
  VLOOKUP(
    A45,
    IMPORTRANGE(
      ""1ZHMy3vVUd_0MrSduXTe1etBb1HNpAlGwQr006ljwMiM"",
      ""GSC最新!A:F""
    ),
    5,
    FALSE
  ),
  0
)
"),14.0)</f>
        <v>14</v>
      </c>
      <c r="J45" s="50">
        <f t="shared" ref="J45:K45" si="216">IFERROR(F45/H45,"-")</f>
        <v>0.6666666667</v>
      </c>
      <c r="K45" s="50">
        <f t="shared" si="216"/>
        <v>0.7857142857</v>
      </c>
      <c r="L45" s="6">
        <f>IFERROR(__xludf.DUMMYFUNCTION("IFERROR(
  VLOOKUP(
    A45,
    IMPORTRANGE(
      ""1ZHMy3vVUd_0MrSduXTe1etBb1HNpAlGwQr006ljwMiM"",
      ""GSC最新!A:R""
    ),
    7,
    FALSE
  ),
  0
)
"),704.0)</f>
        <v>704</v>
      </c>
      <c r="M45" s="6">
        <f>IFERROR(__xludf.DUMMYFUNCTION("IFERROR(
  VLOOKUP(
    A45,
    IMPORTRANGE(
      ""1ZHMy3vVUd_0MrSduXTe1etBb1HNpAlGwQr006ljwMiM"",
      ""GSC最新!A:R""
    ),
    10,
    FALSE
  ),
  0
)
"),2528.0)</f>
        <v>2528</v>
      </c>
      <c r="N45" s="6">
        <f>IFERROR(__xludf.DUMMYFUNCTION("IFERROR(
  VLOOKUP(
    A45,
    IMPORTRANGE(
      ""1ZHMy3vVUd_0MrSduXTe1etBb1HNpAlGwQr006ljwMiM"",
      ""GSC最新!A:R""
    ),
    13,
    FALSE
  ),
  0
)
"),281.0)</f>
        <v>281</v>
      </c>
      <c r="O45" s="6">
        <f>IFERROR(__xludf.DUMMYFUNCTION("IFERROR(
  VLOOKUP(
    A45,
    IMPORTRANGE(
      ""1ZHMy3vVUd_0MrSduXTe1etBb1HNpAlGwQr006ljwMiM"",
      ""GSC最新!A:R""
    ),
    16,
    FALSE
  ),
  0
)
"),756.0)</f>
        <v>756</v>
      </c>
      <c r="P45" s="51">
        <f t="shared" ref="P45:Q45" si="217">IFERROR(L45/N45,"-")</f>
        <v>2.505338078</v>
      </c>
      <c r="Q45" s="51">
        <f t="shared" si="217"/>
        <v>3.343915344</v>
      </c>
      <c r="R45" s="9">
        <f>IFERROR(__xludf.DUMMYFUNCTION("IFERROR(
  VLOOKUP(
    A45,
    IMPORTRANGE(
      ""1ZHMy3vVUd_0MrSduXTe1etBb1HNpAlGwQr006ljwMiM"",
      ""GSC最新!A:R""
    ),
    8,
    FALSE
  ),
  0
)
"),0.005681818181818182)</f>
        <v>0.005681818182</v>
      </c>
      <c r="S45" s="9">
        <f>IFERROR(__xludf.DUMMYFUNCTION("IFERROR(
  VLOOKUP(
    A45,
    IMPORTRANGE(
      ""1ZHMy3vVUd_0MrSduXTe1etBb1HNpAlGwQr006ljwMiM"",
      ""GSC最新!A:R""
    ),
    11,
    FALSE
  ),
  0
)
"),0.00435126582278481)</f>
        <v>0.004351265823</v>
      </c>
      <c r="T45" s="9">
        <f>IFERROR(__xludf.DUMMYFUNCTION("IFERROR(
  VLOOKUP(
    A45,
    IMPORTRANGE(
      ""1ZHMy3vVUd_0MrSduXTe1etBb1HNpAlGwQr006ljwMiM"",
      ""GSC最新!A:R""
    ),
    14,
    FALSE
  ),
  0
)
"),0.021352313167259787)</f>
        <v>0.02135231317</v>
      </c>
      <c r="U45" s="9">
        <f>IFERROR(__xludf.DUMMYFUNCTION("IFERROR(
  VLOOKUP(
    A45,
    IMPORTRANGE(
      ""1ZHMy3vVUd_0MrSduXTe1etBb1HNpAlGwQr006ljwMiM"",
      ""GSC最新!A:R""
    ),
    17,
    FALSE
  ),
  0
)
"),0.018518518518518517)</f>
        <v>0.01851851852</v>
      </c>
      <c r="V45" s="9">
        <f t="shared" ref="V45:W45" si="218">IFERROR(R45-T45,"-")</f>
        <v>-0.01567049499</v>
      </c>
      <c r="W45" s="9">
        <f t="shared" si="218"/>
        <v>-0.0141672527</v>
      </c>
      <c r="X45" s="65">
        <f>IFERROR(__xludf.DUMMYFUNCTION("IFERROR(
  VLOOKUP(
    A45,
    IMPORTRANGE(
      ""1ZHMy3vVUd_0MrSduXTe1etBb1HNpAlGwQr006ljwMiM"",
      ""GSC最新!A:R""
    ),
    9,
    FALSE
  ),
  0
)
"),4.884943181818182)</f>
        <v>4.884943182</v>
      </c>
      <c r="Y45" s="65">
        <f>IFERROR(__xludf.DUMMYFUNCTION("IFERROR(
  VLOOKUP(
    A45,
    IMPORTRANGE(
      ""1ZHMy3vVUd_0MrSduXTe1etBb1HNpAlGwQr006ljwMiM"",
      ""GSC最新!A:R""
    ),
    12,
    FALSE
  ),
  0
)
"),5.813686708860759)</f>
        <v>5.813686709</v>
      </c>
      <c r="Z45" s="65">
        <f>IFERROR(__xludf.DUMMYFUNCTION("IFERROR(
  VLOOKUP(
    A45,
    IMPORTRANGE(
      ""1ZHMy3vVUd_0MrSduXTe1etBb1HNpAlGwQr006ljwMiM"",
      ""GSC最新!A:R""
    ),
    15,
    FALSE
  ),
  0
)
"),7.7686832740213525)</f>
        <v>7.768683274</v>
      </c>
      <c r="AA45" s="65">
        <f>IFERROR(__xludf.DUMMYFUNCTION("IFERROR(
  VLOOKUP(
    A45,
    IMPORTRANGE(
      ""1ZHMy3vVUd_0MrSduXTe1etBb1HNpAlGwQr006ljwMiM"",
      ""GSC最新!A:R""
    ),
    18,
    FALSE
  ),
  0
)
"),8.89021164021164)</f>
        <v>8.89021164</v>
      </c>
      <c r="AB45" s="65">
        <f t="shared" ref="AB45:AC45" si="219">X45-Z45</f>
        <v>-2.883740092</v>
      </c>
      <c r="AC45" s="65">
        <f t="shared" si="219"/>
        <v>-3.076524931</v>
      </c>
      <c r="AD45" s="53">
        <f>IFERROR(__xludf.DUMMYFUNCTION("IFERROR(
  VLOOKUP(
    A45,
    IMPORTRANGE(
      ""1ZHMy3vVUd_0MrSduXTe1etBb1HNpAlGwQr006ljwMiM"",
      ""GSC最新!A:F""
    ),
    6,
    FALSE
  ),
  0
)
"),46081.0)</f>
        <v>46081</v>
      </c>
      <c r="AE45" s="54">
        <f>IFERROR(__xludf.DUMMYFUNCTION("IFERROR(
  VLOOKUP(
    A45,
    IMPORTRANGE(
      ""1SCYQd7_cobOYqT0r_F0IqD4tE4rYn5y8Eup4PJTH8es"",
      ""Snapshot!A:M""
    ),
    5,
    FALSE
  ),
  ""-""
)
"),0.0)</f>
        <v>0</v>
      </c>
      <c r="AF45" s="54">
        <f>IFERROR(__xludf.DUMMYFUNCTION("IFERROR(
  VLOOKUP(
    A45,
    IMPORTRANGE(
      ""1SCYQd7_cobOYqT0r_F0IqD4tE4rYn5y8Eup4PJTH8es"",
      ""Snapshot!A:M""
    ),
    6,
    FALSE
  ),
  0
)
"),2.0)</f>
        <v>2</v>
      </c>
      <c r="AG45" s="54">
        <f>IFERROR(__xludf.DUMMYFUNCTION("IFERROR(
  VLOOKUP(
    A45,
    IMPORTRANGE(
      ""1SCYQd7_cobOYqT0r_F0IqD4tE4rYn5y8Eup4PJTH8es"",
      ""Snapshot!A:M""
    ),
    7,
    FALSE
  ),
  0
)
"),1747.0)</f>
        <v>1747</v>
      </c>
      <c r="AH45" s="54">
        <f>IFERROR(__xludf.DUMMYFUNCTION("IFERROR(
  VLOOKUP(
    A45,
    IMPORTRANGE(
      ""1SCYQd7_cobOYqT0r_F0IqD4tE4rYn5y8Eup4PJTH8es"",
      ""Snapshot!A:M""
    ),
    8,
    FALSE
  ),
  0
)
"),1.0)</f>
        <v>1</v>
      </c>
      <c r="AI45" s="54">
        <f>IFERROR(__xludf.DUMMYFUNCTION("IFERROR(
  VLOOKUP(
    A45,
    IMPORTRANGE(
      ""1SCYQd7_cobOYqT0r_F0IqD4tE4rYn5y8Eup4PJTH8es"",
      ""Snapshot!A:M""
    ),
    9,
    FALSE
  ),
  0
)
"),4.0)</f>
        <v>4</v>
      </c>
      <c r="AJ45" s="54">
        <f>IFERROR(__xludf.DUMMYFUNCTION("IFERROR(
  VLOOKUP(
    A45,
    IMPORTRANGE(
      ""1SCYQd7_cobOYqT0r_F0IqD4tE4rYn5y8Eup4PJTH8es"",
      ""Snapshot!A:M""
    ),
    13,
    FALSE
  ),
  0
)
"),1.0)</f>
        <v>1</v>
      </c>
      <c r="AK45" s="49">
        <f t="shared" ref="AK45:AL45" si="220">LEN(C45)</f>
        <v>36</v>
      </c>
      <c r="AL45" s="49">
        <f t="shared" si="220"/>
        <v>69</v>
      </c>
    </row>
    <row r="46">
      <c r="A46" s="3" t="s">
        <v>1133</v>
      </c>
      <c r="B46" s="1" t="str">
        <f>IFERROR(__xludf.DUMMYFUNCTION("IFERROR(
  VLOOKUP(
    A46,
    IMPORTRANGE(
      ""1ZygntHC1J6IxzKbTidmOyf5nUyW4GCLurHCjexrLm_o"",
      ""HTMLキャッシュ!A:F""
    ),
    2,
    FALSE
  ),
  0
)
"),"MC")</f>
        <v>MC</v>
      </c>
      <c r="C46" s="1" t="str">
        <f>IFERROR(__xludf.DUMMYFUNCTION("IFERROR(
  VLOOKUP(
    A46,
    IMPORTRANGE(
      ""1ZygntHC1J6IxzKbTidmOyf5nUyW4GCLurHCjexrLm_o"",
      ""HTMLキャッシュ!A:F""
    ),
    5,
    FALSE
  ),
  0
)
"),"theyの目的格はthem｜目的格一覧表と前置詞の後ろのルール｜中1英語 Progress Book1 9-3")</f>
        <v>theyの目的格はthem｜目的格一覧表と前置詞の後ろのルール｜中1英語 Progress Book1 9-3</v>
      </c>
      <c r="D46" s="1" t="str">
        <f>IFERROR(__xludf.DUMMYFUNCTION("IFERROR(
  VLOOKUP(
    A46,
    IMPORTRANGE(
      ""1ZygntHC1J6IxzKbTidmOyf5nUyW4GCLurHCjexrLm_o        "",
      ""HTMLキャッシュ!A:F""
    ),
    6,
    FALSE
  ),
  0
)
"),"theyの目的格はthem。me/you/him/her/it/us/themを主格・所有格とセットで表に整理。動詞likeの目的語、to/about/for/withなど前置詞の後ろは目的格。Progress Book1 9-3対応。")</f>
        <v>theyの目的格はthem。me/you/him/her/it/us/themを主格・所有格とセットで表に整理。動詞likeの目的語、to/about/for/withなど前置詞の後ろは目的格。Progress Book1 9-3対応。</v>
      </c>
      <c r="E46" s="32">
        <f>IFERROR(__xludf.DUMMYFUNCTION("IFERROR(
  VLOOKUP(
    A46,
    IMPORTRANGE(
      ""1ZygntHC1J6IxzKbTidmOyf5nUyW4GCLurHCjexrLm_o        "",
      ""HTMLキャッシュ!A:F""
    ),
    3,
    FALSE
  ),
  0
)
"),46029.66358796296)</f>
        <v>46029.66359</v>
      </c>
      <c r="F46" s="49">
        <f>IFERROR(__xludf.DUMMYFUNCTION("IFERROR(
  VLOOKUP(
    A46,
    IMPORTRANGE(
      ""1ZHMy3vVUd_0MrSduXTe1etBb1HNpAlGwQr006ljwMiM"",
      ""GSC最新!A:F""
    ),
    2,
    FALSE
  ),
  0
)
"),6.0)</f>
        <v>6</v>
      </c>
      <c r="G46" s="49">
        <f>IFERROR(__xludf.DUMMYFUNCTION("IFERROR(
  VLOOKUP(
    A46,
    IMPORTRANGE(
      ""1ZHMy3vVUd_0MrSduXTe1etBb1HNpAlGwQr006ljwMiM"",
      ""GSC最新!A:F""
    ),
    3,
    FALSE
  ),
  0
)
"),11.0)</f>
        <v>11</v>
      </c>
      <c r="H46" s="49">
        <f>IFERROR(__xludf.DUMMYFUNCTION("IFERROR(
  VLOOKUP(
    A46,
    IMPORTRANGE(
      ""1ZHMy3vVUd_0MrSduXTe1etBb1HNpAlGwQr006ljwMiM"",
      ""GSC最新!A:F""
    ),
    4,
    FALSE
  ),
  0
)
"),1.0)</f>
        <v>1</v>
      </c>
      <c r="I46" s="49">
        <f>IFERROR(__xludf.DUMMYFUNCTION("IFERROR(
  VLOOKUP(
    A46,
    IMPORTRANGE(
      ""1ZHMy3vVUd_0MrSduXTe1etBb1HNpAlGwQr006ljwMiM"",
      ""GSC最新!A:F""
    ),
    5,
    FALSE
  ),
  0
)
"),4.0)</f>
        <v>4</v>
      </c>
      <c r="J46" s="50">
        <f t="shared" ref="J46:K46" si="221">IFERROR(F46/H46,"-")</f>
        <v>6</v>
      </c>
      <c r="K46" s="50">
        <f t="shared" si="221"/>
        <v>2.75</v>
      </c>
      <c r="L46" s="6">
        <f>IFERROR(__xludf.DUMMYFUNCTION("IFERROR(
  VLOOKUP(
    A46,
    IMPORTRANGE(
      ""1ZHMy3vVUd_0MrSduXTe1etBb1HNpAlGwQr006ljwMiM"",
      ""GSC最新!A:R""
    ),
    7,
    FALSE
  ),
  0
)
"),3914.0)</f>
        <v>3914</v>
      </c>
      <c r="M46" s="6">
        <f>IFERROR(__xludf.DUMMYFUNCTION("IFERROR(
  VLOOKUP(
    A46,
    IMPORTRANGE(
      ""1ZHMy3vVUd_0MrSduXTe1etBb1HNpAlGwQr006ljwMiM"",
      ""GSC最新!A:R""
    ),
    10,
    FALSE
  ),
  0
)
"),8856.0)</f>
        <v>8856</v>
      </c>
      <c r="N46" s="6">
        <f>IFERROR(__xludf.DUMMYFUNCTION("IFERROR(
  VLOOKUP(
    A46,
    IMPORTRANGE(
      ""1ZHMy3vVUd_0MrSduXTe1etBb1HNpAlGwQr006ljwMiM"",
      ""GSC最新!A:R""
    ),
    13,
    FALSE
  ),
  0
)
"),1527.0)</f>
        <v>1527</v>
      </c>
      <c r="O46" s="6">
        <f>IFERROR(__xludf.DUMMYFUNCTION("IFERROR(
  VLOOKUP(
    A46,
    IMPORTRANGE(
      ""1ZHMy3vVUd_0MrSduXTe1etBb1HNpAlGwQr006ljwMiM"",
      ""GSC最新!A:R""
    ),
    16,
    FALSE
  ),
  0
)
"),4212.0)</f>
        <v>4212</v>
      </c>
      <c r="P46" s="51">
        <f t="shared" ref="P46:Q46" si="222">IFERROR(L46/N46,"-")</f>
        <v>2.563195809</v>
      </c>
      <c r="Q46" s="51">
        <f t="shared" si="222"/>
        <v>2.102564103</v>
      </c>
      <c r="R46" s="9">
        <f>IFERROR(__xludf.DUMMYFUNCTION("IFERROR(
  VLOOKUP(
    A46,
    IMPORTRANGE(
      ""1ZHMy3vVUd_0MrSduXTe1etBb1HNpAlGwQr006ljwMiM"",
      ""GSC最新!A:R""
    ),
    8,
    FALSE
  ),
  0
)
"),0.0015329586101175269)</f>
        <v>0.00153295861</v>
      </c>
      <c r="S46" s="9">
        <f>IFERROR(__xludf.DUMMYFUNCTION("IFERROR(
  VLOOKUP(
    A46,
    IMPORTRANGE(
      ""1ZHMy3vVUd_0MrSduXTe1etBb1HNpAlGwQr006ljwMiM"",
      ""GSC最新!A:R""
    ),
    11,
    FALSE
  ),
  0
)
"),0.0012420957542908762)</f>
        <v>0.001242095754</v>
      </c>
      <c r="T46" s="9">
        <f>IFERROR(__xludf.DUMMYFUNCTION("IFERROR(
  VLOOKUP(
    A46,
    IMPORTRANGE(
      ""1ZHMy3vVUd_0MrSduXTe1etBb1HNpAlGwQr006ljwMiM"",
      ""GSC最新!A:R""
    ),
    14,
    FALSE
  ),
  0
)
"),6.548788474132286E-4)</f>
        <v>0.0006548788474</v>
      </c>
      <c r="U46" s="9">
        <f>IFERROR(__xludf.DUMMYFUNCTION("IFERROR(
  VLOOKUP(
    A46,
    IMPORTRANGE(
      ""1ZHMy3vVUd_0MrSduXTe1etBb1HNpAlGwQr006ljwMiM"",
      ""GSC最新!A:R""
    ),
    17,
    FALSE
  ),
  0
)
"),9.49667616334283E-4)</f>
        <v>0.0009496676163</v>
      </c>
      <c r="V46" s="9">
        <f t="shared" ref="V46:W46" si="223">IFERROR(R46-T46,"-")</f>
        <v>0.0008780797627</v>
      </c>
      <c r="W46" s="9">
        <f t="shared" si="223"/>
        <v>0.000292428138</v>
      </c>
      <c r="X46" s="65">
        <f>IFERROR(__xludf.DUMMYFUNCTION("IFERROR(
  VLOOKUP(
    A46,
    IMPORTRANGE(
      ""1ZHMy3vVUd_0MrSduXTe1etBb1HNpAlGwQr006ljwMiM"",
      ""GSC最新!A:R""
    ),
    9,
    FALSE
  ),
  0
)
"),5.040367910066428)</f>
        <v>5.04036791</v>
      </c>
      <c r="Y46" s="65">
        <f>IFERROR(__xludf.DUMMYFUNCTION("IFERROR(
  VLOOKUP(
    A46,
    IMPORTRANGE(
      ""1ZHMy3vVUd_0MrSduXTe1etBb1HNpAlGwQr006ljwMiM"",
      ""GSC最新!A:R""
    ),
    12,
    FALSE
  ),
  0
)
"),5.088527551942186)</f>
        <v>5.088527552</v>
      </c>
      <c r="Z46" s="65">
        <f>IFERROR(__xludf.DUMMYFUNCTION("IFERROR(
  VLOOKUP(
    A46,
    IMPORTRANGE(
      ""1ZHMy3vVUd_0MrSduXTe1etBb1HNpAlGwQr006ljwMiM"",
      ""GSC最新!A:R""
    ),
    15,
    FALSE
  ),
  0
)
"),7.037328094302554)</f>
        <v>7.037328094</v>
      </c>
      <c r="AA46" s="65">
        <f>IFERROR(__xludf.DUMMYFUNCTION("IFERROR(
  VLOOKUP(
    A46,
    IMPORTRANGE(
      ""1ZHMy3vVUd_0MrSduXTe1etBb1HNpAlGwQr006ljwMiM"",
      ""GSC最新!A:R""
    ),
    18,
    FALSE
  ),
  0
)
"),7.800807217473884)</f>
        <v>7.800807217</v>
      </c>
      <c r="AB46" s="65">
        <f t="shared" ref="AB46:AC46" si="224">X46-Z46</f>
        <v>-1.996960184</v>
      </c>
      <c r="AC46" s="65">
        <f t="shared" si="224"/>
        <v>-2.712279666</v>
      </c>
      <c r="AD46" s="53">
        <f>IFERROR(__xludf.DUMMYFUNCTION("IFERROR(
  VLOOKUP(
    A46,
    IMPORTRANGE(
      ""1ZHMy3vVUd_0MrSduXTe1etBb1HNpAlGwQr006ljwMiM"",
      ""GSC最新!A:F""
    ),
    6,
    FALSE
  ),
  0
)
"),46081.0)</f>
        <v>46081</v>
      </c>
      <c r="AE46" s="54">
        <f>IFERROR(__xludf.DUMMYFUNCTION("IFERROR(
  VLOOKUP(
    A46,
    IMPORTRANGE(
      ""1SCYQd7_cobOYqT0r_F0IqD4tE4rYn5y8Eup4PJTH8es"",
      ""Snapshot!A:M""
    ),
    5,
    FALSE
  ),
  ""-""
)
"),0.0)</f>
        <v>0</v>
      </c>
      <c r="AF46" s="54">
        <f>IFERROR(__xludf.DUMMYFUNCTION("IFERROR(
  VLOOKUP(
    A46,
    IMPORTRANGE(
      ""1SCYQd7_cobOYqT0r_F0IqD4tE4rYn5y8Eup4PJTH8es"",
      ""Snapshot!A:M""
    ),
    6,
    FALSE
  ),
  0
)
"),0.0)</f>
        <v>0</v>
      </c>
      <c r="AG46" s="54">
        <f>IFERROR(__xludf.DUMMYFUNCTION("IFERROR(
  VLOOKUP(
    A46,
    IMPORTRANGE(
      ""1SCYQd7_cobOYqT0r_F0IqD4tE4rYn5y8Eup4PJTH8es"",
      ""Snapshot!A:M""
    ),
    7,
    FALSE
  ),
  0
)
"),5060.0)</f>
        <v>5060</v>
      </c>
      <c r="AH46" s="54">
        <f>IFERROR(__xludf.DUMMYFUNCTION("IFERROR(
  VLOOKUP(
    A46,
    IMPORTRANGE(
      ""1SCYQd7_cobOYqT0r_F0IqD4tE4rYn5y8Eup4PJTH8es"",
      ""Snapshot!A:M""
    ),
    8,
    FALSE
  ),
  0
)
"),1.0)</f>
        <v>1</v>
      </c>
      <c r="AI46" s="54">
        <f>IFERROR(__xludf.DUMMYFUNCTION("IFERROR(
  VLOOKUP(
    A46,
    IMPORTRANGE(
      ""1SCYQd7_cobOYqT0r_F0IqD4tE4rYn5y8Eup4PJTH8es"",
      ""Snapshot!A:M""
    ),
    9,
    FALSE
  ),
  0
)
"),3.0)</f>
        <v>3</v>
      </c>
      <c r="AJ46" s="54">
        <f>IFERROR(__xludf.DUMMYFUNCTION("IFERROR(
  VLOOKUP(
    A46,
    IMPORTRANGE(
      ""1SCYQd7_cobOYqT0r_F0IqD4tE4rYn5y8Eup4PJTH8es"",
      ""Snapshot!A:M""
    ),
    13,
    FALSE
  ),
  0
)
"),1.0)</f>
        <v>1</v>
      </c>
      <c r="AK46" s="49">
        <f t="shared" ref="AK46:AL46" si="225">LEN(C46)</f>
        <v>55</v>
      </c>
      <c r="AL46" s="49">
        <f t="shared" si="225"/>
        <v>118</v>
      </c>
    </row>
    <row r="47">
      <c r="A47" s="3" t="s">
        <v>1134</v>
      </c>
      <c r="B47" s="1" t="str">
        <f>IFERROR(__xludf.DUMMYFUNCTION("IFERROR(
  VLOOKUP(
    A47,
    IMPORTRANGE(
      ""1ZygntHC1J6IxzKbTidmOyf5nUyW4GCLurHCjexrLm_o"",
      ""HTMLキャッシュ!A:F""
    ),
    2,
    FALSE
  ),
  0
)
"),"MC")</f>
        <v>MC</v>
      </c>
      <c r="C47" s="1" t="str">
        <f>IFERROR(__xludf.DUMMYFUNCTION("IFERROR(
  VLOOKUP(
    A47,
    IMPORTRANGE(
      ""1ZygntHC1J6IxzKbTidmOyf5nUyW4GCLurHCjexrLm_o"",
      ""HTMLキャッシュ!A:F""
    ),
    5,
    FALSE
  ),
  0
)
"),"be made of/from/intoの違い｜意味整理")</f>
        <v>be made of/from/intoの違い｜意味整理</v>
      </c>
      <c r="D47" s="1" t="str">
        <f>IFERROR(__xludf.DUMMYFUNCTION("IFERROR(
  VLOOKUP(
    A47,
    IMPORTRANGE(
      ""1ZygntHC1J6IxzKbTidmOyf5nUyW4GCLurHCjexrLm_o        "",
      ""HTMLキャッシュ!A:F""
    ),
    6,
    FALSE
  ),
  0
)
"),"be made of/from/intoの意味と違いを例文で整理。材料・原料・完成品の視点を中学生向けに解説。")</f>
        <v>be made of/from/intoの意味と違いを例文で整理。材料・原料・完成品の視点を中学生向けに解説。</v>
      </c>
      <c r="E47" s="32">
        <f>IFERROR(__xludf.DUMMYFUNCTION("IFERROR(
  VLOOKUP(
    A47,
    IMPORTRANGE(
      ""1ZygntHC1J6IxzKbTidmOyf5nUyW4GCLurHCjexrLm_o        "",
      ""HTMLキャッシュ!A:F""
    ),
    3,
    FALSE
  ),
  0
)
"),46050.70622685185)</f>
        <v>46050.70623</v>
      </c>
      <c r="F47" s="49">
        <f>IFERROR(__xludf.DUMMYFUNCTION("IFERROR(
  VLOOKUP(
    A47,
    IMPORTRANGE(
      ""1ZHMy3vVUd_0MrSduXTe1etBb1HNpAlGwQr006ljwMiM"",
      ""GSC最新!A:F""
    ),
    2,
    FALSE
  ),
  0
)
"),5.0)</f>
        <v>5</v>
      </c>
      <c r="G47" s="49">
        <f>IFERROR(__xludf.DUMMYFUNCTION("IFERROR(
  VLOOKUP(
    A47,
    IMPORTRANGE(
      ""1ZHMy3vVUd_0MrSduXTe1etBb1HNpAlGwQr006ljwMiM"",
      ""GSC最新!A:F""
    ),
    3,
    FALSE
  ),
  0
)
"),9.0)</f>
        <v>9</v>
      </c>
      <c r="H47" s="49">
        <f>IFERROR(__xludf.DUMMYFUNCTION("IFERROR(
  VLOOKUP(
    A47,
    IMPORTRANGE(
      ""1ZHMy3vVUd_0MrSduXTe1etBb1HNpAlGwQr006ljwMiM"",
      ""GSC最新!A:F""
    ),
    4,
    FALSE
  ),
  0
)
"),0.0)</f>
        <v>0</v>
      </c>
      <c r="I47" s="49">
        <f>IFERROR(__xludf.DUMMYFUNCTION("IFERROR(
  VLOOKUP(
    A47,
    IMPORTRANGE(
      ""1ZHMy3vVUd_0MrSduXTe1etBb1HNpAlGwQr006ljwMiM"",
      ""GSC最新!A:F""
    ),
    5,
    FALSE
  ),
  0
)
"),0.0)</f>
        <v>0</v>
      </c>
      <c r="J47" s="50" t="str">
        <f t="shared" ref="J47:K47" si="226">IFERROR(F47/H47,"-")</f>
        <v>-</v>
      </c>
      <c r="K47" s="50" t="str">
        <f t="shared" si="226"/>
        <v>-</v>
      </c>
      <c r="L47" s="6">
        <f>IFERROR(__xludf.DUMMYFUNCTION("IFERROR(
  VLOOKUP(
    A47,
    IMPORTRANGE(
      ""1ZHMy3vVUd_0MrSduXTe1etBb1HNpAlGwQr006ljwMiM"",
      ""GSC最新!A:R""
    ),
    7,
    FALSE
  ),
  0
)
"),3202.0)</f>
        <v>3202</v>
      </c>
      <c r="M47" s="6">
        <f>IFERROR(__xludf.DUMMYFUNCTION("IFERROR(
  VLOOKUP(
    A47,
    IMPORTRANGE(
      ""1ZHMy3vVUd_0MrSduXTe1etBb1HNpAlGwQr006ljwMiM"",
      ""GSC最新!A:R""
    ),
    10,
    FALSE
  ),
  0
)
"),5804.0)</f>
        <v>5804</v>
      </c>
      <c r="N47" s="6">
        <f>IFERROR(__xludf.DUMMYFUNCTION("IFERROR(
  VLOOKUP(
    A47,
    IMPORTRANGE(
      ""1ZHMy3vVUd_0MrSduXTe1etBb1HNpAlGwQr006ljwMiM"",
      ""GSC最新!A:R""
    ),
    13,
    FALSE
  ),
  0
)
"),12.0)</f>
        <v>12</v>
      </c>
      <c r="O47" s="6">
        <f>IFERROR(__xludf.DUMMYFUNCTION("IFERROR(
  VLOOKUP(
    A47,
    IMPORTRANGE(
      ""1ZHMy3vVUd_0MrSduXTe1etBb1HNpAlGwQr006ljwMiM"",
      ""GSC最新!A:R""
    ),
    16,
    FALSE
  ),
  0
)
"),29.0)</f>
        <v>29</v>
      </c>
      <c r="P47" s="51">
        <f t="shared" ref="P47:Q47" si="227">IFERROR(L47/N47,"-")</f>
        <v>266.8333333</v>
      </c>
      <c r="Q47" s="51">
        <f t="shared" si="227"/>
        <v>200.137931</v>
      </c>
      <c r="R47" s="9">
        <f>IFERROR(__xludf.DUMMYFUNCTION("IFERROR(
  VLOOKUP(
    A47,
    IMPORTRANGE(
      ""1ZHMy3vVUd_0MrSduXTe1etBb1HNpAlGwQr006ljwMiM"",
      ""GSC最新!A:R""
    ),
    8,
    FALSE
  ),
  0
)
"),0.001561524047470331)</f>
        <v>0.001561524047</v>
      </c>
      <c r="S47" s="9">
        <f>IFERROR(__xludf.DUMMYFUNCTION("IFERROR(
  VLOOKUP(
    A47,
    IMPORTRANGE(
      ""1ZHMy3vVUd_0MrSduXTe1etBb1HNpAlGwQr006ljwMiM"",
      ""GSC最新!A:R""
    ),
    11,
    FALSE
  ),
  0
)
"),0.0015506547208821502)</f>
        <v>0.001550654721</v>
      </c>
      <c r="T47" s="9">
        <f>IFERROR(__xludf.DUMMYFUNCTION("IFERROR(
  VLOOKUP(
    A47,
    IMPORTRANGE(
      ""1ZHMy3vVUd_0MrSduXTe1etBb1HNpAlGwQr006ljwMiM"",
      ""GSC最新!A:R""
    ),
    14,
    FALSE
  ),
  0
)
"),0.0)</f>
        <v>0</v>
      </c>
      <c r="U47" s="9">
        <f>IFERROR(__xludf.DUMMYFUNCTION("IFERROR(
  VLOOKUP(
    A47,
    IMPORTRANGE(
      ""1ZHMy3vVUd_0MrSduXTe1etBb1HNpAlGwQr006ljwMiM"",
      ""GSC最新!A:R""
    ),
    17,
    FALSE
  ),
  0
)
"),0.0)</f>
        <v>0</v>
      </c>
      <c r="V47" s="9">
        <f t="shared" ref="V47:W47" si="228">IFERROR(R47-T47,"-")</f>
        <v>0.001561524047</v>
      </c>
      <c r="W47" s="9">
        <f t="shared" si="228"/>
        <v>0.001550654721</v>
      </c>
      <c r="X47" s="65">
        <f>IFERROR(__xludf.DUMMYFUNCTION("IFERROR(
  VLOOKUP(
    A47,
    IMPORTRANGE(
      ""1ZHMy3vVUd_0MrSduXTe1etBb1HNpAlGwQr006ljwMiM"",
      ""GSC最新!A:R""
    ),
    9,
    FALSE
  ),
  0
)
"),7.2282948157401625)</f>
        <v>7.228294816</v>
      </c>
      <c r="Y47" s="65">
        <f>IFERROR(__xludf.DUMMYFUNCTION("IFERROR(
  VLOOKUP(
    A47,
    IMPORTRANGE(
      ""1ZHMy3vVUd_0MrSduXTe1etBb1HNpAlGwQr006ljwMiM"",
      ""GSC最新!A:R""
    ),
    12,
    FALSE
  ),
  0
)
"),7.7167470709855275)</f>
        <v>7.716747071</v>
      </c>
      <c r="Z47" s="65">
        <f>IFERROR(__xludf.DUMMYFUNCTION("IFERROR(
  VLOOKUP(
    A47,
    IMPORTRANGE(
      ""1ZHMy3vVUd_0MrSduXTe1etBb1HNpAlGwQr006ljwMiM"",
      ""GSC最新!A:R""
    ),
    15,
    FALSE
  ),
  0
)
"),8.583333333333332)</f>
        <v>8.583333333</v>
      </c>
      <c r="AA47" s="65">
        <f>IFERROR(__xludf.DUMMYFUNCTION("IFERROR(
  VLOOKUP(
    A47,
    IMPORTRANGE(
      ""1ZHMy3vVUd_0MrSduXTe1etBb1HNpAlGwQr006ljwMiM"",
      ""GSC最新!A:R""
    ),
    18,
    FALSE
  ),
  0
)
"),8.931034482758621)</f>
        <v>8.931034483</v>
      </c>
      <c r="AB47" s="65">
        <f t="shared" ref="AB47:AC47" si="229">X47-Z47</f>
        <v>-1.355038518</v>
      </c>
      <c r="AC47" s="65">
        <f t="shared" si="229"/>
        <v>-1.214287412</v>
      </c>
      <c r="AD47" s="53">
        <f>IFERROR(__xludf.DUMMYFUNCTION("IFERROR(
  VLOOKUP(
    A47,
    IMPORTRANGE(
      ""1ZHMy3vVUd_0MrSduXTe1etBb1HNpAlGwQr006ljwMiM"",
      ""GSC最新!A:F""
    ),
    6,
    FALSE
  ),
  0
)
"),46081.0)</f>
        <v>46081</v>
      </c>
      <c r="AE47" s="54">
        <f>IFERROR(__xludf.DUMMYFUNCTION("IFERROR(
  VLOOKUP(
    A47,
    IMPORTRANGE(
      ""1SCYQd7_cobOYqT0r_F0IqD4tE4rYn5y8Eup4PJTH8es"",
      ""Snapshot!A:M""
    ),
    5,
    FALSE
  ),
  ""-""
)
"),1.0)</f>
        <v>1</v>
      </c>
      <c r="AF47" s="54">
        <f>IFERROR(__xludf.DUMMYFUNCTION("IFERROR(
  VLOOKUP(
    A47,
    IMPORTRANGE(
      ""1SCYQd7_cobOYqT0r_F0IqD4tE4rYn5y8Eup4PJTH8es"",
      ""Snapshot!A:M""
    ),
    6,
    FALSE
  ),
  0
)
"),0.0)</f>
        <v>0</v>
      </c>
      <c r="AG47" s="54">
        <f>IFERROR(__xludf.DUMMYFUNCTION("IFERROR(
  VLOOKUP(
    A47,
    IMPORTRANGE(
      ""1SCYQd7_cobOYqT0r_F0IqD4tE4rYn5y8Eup4PJTH8es"",
      ""Snapshot!A:M""
    ),
    7,
    FALSE
  ),
  0
)
"),980.0)</f>
        <v>980</v>
      </c>
      <c r="AH47" s="54">
        <f>IFERROR(__xludf.DUMMYFUNCTION("IFERROR(
  VLOOKUP(
    A47,
    IMPORTRANGE(
      ""1SCYQd7_cobOYqT0r_F0IqD4tE4rYn5y8Eup4PJTH8es"",
      ""Snapshot!A:M""
    ),
    8,
    FALSE
  ),
  0
)
"),1.0)</f>
        <v>1</v>
      </c>
      <c r="AI47" s="54">
        <f>IFERROR(__xludf.DUMMYFUNCTION("IFERROR(
  VLOOKUP(
    A47,
    IMPORTRANGE(
      ""1SCYQd7_cobOYqT0r_F0IqD4tE4rYn5y8Eup4PJTH8es"",
      ""Snapshot!A:M""
    ),
    9,
    FALSE
  ),
  0
)
"),3.0)</f>
        <v>3</v>
      </c>
      <c r="AJ47" s="54">
        <f>IFERROR(__xludf.DUMMYFUNCTION("IFERROR(
  VLOOKUP(
    A47,
    IMPORTRANGE(
      ""1SCYQd7_cobOYqT0r_F0IqD4tE4rYn5y8Eup4PJTH8es"",
      ""Snapshot!A:M""
    ),
    13,
    FALSE
  ),
  0
)
"),1.0)</f>
        <v>1</v>
      </c>
      <c r="AK47" s="49">
        <f t="shared" ref="AK47:AL47" si="230">LEN(C47)</f>
        <v>28</v>
      </c>
      <c r="AL47" s="49">
        <f t="shared" si="230"/>
        <v>55</v>
      </c>
    </row>
    <row r="48">
      <c r="A48" s="3" t="s">
        <v>1135</v>
      </c>
      <c r="B48" s="1" t="str">
        <f>IFERROR(__xludf.DUMMYFUNCTION("IFERROR(
  VLOOKUP(
    A48,
    IMPORTRANGE(
      ""1ZygntHC1J6IxzKbTidmOyf5nUyW4GCLurHCjexrLm_o"",
      ""HTMLキャッシュ!A:F""
    ),
    2,
    FALSE
  ),
  0
)
"),"MC")</f>
        <v>MC</v>
      </c>
      <c r="C48" s="1" t="str">
        <f>IFERROR(__xludf.DUMMYFUNCTION("IFERROR(
  VLOOKUP(
    A48,
    IMPORTRANGE(
      ""1ZygntHC1J6IxzKbTidmOyf5nUyW4GCLurHCjexrLm_o"",
      ""HTMLキャッシュ!A:F""
    ),
    5,
    FALSE
  ),
  0
)
"),"enoughの用法｜形容詞・副詞＋enough to｜中学英語")</f>
        <v>enoughの用法｜形容詞・副詞＋enough to｜中学英語</v>
      </c>
      <c r="D48" s="1" t="str">
        <f>IFERROR(__xludf.DUMMYFUNCTION("IFERROR(
  VLOOKUP(
    A48,
    IMPORTRANGE(
      ""1ZygntHC1J6IxzKbTidmOyf5nUyW4GCLurHCjexrLm_o        "",
      ""HTMLキャッシュ!A:F""
    ),
    6,
    FALSE
  ),
  0
)
"),"enoughの使い方を例文で確認。位置、enough to不定詞、enough＋名詞、for me to、not enoughの訳まで中学英語向けに解説。")</f>
        <v>enoughの使い方を例文で確認。位置、enough to不定詞、enough＋名詞、for me to、not enoughの訳まで中学英語向けに解説。</v>
      </c>
      <c r="E48" s="32">
        <f>IFERROR(__xludf.DUMMYFUNCTION("IFERROR(
  VLOOKUP(
    A48,
    IMPORTRANGE(
      ""1ZygntHC1J6IxzKbTidmOyf5nUyW4GCLurHCjexrLm_o        "",
      ""HTMLキャッシュ!A:F""
    ),
    3,
    FALSE
  ),
  0
)
"),46078.80472222222)</f>
        <v>46078.80472</v>
      </c>
      <c r="F48" s="49">
        <f>IFERROR(__xludf.DUMMYFUNCTION("IFERROR(
  VLOOKUP(
    A48,
    IMPORTRANGE(
      ""1ZHMy3vVUd_0MrSduXTe1etBb1HNpAlGwQr006ljwMiM"",
      ""GSC最新!A:F""
    ),
    2,
    FALSE
  ),
  0
)
"),4.0)</f>
        <v>4</v>
      </c>
      <c r="G48" s="49">
        <f>IFERROR(__xludf.DUMMYFUNCTION("IFERROR(
  VLOOKUP(
    A48,
    IMPORTRANGE(
      ""1ZHMy3vVUd_0MrSduXTe1etBb1HNpAlGwQr006ljwMiM"",
      ""GSC最新!A:F""
    ),
    3,
    FALSE
  ),
  0
)
"),9.0)</f>
        <v>9</v>
      </c>
      <c r="H48" s="49">
        <f>IFERROR(__xludf.DUMMYFUNCTION("IFERROR(
  VLOOKUP(
    A48,
    IMPORTRANGE(
      ""1ZHMy3vVUd_0MrSduXTe1etBb1HNpAlGwQr006ljwMiM"",
      ""GSC最新!A:F""
    ),
    4,
    FALSE
  ),
  0
)
"),3.0)</f>
        <v>3</v>
      </c>
      <c r="I48" s="49">
        <f>IFERROR(__xludf.DUMMYFUNCTION("IFERROR(
  VLOOKUP(
    A48,
    IMPORTRANGE(
      ""1ZHMy3vVUd_0MrSduXTe1etBb1HNpAlGwQr006ljwMiM"",
      ""GSC最新!A:F""
    ),
    5,
    FALSE
  ),
  0
)
"),10.0)</f>
        <v>10</v>
      </c>
      <c r="J48" s="50">
        <f t="shared" ref="J48:K48" si="231">IFERROR(F48/H48,"-")</f>
        <v>1.333333333</v>
      </c>
      <c r="K48" s="50">
        <f t="shared" si="231"/>
        <v>0.9</v>
      </c>
      <c r="L48" s="6">
        <f>IFERROR(__xludf.DUMMYFUNCTION("IFERROR(
  VLOOKUP(
    A48,
    IMPORTRANGE(
      ""1ZHMy3vVUd_0MrSduXTe1etBb1HNpAlGwQr006ljwMiM"",
      ""GSC最新!A:R""
    ),
    7,
    FALSE
  ),
  0
)
"),1891.0)</f>
        <v>1891</v>
      </c>
      <c r="M48" s="6">
        <f>IFERROR(__xludf.DUMMYFUNCTION("IFERROR(
  VLOOKUP(
    A48,
    IMPORTRANGE(
      ""1ZHMy3vVUd_0MrSduXTe1etBb1HNpAlGwQr006ljwMiM"",
      ""GSC最新!A:R""
    ),
    10,
    FALSE
  ),
  0
)
"),4620.0)</f>
        <v>4620</v>
      </c>
      <c r="N48" s="6">
        <f>IFERROR(__xludf.DUMMYFUNCTION("IFERROR(
  VLOOKUP(
    A48,
    IMPORTRANGE(
      ""1ZHMy3vVUd_0MrSduXTe1etBb1HNpAlGwQr006ljwMiM"",
      ""GSC最新!A:R""
    ),
    13,
    FALSE
  ),
  0
)
"),435.0)</f>
        <v>435</v>
      </c>
      <c r="O48" s="6">
        <f>IFERROR(__xludf.DUMMYFUNCTION("IFERROR(
  VLOOKUP(
    A48,
    IMPORTRANGE(
      ""1ZHMy3vVUd_0MrSduXTe1etBb1HNpAlGwQr006ljwMiM"",
      ""GSC最新!A:R""
    ),
    16,
    FALSE
  ),
  0
)
"),823.0)</f>
        <v>823</v>
      </c>
      <c r="P48" s="51">
        <f t="shared" ref="P48:Q48" si="232">IFERROR(L48/N48,"-")</f>
        <v>4.347126437</v>
      </c>
      <c r="Q48" s="51">
        <f t="shared" si="232"/>
        <v>5.613608748</v>
      </c>
      <c r="R48" s="9">
        <f>IFERROR(__xludf.DUMMYFUNCTION("IFERROR(
  VLOOKUP(
    A48,
    IMPORTRANGE(
      ""1ZHMy3vVUd_0MrSduXTe1etBb1HNpAlGwQr006ljwMiM"",
      ""GSC最新!A:R""
    ),
    8,
    FALSE
  ),
  0
)
"),0.0021152829190904283)</f>
        <v>0.002115282919</v>
      </c>
      <c r="S48" s="9">
        <f>IFERROR(__xludf.DUMMYFUNCTION("IFERROR(
  VLOOKUP(
    A48,
    IMPORTRANGE(
      ""1ZHMy3vVUd_0MrSduXTe1etBb1HNpAlGwQr006ljwMiM"",
      ""GSC最新!A:R""
    ),
    11,
    FALSE
  ),
  0
)
"),0.001948051948051948)</f>
        <v>0.001948051948</v>
      </c>
      <c r="T48" s="9">
        <f>IFERROR(__xludf.DUMMYFUNCTION("IFERROR(
  VLOOKUP(
    A48,
    IMPORTRANGE(
      ""1ZHMy3vVUd_0MrSduXTe1etBb1HNpAlGwQr006ljwMiM"",
      ""GSC最新!A:R""
    ),
    14,
    FALSE
  ),
  0
)
"),0.006896551724137931)</f>
        <v>0.006896551724</v>
      </c>
      <c r="U48" s="9">
        <f>IFERROR(__xludf.DUMMYFUNCTION("IFERROR(
  VLOOKUP(
    A48,
    IMPORTRANGE(
      ""1ZHMy3vVUd_0MrSduXTe1etBb1HNpAlGwQr006ljwMiM"",
      ""GSC最新!A:R""
    ),
    17,
    FALSE
  ),
  0
)
"),0.012150668286755772)</f>
        <v>0.01215066829</v>
      </c>
      <c r="V48" s="9">
        <f t="shared" ref="V48:W48" si="233">IFERROR(R48-T48,"-")</f>
        <v>-0.004781268805</v>
      </c>
      <c r="W48" s="9">
        <f t="shared" si="233"/>
        <v>-0.01020261634</v>
      </c>
      <c r="X48" s="65">
        <f>IFERROR(__xludf.DUMMYFUNCTION("IFERROR(
  VLOOKUP(
    A48,
    IMPORTRANGE(
      ""1ZHMy3vVUd_0MrSduXTe1etBb1HNpAlGwQr006ljwMiM"",
      ""GSC最新!A:R""
    ),
    9,
    FALSE
  ),
  0
)
"),6.502379693283976)</f>
        <v>6.502379693</v>
      </c>
      <c r="Y48" s="65">
        <f>IFERROR(__xludf.DUMMYFUNCTION("IFERROR(
  VLOOKUP(
    A48,
    IMPORTRANGE(
      ""1ZHMy3vVUd_0MrSduXTe1etBb1HNpAlGwQr006ljwMiM"",
      ""GSC最新!A:R""
    ),
    12,
    FALSE
  ),
  0
)
"),6.465800865800865)</f>
        <v>6.465800866</v>
      </c>
      <c r="Z48" s="65">
        <f>IFERROR(__xludf.DUMMYFUNCTION("IFERROR(
  VLOOKUP(
    A48,
    IMPORTRANGE(
      ""1ZHMy3vVUd_0MrSduXTe1etBb1HNpAlGwQr006ljwMiM"",
      ""GSC最新!A:R""
    ),
    15,
    FALSE
  ),
  0
)
"),9.717241379310344)</f>
        <v>9.717241379</v>
      </c>
      <c r="AA48" s="65">
        <f>IFERROR(__xludf.DUMMYFUNCTION("IFERROR(
  VLOOKUP(
    A48,
    IMPORTRANGE(
      ""1ZHMy3vVUd_0MrSduXTe1etBb1HNpAlGwQr006ljwMiM"",
      ""GSC最新!A:R""
    ),
    18,
    FALSE
  ),
  0
)
"),11.837181044957473)</f>
        <v>11.83718104</v>
      </c>
      <c r="AB48" s="65">
        <f t="shared" ref="AB48:AC48" si="234">X48-Z48</f>
        <v>-3.214861686</v>
      </c>
      <c r="AC48" s="65">
        <f t="shared" si="234"/>
        <v>-5.371380179</v>
      </c>
      <c r="AD48" s="53">
        <f>IFERROR(__xludf.DUMMYFUNCTION("IFERROR(
  VLOOKUP(
    A48,
    IMPORTRANGE(
      ""1ZHMy3vVUd_0MrSduXTe1etBb1HNpAlGwQr006ljwMiM"",
      ""GSC最新!A:F""
    ),
    6,
    FALSE
  ),
  0
)
"),46081.0)</f>
        <v>46081</v>
      </c>
      <c r="AE48" s="54">
        <f>IFERROR(__xludf.DUMMYFUNCTION("IFERROR(
  VLOOKUP(
    A48,
    IMPORTRANGE(
      ""1SCYQd7_cobOYqT0r_F0IqD4tE4rYn5y8Eup4PJTH8es"",
      ""Snapshot!A:M""
    ),
    5,
    FALSE
  ),
  ""-""
)
"),0.0)</f>
        <v>0</v>
      </c>
      <c r="AF48" s="54">
        <f>IFERROR(__xludf.DUMMYFUNCTION("IFERROR(
  VLOOKUP(
    A48,
    IMPORTRANGE(
      ""1SCYQd7_cobOYqT0r_F0IqD4tE4rYn5y8Eup4PJTH8es"",
      ""Snapshot!A:M""
    ),
    6,
    FALSE
  ),
  0
)
"),11.0)</f>
        <v>11</v>
      </c>
      <c r="AG48" s="54">
        <f>IFERROR(__xludf.DUMMYFUNCTION("IFERROR(
  VLOOKUP(
    A48,
    IMPORTRANGE(
      ""1SCYQd7_cobOYqT0r_F0IqD4tE4rYn5y8Eup4PJTH8es"",
      ""Snapshot!A:M""
    ),
    7,
    FALSE
  ),
  0
)
"),3350.0)</f>
        <v>3350</v>
      </c>
      <c r="AH48" s="54">
        <f>IFERROR(__xludf.DUMMYFUNCTION("IFERROR(
  VLOOKUP(
    A48,
    IMPORTRANGE(
      ""1SCYQd7_cobOYqT0r_F0IqD4tE4rYn5y8Eup4PJTH8es"",
      ""Snapshot!A:M""
    ),
    8,
    FALSE
  ),
  0
)
"),1.0)</f>
        <v>1</v>
      </c>
      <c r="AI48" s="54">
        <f>IFERROR(__xludf.DUMMYFUNCTION("IFERROR(
  VLOOKUP(
    A48,
    IMPORTRANGE(
      ""1SCYQd7_cobOYqT0r_F0IqD4tE4rYn5y8Eup4PJTH8es"",
      ""Snapshot!A:M""
    ),
    9,
    FALSE
  ),
  0
)
"),2.0)</f>
        <v>2</v>
      </c>
      <c r="AJ48" s="54">
        <f>IFERROR(__xludf.DUMMYFUNCTION("IFERROR(
  VLOOKUP(
    A48,
    IMPORTRANGE(
      ""1SCYQd7_cobOYqT0r_F0IqD4tE4rYn5y8Eup4PJTH8es"",
      ""Snapshot!A:M""
    ),
    13,
    FALSE
  ),
  0
)
"),1.0)</f>
        <v>1</v>
      </c>
      <c r="AK48" s="49">
        <f t="shared" ref="AK48:AL48" si="235">LEN(C48)</f>
        <v>31</v>
      </c>
      <c r="AL48" s="49">
        <f t="shared" si="235"/>
        <v>77</v>
      </c>
    </row>
    <row r="49">
      <c r="A49" s="3" t="s">
        <v>1136</v>
      </c>
      <c r="B49" s="1" t="str">
        <f>IFERROR(__xludf.DUMMYFUNCTION("IFERROR(
  VLOOKUP(
    A49,
    IMPORTRANGE(
      ""1ZygntHC1J6IxzKbTidmOyf5nUyW4GCLurHCjexrLm_o"",
      ""HTMLキャッシュ!A:F""
    ),
    2,
    FALSE
  ),
  0
)
"),"MC")</f>
        <v>MC</v>
      </c>
      <c r="C49" s="1" t="str">
        <f>IFERROR(__xludf.DUMMYFUNCTION("IFERROR(
  VLOOKUP(
    A49,
    IMPORTRANGE(
      ""1ZygntHC1J6IxzKbTidmOyf5nUyW4GCLurHCjexrLm_o"",
      ""HTMLキャッシュ!A:F""
    ),
    5,
    FALSE
  ),
  0
)
"),"any・some・every・noの違い｜12語・no oneの書き方・noneとの差")</f>
        <v>any・some・every・noの違い｜12語・no oneの書き方・noneとの差</v>
      </c>
      <c r="D49" s="1" t="str">
        <f>IFERROR(__xludf.DUMMYFUNCTION("IFERROR(
  VLOOKUP(
    A49,
    IMPORTRANGE(
      ""1ZygntHC1J6IxzKbTidmOyf5nUyW4GCLurHCjexrLm_o        "",
      ""HTMLキャッシュ!A:F""
    ),
    6,
    FALSE
  ),
  0
)
"),"any/some/every/noの違いを12語で確認。every＋単数、no oneの書き方、noneとの違い、almost everyoneまで例文で学べます。")</f>
        <v>any/some/every/noの違いを12語で確認。every＋単数、no oneの書き方、noneとの違い、almost everyoneまで例文で学べます。</v>
      </c>
      <c r="E49" s="32">
        <f>IFERROR(__xludf.DUMMYFUNCTION("IFERROR(
  VLOOKUP(
    A49,
    IMPORTRANGE(
      ""1ZygntHC1J6IxzKbTidmOyf5nUyW4GCLurHCjexrLm_o        "",
      ""HTMLキャッシュ!A:F""
    ),
    3,
    FALSE
  ),
  0
)
"),46078.797164351854)</f>
        <v>46078.79716</v>
      </c>
      <c r="F49" s="49">
        <f>IFERROR(__xludf.DUMMYFUNCTION("IFERROR(
  VLOOKUP(
    A49,
    IMPORTRANGE(
      ""1ZHMy3vVUd_0MrSduXTe1etBb1HNpAlGwQr006ljwMiM"",
      ""GSC最新!A:F""
    ),
    2,
    FALSE
  ),
  0
)
"),4.0)</f>
        <v>4</v>
      </c>
      <c r="G49" s="49">
        <f>IFERROR(__xludf.DUMMYFUNCTION("IFERROR(
  VLOOKUP(
    A49,
    IMPORTRANGE(
      ""1ZHMy3vVUd_0MrSduXTe1etBb1HNpAlGwQr006ljwMiM"",
      ""GSC最新!A:F""
    ),
    3,
    FALSE
  ),
  0
)
"),9.0)</f>
        <v>9</v>
      </c>
      <c r="H49" s="49">
        <f>IFERROR(__xludf.DUMMYFUNCTION("IFERROR(
  VLOOKUP(
    A49,
    IMPORTRANGE(
      ""1ZHMy3vVUd_0MrSduXTe1etBb1HNpAlGwQr006ljwMiM"",
      ""GSC最新!A:F""
    ),
    4,
    FALSE
  ),
  0
)
"),4.0)</f>
        <v>4</v>
      </c>
      <c r="I49" s="49">
        <f>IFERROR(__xludf.DUMMYFUNCTION("IFERROR(
  VLOOKUP(
    A49,
    IMPORTRANGE(
      ""1ZHMy3vVUd_0MrSduXTe1etBb1HNpAlGwQr006ljwMiM"",
      ""GSC最新!A:F""
    ),
    5,
    FALSE
  ),
  0
)
"),15.0)</f>
        <v>15</v>
      </c>
      <c r="J49" s="50">
        <f t="shared" ref="J49:K49" si="236">IFERROR(F49/H49,"-")</f>
        <v>1</v>
      </c>
      <c r="K49" s="50">
        <f t="shared" si="236"/>
        <v>0.6</v>
      </c>
      <c r="L49" s="6">
        <f>IFERROR(__xludf.DUMMYFUNCTION("IFERROR(
  VLOOKUP(
    A49,
    IMPORTRANGE(
      ""1ZHMy3vVUd_0MrSduXTe1etBb1HNpAlGwQr006ljwMiM"",
      ""GSC最新!A:R""
    ),
    7,
    FALSE
  ),
  0
)
"),619.0)</f>
        <v>619</v>
      </c>
      <c r="M49" s="6">
        <f>IFERROR(__xludf.DUMMYFUNCTION("IFERROR(
  VLOOKUP(
    A49,
    IMPORTRANGE(
      ""1ZHMy3vVUd_0MrSduXTe1etBb1HNpAlGwQr006ljwMiM"",
      ""GSC最新!A:R""
    ),
    10,
    FALSE
  ),
  0
)
"),1281.0)</f>
        <v>1281</v>
      </c>
      <c r="N49" s="6">
        <f>IFERROR(__xludf.DUMMYFUNCTION("IFERROR(
  VLOOKUP(
    A49,
    IMPORTRANGE(
      ""1ZHMy3vVUd_0MrSduXTe1etBb1HNpAlGwQr006ljwMiM"",
      ""GSC最新!A:R""
    ),
    13,
    FALSE
  ),
  0
)
"),300.0)</f>
        <v>300</v>
      </c>
      <c r="O49" s="6">
        <f>IFERROR(__xludf.DUMMYFUNCTION("IFERROR(
  VLOOKUP(
    A49,
    IMPORTRANGE(
      ""1ZHMy3vVUd_0MrSduXTe1etBb1HNpAlGwQr006ljwMiM"",
      ""GSC最新!A:R""
    ),
    16,
    FALSE
  ),
  0
)
"),949.0)</f>
        <v>949</v>
      </c>
      <c r="P49" s="51">
        <f t="shared" ref="P49:Q49" si="237">IFERROR(L49/N49,"-")</f>
        <v>2.063333333</v>
      </c>
      <c r="Q49" s="51">
        <f t="shared" si="237"/>
        <v>1.349841939</v>
      </c>
      <c r="R49" s="9">
        <f>IFERROR(__xludf.DUMMYFUNCTION("IFERROR(
  VLOOKUP(
    A49,
    IMPORTRANGE(
      ""1ZHMy3vVUd_0MrSduXTe1etBb1HNpAlGwQr006ljwMiM"",
      ""GSC最新!A:R""
    ),
    8,
    FALSE
  ),
  0
)
"),0.006462035541195477)</f>
        <v>0.006462035541</v>
      </c>
      <c r="S49" s="9">
        <f>IFERROR(__xludf.DUMMYFUNCTION("IFERROR(
  VLOOKUP(
    A49,
    IMPORTRANGE(
      ""1ZHMy3vVUd_0MrSduXTe1etBb1HNpAlGwQr006ljwMiM"",
      ""GSC最新!A:R""
    ),
    11,
    FALSE
  ),
  0
)
"),0.00702576112412178)</f>
        <v>0.007025761124</v>
      </c>
      <c r="T49" s="9">
        <f>IFERROR(__xludf.DUMMYFUNCTION("IFERROR(
  VLOOKUP(
    A49,
    IMPORTRANGE(
      ""1ZHMy3vVUd_0MrSduXTe1etBb1HNpAlGwQr006ljwMiM"",
      ""GSC最新!A:R""
    ),
    14,
    FALSE
  ),
  0
)
"),0.013333333333333334)</f>
        <v>0.01333333333</v>
      </c>
      <c r="U49" s="9">
        <f>IFERROR(__xludf.DUMMYFUNCTION("IFERROR(
  VLOOKUP(
    A49,
    IMPORTRANGE(
      ""1ZHMy3vVUd_0MrSduXTe1etBb1HNpAlGwQr006ljwMiM"",
      ""GSC最新!A:R""
    ),
    17,
    FALSE
  ),
  0
)
"),0.015806111696522657)</f>
        <v>0.0158061117</v>
      </c>
      <c r="V49" s="9">
        <f t="shared" ref="V49:W49" si="238">IFERROR(R49-T49,"-")</f>
        <v>-0.006871297792</v>
      </c>
      <c r="W49" s="9">
        <f t="shared" si="238"/>
        <v>-0.008780350572</v>
      </c>
      <c r="X49" s="65">
        <f>IFERROR(__xludf.DUMMYFUNCTION("IFERROR(
  VLOOKUP(
    A49,
    IMPORTRANGE(
      ""1ZHMy3vVUd_0MrSduXTe1etBb1HNpAlGwQr006ljwMiM"",
      ""GSC最新!A:R""
    ),
    9,
    FALSE
  ),
  0
)
"),8.890145395799678)</f>
        <v>8.890145396</v>
      </c>
      <c r="Y49" s="65">
        <f>IFERROR(__xludf.DUMMYFUNCTION("IFERROR(
  VLOOKUP(
    A49,
    IMPORTRANGE(
      ""1ZHMy3vVUd_0MrSduXTe1etBb1HNpAlGwQr006ljwMiM"",
      ""GSC最新!A:R""
    ),
    12,
    FALSE
  ),
  0
)
"),8.70023419203747)</f>
        <v>8.700234192</v>
      </c>
      <c r="Z49" s="65">
        <f>IFERROR(__xludf.DUMMYFUNCTION("IFERROR(
  VLOOKUP(
    A49,
    IMPORTRANGE(
      ""1ZHMy3vVUd_0MrSduXTe1etBb1HNpAlGwQr006ljwMiM"",
      ""GSC最新!A:R""
    ),
    15,
    FALSE
  ),
  0
)
"),11.033333333333333)</f>
        <v>11.03333333</v>
      </c>
      <c r="AA49" s="65">
        <f>IFERROR(__xludf.DUMMYFUNCTION("IFERROR(
  VLOOKUP(
    A49,
    IMPORTRANGE(
      ""1ZHMy3vVUd_0MrSduXTe1etBb1HNpAlGwQr006ljwMiM"",
      ""GSC最新!A:R""
    ),
    18,
    FALSE
  ),
  0
)
"),13.550052687038988)</f>
        <v>13.55005269</v>
      </c>
      <c r="AB49" s="65">
        <f t="shared" ref="AB49:AC49" si="239">X49-Z49</f>
        <v>-2.143187938</v>
      </c>
      <c r="AC49" s="65">
        <f t="shared" si="239"/>
        <v>-4.849818495</v>
      </c>
      <c r="AD49" s="53">
        <f>IFERROR(__xludf.DUMMYFUNCTION("IFERROR(
  VLOOKUP(
    A49,
    IMPORTRANGE(
      ""1ZHMy3vVUd_0MrSduXTe1etBb1HNpAlGwQr006ljwMiM"",
      ""GSC最新!A:F""
    ),
    6,
    FALSE
  ),
  0
)
"),46081.0)</f>
        <v>46081</v>
      </c>
      <c r="AE49" s="54">
        <f>IFERROR(__xludf.DUMMYFUNCTION("IFERROR(
  VLOOKUP(
    A49,
    IMPORTRANGE(
      ""1SCYQd7_cobOYqT0r_F0IqD4tE4rYn5y8Eup4PJTH8es"",
      ""Snapshot!A:M""
    ),
    5,
    FALSE
  ),
  ""-""
)
"),0.0)</f>
        <v>0</v>
      </c>
      <c r="AF49" s="54">
        <f>IFERROR(__xludf.DUMMYFUNCTION("IFERROR(
  VLOOKUP(
    A49,
    IMPORTRANGE(
      ""1SCYQd7_cobOYqT0r_F0IqD4tE4rYn5y8Eup4PJTH8es"",
      ""Snapshot!A:M""
    ),
    6,
    FALSE
  ),
  0
)
"),0.0)</f>
        <v>0</v>
      </c>
      <c r="AG49" s="54">
        <f>IFERROR(__xludf.DUMMYFUNCTION("IFERROR(
  VLOOKUP(
    A49,
    IMPORTRANGE(
      ""1SCYQd7_cobOYqT0r_F0IqD4tE4rYn5y8Eup4PJTH8es"",
      ""Snapshot!A:M""
    ),
    7,
    FALSE
  ),
  0
)
"),2165.0)</f>
        <v>2165</v>
      </c>
      <c r="AH49" s="54">
        <f>IFERROR(__xludf.DUMMYFUNCTION("IFERROR(
  VLOOKUP(
    A49,
    IMPORTRANGE(
      ""1SCYQd7_cobOYqT0r_F0IqD4tE4rYn5y8Eup4PJTH8es"",
      ""Snapshot!A:M""
    ),
    8,
    FALSE
  ),
  0
)
"),1.0)</f>
        <v>1</v>
      </c>
      <c r="AI49" s="54">
        <f>IFERROR(__xludf.DUMMYFUNCTION("IFERROR(
  VLOOKUP(
    A49,
    IMPORTRANGE(
      ""1SCYQd7_cobOYqT0r_F0IqD4tE4rYn5y8Eup4PJTH8es"",
      ""Snapshot!A:M""
    ),
    9,
    FALSE
  ),
  0
)
"),4.0)</f>
        <v>4</v>
      </c>
      <c r="AJ49" s="54">
        <f>IFERROR(__xludf.DUMMYFUNCTION("IFERROR(
  VLOOKUP(
    A49,
    IMPORTRANGE(
      ""1SCYQd7_cobOYqT0r_F0IqD4tE4rYn5y8Eup4PJTH8es"",
      ""Snapshot!A:M""
    ),
    13,
    FALSE
  ),
  0
)
"),1.0)</f>
        <v>1</v>
      </c>
      <c r="AK49" s="49">
        <f t="shared" ref="AK49:AL49" si="240">LEN(C49)</f>
        <v>43</v>
      </c>
      <c r="AL49" s="49">
        <f t="shared" si="240"/>
        <v>82</v>
      </c>
    </row>
    <row r="50">
      <c r="A50" s="3" t="s">
        <v>1137</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"),"PROGRESS Book2 Lesson12-Scene1 英語構文と実践例解説")</f>
        <v>PROGRESS Book2 Lesson12-Scene1 英語構文と実践例解説</v>
      </c>
      <c r="D50" s="1" t="str">
        <f>IFERROR(__xludf.DUMMYFUNCTION("IFERROR(
  VLOOKUP(
    A50,
    IMPORTRANGE(
      ""1ZygntHC1J6IxzKbTidmOyf5nUyW4GCLurHCjexrLm_o        "",
      ""HTMLキャッシュ!A:F""
    ),
    6,
    FALSE
  ),
  0
)
"),"形式主語itと真主語to不定詞を例文で整理。for＋人＋to（不定詞の主語）の見分けと、It is〜toの読み方をまとめます。")</f>
        <v>形式主語itと真主語to不定詞を例文で整理。for＋人＋to（不定詞の主語）の見分けと、It is〜toの読み方をまとめます。</v>
      </c>
      <c r="E50" s="32">
        <f>IFERROR(__xludf.DUMMYFUNCTION("IFERROR(
  VLOOKUP(
    A50,
    IMPORTRANGE(
      ""1ZygntHC1J6IxzKbTidmOyf5nUyW4GCLurHCjexrLm_o        "",
      ""HTMLキャッシュ!A:F""
    ),
    3,
    FALSE
  ),
  0
)
"),46073.56519675926)</f>
        <v>46073.5652</v>
      </c>
      <c r="F50" s="49">
        <f>IFERROR(__xludf.DUMMYFUNCTION("IFERROR(
  VLOOKUP(
    A50,
    IMPORTRANGE(
      ""1ZHMy3vVUd_0MrSduXTe1etBb1HNpAlGwQr006ljwMiM"",
      ""GSC最新!A:F""
    ),
    2,
    FALSE
  ),
  0
)
"),3.0)</f>
        <v>3</v>
      </c>
      <c r="G50" s="49">
        <f>IFERROR(__xludf.DUMMYFUNCTION("IFERROR(
  VLOOKUP(
    A50,
    IMPORTRANGE(
      ""1ZHMy3vVUd_0MrSduXTe1etBb1HNpAlGwQr006ljwMiM"",
      ""GSC最新!A:F""
    ),
    3,
    FALSE
  ),
  0
)
"),7.0)</f>
        <v>7</v>
      </c>
      <c r="H50" s="49">
        <f>IFERROR(__xludf.DUMMYFUNCTION("IFERROR(
  VLOOKUP(
    A50,
    IMPORTRANGE(
      ""1ZHMy3vVUd_0MrSduXTe1etBb1HNpAlGwQr006ljwMiM"",
      ""GSC最新!A:F""
    ),
    4,
    FALSE
  ),
  0
)
"),0.0)</f>
        <v>0</v>
      </c>
      <c r="I50" s="49">
        <f>IFERROR(__xludf.DUMMYFUNCTION("IFERROR(
  VLOOKUP(
    A50,
    IMPORTRANGE(
      ""1ZHMy3vVUd_0MrSduXTe1etBb1HNpAlGwQr006ljwMiM"",
      ""GSC最新!A:F""
    ),
    5,
    FALSE
  ),
  0
)
"),2.0)</f>
        <v>2</v>
      </c>
      <c r="J50" s="50" t="str">
        <f t="shared" ref="J50:K50" si="241">IFERROR(F50/H50,"-")</f>
        <v>-</v>
      </c>
      <c r="K50" s="50">
        <f t="shared" si="241"/>
        <v>3.5</v>
      </c>
      <c r="L50" s="6">
        <f>IFERROR(__xludf.DUMMYFUNCTION("IFERROR(
  VLOOKUP(
    A50,
    IMPORTRANGE(
      ""1ZHMy3vVUd_0MrSduXTe1etBb1HNpAlGwQr006ljwMiM"",
      ""GSC最新!A:R""
    ),
    7,
    FALSE
  ),
  0
)
"),836.0)</f>
        <v>836</v>
      </c>
      <c r="M50" s="6">
        <f>IFERROR(__xludf.DUMMYFUNCTION("IFERROR(
  VLOOKUP(
    A50,
    IMPORTRANGE(
      ""1ZHMy3vVUd_0MrSduXTe1etBb1HNpAlGwQr006ljwMiM"",
      ""GSC最新!A:R""
    ),
    10,
    FALSE
  ),
  0
)
"),1339.0)</f>
        <v>1339</v>
      </c>
      <c r="N50" s="6">
        <f>IFERROR(__xludf.DUMMYFUNCTION("IFERROR(
  VLOOKUP(
    A50,
    IMPORTRANGE(
      ""1ZHMy3vVUd_0MrSduXTe1etBb1HNpAlGwQr006ljwMiM"",
      ""GSC最新!A:R""
    ),
    13,
    FALSE
  ),
  0
)
"),29.0)</f>
        <v>29</v>
      </c>
      <c r="O50" s="6">
        <f>IFERROR(__xludf.DUMMYFUNCTION("IFERROR(
  VLOOKUP(
    A50,
    IMPORTRANGE(
      ""1ZHMy3vVUd_0MrSduXTe1etBb1HNpAlGwQr006ljwMiM"",
      ""GSC最新!A:R""
    ),
    16,
    FALSE
  ),
  0
)
"),70.0)</f>
        <v>70</v>
      </c>
      <c r="P50" s="51">
        <f t="shared" ref="P50:Q50" si="242">IFERROR(L50/N50,"-")</f>
        <v>28.82758621</v>
      </c>
      <c r="Q50" s="51">
        <f t="shared" si="242"/>
        <v>19.12857143</v>
      </c>
      <c r="R50" s="9">
        <f>IFERROR(__xludf.DUMMYFUNCTION("IFERROR(
  VLOOKUP(
    A50,
    IMPORTRANGE(
      ""1ZHMy3vVUd_0MrSduXTe1etBb1HNpAlGwQr006ljwMiM"",
      ""GSC最新!A:R""
    ),
    8,
    FALSE
  ),
  0
)
"),0.0035885167464114833)</f>
        <v>0.003588516746</v>
      </c>
      <c r="S50" s="9">
        <f>IFERROR(__xludf.DUMMYFUNCTION("IFERROR(
  VLOOKUP(
    A50,
    IMPORTRANGE(
      ""1ZHMy3vVUd_0MrSduXTe1etBb1HNpAlGwQr006ljwMiM"",
      ""GSC最新!A:R""
    ),
    11,
    FALSE
  ),
  0
)
"),0.005227781926811053)</f>
        <v>0.005227781927</v>
      </c>
      <c r="T50" s="9">
        <f>IFERROR(__xludf.DUMMYFUNCTION("IFERROR(
  VLOOKUP(
    A50,
    IMPORTRANGE(
      ""1ZHMy3vVUd_0MrSduXTe1etBb1HNpAlGwQr006ljwMiM"",
      ""GSC最新!A:R""
    ),
    14,
    FALSE
  ),
  0
)
"),0.0)</f>
        <v>0</v>
      </c>
      <c r="U50" s="9">
        <f>IFERROR(__xludf.DUMMYFUNCTION("IFERROR(
  VLOOKUP(
    A50,
    IMPORTRANGE(
      ""1ZHMy3vVUd_0MrSduXTe1etBb1HNpAlGwQr006ljwMiM"",
      ""GSC最新!A:R""
    ),
    17,
    FALSE
  ),
  0
)
"),0.02857142857142857)</f>
        <v>0.02857142857</v>
      </c>
      <c r="V50" s="9">
        <f t="shared" ref="V50:W50" si="243">IFERROR(R50-T50,"-")</f>
        <v>0.003588516746</v>
      </c>
      <c r="W50" s="9">
        <f t="shared" si="243"/>
        <v>-0.02334364664</v>
      </c>
      <c r="X50" s="65">
        <f>IFERROR(__xludf.DUMMYFUNCTION("IFERROR(
  VLOOKUP(
    A50,
    IMPORTRANGE(
      ""1ZHMy3vVUd_0MrSduXTe1etBb1HNpAlGwQr006ljwMiM"",
      ""GSC最新!A:R""
    ),
    9,
    FALSE
  ),
  0
)
"),7.978468899521531)</f>
        <v>7.9784689</v>
      </c>
      <c r="Y50" s="65">
        <f>IFERROR(__xludf.DUMMYFUNCTION("IFERROR(
  VLOOKUP(
    A50,
    IMPORTRANGE(
      ""1ZHMy3vVUd_0MrSduXTe1etBb1HNpAlGwQr006ljwMiM"",
      ""GSC最新!A:R""
    ),
    12,
    FALSE
  ),
  0
)
"),7.571321882001493)</f>
        <v>7.571321882</v>
      </c>
      <c r="Z50" s="65">
        <f>IFERROR(__xludf.DUMMYFUNCTION("IFERROR(
  VLOOKUP(
    A50,
    IMPORTRANGE(
      ""1ZHMy3vVUd_0MrSduXTe1etBb1HNpAlGwQr006ljwMiM"",
      ""GSC最新!A:R""
    ),
    15,
    FALSE
  ),
  0
)
"),21.724137931034484)</f>
        <v>21.72413793</v>
      </c>
      <c r="AA50" s="65">
        <f>IFERROR(__xludf.DUMMYFUNCTION("IFERROR(
  VLOOKUP(
    A50,
    IMPORTRANGE(
      ""1ZHMy3vVUd_0MrSduXTe1etBb1HNpAlGwQr006ljwMiM"",
      ""GSC最新!A:R""
    ),
    18,
    FALSE
  ),
  0
)
"),19.242857142857144)</f>
        <v>19.24285714</v>
      </c>
      <c r="AB50" s="65">
        <f t="shared" ref="AB50:AC50" si="244">X50-Z50</f>
        <v>-13.74566903</v>
      </c>
      <c r="AC50" s="65">
        <f t="shared" si="244"/>
        <v>-11.67153526</v>
      </c>
      <c r="AD50" s="53">
        <f>IFERROR(__xludf.DUMMYFUNCTION("IFERROR(
  VLOOKUP(
    A50,
    IMPORTRANGE(
      ""1ZHMy3vVUd_0MrSduXTe1etBb1HNpAlGwQr006ljwMiM"",
      ""GSC最新!A:F""
    ),
    6,
    FALSE
  ),
  0
)
"),46081.0)</f>
        <v>46081</v>
      </c>
      <c r="AE50" s="54">
        <f>IFERROR(__xludf.DUMMYFUNCTION("IFERROR(
  VLOOKUP(
    A50,
    IMPORTRANGE(
      ""1SCYQd7_cobOYqT0r_F0IqD4tE4rYn5y8Eup4PJTH8es"",
      ""Snapshot!A:M""
    ),
    5,
    FALSE
  ),
  ""-""
)
"),0.0)</f>
        <v>0</v>
      </c>
      <c r="AF50" s="54">
        <f>IFERROR(__xludf.DUMMYFUNCTION("IFERROR(
  VLOOKUP(
    A50,
    IMPORTRANGE(
      ""1SCYQd7_cobOYqT0r_F0IqD4tE4rYn5y8Eup4PJTH8es"",
      ""Snapshot!A:M""
    ),
    6,
    FALSE
  ),
  0
)
"),11.0)</f>
        <v>11</v>
      </c>
      <c r="AG50" s="54">
        <f>IFERROR(__xludf.DUMMYFUNCTION("IFERROR(
  VLOOKUP(
    A50,
    IMPORTRANGE(
      ""1SCYQd7_cobOYqT0r_F0IqD4tE4rYn5y8Eup4PJTH8es"",
      ""Snapshot!A:M""
    ),
    7,
    FALSE
  ),
  0
)
"),3290.0)</f>
        <v>3290</v>
      </c>
      <c r="AH50" s="54">
        <f>IFERROR(__xludf.DUMMYFUNCTION("IFERROR(
  VLOOKUP(
    A50,
    IMPORTRANGE(
      ""1SCYQd7_cobOYqT0r_F0IqD4tE4rYn5y8Eup4PJTH8es"",
      ""Snapshot!A:M""
    ),
    8,
    FALSE
  ),
  0
)
"),1.0)</f>
        <v>1</v>
      </c>
      <c r="AI50" s="54">
        <f>IFERROR(__xludf.DUMMYFUNCTION("IFERROR(
  VLOOKUP(
    A50,
    IMPORTRANGE(
      ""1SCYQd7_cobOYqT0r_F0IqD4tE4rYn5y8Eup4PJTH8es"",
      ""Snapshot!A:M""
    ),
    9,
    FALSE
  ),
  0
)
"),5.0)</f>
        <v>5</v>
      </c>
      <c r="AJ50" s="54">
        <f>IFERROR(__xludf.DUMMYFUNCTION("IFERROR(
  VLOOKUP(
    A50,
    IMPORTRANGE(
      ""1SCYQd7_cobOYqT0r_F0IqD4tE4rYn5y8Eup4PJTH8es"",
      ""Snapshot!A:M""
    ),
    13,
    FALSE
  ),
  0
)
"),1.0)</f>
        <v>1</v>
      </c>
      <c r="AK50" s="49">
        <f t="shared" ref="AK50:AL50" si="245">LEN(C50)</f>
        <v>41</v>
      </c>
      <c r="AL50" s="49">
        <f t="shared" si="245"/>
        <v>63</v>
      </c>
    </row>
    <row r="51">
      <c r="A51" s="3" t="s">
        <v>1138</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"),"worth ～ing の意味と使い方｜be worth ～ingの例文・注意点を整理")</f>
        <v>worth ～ing の意味と使い方｜be worth ～ingの例文・注意点を整理</v>
      </c>
      <c r="D51" s="1" t="str">
        <f>IFERROR(__xludf.DUMMYFUNCTION("IFERROR(
  VLOOKUP(
    A51,
    IMPORTRANGE(
      ""1ZygntHC1J6IxzKbTidmOyf5nUyW4GCLurHCjexrLm_o        "",
      ""HTMLキャッシュ!A:F""
    ),
    6,
    FALSE
  ),
  0
)
"),"worth ～ingは「〜する価値がある」。be worth ～ingの基本形と例文、worthの後ろが-ingになる理由、動名詞の塊にitを入れない注意点まで整理します。定期テストで迷いやすい訳し方・形の確認に使えるまとめです（Progress Book2対応）。")</f>
        <v>worth ～ingは「〜する価値がある」。be worth ～ingの基本形と例文、worthの後ろが-ingになる理由、動名詞の塊にitを入れない注意点まで整理します。定期テストで迷いやすい訳し方・形の確認に使えるまとめです（Progress Book2対応）。</v>
      </c>
      <c r="E51" s="32">
        <f>IFERROR(__xludf.DUMMYFUNCTION("IFERROR(
  VLOOKUP(
    A51,
    IMPORTRANGE(
      ""1ZygntHC1J6IxzKbTidmOyf5nUyW4GCLurHCjexrLm_o        "",
      ""HTMLキャッシュ!A:F""
    ),
    3,
    FALSE
  ),
  0
)
"),46025.66553240741)</f>
        <v>46025.66553</v>
      </c>
      <c r="F51" s="49">
        <f>IFERROR(__xludf.DUMMYFUNCTION("IFERROR(
  VLOOKUP(
    A51,
    IMPORTRANGE(
      ""1ZHMy3vVUd_0MrSduXTe1etBb1HNpAlGwQr006ljwMiM"",
      ""GSC最新!A:F""
    ),
    2,
    FALSE
  ),
  0
)
"),4.0)</f>
        <v>4</v>
      </c>
      <c r="G51" s="49">
        <f>IFERROR(__xludf.DUMMYFUNCTION("IFERROR(
  VLOOKUP(
    A51,
    IMPORTRANGE(
      ""1ZHMy3vVUd_0MrSduXTe1etBb1HNpAlGwQr006ljwMiM"",
      ""GSC最新!A:F""
    ),
    3,
    FALSE
  ),
  0
)
"),8.0)</f>
        <v>8</v>
      </c>
      <c r="H51" s="49">
        <f>IFERROR(__xludf.DUMMYFUNCTION("IFERROR(
  VLOOKUP(
    A51,
    IMPORTRANGE(
      ""1ZHMy3vVUd_0MrSduXTe1etBb1HNpAlGwQr006ljwMiM"",
      ""GSC最新!A:F""
    ),
    4,
    FALSE
  ),
  0
)
"),0.0)</f>
        <v>0</v>
      </c>
      <c r="I51" s="49">
        <f>IFERROR(__xludf.DUMMYFUNCTION("IFERROR(
  VLOOKUP(
    A51,
    IMPORTRANGE(
      ""1ZHMy3vVUd_0MrSduXTe1etBb1HNpAlGwQr006ljwMiM"",
      ""GSC最新!A:F""
    ),
    5,
    FALSE
  ),
  0
)
"),0.0)</f>
        <v>0</v>
      </c>
      <c r="J51" s="50" t="str">
        <f t="shared" ref="J51:K51" si="246">IFERROR(F51/H51,"-")</f>
        <v>-</v>
      </c>
      <c r="K51" s="50" t="str">
        <f t="shared" si="246"/>
        <v>-</v>
      </c>
      <c r="L51" s="6">
        <f>IFERROR(__xludf.DUMMYFUNCTION("IFERROR(
  VLOOKUP(
    A51,
    IMPORTRANGE(
      ""1ZHMy3vVUd_0MrSduXTe1etBb1HNpAlGwQr006ljwMiM"",
      ""GSC最新!A:R""
    ),
    7,
    FALSE
  ),
  0
)
"),2896.0)</f>
        <v>2896</v>
      </c>
      <c r="M51" s="6">
        <f>IFERROR(__xludf.DUMMYFUNCTION("IFERROR(
  VLOOKUP(
    A51,
    IMPORTRANGE(
      ""1ZHMy3vVUd_0MrSduXTe1etBb1HNpAlGwQr006ljwMiM"",
      ""GSC最新!A:R""
    ),
    10,
    FALSE
  ),
  0
)
"),6075.0)</f>
        <v>6075</v>
      </c>
      <c r="N51" s="6">
        <f>IFERROR(__xludf.DUMMYFUNCTION("IFERROR(
  VLOOKUP(
    A51,
    IMPORTRANGE(
      ""1ZHMy3vVUd_0MrSduXTe1etBb1HNpAlGwQr006ljwMiM"",
      ""GSC最新!A:R""
    ),
    13,
    FALSE
  ),
  0
)
"),17.0)</f>
        <v>17</v>
      </c>
      <c r="O51" s="6">
        <f>IFERROR(__xludf.DUMMYFUNCTION("IFERROR(
  VLOOKUP(
    A51,
    IMPORTRANGE(
      ""1ZHMy3vVUd_0MrSduXTe1etBb1HNpAlGwQr006ljwMiM"",
      ""GSC最新!A:R""
    ),
    16,
    FALSE
  ),
  0
)
"),50.0)</f>
        <v>50</v>
      </c>
      <c r="P51" s="51">
        <f t="shared" ref="P51:Q51" si="247">IFERROR(L51/N51,"-")</f>
        <v>170.3529412</v>
      </c>
      <c r="Q51" s="51">
        <f t="shared" si="247"/>
        <v>121.5</v>
      </c>
      <c r="R51" s="9">
        <f>IFERROR(__xludf.DUMMYFUNCTION("IFERROR(
  VLOOKUP(
    A51,
    IMPORTRANGE(
      ""1ZHMy3vVUd_0MrSduXTe1etBb1HNpAlGwQr006ljwMiM"",
      ""GSC最新!A:R""
    ),
    8,
    FALSE
  ),
  0
)
"),0.0013812154696132596)</f>
        <v>0.00138121547</v>
      </c>
      <c r="S51" s="9">
        <f>IFERROR(__xludf.DUMMYFUNCTION("IFERROR(
  VLOOKUP(
    A51,
    IMPORTRANGE(
      ""1ZHMy3vVUd_0MrSduXTe1etBb1HNpAlGwQr006ljwMiM"",
      ""GSC最新!A:R""
    ),
    11,
    FALSE
  ),
  0
)
"),0.0013168724279835392)</f>
        <v>0.001316872428</v>
      </c>
      <c r="T51" s="9">
        <f>IFERROR(__xludf.DUMMYFUNCTION("IFERROR(
  VLOOKUP(
    A51,
    IMPORTRANGE(
      ""1ZHMy3vVUd_0MrSduXTe1etBb1HNpAlGwQr006ljwMiM"",
      ""GSC最新!A:R""
    ),
    14,
    FALSE
  ),
  0
)
"),0.0)</f>
        <v>0</v>
      </c>
      <c r="U51" s="9">
        <f>IFERROR(__xludf.DUMMYFUNCTION("IFERROR(
  VLOOKUP(
    A51,
    IMPORTRANGE(
      ""1ZHMy3vVUd_0MrSduXTe1etBb1HNpAlGwQr006ljwMiM"",
      ""GSC最新!A:R""
    ),
    17,
    FALSE
  ),
  0
)
"),0.0)</f>
        <v>0</v>
      </c>
      <c r="V51" s="9">
        <f t="shared" ref="V51:W51" si="248">IFERROR(R51-T51,"-")</f>
        <v>0.00138121547</v>
      </c>
      <c r="W51" s="9">
        <f t="shared" si="248"/>
        <v>0.001316872428</v>
      </c>
      <c r="X51" s="65">
        <f>IFERROR(__xludf.DUMMYFUNCTION("IFERROR(
  VLOOKUP(
    A51,
    IMPORTRANGE(
      ""1ZHMy3vVUd_0MrSduXTe1etBb1HNpAlGwQr006ljwMiM"",
      ""GSC最新!A:R""
    ),
    9,
    FALSE
  ),
  0
)
"),3.9837707182320443)</f>
        <v>3.983770718</v>
      </c>
      <c r="Y51" s="65">
        <f>IFERROR(__xludf.DUMMYFUNCTION("IFERROR(
  VLOOKUP(
    A51,
    IMPORTRANGE(
      ""1ZHMy3vVUd_0MrSduXTe1etBb1HNpAlGwQr006ljwMiM"",
      ""GSC最新!A:R""
    ),
    12,
    FALSE
  ),
  0
)
"),3.9860082304526747)</f>
        <v>3.98600823</v>
      </c>
      <c r="Z51" s="65">
        <f>IFERROR(__xludf.DUMMYFUNCTION("IFERROR(
  VLOOKUP(
    A51,
    IMPORTRANGE(
      ""1ZHMy3vVUd_0MrSduXTe1etBb1HNpAlGwQr006ljwMiM"",
      ""GSC最新!A:R""
    ),
    15,
    FALSE
  ),
  0
)
"),7.470588235294118)</f>
        <v>7.470588235</v>
      </c>
      <c r="AA51" s="65">
        <f>IFERROR(__xludf.DUMMYFUNCTION("IFERROR(
  VLOOKUP(
    A51,
    IMPORTRANGE(
      ""1ZHMy3vVUd_0MrSduXTe1etBb1HNpAlGwQr006ljwMiM"",
      ""GSC最新!A:R""
    ),
    18,
    FALSE
  ),
  0
)
"),7.68)</f>
        <v>7.68</v>
      </c>
      <c r="AB51" s="65">
        <f t="shared" ref="AB51:AC51" si="249">X51-Z51</f>
        <v>-3.486817517</v>
      </c>
      <c r="AC51" s="65">
        <f t="shared" si="249"/>
        <v>-3.69399177</v>
      </c>
      <c r="AD51" s="53">
        <f>IFERROR(__xludf.DUMMYFUNCTION("IFERROR(
  VLOOKUP(
    A51,
    IMPORTRANGE(
      ""1ZHMy3vVUd_0MrSduXTe1etBb1HNpAlGwQr006ljwMiM"",
      ""GSC最新!A:F""
    ),
    6,
    FALSE
  ),
  0
)
"),46081.0)</f>
        <v>46081</v>
      </c>
      <c r="AE51" s="54">
        <f>IFERROR(__xludf.DUMMYFUNCTION("IFERROR(
  VLOOKUP(
    A51,
    IMPORTRANGE(
      ""1SCYQd7_cobOYqT0r_F0IqD4tE4rYn5y8Eup4PJTH8es"",
      ""Snapshot!A:M""
    ),
    5,
    FALSE
  ),
  ""-""
)
"),0.0)</f>
        <v>0</v>
      </c>
      <c r="AF51" s="54">
        <f>IFERROR(__xludf.DUMMYFUNCTION("IFERROR(
  VLOOKUP(
    A51,
    IMPORTRANGE(
      ""1SCYQd7_cobOYqT0r_F0IqD4tE4rYn5y8Eup4PJTH8es"",
      ""Snapshot!A:M""
    ),
    6,
    FALSE
  ),
  0
)
"),18.0)</f>
        <v>18</v>
      </c>
      <c r="AG51" s="54">
        <f>IFERROR(__xludf.DUMMYFUNCTION("IFERROR(
  VLOOKUP(
    A51,
    IMPORTRANGE(
      ""1SCYQd7_cobOYqT0r_F0IqD4tE4rYn5y8Eup4PJTH8es"",
      ""Snapshot!A:M""
    ),
    7,
    FALSE
  ),
  0
)
"),3682.0)</f>
        <v>3682</v>
      </c>
      <c r="AH51" s="54">
        <f>IFERROR(__xludf.DUMMYFUNCTION("IFERROR(
  VLOOKUP(
    A51,
    IMPORTRANGE(
      ""1SCYQd7_cobOYqT0r_F0IqD4tE4rYn5y8Eup4PJTH8es"",
      ""Snapshot!A:M""
    ),
    8,
    FALSE
  ),
  0
)
"),1.0)</f>
        <v>1</v>
      </c>
      <c r="AI51" s="54">
        <f>IFERROR(__xludf.DUMMYFUNCTION("IFERROR(
  VLOOKUP(
    A51,
    IMPORTRANGE(
      ""1SCYQd7_cobOYqT0r_F0IqD4tE4rYn5y8Eup4PJTH8es"",
      ""Snapshot!A:M""
    ),
    9,
    FALSE
  ),
  0
)
"),4.0)</f>
        <v>4</v>
      </c>
      <c r="AJ51" s="54">
        <f>IFERROR(__xludf.DUMMYFUNCTION("IFERROR(
  VLOOKUP(
    A51,
    IMPORTRANGE(
      ""1SCYQd7_cobOYqT0r_F0IqD4tE4rYn5y8Eup4PJTH8es"",
      ""Snapshot!A:M""
    ),
    13,
    FALSE
  ),
  0
)
"),1.0)</f>
        <v>1</v>
      </c>
      <c r="AK51" s="49">
        <f t="shared" ref="AK51:AL51" si="250">LEN(C51)</f>
        <v>42</v>
      </c>
      <c r="AL51" s="49">
        <f t="shared" si="250"/>
        <v>133</v>
      </c>
    </row>
    <row r="52">
      <c r="A52" s="3" t="s">
        <v>1139</v>
      </c>
      <c r="B52" s="1" t="str">
        <f>IFERROR(__xludf.DUMMYFUNCTION("IFERROR(
  VLOOKUP(
    A52,
    IMPORTRANGE(
      ""1ZygntHC1J6IxzKbTidmOyf5nUyW4GCLurHCjexrLm_o"",
      ""HTMLキャッシュ!A:F""
    ),
    2,
    FALSE
  ),
  0
)
"),"MC")</f>
        <v>MC</v>
      </c>
      <c r="C52" s="1" t="str">
        <f>IFERROR(__xludf.DUMMYFUNCTION("IFERROR(
  VLOOKUP(
    A52,
    IMPORTRANGE(
      ""1ZygntHC1J6IxzKbTidmOyf5nUyW4GCLurHCjexrLm_o"",
      ""HTMLキャッシュ!A:F""
    ),
    5,
    FALSE
  ),
  0
)
"),"受動態とは｜書き換え・時制・byのルール解説｜中2プログレス")</f>
        <v>受動態とは｜書き換え・時制・byのルール解説｜中2プログレス</v>
      </c>
      <c r="D52" s="1" t="str">
        <f>IFERROR(__xludf.DUMMYFUNCTION("IFERROR(
  VLOOKUP(
    A52,
    IMPORTRANGE(
      ""1ZygntHC1J6IxzKbTidmOyf5nUyW4GCLurHCjexrLm_o        "",
      ""HTMLキャッシュ!A:F""
    ),
    6,
    FALSE
  ),
  0
)
"),"受動態とは、目的語を主語にした文です。基本の作り方から、進行形・完了形の時制変化、byの省略まで例文で詳しく整理。プログレスBook2 L9の定期テスト対策に。")</f>
        <v>受動態とは、目的語を主語にした文です。基本の作り方から、進行形・完了形の時制変化、byの省略まで例文で詳しく整理。プログレスBook2 L9の定期テスト対策に。</v>
      </c>
      <c r="E52" s="32">
        <f>IFERROR(__xludf.DUMMYFUNCTION("IFERROR(
  VLOOKUP(
    A52,
    IMPORTRANGE(
      ""1ZygntHC1J6IxzKbTidmOyf5nUyW4GCLurHCjexrLm_o        "",
      ""HTMLキャッシュ!A:F""
    ),
    3,
    FALSE
  ),
  0
)
"),46055.741736111115)</f>
        <v>46055.74174</v>
      </c>
      <c r="F52" s="49">
        <f>IFERROR(__xludf.DUMMYFUNCTION("IFERROR(
  VLOOKUP(
    A52,
    IMPORTRANGE(
      ""1ZHMy3vVUd_0MrSduXTe1etBb1HNpAlGwQr006ljwMiM"",
      ""GSC最新!A:F""
    ),
    2,
    FALSE
  ),
  0
)
"),6.0)</f>
        <v>6</v>
      </c>
      <c r="G52" s="49">
        <f>IFERROR(__xludf.DUMMYFUNCTION("IFERROR(
  VLOOKUP(
    A52,
    IMPORTRANGE(
      ""1ZHMy3vVUd_0MrSduXTe1etBb1HNpAlGwQr006ljwMiM"",
      ""GSC最新!A:F""
    ),
    3,
    FALSE
  ),
  0
)
"),8.0)</f>
        <v>8</v>
      </c>
      <c r="H52" s="49">
        <f>IFERROR(__xludf.DUMMYFUNCTION("IFERROR(
  VLOOKUP(
    A52,
    IMPORTRANGE(
      ""1ZHMy3vVUd_0MrSduXTe1etBb1HNpAlGwQr006ljwMiM"",
      ""GSC最新!A:F""
    ),
    4,
    FALSE
  ),
  0
)
"),2.0)</f>
        <v>2</v>
      </c>
      <c r="I52" s="49">
        <f>IFERROR(__xludf.DUMMYFUNCTION("IFERROR(
  VLOOKUP(
    A52,
    IMPORTRANGE(
      ""1ZHMy3vVUd_0MrSduXTe1etBb1HNpAlGwQr006ljwMiM"",
      ""GSC最新!A:F""
    ),
    5,
    FALSE
  ),
  0
)
"),7.0)</f>
        <v>7</v>
      </c>
      <c r="J52" s="50">
        <f t="shared" ref="J52:K52" si="251">IFERROR(F52/H52,"-")</f>
        <v>3</v>
      </c>
      <c r="K52" s="50">
        <f t="shared" si="251"/>
        <v>1.142857143</v>
      </c>
      <c r="L52" s="6">
        <f>IFERROR(__xludf.DUMMYFUNCTION("IFERROR(
  VLOOKUP(
    A52,
    IMPORTRANGE(
      ""1ZHMy3vVUd_0MrSduXTe1etBb1HNpAlGwQr006ljwMiM"",
      ""GSC最新!A:R""
    ),
    7,
    FALSE
  ),
  0
)
"),749.0)</f>
        <v>749</v>
      </c>
      <c r="M52" s="6">
        <f>IFERROR(__xludf.DUMMYFUNCTION("IFERROR(
  VLOOKUP(
    A52,
    IMPORTRANGE(
      ""1ZHMy3vVUd_0MrSduXTe1etBb1HNpAlGwQr006ljwMiM"",
      ""GSC最新!A:R""
    ),
    10,
    FALSE
  ),
  0
)
"),1533.0)</f>
        <v>1533</v>
      </c>
      <c r="N52" s="6">
        <f>IFERROR(__xludf.DUMMYFUNCTION("IFERROR(
  VLOOKUP(
    A52,
    IMPORTRANGE(
      ""1ZHMy3vVUd_0MrSduXTe1etBb1HNpAlGwQr006ljwMiM"",
      ""GSC最新!A:R""
    ),
    13,
    FALSE
  ),
  0
)
"),113.0)</f>
        <v>113</v>
      </c>
      <c r="O52" s="6">
        <f>IFERROR(__xludf.DUMMYFUNCTION("IFERROR(
  VLOOKUP(
    A52,
    IMPORTRANGE(
      ""1ZHMy3vVUd_0MrSduXTe1etBb1HNpAlGwQr006ljwMiM"",
      ""GSC最新!A:R""
    ),
    16,
    FALSE
  ),
  0
)
"),240.0)</f>
        <v>240</v>
      </c>
      <c r="P52" s="51">
        <f t="shared" ref="P52:Q52" si="252">IFERROR(L52/N52,"-")</f>
        <v>6.628318584</v>
      </c>
      <c r="Q52" s="51">
        <f t="shared" si="252"/>
        <v>6.3875</v>
      </c>
      <c r="R52" s="9">
        <f>IFERROR(__xludf.DUMMYFUNCTION("IFERROR(
  VLOOKUP(
    A52,
    IMPORTRANGE(
      ""1ZHMy3vVUd_0MrSduXTe1etBb1HNpAlGwQr006ljwMiM"",
      ""GSC最新!A:R""
    ),
    8,
    FALSE
  ),
  0
)
"),0.00801068090787717)</f>
        <v>0.008010680908</v>
      </c>
      <c r="S52" s="9">
        <f>IFERROR(__xludf.DUMMYFUNCTION("IFERROR(
  VLOOKUP(
    A52,
    IMPORTRANGE(
      ""1ZHMy3vVUd_0MrSduXTe1etBb1HNpAlGwQr006ljwMiM"",
      ""GSC最新!A:R""
    ),
    11,
    FALSE
  ),
  0
)
"),0.005218525766470972)</f>
        <v>0.005218525766</v>
      </c>
      <c r="T52" s="9">
        <f>IFERROR(__xludf.DUMMYFUNCTION("IFERROR(
  VLOOKUP(
    A52,
    IMPORTRANGE(
      ""1ZHMy3vVUd_0MrSduXTe1etBb1HNpAlGwQr006ljwMiM"",
      ""GSC最新!A:R""
    ),
    14,
    FALSE
  ),
  0
)
"),0.017699115044247787)</f>
        <v>0.01769911504</v>
      </c>
      <c r="U52" s="9">
        <f>IFERROR(__xludf.DUMMYFUNCTION("IFERROR(
  VLOOKUP(
    A52,
    IMPORTRANGE(
      ""1ZHMy3vVUd_0MrSduXTe1etBb1HNpAlGwQr006ljwMiM"",
      ""GSC最新!A:R""
    ),
    17,
    FALSE
  ),
  0
)
"),0.029166666666666667)</f>
        <v>0.02916666667</v>
      </c>
      <c r="V52" s="9">
        <f t="shared" ref="V52:W52" si="253">IFERROR(R52-T52,"-")</f>
        <v>-0.009688434136</v>
      </c>
      <c r="W52" s="9">
        <f t="shared" si="253"/>
        <v>-0.0239481409</v>
      </c>
      <c r="X52" s="65">
        <f>IFERROR(__xludf.DUMMYFUNCTION("IFERROR(
  VLOOKUP(
    A52,
    IMPORTRANGE(
      ""1ZHMy3vVUd_0MrSduXTe1etBb1HNpAlGwQr006ljwMiM"",
      ""GSC最新!A:R""
    ),
    9,
    FALSE
  ),
  0
)
"),5.6395193591455275)</f>
        <v>5.639519359</v>
      </c>
      <c r="Y52" s="65">
        <f>IFERROR(__xludf.DUMMYFUNCTION("IFERROR(
  VLOOKUP(
    A52,
    IMPORTRANGE(
      ""1ZHMy3vVUd_0MrSduXTe1etBb1HNpAlGwQr006ljwMiM"",
      ""GSC最新!A:R""
    ),
    12,
    FALSE
  ),
  0
)
"),4.801696020874103)</f>
        <v>4.801696021</v>
      </c>
      <c r="Z52" s="65">
        <f>IFERROR(__xludf.DUMMYFUNCTION("IFERROR(
  VLOOKUP(
    A52,
    IMPORTRANGE(
      ""1ZHMy3vVUd_0MrSduXTe1etBb1HNpAlGwQr006ljwMiM"",
      ""GSC最新!A:R""
    ),
    15,
    FALSE
  ),
  0
)
"),15.106194690265486)</f>
        <v>15.10619469</v>
      </c>
      <c r="AA52" s="65">
        <f>IFERROR(__xludf.DUMMYFUNCTION("IFERROR(
  VLOOKUP(
    A52,
    IMPORTRANGE(
      ""1ZHMy3vVUd_0MrSduXTe1etBb1HNpAlGwQr006ljwMiM"",
      ""GSC最新!A:R""
    ),
    18,
    FALSE
  ),
  0
)
"),13.129166666666666)</f>
        <v>13.12916667</v>
      </c>
      <c r="AB52" s="65">
        <f t="shared" ref="AB52:AC52" si="254">X52-Z52</f>
        <v>-9.466675331</v>
      </c>
      <c r="AC52" s="65">
        <f t="shared" si="254"/>
        <v>-8.327470646</v>
      </c>
      <c r="AD52" s="53">
        <f>IFERROR(__xludf.DUMMYFUNCTION("IFERROR(
  VLOOKUP(
    A52,
    IMPORTRANGE(
      ""1ZHMy3vVUd_0MrSduXTe1etBb1HNpAlGwQr006ljwMiM"",
      ""GSC最新!A:F""
    ),
    6,
    FALSE
  ),
  0
)
"),46081.0)</f>
        <v>46081</v>
      </c>
      <c r="AE52" s="54">
        <f>IFERROR(__xludf.DUMMYFUNCTION("IFERROR(
  VLOOKUP(
    A52,
    IMPORTRANGE(
      ""1SCYQd7_cobOYqT0r_F0IqD4tE4rYn5y8Eup4PJTH8es"",
      ""Snapshot!A:M""
    ),
    5,
    FALSE
  ),
  ""-""
)
"),1.0)</f>
        <v>1</v>
      </c>
      <c r="AF52" s="54">
        <f>IFERROR(__xludf.DUMMYFUNCTION("IFERROR(
  VLOOKUP(
    A52,
    IMPORTRANGE(
      ""1SCYQd7_cobOYqT0r_F0IqD4tE4rYn5y8Eup4PJTH8es"",
      ""Snapshot!A:M""
    ),
    6,
    FALSE
  ),
  0
)
"),27.0)</f>
        <v>27</v>
      </c>
      <c r="AG52" s="54">
        <f>IFERROR(__xludf.DUMMYFUNCTION("IFERROR(
  VLOOKUP(
    A52,
    IMPORTRANGE(
      ""1SCYQd7_cobOYqT0r_F0IqD4tE4rYn5y8Eup4PJTH8es"",
      ""Snapshot!A:M""
    ),
    7,
    FALSE
  ),
  0
)
"),5847.0)</f>
        <v>5847</v>
      </c>
      <c r="AH52" s="54">
        <f>IFERROR(__xludf.DUMMYFUNCTION("IFERROR(
  VLOOKUP(
    A52,
    IMPORTRANGE(
      ""1SCYQd7_cobOYqT0r_F0IqD4tE4rYn5y8Eup4PJTH8es"",
      ""Snapshot!A:M""
    ),
    8,
    FALSE
  ),
  0
)
"),1.0)</f>
        <v>1</v>
      </c>
      <c r="AI52" s="54">
        <f>IFERROR(__xludf.DUMMYFUNCTION("IFERROR(
  VLOOKUP(
    A52,
    IMPORTRANGE(
      ""1SCYQd7_cobOYqT0r_F0IqD4tE4rYn5y8Eup4PJTH8es"",
      ""Snapshot!A:M""
    ),
    9,
    FALSE
  ),
  0
)
"),4.0)</f>
        <v>4</v>
      </c>
      <c r="AJ52" s="54">
        <f>IFERROR(__xludf.DUMMYFUNCTION("IFERROR(
  VLOOKUP(
    A52,
    IMPORTRANGE(
      ""1SCYQd7_cobOYqT0r_F0IqD4tE4rYn5y8Eup4PJTH8es"",
      ""Snapshot!A:M""
    ),
    13,
    FALSE
  ),
  0
)
"),1.0)</f>
        <v>1</v>
      </c>
      <c r="AK52" s="49">
        <f t="shared" ref="AK52:AL52" si="255">LEN(C52)</f>
        <v>30</v>
      </c>
      <c r="AL52" s="49">
        <f t="shared" si="255"/>
        <v>80</v>
      </c>
    </row>
    <row r="53">
      <c r="A53" s="3" t="s">
        <v>1140</v>
      </c>
      <c r="B53" s="1" t="str">
        <f>IFERROR(__xludf.DUMMYFUNCTION("IFERROR(
  VLOOKUP(
    A53,
    IMPORTRANGE(
      ""1ZygntHC1J6IxzKbTidmOyf5nUyW4GCLurHCjexrLm_o"",
      ""HTMLキャッシュ!A:F""
    ),
    2,
    FALSE
  ),
  0
)
"),"MC")</f>
        <v>MC</v>
      </c>
      <c r="C53" s="1" t="str">
        <f>IFERROR(__xludf.DUMMYFUNCTION("IFERROR(
  VLOOKUP(
    A53,
    IMPORTRANGE(
      ""1ZygntHC1J6IxzKbTidmOyf5nUyW4GCLurHCjexrLm_o"",
      ""HTMLキャッシュ!A:F""
    ),
    5,
    FALSE
  ),
  0
)
"),"I go to school文型判定｜副詞を外すSVO/C手順｜中学英語")</f>
        <v>I go to school文型判定｜副詞を外すSVO/C手順｜中学英語</v>
      </c>
      <c r="D53" s="1" t="str">
        <f>IFERROR(__xludf.DUMMYFUNCTION("IFERROR(
  VLOOKUP(
    A53,
    IMPORTRANGE(
      ""1ZygntHC1J6IxzKbTidmOyf5nUyW4GCLurHCjexrLm_o        "",
      ""HTMLキャッシュ!A:F""
    ),
    6,
    FALSE
  ),
  0
)
"),"I go to schoolを例に、副詞を外してSVO/Cで文型を判定。第1〜第4文型の見分け、ask/feel/remain、4→3文型(to/for/of)の書き換えも例文で整理。")</f>
        <v>I go to schoolを例に、副詞を外してSVO/Cで文型を判定。第1〜第4文型の見分け、ask/feel/remain、4→3文型(to/for/of)の書き換えも例文で整理。</v>
      </c>
      <c r="E53" s="32">
        <f>IFERROR(__xludf.DUMMYFUNCTION("IFERROR(
  VLOOKUP(
    A53,
    IMPORTRANGE(
      ""1ZygntHC1J6IxzKbTidmOyf5nUyW4GCLurHCjexrLm_o        "",
      ""HTMLキャッシュ!A:F""
    ),
    3,
    FALSE
  ),
  0
)
"),46071.77695601852)</f>
        <v>46071.77696</v>
      </c>
      <c r="F53" s="49">
        <f>IFERROR(__xludf.DUMMYFUNCTION("IFERROR(
  VLOOKUP(
    A53,
    IMPORTRANGE(
      ""1ZHMy3vVUd_0MrSduXTe1etBb1HNpAlGwQr006ljwMiM"",
      ""GSC最新!A:F""
    ),
    2,
    FALSE
  ),
  0
)
"),4.0)</f>
        <v>4</v>
      </c>
      <c r="G53" s="49">
        <f>IFERROR(__xludf.DUMMYFUNCTION("IFERROR(
  VLOOKUP(
    A53,
    IMPORTRANGE(
      ""1ZHMy3vVUd_0MrSduXTe1etBb1HNpAlGwQr006ljwMiM"",
      ""GSC最新!A:F""
    ),
    3,
    FALSE
  ),
  0
)
"),7.0)</f>
        <v>7</v>
      </c>
      <c r="H53" s="49">
        <f>IFERROR(__xludf.DUMMYFUNCTION("IFERROR(
  VLOOKUP(
    A53,
    IMPORTRANGE(
      ""1ZHMy3vVUd_0MrSduXTe1etBb1HNpAlGwQr006ljwMiM"",
      ""GSC最新!A:F""
    ),
    4,
    FALSE
  ),
  0
)
"),1.0)</f>
        <v>1</v>
      </c>
      <c r="I53" s="49">
        <f>IFERROR(__xludf.DUMMYFUNCTION("IFERROR(
  VLOOKUP(
    A53,
    IMPORTRANGE(
      ""1ZHMy3vVUd_0MrSduXTe1etBb1HNpAlGwQr006ljwMiM"",
      ""GSC最新!A:F""
    ),
    5,
    FALSE
  ),
  0
)
"),7.0)</f>
        <v>7</v>
      </c>
      <c r="J53" s="50">
        <f t="shared" ref="J53:K53" si="256">IFERROR(F53/H53,"-")</f>
        <v>4</v>
      </c>
      <c r="K53" s="50">
        <f t="shared" si="256"/>
        <v>1</v>
      </c>
      <c r="L53" s="6">
        <f>IFERROR(__xludf.DUMMYFUNCTION("IFERROR(
  VLOOKUP(
    A53,
    IMPORTRANGE(
      ""1ZHMy3vVUd_0MrSduXTe1etBb1HNpAlGwQr006ljwMiM"",
      ""GSC最新!A:R""
    ),
    7,
    FALSE
  ),
  0
)
"),517.0)</f>
        <v>517</v>
      </c>
      <c r="M53" s="6">
        <f>IFERROR(__xludf.DUMMYFUNCTION("IFERROR(
  VLOOKUP(
    A53,
    IMPORTRANGE(
      ""1ZHMy3vVUd_0MrSduXTe1etBb1HNpAlGwQr006ljwMiM"",
      ""GSC最新!A:R""
    ),
    10,
    FALSE
  ),
  0
)
"),1455.0)</f>
        <v>1455</v>
      </c>
      <c r="N53" s="6">
        <f>IFERROR(__xludf.DUMMYFUNCTION("IFERROR(
  VLOOKUP(
    A53,
    IMPORTRANGE(
      ""1ZHMy3vVUd_0MrSduXTe1etBb1HNpAlGwQr006ljwMiM"",
      ""GSC最新!A:R""
    ),
    13,
    FALSE
  ),
  0
)
"),339.0)</f>
        <v>339</v>
      </c>
      <c r="O53" s="6">
        <f>IFERROR(__xludf.DUMMYFUNCTION("IFERROR(
  VLOOKUP(
    A53,
    IMPORTRANGE(
      ""1ZHMy3vVUd_0MrSduXTe1etBb1HNpAlGwQr006ljwMiM"",
      ""GSC最新!A:R""
    ),
    16,
    FALSE
  ),
  0
)
"),1130.0)</f>
        <v>1130</v>
      </c>
      <c r="P53" s="51">
        <f t="shared" ref="P53:Q53" si="257">IFERROR(L53/N53,"-")</f>
        <v>1.525073746</v>
      </c>
      <c r="Q53" s="51">
        <f t="shared" si="257"/>
        <v>1.287610619</v>
      </c>
      <c r="R53" s="9">
        <f>IFERROR(__xludf.DUMMYFUNCTION("IFERROR(
  VLOOKUP(
    A53,
    IMPORTRANGE(
      ""1ZHMy3vVUd_0MrSduXTe1etBb1HNpAlGwQr006ljwMiM"",
      ""GSC最新!A:R""
    ),
    8,
    FALSE
  ),
  0
)
"),0.007736943907156673)</f>
        <v>0.007736943907</v>
      </c>
      <c r="S53" s="9">
        <f>IFERROR(__xludf.DUMMYFUNCTION("IFERROR(
  VLOOKUP(
    A53,
    IMPORTRANGE(
      ""1ZHMy3vVUd_0MrSduXTe1etBb1HNpAlGwQr006ljwMiM"",
      ""GSC最新!A:R""
    ),
    11,
    FALSE
  ),
  0
)
"),0.004810996563573883)</f>
        <v>0.004810996564</v>
      </c>
      <c r="T53" s="9">
        <f>IFERROR(__xludf.DUMMYFUNCTION("IFERROR(
  VLOOKUP(
    A53,
    IMPORTRANGE(
      ""1ZHMy3vVUd_0MrSduXTe1etBb1HNpAlGwQr006ljwMiM"",
      ""GSC最新!A:R""
    ),
    14,
    FALSE
  ),
  0
)
"),0.0029498525073746312)</f>
        <v>0.002949852507</v>
      </c>
      <c r="U53" s="9">
        <f>IFERROR(__xludf.DUMMYFUNCTION("IFERROR(
  VLOOKUP(
    A53,
    IMPORTRANGE(
      ""1ZHMy3vVUd_0MrSduXTe1etBb1HNpAlGwQr006ljwMiM"",
      ""GSC最新!A:R""
    ),
    17,
    FALSE
  ),
  0
)
"),0.006194690265486726)</f>
        <v>0.006194690265</v>
      </c>
      <c r="V53" s="9">
        <f t="shared" ref="V53:W53" si="258">IFERROR(R53-T53,"-")</f>
        <v>0.0047870914</v>
      </c>
      <c r="W53" s="9">
        <f t="shared" si="258"/>
        <v>-0.001383693702</v>
      </c>
      <c r="X53" s="65">
        <f>IFERROR(__xludf.DUMMYFUNCTION("IFERROR(
  VLOOKUP(
    A53,
    IMPORTRANGE(
      ""1ZHMy3vVUd_0MrSduXTe1etBb1HNpAlGwQr006ljwMiM"",
      ""GSC最新!A:R""
    ),
    9,
    FALSE
  ),
  0
)
"),6.195357833655706)</f>
        <v>6.195357834</v>
      </c>
      <c r="Y53" s="65">
        <f>IFERROR(__xludf.DUMMYFUNCTION("IFERROR(
  VLOOKUP(
    A53,
    IMPORTRANGE(
      ""1ZHMy3vVUd_0MrSduXTe1etBb1HNpAlGwQr006ljwMiM"",
      ""GSC最新!A:R""
    ),
    12,
    FALSE
  ),
  0
)
"),8.778006872852234)</f>
        <v>8.778006873</v>
      </c>
      <c r="Z53" s="65">
        <f>IFERROR(__xludf.DUMMYFUNCTION("IFERROR(
  VLOOKUP(
    A53,
    IMPORTRANGE(
      ""1ZHMy3vVUd_0MrSduXTe1etBb1HNpAlGwQr006ljwMiM"",
      ""GSC最新!A:R""
    ),
    15,
    FALSE
  ),
  0
)
"),12.277286135693215)</f>
        <v>12.27728614</v>
      </c>
      <c r="AA53" s="65">
        <f>IFERROR(__xludf.DUMMYFUNCTION("IFERROR(
  VLOOKUP(
    A53,
    IMPORTRANGE(
      ""1ZHMy3vVUd_0MrSduXTe1etBb1HNpAlGwQr006ljwMiM"",
      ""GSC最新!A:R""
    ),
    18,
    FALSE
  ),
  0
)
"),18.58938053097345)</f>
        <v>18.58938053</v>
      </c>
      <c r="AB53" s="65">
        <f t="shared" ref="AB53:AC53" si="259">X53-Z53</f>
        <v>-6.081928302</v>
      </c>
      <c r="AC53" s="65">
        <f t="shared" si="259"/>
        <v>-9.811373658</v>
      </c>
      <c r="AD53" s="53">
        <f>IFERROR(__xludf.DUMMYFUNCTION("IFERROR(
  VLOOKUP(
    A53,
    IMPORTRANGE(
      ""1ZHMy3vVUd_0MrSduXTe1etBb1HNpAlGwQr006ljwMiM"",
      ""GSC最新!A:F""
    ),
    6,
    FALSE
  ),
  0
)
"),46081.0)</f>
        <v>46081</v>
      </c>
      <c r="AE53" s="54">
        <f>IFERROR(__xludf.DUMMYFUNCTION("IFERROR(
  VLOOKUP(
    A53,
    IMPORTRANGE(
      ""1SCYQd7_cobOYqT0r_F0IqD4tE4rYn5y8Eup4PJTH8es"",
      ""Snapshot!A:M""
    ),
    5,
    FALSE
  ),
  ""-""
)
"),3.0)</f>
        <v>3</v>
      </c>
      <c r="AF53" s="54">
        <f>IFERROR(__xludf.DUMMYFUNCTION("IFERROR(
  VLOOKUP(
    A53,
    IMPORTRANGE(
      ""1SCYQd7_cobOYqT0r_F0IqD4tE4rYn5y8Eup4PJTH8es"",
      ""Snapshot!A:M""
    ),
    6,
    FALSE
  ),
  0
)
"),15.0)</f>
        <v>15</v>
      </c>
      <c r="AG53" s="54">
        <f>IFERROR(__xludf.DUMMYFUNCTION("IFERROR(
  VLOOKUP(
    A53,
    IMPORTRANGE(
      ""1SCYQd7_cobOYqT0r_F0IqD4tE4rYn5y8Eup4PJTH8es"",
      ""Snapshot!A:M""
    ),
    7,
    FALSE
  ),
  0
)
"),3533.0)</f>
        <v>3533</v>
      </c>
      <c r="AH53" s="54">
        <f>IFERROR(__xludf.DUMMYFUNCTION("IFERROR(
  VLOOKUP(
    A53,
    IMPORTRANGE(
      ""1SCYQd7_cobOYqT0r_F0IqD4tE4rYn5y8Eup4PJTH8es"",
      ""Snapshot!A:M""
    ),
    8,
    FALSE
  ),
  0
)
"),0.0)</f>
        <v>0</v>
      </c>
      <c r="AI53" s="54">
        <f>IFERROR(__xludf.DUMMYFUNCTION("IFERROR(
  VLOOKUP(
    A53,
    IMPORTRANGE(
      ""1SCYQd7_cobOYqT0r_F0IqD4tE4rYn5y8Eup4PJTH8es"",
      ""Snapshot!A:M""
    ),
    9,
    FALSE
  ),
  0
)
"),1.0)</f>
        <v>1</v>
      </c>
      <c r="AJ53" s="54">
        <f>IFERROR(__xludf.DUMMYFUNCTION("IFERROR(
  VLOOKUP(
    A53,
    IMPORTRANGE(
      ""1SCYQd7_cobOYqT0r_F0IqD4tE4rYn5y8Eup4PJTH8es"",
      ""Snapshot!A:M""
    ),
    13,
    FALSE
  ),
  0
)
"),1.0)</f>
        <v>1</v>
      </c>
      <c r="AK53" s="49">
        <f t="shared" ref="AK53:AL53" si="260">LEN(C53)</f>
        <v>36</v>
      </c>
      <c r="AL53" s="49">
        <f t="shared" si="260"/>
        <v>92</v>
      </c>
    </row>
    <row r="54">
      <c r="A54" s="3" t="s">
        <v>284</v>
      </c>
      <c r="B54" s="1" t="str">
        <f>IFERROR(__xludf.DUMMYFUNCTION("IFERROR(
  VLOOKUP(
    A54,
    IMPORTRANGE(
      ""1ZygntHC1J6IxzKbTidmOyf5nUyW4GCLurHCjexrLm_o"",
      ""HTMLキャッシュ!A:F""
    ),
    2,
    FALSE
  ),
  0
)
"),"TP")</f>
        <v>TP</v>
      </c>
      <c r="C54" s="1" t="str">
        <f>IFERROR(__xludf.DUMMYFUNCTION("IFERROR(
  VLOOKUP(
    A54,
    IMPORTRANGE(
      ""1ZygntHC1J6IxzKbTidmOyf5nUyW4GCLurHCjexrLm_o"",
      ""HTMLキャッシュ!A:F""
    ),
    5,
    FALSE
  ),
  0
)
"),"四谷の英語塾｜中高一貫の学校英語1対1指導｜教室/オンライン")</f>
        <v>四谷の英語塾｜中高一貫の学校英語1対1指導｜教室/オンライン</v>
      </c>
      <c r="D54" s="1" t="str">
        <f>IFERROR(__xludf.DUMMYFUNCTION("IFERROR(
  VLOOKUP(
    A54,
    IMPORTRANGE(
      ""1ZygntHC1J6IxzKbTidmOyf5nUyW4GCLurHCjexrLm_o        "",
      ""HTMLキャッシュ!A:F""
    ),
    6,
    FALSE
  ),
  0
)
"),"四谷の英語塾。中高一貫の学校英語を1対1で指導。長文・文型・英作文・設問根拠を教材と答案で確認。教室/オンライン対応。英会話中心ではありません。")</f>
        <v>四谷の英語塾。中高一貫の学校英語を1対1で指導。長文・文型・英作文・設問根拠を教材と答案で確認。教室/オンライン対応。英会話中心ではありません。</v>
      </c>
      <c r="E54" s="32">
        <f>IFERROR(__xludf.DUMMYFUNCTION("IFERROR(
  VLOOKUP(
    A54,
    IMPORTRANGE(
      ""1ZygntHC1J6IxzKbTidmOyf5nUyW4GCLurHCjexrLm_o        "",
      ""HTMLキャッシュ!A:F""
    ),
    3,
    FALSE
  ),
  0
)
"),46078.79913194444)</f>
        <v>46078.79913</v>
      </c>
      <c r="F54" s="49">
        <f>IFERROR(__xludf.DUMMYFUNCTION("IFERROR(
  VLOOKUP(
    A54,
    IMPORTRANGE(
      ""1ZHMy3vVUd_0MrSduXTe1etBb1HNpAlGwQr006ljwMiM"",
      ""GSC最新!A:F""
    ),
    2,
    FALSE
  ),
  0
)
"),3.0)</f>
        <v>3</v>
      </c>
      <c r="G54" s="49">
        <f>IFERROR(__xludf.DUMMYFUNCTION("IFERROR(
  VLOOKUP(
    A54,
    IMPORTRANGE(
      ""1ZHMy3vVUd_0MrSduXTe1etBb1HNpAlGwQr006ljwMiM"",
      ""GSC最新!A:F""
    ),
    3,
    FALSE
  ),
  0
)
"),7.0)</f>
        <v>7</v>
      </c>
      <c r="H54" s="49">
        <f>IFERROR(__xludf.DUMMYFUNCTION("IFERROR(
  VLOOKUP(
    A54,
    IMPORTRANGE(
      ""1ZHMy3vVUd_0MrSduXTe1etBb1HNpAlGwQr006ljwMiM"",
      ""GSC最新!A:F""
    ),
    4,
    FALSE
  ),
  0
)
"),8.0)</f>
        <v>8</v>
      </c>
      <c r="I54" s="49">
        <f>IFERROR(__xludf.DUMMYFUNCTION("IFERROR(
  VLOOKUP(
    A54,
    IMPORTRANGE(
      ""1ZHMy3vVUd_0MrSduXTe1etBb1HNpAlGwQr006ljwMiM"",
      ""GSC最新!A:F""
    ),
    5,
    FALSE
  ),
  0
)
"),28.0)</f>
        <v>28</v>
      </c>
      <c r="J54" s="50">
        <f t="shared" ref="J54:K54" si="261">IFERROR(F54/H54,"-")</f>
        <v>0.375</v>
      </c>
      <c r="K54" s="50">
        <f t="shared" si="261"/>
        <v>0.25</v>
      </c>
      <c r="L54" s="6">
        <f>IFERROR(__xludf.DUMMYFUNCTION("IFERROR(
  VLOOKUP(
    A54,
    IMPORTRANGE(
      ""1ZHMy3vVUd_0MrSduXTe1etBb1HNpAlGwQr006ljwMiM"",
      ""GSC最新!A:R""
    ),
    7,
    FALSE
  ),
  0
)
"),540.0)</f>
        <v>540</v>
      </c>
      <c r="M54" s="6">
        <f>IFERROR(__xludf.DUMMYFUNCTION("IFERROR(
  VLOOKUP(
    A54,
    IMPORTRANGE(
      ""1ZHMy3vVUd_0MrSduXTe1etBb1HNpAlGwQr006ljwMiM"",
      ""GSC最新!A:R""
    ),
    10,
    FALSE
  ),
  0
)
"),1296.0)</f>
        <v>1296</v>
      </c>
      <c r="N54" s="6">
        <f>IFERROR(__xludf.DUMMYFUNCTION("IFERROR(
  VLOOKUP(
    A54,
    IMPORTRANGE(
      ""1ZHMy3vVUd_0MrSduXTe1etBb1HNpAlGwQr006ljwMiM"",
      ""GSC最新!A:R""
    ),
    13,
    FALSE
  ),
  0
)
"),3641.0)</f>
        <v>3641</v>
      </c>
      <c r="O54" s="6">
        <f>IFERROR(__xludf.DUMMYFUNCTION("IFERROR(
  VLOOKUP(
    A54,
    IMPORTRANGE(
      ""1ZHMy3vVUd_0MrSduXTe1etBb1HNpAlGwQr006ljwMiM"",
      ""GSC最新!A:R""
    ),
    16,
    FALSE
  ),
  0
)
"),9934.0)</f>
        <v>9934</v>
      </c>
      <c r="P54" s="51">
        <f t="shared" ref="P54:Q54" si="262">IFERROR(L54/N54,"-")</f>
        <v>0.1483109036</v>
      </c>
      <c r="Q54" s="51">
        <f t="shared" si="262"/>
        <v>0.1304610429</v>
      </c>
      <c r="R54" s="9">
        <f>IFERROR(__xludf.DUMMYFUNCTION("IFERROR(
  VLOOKUP(
    A54,
    IMPORTRANGE(
      ""1ZHMy3vVUd_0MrSduXTe1etBb1HNpAlGwQr006ljwMiM"",
      ""GSC最新!A:R""
    ),
    8,
    FALSE
  ),
  0
)
"),0.005555555555555556)</f>
        <v>0.005555555556</v>
      </c>
      <c r="S54" s="9">
        <f>IFERROR(__xludf.DUMMYFUNCTION("IFERROR(
  VLOOKUP(
    A54,
    IMPORTRANGE(
      ""1ZHMy3vVUd_0MrSduXTe1etBb1HNpAlGwQr006ljwMiM"",
      ""GSC最新!A:R""
    ),
    11,
    FALSE
  ),
  0
)
"),0.005401234567901234)</f>
        <v>0.005401234568</v>
      </c>
      <c r="T54" s="9">
        <f>IFERROR(__xludf.DUMMYFUNCTION("IFERROR(
  VLOOKUP(
    A54,
    IMPORTRANGE(
      ""1ZHMy3vVUd_0MrSduXTe1etBb1HNpAlGwQr006ljwMiM"",
      ""GSC最新!A:R""
    ),
    14,
    FALSE
  ),
  0
)
"),0.0021971985718209283)</f>
        <v>0.002197198572</v>
      </c>
      <c r="U54" s="9">
        <f>IFERROR(__xludf.DUMMYFUNCTION("IFERROR(
  VLOOKUP(
    A54,
    IMPORTRANGE(
      ""1ZHMy3vVUd_0MrSduXTe1etBb1HNpAlGwQr006ljwMiM"",
      ""GSC最新!A:R""
    ),
    17,
    FALSE
  ),
  0
)
"),0.0028186027783370245)</f>
        <v>0.002818602778</v>
      </c>
      <c r="V54" s="9">
        <f t="shared" ref="V54:W54" si="263">IFERROR(R54-T54,"-")</f>
        <v>0.003358356984</v>
      </c>
      <c r="W54" s="9">
        <f t="shared" si="263"/>
        <v>0.00258263179</v>
      </c>
      <c r="X54" s="65">
        <f>IFERROR(__xludf.DUMMYFUNCTION("IFERROR(
  VLOOKUP(
    A54,
    IMPORTRANGE(
      ""1ZHMy3vVUd_0MrSduXTe1etBb1HNpAlGwQr006ljwMiM"",
      ""GSC最新!A:R""
    ),
    9,
    FALSE
  ),
  0
)
"),11.953703703703704)</f>
        <v>11.9537037</v>
      </c>
      <c r="Y54" s="65">
        <f>IFERROR(__xludf.DUMMYFUNCTION("IFERROR(
  VLOOKUP(
    A54,
    IMPORTRANGE(
      ""1ZHMy3vVUd_0MrSduXTe1etBb1HNpAlGwQr006ljwMiM"",
      ""GSC最新!A:R""
    ),
    12,
    FALSE
  ),
  0
)
"),11.940586419753087)</f>
        <v>11.94058642</v>
      </c>
      <c r="Z54" s="65">
        <f>IFERROR(__xludf.DUMMYFUNCTION("IFERROR(
  VLOOKUP(
    A54,
    IMPORTRANGE(
      ""1ZHMy3vVUd_0MrSduXTe1etBb1HNpAlGwQr006ljwMiM"",
      ""GSC最新!A:R""
    ),
    15,
    FALSE
  ),
  0
)
"),54.41829167811041)</f>
        <v>54.41829168</v>
      </c>
      <c r="AA54" s="65">
        <f>IFERROR(__xludf.DUMMYFUNCTION("IFERROR(
  VLOOKUP(
    A54,
    IMPORTRANGE(
      ""1ZHMy3vVUd_0MrSduXTe1etBb1HNpAlGwQr006ljwMiM"",
      ""GSC最新!A:R""
    ),
    18,
    FALSE
  ),
  0
)
"),48.483189047714916)</f>
        <v>48.48318905</v>
      </c>
      <c r="AB54" s="65">
        <f t="shared" ref="AB54:AC54" si="264">X54-Z54</f>
        <v>-42.46458797</v>
      </c>
      <c r="AC54" s="65">
        <f t="shared" si="264"/>
        <v>-36.54260263</v>
      </c>
      <c r="AD54" s="53">
        <f>IFERROR(__xludf.DUMMYFUNCTION("IFERROR(
  VLOOKUP(
    A54,
    IMPORTRANGE(
      ""1ZHMy3vVUd_0MrSduXTe1etBb1HNpAlGwQr006ljwMiM"",
      ""GSC最新!A:F""
    ),
    6,
    FALSE
  ),
  0
)
"),46081.0)</f>
        <v>46081</v>
      </c>
      <c r="AE54" s="54">
        <f>IFERROR(__xludf.DUMMYFUNCTION("IFERROR(
  VLOOKUP(
    A54,
    IMPORTRANGE(
      ""1SCYQd7_cobOYqT0r_F0IqD4tE4rYn5y8Eup4PJTH8es"",
      ""Snapshot!A:M""
    ),
    5,
    FALSE
  ),
  ""-""
)
"),7.0)</f>
        <v>7</v>
      </c>
      <c r="AF54" s="54">
        <f>IFERROR(__xludf.DUMMYFUNCTION("IFERROR(
  VLOOKUP(
    A54,
    IMPORTRANGE(
      ""1SCYQd7_cobOYqT0r_F0IqD4tE4rYn5y8Eup4PJTH8es"",
      ""Snapshot!A:M""
    ),
    6,
    FALSE
  ),
  0
)
"),13.0)</f>
        <v>13</v>
      </c>
      <c r="AG54" s="54">
        <f>IFERROR(__xludf.DUMMYFUNCTION("IFERROR(
  VLOOKUP(
    A54,
    IMPORTRANGE(
      ""1SCYQd7_cobOYqT0r_F0IqD4tE4rYn5y8Eup4PJTH8es"",
      ""Snapshot!A:M""
    ),
    7,
    FALSE
  ),
  0
)
"),2246.0)</f>
        <v>2246</v>
      </c>
      <c r="AH54" s="54">
        <f>IFERROR(__xludf.DUMMYFUNCTION("IFERROR(
  VLOOKUP(
    A54,
    IMPORTRANGE(
      ""1SCYQd7_cobOYqT0r_F0IqD4tE4rYn5y8Eup4PJTH8es"",
      ""Snapshot!A:M""
    ),
    8,
    FALSE
  ),
  0
)
"),9.0)</f>
        <v>9</v>
      </c>
      <c r="AI54" s="54">
        <f>IFERROR(__xludf.DUMMYFUNCTION("IFERROR(
  VLOOKUP(
    A54,
    IMPORTRANGE(
      ""1SCYQd7_cobOYqT0r_F0IqD4tE4rYn5y8Eup4PJTH8es"",
      ""Snapshot!A:M""
    ),
    9,
    FALSE
  ),
  0
)
"),5.0)</f>
        <v>5</v>
      </c>
      <c r="AJ54" s="54">
        <f>IFERROR(__xludf.DUMMYFUNCTION("IFERROR(
  VLOOKUP(
    A54,
    IMPORTRANGE(
      ""1SCYQd7_cobOYqT0r_F0IqD4tE4rYn5y8Eup4PJTH8es"",
      ""Snapshot!A:M""
    ),
    13,
    FALSE
  ),
  0
)
"),1.0)</f>
        <v>1</v>
      </c>
      <c r="AK54" s="49">
        <f t="shared" ref="AK54:AL54" si="265">LEN(C54)</f>
        <v>30</v>
      </c>
      <c r="AL54" s="49">
        <f t="shared" si="265"/>
        <v>72</v>
      </c>
    </row>
    <row r="55">
      <c r="A55" s="3" t="s">
        <v>1141</v>
      </c>
      <c r="B55" s="1" t="str">
        <f>IFERROR(__xludf.DUMMYFUNCTION("IFERROR(
  VLOOKUP(
    A55,
    IMPORTRANGE(
      ""1ZygntHC1J6IxzKbTidmOyf5nUyW4GCLurHCjexrLm_o"",
      ""HTMLキャッシュ!A:F""
    ),
    2,
    FALSE
  ),
  0
)
"),"MC")</f>
        <v>MC</v>
      </c>
      <c r="C55" s="1" t="str">
        <f>IFERROR(__xludf.DUMMYFUNCTION("IFERROR(
  VLOOKUP(
    A55,
    IMPORTRANGE(
      ""1ZygntHC1J6IxzKbTidmOyf5nUyW4GCLurHCjexrLm_o"",
      ""HTMLキャッシュ!A:F""
    ),
    5,
    FALSE
  ),
  0
)
"),"中高一貫の英語教科書｜宿題が終わらない対策｜PROGRESS")</f>
        <v>中高一貫の英語教科書｜宿題が終わらない対策｜PROGRESS</v>
      </c>
      <c r="D55" s="1" t="str">
        <f>IFERROR(__xludf.DUMMYFUNCTION("IFERROR(
  VLOOKUP(
    A55,
    IMPORTRANGE(
      ""1ZygntHC1J6IxzKbTidmOyf5nUyW4GCLurHCjexrLm_o        "",
      ""HTMLキャッシュ!A:F""
    ),
    6,
    FALSE
  ),
  0
)
"),"PROGRESSが終わらない原因は答え埋め。反復を活かす時間の取り方とワークの回し方、for/ofの練習例まで。中高一貫向け。")</f>
        <v>PROGRESSが終わらない原因は答え埋め。反復を活かす時間の取り方とワークの回し方、for/ofの練習例まで。中高一貫向け。</v>
      </c>
      <c r="E55" s="32">
        <f>IFERROR(__xludf.DUMMYFUNCTION("IFERROR(
  VLOOKUP(
    A55,
    IMPORTRANGE(
      ""1ZygntHC1J6IxzKbTidmOyf5nUyW4GCLurHCjexrLm_o        "",
      ""HTMLキャッシュ!A:F""
    ),
    3,
    FALSE
  ),
  0
)
"),46078.59085648148)</f>
        <v>46078.59086</v>
      </c>
      <c r="F55" s="49">
        <f>IFERROR(__xludf.DUMMYFUNCTION("IFERROR(
  VLOOKUP(
    A55,
    IMPORTRANGE(
      ""1ZHMy3vVUd_0MrSduXTe1etBb1HNpAlGwQr006ljwMiM"",
      ""GSC最新!A:F""
    ),
    2,
    FALSE
  ),
  0
)
"),4.0)</f>
        <v>4</v>
      </c>
      <c r="G55" s="49">
        <f>IFERROR(__xludf.DUMMYFUNCTION("IFERROR(
  VLOOKUP(
    A55,
    IMPORTRANGE(
      ""1ZHMy3vVUd_0MrSduXTe1etBb1HNpAlGwQr006ljwMiM"",
      ""GSC最新!A:F""
    ),
    3,
    FALSE
  ),
  0
)
"),8.0)</f>
        <v>8</v>
      </c>
      <c r="H55" s="49">
        <f>IFERROR(__xludf.DUMMYFUNCTION("IFERROR(
  VLOOKUP(
    A55,
    IMPORTRANGE(
      ""1ZHMy3vVUd_0MrSduXTe1etBb1HNpAlGwQr006ljwMiM"",
      ""GSC最新!A:F""
    ),
    4,
    FALSE
  ),
  0
)
"),1.0)</f>
        <v>1</v>
      </c>
      <c r="I55" s="49">
        <f>IFERROR(__xludf.DUMMYFUNCTION("IFERROR(
  VLOOKUP(
    A55,
    IMPORTRANGE(
      ""1ZHMy3vVUd_0MrSduXTe1etBb1HNpAlGwQr006ljwMiM"",
      ""GSC最新!A:F""
    ),
    5,
    FALSE
  ),
  0
)
"),7.0)</f>
        <v>7</v>
      </c>
      <c r="J55" s="50">
        <f t="shared" ref="J55:K55" si="266">IFERROR(F55/H55,"-")</f>
        <v>4</v>
      </c>
      <c r="K55" s="50">
        <f t="shared" si="266"/>
        <v>1.142857143</v>
      </c>
      <c r="L55" s="6">
        <f>IFERROR(__xludf.DUMMYFUNCTION("IFERROR(
  VLOOKUP(
    A55,
    IMPORTRANGE(
      ""1ZHMy3vVUd_0MrSduXTe1etBb1HNpAlGwQr006ljwMiM"",
      ""GSC最新!A:R""
    ),
    7,
    FALSE
  ),
  0
)
"),381.0)</f>
        <v>381</v>
      </c>
      <c r="M55" s="6">
        <f>IFERROR(__xludf.DUMMYFUNCTION("IFERROR(
  VLOOKUP(
    A55,
    IMPORTRANGE(
      ""1ZHMy3vVUd_0MrSduXTe1etBb1HNpAlGwQr006ljwMiM"",
      ""GSC最新!A:R""
    ),
    10,
    FALSE
  ),
  0
)
"),614.0)</f>
        <v>614</v>
      </c>
      <c r="N55" s="6">
        <f>IFERROR(__xludf.DUMMYFUNCTION("IFERROR(
  VLOOKUP(
    A55,
    IMPORTRANGE(
      ""1ZHMy3vVUd_0MrSduXTe1etBb1HNpAlGwQr006ljwMiM"",
      ""GSC最新!A:R""
    ),
    13,
    FALSE
  ),
  0
)
"),208.0)</f>
        <v>208</v>
      </c>
      <c r="O55" s="6">
        <f>IFERROR(__xludf.DUMMYFUNCTION("IFERROR(
  VLOOKUP(
    A55,
    IMPORTRANGE(
      ""1ZHMy3vVUd_0MrSduXTe1etBb1HNpAlGwQr006ljwMiM"",
      ""GSC最新!A:R""
    ),
    16,
    FALSE
  ),
  0
)
"),736.0)</f>
        <v>736</v>
      </c>
      <c r="P55" s="51">
        <f t="shared" ref="P55:Q55" si="267">IFERROR(L55/N55,"-")</f>
        <v>1.831730769</v>
      </c>
      <c r="Q55" s="51">
        <f t="shared" si="267"/>
        <v>0.8342391304</v>
      </c>
      <c r="R55" s="9">
        <f>IFERROR(__xludf.DUMMYFUNCTION("IFERROR(
  VLOOKUP(
    A55,
    IMPORTRANGE(
      ""1ZHMy3vVUd_0MrSduXTe1etBb1HNpAlGwQr006ljwMiM"",
      ""GSC最新!A:R""
    ),
    8,
    FALSE
  ),
  0
)
"),0.010498687664041995)</f>
        <v>0.01049868766</v>
      </c>
      <c r="S55" s="9">
        <f>IFERROR(__xludf.DUMMYFUNCTION("IFERROR(
  VLOOKUP(
    A55,
    IMPORTRANGE(
      ""1ZHMy3vVUd_0MrSduXTe1etBb1HNpAlGwQr006ljwMiM"",
      ""GSC最新!A:R""
    ),
    11,
    FALSE
  ),
  0
)
"),0.013029315960912053)</f>
        <v>0.01302931596</v>
      </c>
      <c r="T55" s="9">
        <f>IFERROR(__xludf.DUMMYFUNCTION("IFERROR(
  VLOOKUP(
    A55,
    IMPORTRANGE(
      ""1ZHMy3vVUd_0MrSduXTe1etBb1HNpAlGwQr006ljwMiM"",
      ""GSC最新!A:R""
    ),
    14,
    FALSE
  ),
  0
)
"),0.004807692307692308)</f>
        <v>0.004807692308</v>
      </c>
      <c r="U55" s="9">
        <f>IFERROR(__xludf.DUMMYFUNCTION("IFERROR(
  VLOOKUP(
    A55,
    IMPORTRANGE(
      ""1ZHMy3vVUd_0MrSduXTe1etBb1HNpAlGwQr006ljwMiM"",
      ""GSC最新!A:R""
    ),
    17,
    FALSE
  ),
  0
)
"),0.009510869565217392)</f>
        <v>0.009510869565</v>
      </c>
      <c r="V55" s="9">
        <f t="shared" ref="V55:W55" si="268">IFERROR(R55-T55,"-")</f>
        <v>0.005690995356</v>
      </c>
      <c r="W55" s="9">
        <f t="shared" si="268"/>
        <v>0.003518446396</v>
      </c>
      <c r="X55" s="65">
        <f>IFERROR(__xludf.DUMMYFUNCTION("IFERROR(
  VLOOKUP(
    A55,
    IMPORTRANGE(
      ""1ZHMy3vVUd_0MrSduXTe1etBb1HNpAlGwQr006ljwMiM"",
      ""GSC最新!A:R""
    ),
    9,
    FALSE
  ),
  0
)
"),11.133858267716535)</f>
        <v>11.13385827</v>
      </c>
      <c r="Y55" s="65">
        <f>IFERROR(__xludf.DUMMYFUNCTION("IFERROR(
  VLOOKUP(
    A55,
    IMPORTRANGE(
      ""1ZHMy3vVUd_0MrSduXTe1etBb1HNpAlGwQr006ljwMiM"",
      ""GSC最新!A:R""
    ),
    12,
    FALSE
  ),
  0
)
"),12.166123778501628)</f>
        <v>12.16612378</v>
      </c>
      <c r="Z55" s="65">
        <f>IFERROR(__xludf.DUMMYFUNCTION("IFERROR(
  VLOOKUP(
    A55,
    IMPORTRANGE(
      ""1ZHMy3vVUd_0MrSduXTe1etBb1HNpAlGwQr006ljwMiM"",
      ""GSC最新!A:R""
    ),
    15,
    FALSE
  ),
  0
)
"),14.625)</f>
        <v>14.625</v>
      </c>
      <c r="AA55" s="65">
        <f>IFERROR(__xludf.DUMMYFUNCTION("IFERROR(
  VLOOKUP(
    A55,
    IMPORTRANGE(
      ""1ZHMy3vVUd_0MrSduXTe1etBb1HNpAlGwQr006ljwMiM"",
      ""GSC最新!A:R""
    ),
    18,
    FALSE
  ),
  0
)
"),26.233695652173914)</f>
        <v>26.23369565</v>
      </c>
      <c r="AB55" s="65">
        <f t="shared" ref="AB55:AC55" si="269">X55-Z55</f>
        <v>-3.491141732</v>
      </c>
      <c r="AC55" s="65">
        <f t="shared" si="269"/>
        <v>-14.06757187</v>
      </c>
      <c r="AD55" s="53">
        <f>IFERROR(__xludf.DUMMYFUNCTION("IFERROR(
  VLOOKUP(
    A55,
    IMPORTRANGE(
      ""1ZHMy3vVUd_0MrSduXTe1etBb1HNpAlGwQr006ljwMiM"",
      ""GSC最新!A:F""
    ),
    6,
    FALSE
  ),
  0
)
"),46081.0)</f>
        <v>46081</v>
      </c>
      <c r="AE55" s="54">
        <f>IFERROR(__xludf.DUMMYFUNCTION("IFERROR(
  VLOOKUP(
    A55,
    IMPORTRANGE(
      ""1SCYQd7_cobOYqT0r_F0IqD4tE4rYn5y8Eup4PJTH8es"",
      ""Snapshot!A:M""
    ),
    5,
    FALSE
  ),
  ""-""
)
"),9.0)</f>
        <v>9</v>
      </c>
      <c r="AF55" s="54">
        <f>IFERROR(__xludf.DUMMYFUNCTION("IFERROR(
  VLOOKUP(
    A55,
    IMPORTRANGE(
      ""1SCYQd7_cobOYqT0r_F0IqD4tE4rYn5y8Eup4PJTH8es"",
      ""Snapshot!A:M""
    ),
    6,
    FALSE
  ),
  0
)
"),14.0)</f>
        <v>14</v>
      </c>
      <c r="AG55" s="54">
        <f>IFERROR(__xludf.DUMMYFUNCTION("IFERROR(
  VLOOKUP(
    A55,
    IMPORTRANGE(
      ""1SCYQd7_cobOYqT0r_F0IqD4tE4rYn5y8Eup4PJTH8es"",
      ""Snapshot!A:M""
    ),
    7,
    FALSE
  ),
  0
)
"),7887.0)</f>
        <v>7887</v>
      </c>
      <c r="AH55" s="54">
        <f>IFERROR(__xludf.DUMMYFUNCTION("IFERROR(
  VLOOKUP(
    A55,
    IMPORTRANGE(
      ""1SCYQd7_cobOYqT0r_F0IqD4tE4rYn5y8Eup4PJTH8es"",
      ""Snapshot!A:M""
    ),
    8,
    FALSE
  ),
  0
)
"),1.0)</f>
        <v>1</v>
      </c>
      <c r="AI55" s="54">
        <f>IFERROR(__xludf.DUMMYFUNCTION("IFERROR(
  VLOOKUP(
    A55,
    IMPORTRANGE(
      ""1SCYQd7_cobOYqT0r_F0IqD4tE4rYn5y8Eup4PJTH8es"",
      ""Snapshot!A:M""
    ),
    9,
    FALSE
  ),
  0
)
"),4.0)</f>
        <v>4</v>
      </c>
      <c r="AJ55" s="54">
        <f>IFERROR(__xludf.DUMMYFUNCTION("IFERROR(
  VLOOKUP(
    A55,
    IMPORTRANGE(
      ""1SCYQd7_cobOYqT0r_F0IqD4tE4rYn5y8Eup4PJTH8es"",
      ""Snapshot!A:M""
    ),
    13,
    FALSE
  ),
  0
)
"),1.0)</f>
        <v>1</v>
      </c>
      <c r="AK55" s="49">
        <f t="shared" ref="AK55:AL55" si="270">LEN(C55)</f>
        <v>30</v>
      </c>
      <c r="AL55" s="49">
        <f t="shared" si="270"/>
        <v>63</v>
      </c>
    </row>
    <row r="56">
      <c r="A56" s="3" t="s">
        <v>1142</v>
      </c>
      <c r="B56" s="1" t="str">
        <f>IFERROR(__xludf.DUMMYFUNCTION("IFERROR(
  VLOOKUP(
    A56,
    IMPORTRANGE(
      ""1ZygntHC1J6IxzKbTidmOyf5nUyW4GCLurHCjexrLm_o"",
      ""HTMLキャッシュ!A:F""
    ),
    2,
    FALSE
  ),
  0
)
"),"MC")</f>
        <v>MC</v>
      </c>
      <c r="C56" s="1" t="str">
        <f>IFERROR(__xludf.DUMMYFUNCTION("IFERROR(
  VLOOKUP(
    A56,
    IMPORTRANGE(
      ""1ZygntHC1J6IxzKbTidmOyf5nUyW4GCLurHCjexrLm_o"",
      ""HTMLキャッシュ!A:F""
    ),
    5,
    FALSE
  ),
  0
)
"),"arriveは自動詞｜reachは他動詞｜前置詞の要否と違い")</f>
        <v>arriveは自動詞｜reachは他動詞｜前置詞の要否と違い</v>
      </c>
      <c r="D56" s="1" t="str">
        <f>IFERROR(__xludf.DUMMYFUNCTION("IFERROR(
  VLOOKUP(
    A56,
    IMPORTRANGE(
      ""1ZygntHC1J6IxzKbTidmOyf5nUyW4GCLurHCjexrLm_o        "",
      ""HTMLキャッシュ!A:F""
    ),
    6,
    FALSE
  ),
  0
)
"),"arriveは自動詞でarrive at/in＋場所、reachは他動詞で前置詞なし。arrive Tokyo・reach toの誤りと違いを例文で確認。")</f>
        <v>arriveは自動詞でarrive at/in＋場所、reachは他動詞で前置詞なし。arrive Tokyo・reach toの誤りと違いを例文で確認。</v>
      </c>
      <c r="E56" s="32">
        <f>IFERROR(__xludf.DUMMYFUNCTION("IFERROR(
  VLOOKUP(
    A56,
    IMPORTRANGE(
      ""1ZygntHC1J6IxzKbTidmOyf5nUyW4GCLurHCjexrLm_o        "",
      ""HTMLキャッシュ!A:F""
    ),
    3,
    FALSE
  ),
  0
)
"),46078.80793981482)</f>
        <v>46078.80794</v>
      </c>
      <c r="F56" s="49">
        <f>IFERROR(__xludf.DUMMYFUNCTION("IFERROR(
  VLOOKUP(
    A56,
    IMPORTRANGE(
      ""1ZHMy3vVUd_0MrSduXTe1etBb1HNpAlGwQr006ljwMiM"",
      ""GSC最新!A:F""
    ),
    2,
    FALSE
  ),
  0
)
"),5.0)</f>
        <v>5</v>
      </c>
      <c r="G56" s="49">
        <f>IFERROR(__xludf.DUMMYFUNCTION("IFERROR(
  VLOOKUP(
    A56,
    IMPORTRANGE(
      ""1ZHMy3vVUd_0MrSduXTe1etBb1HNpAlGwQr006ljwMiM"",
      ""GSC最新!A:F""
    ),
    3,
    FALSE
  ),
  0
)
"),6.0)</f>
        <v>6</v>
      </c>
      <c r="H56" s="49">
        <f>IFERROR(__xludf.DUMMYFUNCTION("IFERROR(
  VLOOKUP(
    A56,
    IMPORTRANGE(
      ""1ZHMy3vVUd_0MrSduXTe1etBb1HNpAlGwQr006ljwMiM"",
      ""GSC最新!A:F""
    ),
    4,
    FALSE
  ),
  0
)
"),2.0)</f>
        <v>2</v>
      </c>
      <c r="I56" s="49">
        <f>IFERROR(__xludf.DUMMYFUNCTION("IFERROR(
  VLOOKUP(
    A56,
    IMPORTRANGE(
      ""1ZHMy3vVUd_0MrSduXTe1etBb1HNpAlGwQr006ljwMiM"",
      ""GSC最新!A:F""
    ),
    5,
    FALSE
  ),
  0
)
"),10.0)</f>
        <v>10</v>
      </c>
      <c r="J56" s="50">
        <f t="shared" ref="J56:K56" si="271">IFERROR(F56/H56,"-")</f>
        <v>2.5</v>
      </c>
      <c r="K56" s="50">
        <f t="shared" si="271"/>
        <v>0.6</v>
      </c>
      <c r="L56" s="6">
        <f>IFERROR(__xludf.DUMMYFUNCTION("IFERROR(
  VLOOKUP(
    A56,
    IMPORTRANGE(
      ""1ZHMy3vVUd_0MrSduXTe1etBb1HNpAlGwQr006ljwMiM"",
      ""GSC最新!A:R""
    ),
    7,
    FALSE
  ),
  0
)
"),3705.0)</f>
        <v>3705</v>
      </c>
      <c r="M56" s="6">
        <f>IFERROR(__xludf.DUMMYFUNCTION("IFERROR(
  VLOOKUP(
    A56,
    IMPORTRANGE(
      ""1ZHMy3vVUd_0MrSduXTe1etBb1HNpAlGwQr006ljwMiM"",
      ""GSC最新!A:R""
    ),
    10,
    FALSE
  ),
  0
)
"),6166.0)</f>
        <v>6166</v>
      </c>
      <c r="N56" s="6">
        <f>IFERROR(__xludf.DUMMYFUNCTION("IFERROR(
  VLOOKUP(
    A56,
    IMPORTRANGE(
      ""1ZHMy3vVUd_0MrSduXTe1etBb1HNpAlGwQr006ljwMiM"",
      ""GSC最新!A:R""
    ),
    13,
    FALSE
  ),
  0
)
"),1670.0)</f>
        <v>1670</v>
      </c>
      <c r="O56" s="6">
        <f>IFERROR(__xludf.DUMMYFUNCTION("IFERROR(
  VLOOKUP(
    A56,
    IMPORTRANGE(
      ""1ZHMy3vVUd_0MrSduXTe1etBb1HNpAlGwQr006ljwMiM"",
      ""GSC最新!A:R""
    ),
    16,
    FALSE
  ),
  0
)
"),3974.0)</f>
        <v>3974</v>
      </c>
      <c r="P56" s="51">
        <f t="shared" ref="P56:Q56" si="272">IFERROR(L56/N56,"-")</f>
        <v>2.218562874</v>
      </c>
      <c r="Q56" s="51">
        <f t="shared" si="272"/>
        <v>1.551585304</v>
      </c>
      <c r="R56" s="9">
        <f>IFERROR(__xludf.DUMMYFUNCTION("IFERROR(
  VLOOKUP(
    A56,
    IMPORTRANGE(
      ""1ZHMy3vVUd_0MrSduXTe1etBb1HNpAlGwQr006ljwMiM"",
      ""GSC最新!A:R""
    ),
    8,
    FALSE
  ),
  0
)
"),0.001349527665317139)</f>
        <v>0.001349527665</v>
      </c>
      <c r="S56" s="9">
        <f>IFERROR(__xludf.DUMMYFUNCTION("IFERROR(
  VLOOKUP(
    A56,
    IMPORTRANGE(
      ""1ZHMy3vVUd_0MrSduXTe1etBb1HNpAlGwQr006ljwMiM"",
      ""GSC最新!A:R""
    ),
    11,
    FALSE
  ),
  0
)
"),9.730781706130393E-4)</f>
        <v>0.0009730781706</v>
      </c>
      <c r="T56" s="9">
        <f>IFERROR(__xludf.DUMMYFUNCTION("IFERROR(
  VLOOKUP(
    A56,
    IMPORTRANGE(
      ""1ZHMy3vVUd_0MrSduXTe1etBb1HNpAlGwQr006ljwMiM"",
      ""GSC最新!A:R""
    ),
    14,
    FALSE
  ),
  0
)
"),0.0011976047904191617)</f>
        <v>0.00119760479</v>
      </c>
      <c r="U56" s="9">
        <f>IFERROR(__xludf.DUMMYFUNCTION("IFERROR(
  VLOOKUP(
    A56,
    IMPORTRANGE(
      ""1ZHMy3vVUd_0MrSduXTe1etBb1HNpAlGwQr006ljwMiM"",
      ""GSC最新!A:R""
    ),
    17,
    FALSE
  ),
  0
)
"),0.0025163563160543532)</f>
        <v>0.002516356316</v>
      </c>
      <c r="V56" s="9">
        <f t="shared" ref="V56:W56" si="273">IFERROR(R56-T56,"-")</f>
        <v>0.0001519228749</v>
      </c>
      <c r="W56" s="9">
        <f t="shared" si="273"/>
        <v>-0.001543278145</v>
      </c>
      <c r="X56" s="65">
        <f>IFERROR(__xludf.DUMMYFUNCTION("IFERROR(
  VLOOKUP(
    A56,
    IMPORTRANGE(
      ""1ZHMy3vVUd_0MrSduXTe1etBb1HNpAlGwQr006ljwMiM"",
      ""GSC最新!A:R""
    ),
    9,
    FALSE
  ),
  0
)
"),7.766261808367071)</f>
        <v>7.766261808</v>
      </c>
      <c r="Y56" s="65">
        <f>IFERROR(__xludf.DUMMYFUNCTION("IFERROR(
  VLOOKUP(
    A56,
    IMPORTRANGE(
      ""1ZHMy3vVUd_0MrSduXTe1etBb1HNpAlGwQr006ljwMiM"",
      ""GSC最新!A:R""
    ),
    12,
    FALSE
  ),
  0
)
"),8.29176127148881)</f>
        <v>8.291761271</v>
      </c>
      <c r="Z56" s="65">
        <f>IFERROR(__xludf.DUMMYFUNCTION("IFERROR(
  VLOOKUP(
    A56,
    IMPORTRANGE(
      ""1ZHMy3vVUd_0MrSduXTe1etBb1HNpAlGwQr006ljwMiM"",
      ""GSC最新!A:R""
    ),
    15,
    FALSE
  ),
  0
)
"),5.659281437125749)</f>
        <v>5.659281437</v>
      </c>
      <c r="AA56" s="65">
        <f>IFERROR(__xludf.DUMMYFUNCTION("IFERROR(
  VLOOKUP(
    A56,
    IMPORTRANGE(
      ""1ZHMy3vVUd_0MrSduXTe1etBb1HNpAlGwQr006ljwMiM"",
      ""GSC最新!A:R""
    ),
    18,
    FALSE
  ),
  0
)
"),11.394816305988929)</f>
        <v>11.39481631</v>
      </c>
      <c r="AB56" s="65">
        <f t="shared" ref="AB56:AC56" si="274">X56-Z56</f>
        <v>2.106980371</v>
      </c>
      <c r="AC56" s="65">
        <f t="shared" si="274"/>
        <v>-3.103055035</v>
      </c>
      <c r="AD56" s="53">
        <f>IFERROR(__xludf.DUMMYFUNCTION("IFERROR(
  VLOOKUP(
    A56,
    IMPORTRANGE(
      ""1ZHMy3vVUd_0MrSduXTe1etBb1HNpAlGwQr006ljwMiM"",
      ""GSC最新!A:F""
    ),
    6,
    FALSE
  ),
  0
)
"),46081.0)</f>
        <v>46081</v>
      </c>
      <c r="AE56" s="54">
        <f>IFERROR(__xludf.DUMMYFUNCTION("IFERROR(
  VLOOKUP(
    A56,
    IMPORTRANGE(
      ""1SCYQd7_cobOYqT0r_F0IqD4tE4rYn5y8Eup4PJTH8es"",
      ""Snapshot!A:M""
    ),
    5,
    FALSE
  ),
  ""-""
)
"),1.0)</f>
        <v>1</v>
      </c>
      <c r="AF56" s="54">
        <f>IFERROR(__xludf.DUMMYFUNCTION("IFERROR(
  VLOOKUP(
    A56,
    IMPORTRANGE(
      ""1SCYQd7_cobOYqT0r_F0IqD4tE4rYn5y8Eup4PJTH8es"",
      ""Snapshot!A:M""
    ),
    6,
    FALSE
  ),
  0
)
"),4.0)</f>
        <v>4</v>
      </c>
      <c r="AG56" s="54">
        <f>IFERROR(__xludf.DUMMYFUNCTION("IFERROR(
  VLOOKUP(
    A56,
    IMPORTRANGE(
      ""1SCYQd7_cobOYqT0r_F0IqD4tE4rYn5y8Eup4PJTH8es"",
      ""Snapshot!A:M""
    ),
    7,
    FALSE
  ),
  0
)
"),888.0)</f>
        <v>888</v>
      </c>
      <c r="AH56" s="54">
        <f>IFERROR(__xludf.DUMMYFUNCTION("IFERROR(
  VLOOKUP(
    A56,
    IMPORTRANGE(
      ""1SCYQd7_cobOYqT0r_F0IqD4tE4rYn5y8Eup4PJTH8es"",
      ""Snapshot!A:M""
    ),
    8,
    FALSE
  ),
  0
)
"),1.0)</f>
        <v>1</v>
      </c>
      <c r="AI56" s="54">
        <f>IFERROR(__xludf.DUMMYFUNCTION("IFERROR(
  VLOOKUP(
    A56,
    IMPORTRANGE(
      ""1SCYQd7_cobOYqT0r_F0IqD4tE4rYn5y8Eup4PJTH8es"",
      ""Snapshot!A:M""
    ),
    9,
    FALSE
  ),
  0
)
"),4.0)</f>
        <v>4</v>
      </c>
      <c r="AJ56" s="54">
        <f>IFERROR(__xludf.DUMMYFUNCTION("IFERROR(
  VLOOKUP(
    A56,
    IMPORTRANGE(
      ""1SCYQd7_cobOYqT0r_F0IqD4tE4rYn5y8Eup4PJTH8es"",
      ""Snapshot!A:M""
    ),
    13,
    FALSE
  ),
  0
)
"),1.0)</f>
        <v>1</v>
      </c>
      <c r="AK56" s="49">
        <f t="shared" ref="AK56:AL56" si="275">LEN(C56)</f>
        <v>30</v>
      </c>
      <c r="AL56" s="49">
        <f t="shared" si="275"/>
        <v>77</v>
      </c>
    </row>
    <row r="57">
      <c r="A57" s="3" t="s">
        <v>1143</v>
      </c>
      <c r="B57" s="1" t="str">
        <f>IFERROR(__xludf.DUMMYFUNCTION("IFERROR(
  VLOOKUP(
    A57,
    IMPORTRANGE(
      ""1ZygntHC1J6IxzKbTidmOyf5nUyW4GCLurHCjexrLm_o"",
      ""HTMLキャッシュ!A:F""
    ),
    2,
    FALSE
  ),
  0
)
"),"MC")</f>
        <v>MC</v>
      </c>
      <c r="C57" s="1" t="str">
        <f>IFERROR(__xludf.DUMMYFUNCTION("IFERROR(
  VLOOKUP(
    A57,
    IMPORTRANGE(
      ""1ZygntHC1J6IxzKbTidmOyf5nUyW4GCLurHCjexrLm_o"",
      ""HTMLキャッシュ!A:F""
    ),
    5,
    FALSE
  ),
  0
)
"),"say that／think that｜that節｜中学英語")</f>
        <v>say that／think that｜that節｜中学英語</v>
      </c>
      <c r="D57" s="1" t="str">
        <f>IFERROR(__xludf.DUMMYFUNCTION("IFERROR(
  VLOOKUP(
    A57,
    IMPORTRANGE(
      ""1ZygntHC1J6IxzKbTidmOyf5nUyW4GCLurHCjexrLm_o        "",
      ""HTMLキャッシュ!A:F""
    ),
    6,
    FALSE
  ),
  0
)
"),"say that／think thatは「〜ということ」。thatの後ろはS＋V。×He said me that…の直し方も例文で整理。")</f>
        <v>say that／think thatは「〜ということ」。thatの後ろはS＋V。×He said me that…の直し方も例文で整理。</v>
      </c>
      <c r="E57" s="32">
        <f>IFERROR(__xludf.DUMMYFUNCTION("IFERROR(
  VLOOKUP(
    A57,
    IMPORTRANGE(
      ""1ZygntHC1J6IxzKbTidmOyf5nUyW4GCLurHCjexrLm_o        "",
      ""HTMLキャッシュ!A:F""
    ),
    3,
    FALSE
  ),
  0
)
"),46061.92587962963)</f>
        <v>46061.92588</v>
      </c>
      <c r="F57" s="49">
        <f>IFERROR(__xludf.DUMMYFUNCTION("IFERROR(
  VLOOKUP(
    A57,
    IMPORTRANGE(
      ""1ZHMy3vVUd_0MrSduXTe1etBb1HNpAlGwQr006ljwMiM"",
      ""GSC最新!A:F""
    ),
    2,
    FALSE
  ),
  0
)
"),2.0)</f>
        <v>2</v>
      </c>
      <c r="G57" s="49">
        <f>IFERROR(__xludf.DUMMYFUNCTION("IFERROR(
  VLOOKUP(
    A57,
    IMPORTRANGE(
      ""1ZHMy3vVUd_0MrSduXTe1etBb1HNpAlGwQr006ljwMiM"",
      ""GSC最新!A:F""
    ),
    3,
    FALSE
  ),
  0
)
"),6.0)</f>
        <v>6</v>
      </c>
      <c r="H57" s="49">
        <f>IFERROR(__xludf.DUMMYFUNCTION("IFERROR(
  VLOOKUP(
    A57,
    IMPORTRANGE(
      ""1ZHMy3vVUd_0MrSduXTe1etBb1HNpAlGwQr006ljwMiM"",
      ""GSC最新!A:F""
    ),
    4,
    FALSE
  ),
  0
)
"),2.0)</f>
        <v>2</v>
      </c>
      <c r="I57" s="49">
        <f>IFERROR(__xludf.DUMMYFUNCTION("IFERROR(
  VLOOKUP(
    A57,
    IMPORTRANGE(
      ""1ZHMy3vVUd_0MrSduXTe1etBb1HNpAlGwQr006ljwMiM"",
      ""GSC最新!A:F""
    ),
    5,
    FALSE
  ),
  0
)
"),6.0)</f>
        <v>6</v>
      </c>
      <c r="J57" s="50">
        <f t="shared" ref="J57:K57" si="276">IFERROR(F57/H57,"-")</f>
        <v>1</v>
      </c>
      <c r="K57" s="50">
        <f t="shared" si="276"/>
        <v>1</v>
      </c>
      <c r="L57" s="6">
        <f>IFERROR(__xludf.DUMMYFUNCTION("IFERROR(
  VLOOKUP(
    A57,
    IMPORTRANGE(
      ""1ZHMy3vVUd_0MrSduXTe1etBb1HNpAlGwQr006ljwMiM"",
      ""GSC最新!A:R""
    ),
    7,
    FALSE
  ),
  0
)
"),2206.0)</f>
        <v>2206</v>
      </c>
      <c r="M57" s="6">
        <f>IFERROR(__xludf.DUMMYFUNCTION("IFERROR(
  VLOOKUP(
    A57,
    IMPORTRANGE(
      ""1ZHMy3vVUd_0MrSduXTe1etBb1HNpAlGwQr006ljwMiM"",
      ""GSC最新!A:R""
    ),
    10,
    FALSE
  ),
  0
)
"),3318.0)</f>
        <v>3318</v>
      </c>
      <c r="N57" s="6">
        <f>IFERROR(__xludf.DUMMYFUNCTION("IFERROR(
  VLOOKUP(
    A57,
    IMPORTRANGE(
      ""1ZHMy3vVUd_0MrSduXTe1etBb1HNpAlGwQr006ljwMiM"",
      ""GSC最新!A:R""
    ),
    13,
    FALSE
  ),
  0
)
"),311.0)</f>
        <v>311</v>
      </c>
      <c r="O57" s="6">
        <f>IFERROR(__xludf.DUMMYFUNCTION("IFERROR(
  VLOOKUP(
    A57,
    IMPORTRANGE(
      ""1ZHMy3vVUd_0MrSduXTe1etBb1HNpAlGwQr006ljwMiM"",
      ""GSC最新!A:R""
    ),
    16,
    FALSE
  ),
  0
)
"),1244.0)</f>
        <v>1244</v>
      </c>
      <c r="P57" s="51">
        <f t="shared" ref="P57:Q57" si="277">IFERROR(L57/N57,"-")</f>
        <v>7.093247588</v>
      </c>
      <c r="Q57" s="51">
        <f t="shared" si="277"/>
        <v>2.667202572</v>
      </c>
      <c r="R57" s="9">
        <f>IFERROR(__xludf.DUMMYFUNCTION("IFERROR(
  VLOOKUP(
    A57,
    IMPORTRANGE(
      ""1ZHMy3vVUd_0MrSduXTe1etBb1HNpAlGwQr006ljwMiM"",
      ""GSC最新!A:R""
    ),
    8,
    FALSE
  ),
  0
)
"),9.066183136899365E-4)</f>
        <v>0.0009066183137</v>
      </c>
      <c r="S57" s="9">
        <f>IFERROR(__xludf.DUMMYFUNCTION("IFERROR(
  VLOOKUP(
    A57,
    IMPORTRANGE(
      ""1ZHMy3vVUd_0MrSduXTe1etBb1HNpAlGwQr006ljwMiM"",
      ""GSC最新!A:R""
    ),
    11,
    FALSE
  ),
  0
)
"),0.0018083182640144665)</f>
        <v>0.001808318264</v>
      </c>
      <c r="T57" s="9">
        <f>IFERROR(__xludf.DUMMYFUNCTION("IFERROR(
  VLOOKUP(
    A57,
    IMPORTRANGE(
      ""1ZHMy3vVUd_0MrSduXTe1etBb1HNpAlGwQr006ljwMiM"",
      ""GSC最新!A:R""
    ),
    14,
    FALSE
  ),
  0
)
"),0.006430868167202572)</f>
        <v>0.006430868167</v>
      </c>
      <c r="U57" s="9">
        <f>IFERROR(__xludf.DUMMYFUNCTION("IFERROR(
  VLOOKUP(
    A57,
    IMPORTRANGE(
      ""1ZHMy3vVUd_0MrSduXTe1etBb1HNpAlGwQr006ljwMiM"",
      ""GSC最新!A:R""
    ),
    17,
    FALSE
  ),
  0
)
"),0.00482315112540193)</f>
        <v>0.004823151125</v>
      </c>
      <c r="V57" s="9">
        <f t="shared" ref="V57:W57" si="278">IFERROR(R57-T57,"-")</f>
        <v>-0.005524249854</v>
      </c>
      <c r="W57" s="9">
        <f t="shared" si="278"/>
        <v>-0.003014832861</v>
      </c>
      <c r="X57" s="65">
        <f>IFERROR(__xludf.DUMMYFUNCTION("IFERROR(
  VLOOKUP(
    A57,
    IMPORTRANGE(
      ""1ZHMy3vVUd_0MrSduXTe1etBb1HNpAlGwQr006ljwMiM"",
      ""GSC最新!A:R""
    ),
    9,
    FALSE
  ),
  0
)
"),3.6813236627379875)</f>
        <v>3.681323663</v>
      </c>
      <c r="Y57" s="65">
        <f>IFERROR(__xludf.DUMMYFUNCTION("IFERROR(
  VLOOKUP(
    A57,
    IMPORTRANGE(
      ""1ZHMy3vVUd_0MrSduXTe1etBb1HNpAlGwQr006ljwMiM"",
      ""GSC最新!A:R""
    ),
    12,
    FALSE
  ),
  0
)
"),4.666968053044002)</f>
        <v>4.666968053</v>
      </c>
      <c r="Z57" s="65">
        <f>IFERROR(__xludf.DUMMYFUNCTION("IFERROR(
  VLOOKUP(
    A57,
    IMPORTRANGE(
      ""1ZHMy3vVUd_0MrSduXTe1etBb1HNpAlGwQr006ljwMiM"",
      ""GSC最新!A:R""
    ),
    15,
    FALSE
  ),
  0
)
"),11.09967845659164)</f>
        <v>11.09967846</v>
      </c>
      <c r="AA57" s="65">
        <f>IFERROR(__xludf.DUMMYFUNCTION("IFERROR(
  VLOOKUP(
    A57,
    IMPORTRANGE(
      ""1ZHMy3vVUd_0MrSduXTe1etBb1HNpAlGwQr006ljwMiM"",
      ""GSC最新!A:R""
    ),
    18,
    FALSE
  ),
  0
)
"),14.644694533762058)</f>
        <v>14.64469453</v>
      </c>
      <c r="AB57" s="65">
        <f t="shared" ref="AB57:AC57" si="279">X57-Z57</f>
        <v>-7.418354794</v>
      </c>
      <c r="AC57" s="65">
        <f t="shared" si="279"/>
        <v>-9.977726481</v>
      </c>
      <c r="AD57" s="53">
        <f>IFERROR(__xludf.DUMMYFUNCTION("IFERROR(
  VLOOKUP(
    A57,
    IMPORTRANGE(
      ""1ZHMy3vVUd_0MrSduXTe1etBb1HNpAlGwQr006ljwMiM"",
      ""GSC最新!A:F""
    ),
    6,
    FALSE
  ),
  0
)
"),46081.0)</f>
        <v>46081</v>
      </c>
      <c r="AE57" s="54">
        <f>IFERROR(__xludf.DUMMYFUNCTION("IFERROR(
  VLOOKUP(
    A57,
    IMPORTRANGE(
      ""1SCYQd7_cobOYqT0r_F0IqD4tE4rYn5y8Eup4PJTH8es"",
      ""Snapshot!A:M""
    ),
    5,
    FALSE
  ),
  ""-""
)
"),0.0)</f>
        <v>0</v>
      </c>
      <c r="AF57" s="54">
        <f>IFERROR(__xludf.DUMMYFUNCTION("IFERROR(
  VLOOKUP(
    A57,
    IMPORTRANGE(
      ""1SCYQd7_cobOYqT0r_F0IqD4tE4rYn5y8Eup4PJTH8es"",
      ""Snapshot!A:M""
    ),
    6,
    FALSE
  ),
  0
)
"),8.0)</f>
        <v>8</v>
      </c>
      <c r="AG57" s="54">
        <f>IFERROR(__xludf.DUMMYFUNCTION("IFERROR(
  VLOOKUP(
    A57,
    IMPORTRANGE(
      ""1SCYQd7_cobOYqT0r_F0IqD4tE4rYn5y8Eup4PJTH8es"",
      ""Snapshot!A:M""
    ),
    7,
    FALSE
  ),
  0
)
"),2392.0)</f>
        <v>2392</v>
      </c>
      <c r="AH57" s="54">
        <f>IFERROR(__xludf.DUMMYFUNCTION("IFERROR(
  VLOOKUP(
    A57,
    IMPORTRANGE(
      ""1SCYQd7_cobOYqT0r_F0IqD4tE4rYn5y8Eup4PJTH8es"",
      ""Snapshot!A:M""
    ),
    8,
    FALSE
  ),
  0
)
"),1.0)</f>
        <v>1</v>
      </c>
      <c r="AI57" s="54">
        <f>IFERROR(__xludf.DUMMYFUNCTION("IFERROR(
  VLOOKUP(
    A57,
    IMPORTRANGE(
      ""1SCYQd7_cobOYqT0r_F0IqD4tE4rYn5y8Eup4PJTH8es"",
      ""Snapshot!A:M""
    ),
    9,
    FALSE
  ),
  0
)
"),4.0)</f>
        <v>4</v>
      </c>
      <c r="AJ57" s="54">
        <f>IFERROR(__xludf.DUMMYFUNCTION("IFERROR(
  VLOOKUP(
    A57,
    IMPORTRANGE(
      ""1SCYQd7_cobOYqT0r_F0IqD4tE4rYn5y8Eup4PJTH8es"",
      ""Snapshot!A:M""
    ),
    13,
    FALSE
  ),
  0
)
"),1.0)</f>
        <v>1</v>
      </c>
      <c r="AK57" s="49">
        <f t="shared" ref="AK57:AL57" si="280">LEN(C57)</f>
        <v>30</v>
      </c>
      <c r="AL57" s="49">
        <f t="shared" si="280"/>
        <v>69</v>
      </c>
    </row>
    <row r="58">
      <c r="A58" s="3" t="s">
        <v>1144</v>
      </c>
      <c r="B58" s="1" t="str">
        <f>IFERROR(__xludf.DUMMYFUNCTION("IFERROR(
  VLOOKUP(
    A58,
    IMPORTRANGE(
      ""1ZygntHC1J6IxzKbTidmOyf5nUyW4GCLurHCjexrLm_o"",
      ""HTMLキャッシュ!A:F""
    ),
    2,
    FALSE
  ),
  0
)
"),"MC")</f>
        <v>MC</v>
      </c>
      <c r="C58" s="1" t="str">
        <f>IFERROR(__xludf.DUMMYFUNCTION("IFERROR(
  VLOOKUP(
    A58,
    IMPORTRANGE(
      ""1ZygntHC1J6IxzKbTidmOyf5nUyW4GCLurHCjexrLm_o"",
      ""HTMLキャッシュ!A:F""
    ),
    5,
    FALSE
  ),
  0
)
"),"playingとplayの違い｜主語になる動名詞｜中学英語")</f>
        <v>playingとplayの違い｜主語になる動名詞｜中学英語</v>
      </c>
      <c r="D58" s="1" t="str">
        <f>IFERROR(__xludf.DUMMYFUNCTION("IFERROR(
  VLOOKUP(
    A58,
    IMPORTRANGE(
      ""1ZygntHC1J6IxzKbTidmOyf5nUyW4GCLurHCjexrLm_o        "",
      ""HTMLキャッシュ!A:F""
    ),
    6,
    FALSE
  ),
  0
)
"),"playingとplayの違いを、主語になる動名詞で整理。is taking care…を進行形と誤読しない見方も確認。")</f>
        <v>playingとplayの違いを、主語になる動名詞で整理。is taking care…を進行形と誤読しない見方も確認。</v>
      </c>
      <c r="E58" s="32">
        <f>IFERROR(__xludf.DUMMYFUNCTION("IFERROR(
  VLOOKUP(
    A58,
    IMPORTRANGE(
      ""1ZygntHC1J6IxzKbTidmOyf5nUyW4GCLurHCjexrLm_o        "",
      ""HTMLキャッシュ!A:F""
    ),
    3,
    FALSE
  ),
  0
)
"),46055.73681712963)</f>
        <v>46055.73682</v>
      </c>
      <c r="F58" s="49">
        <f>IFERROR(__xludf.DUMMYFUNCTION("IFERROR(
  VLOOKUP(
    A58,
    IMPORTRANGE(
      ""1ZHMy3vVUd_0MrSduXTe1etBb1HNpAlGwQr006ljwMiM"",
      ""GSC最新!A:F""
    ),
    2,
    FALSE
  ),
  0
)
"),4.0)</f>
        <v>4</v>
      </c>
      <c r="G58" s="49">
        <f>IFERROR(__xludf.DUMMYFUNCTION("IFERROR(
  VLOOKUP(
    A58,
    IMPORTRANGE(
      ""1ZHMy3vVUd_0MrSduXTe1etBb1HNpAlGwQr006ljwMiM"",
      ""GSC最新!A:F""
    ),
    3,
    FALSE
  ),
  0
)
"),6.0)</f>
        <v>6</v>
      </c>
      <c r="H58" s="49">
        <f>IFERROR(__xludf.DUMMYFUNCTION("IFERROR(
  VLOOKUP(
    A58,
    IMPORTRANGE(
      ""1ZHMy3vVUd_0MrSduXTe1etBb1HNpAlGwQr006ljwMiM"",
      ""GSC最新!A:F""
    ),
    4,
    FALSE
  ),
  0
)
"),0.0)</f>
        <v>0</v>
      </c>
      <c r="I58" s="49">
        <f>IFERROR(__xludf.DUMMYFUNCTION("IFERROR(
  VLOOKUP(
    A58,
    IMPORTRANGE(
      ""1ZHMy3vVUd_0MrSduXTe1etBb1HNpAlGwQr006ljwMiM"",
      ""GSC最新!A:F""
    ),
    5,
    FALSE
  ),
  0
)
"),0.0)</f>
        <v>0</v>
      </c>
      <c r="J58" s="50" t="str">
        <f t="shared" ref="J58:K58" si="281">IFERROR(F58/H58,"-")</f>
        <v>-</v>
      </c>
      <c r="K58" s="50" t="str">
        <f t="shared" si="281"/>
        <v>-</v>
      </c>
      <c r="L58" s="6">
        <f>IFERROR(__xludf.DUMMYFUNCTION("IFERROR(
  VLOOKUP(
    A58,
    IMPORTRANGE(
      ""1ZHMy3vVUd_0MrSduXTe1etBb1HNpAlGwQr006ljwMiM"",
      ""GSC最新!A:R""
    ),
    7,
    FALSE
  ),
  0
)
"),1408.0)</f>
        <v>1408</v>
      </c>
      <c r="M58" s="6">
        <f>IFERROR(__xludf.DUMMYFUNCTION("IFERROR(
  VLOOKUP(
    A58,
    IMPORTRANGE(
      ""1ZHMy3vVUd_0MrSduXTe1etBb1HNpAlGwQr006ljwMiM"",
      ""GSC最新!A:R""
    ),
    10,
    FALSE
  ),
  0
)
"),1861.0)</f>
        <v>1861</v>
      </c>
      <c r="N58" s="6">
        <f>IFERROR(__xludf.DUMMYFUNCTION("IFERROR(
  VLOOKUP(
    A58,
    IMPORTRANGE(
      ""1ZHMy3vVUd_0MrSduXTe1etBb1HNpAlGwQr006ljwMiM"",
      ""GSC最新!A:R""
    ),
    13,
    FALSE
  ),
  0
)
"),18.0)</f>
        <v>18</v>
      </c>
      <c r="O58" s="6">
        <f>IFERROR(__xludf.DUMMYFUNCTION("IFERROR(
  VLOOKUP(
    A58,
    IMPORTRANGE(
      ""1ZHMy3vVUd_0MrSduXTe1etBb1HNpAlGwQr006ljwMiM"",
      ""GSC最新!A:R""
    ),
    16,
    FALSE
  ),
  0
)
"),51.0)</f>
        <v>51</v>
      </c>
      <c r="P58" s="51">
        <f t="shared" ref="P58:Q58" si="282">IFERROR(L58/N58,"-")</f>
        <v>78.22222222</v>
      </c>
      <c r="Q58" s="51">
        <f t="shared" si="282"/>
        <v>36.49019608</v>
      </c>
      <c r="R58" s="9">
        <f>IFERROR(__xludf.DUMMYFUNCTION("IFERROR(
  VLOOKUP(
    A58,
    IMPORTRANGE(
      ""1ZHMy3vVUd_0MrSduXTe1etBb1HNpAlGwQr006ljwMiM"",
      ""GSC最新!A:R""
    ),
    8,
    FALSE
  ),
  0
)
"),0.002840909090909091)</f>
        <v>0.002840909091</v>
      </c>
      <c r="S58" s="9">
        <f>IFERROR(__xludf.DUMMYFUNCTION("IFERROR(
  VLOOKUP(
    A58,
    IMPORTRANGE(
      ""1ZHMy3vVUd_0MrSduXTe1etBb1HNpAlGwQr006ljwMiM"",
      ""GSC最新!A:R""
    ),
    11,
    FALSE
  ),
  0
)
"),0.0032240730789897904)</f>
        <v>0.003224073079</v>
      </c>
      <c r="T58" s="9">
        <f>IFERROR(__xludf.DUMMYFUNCTION("IFERROR(
  VLOOKUP(
    A58,
    IMPORTRANGE(
      ""1ZHMy3vVUd_0MrSduXTe1etBb1HNpAlGwQr006ljwMiM"",
      ""GSC最新!A:R""
    ),
    14,
    FALSE
  ),
  0
)
"),0.0)</f>
        <v>0</v>
      </c>
      <c r="U58" s="9">
        <f>IFERROR(__xludf.DUMMYFUNCTION("IFERROR(
  VLOOKUP(
    A58,
    IMPORTRANGE(
      ""1ZHMy3vVUd_0MrSduXTe1etBb1HNpAlGwQr006ljwMiM"",
      ""GSC最新!A:R""
    ),
    17,
    FALSE
  ),
  0
)
"),0.0)</f>
        <v>0</v>
      </c>
      <c r="V58" s="9">
        <f t="shared" ref="V58:W58" si="283">IFERROR(R58-T58,"-")</f>
        <v>0.002840909091</v>
      </c>
      <c r="W58" s="9">
        <f t="shared" si="283"/>
        <v>0.003224073079</v>
      </c>
      <c r="X58" s="65">
        <f>IFERROR(__xludf.DUMMYFUNCTION("IFERROR(
  VLOOKUP(
    A58,
    IMPORTRANGE(
      ""1ZHMy3vVUd_0MrSduXTe1etBb1HNpAlGwQr006ljwMiM"",
      ""GSC最新!A:R""
    ),
    9,
    FALSE
  ),
  0
)
"),8.215198863636363)</f>
        <v>8.215198864</v>
      </c>
      <c r="Y58" s="65">
        <f>IFERROR(__xludf.DUMMYFUNCTION("IFERROR(
  VLOOKUP(
    A58,
    IMPORTRANGE(
      ""1ZHMy3vVUd_0MrSduXTe1etBb1HNpAlGwQr006ljwMiM"",
      ""GSC最新!A:R""
    ),
    12,
    FALSE
  ),
  0
)
"),8.061794734013972)</f>
        <v>8.061794734</v>
      </c>
      <c r="Z58" s="65">
        <f>IFERROR(__xludf.DUMMYFUNCTION("IFERROR(
  VLOOKUP(
    A58,
    IMPORTRANGE(
      ""1ZHMy3vVUd_0MrSduXTe1etBb1HNpAlGwQr006ljwMiM"",
      ""GSC最新!A:R""
    ),
    15,
    FALSE
  ),
  0
)
"),6.5)</f>
        <v>6.5</v>
      </c>
      <c r="AA58" s="65">
        <f>IFERROR(__xludf.DUMMYFUNCTION("IFERROR(
  VLOOKUP(
    A58,
    IMPORTRANGE(
      ""1ZHMy3vVUd_0MrSduXTe1etBb1HNpAlGwQr006ljwMiM"",
      ""GSC最新!A:R""
    ),
    18,
    FALSE
  ),
  0
)
"),8.647058823529413)</f>
        <v>8.647058824</v>
      </c>
      <c r="AB58" s="65">
        <f t="shared" ref="AB58:AC58" si="284">X58-Z58</f>
        <v>1.715198864</v>
      </c>
      <c r="AC58" s="65">
        <f t="shared" si="284"/>
        <v>-0.5852640895</v>
      </c>
      <c r="AD58" s="53">
        <f>IFERROR(__xludf.DUMMYFUNCTION("IFERROR(
  VLOOKUP(
    A58,
    IMPORTRANGE(
      ""1ZHMy3vVUd_0MrSduXTe1etBb1HNpAlGwQr006ljwMiM"",
      ""GSC最新!A:F""
    ),
    6,
    FALSE
  ),
  0
)
"),46081.0)</f>
        <v>46081</v>
      </c>
      <c r="AE58" s="54">
        <f>IFERROR(__xludf.DUMMYFUNCTION("IFERROR(
  VLOOKUP(
    A58,
    IMPORTRANGE(
      ""1SCYQd7_cobOYqT0r_F0IqD4tE4rYn5y8Eup4PJTH8es"",
      ""Snapshot!A:M""
    ),
    5,
    FALSE
  ),
  ""-""
)
"),0.0)</f>
        <v>0</v>
      </c>
      <c r="AF58" s="54">
        <f>IFERROR(__xludf.DUMMYFUNCTION("IFERROR(
  VLOOKUP(
    A58,
    IMPORTRANGE(
      ""1SCYQd7_cobOYqT0r_F0IqD4tE4rYn5y8Eup4PJTH8es"",
      ""Snapshot!A:M""
    ),
    6,
    FALSE
  ),
  0
)
"),16.0)</f>
        <v>16</v>
      </c>
      <c r="AG58" s="54">
        <f>IFERROR(__xludf.DUMMYFUNCTION("IFERROR(
  VLOOKUP(
    A58,
    IMPORTRANGE(
      ""1SCYQd7_cobOYqT0r_F0IqD4tE4rYn5y8Eup4PJTH8es"",
      ""Snapshot!A:M""
    ),
    7,
    FALSE
  ),
  0
)
"),5551.0)</f>
        <v>5551</v>
      </c>
      <c r="AH58" s="54">
        <f>IFERROR(__xludf.DUMMYFUNCTION("IFERROR(
  VLOOKUP(
    A58,
    IMPORTRANGE(
      ""1SCYQd7_cobOYqT0r_F0IqD4tE4rYn5y8Eup4PJTH8es"",
      ""Snapshot!A:M""
    ),
    8,
    FALSE
  ),
  0
)
"),1.0)</f>
        <v>1</v>
      </c>
      <c r="AI58" s="54">
        <f>IFERROR(__xludf.DUMMYFUNCTION("IFERROR(
  VLOOKUP(
    A58,
    IMPORTRANGE(
      ""1SCYQd7_cobOYqT0r_F0IqD4tE4rYn5y8Eup4PJTH8es"",
      ""Snapshot!A:M""
    ),
    9,
    FALSE
  ),
  0
)
"),4.0)</f>
        <v>4</v>
      </c>
      <c r="AJ58" s="54">
        <f>IFERROR(__xludf.DUMMYFUNCTION("IFERROR(
  VLOOKUP(
    A58,
    IMPORTRANGE(
      ""1SCYQd7_cobOYqT0r_F0IqD4tE4rYn5y8Eup4PJTH8es"",
      ""Snapshot!A:M""
    ),
    13,
    FALSE
  ),
  0
)
"),1.0)</f>
        <v>1</v>
      </c>
      <c r="AK58" s="49">
        <f t="shared" ref="AK58:AL58" si="285">LEN(C58)</f>
        <v>29</v>
      </c>
      <c r="AL58" s="49">
        <f t="shared" si="285"/>
        <v>60</v>
      </c>
    </row>
    <row r="59">
      <c r="A59" s="3" t="s">
        <v>1145</v>
      </c>
      <c r="B59" s="1" t="str">
        <f>IFERROR(__xludf.DUMMYFUNCTION("IFERROR(
  VLOOKUP(
    A59,
    IMPORTRANGE(
      ""1ZygntHC1J6IxzKbTidmOyf5nUyW4GCLurHCjexrLm_o"",
      ""HTMLキャッシュ!A:F""
    ),
    2,
    FALSE
  ),
  0
)
"),"MC")</f>
        <v>MC</v>
      </c>
      <c r="C59" s="1" t="str">
        <f>IFERROR(__xludf.DUMMYFUNCTION("IFERROR(
  VLOOKUP(
    A59,
    IMPORTRANGE(
      ""1ZygntHC1J6IxzKbTidmOyf5nUyW4GCLurHCjexrLm_o"",
      ""HTMLキャッシュ!A:F""
    ),
    5,
    FALSE
  ),
  0
)
"),"指示代名詞 this/that と What で始める疑問文の基本")</f>
        <v>指示代名詞 this/that と What で始める疑問文の基本</v>
      </c>
      <c r="D59" s="1" t="str">
        <f>IFERROR(__xludf.DUMMYFUNCTION("IFERROR(
  VLOOKUP(
    A59,
    IMPORTRANGE(
      ""1ZygntHC1J6IxzKbTidmOyf5nUyW4GCLurHCjexrLm_o        "",
      ""HTMLキャッシュ!A:F""
    ),
    6,
    FALSE
  ),
  0
)
"),"代名詞とは何かをis thisとthis isの違いで整理。Whatの答え方、itへの切替、a/anの使い分けまで例文で確認。")</f>
        <v>代名詞とは何かをis thisとthis isの違いで整理。Whatの答え方、itへの切替、a/anの使い分けまで例文で確認。</v>
      </c>
      <c r="E59" s="32">
        <f>IFERROR(__xludf.DUMMYFUNCTION("IFERROR(
  VLOOKUP(
    A59,
    IMPORTRANGE(
      ""1ZygntHC1J6IxzKbTidmOyf5nUyW4GCLurHCjexrLm_o        "",
      ""HTMLキャッシュ!A:F""
    ),
    3,
    FALSE
  ),
  0
)
"),46074.57990740741)</f>
        <v>46074.57991</v>
      </c>
      <c r="F59" s="49">
        <f>IFERROR(__xludf.DUMMYFUNCTION("IFERROR(
  VLOOKUP(
    A59,
    IMPORTRANGE(
      ""1ZHMy3vVUd_0MrSduXTe1etBb1HNpAlGwQr006ljwMiM"",
      ""GSC最新!A:F""
    ),
    2,
    FALSE
  ),
  0
)
"),4.0)</f>
        <v>4</v>
      </c>
      <c r="G59" s="49">
        <f>IFERROR(__xludf.DUMMYFUNCTION("IFERROR(
  VLOOKUP(
    A59,
    IMPORTRANGE(
      ""1ZHMy3vVUd_0MrSduXTe1etBb1HNpAlGwQr006ljwMiM"",
      ""GSC最新!A:F""
    ),
    3,
    FALSE
  ),
  0
)
"),7.0)</f>
        <v>7</v>
      </c>
      <c r="H59" s="49">
        <f>IFERROR(__xludf.DUMMYFUNCTION("IFERROR(
  VLOOKUP(
    A59,
    IMPORTRANGE(
      ""1ZHMy3vVUd_0MrSduXTe1etBb1HNpAlGwQr006ljwMiM"",
      ""GSC最新!A:F""
    ),
    4,
    FALSE
  ),
  0
)
"),2.0)</f>
        <v>2</v>
      </c>
      <c r="I59" s="49">
        <f>IFERROR(__xludf.DUMMYFUNCTION("IFERROR(
  VLOOKUP(
    A59,
    IMPORTRANGE(
      ""1ZHMy3vVUd_0MrSduXTe1etBb1HNpAlGwQr006ljwMiM"",
      ""GSC最新!A:F""
    ),
    5,
    FALSE
  ),
  0
)
"),3.0)</f>
        <v>3</v>
      </c>
      <c r="J59" s="50">
        <f t="shared" ref="J59:K59" si="286">IFERROR(F59/H59,"-")</f>
        <v>2</v>
      </c>
      <c r="K59" s="50">
        <f t="shared" si="286"/>
        <v>2.333333333</v>
      </c>
      <c r="L59" s="6">
        <f>IFERROR(__xludf.DUMMYFUNCTION("IFERROR(
  VLOOKUP(
    A59,
    IMPORTRANGE(
      ""1ZHMy3vVUd_0MrSduXTe1etBb1HNpAlGwQr006ljwMiM"",
      ""GSC最新!A:R""
    ),
    7,
    FALSE
  ),
  0
)
"),1076.0)</f>
        <v>1076</v>
      </c>
      <c r="M59" s="6">
        <f>IFERROR(__xludf.DUMMYFUNCTION("IFERROR(
  VLOOKUP(
    A59,
    IMPORTRANGE(
      ""1ZHMy3vVUd_0MrSduXTe1etBb1HNpAlGwQr006ljwMiM"",
      ""GSC最新!A:R""
    ),
    10,
    FALSE
  ),
  0
)
"),1657.0)</f>
        <v>1657</v>
      </c>
      <c r="N59" s="6">
        <f>IFERROR(__xludf.DUMMYFUNCTION("IFERROR(
  VLOOKUP(
    A59,
    IMPORTRANGE(
      ""1ZHMy3vVUd_0MrSduXTe1etBb1HNpAlGwQr006ljwMiM"",
      ""GSC最新!A:R""
    ),
    13,
    FALSE
  ),
  0
)
"),102.0)</f>
        <v>102</v>
      </c>
      <c r="O59" s="6">
        <f>IFERROR(__xludf.DUMMYFUNCTION("IFERROR(
  VLOOKUP(
    A59,
    IMPORTRANGE(
      ""1ZHMy3vVUd_0MrSduXTe1etBb1HNpAlGwQr006ljwMiM"",
      ""GSC最新!A:R""
    ),
    16,
    FALSE
  ),
  0
)
"),292.0)</f>
        <v>292</v>
      </c>
      <c r="P59" s="51">
        <f t="shared" ref="P59:Q59" si="287">IFERROR(L59/N59,"-")</f>
        <v>10.54901961</v>
      </c>
      <c r="Q59" s="51">
        <f t="shared" si="287"/>
        <v>5.674657534</v>
      </c>
      <c r="R59" s="9">
        <f>IFERROR(__xludf.DUMMYFUNCTION("IFERROR(
  VLOOKUP(
    A59,
    IMPORTRANGE(
      ""1ZHMy3vVUd_0MrSduXTe1etBb1HNpAlGwQr006ljwMiM"",
      ""GSC最新!A:R""
    ),
    8,
    FALSE
  ),
  0
)
"),0.0037174721189591076)</f>
        <v>0.003717472119</v>
      </c>
      <c r="S59" s="9">
        <f>IFERROR(__xludf.DUMMYFUNCTION("IFERROR(
  VLOOKUP(
    A59,
    IMPORTRANGE(
      ""1ZHMy3vVUd_0MrSduXTe1etBb1HNpAlGwQr006ljwMiM"",
      ""GSC最新!A:R""
    ),
    11,
    FALSE
  ),
  0
)
"),0.004224502112251056)</f>
        <v>0.004224502112</v>
      </c>
      <c r="T59" s="9">
        <f>IFERROR(__xludf.DUMMYFUNCTION("IFERROR(
  VLOOKUP(
    A59,
    IMPORTRANGE(
      ""1ZHMy3vVUd_0MrSduXTe1etBb1HNpAlGwQr006ljwMiM"",
      ""GSC最新!A:R""
    ),
    14,
    FALSE
  ),
  0
)
"),0.0196078431372549)</f>
        <v>0.01960784314</v>
      </c>
      <c r="U59" s="9">
        <f>IFERROR(__xludf.DUMMYFUNCTION("IFERROR(
  VLOOKUP(
    A59,
    IMPORTRANGE(
      ""1ZHMy3vVUd_0MrSduXTe1etBb1HNpAlGwQr006ljwMiM"",
      ""GSC最新!A:R""
    ),
    17,
    FALSE
  ),
  0
)
"),0.010273972602739725)</f>
        <v>0.0102739726</v>
      </c>
      <c r="V59" s="9">
        <f t="shared" ref="V59:W59" si="288">IFERROR(R59-T59,"-")</f>
        <v>-0.01589037102</v>
      </c>
      <c r="W59" s="9">
        <f t="shared" si="288"/>
        <v>-0.00604947049</v>
      </c>
      <c r="X59" s="65">
        <f>IFERROR(__xludf.DUMMYFUNCTION("IFERROR(
  VLOOKUP(
    A59,
    IMPORTRANGE(
      ""1ZHMy3vVUd_0MrSduXTe1etBb1HNpAlGwQr006ljwMiM"",
      ""GSC最新!A:R""
    ),
    9,
    FALSE
  ),
  0
)
"),5.0799256505576205)</f>
        <v>5.079925651</v>
      </c>
      <c r="Y59" s="65">
        <f>IFERROR(__xludf.DUMMYFUNCTION("IFERROR(
  VLOOKUP(
    A59,
    IMPORTRANGE(
      ""1ZHMy3vVUd_0MrSduXTe1etBb1HNpAlGwQr006ljwMiM"",
      ""GSC最新!A:R""
    ),
    12,
    FALSE
  ),
  0
)
"),5.12190706095353)</f>
        <v>5.121907061</v>
      </c>
      <c r="Z59" s="65">
        <f>IFERROR(__xludf.DUMMYFUNCTION("IFERROR(
  VLOOKUP(
    A59,
    IMPORTRANGE(
      ""1ZHMy3vVUd_0MrSduXTe1etBb1HNpAlGwQr006ljwMiM"",
      ""GSC最新!A:R""
    ),
    15,
    FALSE
  ),
  0
)
"),11.676470588235293)</f>
        <v>11.67647059</v>
      </c>
      <c r="AA59" s="65">
        <f>IFERROR(__xludf.DUMMYFUNCTION("IFERROR(
  VLOOKUP(
    A59,
    IMPORTRANGE(
      ""1ZHMy3vVUd_0MrSduXTe1etBb1HNpAlGwQr006ljwMiM"",
      ""GSC最新!A:R""
    ),
    18,
    FALSE
  ),
  0
)
"),25.089041095890412)</f>
        <v>25.0890411</v>
      </c>
      <c r="AB59" s="65">
        <f t="shared" ref="AB59:AC59" si="289">X59-Z59</f>
        <v>-6.596544938</v>
      </c>
      <c r="AC59" s="65">
        <f t="shared" si="289"/>
        <v>-19.96713403</v>
      </c>
      <c r="AD59" s="53">
        <f>IFERROR(__xludf.DUMMYFUNCTION("IFERROR(
  VLOOKUP(
    A59,
    IMPORTRANGE(
      ""1ZHMy3vVUd_0MrSduXTe1etBb1HNpAlGwQr006ljwMiM"",
      ""GSC最新!A:F""
    ),
    6,
    FALSE
  ),
  0
)
"),46081.0)</f>
        <v>46081</v>
      </c>
      <c r="AE59" s="54">
        <f>IFERROR(__xludf.DUMMYFUNCTION("IFERROR(
  VLOOKUP(
    A59,
    IMPORTRANGE(
      ""1SCYQd7_cobOYqT0r_F0IqD4tE4rYn5y8Eup4PJTH8es"",
      ""Snapshot!A:M""
    ),
    5,
    FALSE
  ),
  ""-""
)
"),0.0)</f>
        <v>0</v>
      </c>
      <c r="AF59" s="54">
        <f>IFERROR(__xludf.DUMMYFUNCTION("IFERROR(
  VLOOKUP(
    A59,
    IMPORTRANGE(
      ""1SCYQd7_cobOYqT0r_F0IqD4tE4rYn5y8Eup4PJTH8es"",
      ""Snapshot!A:M""
    ),
    6,
    FALSE
  ),
  0
)
"),6.0)</f>
        <v>6</v>
      </c>
      <c r="AG59" s="54">
        <f>IFERROR(__xludf.DUMMYFUNCTION("IFERROR(
  VLOOKUP(
    A59,
    IMPORTRANGE(
      ""1SCYQd7_cobOYqT0r_F0IqD4tE4rYn5y8Eup4PJTH8es"",
      ""Snapshot!A:M""
    ),
    7,
    FALSE
  ),
  0
)
"),1724.0)</f>
        <v>1724</v>
      </c>
      <c r="AH59" s="54">
        <f>IFERROR(__xludf.DUMMYFUNCTION("IFERROR(
  VLOOKUP(
    A59,
    IMPORTRANGE(
      ""1SCYQd7_cobOYqT0r_F0IqD4tE4rYn5y8Eup4PJTH8es"",
      ""Snapshot!A:M""
    ),
    8,
    FALSE
  ),
  0
)
"),1.0)</f>
        <v>1</v>
      </c>
      <c r="AI59" s="54">
        <f>IFERROR(__xludf.DUMMYFUNCTION("IFERROR(
  VLOOKUP(
    A59,
    IMPORTRANGE(
      ""1SCYQd7_cobOYqT0r_F0IqD4tE4rYn5y8Eup4PJTH8es"",
      ""Snapshot!A:M""
    ),
    9,
    FALSE
  ),
  0
)
"),4.0)</f>
        <v>4</v>
      </c>
      <c r="AJ59" s="54">
        <f>IFERROR(__xludf.DUMMYFUNCTION("IFERROR(
  VLOOKUP(
    A59,
    IMPORTRANGE(
      ""1SCYQd7_cobOYqT0r_F0IqD4tE4rYn5y8Eup4PJTH8es"",
      ""Snapshot!A:M""
    ),
    13,
    FALSE
  ),
  0
)
"),1.0)</f>
        <v>1</v>
      </c>
      <c r="AK59" s="49">
        <f t="shared" ref="AK59:AL59" si="290">LEN(C59)</f>
        <v>33</v>
      </c>
      <c r="AL59" s="49">
        <f t="shared" si="290"/>
        <v>63</v>
      </c>
    </row>
    <row r="60">
      <c r="A60" s="3" t="s">
        <v>1146</v>
      </c>
      <c r="B60" s="1" t="str">
        <f>IFERROR(__xludf.DUMMYFUNCTION("IFERROR(
  VLOOKUP(
    A60,
    IMPORTRANGE(
      ""1ZygntHC1J6IxzKbTidmOyf5nUyW4GCLurHCjexrLm_o"",
      ""HTMLキャッシュ!A:F""
    ),
    2,
    FALSE
  ),
  0
)
"),"MC")</f>
        <v>MC</v>
      </c>
      <c r="C60" s="1" t="str">
        <f>IFERROR(__xludf.DUMMYFUNCTION("IFERROR(
  VLOOKUP(
    A60,
    IMPORTRANGE(
      ""1ZygntHC1J6IxzKbTidmOyf5nUyW4GCLurHCjexrLm_o"",
      ""HTMLキャッシュ!A:F""
    ),
    5,
    FALSE
  ),
  0
)
"),"PROGRESS Book1 Lesson14-3 英語表現の意味と訳し方徹底")</f>
        <v>PROGRESS Book1 Lesson14-3 英語表現の意味と訳し方徹底</v>
      </c>
      <c r="D60" s="1" t="str">
        <f>IFERROR(__xludf.DUMMYFUNCTION("IFERROR(
  VLOOKUP(
    A60,
    IMPORTRANGE(
      ""1ZygntHC1J6IxzKbTidmOyf5nUyW4GCLurHCjexrLm_o        "",
      ""HTMLキャッシュ!A:F""
    ),
    6,
    FALSE
  ),
  0
)
"),"物質名詞とは何かを中1向けに整理。hot dog・sausage・moneyを例に、なぜ数えられないかとsome／anyの基本を解説。")</f>
        <v>物質名詞とは何かを中1向けに整理。hot dog・sausage・moneyを例に、なぜ数えられないかとsome／anyの基本を解説。</v>
      </c>
      <c r="E60" s="32">
        <f>IFERROR(__xludf.DUMMYFUNCTION("IFERROR(
  VLOOKUP(
    A60,
    IMPORTRANGE(
      ""1ZygntHC1J6IxzKbTidmOyf5nUyW4GCLurHCjexrLm_o        "",
      ""HTMLキャッシュ!A:F""
    ),
    3,
    FALSE
  ),
  0
)
"),46073.585752314815)</f>
        <v>46073.58575</v>
      </c>
      <c r="F60" s="49">
        <f>IFERROR(__xludf.DUMMYFUNCTION("IFERROR(
  VLOOKUP(
    A60,
    IMPORTRANGE(
      ""1ZHMy3vVUd_0MrSduXTe1etBb1HNpAlGwQr006ljwMiM"",
      ""GSC最新!A:F""
    ),
    2,
    FALSE
  ),
  0
)
"),3.0)</f>
        <v>3</v>
      </c>
      <c r="G60" s="49">
        <f>IFERROR(__xludf.DUMMYFUNCTION("IFERROR(
  VLOOKUP(
    A60,
    IMPORTRANGE(
      ""1ZHMy3vVUd_0MrSduXTe1etBb1HNpAlGwQr006ljwMiM"",
      ""GSC最新!A:F""
    ),
    3,
    FALSE
  ),
  0
)
"),6.0)</f>
        <v>6</v>
      </c>
      <c r="H60" s="49">
        <f>IFERROR(__xludf.DUMMYFUNCTION("IFERROR(
  VLOOKUP(
    A60,
    IMPORTRANGE(
      ""1ZHMy3vVUd_0MrSduXTe1etBb1HNpAlGwQr006ljwMiM"",
      ""GSC最新!A:F""
    ),
    4,
    FALSE
  ),
  0
)
"),0.0)</f>
        <v>0</v>
      </c>
      <c r="I60" s="49">
        <f>IFERROR(__xludf.DUMMYFUNCTION("IFERROR(
  VLOOKUP(
    A60,
    IMPORTRANGE(
      ""1ZHMy3vVUd_0MrSduXTe1etBb1HNpAlGwQr006ljwMiM"",
      ""GSC最新!A:F""
    ),
    5,
    FALSE
  ),
  0
)
"),3.0)</f>
        <v>3</v>
      </c>
      <c r="J60" s="50" t="str">
        <f t="shared" ref="J60:K60" si="291">IFERROR(F60/H60,"-")</f>
        <v>-</v>
      </c>
      <c r="K60" s="50">
        <f t="shared" si="291"/>
        <v>2</v>
      </c>
      <c r="L60" s="6">
        <f>IFERROR(__xludf.DUMMYFUNCTION("IFERROR(
  VLOOKUP(
    A60,
    IMPORTRANGE(
      ""1ZHMy3vVUd_0MrSduXTe1etBb1HNpAlGwQr006ljwMiM"",
      ""GSC最新!A:R""
    ),
    7,
    FALSE
  ),
  0
)
"),426.0)</f>
        <v>426</v>
      </c>
      <c r="M60" s="6">
        <f>IFERROR(__xludf.DUMMYFUNCTION("IFERROR(
  VLOOKUP(
    A60,
    IMPORTRANGE(
      ""1ZHMy3vVUd_0MrSduXTe1etBb1HNpAlGwQr006ljwMiM"",
      ""GSC最新!A:R""
    ),
    10,
    FALSE
  ),
  0
)
"),1388.0)</f>
        <v>1388</v>
      </c>
      <c r="N60" s="6">
        <f>IFERROR(__xludf.DUMMYFUNCTION("IFERROR(
  VLOOKUP(
    A60,
    IMPORTRANGE(
      ""1ZHMy3vVUd_0MrSduXTe1etBb1HNpAlGwQr006ljwMiM"",
      ""GSC最新!A:R""
    ),
    13,
    FALSE
  ),
  0
)
"),208.0)</f>
        <v>208</v>
      </c>
      <c r="O60" s="6">
        <f>IFERROR(__xludf.DUMMYFUNCTION("IFERROR(
  VLOOKUP(
    A60,
    IMPORTRANGE(
      ""1ZHMy3vVUd_0MrSduXTe1etBb1HNpAlGwQr006ljwMiM"",
      ""GSC最新!A:R""
    ),
    16,
    FALSE
  ),
  0
)
"),580.0)</f>
        <v>580</v>
      </c>
      <c r="P60" s="51">
        <f t="shared" ref="P60:Q60" si="292">IFERROR(L60/N60,"-")</f>
        <v>2.048076923</v>
      </c>
      <c r="Q60" s="51">
        <f t="shared" si="292"/>
        <v>2.393103448</v>
      </c>
      <c r="R60" s="9">
        <f>IFERROR(__xludf.DUMMYFUNCTION("IFERROR(
  VLOOKUP(
    A60,
    IMPORTRANGE(
      ""1ZHMy3vVUd_0MrSduXTe1etBb1HNpAlGwQr006ljwMiM"",
      ""GSC最新!A:R""
    ),
    8,
    FALSE
  ),
  0
)
"),0.007042253521126761)</f>
        <v>0.007042253521</v>
      </c>
      <c r="S60" s="9">
        <f>IFERROR(__xludf.DUMMYFUNCTION("IFERROR(
  VLOOKUP(
    A60,
    IMPORTRANGE(
      ""1ZHMy3vVUd_0MrSduXTe1etBb1HNpAlGwQr006ljwMiM"",
      ""GSC最新!A:R""
    ),
    11,
    FALSE
  ),
  0
)
"),0.004322766570605188)</f>
        <v>0.004322766571</v>
      </c>
      <c r="T60" s="9">
        <f>IFERROR(__xludf.DUMMYFUNCTION("IFERROR(
  VLOOKUP(
    A60,
    IMPORTRANGE(
      ""1ZHMy3vVUd_0MrSduXTe1etBb1HNpAlGwQr006ljwMiM"",
      ""GSC最新!A:R""
    ),
    14,
    FALSE
  ),
  0
)
"),0.0)</f>
        <v>0</v>
      </c>
      <c r="U60" s="9">
        <f>IFERROR(__xludf.DUMMYFUNCTION("IFERROR(
  VLOOKUP(
    A60,
    IMPORTRANGE(
      ""1ZHMy3vVUd_0MrSduXTe1etBb1HNpAlGwQr006ljwMiM"",
      ""GSC最新!A:R""
    ),
    17,
    FALSE
  ),
  0
)
"),0.005172413793103448)</f>
        <v>0.005172413793</v>
      </c>
      <c r="V60" s="9">
        <f t="shared" ref="V60:W60" si="293">IFERROR(R60-T60,"-")</f>
        <v>0.007042253521</v>
      </c>
      <c r="W60" s="9">
        <f t="shared" si="293"/>
        <v>-0.0008496472225</v>
      </c>
      <c r="X60" s="65">
        <f>IFERROR(__xludf.DUMMYFUNCTION("IFERROR(
  VLOOKUP(
    A60,
    IMPORTRANGE(
      ""1ZHMy3vVUd_0MrSduXTe1etBb1HNpAlGwQr006ljwMiM"",
      ""GSC最新!A:R""
    ),
    9,
    FALSE
  ),
  0
)
"),6.187793427230047)</f>
        <v>6.187793427</v>
      </c>
      <c r="Y60" s="65">
        <f>IFERROR(__xludf.DUMMYFUNCTION("IFERROR(
  VLOOKUP(
    A60,
    IMPORTRANGE(
      ""1ZHMy3vVUd_0MrSduXTe1etBb1HNpAlGwQr006ljwMiM"",
      ""GSC最新!A:R""
    ),
    12,
    FALSE
  ),
  0
)
"),6.122478386167147)</f>
        <v>6.122478386</v>
      </c>
      <c r="Z60" s="65">
        <f>IFERROR(__xludf.DUMMYFUNCTION("IFERROR(
  VLOOKUP(
    A60,
    IMPORTRANGE(
      ""1ZHMy3vVUd_0MrSduXTe1etBb1HNpAlGwQr006ljwMiM"",
      ""GSC最新!A:R""
    ),
    15,
    FALSE
  ),
  0
)
"),7.514423076923077)</f>
        <v>7.514423077</v>
      </c>
      <c r="AA60" s="65">
        <f>IFERROR(__xludf.DUMMYFUNCTION("IFERROR(
  VLOOKUP(
    A60,
    IMPORTRANGE(
      ""1ZHMy3vVUd_0MrSduXTe1etBb1HNpAlGwQr006ljwMiM"",
      ""GSC最新!A:R""
    ),
    18,
    FALSE
  ),
  0
)
"),11.86896551724138)</f>
        <v>11.86896552</v>
      </c>
      <c r="AB60" s="65">
        <f t="shared" ref="AB60:AC60" si="294">X60-Z60</f>
        <v>-1.32662965</v>
      </c>
      <c r="AC60" s="65">
        <f t="shared" si="294"/>
        <v>-5.746487131</v>
      </c>
      <c r="AD60" s="53">
        <f>IFERROR(__xludf.DUMMYFUNCTION("IFERROR(
  VLOOKUP(
    A60,
    IMPORTRANGE(
      ""1ZHMy3vVUd_0MrSduXTe1etBb1HNpAlGwQr006ljwMiM"",
      ""GSC最新!A:F""
    ),
    6,
    FALSE
  ),
  0
)
"),46081.0)</f>
        <v>46081</v>
      </c>
      <c r="AE60" s="54">
        <f>IFERROR(__xludf.DUMMYFUNCTION("IFERROR(
  VLOOKUP(
    A60,
    IMPORTRANGE(
      ""1SCYQd7_cobOYqT0r_F0IqD4tE4rYn5y8Eup4PJTH8es"",
      ""Snapshot!A:M""
    ),
    5,
    FALSE
  ),
  ""-""
)
"),3.0)</f>
        <v>3</v>
      </c>
      <c r="AF60" s="54">
        <f>IFERROR(__xludf.DUMMYFUNCTION("IFERROR(
  VLOOKUP(
    A60,
    IMPORTRANGE(
      ""1SCYQd7_cobOYqT0r_F0IqD4tE4rYn5y8Eup4PJTH8es"",
      ""Snapshot!A:M""
    ),
    6,
    FALSE
  ),
  0
)
"),5.0)</f>
        <v>5</v>
      </c>
      <c r="AG60" s="54">
        <f>IFERROR(__xludf.DUMMYFUNCTION("IFERROR(
  VLOOKUP(
    A60,
    IMPORTRANGE(
      ""1SCYQd7_cobOYqT0r_F0IqD4tE4rYn5y8Eup4PJTH8es"",
      ""Snapshot!A:M""
    ),
    7,
    FALSE
  ),
  0
)
"),963.0)</f>
        <v>963</v>
      </c>
      <c r="AH60" s="54">
        <f>IFERROR(__xludf.DUMMYFUNCTION("IFERROR(
  VLOOKUP(
    A60,
    IMPORTRANGE(
      ""1SCYQd7_cobOYqT0r_F0IqD4tE4rYn5y8Eup4PJTH8es"",
      ""Snapshot!A:M""
    ),
    8,
    FALSE
  ),
  0
)
"),0.0)</f>
        <v>0</v>
      </c>
      <c r="AI60" s="54">
        <f>IFERROR(__xludf.DUMMYFUNCTION("IFERROR(
  VLOOKUP(
    A60,
    IMPORTRANGE(
      ""1SCYQd7_cobOYqT0r_F0IqD4tE4rYn5y8Eup4PJTH8es"",
      ""Snapshot!A:M""
    ),
    9,
    FALSE
  ),
  0
)
"),1.0)</f>
        <v>1</v>
      </c>
      <c r="AJ60" s="54">
        <f>IFERROR(__xludf.DUMMYFUNCTION("IFERROR(
  VLOOKUP(
    A60,
    IMPORTRANGE(
      ""1SCYQd7_cobOYqT0r_F0IqD4tE4rYn5y8Eup4PJTH8es"",
      ""Snapshot!A:M""
    ),
    13,
    FALSE
  ),
  0
)
"),1.0)</f>
        <v>1</v>
      </c>
      <c r="AK60" s="49">
        <f t="shared" ref="AK60:AL60" si="295">LEN(C60)</f>
        <v>39</v>
      </c>
      <c r="AL60" s="49">
        <f t="shared" si="295"/>
        <v>67</v>
      </c>
    </row>
    <row r="61">
      <c r="A61" s="3" t="s">
        <v>1147</v>
      </c>
      <c r="B61" s="1" t="str">
        <f>IFERROR(__xludf.DUMMYFUNCTION("IFERROR(
  VLOOKUP(
    A61,
    IMPORTRANGE(
      ""1ZygntHC1J6IxzKbTidmOyf5nUyW4GCLurHCjexrLm_o"",
      ""HTMLキャッシュ!A:F""
    ),
    2,
    FALSE
  ),
  0
)
"),"ST")</f>
        <v>ST</v>
      </c>
      <c r="C61" s="1" t="str">
        <f>IFERROR(__xludf.DUMMYFUNCTION("IFERROR(
  VLOOKUP(
    A61,
    IMPORTRANGE(
      ""1ZygntHC1J6IxzKbTidmOyf5nUyW4GCLurHCjexrLm_o"",
      ""HTMLキャッシュ!A:F""
    ),
    5,
    FALSE
  ),
  0
)
"),"中高一貫生の英語専門塾 Eng-Support代表あいさつ──「つまずき」を放置しない個別サポート")</f>
        <v>中高一貫生の英語専門塾 Eng-Support代表あいさつ──「つまずき」を放置しない個別サポート</v>
      </c>
      <c r="D61" s="1" t="str">
        <f>IFERROR(__xludf.DUMMYFUNCTION("IFERROR(
  VLOOKUP(
    A61,
    IMPORTRANGE(
      ""1ZygntHC1J6IxzKbTidmOyf5nUyW4GCLurHCjexrLm_o        "",
      ""HTMLキャッシュ!A:F""
    ),
    6,
    FALSE
  ),
  0
)
"),"中高一貫校のハイペース授業で英語につまずく前に、どんな方針でサポートする塾なのかを代表が率直に紹介。なぜ少人数・個別にこだわるのか、どんな生徒に来てほしいかを分かりやすくお伝えします。")</f>
        <v>中高一貫校のハイペース授業で英語につまずく前に、どんな方針でサポートする塾なのかを代表が率直に紹介。なぜ少人数・個別にこだわるのか、どんな生徒に来てほしいかを分かりやすくお伝えします。</v>
      </c>
      <c r="E61" s="32">
        <f>IFERROR(__xludf.DUMMYFUNCTION("IFERROR(
  VLOOKUP(
    A61,
    IMPORTRANGE(
      ""1ZygntHC1J6IxzKbTidmOyf5nUyW4GCLurHCjexrLm_o        "",
      ""HTMLキャッシュ!A:F""
    ),
    3,
    FALSE
  ),
  0
)
"),46020.71105324074)</f>
        <v>46020.71105</v>
      </c>
      <c r="F61" s="49">
        <f>IFERROR(__xludf.DUMMYFUNCTION("IFERROR(
  VLOOKUP(
    A61,
    IMPORTRANGE(
      ""1ZHMy3vVUd_0MrSduXTe1etBb1HNpAlGwQr006ljwMiM"",
      ""GSC最新!A:F""
    ),
    2,
    FALSE
  ),
  0
)
"),2.0)</f>
        <v>2</v>
      </c>
      <c r="G61" s="49">
        <f>IFERROR(__xludf.DUMMYFUNCTION("IFERROR(
  VLOOKUP(
    A61,
    IMPORTRANGE(
      ""1ZHMy3vVUd_0MrSduXTe1etBb1HNpAlGwQr006ljwMiM"",
      ""GSC最新!A:F""
    ),
    3,
    FALSE
  ),
  0
)
"),7.0)</f>
        <v>7</v>
      </c>
      <c r="H61" s="49">
        <f>IFERROR(__xludf.DUMMYFUNCTION("IFERROR(
  VLOOKUP(
    A61,
    IMPORTRANGE(
      ""1ZHMy3vVUd_0MrSduXTe1etBb1HNpAlGwQr006ljwMiM"",
      ""GSC最新!A:F""
    ),
    4,
    FALSE
  ),
  0
)
"),4.0)</f>
        <v>4</v>
      </c>
      <c r="I61" s="49">
        <f>IFERROR(__xludf.DUMMYFUNCTION("IFERROR(
  VLOOKUP(
    A61,
    IMPORTRANGE(
      ""1ZHMy3vVUd_0MrSduXTe1etBb1HNpAlGwQr006ljwMiM"",
      ""GSC最新!A:F""
    ),
    5,
    FALSE
  ),
  0
)
"),8.0)</f>
        <v>8</v>
      </c>
      <c r="J61" s="50">
        <f t="shared" ref="J61:K61" si="296">IFERROR(F61/H61,"-")</f>
        <v>0.5</v>
      </c>
      <c r="K61" s="50">
        <f t="shared" si="296"/>
        <v>0.875</v>
      </c>
      <c r="L61" s="6">
        <f>IFERROR(__xludf.DUMMYFUNCTION("IFERROR(
  VLOOKUP(
    A61,
    IMPORTRANGE(
      ""1ZHMy3vVUd_0MrSduXTe1etBb1HNpAlGwQr006ljwMiM"",
      ""GSC最新!A:R""
    ),
    7,
    FALSE
  ),
  0
)
"),23.0)</f>
        <v>23</v>
      </c>
      <c r="M61" s="6">
        <f>IFERROR(__xludf.DUMMYFUNCTION("IFERROR(
  VLOOKUP(
    A61,
    IMPORTRANGE(
      ""1ZHMy3vVUd_0MrSduXTe1etBb1HNpAlGwQr006ljwMiM"",
      ""GSC最新!A:R""
    ),
    10,
    FALSE
  ),
  0
)
"),54.0)</f>
        <v>54</v>
      </c>
      <c r="N61" s="6">
        <f>IFERROR(__xludf.DUMMYFUNCTION("IFERROR(
  VLOOKUP(
    A61,
    IMPORTRANGE(
      ""1ZHMy3vVUd_0MrSduXTe1etBb1HNpAlGwQr006ljwMiM"",
      ""GSC最新!A:R""
    ),
    13,
    FALSE
  ),
  0
)
"),35.0)</f>
        <v>35</v>
      </c>
      <c r="O61" s="6">
        <f>IFERROR(__xludf.DUMMYFUNCTION("IFERROR(
  VLOOKUP(
    A61,
    IMPORTRANGE(
      ""1ZHMy3vVUd_0MrSduXTe1etBb1HNpAlGwQr006ljwMiM"",
      ""GSC最新!A:R""
    ),
    16,
    FALSE
  ),
  0
)
"),140.0)</f>
        <v>140</v>
      </c>
      <c r="P61" s="51">
        <f t="shared" ref="P61:Q61" si="297">IFERROR(L61/N61,"-")</f>
        <v>0.6571428571</v>
      </c>
      <c r="Q61" s="51">
        <f t="shared" si="297"/>
        <v>0.3857142857</v>
      </c>
      <c r="R61" s="9">
        <f>IFERROR(__xludf.DUMMYFUNCTION("IFERROR(
  VLOOKUP(
    A61,
    IMPORTRANGE(
      ""1ZHMy3vVUd_0MrSduXTe1etBb1HNpAlGwQr006ljwMiM"",
      ""GSC最新!A:R""
    ),
    8,
    FALSE
  ),
  0
)
"),0.08695652173913043)</f>
        <v>0.08695652174</v>
      </c>
      <c r="S61" s="9">
        <f>IFERROR(__xludf.DUMMYFUNCTION("IFERROR(
  VLOOKUP(
    A61,
    IMPORTRANGE(
      ""1ZHMy3vVUd_0MrSduXTe1etBb1HNpAlGwQr006ljwMiM"",
      ""GSC最新!A:R""
    ),
    11,
    FALSE
  ),
  0
)
"),0.12962962962962962)</f>
        <v>0.1296296296</v>
      </c>
      <c r="T61" s="9">
        <f>IFERROR(__xludf.DUMMYFUNCTION("IFERROR(
  VLOOKUP(
    A61,
    IMPORTRANGE(
      ""1ZHMy3vVUd_0MrSduXTe1etBb1HNpAlGwQr006ljwMiM"",
      ""GSC最新!A:R""
    ),
    14,
    FALSE
  ),
  0
)
"),0.11428571428571428)</f>
        <v>0.1142857143</v>
      </c>
      <c r="U61" s="9">
        <f>IFERROR(__xludf.DUMMYFUNCTION("IFERROR(
  VLOOKUP(
    A61,
    IMPORTRANGE(
      ""1ZHMy3vVUd_0MrSduXTe1etBb1HNpAlGwQr006ljwMiM"",
      ""GSC最新!A:R""
    ),
    17,
    FALSE
  ),
  0
)
"),0.05714285714285714)</f>
        <v>0.05714285714</v>
      </c>
      <c r="V61" s="9">
        <f t="shared" ref="V61:W61" si="298">IFERROR(R61-T61,"-")</f>
        <v>-0.02732919255</v>
      </c>
      <c r="W61" s="9">
        <f t="shared" si="298"/>
        <v>0.07248677249</v>
      </c>
      <c r="X61" s="65">
        <f>IFERROR(__xludf.DUMMYFUNCTION("IFERROR(
  VLOOKUP(
    A61,
    IMPORTRANGE(
      ""1ZHMy3vVUd_0MrSduXTe1etBb1HNpAlGwQr006ljwMiM"",
      ""GSC最新!A:R""
    ),
    9,
    FALSE
  ),
  0
)
"),4.608695652173913)</f>
        <v>4.608695652</v>
      </c>
      <c r="Y61" s="65">
        <f>IFERROR(__xludf.DUMMYFUNCTION("IFERROR(
  VLOOKUP(
    A61,
    IMPORTRANGE(
      ""1ZHMy3vVUd_0MrSduXTe1etBb1HNpAlGwQr006ljwMiM"",
      ""GSC最新!A:R""
    ),
    12,
    FALSE
  ),
  0
)
"),5.7592592592592595)</f>
        <v>5.759259259</v>
      </c>
      <c r="Z61" s="65">
        <f>IFERROR(__xludf.DUMMYFUNCTION("IFERROR(
  VLOOKUP(
    A61,
    IMPORTRANGE(
      ""1ZHMy3vVUd_0MrSduXTe1etBb1HNpAlGwQr006ljwMiM"",
      ""GSC最新!A:R""
    ),
    15,
    FALSE
  ),
  0
)
"),16.74285714285714)</f>
        <v>16.74285714</v>
      </c>
      <c r="AA61" s="65">
        <f>IFERROR(__xludf.DUMMYFUNCTION("IFERROR(
  VLOOKUP(
    A61,
    IMPORTRANGE(
      ""1ZHMy3vVUd_0MrSduXTe1etBb1HNpAlGwQr006ljwMiM"",
      ""GSC最新!A:R""
    ),
    18,
    FALSE
  ),
  0
)
"),42.55714285714286)</f>
        <v>42.55714286</v>
      </c>
      <c r="AB61" s="65">
        <f t="shared" ref="AB61:AC61" si="299">X61-Z61</f>
        <v>-12.13416149</v>
      </c>
      <c r="AC61" s="65">
        <f t="shared" si="299"/>
        <v>-36.7978836</v>
      </c>
      <c r="AD61" s="53">
        <f>IFERROR(__xludf.DUMMYFUNCTION("IFERROR(
  VLOOKUP(
    A61,
    IMPORTRANGE(
      ""1ZHMy3vVUd_0MrSduXTe1etBb1HNpAlGwQr006ljwMiM"",
      ""GSC最新!A:F""
    ),
    6,
    FALSE
  ),
  0
)
"),46081.0)</f>
        <v>46081</v>
      </c>
      <c r="AE61" s="54">
        <f>IFERROR(__xludf.DUMMYFUNCTION("IFERROR(
  VLOOKUP(
    A61,
    IMPORTRANGE(
      ""1SCYQd7_cobOYqT0r_F0IqD4tE4rYn5y8Eup4PJTH8es"",
      ""Snapshot!A:M""
    ),
    5,
    FALSE
  ),
  ""-""
)
"),2.0)</f>
        <v>2</v>
      </c>
      <c r="AF61" s="54">
        <f>IFERROR(__xludf.DUMMYFUNCTION("IFERROR(
  VLOOKUP(
    A61,
    IMPORTRANGE(
      ""1SCYQd7_cobOYqT0r_F0IqD4tE4rYn5y8Eup4PJTH8es"",
      ""Snapshot!A:M""
    ),
    6,
    FALSE
  ),
  0
)
"),1.0)</f>
        <v>1</v>
      </c>
      <c r="AG61" s="54">
        <f>IFERROR(__xludf.DUMMYFUNCTION("IFERROR(
  VLOOKUP(
    A61,
    IMPORTRANGE(
      ""1SCYQd7_cobOYqT0r_F0IqD4tE4rYn5y8Eup4PJTH8es"",
      ""Snapshot!A:M""
    ),
    7,
    FALSE
  ),
  0
)
"),2617.0)</f>
        <v>2617</v>
      </c>
      <c r="AH61" s="54">
        <f>IFERROR(__xludf.DUMMYFUNCTION("IFERROR(
  VLOOKUP(
    A61,
    IMPORTRANGE(
      ""1SCYQd7_cobOYqT0r_F0IqD4tE4rYn5y8Eup4PJTH8es"",
      ""Snapshot!A:M""
    ),
    8,
    FALSE
  ),
  0
)
"),0.0)</f>
        <v>0</v>
      </c>
      <c r="AI61" s="54">
        <f>IFERROR(__xludf.DUMMYFUNCTION("IFERROR(
  VLOOKUP(
    A61,
    IMPORTRANGE(
      ""1SCYQd7_cobOYqT0r_F0IqD4tE4rYn5y8Eup4PJTH8es"",
      ""Snapshot!A:M""
    ),
    9,
    FALSE
  ),
  0
)
"),1.0)</f>
        <v>1</v>
      </c>
      <c r="AJ61" s="54">
        <f>IFERROR(__xludf.DUMMYFUNCTION("IFERROR(
  VLOOKUP(
    A61,
    IMPORTRANGE(
      ""1SCYQd7_cobOYqT0r_F0IqD4tE4rYn5y8Eup4PJTH8es"",
      ""Snapshot!A:M""
    ),
    13,
    FALSE
  ),
  0
)
"),1.0)</f>
        <v>1</v>
      </c>
      <c r="AK61" s="49">
        <f t="shared" ref="AK61:AL61" si="300">LEN(C61)</f>
        <v>49</v>
      </c>
      <c r="AL61" s="49">
        <f t="shared" si="300"/>
        <v>92</v>
      </c>
    </row>
    <row r="62">
      <c r="A62" s="3" t="s">
        <v>1148</v>
      </c>
      <c r="B62" s="1" t="str">
        <f>IFERROR(__xludf.DUMMYFUNCTION("IFERROR(
  VLOOKUP(
    A62,
    IMPORTRANGE(
      ""1ZygntHC1J6IxzKbTidmOyf5nUyW4GCLurHCjexrLm_o"",
      ""HTMLキャッシュ!A:F""
    ),
    2,
    FALSE
  ),
  0
)
"),"MC")</f>
        <v>MC</v>
      </c>
      <c r="C62" s="1" t="str">
        <f>IFERROR(__xludf.DUMMYFUNCTION("IFERROR(
  VLOOKUP(
    A62,
    IMPORTRANGE(
      ""1ZygntHC1J6IxzKbTidmOyf5nUyW4GCLurHCjexrLm_o"",
      ""HTMLキャッシュ!A:F""
    ),
    5,
    FALSE
  ),
  0
)
"),"比較級・最上級の基本｜英文での使い方と正確な訳し方")</f>
        <v>比較級・最上級の基本｜英文での使い方と正確な訳し方</v>
      </c>
      <c r="D62" s="1" t="str">
        <f>IFERROR(__xludf.DUMMYFUNCTION("IFERROR(
  VLOOKUP(
    A62,
    IMPORTRANGE(
      ""1ZygntHC1J6IxzKbTidmOyf5nUyW4GCLurHCjexrLm_o        "",
      ""HTMLキャッシュ!A:F""
    ),
    6,
    FALSE
  ),
  0
)
"),"how oftenは「どのくらいの頻度で」。once/twice/three times＋a day/week/yearの答え方を例文で整理。")</f>
        <v>how oftenは「どのくらいの頻度で」。once/twice/three times＋a day/week/yearの答え方を例文で整理。</v>
      </c>
      <c r="E62" s="32">
        <f>IFERROR(__xludf.DUMMYFUNCTION("IFERROR(
  VLOOKUP(
    A62,
    IMPORTRANGE(
      ""1ZygntHC1J6IxzKbTidmOyf5nUyW4GCLurHCjexrLm_o        "",
      ""HTMLキャッシュ!A:F""
    ),
    3,
    FALSE
  ),
  0
)
"),46073.8496875)</f>
        <v>46073.84969</v>
      </c>
      <c r="F62" s="49">
        <f>IFERROR(__xludf.DUMMYFUNCTION("IFERROR(
  VLOOKUP(
    A62,
    IMPORTRANGE(
      ""1ZHMy3vVUd_0MrSduXTe1etBb1HNpAlGwQr006ljwMiM"",
      ""GSC最新!A:F""
    ),
    2,
    FALSE
  ),
  0
)
"),4.0)</f>
        <v>4</v>
      </c>
      <c r="G62" s="49">
        <f>IFERROR(__xludf.DUMMYFUNCTION("IFERROR(
  VLOOKUP(
    A62,
    IMPORTRANGE(
      ""1ZHMy3vVUd_0MrSduXTe1etBb1HNpAlGwQr006ljwMiM"",
      ""GSC最新!A:F""
    ),
    3,
    FALSE
  ),
  0
)
"),6.0)</f>
        <v>6</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"),1.0)</f>
        <v>1</v>
      </c>
      <c r="J62" s="50" t="str">
        <f t="shared" ref="J62:K62" si="301">IFERROR(F62/H62,"-")</f>
        <v>-</v>
      </c>
      <c r="K62" s="50">
        <f t="shared" si="301"/>
        <v>6</v>
      </c>
      <c r="L62" s="6">
        <f>IFERROR(__xludf.DUMMYFUNCTION("IFERROR(
  VLOOKUP(
    A62,
    IMPORTRANGE(
      ""1ZHMy3vVUd_0MrSduXTe1etBb1HNpAlGwQr006ljwMiM"",
      ""GSC最新!A:R""
    ),
    7,
    FALSE
  ),
  0
)
"),3746.0)</f>
        <v>3746</v>
      </c>
      <c r="M62" s="6">
        <f>IFERROR(__xludf.DUMMYFUNCTION("IFERROR(
  VLOOKUP(
    A62,
    IMPORTRANGE(
      ""1ZHMy3vVUd_0MrSduXTe1etBb1HNpAlGwQr006ljwMiM"",
      ""GSC最新!A:R""
    ),
    10,
    FALSE
  ),
  0
)
"),8961.0)</f>
        <v>8961</v>
      </c>
      <c r="N62" s="6">
        <f>IFERROR(__xludf.DUMMYFUNCTION("IFERROR(
  VLOOKUP(
    A62,
    IMPORTRANGE(
      ""1ZHMy3vVUd_0MrSduXTe1etBb1HNpAlGwQr006ljwMiM"",
      ""GSC最新!A:R""
    ),
    13,
    FALSE
  ),
  0
)
"),93.0)</f>
        <v>93</v>
      </c>
      <c r="O62" s="6">
        <f>IFERROR(__xludf.DUMMYFUNCTION("IFERROR(
  VLOOKUP(
    A62,
    IMPORTRANGE(
      ""1ZHMy3vVUd_0MrSduXTe1etBb1HNpAlGwQr006ljwMiM"",
      ""GSC最新!A:R""
    ),
    16,
    FALSE
  ),
  0
)
"),335.0)</f>
        <v>335</v>
      </c>
      <c r="P62" s="51">
        <f t="shared" ref="P62:Q62" si="302">IFERROR(L62/N62,"-")</f>
        <v>40.27956989</v>
      </c>
      <c r="Q62" s="51">
        <f t="shared" si="302"/>
        <v>26.74925373</v>
      </c>
      <c r="R62" s="9">
        <f>IFERROR(__xludf.DUMMYFUNCTION("IFERROR(
  VLOOKUP(
    A62,
    IMPORTRANGE(
      ""1ZHMy3vVUd_0MrSduXTe1etBb1HNpAlGwQr006ljwMiM"",
      ""GSC最新!A:R""
    ),
    8,
    FALSE
  ),
  0
)
"),0.0010678056593699946)</f>
        <v>0.001067805659</v>
      </c>
      <c r="S62" s="9">
        <f>IFERROR(__xludf.DUMMYFUNCTION("IFERROR(
  VLOOKUP(
    A62,
    IMPORTRANGE(
      ""1ZHMy3vVUd_0MrSduXTe1etBb1HNpAlGwQr006ljwMiM"",
      ""GSC最新!A:R""
    ),
    11,
    FALSE
  ),
  0
)
"),6.695681285570807E-4)</f>
        <v>0.0006695681286</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"),0.0029850746268656717)</f>
        <v>0.002985074627</v>
      </c>
      <c r="V62" s="9">
        <f t="shared" ref="V62:W62" si="303">IFERROR(R62-T62,"-")</f>
        <v>0.001067805659</v>
      </c>
      <c r="W62" s="9">
        <f t="shared" si="303"/>
        <v>-0.002315506498</v>
      </c>
      <c r="X62" s="65">
        <f>IFERROR(__xludf.DUMMYFUNCTION("IFERROR(
  VLOOKUP(
    A62,
    IMPORTRANGE(
      ""1ZHMy3vVUd_0MrSduXTe1etBb1HNpAlGwQr006ljwMiM"",
      ""GSC最新!A:R""
    ),
    9,
    FALSE
  ),
  0
)
"),4.55445808862787)</f>
        <v>4.554458089</v>
      </c>
      <c r="Y62" s="65">
        <f>IFERROR(__xludf.DUMMYFUNCTION("IFERROR(
  VLOOKUP(
    A62,
    IMPORTRANGE(
      ""1ZHMy3vVUd_0MrSduXTe1etBb1HNpAlGwQr006ljwMiM"",
      ""GSC最新!A:R""
    ),
    12,
    FALSE
  ),
  0
)
"),5.0344827586206895)</f>
        <v>5.034482759</v>
      </c>
      <c r="Z62" s="65">
        <f>IFERROR(__xludf.DUMMYFUNCTION("IFERROR(
  VLOOKUP(
    A62,
    IMPORTRANGE(
      ""1ZHMy3vVUd_0MrSduXTe1etBb1HNpAlGwQr006ljwMiM"",
      ""GSC最新!A:R""
    ),
    15,
    FALSE
  ),
  0
)
"),16.41935483870968)</f>
        <v>16.41935484</v>
      </c>
      <c r="AA62" s="65">
        <f>IFERROR(__xludf.DUMMYFUNCTION("IFERROR(
  VLOOKUP(
    A62,
    IMPORTRANGE(
      ""1ZHMy3vVUd_0MrSduXTe1etBb1HNpAlGwQr006ljwMiM"",
      ""GSC最新!A:R""
    ),
    18,
    FALSE
  ),
  0
)
"),20.143283582089552)</f>
        <v>20.14328358</v>
      </c>
      <c r="AB62" s="65">
        <f t="shared" ref="AB62:AC62" si="304">X62-Z62</f>
        <v>-11.86489675</v>
      </c>
      <c r="AC62" s="65">
        <f t="shared" si="304"/>
        <v>-15.10880082</v>
      </c>
      <c r="AD62" s="53">
        <f>IFERROR(__xludf.DUMMYFUNCTION("IFERROR(
  VLOOKUP(
    A62,
    IMPORTRANGE(
      ""1ZHMy3vVUd_0MrSduXTe1etBb1HNpAlGwQr006ljwMiM"",
      ""GSC最新!A:F""
    ),
    6,
    FALSE
  ),
  0
)
"),46081.0)</f>
        <v>46081</v>
      </c>
      <c r="AE62" s="54">
        <f>IFERROR(__xludf.DUMMYFUNCTION("IFERROR(
  VLOOKUP(
    A62,
    IMPORTRANGE(
      ""1SCYQd7_cobOYqT0r_F0IqD4tE4rYn5y8Eup4PJTH8es"",
      ""Snapshot!A:M""
    ),
    5,
    FALSE
  ),
  ""-""
)
"),1.0)</f>
        <v>1</v>
      </c>
      <c r="AF62" s="54">
        <f>IFERROR(__xludf.DUMMYFUNCTION("IFERROR(
  VLOOKUP(
    A62,
    IMPORTRANGE(
      ""1SCYQd7_cobOYqT0r_F0IqD4tE4rYn5y8Eup4PJTH8es"",
      ""Snapshot!A:M""
    ),
    6,
    FALSE
  ),
  0
)
"),2.0)</f>
        <v>2</v>
      </c>
      <c r="AG62" s="54">
        <f>IFERROR(__xludf.DUMMYFUNCTION("IFERROR(
  VLOOKUP(
    A62,
    IMPORTRANGE(
      ""1SCYQd7_cobOYqT0r_F0IqD4tE4rYn5y8Eup4PJTH8es"",
      ""Snapshot!A:M""
    ),
    7,
    FALSE
  ),
  0
)
"),1888.0)</f>
        <v>1888</v>
      </c>
      <c r="AH62" s="54">
        <f>IFERROR(__xludf.DUMMYFUNCTION("IFERROR(
  VLOOKUP(
    A62,
    IMPORTRANGE(
      ""1SCYQd7_cobOYqT0r_F0IqD4tE4rYn5y8Eup4PJTH8es"",
      ""Snapshot!A:M""
    ),
    8,
    FALSE
  ),
  0
)
"),1.0)</f>
        <v>1</v>
      </c>
      <c r="AI62" s="54">
        <f>IFERROR(__xludf.DUMMYFUNCTION("IFERROR(
  VLOOKUP(
    A62,
    IMPORTRANGE(
      ""1SCYQd7_cobOYqT0r_F0IqD4tE4rYn5y8Eup4PJTH8es"",
      ""Snapshot!A:M""
    ),
    9,
    FALSE
  ),
  0
)
"),4.0)</f>
        <v>4</v>
      </c>
      <c r="AJ62" s="54">
        <f>IFERROR(__xludf.DUMMYFUNCTION("IFERROR(
  VLOOKUP(
    A62,
    IMPORTRANGE(
      ""1SCYQd7_cobOYqT0r_F0IqD4tE4rYn5y8Eup4PJTH8es"",
      ""Snapshot!A:M""
    ),
    13,
    FALSE
  ),
  0
)
"),1.0)</f>
        <v>1</v>
      </c>
      <c r="AK62" s="49">
        <f t="shared" ref="AK62:AL62" si="305">LEN(C62)</f>
        <v>25</v>
      </c>
      <c r="AL62" s="49">
        <f t="shared" si="305"/>
        <v>71</v>
      </c>
    </row>
    <row r="63">
      <c r="A63" s="3" t="s">
        <v>1149</v>
      </c>
      <c r="B63" s="1" t="str">
        <f>IFERROR(__xludf.DUMMYFUNCTION("IFERROR(
  VLOOKUP(
    A63,
    IMPORTRANGE(
      ""1ZygntHC1J6IxzKbTidmOyf5nUyW4GCLurHCjexrLm_o"",
      ""HTMLキャッシュ!A:F""
    ),
    2,
    FALSE
  ),
  0
)
"),"MC")</f>
        <v>MC</v>
      </c>
      <c r="C63" s="1" t="str">
        <f>IFERROR(__xludf.DUMMYFUNCTION("IFERROR(
  VLOOKUP(
    A63,
    IMPORTRANGE(
      ""1ZygntHC1J6IxzKbTidmOyf5nUyW4GCLurHCjexrLm_o"",
      ""HTMLキャッシュ!A:F""
    ),
    5,
    FALSE
  ),
  0
)
"),"should notの意味｜否定文の形と語順（中1）")</f>
        <v>should notの意味｜否定文の形と語順（中1）</v>
      </c>
      <c r="D63" s="1" t="str">
        <f>IFERROR(__xludf.DUMMYFUNCTION("IFERROR(
  VLOOKUP(
    A63,
    IMPORTRANGE(
      ""1ZygntHC1J6IxzKbTidmOyf5nUyW4GCLurHCjexrLm_o        "",
      ""HTMLキャッシュ!A:F""
    ),
    6,
    FALSE
  ),
  0
)
"),"should notは「〜すべきでない」。形はshould not＋動詞原形。短縮shouldn’tと語順ミスを例文で確認。")</f>
        <v>should notは「〜すべきでない」。形はshould not＋動詞原形。短縮shouldn’tと語順ミスを例文で確認。</v>
      </c>
      <c r="E63" s="32">
        <f>IFERROR(__xludf.DUMMYFUNCTION("IFERROR(
  VLOOKUP(
    A63,
    IMPORTRANGE(
      ""1ZygntHC1J6IxzKbTidmOyf5nUyW4GCLurHCjexrLm_o        "",
      ""HTMLキャッシュ!A:F""
    ),
    3,
    FALSE
  ),
  0
)
"),46055.76127314815)</f>
        <v>46055.76127</v>
      </c>
      <c r="F63" s="49">
        <f>IFERROR(__xludf.DUMMYFUNCTION("IFERROR(
  VLOOKUP(
    A63,
    IMPORTRANGE(
      ""1ZHMy3vVUd_0MrSduXTe1etBb1HNpAlGwQr006ljwMiM"",
      ""GSC最新!A:F""
    ),
    2,
    FALSE
  ),
  0
)
"),5.0)</f>
        <v>5</v>
      </c>
      <c r="G63" s="49">
        <f>IFERROR(__xludf.DUMMYFUNCTION("IFERROR(
  VLOOKUP(
    A63,
    IMPORTRANGE(
      ""1ZHMy3vVUd_0MrSduXTe1etBb1HNpAlGwQr006ljwMiM"",
      ""GSC最新!A:F""
    ),
    3,
    FALSE
  ),
  0
)
"),5.0)</f>
        <v>5</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"),1.0)</f>
        <v>1</v>
      </c>
      <c r="J63" s="50" t="str">
        <f t="shared" ref="J63:K63" si="306">IFERROR(F63/H63,"-")</f>
        <v>-</v>
      </c>
      <c r="K63" s="50">
        <f t="shared" si="306"/>
        <v>5</v>
      </c>
      <c r="L63" s="6">
        <f>IFERROR(__xludf.DUMMYFUNCTION("IFERROR(
  VLOOKUP(
    A63,
    IMPORTRANGE(
      ""1ZHMy3vVUd_0MrSduXTe1etBb1HNpAlGwQr006ljwMiM"",
      ""GSC最新!A:R""
    ),
    7,
    FALSE
  ),
  0
)
"),2543.0)</f>
        <v>2543</v>
      </c>
      <c r="M63" s="6">
        <f>IFERROR(__xludf.DUMMYFUNCTION("IFERROR(
  VLOOKUP(
    A63,
    IMPORTRANGE(
      ""1ZHMy3vVUd_0MrSduXTe1etBb1HNpAlGwQr006ljwMiM"",
      ""GSC最新!A:R""
    ),
    10,
    FALSE
  ),
  0
)
"),5024.0)</f>
        <v>5024</v>
      </c>
      <c r="N63" s="6">
        <f>IFERROR(__xludf.DUMMYFUNCTION("IFERROR(
  VLOOKUP(
    A63,
    IMPORTRANGE(
      ""1ZHMy3vVUd_0MrSduXTe1etBb1HNpAlGwQr006ljwMiM"",
      ""GSC最新!A:R""
    ),
    13,
    FALSE
  ),
  0
)
"),97.0)</f>
        <v>97</v>
      </c>
      <c r="O63" s="6">
        <f>IFERROR(__xludf.DUMMYFUNCTION("IFERROR(
  VLOOKUP(
    A63,
    IMPORTRANGE(
      ""1ZHMy3vVUd_0MrSduXTe1etBb1HNpAlGwQr006ljwMiM"",
      ""GSC最新!A:R""
    ),
    16,
    FALSE
  ),
  0
)
"),378.0)</f>
        <v>378</v>
      </c>
      <c r="P63" s="51">
        <f t="shared" ref="P63:Q63" si="307">IFERROR(L63/N63,"-")</f>
        <v>26.21649485</v>
      </c>
      <c r="Q63" s="51">
        <f t="shared" si="307"/>
        <v>13.29100529</v>
      </c>
      <c r="R63" s="9">
        <f>IFERROR(__xludf.DUMMYFUNCTION("IFERROR(
  VLOOKUP(
    A63,
    IMPORTRANGE(
      ""1ZHMy3vVUd_0MrSduXTe1etBb1HNpAlGwQr006ljwMiM"",
      ""GSC最新!A:R""
    ),
    8,
    FALSE
  ),
  0
)
"),0.001966181675186787)</f>
        <v>0.001966181675</v>
      </c>
      <c r="S63" s="9">
        <f>IFERROR(__xludf.DUMMYFUNCTION("IFERROR(
  VLOOKUP(
    A63,
    IMPORTRANGE(
      ""1ZHMy3vVUd_0MrSduXTe1etBb1HNpAlGwQr006ljwMiM"",
      ""GSC最新!A:R""
    ),
    11,
    FALSE
  ),
  0
)
"),9.952229299363057E-4)</f>
        <v>0.0009952229299</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"),0.0026455026455026454)</f>
        <v>0.002645502646</v>
      </c>
      <c r="V63" s="9">
        <f t="shared" ref="V63:W63" si="308">IFERROR(R63-T63,"-")</f>
        <v>0.001966181675</v>
      </c>
      <c r="W63" s="9">
        <f t="shared" si="308"/>
        <v>-0.001650279716</v>
      </c>
      <c r="X63" s="65">
        <f>IFERROR(__xludf.DUMMYFUNCTION("IFERROR(
  VLOOKUP(
    A63,
    IMPORTRANGE(
      ""1ZHMy3vVUd_0MrSduXTe1etBb1HNpAlGwQr006ljwMiM"",
      ""GSC最新!A:R""
    ),
    9,
    FALSE
  ),
  0
)
"),6.940621313409359)</f>
        <v>6.940621313</v>
      </c>
      <c r="Y63" s="65">
        <f>IFERROR(__xludf.DUMMYFUNCTION("IFERROR(
  VLOOKUP(
    A63,
    IMPORTRANGE(
      ""1ZHMy3vVUd_0MrSduXTe1etBb1HNpAlGwQr006ljwMiM"",
      ""GSC最新!A:R""
    ),
    12,
    FALSE
  ),
  0
)
"),6.905851910828026)</f>
        <v>6.905851911</v>
      </c>
      <c r="Z63" s="65">
        <f>IFERROR(__xludf.DUMMYFUNCTION("IFERROR(
  VLOOKUP(
    A63,
    IMPORTRANGE(
      ""1ZHMy3vVUd_0MrSduXTe1etBb1HNpAlGwQr006ljwMiM"",
      ""GSC最新!A:R""
    ),
    15,
    FALSE
  ),
  0
)
"),10.443298969072165)</f>
        <v>10.44329897</v>
      </c>
      <c r="AA63" s="65">
        <f>IFERROR(__xludf.DUMMYFUNCTION("IFERROR(
  VLOOKUP(
    A63,
    IMPORTRANGE(
      ""1ZHMy3vVUd_0MrSduXTe1etBb1HNpAlGwQr006ljwMiM"",
      ""GSC最新!A:R""
    ),
    18,
    FALSE
  ),
  0
)
"),15.513227513227513)</f>
        <v>15.51322751</v>
      </c>
      <c r="AB63" s="65">
        <f t="shared" ref="AB63:AC63" si="309">X63-Z63</f>
        <v>-3.502677656</v>
      </c>
      <c r="AC63" s="65">
        <f t="shared" si="309"/>
        <v>-8.607375602</v>
      </c>
      <c r="AD63" s="53">
        <f>IFERROR(__xludf.DUMMYFUNCTION("IFERROR(
  VLOOKUP(
    A63,
    IMPORTRANGE(
      ""1ZHMy3vVUd_0MrSduXTe1etBb1HNpAlGwQr006ljwMiM"",
      ""GSC最新!A:F""
    ),
    6,
    FALSE
  ),
  0
)
"),46081.0)</f>
        <v>46081</v>
      </c>
      <c r="AE63" s="54">
        <f>IFERROR(__xludf.DUMMYFUNCTION("IFERROR(
  VLOOKUP(
    A63,
    IMPORTRANGE(
      ""1SCYQd7_cobOYqT0r_F0IqD4tE4rYn5y8Eup4PJTH8es"",
      ""Snapshot!A:M""
    ),
    5,
    FALSE
  ),
  ""-""
)
"),1.0)</f>
        <v>1</v>
      </c>
      <c r="AF63" s="54">
        <f>IFERROR(__xludf.DUMMYFUNCTION("IFERROR(
  VLOOKUP(
    A63,
    IMPORTRANGE(
      ""1SCYQd7_cobOYqT0r_F0IqD4tE4rYn5y8Eup4PJTH8es"",
      ""Snapshot!A:M""
    ),
    6,
    FALSE
  ),
  0
)
"),0.0)</f>
        <v>0</v>
      </c>
      <c r="AG63" s="54">
        <f>IFERROR(__xludf.DUMMYFUNCTION("IFERROR(
  VLOOKUP(
    A63,
    IMPORTRANGE(
      ""1SCYQd7_cobOYqT0r_F0IqD4tE4rYn5y8Eup4PJTH8es"",
      ""Snapshot!A:M""
    ),
    7,
    FALSE
  ),
  0
)
"),1307.0)</f>
        <v>1307</v>
      </c>
      <c r="AH63" s="54">
        <f>IFERROR(__xludf.DUMMYFUNCTION("IFERROR(
  VLOOKUP(
    A63,
    IMPORTRANGE(
      ""1SCYQd7_cobOYqT0r_F0IqD4tE4rYn5y8Eup4PJTH8es"",
      ""Snapshot!A:M""
    ),
    8,
    FALSE
  ),
  0
)
"),1.0)</f>
        <v>1</v>
      </c>
      <c r="AI63" s="54">
        <f>IFERROR(__xludf.DUMMYFUNCTION("IFERROR(
  VLOOKUP(
    A63,
    IMPORTRANGE(
      ""1SCYQd7_cobOYqT0r_F0IqD4tE4rYn5y8Eup4PJTH8es"",
      ""Snapshot!A:M""
    ),
    9,
    FALSE
  ),
  0
)
"),4.0)</f>
        <v>4</v>
      </c>
      <c r="AJ63" s="54">
        <f>IFERROR(__xludf.DUMMYFUNCTION("IFERROR(
  VLOOKUP(
    A63,
    IMPORTRANGE(
      ""1SCYQd7_cobOYqT0r_F0IqD4tE4rYn5y8Eup4PJTH8es"",
      ""Snapshot!A:M""
    ),
    13,
    FALSE
  ),
  0
)
"),1.0)</f>
        <v>1</v>
      </c>
      <c r="AK63" s="49">
        <f t="shared" ref="AK63:AL63" si="310">LEN(C63)</f>
        <v>26</v>
      </c>
      <c r="AL63" s="49">
        <f t="shared" si="310"/>
        <v>62</v>
      </c>
    </row>
    <row r="64">
      <c r="A64" s="3" t="s">
        <v>1150</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"),"【中1】助動詞canの基本｜動詞は原形・三単現sが消える理由まで（Progress Book1）")</f>
        <v>【中1】助動詞canの基本｜動詞は原形・三単現sが消える理由まで（Progress Book1）</v>
      </c>
      <c r="D64" s="1" t="str">
        <f>IFERROR(__xludf.DUMMYFUNCTION("IFERROR(
  VLOOKUP(
    A64,
    IMPORTRANGE(
      ""1ZygntHC1J6IxzKbTidmOyf5nUyW4GCLurHCjexrLm_o        "",
      ""HTMLキャッシュ!A:F""
    ),
    6,
    FALSE
  ),
  0
)
"),"Progress Book1を使う中1〜中2向け。can＋動詞原形の理由、三単現sが外れる仕組み、cannot(can’t)の作り方、Can〜?の語順と答え方（Yes, you can／No, you can’t）を例文で整理。")</f>
        <v>Progress Book1を使う中1〜中2向け。can＋動詞原形の理由、三単現sが外れる仕組み、cannot(can’t)の作り方、Can〜?の語順と答え方（Yes, you can／No, you can’t）を例文で整理。</v>
      </c>
      <c r="E64" s="32">
        <f>IFERROR(__xludf.DUMMYFUNCTION("IFERROR(
  VLOOKUP(
    A64,
    IMPORTRANGE(
      ""1ZygntHC1J6IxzKbTidmOyf5nUyW4GCLurHCjexrLm_o        "",
      ""HTMLキャッシュ!A:F""
    ),
    3,
    FALSE
  ),
  0
)
"),46016.844247685185)</f>
        <v>46016.84425</v>
      </c>
      <c r="F64" s="49">
        <f>IFERROR(__xludf.DUMMYFUNCTION("IFERROR(
  VLOOKUP(
    A64,
    IMPORTRANGE(
      ""1ZHMy3vVUd_0MrSduXTe1etBb1HNpAlGwQr006ljwMiM"",
      ""GSC最新!A:F""
    ),
    2,
    FALSE
  ),
  0
)
"),2.0)</f>
        <v>2</v>
      </c>
      <c r="G64" s="49">
        <f>IFERROR(__xludf.DUMMYFUNCTION("IFERROR(
  VLOOKUP(
    A64,
    IMPORTRANGE(
      ""1ZHMy3vVUd_0MrSduXTe1etBb1HNpAlGwQr006ljwMiM"",
      ""GSC最新!A:F""
    ),
    3,
    FALSE
  ),
  0
)
"),5.0)</f>
        <v>5</v>
      </c>
      <c r="H64" s="49">
        <f>IFERROR(__xludf.DUMMYFUNCTION("IFERROR(
  VLOOKUP(
    A64,
    IMPORTRANGE(
      ""1ZHMy3vVUd_0MrSduXTe1etBb1HNpAlGwQr006ljwMiM"",
      ""GSC最新!A:F""
    ),
    4,
    FALSE
  ),
  0
)
"),2.0)</f>
        <v>2</v>
      </c>
      <c r="I64" s="49">
        <f>IFERROR(__xludf.DUMMYFUNCTION("IFERROR(
  VLOOKUP(
    A64,
    IMPORTRANGE(
      ""1ZHMy3vVUd_0MrSduXTe1etBb1HNpAlGwQr006ljwMiM"",
      ""GSC最新!A:F""
    ),
    5,
    FALSE
  ),
  0
)
"),6.0)</f>
        <v>6</v>
      </c>
      <c r="J64" s="50">
        <f t="shared" ref="J64:K64" si="311">IFERROR(F64/H64,"-")</f>
        <v>1</v>
      </c>
      <c r="K64" s="50">
        <f t="shared" si="311"/>
        <v>0.8333333333</v>
      </c>
      <c r="L64" s="6">
        <f>IFERROR(__xludf.DUMMYFUNCTION("IFERROR(
  VLOOKUP(
    A64,
    IMPORTRANGE(
      ""1ZHMy3vVUd_0MrSduXTe1etBb1HNpAlGwQr006ljwMiM"",
      ""GSC最新!A:R""
    ),
    7,
    FALSE
  ),
  0
)
"),2366.0)</f>
        <v>2366</v>
      </c>
      <c r="M64" s="6">
        <f>IFERROR(__xludf.DUMMYFUNCTION("IFERROR(
  VLOOKUP(
    A64,
    IMPORTRANGE(
      ""1ZHMy3vVUd_0MrSduXTe1etBb1HNpAlGwQr006ljwMiM"",
      ""GSC最新!A:R""
    ),
    10,
    FALSE
  ),
  0
)
"),4669.0)</f>
        <v>4669</v>
      </c>
      <c r="N64" s="6">
        <f>IFERROR(__xludf.DUMMYFUNCTION("IFERROR(
  VLOOKUP(
    A64,
    IMPORTRANGE(
      ""1ZHMy3vVUd_0MrSduXTe1etBb1HNpAlGwQr006ljwMiM"",
      ""GSC最新!A:R""
    ),
    13,
    FALSE
  ),
  0
)
"),427.0)</f>
        <v>427</v>
      </c>
      <c r="O64" s="6">
        <f>IFERROR(__xludf.DUMMYFUNCTION("IFERROR(
  VLOOKUP(
    A64,
    IMPORTRANGE(
      ""1ZHMy3vVUd_0MrSduXTe1etBb1HNpAlGwQr006ljwMiM"",
      ""GSC最新!A:R""
    ),
    16,
    FALSE
  ),
  0
)
"),1088.0)</f>
        <v>1088</v>
      </c>
      <c r="P64" s="51">
        <f t="shared" ref="P64:Q64" si="312">IFERROR(L64/N64,"-")</f>
        <v>5.540983607</v>
      </c>
      <c r="Q64" s="51">
        <f t="shared" si="312"/>
        <v>4.291360294</v>
      </c>
      <c r="R64" s="9">
        <f>IFERROR(__xludf.DUMMYFUNCTION("IFERROR(
  VLOOKUP(
    A64,
    IMPORTRANGE(
      ""1ZHMy3vVUd_0MrSduXTe1etBb1HNpAlGwQr006ljwMiM"",
      ""GSC最新!A:R""
    ),
    8,
    FALSE
  ),
  0
)
"),8.453085376162299E-4)</f>
        <v>0.0008453085376</v>
      </c>
      <c r="S64" s="9">
        <f>IFERROR(__xludf.DUMMYFUNCTION("IFERROR(
  VLOOKUP(
    A64,
    IMPORTRANGE(
      ""1ZHMy3vVUd_0MrSduXTe1etBb1HNpAlGwQr006ljwMiM"",
      ""GSC最新!A:R""
    ),
    11,
    FALSE
  ),
  0
)
"),0.0010708931248661383)</f>
        <v>0.001070893125</v>
      </c>
      <c r="T64" s="9">
        <f>IFERROR(__xludf.DUMMYFUNCTION("IFERROR(
  VLOOKUP(
    A64,
    IMPORTRANGE(
      ""1ZHMy3vVUd_0MrSduXTe1etBb1HNpAlGwQr006ljwMiM"",
      ""GSC最新!A:R""
    ),
    14,
    FALSE
  ),
  0
)
"),0.00468384074941452)</f>
        <v>0.004683840749</v>
      </c>
      <c r="U64" s="9">
        <f>IFERROR(__xludf.DUMMYFUNCTION("IFERROR(
  VLOOKUP(
    A64,
    IMPORTRANGE(
      ""1ZHMy3vVUd_0MrSduXTe1etBb1HNpAlGwQr006ljwMiM"",
      ""GSC最新!A:R""
    ),
    17,
    FALSE
  ),
  0
)
"),0.0055147058823529415)</f>
        <v>0.005514705882</v>
      </c>
      <c r="V64" s="9">
        <f t="shared" ref="V64:W64" si="313">IFERROR(R64-T64,"-")</f>
        <v>-0.003838532212</v>
      </c>
      <c r="W64" s="9">
        <f t="shared" si="313"/>
        <v>-0.004443812757</v>
      </c>
      <c r="X64" s="65">
        <f>IFERROR(__xludf.DUMMYFUNCTION("IFERROR(
  VLOOKUP(
    A64,
    IMPORTRANGE(
      ""1ZHMy3vVUd_0MrSduXTe1etBb1HNpAlGwQr006ljwMiM"",
      ""GSC最新!A:R""
    ),
    9,
    FALSE
  ),
  0
)
"),5.325443786982248)</f>
        <v>5.325443787</v>
      </c>
      <c r="Y64" s="65">
        <f>IFERROR(__xludf.DUMMYFUNCTION("IFERROR(
  VLOOKUP(
    A64,
    IMPORTRANGE(
      ""1ZHMy3vVUd_0MrSduXTe1etBb1HNpAlGwQr006ljwMiM"",
      ""GSC最新!A:R""
    ),
    12,
    FALSE
  ),
  0
)
"),5.318269436710216)</f>
        <v>5.318269437</v>
      </c>
      <c r="Z64" s="65">
        <f>IFERROR(__xludf.DUMMYFUNCTION("IFERROR(
  VLOOKUP(
    A64,
    IMPORTRANGE(
      ""1ZHMy3vVUd_0MrSduXTe1etBb1HNpAlGwQr006ljwMiM"",
      ""GSC最新!A:R""
    ),
    15,
    FALSE
  ),
  0
)
"),8.370023419203747)</f>
        <v>8.370023419</v>
      </c>
      <c r="AA64" s="65">
        <f>IFERROR(__xludf.DUMMYFUNCTION("IFERROR(
  VLOOKUP(
    A64,
    IMPORTRANGE(
      ""1ZHMy3vVUd_0MrSduXTe1etBb1HNpAlGwQr006ljwMiM"",
      ""GSC最新!A:R""
    ),
    18,
    FALSE
  ),
  0
)
"),11.665441176470589)</f>
        <v>11.66544118</v>
      </c>
      <c r="AB64" s="65">
        <f t="shared" ref="AB64:AC64" si="314">X64-Z64</f>
        <v>-3.044579632</v>
      </c>
      <c r="AC64" s="65">
        <f t="shared" si="314"/>
        <v>-6.34717174</v>
      </c>
      <c r="AD64" s="53">
        <f>IFERROR(__xludf.DUMMYFUNCTION("IFERROR(
  VLOOKUP(
    A64,
    IMPORTRANGE(
      ""1ZHMy3vVUd_0MrSduXTe1etBb1HNpAlGwQr006ljwMiM"",
      ""GSC最新!A:F""
    ),
    6,
    FALSE
  ),
  0
)
"),46081.0)</f>
        <v>46081</v>
      </c>
      <c r="AE64" s="54">
        <f>IFERROR(__xludf.DUMMYFUNCTION("IFERROR(
  VLOOKUP(
    A64,
    IMPORTRANGE(
      ""1SCYQd7_cobOYqT0r_F0IqD4tE4rYn5y8Eup4PJTH8es"",
      ""Snapshot!A:M""
    ),
    5,
    FALSE
  ),
  ""-""
)
"),4.0)</f>
        <v>4</v>
      </c>
      <c r="AF64" s="54">
        <f>IFERROR(__xludf.DUMMYFUNCTION("IFERROR(
  VLOOKUP(
    A64,
    IMPORTRANGE(
      ""1SCYQd7_cobOYqT0r_F0IqD4tE4rYn5y8Eup4PJTH8es"",
      ""Snapshot!A:M""
    ),
    6,
    FALSE
  ),
  0
)
"),2.0)</f>
        <v>2</v>
      </c>
      <c r="AG64" s="54">
        <f>IFERROR(__xludf.DUMMYFUNCTION("IFERROR(
  VLOOKUP(
    A64,
    IMPORTRANGE(
      ""1SCYQd7_cobOYqT0r_F0IqD4tE4rYn5y8Eup4PJTH8es"",
      ""Snapshot!A:M""
    ),
    7,
    FALSE
  ),
  0
)
"),1768.0)</f>
        <v>1768</v>
      </c>
      <c r="AH64" s="54">
        <f>IFERROR(__xludf.DUMMYFUNCTION("IFERROR(
  VLOOKUP(
    A64,
    IMPORTRANGE(
      ""1SCYQd7_cobOYqT0r_F0IqD4tE4rYn5y8Eup4PJTH8es"",
      ""Snapshot!A:M""
    ),
    8,
    FALSE
  ),
  0
)
"),1.0)</f>
        <v>1</v>
      </c>
      <c r="AI64" s="54">
        <f>IFERROR(__xludf.DUMMYFUNCTION("IFERROR(
  VLOOKUP(
    A64,
    IMPORTRANGE(
      ""1SCYQd7_cobOYqT0r_F0IqD4tE4rYn5y8Eup4PJTH8es"",
      ""Snapshot!A:M""
    ),
    9,
    FALSE
  ),
  0
)
"),4.0)</f>
        <v>4</v>
      </c>
      <c r="AJ64" s="54">
        <f>IFERROR(__xludf.DUMMYFUNCTION("IFERROR(
  VLOOKUP(
    A64,
    IMPORTRANGE(
      ""1SCYQd7_cobOYqT0r_F0IqD4tE4rYn5y8Eup4PJTH8es"",
      ""Snapshot!A:M""
    ),
    13,
    FALSE
  ),
  0
)
"),1.0)</f>
        <v>1</v>
      </c>
      <c r="AK64" s="49">
        <f t="shared" ref="AK64:AL64" si="315">LEN(C64)</f>
        <v>48</v>
      </c>
      <c r="AL64" s="49">
        <f t="shared" si="315"/>
        <v>114</v>
      </c>
    </row>
    <row r="65">
      <c r="A65" s="3" t="s">
        <v>1151</v>
      </c>
      <c r="B65" s="1" t="str">
        <f>IFERROR(__xludf.DUMMYFUNCTION("IFERROR(
  VLOOKUP(
    A65,
    IMPORTRANGE(
      ""1ZygntHC1J6IxzKbTidmOyf5nUyW4GCLurHCjexrLm_o"",
      ""HTMLキャッシュ!A:F""
    ),
    2,
    FALSE
  ),
  0
)
"),"MC")</f>
        <v>MC</v>
      </c>
      <c r="C65" s="1" t="str">
        <f>IFERROR(__xludf.DUMMYFUNCTION("IFERROR(
  VLOOKUP(
    A65,
    IMPORTRANGE(
      ""1ZygntHC1J6IxzKbTidmOyf5nUyW4GCLurHCjexrLm_o"",
      ""HTMLキャッシュ!A:F""
    ),
    5,
    FALSE
  ),
  0
)
"),"fromとは｜be fromの出身表現と例文｜中1英語")</f>
        <v>fromとは｜be fromの出身表現と例文｜中1英語</v>
      </c>
      <c r="D65" s="1" t="str">
        <f>IFERROR(__xludf.DUMMYFUNCTION("IFERROR(
  VLOOKUP(
    A65,
    IMPORTRANGE(
      ""1ZygntHC1J6IxzKbTidmOyf5nUyW4GCLurHCjexrLm_o        "",
      ""HTMLキャッシュ!A:F""
    ),
    6,
    FALSE
  ),
  0
)
"),"from＝「〜から」から整理し、be fromで「出身」の言い方を例文で確認。中1英語で混乱しやすい訳し分けを直します。")</f>
        <v>from＝「〜から」から整理し、be fromで「出身」の言い方を例文で確認。中1英語で混乱しやすい訳し分けを直します。</v>
      </c>
      <c r="E65" s="32">
        <f>IFERROR(__xludf.DUMMYFUNCTION("IFERROR(
  VLOOKUP(
    A65,
    IMPORTRANGE(
      ""1ZygntHC1J6IxzKbTidmOyf5nUyW4GCLurHCjexrLm_o        "",
      ""HTMLキャッシュ!A:F""
    ),
    3,
    FALSE
  ),
  0
)
"),46036.76314814815)</f>
        <v>46036.76315</v>
      </c>
      <c r="F65" s="49">
        <f>IFERROR(__xludf.DUMMYFUNCTION("IFERROR(
  VLOOKUP(
    A65,
    IMPORTRANGE(
      ""1ZHMy3vVUd_0MrSduXTe1etBb1HNpAlGwQr006ljwMiM"",
      ""GSC最新!A:F""
    ),
    2,
    FALSE
  ),
  0
)
"),2.0)</f>
        <v>2</v>
      </c>
      <c r="G65" s="49">
        <f>IFERROR(__xludf.DUMMYFUNCTION("IFERROR(
  VLOOKUP(
    A65,
    IMPORTRANGE(
      ""1ZHMy3vVUd_0MrSduXTe1etBb1HNpAlGwQr006ljwMiM"",
      ""GSC最新!A:F""
    ),
    3,
    FALSE
  ),
  0
)
"),5.0)</f>
        <v>5</v>
      </c>
      <c r="H65" s="49">
        <f>IFERROR(__xludf.DUMMYFUNCTION("IFERROR(
  VLOOKUP(
    A65,
    IMPORTRANGE(
      ""1ZHMy3vVUd_0MrSduXTe1etBb1HNpAlGwQr006ljwMiM"",
      ""GSC最新!A:F""
    ),
    4,
    FALSE
  ),
  0
)
"),3.0)</f>
        <v>3</v>
      </c>
      <c r="I65" s="49">
        <f>IFERROR(__xludf.DUMMYFUNCTION("IFERROR(
  VLOOKUP(
    A65,
    IMPORTRANGE(
      ""1ZHMy3vVUd_0MrSduXTe1etBb1HNpAlGwQr006ljwMiM"",
      ""GSC最新!A:F""
    ),
    5,
    FALSE
  ),
  0
)
"),4.0)</f>
        <v>4</v>
      </c>
      <c r="J65" s="50">
        <f t="shared" ref="J65:K65" si="316">IFERROR(F65/H65,"-")</f>
        <v>0.6666666667</v>
      </c>
      <c r="K65" s="50">
        <f t="shared" si="316"/>
        <v>1.25</v>
      </c>
      <c r="L65" s="6">
        <f>IFERROR(__xludf.DUMMYFUNCTION("IFERROR(
  VLOOKUP(
    A65,
    IMPORTRANGE(
      ""1ZHMy3vVUd_0MrSduXTe1etBb1HNpAlGwQr006ljwMiM"",
      ""GSC最新!A:R""
    ),
    7,
    FALSE
  ),
  0
)
"),970.0)</f>
        <v>970</v>
      </c>
      <c r="M65" s="6">
        <f>IFERROR(__xludf.DUMMYFUNCTION("IFERROR(
  VLOOKUP(
    A65,
    IMPORTRANGE(
      ""1ZHMy3vVUd_0MrSduXTe1etBb1HNpAlGwQr006ljwMiM"",
      ""GSC最新!A:R""
    ),
    10,
    FALSE
  ),
  0
)
"),2610.0)</f>
        <v>2610</v>
      </c>
      <c r="N65" s="6">
        <f>IFERROR(__xludf.DUMMYFUNCTION("IFERROR(
  VLOOKUP(
    A65,
    IMPORTRANGE(
      ""1ZHMy3vVUd_0MrSduXTe1etBb1HNpAlGwQr006ljwMiM"",
      ""GSC最新!A:R""
    ),
    13,
    FALSE
  ),
  0
)
"),108.0)</f>
        <v>108</v>
      </c>
      <c r="O65" s="6">
        <f>IFERROR(__xludf.DUMMYFUNCTION("IFERROR(
  VLOOKUP(
    A65,
    IMPORTRANGE(
      ""1ZHMy3vVUd_0MrSduXTe1etBb1HNpAlGwQr006ljwMiM"",
      ""GSC最新!A:R""
    ),
    16,
    FALSE
  ),
  0
)
"),260.0)</f>
        <v>260</v>
      </c>
      <c r="P65" s="51">
        <f t="shared" ref="P65:Q65" si="317">IFERROR(L65/N65,"-")</f>
        <v>8.981481481</v>
      </c>
      <c r="Q65" s="51">
        <f t="shared" si="317"/>
        <v>10.03846154</v>
      </c>
      <c r="R65" s="9">
        <f>IFERROR(__xludf.DUMMYFUNCTION("IFERROR(
  VLOOKUP(
    A65,
    IMPORTRANGE(
      ""1ZHMy3vVUd_0MrSduXTe1etBb1HNpAlGwQr006ljwMiM"",
      ""GSC最新!A:R""
    ),
    8,
    FALSE
  ),
  0
)
"),0.002061855670103093)</f>
        <v>0.00206185567</v>
      </c>
      <c r="S65" s="9">
        <f>IFERROR(__xludf.DUMMYFUNCTION("IFERROR(
  VLOOKUP(
    A65,
    IMPORTRANGE(
      ""1ZHMy3vVUd_0MrSduXTe1etBb1HNpAlGwQr006ljwMiM"",
      ""GSC最新!A:R""
    ),
    11,
    FALSE
  ),
  0
)
"),0.0019157088122605363)</f>
        <v>0.001915708812</v>
      </c>
      <c r="T65" s="9">
        <f>IFERROR(__xludf.DUMMYFUNCTION("IFERROR(
  VLOOKUP(
    A65,
    IMPORTRANGE(
      ""1ZHMy3vVUd_0MrSduXTe1etBb1HNpAlGwQr006ljwMiM"",
      ""GSC最新!A:R""
    ),
    14,
    FALSE
  ),
  0
)
"),0.027777777777777776)</f>
        <v>0.02777777778</v>
      </c>
      <c r="U65" s="9">
        <f>IFERROR(__xludf.DUMMYFUNCTION("IFERROR(
  VLOOKUP(
    A65,
    IMPORTRANGE(
      ""1ZHMy3vVUd_0MrSduXTe1etBb1HNpAlGwQr006ljwMiM"",
      ""GSC最新!A:R""
    ),
    17,
    FALSE
  ),
  0
)
"),0.015384615384615385)</f>
        <v>0.01538461538</v>
      </c>
      <c r="V65" s="9">
        <f t="shared" ref="V65:W65" si="318">IFERROR(R65-T65,"-")</f>
        <v>-0.02571592211</v>
      </c>
      <c r="W65" s="9">
        <f t="shared" si="318"/>
        <v>-0.01346890657</v>
      </c>
      <c r="X65" s="65">
        <f>IFERROR(__xludf.DUMMYFUNCTION("IFERROR(
  VLOOKUP(
    A65,
    IMPORTRANGE(
      ""1ZHMy3vVUd_0MrSduXTe1etBb1HNpAlGwQr006ljwMiM"",
      ""GSC最新!A:R""
    ),
    9,
    FALSE
  ),
  0
)
"),5.8412371134020615)</f>
        <v>5.841237113</v>
      </c>
      <c r="Y65" s="65">
        <f>IFERROR(__xludf.DUMMYFUNCTION("IFERROR(
  VLOOKUP(
    A65,
    IMPORTRANGE(
      ""1ZHMy3vVUd_0MrSduXTe1etBb1HNpAlGwQr006ljwMiM"",
      ""GSC最新!A:R""
    ),
    12,
    FALSE
  ),
  0
)
"),6.239080459770115)</f>
        <v>6.23908046</v>
      </c>
      <c r="Z65" s="65">
        <f>IFERROR(__xludf.DUMMYFUNCTION("IFERROR(
  VLOOKUP(
    A65,
    IMPORTRANGE(
      ""1ZHMy3vVUd_0MrSduXTe1etBb1HNpAlGwQr006ljwMiM"",
      ""GSC最新!A:R""
    ),
    15,
    FALSE
  ),
  0
)
"),16.675925925925924)</f>
        <v>16.67592593</v>
      </c>
      <c r="AA65" s="65">
        <f>IFERROR(__xludf.DUMMYFUNCTION("IFERROR(
  VLOOKUP(
    A65,
    IMPORTRANGE(
      ""1ZHMy3vVUd_0MrSduXTe1etBb1HNpAlGwQr006ljwMiM"",
      ""GSC最新!A:R""
    ),
    18,
    FALSE
  ),
  0
)
"),18.81923076923077)</f>
        <v>18.81923077</v>
      </c>
      <c r="AB65" s="65">
        <f t="shared" ref="AB65:AC65" si="319">X65-Z65</f>
        <v>-10.83468881</v>
      </c>
      <c r="AC65" s="65">
        <f t="shared" si="319"/>
        <v>-12.58015031</v>
      </c>
      <c r="AD65" s="53">
        <f>IFERROR(__xludf.DUMMYFUNCTION("IFERROR(
  VLOOKUP(
    A65,
    IMPORTRANGE(
      ""1ZHMy3vVUd_0MrSduXTe1etBb1HNpAlGwQr006ljwMiM"",
      ""GSC最新!A:F""
    ),
    6,
    FALSE
  ),
  0
)
"),46081.0)</f>
        <v>46081</v>
      </c>
      <c r="AE65" s="54">
        <f>IFERROR(__xludf.DUMMYFUNCTION("IFERROR(
  VLOOKUP(
    A65,
    IMPORTRANGE(
      ""1SCYQd7_cobOYqT0r_F0IqD4tE4rYn5y8Eup4PJTH8es"",
      ""Snapshot!A:M""
    ),
    5,
    FALSE
  ),
  ""-""
)
"),0.0)</f>
        <v>0</v>
      </c>
      <c r="AF65" s="54">
        <f>IFERROR(__xludf.DUMMYFUNCTION("IFERROR(
  VLOOKUP(
    A65,
    IMPORTRANGE(
      ""1SCYQd7_cobOYqT0r_F0IqD4tE4rYn5y8Eup4PJTH8es"",
      ""Snapshot!A:M""
    ),
    6,
    FALSE
  ),
  0
)
"),0.0)</f>
        <v>0</v>
      </c>
      <c r="AG65" s="54">
        <f>IFERROR(__xludf.DUMMYFUNCTION("IFERROR(
  VLOOKUP(
    A65,
    IMPORTRANGE(
      ""1SCYQd7_cobOYqT0r_F0IqD4tE4rYn5y8Eup4PJTH8es"",
      ""Snapshot!A:M""
    ),
    7,
    FALSE
  ),
  0
)
"),4148.0)</f>
        <v>4148</v>
      </c>
      <c r="AH65" s="54">
        <f>IFERROR(__xludf.DUMMYFUNCTION("IFERROR(
  VLOOKUP(
    A65,
    IMPORTRANGE(
      ""1SCYQd7_cobOYqT0r_F0IqD4tE4rYn5y8Eup4PJTH8es"",
      ""Snapshot!A:M""
    ),
    8,
    FALSE
  ),
  0
)
"),1.0)</f>
        <v>1</v>
      </c>
      <c r="AI65" s="54">
        <f>IFERROR(__xludf.DUMMYFUNCTION("IFERROR(
  VLOOKUP(
    A65,
    IMPORTRANGE(
      ""1SCYQd7_cobOYqT0r_F0IqD4tE4rYn5y8Eup4PJTH8es"",
      ""Snapshot!A:M""
    ),
    9,
    FALSE
  ),
  0
)
"),4.0)</f>
        <v>4</v>
      </c>
      <c r="AJ65" s="54">
        <f>IFERROR(__xludf.DUMMYFUNCTION("IFERROR(
  VLOOKUP(
    A65,
    IMPORTRANGE(
      ""1SCYQd7_cobOYqT0r_F0IqD4tE4rYn5y8Eup4PJTH8es"",
      ""Snapshot!A:M""
    ),
    13,
    FALSE
  ),
  0
)
"),1.0)</f>
        <v>1</v>
      </c>
      <c r="AK65" s="49">
        <f t="shared" ref="AK65:AL65" si="320">LEN(C65)</f>
        <v>27</v>
      </c>
      <c r="AL65" s="49">
        <f t="shared" si="320"/>
        <v>60</v>
      </c>
    </row>
    <row r="66">
      <c r="A66" s="3" t="s">
        <v>1152</v>
      </c>
      <c r="B66" s="1" t="str">
        <f>IFERROR(__xludf.DUMMYFUNCTION("IFERROR(
  VLOOKUP(
    A66,
    IMPORTRANGE(
      ""1ZygntHC1J6IxzKbTidmOyf5nUyW4GCLurHCjexrLm_o"",
      ""HTMLキャッシュ!A:F""
    ),
    2,
    FALSE
  ),
  0
)
"),"MC")</f>
        <v>MC</v>
      </c>
      <c r="C66" s="1" t="str">
        <f>IFERROR(__xludf.DUMMYFUNCTION("IFERROR(
  VLOOKUP(
    A66,
    IMPORTRANGE(
      ""1ZygntHC1J6IxzKbTidmOyf5nUyW4GCLurHCjexrLm_o"",
      ""HTMLキャッシュ!A:F""
    ),
    5,
    FALSE
  ),
  0
)
"),"there+be動詞の疑問文【Progress Book1 Lesson17-2】 - 新宿区四谷の英語専門塾「英語教室『サポート』」～英語は別に怖くない！～")</f>
        <v>there+be動詞の疑問文【Progress Book1 Lesson17-2】 - 新宿区四谷の英語専門塾「英語教室『サポート』」～英語は別に怖くない！～</v>
      </c>
      <c r="D66" s="1" t="str">
        <f>IFERROR(__xludf.DUMMYFUNCTION("IFERROR(
  VLOOKUP(
    A66,
    IMPORTRANGE(
      ""1ZygntHC1J6IxzKbTidmOyf5nUyW4GCLurHCjexrLm_o        "",
      ""HTMLキャッシュ!A:F""
    ),
    6,
    FALSE
  ),
  0
)
"),"there + be動詞の疑問文｜Is there / Are there の全体像 There is / T")</f>
        <v>there + be動詞の疑問文｜Is there / Are there の全体像 There is / T</v>
      </c>
      <c r="E66" s="32">
        <f>IFERROR(__xludf.DUMMYFUNCTION("IFERROR(
  VLOOKUP(
    A66,
    IMPORTRANGE(
      ""1ZygntHC1J6IxzKbTidmOyf5nUyW4GCLurHCjexrLm_o        "",
      ""HTMLキャッシュ!A:F""
    ),
    3,
    FALSE
  ),
  0
)
"),46055.771944444445)</f>
        <v>46055.77194</v>
      </c>
      <c r="F66" s="49">
        <f>IFERROR(__xludf.DUMMYFUNCTION("IFERROR(
  VLOOKUP(
    A66,
    IMPORTRANGE(
      ""1ZHMy3vVUd_0MrSduXTe1etBb1HNpAlGwQr006ljwMiM"",
      ""GSC最新!A:F""
    ),
    2,
    FALSE
  ),
  0
)
"),1.0)</f>
        <v>1</v>
      </c>
      <c r="G66" s="49">
        <f>IFERROR(__xludf.DUMMYFUNCTION("IFERROR(
  VLOOKUP(
    A66,
    IMPORTRANGE(
      ""1ZHMy3vVUd_0MrSduXTe1etBb1HNpAlGwQr006ljwMiM"",
      ""GSC最新!A:F""
    ),
    3,
    FALSE
  ),
  0
)
"),5.0)</f>
        <v>5</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"),0.0)</f>
        <v>0</v>
      </c>
      <c r="J66" s="50" t="str">
        <f t="shared" ref="J66:K66" si="321">IFERROR(F66/H66,"-")</f>
        <v>-</v>
      </c>
      <c r="K66" s="50" t="str">
        <f t="shared" si="321"/>
        <v>-</v>
      </c>
      <c r="L66" s="6">
        <f>IFERROR(__xludf.DUMMYFUNCTION("IFERROR(
  VLOOKUP(
    A66,
    IMPORTRANGE(
      ""1ZHMy3vVUd_0MrSduXTe1etBb1HNpAlGwQr006ljwMiM"",
      ""GSC最新!A:R""
    ),
    7,
    FALSE
  ),
  0
)
"),329.0)</f>
        <v>329</v>
      </c>
      <c r="M66" s="6">
        <f>IFERROR(__xludf.DUMMYFUNCTION("IFERROR(
  VLOOKUP(
    A66,
    IMPORTRANGE(
      ""1ZHMy3vVUd_0MrSduXTe1etBb1HNpAlGwQr006ljwMiM"",
      ""GSC最新!A:R""
    ),
    10,
    FALSE
  ),
  0
)
"),797.0)</f>
        <v>797</v>
      </c>
      <c r="N66" s="6">
        <f>IFERROR(__xludf.DUMMYFUNCTION("IFERROR(
  VLOOKUP(
    A66,
    IMPORTRANGE(
      ""1ZHMy3vVUd_0MrSduXTe1etBb1HNpAlGwQr006ljwMiM"",
      ""GSC最新!A:R""
    ),
    13,
    FALSE
  ),
  0
)
"),0.0)</f>
        <v>0</v>
      </c>
      <c r="O66" s="6">
        <f>IFERROR(__xludf.DUMMYFUNCTION("IFERROR(
  VLOOKUP(
    A66,
    IMPORTRANGE(
      ""1ZHMy3vVUd_0MrSduXTe1etBb1HNpAlGwQr006ljwMiM"",
      ""GSC最新!A:R""
    ),
    16,
    FALSE
  ),
  0
)
"),0.0)</f>
        <v>0</v>
      </c>
      <c r="P66" s="51" t="str">
        <f t="shared" ref="P66:Q66" si="322">IFERROR(L66/N66,"-")</f>
        <v>-</v>
      </c>
      <c r="Q66" s="51" t="str">
        <f t="shared" si="322"/>
        <v>-</v>
      </c>
      <c r="R66" s="9">
        <f>IFERROR(__xludf.DUMMYFUNCTION("IFERROR(
  VLOOKUP(
    A66,
    IMPORTRANGE(
      ""1ZHMy3vVUd_0MrSduXTe1etBb1HNpAlGwQr006ljwMiM"",
      ""GSC最新!A:R""
    ),
    8,
    FALSE
  ),
  0
)
"),0.00303951367781155)</f>
        <v>0.003039513678</v>
      </c>
      <c r="S66" s="9">
        <f>IFERROR(__xludf.DUMMYFUNCTION("IFERROR(
  VLOOKUP(
    A66,
    IMPORTRANGE(
      ""1ZHMy3vVUd_0MrSduXTe1etBb1HNpAlGwQr006ljwMiM"",
      ""GSC最新!A:R""
    ),
    11,
    FALSE
  ),
  0
)
"),0.006273525721455458)</f>
        <v>0.006273525721</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f>
        <v>0</v>
      </c>
      <c r="V66" s="9">
        <f t="shared" ref="V66:W66" si="323">IFERROR(R66-T66,"-")</f>
        <v>0.003039513678</v>
      </c>
      <c r="W66" s="9">
        <f t="shared" si="323"/>
        <v>0.006273525721</v>
      </c>
      <c r="X66" s="65">
        <f>IFERROR(__xludf.DUMMYFUNCTION("IFERROR(
  VLOOKUP(
    A66,
    IMPORTRANGE(
      ""1ZHMy3vVUd_0MrSduXTe1etBb1HNpAlGwQr006ljwMiM"",
      ""GSC最新!A:R""
    ),
    9,
    FALSE
  ),
  0
)
"),9.0)</f>
        <v>9</v>
      </c>
      <c r="Y66" s="65">
        <f>IFERROR(__xludf.DUMMYFUNCTION("IFERROR(
  VLOOKUP(
    A66,
    IMPORTRANGE(
      ""1ZHMy3vVUd_0MrSduXTe1etBb1HNpAlGwQr006ljwMiM"",
      ""GSC最新!A:R""
    ),
    12,
    FALSE
  ),
  0
)
"),9.308657465495608)</f>
        <v>9.308657465</v>
      </c>
      <c r="Z66" s="65" t="str">
        <f>IFERROR(__xludf.DUMMYFUNCTION("IFERROR(
  VLOOKUP(
    A66,
    IMPORTRANGE(
      ""1ZHMy3vVUd_0MrSduXTe1etBb1HNpAlGwQr006ljwMiM"",
      ""GSC最新!A:R""
    ),
    15,
    FALSE
  ),
  0
)
"),"")</f>
        <v/>
      </c>
      <c r="AA66" s="65" t="str">
        <f>IFERROR(__xludf.DUMMYFUNCTION("IFERROR(
  VLOOKUP(
    A66,
    IMPORTRANGE(
      ""1ZHMy3vVUd_0MrSduXTe1etBb1HNpAlGwQr006ljwMiM"",
      ""GSC最新!A:R""
    ),
    18,
    FALSE
  ),
  0
)
"),"")</f>
        <v/>
      </c>
      <c r="AB66" s="65">
        <f t="shared" ref="AB66:AC66" si="324">X66-Z66</f>
        <v>9</v>
      </c>
      <c r="AC66" s="65">
        <f t="shared" si="324"/>
        <v>9.308657465</v>
      </c>
      <c r="AD66" s="53">
        <f>IFERROR(__xludf.DUMMYFUNCTION("IFERROR(
  VLOOKUP(
    A66,
    IMPORTRANGE(
      ""1ZHMy3vVUd_0MrSduXTe1etBb1HNpAlGwQr006ljwMiM"",
      ""GSC最新!A:F""
    ),
    6,
    FALSE
  ),
  0
)
"),46081.0)</f>
        <v>46081</v>
      </c>
      <c r="AE66" s="54">
        <f>IFERROR(__xludf.DUMMYFUNCTION("IFERROR(
  VLOOKUP(
    A66,
    IMPORTRANGE(
      ""1SCYQd7_cobOYqT0r_F0IqD4tE4rYn5y8Eup4PJTH8es"",
      ""Snapshot!A:M""
    ),
    5,
    FALSE
  ),
  ""-""
)
"),4.0)</f>
        <v>4</v>
      </c>
      <c r="AF66" s="54">
        <f>IFERROR(__xludf.DUMMYFUNCTION("IFERROR(
  VLOOKUP(
    A66,
    IMPORTRANGE(
      ""1SCYQd7_cobOYqT0r_F0IqD4tE4rYn5y8Eup4PJTH8es"",
      ""Snapshot!A:M""
    ),
    6,
    FALSE
  ),
  0
)
"),7.0)</f>
        <v>7</v>
      </c>
      <c r="AG66" s="54">
        <f>IFERROR(__xludf.DUMMYFUNCTION("IFERROR(
  VLOOKUP(
    A66,
    IMPORTRANGE(
      ""1SCYQd7_cobOYqT0r_F0IqD4tE4rYn5y8Eup4PJTH8es"",
      ""Snapshot!A:M""
    ),
    7,
    FALSE
  ),
  0
)
"),1831.0)</f>
        <v>1831</v>
      </c>
      <c r="AH66" s="54">
        <f>IFERROR(__xludf.DUMMYFUNCTION("IFERROR(
  VLOOKUP(
    A66,
    IMPORTRANGE(
      ""1SCYQd7_cobOYqT0r_F0IqD4tE4rYn5y8Eup4PJTH8es"",
      ""Snapshot!A:M""
    ),
    8,
    FALSE
  ),
  0
)
"),1.0)</f>
        <v>1</v>
      </c>
      <c r="AI66" s="54">
        <f>IFERROR(__xludf.DUMMYFUNCTION("IFERROR(
  VLOOKUP(
    A66,
    IMPORTRANGE(
      ""1SCYQd7_cobOYqT0r_F0IqD4tE4rYn5y8Eup4PJTH8es"",
      ""Snapshot!A:M""
    ),
    9,
    FALSE
  ),
  0
)
"),4.0)</f>
        <v>4</v>
      </c>
      <c r="AJ66" s="54">
        <f>IFERROR(__xludf.DUMMYFUNCTION("IFERROR(
  VLOOKUP(
    A66,
    IMPORTRANGE(
      ""1SCYQd7_cobOYqT0r_F0IqD4tE4rYn5y8Eup4PJTH8es"",
      ""Snapshot!A:M""
    ),
    13,
    FALSE
  ),
  0
)
"),1.0)</f>
        <v>1</v>
      </c>
      <c r="AK66" s="49">
        <f t="shared" ref="AK66:AL66" si="325">LEN(C66)</f>
        <v>79</v>
      </c>
      <c r="AL66" s="49">
        <f t="shared" si="325"/>
        <v>55</v>
      </c>
    </row>
    <row r="67">
      <c r="A67" s="3" t="s">
        <v>1153</v>
      </c>
      <c r="B67" s="1" t="str">
        <f>IFERROR(__xludf.DUMMYFUNCTION("IFERROR(
  VLOOKUP(
    A67,
    IMPORTRANGE(
      ""1ZygntHC1J6IxzKbTidmOyf5nUyW4GCLurHCjexrLm_o"",
      ""HTMLキャッシュ!A:F""
    ),
    2,
    FALSE
  ),
  0
)
"),"MC")</f>
        <v>MC</v>
      </c>
      <c r="C67" s="1" t="str">
        <f>IFERROR(__xludf.DUMMYFUNCTION("IFERROR(
  VLOOKUP(
    A67,
    IMPORTRANGE(
      ""1ZygntHC1J6IxzKbTidmOyf5nUyW4GCLurHCjexrLm_o"",
      ""HTMLキャッシュ!A:F""
    ),
    5,
    FALSE
  ),
  0
)
"),"theyの否定文で迷わない｜do not／does notの違いと三単現のsが消える理由を例文で完全整理【Progress Book対応】")</f>
        <v>theyの否定文で迷わない｜do not／does notの違いと三単現のsが消える理由を例文で完全整理【Progress Book対応】</v>
      </c>
      <c r="D67" s="1" t="str">
        <f>IFERROR(__xludf.DUMMYFUNCTION("IFERROR(
  VLOOKUP(
    A67,
    IMPORTRANGE(
      ""1ZygntHC1J6IxzKbTidmOyf5nUyW4GCLurHCjexrLm_o        "",
      ""HTMLキャッシュ!A:F""
    ),
    6,
    FALSE
  ),
  0
)
"),"theyの否定文はdo not、三単現でも動詞にsは付かない。does notの使い分けと「does not likes」になってしまう典型ミスを中学生向けに例文で整理。")</f>
        <v>theyの否定文はdo not、三単現でも動詞にsは付かない。does notの使い分けと「does not likes」になってしまう典型ミスを中学生向けに例文で整理。</v>
      </c>
      <c r="E67" s="32">
        <f>IFERROR(__xludf.DUMMYFUNCTION("IFERROR(
  VLOOKUP(
    A67,
    IMPORTRANGE(
      ""1ZygntHC1J6IxzKbTidmOyf5nUyW4GCLurHCjexrLm_o        "",
      ""HTMLキャッシュ!A:F""
    ),
    3,
    FALSE
  ),
  0
)
"),46055.80931712963)</f>
        <v>46055.80932</v>
      </c>
      <c r="F67" s="49">
        <f>IFERROR(__xludf.DUMMYFUNCTION("IFERROR(
  VLOOKUP(
    A67,
    IMPORTRANGE(
      ""1ZHMy3vVUd_0MrSduXTe1etBb1HNpAlGwQr006ljwMiM"",
      ""GSC最新!A:F""
    ),
    2,
    FALSE
  ),
  0
)
"),4.0)</f>
        <v>4</v>
      </c>
      <c r="G67" s="49">
        <f>IFERROR(__xludf.DUMMYFUNCTION("IFERROR(
  VLOOKUP(
    A67,
    IMPORTRANGE(
      ""1ZHMy3vVUd_0MrSduXTe1etBb1HNpAlGwQr006ljwMiM"",
      ""GSC最新!A:F""
    ),
    3,
    FALSE
  ),
  0
)
"),5.0)</f>
        <v>5</v>
      </c>
      <c r="H67" s="49">
        <f>IFERROR(__xludf.DUMMYFUNCTION("IFERROR(
  VLOOKUP(
    A67,
    IMPORTRANGE(
      ""1ZHMy3vVUd_0MrSduXTe1etBb1HNpAlGwQr006ljwMiM"",
      ""GSC最新!A:F""
    ),
    4,
    FALSE
  ),
  0
)
"),4.0)</f>
        <v>4</v>
      </c>
      <c r="I67" s="49">
        <f>IFERROR(__xludf.DUMMYFUNCTION("IFERROR(
  VLOOKUP(
    A67,
    IMPORTRANGE(
      ""1ZHMy3vVUd_0MrSduXTe1etBb1HNpAlGwQr006ljwMiM"",
      ""GSC最新!A:F""
    ),
    5,
    FALSE
  ),
  0
)
"),5.0)</f>
        <v>5</v>
      </c>
      <c r="J67" s="50">
        <f t="shared" ref="J67:K67" si="326">IFERROR(F67/H67,"-")</f>
        <v>1</v>
      </c>
      <c r="K67" s="50">
        <f t="shared" si="326"/>
        <v>1</v>
      </c>
      <c r="L67" s="6">
        <f>IFERROR(__xludf.DUMMYFUNCTION("IFERROR(
  VLOOKUP(
    A67,
    IMPORTRANGE(
      ""1ZHMy3vVUd_0MrSduXTe1etBb1HNpAlGwQr006ljwMiM"",
      ""GSC最新!A:R""
    ),
    7,
    FALSE
  ),
  0
)
"),3739.0)</f>
        <v>3739</v>
      </c>
      <c r="M67" s="6">
        <f>IFERROR(__xludf.DUMMYFUNCTION("IFERROR(
  VLOOKUP(
    A67,
    IMPORTRANGE(
      ""1ZHMy3vVUd_0MrSduXTe1etBb1HNpAlGwQr006ljwMiM"",
      ""GSC最新!A:R""
    ),
    10,
    FALSE
  ),
  0
)
"),5454.0)</f>
        <v>5454</v>
      </c>
      <c r="N67" s="6">
        <f>IFERROR(__xludf.DUMMYFUNCTION("IFERROR(
  VLOOKUP(
    A67,
    IMPORTRANGE(
      ""1ZHMy3vVUd_0MrSduXTe1etBb1HNpAlGwQr006ljwMiM"",
      ""GSC最新!A:R""
    ),
    13,
    FALSE
  ),
  0
)
"),448.0)</f>
        <v>448</v>
      </c>
      <c r="O67" s="6">
        <f>IFERROR(__xludf.DUMMYFUNCTION("IFERROR(
  VLOOKUP(
    A67,
    IMPORTRANGE(
      ""1ZHMy3vVUd_0MrSduXTe1etBb1HNpAlGwQr006ljwMiM"",
      ""GSC最新!A:R""
    ),
    16,
    FALSE
  ),
  0
)
"),1450.0)</f>
        <v>1450</v>
      </c>
      <c r="P67" s="51">
        <f t="shared" ref="P67:Q67" si="327">IFERROR(L67/N67,"-")</f>
        <v>8.345982143</v>
      </c>
      <c r="Q67" s="51">
        <f t="shared" si="327"/>
        <v>3.76137931</v>
      </c>
      <c r="R67" s="9">
        <f>IFERROR(__xludf.DUMMYFUNCTION("IFERROR(
  VLOOKUP(
    A67,
    IMPORTRANGE(
      ""1ZHMy3vVUd_0MrSduXTe1etBb1HNpAlGwQr006ljwMiM"",
      ""GSC最新!A:R""
    ),
    8,
    FALSE
  ),
  0
)
"),0.0010698047606311847)</f>
        <v>0.001069804761</v>
      </c>
      <c r="S67" s="9">
        <f>IFERROR(__xludf.DUMMYFUNCTION("IFERROR(
  VLOOKUP(
    A67,
    IMPORTRANGE(
      ""1ZHMy3vVUd_0MrSduXTe1etBb1HNpAlGwQr006ljwMiM"",
      ""GSC最新!A:R""
    ),
    11,
    FALSE
  ),
  0
)
"),9.167583425009168E-4)</f>
        <v>0.0009167583425</v>
      </c>
      <c r="T67" s="9">
        <f>IFERROR(__xludf.DUMMYFUNCTION("IFERROR(
  VLOOKUP(
    A67,
    IMPORTRANGE(
      ""1ZHMy3vVUd_0MrSduXTe1etBb1HNpAlGwQr006ljwMiM"",
      ""GSC最新!A:R""
    ),
    14,
    FALSE
  ),
  0
)
"),0.008928571428571428)</f>
        <v>0.008928571429</v>
      </c>
      <c r="U67" s="9">
        <f>IFERROR(__xludf.DUMMYFUNCTION("IFERROR(
  VLOOKUP(
    A67,
    IMPORTRANGE(
      ""1ZHMy3vVUd_0MrSduXTe1etBb1HNpAlGwQr006ljwMiM"",
      ""GSC最新!A:R""
    ),
    17,
    FALSE
  ),
  0
)
"),0.0034482758620689655)</f>
        <v>0.003448275862</v>
      </c>
      <c r="V67" s="9">
        <f t="shared" ref="V67:W67" si="328">IFERROR(R67-T67,"-")</f>
        <v>-0.007858766668</v>
      </c>
      <c r="W67" s="9">
        <f t="shared" si="328"/>
        <v>-0.00253151752</v>
      </c>
      <c r="X67" s="65">
        <f>IFERROR(__xludf.DUMMYFUNCTION("IFERROR(
  VLOOKUP(
    A67,
    IMPORTRANGE(
      ""1ZHMy3vVUd_0MrSduXTe1etBb1HNpAlGwQr006ljwMiM"",
      ""GSC最新!A:R""
    ),
    9,
    FALSE
  ),
  0
)
"),5.146028349826157)</f>
        <v>5.14602835</v>
      </c>
      <c r="Y67" s="65">
        <f>IFERROR(__xludf.DUMMYFUNCTION("IFERROR(
  VLOOKUP(
    A67,
    IMPORTRANGE(
      ""1ZHMy3vVUd_0MrSduXTe1etBb1HNpAlGwQr006ljwMiM"",
      ""GSC最新!A:R""
    ),
    12,
    FALSE
  ),
  0
)
"),4.980931426475981)</f>
        <v>4.980931426</v>
      </c>
      <c r="Z67" s="65">
        <f>IFERROR(__xludf.DUMMYFUNCTION("IFERROR(
  VLOOKUP(
    A67,
    IMPORTRANGE(
      ""1ZHMy3vVUd_0MrSduXTe1etBb1HNpAlGwQr006ljwMiM"",
      ""GSC最新!A:R""
    ),
    15,
    FALSE
  ),
  0
)
"),6.852678571428571)</f>
        <v>6.852678571</v>
      </c>
      <c r="AA67" s="65">
        <f>IFERROR(__xludf.DUMMYFUNCTION("IFERROR(
  VLOOKUP(
    A67,
    IMPORTRANGE(
      ""1ZHMy3vVUd_0MrSduXTe1etBb1HNpAlGwQr006ljwMiM"",
      ""GSC最新!A:R""
    ),
    18,
    FALSE
  ),
  0
)
"),7.997241379310345)</f>
        <v>7.997241379</v>
      </c>
      <c r="AB67" s="65">
        <f t="shared" ref="AB67:AC67" si="329">X67-Z67</f>
        <v>-1.706650222</v>
      </c>
      <c r="AC67" s="65">
        <f t="shared" si="329"/>
        <v>-3.016309953</v>
      </c>
      <c r="AD67" s="53">
        <f>IFERROR(__xludf.DUMMYFUNCTION("IFERROR(
  VLOOKUP(
    A67,
    IMPORTRANGE(
      ""1ZHMy3vVUd_0MrSduXTe1etBb1HNpAlGwQr006ljwMiM"",
      ""GSC最新!A:F""
    ),
    6,
    FALSE
  ),
  0
)
"),46081.0)</f>
        <v>46081</v>
      </c>
      <c r="AE67" s="54">
        <f>IFERROR(__xludf.DUMMYFUNCTION("IFERROR(
  VLOOKUP(
    A67,
    IMPORTRANGE(
      ""1SCYQd7_cobOYqT0r_F0IqD4tE4rYn5y8Eup4PJTH8es"",
      ""Snapshot!A:M""
    ),
    5,
    FALSE
  ),
  ""-""
)
"),0.0)</f>
        <v>0</v>
      </c>
      <c r="AF67" s="54">
        <f>IFERROR(__xludf.DUMMYFUNCTION("IFERROR(
  VLOOKUP(
    A67,
    IMPORTRANGE(
      ""1SCYQd7_cobOYqT0r_F0IqD4tE4rYn5y8Eup4PJTH8es"",
      ""Snapshot!A:M""
    ),
    6,
    FALSE
  ),
  0
)
"),5.0)</f>
        <v>5</v>
      </c>
      <c r="AG67" s="54">
        <f>IFERROR(__xludf.DUMMYFUNCTION("IFERROR(
  VLOOKUP(
    A67,
    IMPORTRANGE(
      ""1SCYQd7_cobOYqT0r_F0IqD4tE4rYn5y8Eup4PJTH8es"",
      ""Snapshot!A:M""
    ),
    7,
    FALSE
  ),
  0
)
"),2716.0)</f>
        <v>2716</v>
      </c>
      <c r="AH67" s="54">
        <f>IFERROR(__xludf.DUMMYFUNCTION("IFERROR(
  VLOOKUP(
    A67,
    IMPORTRANGE(
      ""1SCYQd7_cobOYqT0r_F0IqD4tE4rYn5y8Eup4PJTH8es"",
      ""Snapshot!A:M""
    ),
    8,
    FALSE
  ),
  0
)
"),1.0)</f>
        <v>1</v>
      </c>
      <c r="AI67" s="54">
        <f>IFERROR(__xludf.DUMMYFUNCTION("IFERROR(
  VLOOKUP(
    A67,
    IMPORTRANGE(
      ""1SCYQd7_cobOYqT0r_F0IqD4tE4rYn5y8Eup4PJTH8es"",
      ""Snapshot!A:M""
    ),
    9,
    FALSE
  ),
  0
)
"),4.0)</f>
        <v>4</v>
      </c>
      <c r="AJ67" s="54">
        <f>IFERROR(__xludf.DUMMYFUNCTION("IFERROR(
  VLOOKUP(
    A67,
    IMPORTRANGE(
      ""1SCYQd7_cobOYqT0r_F0IqD4tE4rYn5y8Eup4PJTH8es"",
      ""Snapshot!A:M""
    ),
    13,
    FALSE
  ),
  0
)
"),1.0)</f>
        <v>1</v>
      </c>
      <c r="AK67" s="49">
        <f t="shared" ref="AK67:AL67" si="330">LEN(C67)</f>
        <v>69</v>
      </c>
      <c r="AL67" s="49">
        <f t="shared" si="330"/>
        <v>85</v>
      </c>
    </row>
    <row r="68">
      <c r="A68" s="3" t="s">
        <v>1154</v>
      </c>
      <c r="B68" s="1" t="str">
        <f>IFERROR(__xludf.DUMMYFUNCTION("IFERROR(
  VLOOKUP(
    A68,
    IMPORTRANGE(
      ""1ZygntHC1J6IxzKbTidmOyf5nUyW4GCLurHCjexrLm_o"",
      ""HTMLキャッシュ!A:F""
    ),
    2,
    FALSE
  ),
  0
)
"),"MC")</f>
        <v>MC</v>
      </c>
      <c r="C68" s="1" t="str">
        <f>IFERROR(__xludf.DUMMYFUNCTION("IFERROR(
  VLOOKUP(
    A68,
    IMPORTRANGE(
      ""1ZygntHC1J6IxzKbTidmOyf5nUyW4GCLurHCjexrLm_o"",
      ""HTMLキャッシュ!A:F""
    ),
    5,
    FALSE
  ),
  0
)
"),"SVC文型の基本と例文整理｜主語＝補語が分かるbe・become・look解説｜中1英語・Progress対応")</f>
        <v>SVC文型の基本と例文整理｜主語＝補語が分かるbe・become・look解説｜中1英語・Progress対応</v>
      </c>
      <c r="D68" s="1" t="str">
        <f>IFERROR(__xludf.DUMMYFUNCTION("IFERROR(
  VLOOKUP(
    A68,
    IMPORTRANGE(
      ""1ZygntHC1J6IxzKbTidmOyf5nUyW4GCLurHCjexrLm_o        "",
      ""HTMLキャッシュ!A:F""
    ),
    6,
    FALSE
  ),
  0
)
"),"SVC文型（第2文型）の基本を、be・become・lookなどの例文で整理。主語＝補語になる理由や、名詞・形容詞が続く仕組みを会話ベースで解説します。Progress Book2 Lesson1-1対応。中高一貫校の中1〜中2で文型が曖昧な人向け。")</f>
        <v>SVC文型（第2文型）の基本を、be・become・lookなどの例文で整理。主語＝補語になる理由や、名詞・形容詞が続く仕組みを会話ベースで解説します。Progress Book2 Lesson1-1対応。中高一貫校の中1〜中2で文型が曖昧な人向け。</v>
      </c>
      <c r="E68" s="32">
        <f>IFERROR(__xludf.DUMMYFUNCTION("IFERROR(
  VLOOKUP(
    A68,
    IMPORTRANGE(
      ""1ZygntHC1J6IxzKbTidmOyf5nUyW4GCLurHCjexrLm_o        "",
      ""HTMLキャッシュ!A:F""
    ),
    3,
    FALSE
  ),
  0
)
"),46055.79537037037)</f>
        <v>46055.79537</v>
      </c>
      <c r="F68" s="49">
        <f>IFERROR(__xludf.DUMMYFUNCTION("IFERROR(
  VLOOKUP(
    A68,
    IMPORTRANGE(
      ""1ZHMy3vVUd_0MrSduXTe1etBb1HNpAlGwQr006ljwMiM"",
      ""GSC最新!A:F""
    ),
    2,
    FALSE
  ),
  0
)
"),4.0)</f>
        <v>4</v>
      </c>
      <c r="G68" s="49">
        <f>IFERROR(__xludf.DUMMYFUNCTION("IFERROR(
  VLOOKUP(
    A68,
    IMPORTRANGE(
      ""1ZHMy3vVUd_0MrSduXTe1etBb1HNpAlGwQr006ljwMiM"",
      ""GSC最新!A:F""
    ),
    3,
    FALSE
  ),
  0
)
"),6.0)</f>
        <v>6</v>
      </c>
      <c r="H68" s="49">
        <f>IFERROR(__xludf.DUMMYFUNCTION("IFERROR(
  VLOOKUP(
    A68,
    IMPORTRANGE(
      ""1ZHMy3vVUd_0MrSduXTe1etBb1HNpAlGwQr006ljwMiM"",
      ""GSC最新!A:F""
    ),
    4,
    FALSE
  ),
  0
)
"),3.0)</f>
        <v>3</v>
      </c>
      <c r="I68" s="49">
        <f>IFERROR(__xludf.DUMMYFUNCTION("IFERROR(
  VLOOKUP(
    A68,
    IMPORTRANGE(
      ""1ZHMy3vVUd_0MrSduXTe1etBb1HNpAlGwQr006ljwMiM"",
      ""GSC最新!A:F""
    ),
    5,
    FALSE
  ),
  0
)
"),5.0)</f>
        <v>5</v>
      </c>
      <c r="J68" s="50">
        <f t="shared" ref="J68:K68" si="331">IFERROR(F68/H68,"-")</f>
        <v>1.333333333</v>
      </c>
      <c r="K68" s="50">
        <f t="shared" si="331"/>
        <v>1.2</v>
      </c>
      <c r="L68" s="6">
        <f>IFERROR(__xludf.DUMMYFUNCTION("IFERROR(
  VLOOKUP(
    A68,
    IMPORTRANGE(
      ""1ZHMy3vVUd_0MrSduXTe1etBb1HNpAlGwQr006ljwMiM"",
      ""GSC最新!A:R""
    ),
    7,
    FALSE
  ),
  0
)
"),987.0)</f>
        <v>987</v>
      </c>
      <c r="M68" s="6">
        <f>IFERROR(__xludf.DUMMYFUNCTION("IFERROR(
  VLOOKUP(
    A68,
    IMPORTRANGE(
      ""1ZHMy3vVUd_0MrSduXTe1etBb1HNpAlGwQr006ljwMiM"",
      ""GSC最新!A:R""
    ),
    10,
    FALSE
  ),
  0
)
"),1543.0)</f>
        <v>1543</v>
      </c>
      <c r="N68" s="6">
        <f>IFERROR(__xludf.DUMMYFUNCTION("IFERROR(
  VLOOKUP(
    A68,
    IMPORTRANGE(
      ""1ZHMy3vVUd_0MrSduXTe1etBb1HNpAlGwQr006ljwMiM"",
      ""GSC最新!A:R""
    ),
    13,
    FALSE
  ),
  0
)
"),103.0)</f>
        <v>103</v>
      </c>
      <c r="O68" s="6">
        <f>IFERROR(__xludf.DUMMYFUNCTION("IFERROR(
  VLOOKUP(
    A68,
    IMPORTRANGE(
      ""1ZHMy3vVUd_0MrSduXTe1etBb1HNpAlGwQr006ljwMiM"",
      ""GSC最新!A:R""
    ),
    16,
    FALSE
  ),
  0
)
"),257.0)</f>
        <v>257</v>
      </c>
      <c r="P68" s="51">
        <f t="shared" ref="P68:Q68" si="332">IFERROR(L68/N68,"-")</f>
        <v>9.582524272</v>
      </c>
      <c r="Q68" s="51">
        <f t="shared" si="332"/>
        <v>6.003891051</v>
      </c>
      <c r="R68" s="9">
        <f>IFERROR(__xludf.DUMMYFUNCTION("IFERROR(
  VLOOKUP(
    A68,
    IMPORTRANGE(
      ""1ZHMy3vVUd_0MrSduXTe1etBb1HNpAlGwQr006ljwMiM"",
      ""GSC最新!A:R""
    ),
    8,
    FALSE
  ),
  0
)
"),0.004052684903748734)</f>
        <v>0.004052684904</v>
      </c>
      <c r="S68" s="9">
        <f>IFERROR(__xludf.DUMMYFUNCTION("IFERROR(
  VLOOKUP(
    A68,
    IMPORTRANGE(
      ""1ZHMy3vVUd_0MrSduXTe1etBb1HNpAlGwQr006ljwMiM"",
      ""GSC最新!A:R""
    ),
    11,
    FALSE
  ),
  0
)
"),0.0038885288399222295)</f>
        <v>0.00388852884</v>
      </c>
      <c r="T68" s="9">
        <f>IFERROR(__xludf.DUMMYFUNCTION("IFERROR(
  VLOOKUP(
    A68,
    IMPORTRANGE(
      ""1ZHMy3vVUd_0MrSduXTe1etBb1HNpAlGwQr006ljwMiM"",
      ""GSC最新!A:R""
    ),
    14,
    FALSE
  ),
  0
)
"),0.02912621359223301)</f>
        <v>0.02912621359</v>
      </c>
      <c r="U68" s="9">
        <f>IFERROR(__xludf.DUMMYFUNCTION("IFERROR(
  VLOOKUP(
    A68,
    IMPORTRANGE(
      ""1ZHMy3vVUd_0MrSduXTe1etBb1HNpAlGwQr006ljwMiM"",
      ""GSC最新!A:R""
    ),
    17,
    FALSE
  ),
  0
)
"),0.019455252918287938)</f>
        <v>0.01945525292</v>
      </c>
      <c r="V68" s="9">
        <f t="shared" ref="V68:W68" si="333">IFERROR(R68-T68,"-")</f>
        <v>-0.02507352869</v>
      </c>
      <c r="W68" s="9">
        <f t="shared" si="333"/>
        <v>-0.01556672408</v>
      </c>
      <c r="X68" s="65">
        <f>IFERROR(__xludf.DUMMYFUNCTION("IFERROR(
  VLOOKUP(
    A68,
    IMPORTRANGE(
      ""1ZHMy3vVUd_0MrSduXTe1etBb1HNpAlGwQr006ljwMiM"",
      ""GSC最新!A:R""
    ),
    9,
    FALSE
  ),
  0
)
"),9.189463019250253)</f>
        <v>9.189463019</v>
      </c>
      <c r="Y68" s="65">
        <f>IFERROR(__xludf.DUMMYFUNCTION("IFERROR(
  VLOOKUP(
    A68,
    IMPORTRANGE(
      ""1ZHMy3vVUd_0MrSduXTe1etBb1HNpAlGwQr006ljwMiM"",
      ""GSC最新!A:R""
    ),
    12,
    FALSE
  ),
  0
)
"),10.607906675307841)</f>
        <v>10.60790668</v>
      </c>
      <c r="Z68" s="65">
        <f>IFERROR(__xludf.DUMMYFUNCTION("IFERROR(
  VLOOKUP(
    A68,
    IMPORTRANGE(
      ""1ZHMy3vVUd_0MrSduXTe1etBb1HNpAlGwQr006ljwMiM"",
      ""GSC最新!A:R""
    ),
    15,
    FALSE
  ),
  0
)
"),25.37864077669903)</f>
        <v>25.37864078</v>
      </c>
      <c r="AA68" s="65">
        <f>IFERROR(__xludf.DUMMYFUNCTION("IFERROR(
  VLOOKUP(
    A68,
    IMPORTRANGE(
      ""1ZHMy3vVUd_0MrSduXTe1etBb1HNpAlGwQr006ljwMiM"",
      ""GSC最新!A:R""
    ),
    18,
    FALSE
  ),
  0
)
"),32.93385214007782)</f>
        <v>32.93385214</v>
      </c>
      <c r="AB68" s="65">
        <f t="shared" ref="AB68:AC68" si="334">X68-Z68</f>
        <v>-16.18917776</v>
      </c>
      <c r="AC68" s="65">
        <f t="shared" si="334"/>
        <v>-22.32594546</v>
      </c>
      <c r="AD68" s="53">
        <f>IFERROR(__xludf.DUMMYFUNCTION("IFERROR(
  VLOOKUP(
    A68,
    IMPORTRANGE(
      ""1ZHMy3vVUd_0MrSduXTe1etBb1HNpAlGwQr006ljwMiM"",
      ""GSC最新!A:F""
    ),
    6,
    FALSE
  ),
  0
)
"),46081.0)</f>
        <v>46081</v>
      </c>
      <c r="AE68" s="54">
        <f>IFERROR(__xludf.DUMMYFUNCTION("IFERROR(
  VLOOKUP(
    A68,
    IMPORTRANGE(
      ""1SCYQd7_cobOYqT0r_F0IqD4tE4rYn5y8Eup4PJTH8es"",
      ""Snapshot!A:M""
    ),
    5,
    FALSE
  ),
  ""-""
)
"),2.0)</f>
        <v>2</v>
      </c>
      <c r="AF68" s="54">
        <f>IFERROR(__xludf.DUMMYFUNCTION("IFERROR(
  VLOOKUP(
    A68,
    IMPORTRANGE(
      ""1SCYQd7_cobOYqT0r_F0IqD4tE4rYn5y8Eup4PJTH8es"",
      ""Snapshot!A:M""
    ),
    6,
    FALSE
  ),
  0
)
"),11.0)</f>
        <v>11</v>
      </c>
      <c r="AG68" s="54">
        <f>IFERROR(__xludf.DUMMYFUNCTION("IFERROR(
  VLOOKUP(
    A68,
    IMPORTRANGE(
      ""1SCYQd7_cobOYqT0r_F0IqD4tE4rYn5y8Eup4PJTH8es"",
      ""Snapshot!A:M""
    ),
    7,
    FALSE
  ),
  0
)
"),2369.0)</f>
        <v>2369</v>
      </c>
      <c r="AH68" s="54">
        <f>IFERROR(__xludf.DUMMYFUNCTION("IFERROR(
  VLOOKUP(
    A68,
    IMPORTRANGE(
      ""1SCYQd7_cobOYqT0r_F0IqD4tE4rYn5y8Eup4PJTH8es"",
      ""Snapshot!A:M""
    ),
    8,
    FALSE
  ),
  0
)
"),1.0)</f>
        <v>1</v>
      </c>
      <c r="AI68" s="54">
        <f>IFERROR(__xludf.DUMMYFUNCTION("IFERROR(
  VLOOKUP(
    A68,
    IMPORTRANGE(
      ""1SCYQd7_cobOYqT0r_F0IqD4tE4rYn5y8Eup4PJTH8es"",
      ""Snapshot!A:M""
    ),
    9,
    FALSE
  ),
  0
)
"),5.0)</f>
        <v>5</v>
      </c>
      <c r="AJ68" s="54">
        <f>IFERROR(__xludf.DUMMYFUNCTION("IFERROR(
  VLOOKUP(
    A68,
    IMPORTRANGE(
      ""1SCYQd7_cobOYqT0r_F0IqD4tE4rYn5y8Eup4PJTH8es"",
      ""Snapshot!A:M""
    ),
    13,
    FALSE
  ),
  0
)
"),1.0)</f>
        <v>1</v>
      </c>
      <c r="AK68" s="49">
        <f t="shared" ref="AK68:AL68" si="335">LEN(C68)</f>
        <v>55</v>
      </c>
      <c r="AL68" s="49">
        <f t="shared" si="335"/>
        <v>125</v>
      </c>
    </row>
    <row r="69">
      <c r="A69" s="3" t="s">
        <v>1155</v>
      </c>
      <c r="B69" s="1" t="str">
        <f>IFERROR(__xludf.DUMMYFUNCTION("IFERROR(
  VLOOKUP(
    A69,
    IMPORTRANGE(
      ""1ZygntHC1J6IxzKbTidmOyf5nUyW4GCLurHCjexrLm_o"",
      ""HTMLキャッシュ!A:F""
    ),
    2,
    FALSE
  ),
  0
)
"),"MC")</f>
        <v>MC</v>
      </c>
      <c r="C69" s="1" t="str">
        <f>IFERROR(__xludf.DUMMYFUNCTION("IFERROR(
  VLOOKUP(
    A69,
    IMPORTRANGE(
      ""1ZygntHC1J6IxzKbTidmOyf5nUyW4GCLurHCjexrLm_o"",
      ""HTMLキャッシュ!A:F""
    ),
    5,
    FALSE
  ),
  0
)
"),"現在進行形の平叙文｜be動詞＋ingの形【中1英語】")</f>
        <v>現在進行形の平叙文｜be動詞＋ingの形【中1英語】</v>
      </c>
      <c r="D69" s="1" t="str">
        <f>IFERROR(__xludf.DUMMYFUNCTION("IFERROR(
  VLOOKUP(
    A69,
    IMPORTRANGE(
      ""1ZygntHC1J6IxzKbTidmOyf5nUyW4GCLurHCjexrLm_o        "",
      ""HTMLキャッシュ!A:F""
    ),
    6,
    FALSE
  ),
  0
)
"),"現在進行形の平叙文で多いミスはbe動詞抜け。They playingになる原因を、playのing形例文で整理。be＋ingを形で固定する中1英語解説。")</f>
        <v>現在進行形の平叙文で多いミスはbe動詞抜け。They playingになる原因を、playのing形例文で整理。be＋ingを形で固定する中1英語解説。</v>
      </c>
      <c r="E69" s="32">
        <f>IFERROR(__xludf.DUMMYFUNCTION("IFERROR(
  VLOOKUP(
    A69,
    IMPORTRANGE(
      ""1ZygntHC1J6IxzKbTidmOyf5nUyW4GCLurHCjexrLm_o        "",
      ""HTMLキャッシュ!A:F""
    ),
    3,
    FALSE
  ),
  0
)
"),46055.78559027778)</f>
        <v>46055.78559</v>
      </c>
      <c r="F69" s="49">
        <f>IFERROR(__xludf.DUMMYFUNCTION("IFERROR(
  VLOOKUP(
    A69,
    IMPORTRANGE(
      ""1ZHMy3vVUd_0MrSduXTe1etBb1HNpAlGwQr006ljwMiM"",
      ""GSC最新!A:F""
    ),
    2,
    FALSE
  ),
  0
)
"),2.0)</f>
        <v>2</v>
      </c>
      <c r="G69" s="49">
        <f>IFERROR(__xludf.DUMMYFUNCTION("IFERROR(
  VLOOKUP(
    A69,
    IMPORTRANGE(
      ""1ZHMy3vVUd_0MrSduXTe1etBb1HNpAlGwQr006ljwMiM"",
      ""GSC最新!A:F""
    ),
    3,
    FALSE
  ),
  0
)
"),2.0)</f>
        <v>2</v>
      </c>
      <c r="H69" s="49">
        <f>IFERROR(__xludf.DUMMYFUNCTION("IFERROR(
  VLOOKUP(
    A69,
    IMPORTRANGE(
      ""1ZHMy3vVUd_0MrSduXTe1etBb1HNpAlGwQr006ljwMiM"",
      ""GSC最新!A:F""
    ),
    4,
    FALSE
  ),
  0
)
"),1.0)</f>
        <v>1</v>
      </c>
      <c r="I69" s="49">
        <f>IFERROR(__xludf.DUMMYFUNCTION("IFERROR(
  VLOOKUP(
    A69,
    IMPORTRANGE(
      ""1ZHMy3vVUd_0MrSduXTe1etBb1HNpAlGwQr006ljwMiM"",
      ""GSC最新!A:F""
    ),
    5,
    FALSE
  ),
  0
)
"),4.0)</f>
        <v>4</v>
      </c>
      <c r="J69" s="50">
        <f t="shared" ref="J69:K69" si="336">IFERROR(F69/H69,"-")</f>
        <v>2</v>
      </c>
      <c r="K69" s="50">
        <f t="shared" si="336"/>
        <v>0.5</v>
      </c>
      <c r="L69" s="6">
        <f>IFERROR(__xludf.DUMMYFUNCTION("IFERROR(
  VLOOKUP(
    A69,
    IMPORTRANGE(
      ""1ZHMy3vVUd_0MrSduXTe1etBb1HNpAlGwQr006ljwMiM"",
      ""GSC最新!A:R""
    ),
    7,
    FALSE
  ),
  0
)
"),2934.0)</f>
        <v>2934</v>
      </c>
      <c r="M69" s="6">
        <f>IFERROR(__xludf.DUMMYFUNCTION("IFERROR(
  VLOOKUP(
    A69,
    IMPORTRANGE(
      ""1ZHMy3vVUd_0MrSduXTe1etBb1HNpAlGwQr006ljwMiM"",
      ""GSC最新!A:R""
    ),
    10,
    FALSE
  ),
  0
)
"),6821.0)</f>
        <v>6821</v>
      </c>
      <c r="N69" s="6">
        <f>IFERROR(__xludf.DUMMYFUNCTION("IFERROR(
  VLOOKUP(
    A69,
    IMPORTRANGE(
      ""1ZHMy3vVUd_0MrSduXTe1etBb1HNpAlGwQr006ljwMiM"",
      ""GSC最新!A:R""
    ),
    13,
    FALSE
  ),
  0
)
"),2746.0)</f>
        <v>2746</v>
      </c>
      <c r="O69" s="6">
        <f>IFERROR(__xludf.DUMMYFUNCTION("IFERROR(
  VLOOKUP(
    A69,
    IMPORTRANGE(
      ""1ZHMy3vVUd_0MrSduXTe1etBb1HNpAlGwQr006ljwMiM"",
      ""GSC最新!A:R""
    ),
    16,
    FALSE
  ),
  0
)
"),8740.0)</f>
        <v>8740</v>
      </c>
      <c r="P69" s="51">
        <f t="shared" ref="P69:Q69" si="337">IFERROR(L69/N69,"-")</f>
        <v>1.068463219</v>
      </c>
      <c r="Q69" s="51">
        <f t="shared" si="337"/>
        <v>0.7804347826</v>
      </c>
      <c r="R69" s="9">
        <f>IFERROR(__xludf.DUMMYFUNCTION("IFERROR(
  VLOOKUP(
    A69,
    IMPORTRANGE(
      ""1ZHMy3vVUd_0MrSduXTe1etBb1HNpAlGwQr006ljwMiM"",
      ""GSC最新!A:R""
    ),
    8,
    FALSE
  ),
  0
)
"),6.816632583503749E-4)</f>
        <v>0.0006816632584</v>
      </c>
      <c r="S69" s="9">
        <f>IFERROR(__xludf.DUMMYFUNCTION("IFERROR(
  VLOOKUP(
    A69,
    IMPORTRANGE(
      ""1ZHMy3vVUd_0MrSduXTe1etBb1HNpAlGwQr006ljwMiM"",
      ""GSC最新!A:R""
    ),
    11,
    FALSE
  ),
  0
)
"),2.9321213898255387E-4)</f>
        <v>0.000293212139</v>
      </c>
      <c r="T69" s="9">
        <f>IFERROR(__xludf.DUMMYFUNCTION("IFERROR(
  VLOOKUP(
    A69,
    IMPORTRANGE(
      ""1ZHMy3vVUd_0MrSduXTe1etBb1HNpAlGwQr006ljwMiM"",
      ""GSC最新!A:R""
    ),
    14,
    FALSE
  ),
  0
)
"),3.641660597232338E-4)</f>
        <v>0.0003641660597</v>
      </c>
      <c r="U69" s="9">
        <f>IFERROR(__xludf.DUMMYFUNCTION("IFERROR(
  VLOOKUP(
    A69,
    IMPORTRANGE(
      ""1ZHMy3vVUd_0MrSduXTe1etBb1HNpAlGwQr006ljwMiM"",
      ""GSC最新!A:R""
    ),
    17,
    FALSE
  ),
  0
)
"),4.576659038901602E-4)</f>
        <v>0.0004576659039</v>
      </c>
      <c r="V69" s="9">
        <f t="shared" ref="V69:W69" si="338">IFERROR(R69-T69,"-")</f>
        <v>0.0003174971986</v>
      </c>
      <c r="W69" s="9">
        <f t="shared" si="338"/>
        <v>-0.0001644537649</v>
      </c>
      <c r="X69" s="65">
        <f>IFERROR(__xludf.DUMMYFUNCTION("IFERROR(
  VLOOKUP(
    A69,
    IMPORTRANGE(
      ""1ZHMy3vVUd_0MrSduXTe1etBb1HNpAlGwQr006ljwMiM"",
      ""GSC最新!A:R""
    ),
    9,
    FALSE
  ),
  0
)
"),6.591002044989775)</f>
        <v>6.591002045</v>
      </c>
      <c r="Y69" s="65">
        <f>IFERROR(__xludf.DUMMYFUNCTION("IFERROR(
  VLOOKUP(
    A69,
    IMPORTRANGE(
      ""1ZHMy3vVUd_0MrSduXTe1etBb1HNpAlGwQr006ljwMiM"",
      ""GSC最新!A:R""
    ),
    12,
    FALSE
  ),
  0
)
"),7.545814396716024)</f>
        <v>7.545814397</v>
      </c>
      <c r="Z69" s="65">
        <f>IFERROR(__xludf.DUMMYFUNCTION("IFERROR(
  VLOOKUP(
    A69,
    IMPORTRANGE(
      ""1ZHMy3vVUd_0MrSduXTe1etBb1HNpAlGwQr006ljwMiM"",
      ""GSC最新!A:R""
    ),
    15,
    FALSE
  ),
  0
)
"),9.591041514930808)</f>
        <v>9.591041515</v>
      </c>
      <c r="AA69" s="65">
        <f>IFERROR(__xludf.DUMMYFUNCTION("IFERROR(
  VLOOKUP(
    A69,
    IMPORTRANGE(
      ""1ZHMy3vVUd_0MrSduXTe1etBb1HNpAlGwQr006ljwMiM"",
      ""GSC最新!A:R""
    ),
    18,
    FALSE
  ),
  0
)
"),10.968077803203661)</f>
        <v>10.9680778</v>
      </c>
      <c r="AB69" s="65">
        <f t="shared" ref="AB69:AC69" si="339">X69-Z69</f>
        <v>-3.00003947</v>
      </c>
      <c r="AC69" s="65">
        <f t="shared" si="339"/>
        <v>-3.422263406</v>
      </c>
      <c r="AD69" s="53">
        <f>IFERROR(__xludf.DUMMYFUNCTION("IFERROR(
  VLOOKUP(
    A69,
    IMPORTRANGE(
      ""1ZHMy3vVUd_0MrSduXTe1etBb1HNpAlGwQr006ljwMiM"",
      ""GSC最新!A:F""
    ),
    6,
    FALSE
  ),
  0
)
"),46081.0)</f>
        <v>46081</v>
      </c>
      <c r="AE69" s="54">
        <f>IFERROR(__xludf.DUMMYFUNCTION("IFERROR(
  VLOOKUP(
    A69,
    IMPORTRANGE(
      ""1SCYQd7_cobOYqT0r_F0IqD4tE4rYn5y8Eup4PJTH8es"",
      ""Snapshot!A:M""
    ),
    5,
    FALSE
  ),
  ""-""
)
"),1.0)</f>
        <v>1</v>
      </c>
      <c r="AF69" s="54">
        <f>IFERROR(__xludf.DUMMYFUNCTION("IFERROR(
  VLOOKUP(
    A69,
    IMPORTRANGE(
      ""1SCYQd7_cobOYqT0r_F0IqD4tE4rYn5y8Eup4PJTH8es"",
      ""Snapshot!A:M""
    ),
    6,
    FALSE
  ),
  0
)
"),0.0)</f>
        <v>0</v>
      </c>
      <c r="AG69" s="54">
        <f>IFERROR(__xludf.DUMMYFUNCTION("IFERROR(
  VLOOKUP(
    A69,
    IMPORTRANGE(
      ""1SCYQd7_cobOYqT0r_F0IqD4tE4rYn5y8Eup4PJTH8es"",
      ""Snapshot!A:M""
    ),
    7,
    FALSE
  ),
  0
)
"),3041.0)</f>
        <v>3041</v>
      </c>
      <c r="AH69" s="54">
        <f>IFERROR(__xludf.DUMMYFUNCTION("IFERROR(
  VLOOKUP(
    A69,
    IMPORTRANGE(
      ""1SCYQd7_cobOYqT0r_F0IqD4tE4rYn5y8Eup4PJTH8es"",
      ""Snapshot!A:M""
    ),
    8,
    FALSE
  ),
  0
)
"),1.0)</f>
        <v>1</v>
      </c>
      <c r="AI69" s="54">
        <f>IFERROR(__xludf.DUMMYFUNCTION("IFERROR(
  VLOOKUP(
    A69,
    IMPORTRANGE(
      ""1SCYQd7_cobOYqT0r_F0IqD4tE4rYn5y8Eup4PJTH8es"",
      ""Snapshot!A:M""
    ),
    9,
    FALSE
  ),
  0
)
"),4.0)</f>
        <v>4</v>
      </c>
      <c r="AJ69" s="54">
        <f>IFERROR(__xludf.DUMMYFUNCTION("IFERROR(
  VLOOKUP(
    A69,
    IMPORTRANGE(
      ""1SCYQd7_cobOYqT0r_F0IqD4tE4rYn5y8Eup4PJTH8es"",
      ""Snapshot!A:M""
    ),
    13,
    FALSE
  ),
  0
)
"),1.0)</f>
        <v>1</v>
      </c>
      <c r="AK69" s="49">
        <f t="shared" ref="AK69:AL69" si="340">LEN(C69)</f>
        <v>26</v>
      </c>
      <c r="AL69" s="49">
        <f t="shared" si="340"/>
        <v>76</v>
      </c>
    </row>
    <row r="70">
      <c r="A70" s="3" t="s">
        <v>1156</v>
      </c>
      <c r="B70" s="1" t="str">
        <f>IFERROR(__xludf.DUMMYFUNCTION("IFERROR(
  VLOOKUP(
    A70,
    IMPORTRANGE(
      ""1ZygntHC1J6IxzKbTidmOyf5nUyW4GCLurHCjexrLm_o"",
      ""HTMLキャッシュ!A:F""
    ),
    2,
    FALSE
  ),
  0
)
"),"MC")</f>
        <v>MC</v>
      </c>
      <c r="C70" s="1" t="str">
        <f>IFERROR(__xludf.DUMMYFUNCTION("IFERROR(
  VLOOKUP(
    A70,
    IMPORTRANGE(
      ""1ZygntHC1J6IxzKbTidmOyf5nUyW4GCLurHCjexrLm_o"",
      ""HTMLキャッシュ!A:F""
    ),
    5,
    FALSE
  ),
  0
)
"),"there be動詞の使い分け｜isとareの決め方")</f>
        <v>there be動詞の使い分け｜isとareの決め方</v>
      </c>
      <c r="D70" s="1" t="str">
        <f>IFERROR(__xludf.DUMMYFUNCTION("IFERROR(
  VLOOKUP(
    A70,
    IMPORTRANGE(
      ""1ZygntHC1J6IxzKbTidmOyf5nUyW4GCLurHCjexrLm_o        "",
      ""HTMLキャッシュ!A:F""
    ),
    6,
    FALSE
  ),
  0
)
"),"there be動詞は主語ではなく新情報でis/areを決める。There isとThere areの違い、a/the・many・someとの関係を例文で整理。")</f>
        <v>there be動詞は主語ではなく新情報でis/areを決める。There isとThere areの違い、a/the・many・someとの関係を例文で整理。</v>
      </c>
      <c r="E70" s="32">
        <f>IFERROR(__xludf.DUMMYFUNCTION("IFERROR(
  VLOOKUP(
    A70,
    IMPORTRANGE(
      ""1ZygntHC1J6IxzKbTidmOyf5nUyW4GCLurHCjexrLm_o        "",
      ""HTMLキャッシュ!A:F""
    ),
    3,
    FALSE
  ),
  0
)
"),46055.766018518516)</f>
        <v>46055.76602</v>
      </c>
      <c r="F70" s="49">
        <f>IFERROR(__xludf.DUMMYFUNCTION("IFERROR(
  VLOOKUP(
    A70,
    IMPORTRANGE(
      ""1ZHMy3vVUd_0MrSduXTe1etBb1HNpAlGwQr006ljwMiM"",
      ""GSC最新!A:F""
    ),
    2,
    FALSE
  ),
  0
)
"),3.0)</f>
        <v>3</v>
      </c>
      <c r="G70" s="49">
        <f>IFERROR(__xludf.DUMMYFUNCTION("IFERROR(
  VLOOKUP(
    A70,
    IMPORTRANGE(
      ""1ZHMy3vVUd_0MrSduXTe1etBb1HNpAlGwQr006ljwMiM"",
      ""GSC最新!A:F""
    ),
    3,
    FALSE
  ),
  0
)
"),4.0)</f>
        <v>4</v>
      </c>
      <c r="H70" s="49">
        <f>IFERROR(__xludf.DUMMYFUNCTION("IFERROR(
  VLOOKUP(
    A70,
    IMPORTRANGE(
      ""1ZHMy3vVUd_0MrSduXTe1etBb1HNpAlGwQr006ljwMiM"",
      ""GSC最新!A:F""
    ),
    4,
    FALSE
  ),
  0
)
"),2.0)</f>
        <v>2</v>
      </c>
      <c r="I70" s="49">
        <f>IFERROR(__xludf.DUMMYFUNCTION("IFERROR(
  VLOOKUP(
    A70,
    IMPORTRANGE(
      ""1ZHMy3vVUd_0MrSduXTe1etBb1HNpAlGwQr006ljwMiM"",
      ""GSC最新!A:F""
    ),
    5,
    FALSE
  ),
  0
)
"),5.0)</f>
        <v>5</v>
      </c>
      <c r="J70" s="50">
        <f t="shared" ref="J70:K70" si="341">IFERROR(F70/H70,"-")</f>
        <v>1.5</v>
      </c>
      <c r="K70" s="50">
        <f t="shared" si="341"/>
        <v>0.8</v>
      </c>
      <c r="L70" s="6">
        <f>IFERROR(__xludf.DUMMYFUNCTION("IFERROR(
  VLOOKUP(
    A70,
    IMPORTRANGE(
      ""1ZHMy3vVUd_0MrSduXTe1etBb1HNpAlGwQr006ljwMiM"",
      ""GSC最新!A:R""
    ),
    7,
    FALSE
  ),
  0
)
"),2122.0)</f>
        <v>2122</v>
      </c>
      <c r="M70" s="6">
        <f>IFERROR(__xludf.DUMMYFUNCTION("IFERROR(
  VLOOKUP(
    A70,
    IMPORTRANGE(
      ""1ZHMy3vVUd_0MrSduXTe1etBb1HNpAlGwQr006ljwMiM"",
      ""GSC最新!A:R""
    ),
    10,
    FALSE
  ),
  0
)
"),4594.0)</f>
        <v>4594</v>
      </c>
      <c r="N70" s="6">
        <f>IFERROR(__xludf.DUMMYFUNCTION("IFERROR(
  VLOOKUP(
    A70,
    IMPORTRANGE(
      ""1ZHMy3vVUd_0MrSduXTe1etBb1HNpAlGwQr006ljwMiM"",
      ""GSC最新!A:R""
    ),
    13,
    FALSE
  ),
  0
)
"),47.0)</f>
        <v>47</v>
      </c>
      <c r="O70" s="6">
        <f>IFERROR(__xludf.DUMMYFUNCTION("IFERROR(
  VLOOKUP(
    A70,
    IMPORTRANGE(
      ""1ZHMy3vVUd_0MrSduXTe1etBb1HNpAlGwQr006ljwMiM"",
      ""GSC最新!A:R""
    ),
    16,
    FALSE
  ),
  0
)
"),143.0)</f>
        <v>143</v>
      </c>
      <c r="P70" s="51">
        <f t="shared" ref="P70:Q70" si="342">IFERROR(L70/N70,"-")</f>
        <v>45.14893617</v>
      </c>
      <c r="Q70" s="51">
        <f t="shared" si="342"/>
        <v>32.12587413</v>
      </c>
      <c r="R70" s="9">
        <f>IFERROR(__xludf.DUMMYFUNCTION("IFERROR(
  VLOOKUP(
    A70,
    IMPORTRANGE(
      ""1ZHMy3vVUd_0MrSduXTe1etBb1HNpAlGwQr006ljwMiM"",
      ""GSC最新!A:R""
    ),
    8,
    FALSE
  ),
  0
)
"),0.001413760603204524)</f>
        <v>0.001413760603</v>
      </c>
      <c r="S70" s="9">
        <f>IFERROR(__xludf.DUMMYFUNCTION("IFERROR(
  VLOOKUP(
    A70,
    IMPORTRANGE(
      ""1ZHMy3vVUd_0MrSduXTe1etBb1HNpAlGwQr006ljwMiM"",
      ""GSC最新!A:R""
    ),
    11,
    FALSE
  ),
  0
)
"),8.707009142359599E-4)</f>
        <v>0.0008707009142</v>
      </c>
      <c r="T70" s="9">
        <f>IFERROR(__xludf.DUMMYFUNCTION("IFERROR(
  VLOOKUP(
    A70,
    IMPORTRANGE(
      ""1ZHMy3vVUd_0MrSduXTe1etBb1HNpAlGwQr006ljwMiM"",
      ""GSC最新!A:R""
    ),
    14,
    FALSE
  ),
  0
)
"),0.0425531914893617)</f>
        <v>0.04255319149</v>
      </c>
      <c r="U70" s="9">
        <f>IFERROR(__xludf.DUMMYFUNCTION("IFERROR(
  VLOOKUP(
    A70,
    IMPORTRANGE(
      ""1ZHMy3vVUd_0MrSduXTe1etBb1HNpAlGwQr006ljwMiM"",
      ""GSC最新!A:R""
    ),
    17,
    FALSE
  ),
  0
)
"),0.03496503496503497)</f>
        <v>0.03496503497</v>
      </c>
      <c r="V70" s="9">
        <f t="shared" ref="V70:W70" si="343">IFERROR(R70-T70,"-")</f>
        <v>-0.04113943089</v>
      </c>
      <c r="W70" s="9">
        <f t="shared" si="343"/>
        <v>-0.03409433405</v>
      </c>
      <c r="X70" s="65">
        <f>IFERROR(__xludf.DUMMYFUNCTION("IFERROR(
  VLOOKUP(
    A70,
    IMPORTRANGE(
      ""1ZHMy3vVUd_0MrSduXTe1etBb1HNpAlGwQr006ljwMiM"",
      ""GSC最新!A:R""
    ),
    9,
    FALSE
  ),
  0
)
"),5.315268614514609)</f>
        <v>5.315268615</v>
      </c>
      <c r="Y70" s="65">
        <f>IFERROR(__xludf.DUMMYFUNCTION("IFERROR(
  VLOOKUP(
    A70,
    IMPORTRANGE(
      ""1ZHMy3vVUd_0MrSduXTe1etBb1HNpAlGwQr006ljwMiM"",
      ""GSC最新!A:R""
    ),
    12,
    FALSE
  ),
  0
)
"),5.3663474096647805)</f>
        <v>5.36634741</v>
      </c>
      <c r="Z70" s="65">
        <f>IFERROR(__xludf.DUMMYFUNCTION("IFERROR(
  VLOOKUP(
    A70,
    IMPORTRANGE(
      ""1ZHMy3vVUd_0MrSduXTe1etBb1HNpAlGwQr006ljwMiM"",
      ""GSC最新!A:R""
    ),
    15,
    FALSE
  ),
  0
)
"),16.04255319148936)</f>
        <v>16.04255319</v>
      </c>
      <c r="AA70" s="65">
        <f>IFERROR(__xludf.DUMMYFUNCTION("IFERROR(
  VLOOKUP(
    A70,
    IMPORTRANGE(
      ""1ZHMy3vVUd_0MrSduXTe1etBb1HNpAlGwQr006ljwMiM"",
      ""GSC最新!A:R""
    ),
    18,
    FALSE
  ),
  0
)
"),17.02097902097902)</f>
        <v>17.02097902</v>
      </c>
      <c r="AB70" s="65">
        <f t="shared" ref="AB70:AC70" si="344">X70-Z70</f>
        <v>-10.72728458</v>
      </c>
      <c r="AC70" s="65">
        <f t="shared" si="344"/>
        <v>-11.65463161</v>
      </c>
      <c r="AD70" s="53">
        <f>IFERROR(__xludf.DUMMYFUNCTION("IFERROR(
  VLOOKUP(
    A70,
    IMPORTRANGE(
      ""1ZHMy3vVUd_0MrSduXTe1etBb1HNpAlGwQr006ljwMiM"",
      ""GSC最新!A:F""
    ),
    6,
    FALSE
  ),
  0
)
"),46081.0)</f>
        <v>46081</v>
      </c>
      <c r="AE70" s="54">
        <f>IFERROR(__xludf.DUMMYFUNCTION("IFERROR(
  VLOOKUP(
    A70,
    IMPORTRANGE(
      ""1SCYQd7_cobOYqT0r_F0IqD4tE4rYn5y8Eup4PJTH8es"",
      ""Snapshot!A:M""
    ),
    5,
    FALSE
  ),
  ""-""
)
"),1.0)</f>
        <v>1</v>
      </c>
      <c r="AF70" s="54">
        <f>IFERROR(__xludf.DUMMYFUNCTION("IFERROR(
  VLOOKUP(
    A70,
    IMPORTRANGE(
      ""1SCYQd7_cobOYqT0r_F0IqD4tE4rYn5y8Eup4PJTH8es"",
      ""Snapshot!A:M""
    ),
    6,
    FALSE
  ),
  0
)
"),2.0)</f>
        <v>2</v>
      </c>
      <c r="AG70" s="54">
        <f>IFERROR(__xludf.DUMMYFUNCTION("IFERROR(
  VLOOKUP(
    A70,
    IMPORTRANGE(
      ""1SCYQd7_cobOYqT0r_F0IqD4tE4rYn5y8Eup4PJTH8es"",
      ""Snapshot!A:M""
    ),
    7,
    FALSE
  ),
  0
)
"),3632.0)</f>
        <v>3632</v>
      </c>
      <c r="AH70" s="54">
        <f>IFERROR(__xludf.DUMMYFUNCTION("IFERROR(
  VLOOKUP(
    A70,
    IMPORTRANGE(
      ""1SCYQd7_cobOYqT0r_F0IqD4tE4rYn5y8Eup4PJTH8es"",
      ""Snapshot!A:M""
    ),
    8,
    FALSE
  ),
  0
)
"),1.0)</f>
        <v>1</v>
      </c>
      <c r="AI70" s="54">
        <f>IFERROR(__xludf.DUMMYFUNCTION("IFERROR(
  VLOOKUP(
    A70,
    IMPORTRANGE(
      ""1SCYQd7_cobOYqT0r_F0IqD4tE4rYn5y8Eup4PJTH8es"",
      ""Snapshot!A:M""
    ),
    9,
    FALSE
  ),
  0
)
"),4.0)</f>
        <v>4</v>
      </c>
      <c r="AJ70" s="54">
        <f>IFERROR(__xludf.DUMMYFUNCTION("IFERROR(
  VLOOKUP(
    A70,
    IMPORTRANGE(
      ""1SCYQd7_cobOYqT0r_F0IqD4tE4rYn5y8Eup4PJTH8es"",
      ""Snapshot!A:M""
    ),
    13,
    FALSE
  ),
  0
)
"),1.0)</f>
        <v>1</v>
      </c>
      <c r="AK70" s="49">
        <f t="shared" ref="AK70:AL70" si="345">LEN(C70)</f>
        <v>26</v>
      </c>
      <c r="AL70" s="49">
        <f t="shared" si="345"/>
        <v>80</v>
      </c>
    </row>
    <row r="71">
      <c r="A71" s="3" t="s">
        <v>1157</v>
      </c>
      <c r="B71" s="1" t="str">
        <f>IFERROR(__xludf.DUMMYFUNCTION("IFERROR(
  VLOOKUP(
    A71,
    IMPORTRANGE(
      ""1ZygntHC1J6IxzKbTidmOyf5nUyW4GCLurHCjexrLm_o"",
      ""HTMLキャッシュ!A:F""
    ),
    2,
    FALSE
  ),
  0
)
"),"MC")</f>
        <v>MC</v>
      </c>
      <c r="C71" s="1" t="str">
        <f>IFERROR(__xludf.DUMMYFUNCTION("IFERROR(
  VLOOKUP(
    A71,
    IMPORTRANGE(
      ""1ZygntHC1J6IxzKbTidmOyf5nUyW4GCLurHCjexrLm_o"",
      ""HTMLキャッシュ!A:F""
    ),
    5,
    FALSE
  ),
  0
)
"),"現在進行形の疑問文！WhatやWhereを使う語順を徹底解説")</f>
        <v>現在進行形の疑問文！WhatやWhereを使う語順を徹底解説</v>
      </c>
      <c r="D71" s="1" t="str">
        <f>IFERROR(__xludf.DUMMYFUNCTION("IFERROR(
  VLOOKUP(
    A71,
    IMPORTRANGE(
      ""1ZygntHC1J6IxzKbTidmOyf5nUyW4GCLurHCjexrLm_o        "",
      ""HTMLキャッシュ!A:F""
    ),
    6,
    FALSE
  ),
  0
)
"),"現在進行形の疑問文はbe動詞を主語の前へ。is studyingを崩さない作り方と疑問詞との語順を中1向けに整理。")</f>
        <v>現在進行形の疑問文はbe動詞を主語の前へ。is studyingを崩さない作り方と疑問詞との語順を中1向けに整理。</v>
      </c>
      <c r="E71" s="32">
        <f>IFERROR(__xludf.DUMMYFUNCTION("IFERROR(
  VLOOKUP(
    A71,
    IMPORTRANGE(
      ""1ZygntHC1J6IxzKbTidmOyf5nUyW4GCLurHCjexrLm_o        "",
      ""HTMLキャッシュ!A:F""
    ),
    3,
    FALSE
  ),
  0
)
"),46073.67089120371)</f>
        <v>46073.67089</v>
      </c>
      <c r="F71" s="49">
        <f>IFERROR(__xludf.DUMMYFUNCTION("IFERROR(
  VLOOKUP(
    A71,
    IMPORTRANGE(
      ""1ZHMy3vVUd_0MrSduXTe1etBb1HNpAlGwQr006ljwMiM"",
      ""GSC最新!A:F""
    ),
    2,
    FALSE
  ),
  0
)
"),1.0)</f>
        <v>1</v>
      </c>
      <c r="G71" s="49">
        <f>IFERROR(__xludf.DUMMYFUNCTION("IFERROR(
  VLOOKUP(
    A71,
    IMPORTRANGE(
      ""1ZHMy3vVUd_0MrSduXTe1etBb1HNpAlGwQr006ljwMiM"",
      ""GSC最新!A:F""
    ),
    3,
    FALSE
  ),
  0
)
"),2.0)</f>
        <v>2</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"),3.0)</f>
        <v>3</v>
      </c>
      <c r="J71" s="50" t="str">
        <f t="shared" ref="J71:K71" si="346">IFERROR(F71/H71,"-")</f>
        <v>-</v>
      </c>
      <c r="K71" s="50">
        <f t="shared" si="346"/>
        <v>0.6666666667</v>
      </c>
      <c r="L71" s="6">
        <f>IFERROR(__xludf.DUMMYFUNCTION("IFERROR(
  VLOOKUP(
    A71,
    IMPORTRANGE(
      ""1ZHMy3vVUd_0MrSduXTe1etBb1HNpAlGwQr006ljwMiM"",
      ""GSC最新!A:R""
    ),
    7,
    FALSE
  ),
  0
)
"),1258.0)</f>
        <v>1258</v>
      </c>
      <c r="M71" s="6">
        <f>IFERROR(__xludf.DUMMYFUNCTION("IFERROR(
  VLOOKUP(
    A71,
    IMPORTRANGE(
      ""1ZHMy3vVUd_0MrSduXTe1etBb1HNpAlGwQr006ljwMiM"",
      ""GSC最新!A:R""
    ),
    10,
    FALSE
  ),
  0
)
"),3113.0)</f>
        <v>3113</v>
      </c>
      <c r="N71" s="6">
        <f>IFERROR(__xludf.DUMMYFUNCTION("IFERROR(
  VLOOKUP(
    A71,
    IMPORTRANGE(
      ""1ZHMy3vVUd_0MrSduXTe1etBb1HNpAlGwQr006ljwMiM"",
      ""GSC最新!A:R""
    ),
    13,
    FALSE
  ),
  0
)
"),781.0)</f>
        <v>781</v>
      </c>
      <c r="O71" s="6">
        <f>IFERROR(__xludf.DUMMYFUNCTION("IFERROR(
  VLOOKUP(
    A71,
    IMPORTRANGE(
      ""1ZHMy3vVUd_0MrSduXTe1etBb1HNpAlGwQr006ljwMiM"",
      ""GSC最新!A:R""
    ),
    16,
    FALSE
  ),
  0
)
"),2580.0)</f>
        <v>2580</v>
      </c>
      <c r="P71" s="51">
        <f t="shared" ref="P71:Q71" si="347">IFERROR(L71/N71,"-")</f>
        <v>1.610755442</v>
      </c>
      <c r="Q71" s="51">
        <f t="shared" si="347"/>
        <v>1.206589147</v>
      </c>
      <c r="R71" s="9">
        <f>IFERROR(__xludf.DUMMYFUNCTION("IFERROR(
  VLOOKUP(
    A71,
    IMPORTRANGE(
      ""1ZHMy3vVUd_0MrSduXTe1etBb1HNpAlGwQr006ljwMiM"",
      ""GSC最新!A:R""
    ),
    8,
    FALSE
  ),
  0
)
"),7.94912559618442E-4)</f>
        <v>0.0007949125596</v>
      </c>
      <c r="S71" s="9">
        <f>IFERROR(__xludf.DUMMYFUNCTION("IFERROR(
  VLOOKUP(
    A71,
    IMPORTRANGE(
      ""1ZHMy3vVUd_0MrSduXTe1etBb1HNpAlGwQr006ljwMiM"",
      ""GSC最新!A:R""
    ),
    11,
    FALSE
  ),
  0
)
"),6.4246707356248E-4)</f>
        <v>0.0006424670736</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"),0.0011627906976744186)</f>
        <v>0.001162790698</v>
      </c>
      <c r="V71" s="9">
        <f t="shared" ref="V71:W71" si="348">IFERROR(R71-T71,"-")</f>
        <v>0.0007949125596</v>
      </c>
      <c r="W71" s="9">
        <f t="shared" si="348"/>
        <v>-0.0005203236241</v>
      </c>
      <c r="X71" s="65">
        <f>IFERROR(__xludf.DUMMYFUNCTION("IFERROR(
  VLOOKUP(
    A71,
    IMPORTRANGE(
      ""1ZHMy3vVUd_0MrSduXTe1etBb1HNpAlGwQr006ljwMiM"",
      ""GSC最新!A:R""
    ),
    9,
    FALSE
  ),
  0
)
"),7.460254372019078)</f>
        <v>7.460254372</v>
      </c>
      <c r="Y71" s="65">
        <f>IFERROR(__xludf.DUMMYFUNCTION("IFERROR(
  VLOOKUP(
    A71,
    IMPORTRANGE(
      ""1ZHMy3vVUd_0MrSduXTe1etBb1HNpAlGwQr006ljwMiM"",
      ""GSC最新!A:R""
    ),
    12,
    FALSE
  ),
  0
)
"),5.504979119820109)</f>
        <v>5.50497912</v>
      </c>
      <c r="Z71" s="65">
        <f>IFERROR(__xludf.DUMMYFUNCTION("IFERROR(
  VLOOKUP(
    A71,
    IMPORTRANGE(
      ""1ZHMy3vVUd_0MrSduXTe1etBb1HNpAlGwQr006ljwMiM"",
      ""GSC最新!A:R""
    ),
    15,
    FALSE
  ),
  0
)
"),8.276568501920615)</f>
        <v>8.276568502</v>
      </c>
      <c r="AA71" s="65">
        <f>IFERROR(__xludf.DUMMYFUNCTION("IFERROR(
  VLOOKUP(
    A71,
    IMPORTRANGE(
      ""1ZHMy3vVUd_0MrSduXTe1etBb1HNpAlGwQr006ljwMiM"",
      ""GSC最新!A:R""
    ),
    18,
    FALSE
  ),
  0
)
"),10.945348837209302)</f>
        <v>10.94534884</v>
      </c>
      <c r="AB71" s="65">
        <f t="shared" ref="AB71:AC71" si="349">X71-Z71</f>
        <v>-0.8163141299</v>
      </c>
      <c r="AC71" s="65">
        <f t="shared" si="349"/>
        <v>-5.440369717</v>
      </c>
      <c r="AD71" s="53">
        <f>IFERROR(__xludf.DUMMYFUNCTION("IFERROR(
  VLOOKUP(
    A71,
    IMPORTRANGE(
      ""1ZHMy3vVUd_0MrSduXTe1etBb1HNpAlGwQr006ljwMiM"",
      ""GSC最新!A:F""
    ),
    6,
    FALSE
  ),
  0
)
"),46081.0)</f>
        <v>46081</v>
      </c>
      <c r="AE71" s="54">
        <f>IFERROR(__xludf.DUMMYFUNCTION("IFERROR(
  VLOOKUP(
    A71,
    IMPORTRANGE(
      ""1SCYQd7_cobOYqT0r_F0IqD4tE4rYn5y8Eup4PJTH8es"",
      ""Snapshot!A:M""
    ),
    5,
    FALSE
  ),
  ""-""
)
"),1.0)</f>
        <v>1</v>
      </c>
      <c r="AF71" s="54">
        <f>IFERROR(__xludf.DUMMYFUNCTION("IFERROR(
  VLOOKUP(
    A71,
    IMPORTRANGE(
      ""1SCYQd7_cobOYqT0r_F0IqD4tE4rYn5y8Eup4PJTH8es"",
      ""Snapshot!A:M""
    ),
    6,
    FALSE
  ),
  0
)
"),0.0)</f>
        <v>0</v>
      </c>
      <c r="AG71" s="54">
        <f>IFERROR(__xludf.DUMMYFUNCTION("IFERROR(
  VLOOKUP(
    A71,
    IMPORTRANGE(
      ""1SCYQd7_cobOYqT0r_F0IqD4tE4rYn5y8Eup4PJTH8es"",
      ""Snapshot!A:M""
    ),
    7,
    FALSE
  ),
  0
)
"),2285.0)</f>
        <v>2285</v>
      </c>
      <c r="AH71" s="54">
        <f>IFERROR(__xludf.DUMMYFUNCTION("IFERROR(
  VLOOKUP(
    A71,
    IMPORTRANGE(
      ""1SCYQd7_cobOYqT0r_F0IqD4tE4rYn5y8Eup4PJTH8es"",
      ""Snapshot!A:M""
    ),
    8,
    FALSE
  ),
  0
)
"),1.0)</f>
        <v>1</v>
      </c>
      <c r="AI71" s="54">
        <f>IFERROR(__xludf.DUMMYFUNCTION("IFERROR(
  VLOOKUP(
    A71,
    IMPORTRANGE(
      ""1SCYQd7_cobOYqT0r_F0IqD4tE4rYn5y8Eup4PJTH8es"",
      ""Snapshot!A:M""
    ),
    9,
    FALSE
  ),
  0
)
"),4.0)</f>
        <v>4</v>
      </c>
      <c r="AJ71" s="54">
        <f>IFERROR(__xludf.DUMMYFUNCTION("IFERROR(
  VLOOKUP(
    A71,
    IMPORTRANGE(
      ""1SCYQd7_cobOYqT0r_F0IqD4tE4rYn5y8Eup4PJTH8es"",
      ""Snapshot!A:M""
    ),
    13,
    FALSE
  ),
  0
)
"),1.0)</f>
        <v>1</v>
      </c>
      <c r="AK71" s="49">
        <f t="shared" ref="AK71:AL71" si="350">LEN(C71)</f>
        <v>30</v>
      </c>
      <c r="AL71" s="49">
        <f t="shared" si="350"/>
        <v>57</v>
      </c>
    </row>
    <row r="72">
      <c r="A72" s="3" t="s">
        <v>1158</v>
      </c>
      <c r="B72" s="1" t="str">
        <f>IFERROR(__xludf.DUMMYFUNCTION("IFERROR(
  VLOOKUP(
    A72,
    IMPORTRANGE(
      ""1ZygntHC1J6IxzKbTidmOyf5nUyW4GCLurHCjexrLm_o"",
      ""HTMLキャッシュ!A:F""
    ),
    2,
    FALSE
  ),
  0
)
"),"MC")</f>
        <v>MC</v>
      </c>
      <c r="C72" s="1" t="str">
        <f>IFERROR(__xludf.DUMMYFUNCTION("IFERROR(
  VLOOKUP(
    A72,
    IMPORTRANGE(
      ""1ZygntHC1J6IxzKbTidmOyf5nUyW4GCLurHCjexrLm_o"",
      ""HTMLキャッシュ!A:F""
    ),
    5,
    FALSE
  ),
  0
)
"),"現在進行形の否定文｜be going toのnot位置")</f>
        <v>現在進行形の否定文｜be going toのnot位置</v>
      </c>
      <c r="D72" s="1" t="str">
        <f>IFERROR(__xludf.DUMMYFUNCTION("IFERROR(
  VLOOKUP(
    A72,
    IMPORTRANGE(
      ""1ZygntHC1J6IxzKbTidmOyf5nUyW4GCLurHCjexrLm_o        "",
      ""HTMLキャッシュ!A:F""
    ),
    6,
    FALSE
  ),
  0
)
"),"現在進行形の否定文はbe動詞の直後にnot。I am not studyingの形と、be going to否定（I am not going to＋原形）を例文で整理。")</f>
        <v>現在進行形の否定文はbe動詞の直後にnot。I am not studyingの形と、be going to否定（I am not going to＋原形）を例文で整理。</v>
      </c>
      <c r="E72" s="32">
        <f>IFERROR(__xludf.DUMMYFUNCTION("IFERROR(
  VLOOKUP(
    A72,
    IMPORTRANGE(
      ""1ZygntHC1J6IxzKbTidmOyf5nUyW4GCLurHCjexrLm_o        "",
      ""HTMLキャッシュ!A:F""
    ),
    3,
    FALSE
  ),
  0
)
"),46071.78355324074)</f>
        <v>46071.78355</v>
      </c>
      <c r="F72" s="49">
        <f>IFERROR(__xludf.DUMMYFUNCTION("IFERROR(
  VLOOKUP(
    A72,
    IMPORTRANGE(
      ""1ZHMy3vVUd_0MrSduXTe1etBb1HNpAlGwQr006ljwMiM"",
      ""GSC最新!A:F""
    ),
    2,
    FALSE
  ),
  0
)
"),5.0)</f>
        <v>5</v>
      </c>
      <c r="G72" s="49">
        <f>IFERROR(__xludf.DUMMYFUNCTION("IFERROR(
  VLOOKUP(
    A72,
    IMPORTRANGE(
      ""1ZHMy3vVUd_0MrSduXTe1etBb1HNpAlGwQr006ljwMiM"",
      ""GSC最新!A:F""
    ),
    3,
    FALSE
  ),
  0
)
"),5.0)</f>
        <v>5</v>
      </c>
      <c r="H72" s="49">
        <f>IFERROR(__xludf.DUMMYFUNCTION("IFERROR(
  VLOOKUP(
    A72,
    IMPORTRANGE(
      ""1ZHMy3vVUd_0MrSduXTe1etBb1HNpAlGwQr006ljwMiM"",
      ""GSC最新!A:F""
    ),
    4,
    FALSE
  ),
  0
)
"),1.0)</f>
        <v>1</v>
      </c>
      <c r="I72" s="49">
        <f>IFERROR(__xludf.DUMMYFUNCTION("IFERROR(
  VLOOKUP(
    A72,
    IMPORTRANGE(
      ""1ZHMy3vVUd_0MrSduXTe1etBb1HNpAlGwQr006ljwMiM"",
      ""GSC最新!A:F""
    ),
    5,
    FALSE
  ),
  0
)
"),3.0)</f>
        <v>3</v>
      </c>
      <c r="J72" s="50">
        <f t="shared" ref="J72:K72" si="351">IFERROR(F72/H72,"-")</f>
        <v>5</v>
      </c>
      <c r="K72" s="50">
        <f t="shared" si="351"/>
        <v>1.666666667</v>
      </c>
      <c r="L72" s="6">
        <f>IFERROR(__xludf.DUMMYFUNCTION("IFERROR(
  VLOOKUP(
    A72,
    IMPORTRANGE(
      ""1ZHMy3vVUd_0MrSduXTe1etBb1HNpAlGwQr006ljwMiM"",
      ""GSC最新!A:R""
    ),
    7,
    FALSE
  ),
  0
)
"),1233.0)</f>
        <v>1233</v>
      </c>
      <c r="M72" s="6">
        <f>IFERROR(__xludf.DUMMYFUNCTION("IFERROR(
  VLOOKUP(
    A72,
    IMPORTRANGE(
      ""1ZHMy3vVUd_0MrSduXTe1etBb1HNpAlGwQr006ljwMiM"",
      ""GSC最新!A:R""
    ),
    10,
    FALSE
  ),
  0
)
"),2253.0)</f>
        <v>2253</v>
      </c>
      <c r="N72" s="6">
        <f>IFERROR(__xludf.DUMMYFUNCTION("IFERROR(
  VLOOKUP(
    A72,
    IMPORTRANGE(
      ""1ZHMy3vVUd_0MrSduXTe1etBb1HNpAlGwQr006ljwMiM"",
      ""GSC最新!A:R""
    ),
    13,
    FALSE
  ),
  0
)
"),225.0)</f>
        <v>225</v>
      </c>
      <c r="O72" s="6">
        <f>IFERROR(__xludf.DUMMYFUNCTION("IFERROR(
  VLOOKUP(
    A72,
    IMPORTRANGE(
      ""1ZHMy3vVUd_0MrSduXTe1etBb1HNpAlGwQr006ljwMiM"",
      ""GSC最新!A:R""
    ),
    16,
    FALSE
  ),
  0
)
"),521.0)</f>
        <v>521</v>
      </c>
      <c r="P72" s="51">
        <f t="shared" ref="P72:Q72" si="352">IFERROR(L72/N72,"-")</f>
        <v>5.48</v>
      </c>
      <c r="Q72" s="51">
        <f t="shared" si="352"/>
        <v>4.3243762</v>
      </c>
      <c r="R72" s="9">
        <f>IFERROR(__xludf.DUMMYFUNCTION("IFERROR(
  VLOOKUP(
    A72,
    IMPORTRANGE(
      ""1ZHMy3vVUd_0MrSduXTe1etBb1HNpAlGwQr006ljwMiM"",
      ""GSC最新!A:R""
    ),
    8,
    FALSE
  ),
  0
)
"),0.0040551500405515)</f>
        <v>0.004055150041</v>
      </c>
      <c r="S72" s="9">
        <f>IFERROR(__xludf.DUMMYFUNCTION("IFERROR(
  VLOOKUP(
    A72,
    IMPORTRANGE(
      ""1ZHMy3vVUd_0MrSduXTe1etBb1HNpAlGwQr006ljwMiM"",
      ""GSC最新!A:R""
    ),
    11,
    FALSE
  ),
  0
)
"),0.0022192632046160675)</f>
        <v>0.002219263205</v>
      </c>
      <c r="T72" s="9">
        <f>IFERROR(__xludf.DUMMYFUNCTION("IFERROR(
  VLOOKUP(
    A72,
    IMPORTRANGE(
      ""1ZHMy3vVUd_0MrSduXTe1etBb1HNpAlGwQr006ljwMiM"",
      ""GSC最新!A:R""
    ),
    14,
    FALSE
  ),
  0
)
"),0.0044444444444444444)</f>
        <v>0.004444444444</v>
      </c>
      <c r="U72" s="9">
        <f>IFERROR(__xludf.DUMMYFUNCTION("IFERROR(
  VLOOKUP(
    A72,
    IMPORTRANGE(
      ""1ZHMy3vVUd_0MrSduXTe1etBb1HNpAlGwQr006ljwMiM"",
      ""GSC最新!A:R""
    ),
    17,
    FALSE
  ),
  0
)
"),0.005758157389635317)</f>
        <v>0.00575815739</v>
      </c>
      <c r="V72" s="9">
        <f t="shared" ref="V72:W72" si="353">IFERROR(R72-T72,"-")</f>
        <v>-0.0003892944039</v>
      </c>
      <c r="W72" s="9">
        <f t="shared" si="353"/>
        <v>-0.003538894185</v>
      </c>
      <c r="X72" s="65">
        <f>IFERROR(__xludf.DUMMYFUNCTION("IFERROR(
  VLOOKUP(
    A72,
    IMPORTRANGE(
      ""1ZHMy3vVUd_0MrSduXTe1etBb1HNpAlGwQr006ljwMiM"",
      ""GSC最新!A:R""
    ),
    9,
    FALSE
  ),
  0
)
"),6.295214922952149)</f>
        <v>6.295214923</v>
      </c>
      <c r="Y72" s="65">
        <f>IFERROR(__xludf.DUMMYFUNCTION("IFERROR(
  VLOOKUP(
    A72,
    IMPORTRANGE(
      ""1ZHMy3vVUd_0MrSduXTe1etBb1HNpAlGwQr006ljwMiM"",
      ""GSC最新!A:R""
    ),
    12,
    FALSE
  ),
  0
)
"),6.460275188637373)</f>
        <v>6.460275189</v>
      </c>
      <c r="Z72" s="65">
        <f>IFERROR(__xludf.DUMMYFUNCTION("IFERROR(
  VLOOKUP(
    A72,
    IMPORTRANGE(
      ""1ZHMy3vVUd_0MrSduXTe1etBb1HNpAlGwQr006ljwMiM"",
      ""GSC最新!A:R""
    ),
    15,
    FALSE
  ),
  0
)
"),10.12)</f>
        <v>10.12</v>
      </c>
      <c r="AA72" s="65">
        <f>IFERROR(__xludf.DUMMYFUNCTION("IFERROR(
  VLOOKUP(
    A72,
    IMPORTRANGE(
      ""1ZHMy3vVUd_0MrSduXTe1etBb1HNpAlGwQr006ljwMiM"",
      ""GSC最新!A:R""
    ),
    18,
    FALSE
  ),
  0
)
"),10.508637236084454)</f>
        <v>10.50863724</v>
      </c>
      <c r="AB72" s="65">
        <f t="shared" ref="AB72:AC72" si="354">X72-Z72</f>
        <v>-3.824785077</v>
      </c>
      <c r="AC72" s="65">
        <f t="shared" si="354"/>
        <v>-4.048362047</v>
      </c>
      <c r="AD72" s="53">
        <f>IFERROR(__xludf.DUMMYFUNCTION("IFERROR(
  VLOOKUP(
    A72,
    IMPORTRANGE(
      ""1ZHMy3vVUd_0MrSduXTe1etBb1HNpAlGwQr006ljwMiM"",
      ""GSC最新!A:F""
    ),
    6,
    FALSE
  ),
  0
)
"),46081.0)</f>
        <v>46081</v>
      </c>
      <c r="AE72" s="54">
        <f>IFERROR(__xludf.DUMMYFUNCTION("IFERROR(
  VLOOKUP(
    A72,
    IMPORTRANGE(
      ""1SCYQd7_cobOYqT0r_F0IqD4tE4rYn5y8Eup4PJTH8es"",
      ""Snapshot!A:M""
    ),
    5,
    FALSE
  ),
  ""-""
)
"),1.0)</f>
        <v>1</v>
      </c>
      <c r="AF72" s="54">
        <f>IFERROR(__xludf.DUMMYFUNCTION("IFERROR(
  VLOOKUP(
    A72,
    IMPORTRANGE(
      ""1SCYQd7_cobOYqT0r_F0IqD4tE4rYn5y8Eup4PJTH8es"",
      ""Snapshot!A:M""
    ),
    6,
    FALSE
  ),
  0
)
"),3.0)</f>
        <v>3</v>
      </c>
      <c r="AG72" s="54">
        <f>IFERROR(__xludf.DUMMYFUNCTION("IFERROR(
  VLOOKUP(
    A72,
    IMPORTRANGE(
      ""1SCYQd7_cobOYqT0r_F0IqD4tE4rYn5y8Eup4PJTH8es"",
      ""Snapshot!A:M""
    ),
    7,
    FALSE
  ),
  0
)
"),1232.0)</f>
        <v>1232</v>
      </c>
      <c r="AH72" s="54">
        <f>IFERROR(__xludf.DUMMYFUNCTION("IFERROR(
  VLOOKUP(
    A72,
    IMPORTRANGE(
      ""1SCYQd7_cobOYqT0r_F0IqD4tE4rYn5y8Eup4PJTH8es"",
      ""Snapshot!A:M""
    ),
    8,
    FALSE
  ),
  0
)
"),0.0)</f>
        <v>0</v>
      </c>
      <c r="AI72" s="54">
        <f>IFERROR(__xludf.DUMMYFUNCTION("IFERROR(
  VLOOKUP(
    A72,
    IMPORTRANGE(
      ""1SCYQd7_cobOYqT0r_F0IqD4tE4rYn5y8Eup4PJTH8es"",
      ""Snapshot!A:M""
    ),
    9,
    FALSE
  ),
  0
)
"),1.0)</f>
        <v>1</v>
      </c>
      <c r="AJ72" s="54">
        <f>IFERROR(__xludf.DUMMYFUNCTION("IFERROR(
  VLOOKUP(
    A72,
    IMPORTRANGE(
      ""1SCYQd7_cobOYqT0r_F0IqD4tE4rYn5y8Eup4PJTH8es"",
      ""Snapshot!A:M""
    ),
    13,
    FALSE
  ),
  0
)
"),1.0)</f>
        <v>1</v>
      </c>
      <c r="AK72" s="49">
        <f t="shared" ref="AK72:AL72" si="355">LEN(C72)</f>
        <v>27</v>
      </c>
      <c r="AL72" s="49">
        <f t="shared" si="355"/>
        <v>85</v>
      </c>
    </row>
    <row r="73">
      <c r="A73" s="3" t="s">
        <v>1159</v>
      </c>
      <c r="B73" s="1" t="str">
        <f>IFERROR(__xludf.DUMMYFUNCTION("IFERROR(
  VLOOKUP(
    A73,
    IMPORTRANGE(
      ""1ZygntHC1J6IxzKbTidmOyf5nUyW4GCLurHCjexrLm_o"",
      ""HTMLキャッシュ!A:F""
    ),
    2,
    FALSE
  ),
  0
)
"),"MC")</f>
        <v>MC</v>
      </c>
      <c r="C73" s="1" t="str">
        <f>IFERROR(__xludf.DUMMYFUNCTION("IFERROR(
  VLOOKUP(
    A73,
    IMPORTRANGE(
      ""1ZygntHC1J6IxzKbTidmOyf5nUyW4GCLurHCjexrLm_o"",
      ""HTMLキャッシュ!A:F""
    ),
    5,
    FALSE
  ),
  0
)
"),"一般動詞現在形の疑問文と否定文｜基本ルールと使い方解説")</f>
        <v>一般動詞現在形の疑問文と否定文｜基本ルールと使い方解説</v>
      </c>
      <c r="D73" s="1" t="str">
        <f>IFERROR(__xludf.DUMMYFUNCTION("IFERROR(
  VLOOKUP(
    A73,
    IMPORTRANGE(
      ""1ZygntHC1J6IxzKbTidmOyf5nUyW4GCLurHCjexrLm_o        "",
      ""HTMLキャッシュ!A:F""
    ),
    6,
    FALSE
  ),
  0
)
"),"形容詞は名詞の前に置く理由を整理。a/an＋形容詞＋名詞の語順、疑問文と返答、省略記号まで定期テストで迷わない形にまとめます。")</f>
        <v>形容詞は名詞の前に置く理由を整理。a/an＋形容詞＋名詞の語順、疑問文と返答、省略記号まで定期テストで迷わない形にまとめます。</v>
      </c>
      <c r="E73" s="32">
        <f>IFERROR(__xludf.DUMMYFUNCTION("IFERROR(
  VLOOKUP(
    A73,
    IMPORTRANGE(
      ""1ZygntHC1J6IxzKbTidmOyf5nUyW4GCLurHCjexrLm_o        "",
      ""HTMLキャッシュ!A:F""
    ),
    3,
    FALSE
  ),
  0
)
"),46078.59409722222)</f>
        <v>46078.5941</v>
      </c>
      <c r="F73" s="49">
        <f>IFERROR(__xludf.DUMMYFUNCTION("IFERROR(
  VLOOKUP(
    A73,
    IMPORTRANGE(
      ""1ZHMy3vVUd_0MrSduXTe1etBb1HNpAlGwQr006ljwMiM"",
      ""GSC最新!A:F""
    ),
    2,
    FALSE
  ),
  0
)
"),0.0)</f>
        <v>0</v>
      </c>
      <c r="G73" s="49">
        <f>IFERROR(__xludf.DUMMYFUNCTION("IFERROR(
  VLOOKUP(
    A73,
    IMPORTRANGE(
      ""1ZHMy3vVUd_0MrSduXTe1etBb1HNpAlGwQr006ljwMiM"",
      ""GSC最新!A:F""
    ),
    3,
    FALSE
  ),
  0
)
"),3.0)</f>
        <v>3</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"),1.0)</f>
        <v>1</v>
      </c>
      <c r="J73" s="50" t="str">
        <f t="shared" ref="J73:K73" si="356">IFERROR(F73/H73,"-")</f>
        <v>-</v>
      </c>
      <c r="K73" s="50">
        <f t="shared" si="356"/>
        <v>3</v>
      </c>
      <c r="L73" s="6">
        <f>IFERROR(__xludf.DUMMYFUNCTION("IFERROR(
  VLOOKUP(
    A73,
    IMPORTRANGE(
      ""1ZHMy3vVUd_0MrSduXTe1etBb1HNpAlGwQr006ljwMiM"",
      ""GSC最新!A:R""
    ),
    7,
    FALSE
  ),
  0
)
"),935.0)</f>
        <v>935</v>
      </c>
      <c r="M73" s="6">
        <f>IFERROR(__xludf.DUMMYFUNCTION("IFERROR(
  VLOOKUP(
    A73,
    IMPORTRANGE(
      ""1ZHMy3vVUd_0MrSduXTe1etBb1HNpAlGwQr006ljwMiM"",
      ""GSC最新!A:R""
    ),
    10,
    FALSE
  ),
  0
)
"),1715.0)</f>
        <v>1715</v>
      </c>
      <c r="N73" s="6">
        <f>IFERROR(__xludf.DUMMYFUNCTION("IFERROR(
  VLOOKUP(
    A73,
    IMPORTRANGE(
      ""1ZHMy3vVUd_0MrSduXTe1etBb1HNpAlGwQr006ljwMiM"",
      ""GSC最新!A:R""
    ),
    13,
    FALSE
  ),
  0
)
"),219.0)</f>
        <v>219</v>
      </c>
      <c r="O73" s="6">
        <f>IFERROR(__xludf.DUMMYFUNCTION("IFERROR(
  VLOOKUP(
    A73,
    IMPORTRANGE(
      ""1ZHMy3vVUd_0MrSduXTe1etBb1HNpAlGwQr006ljwMiM"",
      ""GSC最新!A:R""
    ),
    16,
    FALSE
  ),
  0
)
"),852.0)</f>
        <v>852</v>
      </c>
      <c r="P73" s="51">
        <f t="shared" ref="P73:Q73" si="357">IFERROR(L73/N73,"-")</f>
        <v>4.269406393</v>
      </c>
      <c r="Q73" s="51">
        <f t="shared" si="357"/>
        <v>2.012910798</v>
      </c>
      <c r="R73" s="9">
        <f>IFERROR(__xludf.DUMMYFUNCTION("IFERROR(
  VLOOKUP(
    A73,
    IMPORTRANGE(
      ""1ZHMy3vVUd_0MrSduXTe1etBb1HNpAlGwQr006ljwMiM"",
      ""GSC最新!A:R""
    ),
    8,
    FALSE
  ),
  0
)
"),0.0)</f>
        <v>0</v>
      </c>
      <c r="S73" s="9">
        <f>IFERROR(__xludf.DUMMYFUNCTION("IFERROR(
  VLOOKUP(
    A73,
    IMPORTRANGE(
      ""1ZHMy3vVUd_0MrSduXTe1etBb1HNpAlGwQr006ljwMiM"",
      ""GSC最新!A:R""
    ),
    11,
    FALSE
  ),
  0
)
"),0.001749271137026239)</f>
        <v>0.001749271137</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"),0.0011737089201877935)</f>
        <v>0.00117370892</v>
      </c>
      <c r="V73" s="9">
        <f t="shared" ref="V73:W73" si="358">IFERROR(R73-T73,"-")</f>
        <v>0</v>
      </c>
      <c r="W73" s="9">
        <f t="shared" si="358"/>
        <v>0.0005755622168</v>
      </c>
      <c r="X73" s="65">
        <f>IFERROR(__xludf.DUMMYFUNCTION("IFERROR(
  VLOOKUP(
    A73,
    IMPORTRANGE(
      ""1ZHMy3vVUd_0MrSduXTe1etBb1HNpAlGwQr006ljwMiM"",
      ""GSC最新!A:R""
    ),
    9,
    FALSE
  ),
  0
)
"),5.40427807486631)</f>
        <v>5.404278075</v>
      </c>
      <c r="Y73" s="65">
        <f>IFERROR(__xludf.DUMMYFUNCTION("IFERROR(
  VLOOKUP(
    A73,
    IMPORTRANGE(
      ""1ZHMy3vVUd_0MrSduXTe1etBb1HNpAlGwQr006ljwMiM"",
      ""GSC最新!A:R""
    ),
    12,
    FALSE
  ),
  0
)
"),7.721282798833819)</f>
        <v>7.721282799</v>
      </c>
      <c r="Z73" s="65">
        <f>IFERROR(__xludf.DUMMYFUNCTION("IFERROR(
  VLOOKUP(
    A73,
    IMPORTRANGE(
      ""1ZHMy3vVUd_0MrSduXTe1etBb1HNpAlGwQr006ljwMiM"",
      ""GSC最新!A:R""
    ),
    15,
    FALSE
  ),
  0
)
"),22.958904109589042)</f>
        <v>22.95890411</v>
      </c>
      <c r="AA73" s="65">
        <f>IFERROR(__xludf.DUMMYFUNCTION("IFERROR(
  VLOOKUP(
    A73,
    IMPORTRANGE(
      ""1ZHMy3vVUd_0MrSduXTe1etBb1HNpAlGwQr006ljwMiM"",
      ""GSC最新!A:R""
    ),
    18,
    FALSE
  ),
  0
)
"),18.828638497652584)</f>
        <v>18.8286385</v>
      </c>
      <c r="AB73" s="65">
        <f t="shared" ref="AB73:AC73" si="359">X73-Z73</f>
        <v>-17.55462603</v>
      </c>
      <c r="AC73" s="65">
        <f t="shared" si="359"/>
        <v>-11.1073557</v>
      </c>
      <c r="AD73" s="53">
        <f>IFERROR(__xludf.DUMMYFUNCTION("IFERROR(
  VLOOKUP(
    A73,
    IMPORTRANGE(
      ""1ZHMy3vVUd_0MrSduXTe1etBb1HNpAlGwQr006ljwMiM"",
      ""GSC最新!A:F""
    ),
    6,
    FALSE
  ),
  0
)
"),46081.0)</f>
        <v>46081</v>
      </c>
      <c r="AE73" s="54">
        <f>IFERROR(__xludf.DUMMYFUNCTION("IFERROR(
  VLOOKUP(
    A73,
    IMPORTRANGE(
      ""1SCYQd7_cobOYqT0r_F0IqD4tE4rYn5y8Eup4PJTH8es"",
      ""Snapshot!A:M""
    ),
    5,
    FALSE
  ),
  ""-""
)
"),0.0)</f>
        <v>0</v>
      </c>
      <c r="AF73" s="54">
        <f>IFERROR(__xludf.DUMMYFUNCTION("IFERROR(
  VLOOKUP(
    A73,
    IMPORTRANGE(
      ""1SCYQd7_cobOYqT0r_F0IqD4tE4rYn5y8Eup4PJTH8es"",
      ""Snapshot!A:M""
    ),
    6,
    FALSE
  ),
  0
)
"),4.0)</f>
        <v>4</v>
      </c>
      <c r="AG73" s="54">
        <f>IFERROR(__xludf.DUMMYFUNCTION("IFERROR(
  VLOOKUP(
    A73,
    IMPORTRANGE(
      ""1SCYQd7_cobOYqT0r_F0IqD4tE4rYn5y8Eup4PJTH8es"",
      ""Snapshot!A:M""
    ),
    7,
    FALSE
  ),
  0
)
"),2128.0)</f>
        <v>2128</v>
      </c>
      <c r="AH73" s="54">
        <f>IFERROR(__xludf.DUMMYFUNCTION("IFERROR(
  VLOOKUP(
    A73,
    IMPORTRANGE(
      ""1SCYQd7_cobOYqT0r_F0IqD4tE4rYn5y8Eup4PJTH8es"",
      ""Snapshot!A:M""
    ),
    8,
    FALSE
  ),
  0
)
"),1.0)</f>
        <v>1</v>
      </c>
      <c r="AI73" s="54">
        <f>IFERROR(__xludf.DUMMYFUNCTION("IFERROR(
  VLOOKUP(
    A73,
    IMPORTRANGE(
      ""1SCYQd7_cobOYqT0r_F0IqD4tE4rYn5y8Eup4PJTH8es"",
      ""Snapshot!A:M""
    ),
    9,
    FALSE
  ),
  0
)
"),4.0)</f>
        <v>4</v>
      </c>
      <c r="AJ73" s="54">
        <f>IFERROR(__xludf.DUMMYFUNCTION("IFERROR(
  VLOOKUP(
    A73,
    IMPORTRANGE(
      ""1SCYQd7_cobOYqT0r_F0IqD4tE4rYn5y8Eup4PJTH8es"",
      ""Snapshot!A:M""
    ),
    13,
    FALSE
  ),
  0
)
"),1.0)</f>
        <v>1</v>
      </c>
      <c r="AK73" s="49">
        <f t="shared" ref="AK73:AL73" si="360">LEN(C73)</f>
        <v>27</v>
      </c>
      <c r="AL73" s="49">
        <f t="shared" si="360"/>
        <v>63</v>
      </c>
    </row>
    <row r="74">
      <c r="A74" s="3" t="s">
        <v>1160</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"),"過去進行形とは｜was/were＋動詞ing の形と用法を徹底解説")</f>
        <v>過去進行形とは｜was/were＋動詞ing の形と用法を徹底解説</v>
      </c>
      <c r="D74" s="1" t="str">
        <f>IFERROR(__xludf.DUMMYFUNCTION("IFERROR(
  VLOOKUP(
    A74,
    IMPORTRANGE(
      ""1ZygntHC1J6IxzKbTidmOyf5nUyW4GCLurHCjexrLm_o        "",
      ""HTMLキャッシュ!A:F""
    ),
    6,
    FALSE
  ),
  0
)
"),"過去進行形はingだけではない。was/were＋ingの形、例文、疑問文の語順を現在進行形から整理して確認。中学生向け解説。")</f>
        <v>過去進行形はingだけではない。was/were＋ingの形、例文、疑問文の語順を現在進行形から整理して確認。中学生向け解説。</v>
      </c>
      <c r="E74" s="32">
        <f>IFERROR(__xludf.DUMMYFUNCTION("IFERROR(
  VLOOKUP(
    A74,
    IMPORTRANGE(
      ""1ZygntHC1J6IxzKbTidmOyf5nUyW4GCLurHCjexrLm_o        "",
      ""HTMLキャッシュ!A:F""
    ),
    3,
    FALSE
  ),
  0
)
"),46074.57891203704)</f>
        <v>46074.57891</v>
      </c>
      <c r="F74" s="49">
        <f>IFERROR(__xludf.DUMMYFUNCTION("IFERROR(
  VLOOKUP(
    A74,
    IMPORTRANGE(
      ""1ZHMy3vVUd_0MrSduXTe1etBb1HNpAlGwQr006ljwMiM"",
      ""GSC最新!A:F""
    ),
    2,
    FALSE
  ),
  0
)
"),4.0)</f>
        <v>4</v>
      </c>
      <c r="G74" s="49">
        <f>IFERROR(__xludf.DUMMYFUNCTION("IFERROR(
  VLOOKUP(
    A74,
    IMPORTRANGE(
      ""1ZHMy3vVUd_0MrSduXTe1etBb1HNpAlGwQr006ljwMiM"",
      ""GSC最新!A:F""
    ),
    3,
    FALSE
  ),
  0
)
"),5.0)</f>
        <v>5</v>
      </c>
      <c r="H74" s="49">
        <f>IFERROR(__xludf.DUMMYFUNCTION("IFERROR(
  VLOOKUP(
    A74,
    IMPORTRANGE(
      ""1ZHMy3vVUd_0MrSduXTe1etBb1HNpAlGwQr006ljwMiM"",
      ""GSC最新!A:F""
    ),
    4,
    FALSE
  ),
  0
)
"),1.0)</f>
        <v>1</v>
      </c>
      <c r="I74" s="49">
        <f>IFERROR(__xludf.DUMMYFUNCTION("IFERROR(
  VLOOKUP(
    A74,
    IMPORTRANGE(
      ""1ZHMy3vVUd_0MrSduXTe1etBb1HNpAlGwQr006ljwMiM"",
      ""GSC最新!A:F""
    ),
    5,
    FALSE
  ),
  0
)
"),1.0)</f>
        <v>1</v>
      </c>
      <c r="J74" s="50">
        <f t="shared" ref="J74:K74" si="361">IFERROR(F74/H74,"-")</f>
        <v>4</v>
      </c>
      <c r="K74" s="50">
        <f t="shared" si="361"/>
        <v>5</v>
      </c>
      <c r="L74" s="6">
        <f>IFERROR(__xludf.DUMMYFUNCTION("IFERROR(
  VLOOKUP(
    A74,
    IMPORTRANGE(
      ""1ZHMy3vVUd_0MrSduXTe1etBb1HNpAlGwQr006ljwMiM"",
      ""GSC最新!A:R""
    ),
    7,
    FALSE
  ),
  0
)
"),1179.0)</f>
        <v>1179</v>
      </c>
      <c r="M74" s="6">
        <f>IFERROR(__xludf.DUMMYFUNCTION("IFERROR(
  VLOOKUP(
    A74,
    IMPORTRANGE(
      ""1ZHMy3vVUd_0MrSduXTe1etBb1HNpAlGwQr006ljwMiM"",
      ""GSC最新!A:R""
    ),
    10,
    FALSE
  ),
  0
)
"),1296.0)</f>
        <v>1296</v>
      </c>
      <c r="N74" s="6">
        <f>IFERROR(__xludf.DUMMYFUNCTION("IFERROR(
  VLOOKUP(
    A74,
    IMPORTRANGE(
      ""1ZHMy3vVUd_0MrSduXTe1etBb1HNpAlGwQr006ljwMiM"",
      ""GSC最新!A:R""
    ),
    13,
    FALSE
  ),
  0
)
"),204.0)</f>
        <v>204</v>
      </c>
      <c r="O74" s="6">
        <f>IFERROR(__xludf.DUMMYFUNCTION("IFERROR(
  VLOOKUP(
    A74,
    IMPORTRANGE(
      ""1ZHMy3vVUd_0MrSduXTe1etBb1HNpAlGwQr006ljwMiM"",
      ""GSC最新!A:R""
    ),
    16,
    FALSE
  ),
  0
)
"),730.0)</f>
        <v>730</v>
      </c>
      <c r="P74" s="51">
        <f t="shared" ref="P74:Q74" si="362">IFERROR(L74/N74,"-")</f>
        <v>5.779411765</v>
      </c>
      <c r="Q74" s="51">
        <f t="shared" si="362"/>
        <v>1.775342466</v>
      </c>
      <c r="R74" s="9">
        <f>IFERROR(__xludf.DUMMYFUNCTION("IFERROR(
  VLOOKUP(
    A74,
    IMPORTRANGE(
      ""1ZHMy3vVUd_0MrSduXTe1etBb1HNpAlGwQr006ljwMiM"",
      ""GSC最新!A:R""
    ),
    8,
    FALSE
  ),
  0
)
"),0.0033927056827820186)</f>
        <v>0.003392705683</v>
      </c>
      <c r="S74" s="9">
        <f>IFERROR(__xludf.DUMMYFUNCTION("IFERROR(
  VLOOKUP(
    A74,
    IMPORTRANGE(
      ""1ZHMy3vVUd_0MrSduXTe1etBb1HNpAlGwQr006ljwMiM"",
      ""GSC最新!A:R""
    ),
    11,
    FALSE
  ),
  0
)
"),0.0038580246913580245)</f>
        <v>0.003858024691</v>
      </c>
      <c r="T74" s="9">
        <f>IFERROR(__xludf.DUMMYFUNCTION("IFERROR(
  VLOOKUP(
    A74,
    IMPORTRANGE(
      ""1ZHMy3vVUd_0MrSduXTe1etBb1HNpAlGwQr006ljwMiM"",
      ""GSC最新!A:R""
    ),
    14,
    FALSE
  ),
  0
)
"),0.004901960784313725)</f>
        <v>0.004901960784</v>
      </c>
      <c r="U74" s="9">
        <f>IFERROR(__xludf.DUMMYFUNCTION("IFERROR(
  VLOOKUP(
    A74,
    IMPORTRANGE(
      ""1ZHMy3vVUd_0MrSduXTe1etBb1HNpAlGwQr006ljwMiM"",
      ""GSC最新!A:R""
    ),
    17,
    FALSE
  ),
  0
)
"),0.0013698630136986301)</f>
        <v>0.001369863014</v>
      </c>
      <c r="V74" s="9">
        <f t="shared" ref="V74:W74" si="363">IFERROR(R74-T74,"-")</f>
        <v>-0.001509255102</v>
      </c>
      <c r="W74" s="9">
        <f t="shared" si="363"/>
        <v>0.002488161678</v>
      </c>
      <c r="X74" s="65">
        <f>IFERROR(__xludf.DUMMYFUNCTION("IFERROR(
  VLOOKUP(
    A74,
    IMPORTRANGE(
      ""1ZHMy3vVUd_0MrSduXTe1etBb1HNpAlGwQr006ljwMiM"",
      ""GSC最新!A:R""
    ),
    9,
    FALSE
  ),
  0
)
"),8.8490245971162)</f>
        <v>8.849024597</v>
      </c>
      <c r="Y74" s="65">
        <f>IFERROR(__xludf.DUMMYFUNCTION("IFERROR(
  VLOOKUP(
    A74,
    IMPORTRANGE(
      ""1ZHMy3vVUd_0MrSduXTe1etBb1HNpAlGwQr006ljwMiM"",
      ""GSC最新!A:R""
    ),
    12,
    FALSE
  ),
  0
)
"),8.942901234567902)</f>
        <v>8.942901235</v>
      </c>
      <c r="Z74" s="65">
        <f>IFERROR(__xludf.DUMMYFUNCTION("IFERROR(
  VLOOKUP(
    A74,
    IMPORTRANGE(
      ""1ZHMy3vVUd_0MrSduXTe1etBb1HNpAlGwQr006ljwMiM"",
      ""GSC最新!A:R""
    ),
    15,
    FALSE
  ),
  0
)
"),29.80392156862745)</f>
        <v>29.80392157</v>
      </c>
      <c r="AA74" s="65">
        <f>IFERROR(__xludf.DUMMYFUNCTION("IFERROR(
  VLOOKUP(
    A74,
    IMPORTRANGE(
      ""1ZHMy3vVUd_0MrSduXTe1etBb1HNpAlGwQr006ljwMiM"",
      ""GSC最新!A:R""
    ),
    18,
    FALSE
  ),
  0
)
"),25.976712328767125)</f>
        <v>25.97671233</v>
      </c>
      <c r="AB74" s="65">
        <f t="shared" ref="AB74:AC74" si="364">X74-Z74</f>
        <v>-20.95489697</v>
      </c>
      <c r="AC74" s="65">
        <f t="shared" si="364"/>
        <v>-17.03381109</v>
      </c>
      <c r="AD74" s="53">
        <f>IFERROR(__xludf.DUMMYFUNCTION("IFERROR(
  VLOOKUP(
    A74,
    IMPORTRANGE(
      ""1ZHMy3vVUd_0MrSduXTe1etBb1HNpAlGwQr006ljwMiM"",
      ""GSC最新!A:F""
    ),
    6,
    FALSE
  ),
  0
)
"),46081.0)</f>
        <v>46081</v>
      </c>
      <c r="AE74" s="54">
        <f>IFERROR(__xludf.DUMMYFUNCTION("IFERROR(
  VLOOKUP(
    A74,
    IMPORTRANGE(
      ""1SCYQd7_cobOYqT0r_F0IqD4tE4rYn5y8Eup4PJTH8es"",
      ""Snapshot!A:M""
    ),
    5,
    FALSE
  ),
  ""-""
)
"),5.0)</f>
        <v>5</v>
      </c>
      <c r="AF74" s="54">
        <f>IFERROR(__xludf.DUMMYFUNCTION("IFERROR(
  VLOOKUP(
    A74,
    IMPORTRANGE(
      ""1SCYQd7_cobOYqT0r_F0IqD4tE4rYn5y8Eup4PJTH8es"",
      ""Snapshot!A:M""
    ),
    6,
    FALSE
  ),
  0
)
"),10.0)</f>
        <v>10</v>
      </c>
      <c r="AG74" s="54">
        <f>IFERROR(__xludf.DUMMYFUNCTION("IFERROR(
  VLOOKUP(
    A74,
    IMPORTRANGE(
      ""1SCYQd7_cobOYqT0r_F0IqD4tE4rYn5y8Eup4PJTH8es"",
      ""Snapshot!A:M""
    ),
    7,
    FALSE
  ),
  0
)
"),3082.0)</f>
        <v>3082</v>
      </c>
      <c r="AH74" s="54">
        <f>IFERROR(__xludf.DUMMYFUNCTION("IFERROR(
  VLOOKUP(
    A74,
    IMPORTRANGE(
      ""1SCYQd7_cobOYqT0r_F0IqD4tE4rYn5y8Eup4PJTH8es"",
      ""Snapshot!A:M""
    ),
    8,
    FALSE
  ),
  0
)
"),0.0)</f>
        <v>0</v>
      </c>
      <c r="AI74" s="54">
        <f>IFERROR(__xludf.DUMMYFUNCTION("IFERROR(
  VLOOKUP(
    A74,
    IMPORTRANGE(
      ""1SCYQd7_cobOYqT0r_F0IqD4tE4rYn5y8Eup4PJTH8es"",
      ""Snapshot!A:M""
    ),
    9,
    FALSE
  ),
  0
)
"),1.0)</f>
        <v>1</v>
      </c>
      <c r="AJ74" s="54">
        <f>IFERROR(__xludf.DUMMYFUNCTION("IFERROR(
  VLOOKUP(
    A74,
    IMPORTRANGE(
      ""1SCYQd7_cobOYqT0r_F0IqD4tE4rYn5y8Eup4PJTH8es"",
      ""Snapshot!A:M""
    ),
    13,
    FALSE
  ),
  0
)
"),1.0)</f>
        <v>1</v>
      </c>
      <c r="AK74" s="49">
        <f t="shared" ref="AK74:AL74" si="365">LEN(C74)</f>
        <v>33</v>
      </c>
      <c r="AL74" s="49">
        <f t="shared" si="365"/>
        <v>63</v>
      </c>
    </row>
    <row r="75">
      <c r="A75" s="3" t="s">
        <v>1161</v>
      </c>
      <c r="B75" s="1" t="str">
        <f>IFERROR(__xludf.DUMMYFUNCTION("IFERROR(
  VLOOKUP(
    A75,
    IMPORTRANGE(
      ""1ZygntHC1J6IxzKbTidmOyf5nUyW4GCLurHCjexrLm_o"",
      ""HTMLキャッシュ!A:F""
    ),
    2,
    FALSE
  ),
  0
)
"),"MC")</f>
        <v>MC</v>
      </c>
      <c r="C75" s="1" t="str">
        <f>IFERROR(__xludf.DUMMYFUNCTION("IFERROR(
  VLOOKUP(
    A75,
    IMPORTRANGE(
      ""1ZygntHC1J6IxzKbTidmOyf5nUyW4GCLurHCjexrLm_o"",
      ""HTMLキャッシュ!A:F""
    ),
    5,
    FALSE
  ),
  0
)
"),"命令文の作り方｜don’t pleaseは誤り（中1英語）")</f>
        <v>命令文の作り方｜don’t pleaseは誤り（中1英語）</v>
      </c>
      <c r="D75" s="1" t="str">
        <f>IFERROR(__xludf.DUMMYFUNCTION("IFERROR(
  VLOOKUP(
    A75,
    IMPORTRANGE(
      ""1ZygntHC1J6IxzKbTidmOyf5nUyW4GCLurHCjexrLm_o        "",
      ""HTMLキャッシュ!A:F""
    ),
    6,
    FALSE
  ),
  0
)
"),"don’t pleaseは不自然。否定命令はPlease don’t＋動詞が基本。命令文の作り方とPleaseの正しい位置を例文で整理。")</f>
        <v>don’t pleaseは不自然。否定命令はPlease don’t＋動詞が基本。命令文の作り方とPleaseの正しい位置を例文で整理。</v>
      </c>
      <c r="E75" s="32">
        <f>IFERROR(__xludf.DUMMYFUNCTION("IFERROR(
  VLOOKUP(
    A75,
    IMPORTRANGE(
      ""1ZygntHC1J6IxzKbTidmOyf5nUyW4GCLurHCjexrLm_o        "",
      ""HTMLキャッシュ!A:F""
    ),
    3,
    FALSE
  ),
  0
)
"),46055.80774305556)</f>
        <v>46055.80774</v>
      </c>
      <c r="F75" s="49">
        <f>IFERROR(__xludf.DUMMYFUNCTION("IFERROR(
  VLOOKUP(
    A75,
    IMPORTRANGE(
      ""1ZHMy3vVUd_0MrSduXTe1etBb1HNpAlGwQr006ljwMiM"",
      ""GSC最新!A:F""
    ),
    2,
    FALSE
  ),
  0
)
"),2.0)</f>
        <v>2</v>
      </c>
      <c r="G75" s="49">
        <f>IFERROR(__xludf.DUMMYFUNCTION("IFERROR(
  VLOOKUP(
    A75,
    IMPORTRANGE(
      ""1ZHMy3vVUd_0MrSduXTe1etBb1HNpAlGwQr006ljwMiM"",
      ""GSC最新!A:F""
    ),
    3,
    FALSE
  ),
  0
)
"),3.0)</f>
        <v>3</v>
      </c>
      <c r="H75" s="49">
        <f>IFERROR(__xludf.DUMMYFUNCTION("IFERROR(
  VLOOKUP(
    A75,
    IMPORTRANGE(
      ""1ZHMy3vVUd_0MrSduXTe1etBb1HNpAlGwQr006ljwMiM"",
      ""GSC最新!A:F""
    ),
    4,
    FALSE
  ),
  0
)
"),0.0)</f>
        <v>0</v>
      </c>
      <c r="I75" s="49">
        <f>IFERROR(__xludf.DUMMYFUNCTION("IFERROR(
  VLOOKUP(
    A75,
    IMPORTRANGE(
      ""1ZHMy3vVUd_0MrSduXTe1etBb1HNpAlGwQr006ljwMiM"",
      ""GSC最新!A:F""
    ),
    5,
    FALSE
  ),
  0
)
"),0.0)</f>
        <v>0</v>
      </c>
      <c r="J75" s="50" t="str">
        <f t="shared" ref="J75:K75" si="366">IFERROR(F75/H75,"-")</f>
        <v>-</v>
      </c>
      <c r="K75" s="50" t="str">
        <f t="shared" si="366"/>
        <v>-</v>
      </c>
      <c r="L75" s="6">
        <f>IFERROR(__xludf.DUMMYFUNCTION("IFERROR(
  VLOOKUP(
    A75,
    IMPORTRANGE(
      ""1ZHMy3vVUd_0MrSduXTe1etBb1HNpAlGwQr006ljwMiM"",
      ""GSC最新!A:R""
    ),
    7,
    FALSE
  ),
  0
)
"),293.0)</f>
        <v>293</v>
      </c>
      <c r="M75" s="6">
        <f>IFERROR(__xludf.DUMMYFUNCTION("IFERROR(
  VLOOKUP(
    A75,
    IMPORTRANGE(
      ""1ZHMy3vVUd_0MrSduXTe1etBb1HNpAlGwQr006ljwMiM"",
      ""GSC最新!A:R""
    ),
    10,
    FALSE
  ),
  0
)
"),625.0)</f>
        <v>625</v>
      </c>
      <c r="N75" s="6">
        <f>IFERROR(__xludf.DUMMYFUNCTION("IFERROR(
  VLOOKUP(
    A75,
    IMPORTRANGE(
      ""1ZHMy3vVUd_0MrSduXTe1etBb1HNpAlGwQr006ljwMiM"",
      ""GSC最新!A:R""
    ),
    13,
    FALSE
  ),
  0
)
"),33.0)</f>
        <v>33</v>
      </c>
      <c r="O75" s="6">
        <f>IFERROR(__xludf.DUMMYFUNCTION("IFERROR(
  VLOOKUP(
    A75,
    IMPORTRANGE(
      ""1ZHMy3vVUd_0MrSduXTe1etBb1HNpAlGwQr006ljwMiM"",
      ""GSC最新!A:R""
    ),
    16,
    FALSE
  ),
  0
)
"),131.0)</f>
        <v>131</v>
      </c>
      <c r="P75" s="51">
        <f t="shared" ref="P75:Q75" si="367">IFERROR(L75/N75,"-")</f>
        <v>8.878787879</v>
      </c>
      <c r="Q75" s="51">
        <f t="shared" si="367"/>
        <v>4.770992366</v>
      </c>
      <c r="R75" s="9">
        <f>IFERROR(__xludf.DUMMYFUNCTION("IFERROR(
  VLOOKUP(
    A75,
    IMPORTRANGE(
      ""1ZHMy3vVUd_0MrSduXTe1etBb1HNpAlGwQr006ljwMiM"",
      ""GSC最新!A:R""
    ),
    8,
    FALSE
  ),
  0
)
"),0.006825938566552901)</f>
        <v>0.006825938567</v>
      </c>
      <c r="S75" s="9">
        <f>IFERROR(__xludf.DUMMYFUNCTION("IFERROR(
  VLOOKUP(
    A75,
    IMPORTRANGE(
      ""1ZHMy3vVUd_0MrSduXTe1etBb1HNpAlGwQr006ljwMiM"",
      ""GSC最新!A:R""
    ),
    11,
    FALSE
  ),
  0
)
"),0.0048)</f>
        <v>0.0048</v>
      </c>
      <c r="T75" s="9">
        <f>IFERROR(__xludf.DUMMYFUNCTION("IFERROR(
  VLOOKUP(
    A75,
    IMPORTRANGE(
      ""1ZHMy3vVUd_0MrSduXTe1etBb1HNpAlGwQr006ljwMiM"",
      ""GSC最新!A:R""
    ),
    14,
    FALSE
  ),
  0
)
"),0.0)</f>
        <v>0</v>
      </c>
      <c r="U75" s="9">
        <f>IFERROR(__xludf.DUMMYFUNCTION("IFERROR(
  VLOOKUP(
    A75,
    IMPORTRANGE(
      ""1ZHMy3vVUd_0MrSduXTe1etBb1HNpAlGwQr006ljwMiM"",
      ""GSC最新!A:R""
    ),
    17,
    FALSE
  ),
  0
)
"),0.0)</f>
        <v>0</v>
      </c>
      <c r="V75" s="9">
        <f t="shared" ref="V75:W75" si="368">IFERROR(R75-T75,"-")</f>
        <v>0.006825938567</v>
      </c>
      <c r="W75" s="9">
        <f t="shared" si="368"/>
        <v>0.0048</v>
      </c>
      <c r="X75" s="65">
        <f>IFERROR(__xludf.DUMMYFUNCTION("IFERROR(
  VLOOKUP(
    A75,
    IMPORTRANGE(
      ""1ZHMy3vVUd_0MrSduXTe1etBb1HNpAlGwQr006ljwMiM"",
      ""GSC最新!A:R""
    ),
    9,
    FALSE
  ),
  0
)
"),6.563139931740614)</f>
        <v>6.563139932</v>
      </c>
      <c r="Y75" s="65">
        <f>IFERROR(__xludf.DUMMYFUNCTION("IFERROR(
  VLOOKUP(
    A75,
    IMPORTRANGE(
      ""1ZHMy3vVUd_0MrSduXTe1etBb1HNpAlGwQr006ljwMiM"",
      ""GSC最新!A:R""
    ),
    12,
    FALSE
  ),
  0
)
"),7.9984)</f>
        <v>7.9984</v>
      </c>
      <c r="Z75" s="65">
        <f>IFERROR(__xludf.DUMMYFUNCTION("IFERROR(
  VLOOKUP(
    A75,
    IMPORTRANGE(
      ""1ZHMy3vVUd_0MrSduXTe1etBb1HNpAlGwQr006ljwMiM"",
      ""GSC最新!A:R""
    ),
    15,
    FALSE
  ),
  0
)
"),46.24242424242424)</f>
        <v>46.24242424</v>
      </c>
      <c r="AA75" s="65">
        <f>IFERROR(__xludf.DUMMYFUNCTION("IFERROR(
  VLOOKUP(
    A75,
    IMPORTRANGE(
      ""1ZHMy3vVUd_0MrSduXTe1etBb1HNpAlGwQr006ljwMiM"",
      ""GSC最新!A:R""
    ),
    18,
    FALSE
  ),
  0
)
"),45.42748091603053)</f>
        <v>45.42748092</v>
      </c>
      <c r="AB75" s="65">
        <f t="shared" ref="AB75:AC75" si="369">X75-Z75</f>
        <v>-39.67928431</v>
      </c>
      <c r="AC75" s="65">
        <f t="shared" si="369"/>
        <v>-37.42908092</v>
      </c>
      <c r="AD75" s="53">
        <f>IFERROR(__xludf.DUMMYFUNCTION("IFERROR(
  VLOOKUP(
    A75,
    IMPORTRANGE(
      ""1ZHMy3vVUd_0MrSduXTe1etBb1HNpAlGwQr006ljwMiM"",
      ""GSC最新!A:F""
    ),
    6,
    FALSE
  ),
  0
)
"),46081.0)</f>
        <v>46081</v>
      </c>
      <c r="AE75" s="54">
        <f>IFERROR(__xludf.DUMMYFUNCTION("IFERROR(
  VLOOKUP(
    A75,
    IMPORTRANGE(
      ""1SCYQd7_cobOYqT0r_F0IqD4tE4rYn5y8Eup4PJTH8es"",
      ""Snapshot!A:M""
    ),
    5,
    FALSE
  ),
  ""-""
)
"),0.0)</f>
        <v>0</v>
      </c>
      <c r="AF75" s="54">
        <f>IFERROR(__xludf.DUMMYFUNCTION("IFERROR(
  VLOOKUP(
    A75,
    IMPORTRANGE(
      ""1SCYQd7_cobOYqT0r_F0IqD4tE4rYn5y8Eup4PJTH8es"",
      ""Snapshot!A:M""
    ),
    6,
    FALSE
  ),
  0
)
"),5.0)</f>
        <v>5</v>
      </c>
      <c r="AG75" s="54">
        <f>IFERROR(__xludf.DUMMYFUNCTION("IFERROR(
  VLOOKUP(
    A75,
    IMPORTRANGE(
      ""1SCYQd7_cobOYqT0r_F0IqD4tE4rYn5y8Eup4PJTH8es"",
      ""Snapshot!A:M""
    ),
    7,
    FALSE
  ),
  0
)
"),1396.0)</f>
        <v>1396</v>
      </c>
      <c r="AH75" s="54">
        <f>IFERROR(__xludf.DUMMYFUNCTION("IFERROR(
  VLOOKUP(
    A75,
    IMPORTRANGE(
      ""1SCYQd7_cobOYqT0r_F0IqD4tE4rYn5y8Eup4PJTH8es"",
      ""Snapshot!A:M""
    ),
    8,
    FALSE
  ),
  0
)
"),1.0)</f>
        <v>1</v>
      </c>
      <c r="AI75" s="54">
        <f>IFERROR(__xludf.DUMMYFUNCTION("IFERROR(
  VLOOKUP(
    A75,
    IMPORTRANGE(
      ""1SCYQd7_cobOYqT0r_F0IqD4tE4rYn5y8Eup4PJTH8es"",
      ""Snapshot!A:M""
    ),
    9,
    FALSE
  ),
  0
)
"),4.0)</f>
        <v>4</v>
      </c>
      <c r="AJ75" s="54">
        <f>IFERROR(__xludf.DUMMYFUNCTION("IFERROR(
  VLOOKUP(
    A75,
    IMPORTRANGE(
      ""1SCYQd7_cobOYqT0r_F0IqD4tE4rYn5y8Eup4PJTH8es"",
      ""Snapshot!A:M""
    ),
    13,
    FALSE
  ),
  0
)
"),1.0)</f>
        <v>1</v>
      </c>
      <c r="AK75" s="49">
        <f t="shared" ref="AK75:AL75" si="370">LEN(C75)</f>
        <v>29</v>
      </c>
      <c r="AL75" s="49">
        <f t="shared" si="370"/>
        <v>68</v>
      </c>
    </row>
    <row r="76">
      <c r="A76" s="3" t="s">
        <v>1162</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"),"過去完了の使い分け｜asleep例文")</f>
        <v>過去完了の使い分け｜asleep例文</v>
      </c>
      <c r="D76" s="1" t="str">
        <f>IFERROR(__xludf.DUMMYFUNCTION("IFERROR(
  VLOOKUP(
    A76,
    IMPORTRANGE(
      ""1ZygntHC1J6IxzKbTidmOyf5nUyW4GCLurHCjexrLm_o        "",
      ""HTMLキャッシュ!A:F""
    ),
    6,
    FALSE
  ),
  0
)
"),"過去完了は出来事の前後関係を示す形。fell asleepとhad fallen asleepで整理し、when・just after・alreadyも例文で確認。")</f>
        <v>過去完了は出来事の前後関係を示す形。fell asleepとhad fallen asleepで整理し、when・just after・alreadyも例文で確認。</v>
      </c>
      <c r="E76" s="32">
        <f>IFERROR(__xludf.DUMMYFUNCTION("IFERROR(
  VLOOKUP(
    A76,
    IMPORTRANGE(
      ""1ZygntHC1J6IxzKbTidmOyf5nUyW4GCLurHCjexrLm_o        "",
      ""HTMLキャッシュ!A:F""
    ),
    3,
    FALSE
  ),
  0
)
"),46078.58672453704)</f>
        <v>46078.58672</v>
      </c>
      <c r="F76" s="49">
        <f>IFERROR(__xludf.DUMMYFUNCTION("IFERROR(
  VLOOKUP(
    A76,
    IMPORTRANGE(
      ""1ZHMy3vVUd_0MrSduXTe1etBb1HNpAlGwQr006ljwMiM"",
      ""GSC最新!A:F""
    ),
    2,
    FALSE
  ),
  0
)
"),1.0)</f>
        <v>1</v>
      </c>
      <c r="G76" s="49">
        <f>IFERROR(__xludf.DUMMYFUNCTION("IFERROR(
  VLOOKUP(
    A76,
    IMPORTRANGE(
      ""1ZHMy3vVUd_0MrSduXTe1etBb1HNpAlGwQr006ljwMiM"",
      ""GSC最新!A:F""
    ),
    3,
    FALSE
  ),
  0
)
"),3.0)</f>
        <v>3</v>
      </c>
      <c r="H76" s="49">
        <f>IFERROR(__xludf.DUMMYFUNCTION("IFERROR(
  VLOOKUP(
    A76,
    IMPORTRANGE(
      ""1ZHMy3vVUd_0MrSduXTe1etBb1HNpAlGwQr006ljwMiM"",
      ""GSC最新!A:F""
    ),
    4,
    FALSE
  ),
  0
)
"),1.0)</f>
        <v>1</v>
      </c>
      <c r="I76" s="49">
        <f>IFERROR(__xludf.DUMMYFUNCTION("IFERROR(
  VLOOKUP(
    A76,
    IMPORTRANGE(
      ""1ZHMy3vVUd_0MrSduXTe1etBb1HNpAlGwQr006ljwMiM"",
      ""GSC最新!A:F""
    ),
    5,
    FALSE
  ),
  0
)
"),1.0)</f>
        <v>1</v>
      </c>
      <c r="J76" s="50">
        <f t="shared" ref="J76:K76" si="371">IFERROR(F76/H76,"-")</f>
        <v>1</v>
      </c>
      <c r="K76" s="50">
        <f t="shared" si="371"/>
        <v>3</v>
      </c>
      <c r="L76" s="6">
        <f>IFERROR(__xludf.DUMMYFUNCTION("IFERROR(
  VLOOKUP(
    A76,
    IMPORTRANGE(
      ""1ZHMy3vVUd_0MrSduXTe1etBb1HNpAlGwQr006ljwMiM"",
      ""GSC最新!A:R""
    ),
    7,
    FALSE
  ),
  0
)
"),162.0)</f>
        <v>162</v>
      </c>
      <c r="M76" s="6">
        <f>IFERROR(__xludf.DUMMYFUNCTION("IFERROR(
  VLOOKUP(
    A76,
    IMPORTRANGE(
      ""1ZHMy3vVUd_0MrSduXTe1etBb1HNpAlGwQr006ljwMiM"",
      ""GSC最新!A:R""
    ),
    10,
    FALSE
  ),
  0
)
"),247.0)</f>
        <v>247</v>
      </c>
      <c r="N76" s="6">
        <f>IFERROR(__xludf.DUMMYFUNCTION("IFERROR(
  VLOOKUP(
    A76,
    IMPORTRANGE(
      ""1ZHMy3vVUd_0MrSduXTe1etBb1HNpAlGwQr006ljwMiM"",
      ""GSC最新!A:R""
    ),
    13,
    FALSE
  ),
  0
)
"),41.0)</f>
        <v>41</v>
      </c>
      <c r="O76" s="6">
        <f>IFERROR(__xludf.DUMMYFUNCTION("IFERROR(
  VLOOKUP(
    A76,
    IMPORTRANGE(
      ""1ZHMy3vVUd_0MrSduXTe1etBb1HNpAlGwQr006ljwMiM"",
      ""GSC最新!A:R""
    ),
    16,
    FALSE
  ),
  0
)
"),109.0)</f>
        <v>109</v>
      </c>
      <c r="P76" s="51">
        <f t="shared" ref="P76:Q76" si="372">IFERROR(L76/N76,"-")</f>
        <v>3.951219512</v>
      </c>
      <c r="Q76" s="51">
        <f t="shared" si="372"/>
        <v>2.266055046</v>
      </c>
      <c r="R76" s="9">
        <f>IFERROR(__xludf.DUMMYFUNCTION("IFERROR(
  VLOOKUP(
    A76,
    IMPORTRANGE(
      ""1ZHMy3vVUd_0MrSduXTe1etBb1HNpAlGwQr006ljwMiM"",
      ""GSC最新!A:R""
    ),
    8,
    FALSE
  ),
  0
)
"),0.006172839506172839)</f>
        <v>0.006172839506</v>
      </c>
      <c r="S76" s="9">
        <f>IFERROR(__xludf.DUMMYFUNCTION("IFERROR(
  VLOOKUP(
    A76,
    IMPORTRANGE(
      ""1ZHMy3vVUd_0MrSduXTe1etBb1HNpAlGwQr006ljwMiM"",
      ""GSC最新!A:R""
    ),
    11,
    FALSE
  ),
  0
)
"),0.012145748987854251)</f>
        <v>0.01214574899</v>
      </c>
      <c r="T76" s="9">
        <f>IFERROR(__xludf.DUMMYFUNCTION("IFERROR(
  VLOOKUP(
    A76,
    IMPORTRANGE(
      ""1ZHMy3vVUd_0MrSduXTe1etBb1HNpAlGwQr006ljwMiM"",
      ""GSC最新!A:R""
    ),
    14,
    FALSE
  ),
  0
)
"),0.024390243902439025)</f>
        <v>0.0243902439</v>
      </c>
      <c r="U76" s="9">
        <f>IFERROR(__xludf.DUMMYFUNCTION("IFERROR(
  VLOOKUP(
    A76,
    IMPORTRANGE(
      ""1ZHMy3vVUd_0MrSduXTe1etBb1HNpAlGwQr006ljwMiM"",
      ""GSC最新!A:R""
    ),
    17,
    FALSE
  ),
  0
)
"),0.009174311926605505)</f>
        <v>0.009174311927</v>
      </c>
      <c r="V76" s="9">
        <f t="shared" ref="V76:W76" si="373">IFERROR(R76-T76,"-")</f>
        <v>-0.0182174044</v>
      </c>
      <c r="W76" s="9">
        <f t="shared" si="373"/>
        <v>0.002971437061</v>
      </c>
      <c r="X76" s="65">
        <f>IFERROR(__xludf.DUMMYFUNCTION("IFERROR(
  VLOOKUP(
    A76,
    IMPORTRANGE(
      ""1ZHMy3vVUd_0MrSduXTe1etBb1HNpAlGwQr006ljwMiM"",
      ""GSC最新!A:R""
    ),
    9,
    FALSE
  ),
  0
)
"),7.839506172839506)</f>
        <v>7.839506173</v>
      </c>
      <c r="Y76" s="65">
        <f>IFERROR(__xludf.DUMMYFUNCTION("IFERROR(
  VLOOKUP(
    A76,
    IMPORTRANGE(
      ""1ZHMy3vVUd_0MrSduXTe1etBb1HNpAlGwQr006ljwMiM"",
      ""GSC最新!A:R""
    ),
    12,
    FALSE
  ),
  0
)
"),7.566801619433198)</f>
        <v>7.566801619</v>
      </c>
      <c r="Z76" s="65">
        <f>IFERROR(__xludf.DUMMYFUNCTION("IFERROR(
  VLOOKUP(
    A76,
    IMPORTRANGE(
      ""1ZHMy3vVUd_0MrSduXTe1etBb1HNpAlGwQr006ljwMiM"",
      ""GSC最新!A:R""
    ),
    15,
    FALSE
  ),
  0
)
"),6.853658536585366)</f>
        <v>6.853658537</v>
      </c>
      <c r="AA76" s="65">
        <f>IFERROR(__xludf.DUMMYFUNCTION("IFERROR(
  VLOOKUP(
    A76,
    IMPORTRANGE(
      ""1ZHMy3vVUd_0MrSduXTe1etBb1HNpAlGwQr006ljwMiM"",
      ""GSC最新!A:R""
    ),
    18,
    FALSE
  ),
  0
)
"),9.412844036697248)</f>
        <v>9.412844037</v>
      </c>
      <c r="AB76" s="65">
        <f t="shared" ref="AB76:AC76" si="374">X76-Z76</f>
        <v>0.9858476363</v>
      </c>
      <c r="AC76" s="65">
        <f t="shared" si="374"/>
        <v>-1.846042417</v>
      </c>
      <c r="AD76" s="53">
        <f>IFERROR(__xludf.DUMMYFUNCTION("IFERROR(
  VLOOKUP(
    A76,
    IMPORTRANGE(
      ""1ZHMy3vVUd_0MrSduXTe1etBb1HNpAlGwQr006ljwMiM"",
      ""GSC最新!A:F""
    ),
    6,
    FALSE
  ),
  0
)
"),46081.0)</f>
        <v>46081</v>
      </c>
      <c r="AE76" s="54">
        <f>IFERROR(__xludf.DUMMYFUNCTION("IFERROR(
  VLOOKUP(
    A76,
    IMPORTRANGE(
      ""1SCYQd7_cobOYqT0r_F0IqD4tE4rYn5y8Eup4PJTH8es"",
      ""Snapshot!A:M""
    ),
    5,
    FALSE
  ),
  ""-""
)
"),0.0)</f>
        <v>0</v>
      </c>
      <c r="AF76" s="54">
        <f>IFERROR(__xludf.DUMMYFUNCTION("IFERROR(
  VLOOKUP(
    A76,
    IMPORTRANGE(
      ""1SCYQd7_cobOYqT0r_F0IqD4tE4rYn5y8Eup4PJTH8es"",
      ""Snapshot!A:M""
    ),
    6,
    FALSE
  ),
  0
)
"),1.0)</f>
        <v>1</v>
      </c>
      <c r="AG76" s="54">
        <f>IFERROR(__xludf.DUMMYFUNCTION("IFERROR(
  VLOOKUP(
    A76,
    IMPORTRANGE(
      ""1SCYQd7_cobOYqT0r_F0IqD4tE4rYn5y8Eup4PJTH8es"",
      ""Snapshot!A:M""
    ),
    7,
    FALSE
  ),
  0
)
"),1409.0)</f>
        <v>1409</v>
      </c>
      <c r="AH76" s="54">
        <f>IFERROR(__xludf.DUMMYFUNCTION("IFERROR(
  VLOOKUP(
    A76,
    IMPORTRANGE(
      ""1SCYQd7_cobOYqT0r_F0IqD4tE4rYn5y8Eup4PJTH8es"",
      ""Snapshot!A:M""
    ),
    8,
    FALSE
  ),
  0
)
"),1.0)</f>
        <v>1</v>
      </c>
      <c r="AI76" s="54">
        <f>IFERROR(__xludf.DUMMYFUNCTION("IFERROR(
  VLOOKUP(
    A76,
    IMPORTRANGE(
      ""1SCYQd7_cobOYqT0r_F0IqD4tE4rYn5y8Eup4PJTH8es"",
      ""Snapshot!A:M""
    ),
    9,
    FALSE
  ),
  0
)
"),4.0)</f>
        <v>4</v>
      </c>
      <c r="AJ76" s="54">
        <f>IFERROR(__xludf.DUMMYFUNCTION("IFERROR(
  VLOOKUP(
    A76,
    IMPORTRANGE(
      ""1SCYQd7_cobOYqT0r_F0IqD4tE4rYn5y8Eup4PJTH8es"",
      ""Snapshot!A:M""
    ),
    13,
    FALSE
  ),
  0
)
"),1.0)</f>
        <v>1</v>
      </c>
      <c r="AK76" s="49">
        <f t="shared" ref="AK76:AL76" si="375">LEN(C76)</f>
        <v>18</v>
      </c>
      <c r="AL76" s="49">
        <f t="shared" si="375"/>
        <v>82</v>
      </c>
    </row>
    <row r="77">
      <c r="A77" s="3" t="s">
        <v>1163</v>
      </c>
      <c r="B77" s="1" t="str">
        <f>IFERROR(__xludf.DUMMYFUNCTION("IFERROR(
  VLOOKUP(
    A77,
    IMPORTRANGE(
      ""1ZygntHC1J6IxzKbTidmOyf5nUyW4GCLurHCjexrLm_o"",
      ""HTMLキャッシュ!A:F""
    ),
    2,
    FALSE
  ),
  0
)
"),"MC")</f>
        <v>MC</v>
      </c>
      <c r="C77" s="1" t="str">
        <f>IFERROR(__xludf.DUMMYFUNCTION("IFERROR(
  VLOOKUP(
    A77,
    IMPORTRANGE(
      ""1ZygntHC1J6IxzKbTidmOyf5nUyW4GCLurHCjexrLm_o"",
      ""HTMLキャッシュ!A:F""
    ),
    5,
    FALSE
  ),
  0
)
"),"現在完了の経験｜Book2 Lesson7 Scene2 解説")</f>
        <v>現在完了の経験｜Book2 Lesson7 Scene2 解説</v>
      </c>
      <c r="D77" s="1" t="str">
        <f>IFERROR(__xludf.DUMMYFUNCTION("IFERROR(
  VLOOKUP(
    A77,
    IMPORTRANGE(
      ""1ZygntHC1J6IxzKbTidmOyf5nUyW4GCLurHCjexrLm_o        "",
      ""HTMLキャッシュ!A:F""
    ),
    6,
    FALSE
  ),
  0
)
"),"Have you ever been to Japanの答え方を例文で整理。twice/three timesの位置、ever/never、been toとgone toの違いまで。")</f>
        <v>Have you ever been to Japanの答え方を例文で整理。twice/three timesの位置、ever/never、been toとgone toの違いまで。</v>
      </c>
      <c r="E77" s="32">
        <f>IFERROR(__xludf.DUMMYFUNCTION("IFERROR(
  VLOOKUP(
    A77,
    IMPORTRANGE(
      ""1ZygntHC1J6IxzKbTidmOyf5nUyW4GCLurHCjexrLm_o        "",
      ""HTMLキャッシュ!A:F""
    ),
    3,
    FALSE
  ),
  0
)
"),46074.562627314815)</f>
        <v>46074.56263</v>
      </c>
      <c r="F77" s="49">
        <f>IFERROR(__xludf.DUMMYFUNCTION("IFERROR(
  VLOOKUP(
    A77,
    IMPORTRANGE(
      ""1ZHMy3vVUd_0MrSduXTe1etBb1HNpAlGwQr006ljwMiM"",
      ""GSC最新!A:F""
    ),
    2,
    FALSE
  ),
  0
)
"),1.0)</f>
        <v>1</v>
      </c>
      <c r="G77" s="49">
        <f>IFERROR(__xludf.DUMMYFUNCTION("IFERROR(
  VLOOKUP(
    A77,
    IMPORTRANGE(
      ""1ZHMy3vVUd_0MrSduXTe1etBb1HNpAlGwQr006ljwMiM"",
      ""GSC最新!A:F""
    ),
    3,
    FALSE
  ),
  0
)
"),2.0)</f>
        <v>2</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"),0.0)</f>
        <v>0</v>
      </c>
      <c r="J77" s="50" t="str">
        <f t="shared" ref="J77:K77" si="376">IFERROR(F77/H77,"-")</f>
        <v>-</v>
      </c>
      <c r="K77" s="50" t="str">
        <f t="shared" si="376"/>
        <v>-</v>
      </c>
      <c r="L77" s="6">
        <f>IFERROR(__xludf.DUMMYFUNCTION("IFERROR(
  VLOOKUP(
    A77,
    IMPORTRANGE(
      ""1ZHMy3vVUd_0MrSduXTe1etBb1HNpAlGwQr006ljwMiM"",
      ""GSC最新!A:R""
    ),
    7,
    FALSE
  ),
  0
)
"),895.0)</f>
        <v>895</v>
      </c>
      <c r="M77" s="6">
        <f>IFERROR(__xludf.DUMMYFUNCTION("IFERROR(
  VLOOKUP(
    A77,
    IMPORTRANGE(
      ""1ZHMy3vVUd_0MrSduXTe1etBb1HNpAlGwQr006ljwMiM"",
      ""GSC最新!A:R""
    ),
    10,
    FALSE
  ),
  0
)
"),1300.0)</f>
        <v>1300</v>
      </c>
      <c r="N77" s="6">
        <f>IFERROR(__xludf.DUMMYFUNCTION("IFERROR(
  VLOOKUP(
    A77,
    IMPORTRANGE(
      ""1ZHMy3vVUd_0MrSduXTe1etBb1HNpAlGwQr006ljwMiM"",
      ""GSC最新!A:R""
    ),
    13,
    FALSE
  ),
  0
)
"),13.0)</f>
        <v>13</v>
      </c>
      <c r="O77" s="6">
        <f>IFERROR(__xludf.DUMMYFUNCTION("IFERROR(
  VLOOKUP(
    A77,
    IMPORTRANGE(
      ""1ZHMy3vVUd_0MrSduXTe1etBb1HNpAlGwQr006ljwMiM"",
      ""GSC最新!A:R""
    ),
    16,
    FALSE
  ),
  0
)
"),18.0)</f>
        <v>18</v>
      </c>
      <c r="P77" s="51">
        <f t="shared" ref="P77:Q77" si="377">IFERROR(L77/N77,"-")</f>
        <v>68.84615385</v>
      </c>
      <c r="Q77" s="51">
        <f t="shared" si="377"/>
        <v>72.22222222</v>
      </c>
      <c r="R77" s="9">
        <f>IFERROR(__xludf.DUMMYFUNCTION("IFERROR(
  VLOOKUP(
    A77,
    IMPORTRANGE(
      ""1ZHMy3vVUd_0MrSduXTe1etBb1HNpAlGwQr006ljwMiM"",
      ""GSC最新!A:R""
    ),
    8,
    FALSE
  ),
  0
)
"),0.0011173184357541898)</f>
        <v>0.001117318436</v>
      </c>
      <c r="S77" s="9">
        <f>IFERROR(__xludf.DUMMYFUNCTION("IFERROR(
  VLOOKUP(
    A77,
    IMPORTRANGE(
      ""1ZHMy3vVUd_0MrSduXTe1etBb1HNpAlGwQr006ljwMiM"",
      ""GSC最新!A:R""
    ),
    11,
    FALSE
  ),
  0
)
"),0.0015384615384615385)</f>
        <v>0.001538461538</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f>
        <v>0</v>
      </c>
      <c r="V77" s="9">
        <f t="shared" ref="V77:W77" si="378">IFERROR(R77-T77,"-")</f>
        <v>0.001117318436</v>
      </c>
      <c r="W77" s="9">
        <f t="shared" si="378"/>
        <v>0.001538461538</v>
      </c>
      <c r="X77" s="65">
        <f>IFERROR(__xludf.DUMMYFUNCTION("IFERROR(
  VLOOKUP(
    A77,
    IMPORTRANGE(
      ""1ZHMy3vVUd_0MrSduXTe1etBb1HNpAlGwQr006ljwMiM"",
      ""GSC最新!A:R""
    ),
    9,
    FALSE
  ),
  0
)
"),8.758659217877096)</f>
        <v>8.758659218</v>
      </c>
      <c r="Y77" s="65">
        <f>IFERROR(__xludf.DUMMYFUNCTION("IFERROR(
  VLOOKUP(
    A77,
    IMPORTRANGE(
      ""1ZHMy3vVUd_0MrSduXTe1etBb1HNpAlGwQr006ljwMiM"",
      ""GSC最新!A:R""
    ),
    12,
    FALSE
  ),
  0
)
"),9.003846153846155)</f>
        <v>9.003846154</v>
      </c>
      <c r="Z77" s="65">
        <f>IFERROR(__xludf.DUMMYFUNCTION("IFERROR(
  VLOOKUP(
    A77,
    IMPORTRANGE(
      ""1ZHMy3vVUd_0MrSduXTe1etBb1HNpAlGwQr006ljwMiM"",
      ""GSC最新!A:R""
    ),
    15,
    FALSE
  ),
  0
)
"),9.692307692307692)</f>
        <v>9.692307692</v>
      </c>
      <c r="AA77" s="65">
        <f>IFERROR(__xludf.DUMMYFUNCTION("IFERROR(
  VLOOKUP(
    A77,
    IMPORTRANGE(
      ""1ZHMy3vVUd_0MrSduXTe1etBb1HNpAlGwQr006ljwMiM"",
      ""GSC最新!A:R""
    ),
    18,
    FALSE
  ),
  0
)
"),9.5)</f>
        <v>9.5</v>
      </c>
      <c r="AB77" s="65">
        <f t="shared" ref="AB77:AC77" si="379">X77-Z77</f>
        <v>-0.9336484744</v>
      </c>
      <c r="AC77" s="65">
        <f t="shared" si="379"/>
        <v>-0.4961538462</v>
      </c>
      <c r="AD77" s="53">
        <f>IFERROR(__xludf.DUMMYFUNCTION("IFERROR(
  VLOOKUP(
    A77,
    IMPORTRANGE(
      ""1ZHMy3vVUd_0MrSduXTe1etBb1HNpAlGwQr006ljwMiM"",
      ""GSC最新!A:F""
    ),
    6,
    FALSE
  ),
  0
)
"),46081.0)</f>
        <v>46081</v>
      </c>
      <c r="AE77" s="54">
        <f>IFERROR(__xludf.DUMMYFUNCTION("IFERROR(
  VLOOKUP(
    A77,
    IMPORTRANGE(
      ""1SCYQd7_cobOYqT0r_F0IqD4tE4rYn5y8Eup4PJTH8es"",
      ""Snapshot!A:M""
    ),
    5,
    FALSE
  ),
  ""-""
)
"),0.0)</f>
        <v>0</v>
      </c>
      <c r="AF77" s="54">
        <f>IFERROR(__xludf.DUMMYFUNCTION("IFERROR(
  VLOOKUP(
    A77,
    IMPORTRANGE(
      ""1SCYQd7_cobOYqT0r_F0IqD4tE4rYn5y8Eup4PJTH8es"",
      ""Snapshot!A:M""
    ),
    6,
    FALSE
  ),
  0
)
"),10.0)</f>
        <v>10</v>
      </c>
      <c r="AG77" s="54">
        <f>IFERROR(__xludf.DUMMYFUNCTION("IFERROR(
  VLOOKUP(
    A77,
    IMPORTRANGE(
      ""1SCYQd7_cobOYqT0r_F0IqD4tE4rYn5y8Eup4PJTH8es"",
      ""Snapshot!A:M""
    ),
    7,
    FALSE
  ),
  0
)
"),3023.0)</f>
        <v>3023</v>
      </c>
      <c r="AH77" s="54">
        <f>IFERROR(__xludf.DUMMYFUNCTION("IFERROR(
  VLOOKUP(
    A77,
    IMPORTRANGE(
      ""1SCYQd7_cobOYqT0r_F0IqD4tE4rYn5y8Eup4PJTH8es"",
      ""Snapshot!A:M""
    ),
    8,
    FALSE
  ),
  0
)
"),1.0)</f>
        <v>1</v>
      </c>
      <c r="AI77" s="54">
        <f>IFERROR(__xludf.DUMMYFUNCTION("IFERROR(
  VLOOKUP(
    A77,
    IMPORTRANGE(
      ""1SCYQd7_cobOYqT0r_F0IqD4tE4rYn5y8Eup4PJTH8es"",
      ""Snapshot!A:M""
    ),
    9,
    FALSE
  ),
  0
)
"),4.0)</f>
        <v>4</v>
      </c>
      <c r="AJ77" s="54">
        <f>IFERROR(__xludf.DUMMYFUNCTION("IFERROR(
  VLOOKUP(
    A77,
    IMPORTRANGE(
      ""1SCYQd7_cobOYqT0r_F0IqD4tE4rYn5y8Eup4PJTH8es"",
      ""Snapshot!A:M""
    ),
    13,
    FALSE
  ),
  0
)
"),1.0)</f>
        <v>1</v>
      </c>
      <c r="AK77" s="49">
        <f t="shared" ref="AK77:AL77" si="380">LEN(C77)</f>
        <v>31</v>
      </c>
      <c r="AL77" s="49">
        <f t="shared" si="380"/>
        <v>91</v>
      </c>
    </row>
    <row r="78">
      <c r="A78" s="3" t="s">
        <v>1164</v>
      </c>
      <c r="B78" s="1" t="str">
        <f>IFERROR(__xludf.DUMMYFUNCTION("IFERROR(
  VLOOKUP(
    A78,
    IMPORTRANGE(
      ""1ZygntHC1J6IxzKbTidmOyf5nUyW4GCLurHCjexrLm_o"",
      ""HTMLキャッシュ!A:F""
    ),
    2,
    FALSE
  ),
  0
)
"),"MC")</f>
        <v>MC</v>
      </c>
      <c r="C78" s="1" t="str">
        <f>IFERROR(__xludf.DUMMYFUNCTION("IFERROR(
  VLOOKUP(
    A78,
    IMPORTRANGE(
      ""1ZygntHC1J6IxzKbTidmOyf5nUyW4GCLurHCjexrLm_o"",
      ""HTMLキャッシュ!A:F""
    ),
    5,
    FALSE
  ),
  0
)
"),"条件節とは｜「もし雨が止んだら」で分かるif節現在形")</f>
        <v>条件節とは｜「もし雨が止んだら」で分かるif節現在形</v>
      </c>
      <c r="D78" s="1" t="str">
        <f>IFERROR(__xludf.DUMMYFUNCTION("IFERROR(
  VLOOKUP(
    A78,
    IMPORTRANGE(
      ""1ZygntHC1J6IxzKbTidmOyf5nUyW4GCLurHCjexrLm_o        "",
      ""HTMLキャッシュ!A:F""
    ),
    6,
    FALSE
  ),
  0
)
"),"条件節とは何かを「もし雨が止んだら」の英文で確認。if/when節では未来内容でも現在形になる理由とwillが使えない根拠を例文で整理。")</f>
        <v>条件節とは何かを「もし雨が止んだら」の英文で確認。if/when節では未来内容でも現在形になる理由とwillが使えない根拠を例文で整理。</v>
      </c>
      <c r="E78" s="32">
        <f>IFERROR(__xludf.DUMMYFUNCTION("IFERROR(
  VLOOKUP(
    A78,
    IMPORTRANGE(
      ""1ZygntHC1J6IxzKbTidmOyf5nUyW4GCLurHCjexrLm_o        "",
      ""HTMLキャッシュ!A:F""
    ),
    3,
    FALSE
  ),
  0
)
"),46078.57045138889)</f>
        <v>46078.57045</v>
      </c>
      <c r="F78" s="49">
        <f>IFERROR(__xludf.DUMMYFUNCTION("IFERROR(
  VLOOKUP(
    A78,
    IMPORTRANGE(
      ""1ZHMy3vVUd_0MrSduXTe1etBb1HNpAlGwQr006ljwMiM"",
      ""GSC最新!A:F""
    ),
    2,
    FALSE
  ),
  0
)
"),1.0)</f>
        <v>1</v>
      </c>
      <c r="G78" s="49">
        <f>IFERROR(__xludf.DUMMYFUNCTION("IFERROR(
  VLOOKUP(
    A78,
    IMPORTRANGE(
      ""1ZHMy3vVUd_0MrSduXTe1etBb1HNpAlGwQr006ljwMiM"",
      ""GSC最新!A:F""
    ),
    3,
    FALSE
  ),
  0
)
"),2.0)</f>
        <v>2</v>
      </c>
      <c r="H78" s="49">
        <f>IFERROR(__xludf.DUMMYFUNCTION("IFERROR(
  VLOOKUP(
    A78,
    IMPORTRANGE(
      ""1ZHMy3vVUd_0MrSduXTe1etBb1HNpAlGwQr006ljwMiM"",
      ""GSC最新!A:F""
    ),
    4,
    FALSE
  ),
  0
)
"),0.0)</f>
        <v>0</v>
      </c>
      <c r="I78" s="49">
        <f>IFERROR(__xludf.DUMMYFUNCTION("IFERROR(
  VLOOKUP(
    A78,
    IMPORTRANGE(
      ""1ZHMy3vVUd_0MrSduXTe1etBb1HNpAlGwQr006ljwMiM"",
      ""GSC最新!A:F""
    ),
    5,
    FALSE
  ),
  0
)
"),1.0)</f>
        <v>1</v>
      </c>
      <c r="J78" s="50" t="str">
        <f t="shared" ref="J78:K78" si="381">IFERROR(F78/H78,"-")</f>
        <v>-</v>
      </c>
      <c r="K78" s="50">
        <f t="shared" si="381"/>
        <v>2</v>
      </c>
      <c r="L78" s="6">
        <f>IFERROR(__xludf.DUMMYFUNCTION("IFERROR(
  VLOOKUP(
    A78,
    IMPORTRANGE(
      ""1ZHMy3vVUd_0MrSduXTe1etBb1HNpAlGwQr006ljwMiM"",
      ""GSC最新!A:R""
    ),
    7,
    FALSE
  ),
  0
)
"),472.0)</f>
        <v>472</v>
      </c>
      <c r="M78" s="6">
        <f>IFERROR(__xludf.DUMMYFUNCTION("IFERROR(
  VLOOKUP(
    A78,
    IMPORTRANGE(
      ""1ZHMy3vVUd_0MrSduXTe1etBb1HNpAlGwQr006ljwMiM"",
      ""GSC最新!A:R""
    ),
    10,
    FALSE
  ),
  0
)
"),995.0)</f>
        <v>995</v>
      </c>
      <c r="N78" s="6">
        <f>IFERROR(__xludf.DUMMYFUNCTION("IFERROR(
  VLOOKUP(
    A78,
    IMPORTRANGE(
      ""1ZHMy3vVUd_0MrSduXTe1etBb1HNpAlGwQr006ljwMiM"",
      ""GSC最新!A:R""
    ),
    13,
    FALSE
  ),
  0
)
"),65.0)</f>
        <v>65</v>
      </c>
      <c r="O78" s="6">
        <f>IFERROR(__xludf.DUMMYFUNCTION("IFERROR(
  VLOOKUP(
    A78,
    IMPORTRANGE(
      ""1ZHMy3vVUd_0MrSduXTe1etBb1HNpAlGwQr006ljwMiM"",
      ""GSC最新!A:R""
    ),
    16,
    FALSE
  ),
  0
)
"),166.0)</f>
        <v>166</v>
      </c>
      <c r="P78" s="51">
        <f t="shared" ref="P78:Q78" si="382">IFERROR(L78/N78,"-")</f>
        <v>7.261538462</v>
      </c>
      <c r="Q78" s="51">
        <f t="shared" si="382"/>
        <v>5.993975904</v>
      </c>
      <c r="R78" s="9">
        <f>IFERROR(__xludf.DUMMYFUNCTION("IFERROR(
  VLOOKUP(
    A78,
    IMPORTRANGE(
      ""1ZHMy3vVUd_0MrSduXTe1etBb1HNpAlGwQr006ljwMiM"",
      ""GSC最新!A:R""
    ),
    8,
    FALSE
  ),
  0
)
"),0.00211864406779661)</f>
        <v>0.002118644068</v>
      </c>
      <c r="S78" s="9">
        <f>IFERROR(__xludf.DUMMYFUNCTION("IFERROR(
  VLOOKUP(
    A78,
    IMPORTRANGE(
      ""1ZHMy3vVUd_0MrSduXTe1etBb1HNpAlGwQr006ljwMiM"",
      ""GSC最新!A:R""
    ),
    11,
    FALSE
  ),
  0
)
"),0.0020100502512562816)</f>
        <v>0.002010050251</v>
      </c>
      <c r="T78" s="9">
        <f>IFERROR(__xludf.DUMMYFUNCTION("IFERROR(
  VLOOKUP(
    A78,
    IMPORTRANGE(
      ""1ZHMy3vVUd_0MrSduXTe1etBb1HNpAlGwQr006ljwMiM"",
      ""GSC最新!A:R""
    ),
    14,
    FALSE
  ),
  0
)
"),0.0)</f>
        <v>0</v>
      </c>
      <c r="U78" s="9">
        <f>IFERROR(__xludf.DUMMYFUNCTION("IFERROR(
  VLOOKUP(
    A78,
    IMPORTRANGE(
      ""1ZHMy3vVUd_0MrSduXTe1etBb1HNpAlGwQr006ljwMiM"",
      ""GSC最新!A:R""
    ),
    17,
    FALSE
  ),
  0
)
"),0.006024096385542169)</f>
        <v>0.006024096386</v>
      </c>
      <c r="V78" s="9">
        <f t="shared" ref="V78:W78" si="383">IFERROR(R78-T78,"-")</f>
        <v>0.002118644068</v>
      </c>
      <c r="W78" s="9">
        <f t="shared" si="383"/>
        <v>-0.004014046134</v>
      </c>
      <c r="X78" s="65">
        <f>IFERROR(__xludf.DUMMYFUNCTION("IFERROR(
  VLOOKUP(
    A78,
    IMPORTRANGE(
      ""1ZHMy3vVUd_0MrSduXTe1etBb1HNpAlGwQr006ljwMiM"",
      ""GSC最新!A:R""
    ),
    9,
    FALSE
  ),
  0
)
"),5.258474576271187)</f>
        <v>5.258474576</v>
      </c>
      <c r="Y78" s="65">
        <f>IFERROR(__xludf.DUMMYFUNCTION("IFERROR(
  VLOOKUP(
    A78,
    IMPORTRANGE(
      ""1ZHMy3vVUd_0MrSduXTe1etBb1HNpAlGwQr006ljwMiM"",
      ""GSC最新!A:R""
    ),
    12,
    FALSE
  ),
  0
)
"),6.225125628140703)</f>
        <v>6.225125628</v>
      </c>
      <c r="Z78" s="65">
        <f>IFERROR(__xludf.DUMMYFUNCTION("IFERROR(
  VLOOKUP(
    A78,
    IMPORTRANGE(
      ""1ZHMy3vVUd_0MrSduXTe1etBb1HNpAlGwQr006ljwMiM"",
      ""GSC最新!A:R""
    ),
    15,
    FALSE
  ),
  0
)
"),11.046153846153846)</f>
        <v>11.04615385</v>
      </c>
      <c r="AA78" s="65">
        <f>IFERROR(__xludf.DUMMYFUNCTION("IFERROR(
  VLOOKUP(
    A78,
    IMPORTRANGE(
      ""1ZHMy3vVUd_0MrSduXTe1etBb1HNpAlGwQr006ljwMiM"",
      ""GSC最新!A:R""
    ),
    18,
    FALSE
  ),
  0
)
"),14.090361445783133)</f>
        <v>14.09036145</v>
      </c>
      <c r="AB78" s="65">
        <f t="shared" ref="AB78:AC78" si="384">X78-Z78</f>
        <v>-5.78767927</v>
      </c>
      <c r="AC78" s="65">
        <f t="shared" si="384"/>
        <v>-7.865235818</v>
      </c>
      <c r="AD78" s="53">
        <f>IFERROR(__xludf.DUMMYFUNCTION("IFERROR(
  VLOOKUP(
    A78,
    IMPORTRANGE(
      ""1ZHMy3vVUd_0MrSduXTe1etBb1HNpAlGwQr006ljwMiM"",
      ""GSC最新!A:F""
    ),
    6,
    FALSE
  ),
  0
)
"),46081.0)</f>
        <v>46081</v>
      </c>
      <c r="AE78" s="54">
        <f>IFERROR(__xludf.DUMMYFUNCTION("IFERROR(
  VLOOKUP(
    A78,
    IMPORTRANGE(
      ""1SCYQd7_cobOYqT0r_F0IqD4tE4rYn5y8Eup4PJTH8es"",
      ""Snapshot!A:M""
    ),
    5,
    FALSE
  ),
  ""-""
)
"),0.0)</f>
        <v>0</v>
      </c>
      <c r="AF78" s="54">
        <f>IFERROR(__xludf.DUMMYFUNCTION("IFERROR(
  VLOOKUP(
    A78,
    IMPORTRANGE(
      ""1SCYQd7_cobOYqT0r_F0IqD4tE4rYn5y8Eup4PJTH8es"",
      ""Snapshot!A:M""
    ),
    6,
    FALSE
  ),
  0
)
"),6.0)</f>
        <v>6</v>
      </c>
      <c r="AG78" s="54">
        <f>IFERROR(__xludf.DUMMYFUNCTION("IFERROR(
  VLOOKUP(
    A78,
    IMPORTRANGE(
      ""1SCYQd7_cobOYqT0r_F0IqD4tE4rYn5y8Eup4PJTH8es"",
      ""Snapshot!A:M""
    ),
    7,
    FALSE
  ),
  0
)
"),1290.0)</f>
        <v>1290</v>
      </c>
      <c r="AH78" s="54">
        <f>IFERROR(__xludf.DUMMYFUNCTION("IFERROR(
  VLOOKUP(
    A78,
    IMPORTRANGE(
      ""1SCYQd7_cobOYqT0r_F0IqD4tE4rYn5y8Eup4PJTH8es"",
      ""Snapshot!A:M""
    ),
    8,
    FALSE
  ),
  0
)
"),1.0)</f>
        <v>1</v>
      </c>
      <c r="AI78" s="54">
        <f>IFERROR(__xludf.DUMMYFUNCTION("IFERROR(
  VLOOKUP(
    A78,
    IMPORTRANGE(
      ""1SCYQd7_cobOYqT0r_F0IqD4tE4rYn5y8Eup4PJTH8es"",
      ""Snapshot!A:M""
    ),
    9,
    FALSE
  ),
  0
)
"),4.0)</f>
        <v>4</v>
      </c>
      <c r="AJ78" s="54">
        <f>IFERROR(__xludf.DUMMYFUNCTION("IFERROR(
  VLOOKUP(
    A78,
    IMPORTRANGE(
      ""1SCYQd7_cobOYqT0r_F0IqD4tE4rYn5y8Eup4PJTH8es"",
      ""Snapshot!A:M""
    ),
    13,
    FALSE
  ),
  0
)
"),1.0)</f>
        <v>1</v>
      </c>
      <c r="AK78" s="49">
        <f t="shared" ref="AK78:AL78" si="385">LEN(C78)</f>
        <v>26</v>
      </c>
      <c r="AL78" s="49">
        <f t="shared" si="385"/>
        <v>68</v>
      </c>
    </row>
    <row r="79">
      <c r="A79" s="3" t="s">
        <v>1165</v>
      </c>
      <c r="B79" s="1" t="str">
        <f>IFERROR(__xludf.DUMMYFUNCTION("IFERROR(
  VLOOKUP(
    A79,
    IMPORTRANGE(
      ""1ZygntHC1J6IxzKbTidmOyf5nUyW4GCLurHCjexrLm_o"",
      ""HTMLキャッシュ!A:F""
    ),
    2,
    FALSE
  ),
  0
)
"),"MC")</f>
        <v>MC</v>
      </c>
      <c r="C79" s="1" t="str">
        <f>IFERROR(__xludf.DUMMYFUNCTION("IFERROR(
  VLOOKUP(
    A79,
    IMPORTRANGE(
      ""1ZygntHC1J6IxzKbTidmOyf5nUyW4GCLurHCjexrLm_o"",
      ""HTMLキャッシュ!A:F""
    ),
    5,
    FALSE
  ),
  0
)
"),"deepの比較級・最上級｜deeperとmoreの判断")</f>
        <v>deepの比較級・最上級｜deeperとmoreの判断</v>
      </c>
      <c r="D79" s="1" t="str">
        <f>IFERROR(__xludf.DUMMYFUNCTION("IFERROR(
  VLOOKUP(
    A79,
    IMPORTRANGE(
      ""1ZygntHC1J6IxzKbTidmOyf5nUyW4GCLurHCjexrLm_o        "",
      ""HTMLキャッシュ!A:F""
    ),
    6,
    FALSE
  ),
  0
)
"),"deepの比較級はdeeper、最上級はdeepestが基本。more/mostを使う場面、thanの形、a little・muchで差を調整する言い方を例文で整理。")</f>
        <v>deepの比較級はdeeper、最上級はdeepestが基本。more/mostを使う場面、thanの形、a little・muchで差を調整する言い方を例文で整理。</v>
      </c>
      <c r="E79" s="32">
        <f>IFERROR(__xludf.DUMMYFUNCTION("IFERROR(
  VLOOKUP(
    A79,
    IMPORTRANGE(
      ""1ZygntHC1J6IxzKbTidmOyf5nUyW4GCLurHCjexrLm_o        "",
      ""HTMLキャッシュ!A:F""
    ),
    3,
    FALSE
  ),
  0
)
"),46078.58542824074)</f>
        <v>46078.58543</v>
      </c>
      <c r="F79" s="49">
        <f>IFERROR(__xludf.DUMMYFUNCTION("IFERROR(
  VLOOKUP(
    A79,
    IMPORTRANGE(
      ""1ZHMy3vVUd_0MrSduXTe1etBb1HNpAlGwQr006ljwMiM"",
      ""GSC最新!A:F""
    ),
    2,
    FALSE
  ),
  0
)
"),2.0)</f>
        <v>2</v>
      </c>
      <c r="G79" s="49">
        <f>IFERROR(__xludf.DUMMYFUNCTION("IFERROR(
  VLOOKUP(
    A79,
    IMPORTRANGE(
      ""1ZHMy3vVUd_0MrSduXTe1etBb1HNpAlGwQr006ljwMiM"",
      ""GSC最新!A:F""
    ),
    3,
    FALSE
  ),
  0
)
"),2.0)</f>
        <v>2</v>
      </c>
      <c r="H79" s="49">
        <f>IFERROR(__xludf.DUMMYFUNCTION("IFERROR(
  VLOOKUP(
    A79,
    IMPORTRANGE(
      ""1ZHMy3vVUd_0MrSduXTe1etBb1HNpAlGwQr006ljwMiM"",
      ""GSC最新!A:F""
    ),
    4,
    FALSE
  ),
  0
)
"),0.0)</f>
        <v>0</v>
      </c>
      <c r="I79" s="49">
        <f>IFERROR(__xludf.DUMMYFUNCTION("IFERROR(
  VLOOKUP(
    A79,
    IMPORTRANGE(
      ""1ZHMy3vVUd_0MrSduXTe1etBb1HNpAlGwQr006ljwMiM"",
      ""GSC最新!A:F""
    ),
    5,
    FALSE
  ),
  0
)
"),0.0)</f>
        <v>0</v>
      </c>
      <c r="J79" s="50" t="str">
        <f t="shared" ref="J79:K79" si="386">IFERROR(F79/H79,"-")</f>
        <v>-</v>
      </c>
      <c r="K79" s="50" t="str">
        <f t="shared" si="386"/>
        <v>-</v>
      </c>
      <c r="L79" s="6">
        <f>IFERROR(__xludf.DUMMYFUNCTION("IFERROR(
  VLOOKUP(
    A79,
    IMPORTRANGE(
      ""1ZHMy3vVUd_0MrSduXTe1etBb1HNpAlGwQr006ljwMiM"",
      ""GSC最新!A:R""
    ),
    7,
    FALSE
  ),
  0
)
"),655.0)</f>
        <v>655</v>
      </c>
      <c r="M79" s="6">
        <f>IFERROR(__xludf.DUMMYFUNCTION("IFERROR(
  VLOOKUP(
    A79,
    IMPORTRANGE(
      ""1ZHMy3vVUd_0MrSduXTe1etBb1HNpAlGwQr006ljwMiM"",
      ""GSC最新!A:R""
    ),
    10,
    FALSE
  ),
  0
)
"),859.0)</f>
        <v>859</v>
      </c>
      <c r="N79" s="6">
        <f>IFERROR(__xludf.DUMMYFUNCTION("IFERROR(
  VLOOKUP(
    A79,
    IMPORTRANGE(
      ""1ZHMy3vVUd_0MrSduXTe1etBb1HNpAlGwQr006ljwMiM"",
      ""GSC最新!A:R""
    ),
    13,
    FALSE
  ),
  0
)
"),1.0)</f>
        <v>1</v>
      </c>
      <c r="O79" s="6">
        <f>IFERROR(__xludf.DUMMYFUNCTION("IFERROR(
  VLOOKUP(
    A79,
    IMPORTRANGE(
      ""1ZHMy3vVUd_0MrSduXTe1etBb1HNpAlGwQr006ljwMiM"",
      ""GSC最新!A:R""
    ),
    16,
    FALSE
  ),
  0
)
"),5.0)</f>
        <v>5</v>
      </c>
      <c r="P79" s="51">
        <f t="shared" ref="P79:Q79" si="387">IFERROR(L79/N79,"-")</f>
        <v>655</v>
      </c>
      <c r="Q79" s="51">
        <f t="shared" si="387"/>
        <v>171.8</v>
      </c>
      <c r="R79" s="9">
        <f>IFERROR(__xludf.DUMMYFUNCTION("IFERROR(
  VLOOKUP(
    A79,
    IMPORTRANGE(
      ""1ZHMy3vVUd_0MrSduXTe1etBb1HNpAlGwQr006ljwMiM"",
      ""GSC最新!A:R""
    ),
    8,
    FALSE
  ),
  0
)
"),0.0030534351145038168)</f>
        <v>0.003053435115</v>
      </c>
      <c r="S79" s="9">
        <f>IFERROR(__xludf.DUMMYFUNCTION("IFERROR(
  VLOOKUP(
    A79,
    IMPORTRANGE(
      ""1ZHMy3vVUd_0MrSduXTe1etBb1HNpAlGwQr006ljwMiM"",
      ""GSC最新!A:R""
    ),
    11,
    FALSE
  ),
  0
)
"),0.002328288707799767)</f>
        <v>0.002328288708</v>
      </c>
      <c r="T79" s="9">
        <f>IFERROR(__xludf.DUMMYFUNCTION("IFERROR(
  VLOOKUP(
    A79,
    IMPORTRANGE(
      ""1ZHMy3vVUd_0MrSduXTe1etBb1HNpAlGwQr006ljwMiM"",
      ""GSC最新!A:R""
    ),
    14,
    FALSE
  ),
  0
)
"),0.0)</f>
        <v>0</v>
      </c>
      <c r="U79" s="9">
        <f>IFERROR(__xludf.DUMMYFUNCTION("IFERROR(
  VLOOKUP(
    A79,
    IMPORTRANGE(
      ""1ZHMy3vVUd_0MrSduXTe1etBb1HNpAlGwQr006ljwMiM"",
      ""GSC最新!A:R""
    ),
    17,
    FALSE
  ),
  0
)
"),0.0)</f>
        <v>0</v>
      </c>
      <c r="V79" s="9">
        <f t="shared" ref="V79:W79" si="388">IFERROR(R79-T79,"-")</f>
        <v>0.003053435115</v>
      </c>
      <c r="W79" s="9">
        <f t="shared" si="388"/>
        <v>0.002328288708</v>
      </c>
      <c r="X79" s="65">
        <f>IFERROR(__xludf.DUMMYFUNCTION("IFERROR(
  VLOOKUP(
    A79,
    IMPORTRANGE(
      ""1ZHMy3vVUd_0MrSduXTe1etBb1HNpAlGwQr006ljwMiM"",
      ""GSC最新!A:R""
    ),
    9,
    FALSE
  ),
  0
)
"),3.854961832061069)</f>
        <v>3.854961832</v>
      </c>
      <c r="Y79" s="65">
        <f>IFERROR(__xludf.DUMMYFUNCTION("IFERROR(
  VLOOKUP(
    A79,
    IMPORTRANGE(
      ""1ZHMy3vVUd_0MrSduXTe1etBb1HNpAlGwQr006ljwMiM"",
      ""GSC最新!A:R""
    ),
    12,
    FALSE
  ),
  0
)
"),4.810244470314319)</f>
        <v>4.81024447</v>
      </c>
      <c r="Z79" s="65">
        <f>IFERROR(__xludf.DUMMYFUNCTION("IFERROR(
  VLOOKUP(
    A79,
    IMPORTRANGE(
      ""1ZHMy3vVUd_0MrSduXTe1etBb1HNpAlGwQr006ljwMiM"",
      ""GSC最新!A:R""
    ),
    15,
    FALSE
  ),
  0
)
"),5.0)</f>
        <v>5</v>
      </c>
      <c r="AA79" s="65">
        <f>IFERROR(__xludf.DUMMYFUNCTION("IFERROR(
  VLOOKUP(
    A79,
    IMPORTRANGE(
      ""1ZHMy3vVUd_0MrSduXTe1etBb1HNpAlGwQr006ljwMiM"",
      ""GSC最新!A:R""
    ),
    18,
    FALSE
  ),
  0
)
"),7.0)</f>
        <v>7</v>
      </c>
      <c r="AB79" s="65">
        <f t="shared" ref="AB79:AC79" si="389">X79-Z79</f>
        <v>-1.145038168</v>
      </c>
      <c r="AC79" s="65">
        <f t="shared" si="389"/>
        <v>-2.18975553</v>
      </c>
      <c r="AD79" s="53">
        <f>IFERROR(__xludf.DUMMYFUNCTION("IFERROR(
  VLOOKUP(
    A79,
    IMPORTRANGE(
      ""1ZHMy3vVUd_0MrSduXTe1etBb1HNpAlGwQr006ljwMiM"",
      ""GSC最新!A:F""
    ),
    6,
    FALSE
  ),
  0
)
"),46081.0)</f>
        <v>46081</v>
      </c>
      <c r="AE79" s="54">
        <f>IFERROR(__xludf.DUMMYFUNCTION("IFERROR(
  VLOOKUP(
    A79,
    IMPORTRANGE(
      ""1SCYQd7_cobOYqT0r_F0IqD4tE4rYn5y8Eup4PJTH8es"",
      ""Snapshot!A:M""
    ),
    5,
    FALSE
  ),
  ""-""
)
"),3.0)</f>
        <v>3</v>
      </c>
      <c r="AF79" s="54">
        <f>IFERROR(__xludf.DUMMYFUNCTION("IFERROR(
  VLOOKUP(
    A79,
    IMPORTRANGE(
      ""1SCYQd7_cobOYqT0r_F0IqD4tE4rYn5y8Eup4PJTH8es"",
      ""Snapshot!A:M""
    ),
    6,
    FALSE
  ),
  0
)
"),14.0)</f>
        <v>14</v>
      </c>
      <c r="AG79" s="54">
        <f>IFERROR(__xludf.DUMMYFUNCTION("IFERROR(
  VLOOKUP(
    A79,
    IMPORTRANGE(
      ""1SCYQd7_cobOYqT0r_F0IqD4tE4rYn5y8Eup4PJTH8es"",
      ""Snapshot!A:M""
    ),
    7,
    FALSE
  ),
  0
)
"),4577.0)</f>
        <v>4577</v>
      </c>
      <c r="AH79" s="54">
        <f>IFERROR(__xludf.DUMMYFUNCTION("IFERROR(
  VLOOKUP(
    A79,
    IMPORTRANGE(
      ""1SCYQd7_cobOYqT0r_F0IqD4tE4rYn5y8Eup4PJTH8es"",
      ""Snapshot!A:M""
    ),
    8,
    FALSE
  ),
  0
)
"),1.0)</f>
        <v>1</v>
      </c>
      <c r="AI79" s="54">
        <f>IFERROR(__xludf.DUMMYFUNCTION("IFERROR(
  VLOOKUP(
    A79,
    IMPORTRANGE(
      ""1SCYQd7_cobOYqT0r_F0IqD4tE4rYn5y8Eup4PJTH8es"",
      ""Snapshot!A:M""
    ),
    9,
    FALSE
  ),
  0
)
"),4.0)</f>
        <v>4</v>
      </c>
      <c r="AJ79" s="54">
        <f>IFERROR(__xludf.DUMMYFUNCTION("IFERROR(
  VLOOKUP(
    A79,
    IMPORTRANGE(
      ""1SCYQd7_cobOYqT0r_F0IqD4tE4rYn5y8Eup4PJTH8es"",
      ""Snapshot!A:M""
    ),
    13,
    FALSE
  ),
  0
)
"),1.0)</f>
        <v>1</v>
      </c>
      <c r="AK79" s="49">
        <f t="shared" ref="AK79:AL79" si="390">LEN(C79)</f>
        <v>27</v>
      </c>
      <c r="AL79" s="49">
        <f t="shared" si="390"/>
        <v>83</v>
      </c>
    </row>
    <row r="80">
      <c r="A80" s="3" t="s">
        <v>1166</v>
      </c>
      <c r="B80" s="1" t="str">
        <f>IFERROR(__xludf.DUMMYFUNCTION("IFERROR(
  VLOOKUP(
    A80,
    IMPORTRANGE(
      ""1ZygntHC1J6IxzKbTidmOyf5nUyW4GCLurHCjexrLm_o"",
      ""HTMLキャッシュ!A:F""
    ),
    2,
    FALSE
  ),
  0
)
"),"MC")</f>
        <v>MC</v>
      </c>
      <c r="C80" s="1" t="str">
        <f>IFERROR(__xludf.DUMMYFUNCTION("IFERROR(
  VLOOKUP(
    A80,
    IMPORTRANGE(
      ""1ZygntHC1J6IxzKbTidmOyf5nUyW4GCLurHCjexrLm_o"",
      ""HTMLキャッシュ!A:F""
    ),
    5,
    FALSE
  ),
  0
)
"),"関係代名詞主格who/that｜文の構成｜中２英語")</f>
        <v>関係代名詞主格who/that｜文の構成｜中２英語</v>
      </c>
      <c r="D80" s="1" t="str">
        <f>IFERROR(__xludf.DUMMYFUNCTION("IFERROR(
  VLOOKUP(
    A80,
    IMPORTRANGE(
      ""1ZygntHC1J6IxzKbTidmOyf5nUyW4GCLurHCjexrLm_o        "",
      ""HTMLキャッシュ!A:F""
    ),
    6,
    FALSE
  ),
  0
)
"),"関係代名詞節は名詞を後ろから説明。主格who/thatで２文を１文に。関係詞節は動詞の数で区切る。例文つき。")</f>
        <v>関係代名詞節は名詞を後ろから説明。主格who/thatで２文を１文に。関係詞節は動詞の数で区切る。例文つき。</v>
      </c>
      <c r="E80" s="32">
        <f>IFERROR(__xludf.DUMMYFUNCTION("IFERROR(
  VLOOKUP(
    A80,
    IMPORTRANGE(
      ""1ZygntHC1J6IxzKbTidmOyf5nUyW4GCLurHCjexrLm_o        "",
      ""HTMLキャッシュ!A:F""
    ),
    3,
    FALSE
  ),
  0
)
"),46061.92866898148)</f>
        <v>46061.92867</v>
      </c>
      <c r="F80" s="49">
        <f>IFERROR(__xludf.DUMMYFUNCTION("IFERROR(
  VLOOKUP(
    A80,
    IMPORTRANGE(
      ""1ZHMy3vVUd_0MrSduXTe1etBb1HNpAlGwQr006ljwMiM"",
      ""GSC最新!A:F""
    ),
    2,
    FALSE
  ),
  0
)
"),0.0)</f>
        <v>0</v>
      </c>
      <c r="G80" s="49">
        <f>IFERROR(__xludf.DUMMYFUNCTION("IFERROR(
  VLOOKUP(
    A80,
    IMPORTRANGE(
      ""1ZHMy3vVUd_0MrSduXTe1etBb1HNpAlGwQr006ljwMiM"",
      ""GSC最新!A:F""
    ),
    3,
    FALSE
  ),
  0
)
"),2.0)</f>
        <v>2</v>
      </c>
      <c r="H80" s="49">
        <f>IFERROR(__xludf.DUMMYFUNCTION("IFERROR(
  VLOOKUP(
    A80,
    IMPORTRANGE(
      ""1ZHMy3vVUd_0MrSduXTe1etBb1HNpAlGwQr006ljwMiM"",
      ""GSC最新!A:F""
    ),
    4,
    FALSE
  ),
  0
)
"),1.0)</f>
        <v>1</v>
      </c>
      <c r="I80" s="49">
        <f>IFERROR(__xludf.DUMMYFUNCTION("IFERROR(
  VLOOKUP(
    A80,
    IMPORTRANGE(
      ""1ZHMy3vVUd_0MrSduXTe1etBb1HNpAlGwQr006ljwMiM"",
      ""GSC最新!A:F""
    ),
    5,
    FALSE
  ),
  0
)
"),1.0)</f>
        <v>1</v>
      </c>
      <c r="J80" s="50">
        <f t="shared" ref="J80:K80" si="391">IFERROR(F80/H80,"-")</f>
        <v>0</v>
      </c>
      <c r="K80" s="50">
        <f t="shared" si="391"/>
        <v>2</v>
      </c>
      <c r="L80" s="6">
        <f>IFERROR(__xludf.DUMMYFUNCTION("IFERROR(
  VLOOKUP(
    A80,
    IMPORTRANGE(
      ""1ZHMy3vVUd_0MrSduXTe1etBb1HNpAlGwQr006ljwMiM"",
      ""GSC最新!A:R""
    ),
    7,
    FALSE
  ),
  0
)
"),6.0)</f>
        <v>6</v>
      </c>
      <c r="M80" s="6">
        <f>IFERROR(__xludf.DUMMYFUNCTION("IFERROR(
  VLOOKUP(
    A80,
    IMPORTRANGE(
      ""1ZHMy3vVUd_0MrSduXTe1etBb1HNpAlGwQr006ljwMiM"",
      ""GSC最新!A:R""
    ),
    10,
    FALSE
  ),
  0
)
"),182.0)</f>
        <v>182</v>
      </c>
      <c r="N80" s="6">
        <f>IFERROR(__xludf.DUMMYFUNCTION("IFERROR(
  VLOOKUP(
    A80,
    IMPORTRANGE(
      ""1ZHMy3vVUd_0MrSduXTe1etBb1HNpAlGwQr006ljwMiM"",
      ""GSC最新!A:R""
    ),
    13,
    FALSE
  ),
  0
)
"),10.0)</f>
        <v>10</v>
      </c>
      <c r="O80" s="6">
        <f>IFERROR(__xludf.DUMMYFUNCTION("IFERROR(
  VLOOKUP(
    A80,
    IMPORTRANGE(
      ""1ZHMy3vVUd_0MrSduXTe1etBb1HNpAlGwQr006ljwMiM"",
      ""GSC最新!A:R""
    ),
    16,
    FALSE
  ),
  0
)
"),12.0)</f>
        <v>12</v>
      </c>
      <c r="P80" s="51">
        <f t="shared" ref="P80:Q80" si="392">IFERROR(L80/N80,"-")</f>
        <v>0.6</v>
      </c>
      <c r="Q80" s="51">
        <f t="shared" si="392"/>
        <v>15.16666667</v>
      </c>
      <c r="R80" s="9">
        <f>IFERROR(__xludf.DUMMYFUNCTION("IFERROR(
  VLOOKUP(
    A80,
    IMPORTRANGE(
      ""1ZHMy3vVUd_0MrSduXTe1etBb1HNpAlGwQr006ljwMiM"",
      ""GSC最新!A:R""
    ),
    8,
    FALSE
  ),
  0
)
"),0.0)</f>
        <v>0</v>
      </c>
      <c r="S80" s="9">
        <f>IFERROR(__xludf.DUMMYFUNCTION("IFERROR(
  VLOOKUP(
    A80,
    IMPORTRANGE(
      ""1ZHMy3vVUd_0MrSduXTe1etBb1HNpAlGwQr006ljwMiM"",
      ""GSC最新!A:R""
    ),
    11,
    FALSE
  ),
  0
)
"),0.01098901098901099)</f>
        <v>0.01098901099</v>
      </c>
      <c r="T80" s="9">
        <f>IFERROR(__xludf.DUMMYFUNCTION("IFERROR(
  VLOOKUP(
    A80,
    IMPORTRANGE(
      ""1ZHMy3vVUd_0MrSduXTe1etBb1HNpAlGwQr006ljwMiM"",
      ""GSC最新!A:R""
    ),
    14,
    FALSE
  ),
  0
)
"),0.1)</f>
        <v>0.1</v>
      </c>
      <c r="U80" s="9">
        <f>IFERROR(__xludf.DUMMYFUNCTION("IFERROR(
  VLOOKUP(
    A80,
    IMPORTRANGE(
      ""1ZHMy3vVUd_0MrSduXTe1etBb1HNpAlGwQr006ljwMiM"",
      ""GSC最新!A:R""
    ),
    17,
    FALSE
  ),
  0
)
"),0.08333333333333333)</f>
        <v>0.08333333333</v>
      </c>
      <c r="V80" s="9">
        <f t="shared" ref="V80:W80" si="393">IFERROR(R80-T80,"-")</f>
        <v>-0.1</v>
      </c>
      <c r="W80" s="9">
        <f t="shared" si="393"/>
        <v>-0.07234432234</v>
      </c>
      <c r="X80" s="65">
        <f>IFERROR(__xludf.DUMMYFUNCTION("IFERROR(
  VLOOKUP(
    A80,
    IMPORTRANGE(
      ""1ZHMy3vVUd_0MrSduXTe1etBb1HNpAlGwQr006ljwMiM"",
      ""GSC最新!A:R""
    ),
    9,
    FALSE
  ),
  0
)
"),5.5)</f>
        <v>5.5</v>
      </c>
      <c r="Y80" s="65">
        <f>IFERROR(__xludf.DUMMYFUNCTION("IFERROR(
  VLOOKUP(
    A80,
    IMPORTRANGE(
      ""1ZHMy3vVUd_0MrSduXTe1etBb1HNpAlGwQr006ljwMiM"",
      ""GSC最新!A:R""
    ),
    12,
    FALSE
  ),
  0
)
"),8.670329670329672)</f>
        <v>8.67032967</v>
      </c>
      <c r="Z80" s="65">
        <f>IFERROR(__xludf.DUMMYFUNCTION("IFERROR(
  VLOOKUP(
    A80,
    IMPORTRANGE(
      ""1ZHMy3vVUd_0MrSduXTe1etBb1HNpAlGwQr006ljwMiM"",
      ""GSC最新!A:R""
    ),
    15,
    FALSE
  ),
  0
)
"),7.2)</f>
        <v>7.2</v>
      </c>
      <c r="AA80" s="65">
        <f>IFERROR(__xludf.DUMMYFUNCTION("IFERROR(
  VLOOKUP(
    A80,
    IMPORTRANGE(
      ""1ZHMy3vVUd_0MrSduXTe1etBb1HNpAlGwQr006ljwMiM"",
      ""GSC最新!A:R""
    ),
    18,
    FALSE
  ),
  0
)
"),10.0)</f>
        <v>10</v>
      </c>
      <c r="AB80" s="65">
        <f t="shared" ref="AB80:AC80" si="394">X80-Z80</f>
        <v>-1.7</v>
      </c>
      <c r="AC80" s="65">
        <f t="shared" si="394"/>
        <v>-1.32967033</v>
      </c>
      <c r="AD80" s="53">
        <f>IFERROR(__xludf.DUMMYFUNCTION("IFERROR(
  VLOOKUP(
    A80,
    IMPORTRANGE(
      ""1ZHMy3vVUd_0MrSduXTe1etBb1HNpAlGwQr006ljwMiM"",
      ""GSC最新!A:F""
    ),
    6,
    FALSE
  ),
  0
)
"),46081.0)</f>
        <v>46081</v>
      </c>
      <c r="AE80" s="54">
        <f>IFERROR(__xludf.DUMMYFUNCTION("IFERROR(
  VLOOKUP(
    A80,
    IMPORTRANGE(
      ""1SCYQd7_cobOYqT0r_F0IqD4tE4rYn5y8Eup4PJTH8es"",
      ""Snapshot!A:M""
    ),
    5,
    FALSE
  ),
  ""-""
)
"),7.0)</f>
        <v>7</v>
      </c>
      <c r="AF80" s="54">
        <f>IFERROR(__xludf.DUMMYFUNCTION("IFERROR(
  VLOOKUP(
    A80,
    IMPORTRANGE(
      ""1SCYQd7_cobOYqT0r_F0IqD4tE4rYn5y8Eup4PJTH8es"",
      ""Snapshot!A:M""
    ),
    6,
    FALSE
  ),
  0
)
"),12.0)</f>
        <v>12</v>
      </c>
      <c r="AG80" s="54">
        <f>IFERROR(__xludf.DUMMYFUNCTION("IFERROR(
  VLOOKUP(
    A80,
    IMPORTRANGE(
      ""1SCYQd7_cobOYqT0r_F0IqD4tE4rYn5y8Eup4PJTH8es"",
      ""Snapshot!A:M""
    ),
    7,
    FALSE
  ),
  0
)
"),5415.0)</f>
        <v>5415</v>
      </c>
      <c r="AH80" s="54">
        <f>IFERROR(__xludf.DUMMYFUNCTION("IFERROR(
  VLOOKUP(
    A80,
    IMPORTRANGE(
      ""1SCYQd7_cobOYqT0r_F0IqD4tE4rYn5y8Eup4PJTH8es"",
      ""Snapshot!A:M""
    ),
    8,
    FALSE
  ),
  0
)
"),1.0)</f>
        <v>1</v>
      </c>
      <c r="AI80" s="54">
        <f>IFERROR(__xludf.DUMMYFUNCTION("IFERROR(
  VLOOKUP(
    A80,
    IMPORTRANGE(
      ""1SCYQd7_cobOYqT0r_F0IqD4tE4rYn5y8Eup4PJTH8es"",
      ""Snapshot!A:M""
    ),
    9,
    FALSE
  ),
  0
)
"),4.0)</f>
        <v>4</v>
      </c>
      <c r="AJ80" s="54">
        <f>IFERROR(__xludf.DUMMYFUNCTION("IFERROR(
  VLOOKUP(
    A80,
    IMPORTRANGE(
      ""1SCYQd7_cobOYqT0r_F0IqD4tE4rYn5y8Eup4PJTH8es"",
      ""Snapshot!A:M""
    ),
    13,
    FALSE
  ),
  0
)
"),1.0)</f>
        <v>1</v>
      </c>
      <c r="AK80" s="49">
        <f t="shared" ref="AK80:AL80" si="395">LEN(C80)</f>
        <v>25</v>
      </c>
      <c r="AL80" s="49">
        <f t="shared" si="395"/>
        <v>54</v>
      </c>
    </row>
    <row r="81">
      <c r="A81" s="3" t="s">
        <v>1167</v>
      </c>
      <c r="B81" s="1" t="str">
        <f>IFERROR(__xludf.DUMMYFUNCTION("IFERROR(
  VLOOKUP(
    A81,
    IMPORTRANGE(
      ""1ZygntHC1J6IxzKbTidmOyf5nUyW4GCLurHCjexrLm_o"",
      ""HTMLキャッシュ!A:F""
    ),
    2,
    FALSE
  ),
  0
)
"),"MC")</f>
        <v>MC</v>
      </c>
      <c r="C81" s="1" t="str">
        <f>IFERROR(__xludf.DUMMYFUNCTION("IFERROR(
  VLOOKUP(
    A81,
    IMPORTRANGE(
      ""1ZygntHC1J6IxzKbTidmOyf5nUyW4GCLurHCjexrLm_o"",
      ""HTMLキャッシュ!A:F""
    ),
    5,
    FALSE
  ),
  0
)
"),"選択疑問文【Progress Book1 Lesson16-4】 - 新宿区四谷の英語専門塾「英語教室『サポート』」～英語は別に怖くない！～")</f>
        <v>選択疑問文【Progress Book1 Lesson16-4】 - 新宿区四谷の英語専門塾「英語教室『サポート』」～英語は別に怖くない！～</v>
      </c>
      <c r="D81" s="1" t="str">
        <f>IFERROR(__xludf.DUMMYFUNCTION("IFERROR(
  VLOOKUP(
    A81,
    IMPORTRANGE(
      ""1ZygntHC1J6IxzKbTidmOyf5nUyW4GCLurHCjexrLm_o        "",
      ""HTMLキャッシュ!A:F""
    ),
    6,
    FALSE
  ),
  0
)
"),"Book1 Lesson16シーン4では、選択疑問文について学びます。 選択疑問文は以下のような形式です。")</f>
        <v>Book1 Lesson16シーン4では、選択疑問文について学びます。 選択疑問文は以下のような形式です。</v>
      </c>
      <c r="E81" s="32">
        <f>IFERROR(__xludf.DUMMYFUNCTION("IFERROR(
  VLOOKUP(
    A81,
    IMPORTRANGE(
      ""1ZygntHC1J6IxzKbTidmOyf5nUyW4GCLurHCjexrLm_o        "",
      ""HTMLキャッシュ!A:F""
    ),
    3,
    FALSE
  ),
  0
)
"),45972.77614583333)</f>
        <v>45972.77615</v>
      </c>
      <c r="F81" s="49">
        <f>IFERROR(__xludf.DUMMYFUNCTION("IFERROR(
  VLOOKUP(
    A81,
    IMPORTRANGE(
      ""1ZHMy3vVUd_0MrSduXTe1etBb1HNpAlGwQr006ljwMiM"",
      ""GSC最新!A:F""
    ),
    2,
    FALSE
  ),
  0
)
"),1.0)</f>
        <v>1</v>
      </c>
      <c r="G81" s="49">
        <f>IFERROR(__xludf.DUMMYFUNCTION("IFERROR(
  VLOOKUP(
    A81,
    IMPORTRANGE(
      ""1ZHMy3vVUd_0MrSduXTe1etBb1HNpAlGwQr006ljwMiM"",
      ""GSC最新!A:F""
    ),
    3,
    FALSE
  ),
  0
)
"),2.0)</f>
        <v>2</v>
      </c>
      <c r="H81" s="49">
        <f>IFERROR(__xludf.DUMMYFUNCTION("IFERROR(
  VLOOKUP(
    A81,
    IMPORTRANGE(
      ""1ZHMy3vVUd_0MrSduXTe1etBb1HNpAlGwQr006ljwMiM"",
      ""GSC最新!A:F""
    ),
    4,
    FALSE
  ),
  0
)
"),2.0)</f>
        <v>2</v>
      </c>
      <c r="I81" s="49">
        <f>IFERROR(__xludf.DUMMYFUNCTION("IFERROR(
  VLOOKUP(
    A81,
    IMPORTRANGE(
      ""1ZHMy3vVUd_0MrSduXTe1etBb1HNpAlGwQr006ljwMiM"",
      ""GSC最新!A:F""
    ),
    5,
    FALSE
  ),
  0
)
"),2.0)</f>
        <v>2</v>
      </c>
      <c r="J81" s="50">
        <f t="shared" ref="J81:K81" si="396">IFERROR(F81/H81,"-")</f>
        <v>0.5</v>
      </c>
      <c r="K81" s="50">
        <f t="shared" si="396"/>
        <v>1</v>
      </c>
      <c r="L81" s="6">
        <f>IFERROR(__xludf.DUMMYFUNCTION("IFERROR(
  VLOOKUP(
    A81,
    IMPORTRANGE(
      ""1ZHMy3vVUd_0MrSduXTe1etBb1HNpAlGwQr006ljwMiM"",
      ""GSC最新!A:R""
    ),
    7,
    FALSE
  ),
  0
)
"),19.0)</f>
        <v>19</v>
      </c>
      <c r="M81" s="6">
        <f>IFERROR(__xludf.DUMMYFUNCTION("IFERROR(
  VLOOKUP(
    A81,
    IMPORTRANGE(
      ""1ZHMy3vVUd_0MrSduXTe1etBb1HNpAlGwQr006ljwMiM"",
      ""GSC最新!A:R""
    ),
    10,
    FALSE
  ),
  0
)
"),35.0)</f>
        <v>35</v>
      </c>
      <c r="N81" s="6">
        <f>IFERROR(__xludf.DUMMYFUNCTION("IFERROR(
  VLOOKUP(
    A81,
    IMPORTRANGE(
      ""1ZHMy3vVUd_0MrSduXTe1etBb1HNpAlGwQr006ljwMiM"",
      ""GSC最新!A:R""
    ),
    13,
    FALSE
  ),
  0
)
"),10.0)</f>
        <v>10</v>
      </c>
      <c r="O81" s="6">
        <f>IFERROR(__xludf.DUMMYFUNCTION("IFERROR(
  VLOOKUP(
    A81,
    IMPORTRANGE(
      ""1ZHMy3vVUd_0MrSduXTe1etBb1HNpAlGwQr006ljwMiM"",
      ""GSC最新!A:R""
    ),
    16,
    FALSE
  ),
  0
)
"),36.0)</f>
        <v>36</v>
      </c>
      <c r="P81" s="51">
        <f t="shared" ref="P81:Q81" si="397">IFERROR(L81/N81,"-")</f>
        <v>1.9</v>
      </c>
      <c r="Q81" s="51">
        <f t="shared" si="397"/>
        <v>0.9722222222</v>
      </c>
      <c r="R81" s="9">
        <f>IFERROR(__xludf.DUMMYFUNCTION("IFERROR(
  VLOOKUP(
    A81,
    IMPORTRANGE(
      ""1ZHMy3vVUd_0MrSduXTe1etBb1HNpAlGwQr006ljwMiM"",
      ""GSC最新!A:R""
    ),
    8,
    FALSE
  ),
  0
)
"),0.05263157894736842)</f>
        <v>0.05263157895</v>
      </c>
      <c r="S81" s="9">
        <f>IFERROR(__xludf.DUMMYFUNCTION("IFERROR(
  VLOOKUP(
    A81,
    IMPORTRANGE(
      ""1ZHMy3vVUd_0MrSduXTe1etBb1HNpAlGwQr006ljwMiM"",
      ""GSC最新!A:R""
    ),
    11,
    FALSE
  ),
  0
)
"),0.05714285714285714)</f>
        <v>0.05714285714</v>
      </c>
      <c r="T81" s="9">
        <f>IFERROR(__xludf.DUMMYFUNCTION("IFERROR(
  VLOOKUP(
    A81,
    IMPORTRANGE(
      ""1ZHMy3vVUd_0MrSduXTe1etBb1HNpAlGwQr006ljwMiM"",
      ""GSC最新!A:R""
    ),
    14,
    FALSE
  ),
  0
)
"),0.2)</f>
        <v>0.2</v>
      </c>
      <c r="U81" s="9">
        <f>IFERROR(__xludf.DUMMYFUNCTION("IFERROR(
  VLOOKUP(
    A81,
    IMPORTRANGE(
      ""1ZHMy3vVUd_0MrSduXTe1etBb1HNpAlGwQr006ljwMiM"",
      ""GSC最新!A:R""
    ),
    17,
    FALSE
  ),
  0
)
"),0.05555555555555555)</f>
        <v>0.05555555556</v>
      </c>
      <c r="V81" s="9">
        <f t="shared" ref="V81:W81" si="398">IFERROR(R81-T81,"-")</f>
        <v>-0.1473684211</v>
      </c>
      <c r="W81" s="9">
        <f t="shared" si="398"/>
        <v>0.001587301587</v>
      </c>
      <c r="X81" s="65">
        <f>IFERROR(__xludf.DUMMYFUNCTION("IFERROR(
  VLOOKUP(
    A81,
    IMPORTRANGE(
      ""1ZHMy3vVUd_0MrSduXTe1etBb1HNpAlGwQr006ljwMiM"",
      ""GSC最新!A:R""
    ),
    9,
    FALSE
  ),
  0
)
"),5.052631578947368)</f>
        <v>5.052631579</v>
      </c>
      <c r="Y81" s="65">
        <f>IFERROR(__xludf.DUMMYFUNCTION("IFERROR(
  VLOOKUP(
    A81,
    IMPORTRANGE(
      ""1ZHMy3vVUd_0MrSduXTe1etBb1HNpAlGwQr006ljwMiM"",
      ""GSC最新!A:R""
    ),
    12,
    FALSE
  ),
  0
)
"),5.857142857142857)</f>
        <v>5.857142857</v>
      </c>
      <c r="Z81" s="65">
        <f>IFERROR(__xludf.DUMMYFUNCTION("IFERROR(
  VLOOKUP(
    A81,
    IMPORTRANGE(
      ""1ZHMy3vVUd_0MrSduXTe1etBb1HNpAlGwQr006ljwMiM"",
      ""GSC最新!A:R""
    ),
    15,
    FALSE
  ),
  0
)
"),6.1)</f>
        <v>6.1</v>
      </c>
      <c r="AA81" s="65">
        <f>IFERROR(__xludf.DUMMYFUNCTION("IFERROR(
  VLOOKUP(
    A81,
    IMPORTRANGE(
      ""1ZHMy3vVUd_0MrSduXTe1etBb1HNpAlGwQr006ljwMiM"",
      ""GSC最新!A:R""
    ),
    18,
    FALSE
  ),
  0
)
"),11.194444444444445)</f>
        <v>11.19444444</v>
      </c>
      <c r="AB81" s="65">
        <f t="shared" ref="AB81:AC81" si="399">X81-Z81</f>
        <v>-1.047368421</v>
      </c>
      <c r="AC81" s="65">
        <f t="shared" si="399"/>
        <v>-5.337301587</v>
      </c>
      <c r="AD81" s="53">
        <f>IFERROR(__xludf.DUMMYFUNCTION("IFERROR(
  VLOOKUP(
    A81,
    IMPORTRANGE(
      ""1ZHMy3vVUd_0MrSduXTe1etBb1HNpAlGwQr006ljwMiM"",
      ""GSC最新!A:F""
    ),
    6,
    FALSE
  ),
  0
)
"),46081.0)</f>
        <v>46081</v>
      </c>
      <c r="AE81" s="54">
        <f>IFERROR(__xludf.DUMMYFUNCTION("IFERROR(
  VLOOKUP(
    A81,
    IMPORTRANGE(
      ""1SCYQd7_cobOYqT0r_F0IqD4tE4rYn5y8Eup4PJTH8es"",
      ""Snapshot!A:M""
    ),
    5,
    FALSE
  ),
  ""-""
)
"),0.0)</f>
        <v>0</v>
      </c>
      <c r="AF81" s="54">
        <f>IFERROR(__xludf.DUMMYFUNCTION("IFERROR(
  VLOOKUP(
    A81,
    IMPORTRANGE(
      ""1SCYQd7_cobOYqT0r_F0IqD4tE4rYn5y8Eup4PJTH8es"",
      ""Snapshot!A:M""
    ),
    6,
    FALSE
  ),
  0
)
"),1.0)</f>
        <v>1</v>
      </c>
      <c r="AG81" s="54">
        <f>IFERROR(__xludf.DUMMYFUNCTION("IFERROR(
  VLOOKUP(
    A81,
    IMPORTRANGE(
      ""1SCYQd7_cobOYqT0r_F0IqD4tE4rYn5y8Eup4PJTH8es"",
      ""Snapshot!A:M""
    ),
    7,
    FALSE
  ),
  0
)
"),1232.0)</f>
        <v>1232</v>
      </c>
      <c r="AH81" s="54">
        <f>IFERROR(__xludf.DUMMYFUNCTION("IFERROR(
  VLOOKUP(
    A81,
    IMPORTRANGE(
      ""1SCYQd7_cobOYqT0r_F0IqD4tE4rYn5y8Eup4PJTH8es"",
      ""Snapshot!A:M""
    ),
    8,
    FALSE
  ),
  0
)
"),1.0)</f>
        <v>1</v>
      </c>
      <c r="AI81" s="54">
        <f>IFERROR(__xludf.DUMMYFUNCTION("IFERROR(
  VLOOKUP(
    A81,
    IMPORTRANGE(
      ""1SCYQd7_cobOYqT0r_F0IqD4tE4rYn5y8Eup4PJTH8es"",
      ""Snapshot!A:M""
    ),
    9,
    FALSE
  ),
  0
)
"),4.0)</f>
        <v>4</v>
      </c>
      <c r="AJ81" s="54">
        <f>IFERROR(__xludf.DUMMYFUNCTION("IFERROR(
  VLOOKUP(
    A81,
    IMPORTRANGE(
      ""1SCYQd7_cobOYqT0r_F0IqD4tE4rYn5y8Eup4PJTH8es"",
      ""Snapshot!A:M""
    ),
    13,
    FALSE
  ),
  0
)
"),1.0)</f>
        <v>1</v>
      </c>
      <c r="AK81" s="49">
        <f t="shared" ref="AK81:AL81" si="400">LEN(C81)</f>
        <v>70</v>
      </c>
      <c r="AL81" s="49">
        <f t="shared" si="400"/>
        <v>53</v>
      </c>
    </row>
    <row r="82">
      <c r="A82" s="3" t="s">
        <v>1168</v>
      </c>
      <c r="B82" s="1" t="str">
        <f>IFERROR(__xludf.DUMMYFUNCTION("IFERROR(
  VLOOKUP(
    A82,
    IMPORTRANGE(
      ""1ZygntHC1J6IxzKbTidmOyf5nUyW4GCLurHCjexrLm_o"",
      ""HTMLキャッシュ!A:F""
    ),
    2,
    FALSE
  ),
  0
)
"),"MC")</f>
        <v>MC</v>
      </c>
      <c r="C82" s="1" t="str">
        <f>IFERROR(__xludf.DUMMYFUNCTION("IFERROR(
  VLOOKUP(
    A82,
    IMPORTRANGE(
      ""1ZygntHC1J6IxzKbTidmOyf5nUyW4GCLurHCjexrLm_o"",
      ""HTMLキャッシュ!A:F""
    ),
    5,
    FALSE
  ),
  0
)
"),"感嘆文What/Howの違い｜what a語順整理（中2）")</f>
        <v>感嘆文What/Howの違い｜what a語順整理（中2）</v>
      </c>
      <c r="D82" s="1" t="str">
        <f>IFERROR(__xludf.DUMMYFUNCTION("IFERROR(
  VLOOKUP(
    A82,
    IMPORTRANGE(
      ""1ZygntHC1J6IxzKbTidmOyf5nUyW4GCLurHCjexrLm_o        "",
      ""HTMLキャッシュ!A:F""
    ),
    6,
    FALSE
  ),
  0
)
"),"感嘆文のWhat/Howの違いを中2向けに整理。what aは名詞あり、Howは名詞なし。語順とa/anの判断を例文で確認。")</f>
        <v>感嘆文のWhat/Howの違いを中2向けに整理。what aは名詞あり、Howは名詞なし。語順とa/anの判断を例文で確認。</v>
      </c>
      <c r="E82" s="32">
        <f>IFERROR(__xludf.DUMMYFUNCTION("IFERROR(
  VLOOKUP(
    A82,
    IMPORTRANGE(
      ""1ZygntHC1J6IxzKbTidmOyf5nUyW4GCLurHCjexrLm_o        "",
      ""HTMLキャッシュ!A:F""
    ),
    3,
    FALSE
  ),
  0
)
"),46077.835393518515)</f>
        <v>46077.83539</v>
      </c>
      <c r="F82" s="49">
        <f>IFERROR(__xludf.DUMMYFUNCTION("IFERROR(
  VLOOKUP(
    A82,
    IMPORTRANGE(
      ""1ZHMy3vVUd_0MrSduXTe1etBb1HNpAlGwQr006ljwMiM"",
      ""GSC最新!A:F""
    ),
    2,
    FALSE
  ),
  0
)
"),0.0)</f>
        <v>0</v>
      </c>
      <c r="G82" s="49">
        <f>IFERROR(__xludf.DUMMYFUNCTION("IFERROR(
  VLOOKUP(
    A82,
    IMPORTRANGE(
      ""1ZHMy3vVUd_0MrSduXTe1etBb1HNpAlGwQr006ljwMiM"",
      ""GSC最新!A:F""
    ),
    3,
    FALSE
  ),
  0
)
"),1.0)</f>
        <v>1</v>
      </c>
      <c r="H82" s="49">
        <f>IFERROR(__xludf.DUMMYFUNCTION("IFERROR(
  VLOOKUP(
    A82,
    IMPORTRANGE(
      ""1ZHMy3vVUd_0MrSduXTe1etBb1HNpAlGwQr006ljwMiM"",
      ""GSC最新!A:F""
    ),
    4,
    FALSE
  ),
  0
)
"),1.0)</f>
        <v>1</v>
      </c>
      <c r="I82" s="49">
        <f>IFERROR(__xludf.DUMMYFUNCTION("IFERROR(
  VLOOKUP(
    A82,
    IMPORTRANGE(
      ""1ZHMy3vVUd_0MrSduXTe1etBb1HNpAlGwQr006ljwMiM"",
      ""GSC最新!A:F""
    ),
    5,
    FALSE
  ),
  0
)
"),4.0)</f>
        <v>4</v>
      </c>
      <c r="J82" s="50">
        <f t="shared" ref="J82:K82" si="401">IFERROR(F82/H82,"-")</f>
        <v>0</v>
      </c>
      <c r="K82" s="50">
        <f t="shared" si="401"/>
        <v>0.25</v>
      </c>
      <c r="L82" s="6">
        <f>IFERROR(__xludf.DUMMYFUNCTION("IFERROR(
  VLOOKUP(
    A82,
    IMPORTRANGE(
      ""1ZHMy3vVUd_0MrSduXTe1etBb1HNpAlGwQr006ljwMiM"",
      ""GSC最新!A:R""
    ),
    7,
    FALSE
  ),
  0
)
"),2444.0)</f>
        <v>2444</v>
      </c>
      <c r="M82" s="6">
        <f>IFERROR(__xludf.DUMMYFUNCTION("IFERROR(
  VLOOKUP(
    A82,
    IMPORTRANGE(
      ""1ZHMy3vVUd_0MrSduXTe1etBb1HNpAlGwQr006ljwMiM"",
      ""GSC最新!A:R""
    ),
    10,
    FALSE
  ),
  0
)
"),5723.0)</f>
        <v>5723</v>
      </c>
      <c r="N82" s="6">
        <f>IFERROR(__xludf.DUMMYFUNCTION("IFERROR(
  VLOOKUP(
    A82,
    IMPORTRANGE(
      ""1ZHMy3vVUd_0MrSduXTe1etBb1HNpAlGwQr006ljwMiM"",
      ""GSC最新!A:R""
    ),
    13,
    FALSE
  ),
  0
)
"),143.0)</f>
        <v>143</v>
      </c>
      <c r="O82" s="6">
        <f>IFERROR(__xludf.DUMMYFUNCTION("IFERROR(
  VLOOKUP(
    A82,
    IMPORTRANGE(
      ""1ZHMy3vVUd_0MrSduXTe1etBb1HNpAlGwQr006ljwMiM"",
      ""GSC最新!A:R""
    ),
    16,
    FALSE
  ),
  0
)
"),507.0)</f>
        <v>507</v>
      </c>
      <c r="P82" s="51">
        <f t="shared" ref="P82:Q82" si="402">IFERROR(L82/N82,"-")</f>
        <v>17.09090909</v>
      </c>
      <c r="Q82" s="51">
        <f t="shared" si="402"/>
        <v>11.28796844</v>
      </c>
      <c r="R82" s="9">
        <f>IFERROR(__xludf.DUMMYFUNCTION("IFERROR(
  VLOOKUP(
    A82,
    IMPORTRANGE(
      ""1ZHMy3vVUd_0MrSduXTe1etBb1HNpAlGwQr006ljwMiM"",
      ""GSC最新!A:R""
    ),
    8,
    FALSE
  ),
  0
)
"),0.0)</f>
        <v>0</v>
      </c>
      <c r="S82" s="9">
        <f>IFERROR(__xludf.DUMMYFUNCTION("IFERROR(
  VLOOKUP(
    A82,
    IMPORTRANGE(
      ""1ZHMy3vVUd_0MrSduXTe1etBb1HNpAlGwQr006ljwMiM"",
      ""GSC最新!A:R""
    ),
    11,
    FALSE
  ),
  0
)
"),1.7473353136466887E-4)</f>
        <v>0.0001747335314</v>
      </c>
      <c r="T82" s="9">
        <f>IFERROR(__xludf.DUMMYFUNCTION("IFERROR(
  VLOOKUP(
    A82,
    IMPORTRANGE(
      ""1ZHMy3vVUd_0MrSduXTe1etBb1HNpAlGwQr006ljwMiM"",
      ""GSC最新!A:R""
    ),
    14,
    FALSE
  ),
  0
)
"),0.006993006993006993)</f>
        <v>0.006993006993</v>
      </c>
      <c r="U82" s="9">
        <f>IFERROR(__xludf.DUMMYFUNCTION("IFERROR(
  VLOOKUP(
    A82,
    IMPORTRANGE(
      ""1ZHMy3vVUd_0MrSduXTe1etBb1HNpAlGwQr006ljwMiM"",
      ""GSC最新!A:R""
    ),
    17,
    FALSE
  ),
  0
)
"),0.007889546351084813)</f>
        <v>0.007889546351</v>
      </c>
      <c r="V82" s="9">
        <f t="shared" ref="V82:W82" si="403">IFERROR(R82-T82,"-")</f>
        <v>-0.006993006993</v>
      </c>
      <c r="W82" s="9">
        <f t="shared" si="403"/>
        <v>-0.00771481282</v>
      </c>
      <c r="X82" s="65">
        <f>IFERROR(__xludf.DUMMYFUNCTION("IFERROR(
  VLOOKUP(
    A82,
    IMPORTRANGE(
      ""1ZHMy3vVUd_0MrSduXTe1etBb1HNpAlGwQr006ljwMiM"",
      ""GSC最新!A:R""
    ),
    9,
    FALSE
  ),
  0
)
"),5.515548281505728)</f>
        <v>5.515548282</v>
      </c>
      <c r="Y82" s="65">
        <f>IFERROR(__xludf.DUMMYFUNCTION("IFERROR(
  VLOOKUP(
    A82,
    IMPORTRANGE(
      ""1ZHMy3vVUd_0MrSduXTe1etBb1HNpAlGwQr006ljwMiM"",
      ""GSC最新!A:R""
    ),
    12,
    FALSE
  ),
  0
)
"),5.825091735103967)</f>
        <v>5.825091735</v>
      </c>
      <c r="Z82" s="65">
        <f>IFERROR(__xludf.DUMMYFUNCTION("IFERROR(
  VLOOKUP(
    A82,
    IMPORTRANGE(
      ""1ZHMy3vVUd_0MrSduXTe1etBb1HNpAlGwQr006ljwMiM"",
      ""GSC最新!A:R""
    ),
    15,
    FALSE
  ),
  0
)
"),22.776223776223777)</f>
        <v>22.77622378</v>
      </c>
      <c r="AA82" s="65">
        <f>IFERROR(__xludf.DUMMYFUNCTION("IFERROR(
  VLOOKUP(
    A82,
    IMPORTRANGE(
      ""1ZHMy3vVUd_0MrSduXTe1etBb1HNpAlGwQr006ljwMiM"",
      ""GSC最新!A:R""
    ),
    18,
    FALSE
  ),
  0
)
"),36.747534516765285)</f>
        <v>36.74753452</v>
      </c>
      <c r="AB82" s="65">
        <f t="shared" ref="AB82:AC82" si="404">X82-Z82</f>
        <v>-17.26067549</v>
      </c>
      <c r="AC82" s="65">
        <f t="shared" si="404"/>
        <v>-30.92244278</v>
      </c>
      <c r="AD82" s="53">
        <f>IFERROR(__xludf.DUMMYFUNCTION("IFERROR(
  VLOOKUP(
    A82,
    IMPORTRANGE(
      ""1ZHMy3vVUd_0MrSduXTe1etBb1HNpAlGwQr006ljwMiM"",
      ""GSC最新!A:F""
    ),
    6,
    FALSE
  ),
  0
)
"),46081.0)</f>
        <v>46081</v>
      </c>
      <c r="AE82" s="54">
        <f>IFERROR(__xludf.DUMMYFUNCTION("IFERROR(
  VLOOKUP(
    A82,
    IMPORTRANGE(
      ""1SCYQd7_cobOYqT0r_F0IqD4tE4rYn5y8Eup4PJTH8es"",
      ""Snapshot!A:M""
    ),
    5,
    FALSE
  ),
  ""-""
)
"),0.0)</f>
        <v>0</v>
      </c>
      <c r="AF82" s="54">
        <f>IFERROR(__xludf.DUMMYFUNCTION("IFERROR(
  VLOOKUP(
    A82,
    IMPORTRANGE(
      ""1SCYQd7_cobOYqT0r_F0IqD4tE4rYn5y8Eup4PJTH8es"",
      ""Snapshot!A:M""
    ),
    6,
    FALSE
  ),
  0
)
"),0.0)</f>
        <v>0</v>
      </c>
      <c r="AG82" s="54">
        <f>IFERROR(__xludf.DUMMYFUNCTION("IFERROR(
  VLOOKUP(
    A82,
    IMPORTRANGE(
      ""1SCYQd7_cobOYqT0r_F0IqD4tE4rYn5y8Eup4PJTH8es"",
      ""Snapshot!A:M""
    ),
    7,
    FALSE
  ),
  0
)
"),683.0)</f>
        <v>683</v>
      </c>
      <c r="AH82" s="54">
        <f>IFERROR(__xludf.DUMMYFUNCTION("IFERROR(
  VLOOKUP(
    A82,
    IMPORTRANGE(
      ""1SCYQd7_cobOYqT0r_F0IqD4tE4rYn5y8Eup4PJTH8es"",
      ""Snapshot!A:M""
    ),
    8,
    FALSE
  ),
  0
)
"),1.0)</f>
        <v>1</v>
      </c>
      <c r="AI82" s="54">
        <f>IFERROR(__xludf.DUMMYFUNCTION("IFERROR(
  VLOOKUP(
    A82,
    IMPORTRANGE(
      ""1SCYQd7_cobOYqT0r_F0IqD4tE4rYn5y8Eup4PJTH8es"",
      ""Snapshot!A:M""
    ),
    9,
    FALSE
  ),
  0
)
"),3.0)</f>
        <v>3</v>
      </c>
      <c r="AJ82" s="54">
        <f>IFERROR(__xludf.DUMMYFUNCTION("IFERROR(
  VLOOKUP(
    A82,
    IMPORTRANGE(
      ""1SCYQd7_cobOYqT0r_F0IqD4tE4rYn5y8Eup4PJTH8es"",
      ""Snapshot!A:M""
    ),
    13,
    FALSE
  ),
  0
)
"),1.0)</f>
        <v>1</v>
      </c>
      <c r="AK82" s="49">
        <f t="shared" ref="AK82:AL82" si="405">LEN(C82)</f>
        <v>29</v>
      </c>
      <c r="AL82" s="49">
        <f t="shared" si="405"/>
        <v>62</v>
      </c>
    </row>
    <row r="83">
      <c r="A83" s="3" t="s">
        <v>1169</v>
      </c>
      <c r="B83" s="1" t="str">
        <f>IFERROR(__xludf.DUMMYFUNCTION("IFERROR(
  VLOOKUP(
    A83,
    IMPORTRANGE(
      ""1ZygntHC1J6IxzKbTidmOyf5nUyW4GCLurHCjexrLm_o"",
      ""HTMLキャッシュ!A:F""
    ),
    2,
    FALSE
  ),
  0
)
"),"MC")</f>
        <v>MC</v>
      </c>
      <c r="C83" s="1" t="str">
        <f>IFERROR(__xludf.DUMMYFUNCTION("IFERROR(
  VLOOKUP(
    A83,
    IMPORTRANGE(
      ""1ZygntHC1J6IxzKbTidmOyf5nUyW4GCLurHCjexrLm_o"",
      ""HTMLキャッシュ!A:F""
    ),
    5,
    FALSE
  ),
  0
)
"),"itの複数形はthey｜is/are一致｜中1英語")</f>
        <v>itの複数形はthey｜is/are一致｜中1英語</v>
      </c>
      <c r="D83" s="1" t="str">
        <f>IFERROR(__xludf.DUMMYFUNCTION("IFERROR(
  VLOOKUP(
    A83,
    IMPORTRANGE(
      ""1ZygntHC1J6IxzKbTidmOyf5nUyW4GCLurHCjexrLm_o        "",
      ""HTMLキャッシュ!A:F""
    ),
    6,
    FALSE
  ),
  0
)
"),"複数形の作り方を総整理｜this/these・it/they・is/are一致と否定文/疑問文の型｜中1英語（Progress Book1 3-1）")</f>
        <v>複数形の作り方を総整理｜this/these・it/they・is/are一致と否定文/疑問文の型｜中1英語（Progress Book1 3-1）</v>
      </c>
      <c r="E83" s="32">
        <f>IFERROR(__xludf.DUMMYFUNCTION("IFERROR(
  VLOOKUP(
    A83,
    IMPORTRANGE(
      ""1ZygntHC1J6IxzKbTidmOyf5nUyW4GCLurHCjexrLm_o        "",
      ""HTMLキャッシュ!A:F""
    ),
    3,
    FALSE
  ),
  0
)
"),46071.79597222222)</f>
        <v>46071.79597</v>
      </c>
      <c r="F83" s="49">
        <f>IFERROR(__xludf.DUMMYFUNCTION("IFERROR(
  VLOOKUP(
    A83,
    IMPORTRANGE(
      ""1ZHMy3vVUd_0MrSduXTe1etBb1HNpAlGwQr006ljwMiM"",
      ""GSC最新!A:F""
    ),
    2,
    FALSE
  ),
  0
)
"),1.0)</f>
        <v>1</v>
      </c>
      <c r="G83" s="49">
        <f>IFERROR(__xludf.DUMMYFUNCTION("IFERROR(
  VLOOKUP(
    A83,
    IMPORTRANGE(
      ""1ZHMy3vVUd_0MrSduXTe1etBb1HNpAlGwQr006ljwMiM"",
      ""GSC最新!A:F""
    ),
    3,
    FALSE
  ),
  0
)
"),1.0)</f>
        <v>1</v>
      </c>
      <c r="H83" s="49">
        <f>IFERROR(__xludf.DUMMYFUNCTION("IFERROR(
  VLOOKUP(
    A83,
    IMPORTRANGE(
      ""1ZHMy3vVUd_0MrSduXTe1etBb1HNpAlGwQr006ljwMiM"",
      ""GSC最新!A:F""
    ),
    4,
    FALSE
  ),
  0
)
"),1.0)</f>
        <v>1</v>
      </c>
      <c r="I83" s="49">
        <f>IFERROR(__xludf.DUMMYFUNCTION("IFERROR(
  VLOOKUP(
    A83,
    IMPORTRANGE(
      ""1ZHMy3vVUd_0MrSduXTe1etBb1HNpAlGwQr006ljwMiM"",
      ""GSC最新!A:F""
    ),
    5,
    FALSE
  ),
  0
)
"),1.0)</f>
        <v>1</v>
      </c>
      <c r="J83" s="50">
        <f t="shared" ref="J83:K83" si="406">IFERROR(F83/H83,"-")</f>
        <v>1</v>
      </c>
      <c r="K83" s="50">
        <f t="shared" si="406"/>
        <v>1</v>
      </c>
      <c r="L83" s="6">
        <f>IFERROR(__xludf.DUMMYFUNCTION("IFERROR(
  VLOOKUP(
    A83,
    IMPORTRANGE(
      ""1ZHMy3vVUd_0MrSduXTe1etBb1HNpAlGwQr006ljwMiM"",
      ""GSC最新!A:R""
    ),
    7,
    FALSE
  ),
  0
)
"),3290.0)</f>
        <v>3290</v>
      </c>
      <c r="M83" s="6">
        <f>IFERROR(__xludf.DUMMYFUNCTION("IFERROR(
  VLOOKUP(
    A83,
    IMPORTRANGE(
      ""1ZHMy3vVUd_0MrSduXTe1etBb1HNpAlGwQr006ljwMiM"",
      ""GSC最新!A:R""
    ),
    10,
    FALSE
  ),
  0
)
"),3780.0)</f>
        <v>3780</v>
      </c>
      <c r="N83" s="6">
        <f>IFERROR(__xludf.DUMMYFUNCTION("IFERROR(
  VLOOKUP(
    A83,
    IMPORTRANGE(
      ""1ZHMy3vVUd_0MrSduXTe1etBb1HNpAlGwQr006ljwMiM"",
      ""GSC最新!A:R""
    ),
    13,
    FALSE
  ),
  0
)
"),194.0)</f>
        <v>194</v>
      </c>
      <c r="O83" s="6">
        <f>IFERROR(__xludf.DUMMYFUNCTION("IFERROR(
  VLOOKUP(
    A83,
    IMPORTRANGE(
      ""1ZHMy3vVUd_0MrSduXTe1etBb1HNpAlGwQr006ljwMiM"",
      ""GSC最新!A:R""
    ),
    16,
    FALSE
  ),
  0
)
"),652.0)</f>
        <v>652</v>
      </c>
      <c r="P83" s="51">
        <f t="shared" ref="P83:Q83" si="407">IFERROR(L83/N83,"-")</f>
        <v>16.95876289</v>
      </c>
      <c r="Q83" s="51">
        <f t="shared" si="407"/>
        <v>5.797546012</v>
      </c>
      <c r="R83" s="9">
        <f>IFERROR(__xludf.DUMMYFUNCTION("IFERROR(
  VLOOKUP(
    A83,
    IMPORTRANGE(
      ""1ZHMy3vVUd_0MrSduXTe1etBb1HNpAlGwQr006ljwMiM"",
      ""GSC最新!A:R""
    ),
    8,
    FALSE
  ),
  0
)
"),3.0395136778115504E-4)</f>
        <v>0.0003039513678</v>
      </c>
      <c r="S83" s="9">
        <f>IFERROR(__xludf.DUMMYFUNCTION("IFERROR(
  VLOOKUP(
    A83,
    IMPORTRANGE(
      ""1ZHMy3vVUd_0MrSduXTe1etBb1HNpAlGwQr006ljwMiM"",
      ""GSC最新!A:R""
    ),
    11,
    FALSE
  ),
  0
)
"),2.6455026455026457E-4)</f>
        <v>0.0002645502646</v>
      </c>
      <c r="T83" s="9">
        <f>IFERROR(__xludf.DUMMYFUNCTION("IFERROR(
  VLOOKUP(
    A83,
    IMPORTRANGE(
      ""1ZHMy3vVUd_0MrSduXTe1etBb1HNpAlGwQr006ljwMiM"",
      ""GSC最新!A:R""
    ),
    14,
    FALSE
  ),
  0
)
"),0.005154639175257732)</f>
        <v>0.005154639175</v>
      </c>
      <c r="U83" s="9">
        <f>IFERROR(__xludf.DUMMYFUNCTION("IFERROR(
  VLOOKUP(
    A83,
    IMPORTRANGE(
      ""1ZHMy3vVUd_0MrSduXTe1etBb1HNpAlGwQr006ljwMiM"",
      ""GSC最新!A:R""
    ),
    17,
    FALSE
  ),
  0
)
"),0.0015337423312883436)</f>
        <v>0.001533742331</v>
      </c>
      <c r="V83" s="9">
        <f t="shared" ref="V83:W83" si="408">IFERROR(R83-T83,"-")</f>
        <v>-0.004850687807</v>
      </c>
      <c r="W83" s="9">
        <f t="shared" si="408"/>
        <v>-0.001269192067</v>
      </c>
      <c r="X83" s="65">
        <f>IFERROR(__xludf.DUMMYFUNCTION("IFERROR(
  VLOOKUP(
    A83,
    IMPORTRANGE(
      ""1ZHMy3vVUd_0MrSduXTe1etBb1HNpAlGwQr006ljwMiM"",
      ""GSC最新!A:R""
    ),
    9,
    FALSE
  ),
  0
)
"),8.86048632218845)</f>
        <v>8.860486322</v>
      </c>
      <c r="Y83" s="65">
        <f>IFERROR(__xludf.DUMMYFUNCTION("IFERROR(
  VLOOKUP(
    A83,
    IMPORTRANGE(
      ""1ZHMy3vVUd_0MrSduXTe1etBb1HNpAlGwQr006ljwMiM"",
      ""GSC最新!A:R""
    ),
    12,
    FALSE
  ),
  0
)
"),9.154232804232803)</f>
        <v>9.154232804</v>
      </c>
      <c r="Z83" s="65">
        <f>IFERROR(__xludf.DUMMYFUNCTION("IFERROR(
  VLOOKUP(
    A83,
    IMPORTRANGE(
      ""1ZHMy3vVUd_0MrSduXTe1etBb1HNpAlGwQr006ljwMiM"",
      ""GSC最新!A:R""
    ),
    15,
    FALSE
  ),
  0
)
"),11.74742268041237)</f>
        <v>11.74742268</v>
      </c>
      <c r="AA83" s="65">
        <f>IFERROR(__xludf.DUMMYFUNCTION("IFERROR(
  VLOOKUP(
    A83,
    IMPORTRANGE(
      ""1ZHMy3vVUd_0MrSduXTe1etBb1HNpAlGwQr006ljwMiM"",
      ""GSC最新!A:R""
    ),
    18,
    FALSE
  ),
  0
)
"),13.458588957055214)</f>
        <v>13.45858896</v>
      </c>
      <c r="AB83" s="65">
        <f t="shared" ref="AB83:AC83" si="409">X83-Z83</f>
        <v>-2.886936358</v>
      </c>
      <c r="AC83" s="65">
        <f t="shared" si="409"/>
        <v>-4.304356153</v>
      </c>
      <c r="AD83" s="53">
        <f>IFERROR(__xludf.DUMMYFUNCTION("IFERROR(
  VLOOKUP(
    A83,
    IMPORTRANGE(
      ""1ZHMy3vVUd_0MrSduXTe1etBb1HNpAlGwQr006ljwMiM"",
      ""GSC最新!A:F""
    ),
    6,
    FALSE
  ),
  0
)
"),46081.0)</f>
        <v>46081</v>
      </c>
      <c r="AE83" s="54">
        <f>IFERROR(__xludf.DUMMYFUNCTION("IFERROR(
  VLOOKUP(
    A83,
    IMPORTRANGE(
      ""1SCYQd7_cobOYqT0r_F0IqD4tE4rYn5y8Eup4PJTH8es"",
      ""Snapshot!A:M""
    ),
    5,
    FALSE
  ),
  ""-""
)
"),3.0)</f>
        <v>3</v>
      </c>
      <c r="AF83" s="54">
        <f>IFERROR(__xludf.DUMMYFUNCTION("IFERROR(
  VLOOKUP(
    A83,
    IMPORTRANGE(
      ""1SCYQd7_cobOYqT0r_F0IqD4tE4rYn5y8Eup4PJTH8es"",
      ""Snapshot!A:M""
    ),
    6,
    FALSE
  ),
  0
)
"),6.0)</f>
        <v>6</v>
      </c>
      <c r="AG83" s="54">
        <f>IFERROR(__xludf.DUMMYFUNCTION("IFERROR(
  VLOOKUP(
    A83,
    IMPORTRANGE(
      ""1SCYQd7_cobOYqT0r_F0IqD4tE4rYn5y8Eup4PJTH8es"",
      ""Snapshot!A:M""
    ),
    7,
    FALSE
  ),
  0
)
"),1479.0)</f>
        <v>1479</v>
      </c>
      <c r="AH83" s="54">
        <f>IFERROR(__xludf.DUMMYFUNCTION("IFERROR(
  VLOOKUP(
    A83,
    IMPORTRANGE(
      ""1SCYQd7_cobOYqT0r_F0IqD4tE4rYn5y8Eup4PJTH8es"",
      ""Snapshot!A:M""
    ),
    8,
    FALSE
  ),
  0
)
"),1.0)</f>
        <v>1</v>
      </c>
      <c r="AI83" s="54">
        <f>IFERROR(__xludf.DUMMYFUNCTION("IFERROR(
  VLOOKUP(
    A83,
    IMPORTRANGE(
      ""1SCYQd7_cobOYqT0r_F0IqD4tE4rYn5y8Eup4PJTH8es"",
      ""Snapshot!A:M""
    ),
    9,
    FALSE
  ),
  0
)
"),4.0)</f>
        <v>4</v>
      </c>
      <c r="AJ83" s="54">
        <f>IFERROR(__xludf.DUMMYFUNCTION("IFERROR(
  VLOOKUP(
    A83,
    IMPORTRANGE(
      ""1SCYQd7_cobOYqT0r_F0IqD4tE4rYn5y8Eup4PJTH8es"",
      ""Snapshot!A:M""
    ),
    13,
    FALSE
  ),
  0
)
"),1.0)</f>
        <v>1</v>
      </c>
      <c r="AK83" s="49">
        <f t="shared" ref="AK83:AL83" si="410">LEN(C83)</f>
        <v>25</v>
      </c>
      <c r="AL83" s="49">
        <f t="shared" si="410"/>
        <v>74</v>
      </c>
    </row>
    <row r="84">
      <c r="A84" s="3" t="s">
        <v>1170</v>
      </c>
      <c r="B84" s="1" t="str">
        <f>IFERROR(__xludf.DUMMYFUNCTION("IFERROR(
  VLOOKUP(
    A84,
    IMPORTRANGE(
      ""1ZygntHC1J6IxzKbTidmOyf5nUyW4GCLurHCjexrLm_o"",
      ""HTMLキャッシュ!A:F""
    ),
    2,
    FALSE
  ),
  0
)
"),"MC")</f>
        <v>MC</v>
      </c>
      <c r="C84" s="1" t="str">
        <f>IFERROR(__xludf.DUMMYFUNCTION("IFERROR(
  VLOOKUP(
    A84,
    IMPORTRANGE(
      ""1ZygntHC1J6IxzKbTidmOyf5nUyW4GCLurHCjexrLm_o"",
      ""HTMLキャッシュ!A:F""
    ),
    5,
    FALSE
  ),
  0
)
"),"英語PROGRESSコラム一覧｜教科書活用法と学習法整理")</f>
        <v>英語PROGRESSコラム一覧｜教科書活用法と学習法整理</v>
      </c>
      <c r="D84" s="1" t="str">
        <f>IFERROR(__xludf.DUMMYFUNCTION("IFERROR(
  VLOOKUP(
    A84,
    IMPORTRANGE(
      ""1ZygntHC1J6IxzKbTidmOyf5nUyW4GCLurHCjexrLm_o        "",
      ""HTMLキャッシュ!A:F""
    ),
    6,
    FALSE
  ),
  0
)
"),"プログレスとは何か。進度が速い・単語が多い原因と、練習の取捨選択で詰まらない回し方をまとめます。")</f>
        <v>プログレスとは何か。進度が速い・単語が多い原因と、練習の取捨選択で詰まらない回し方をまとめます。</v>
      </c>
      <c r="E84" s="32">
        <f>IFERROR(__xludf.DUMMYFUNCTION("IFERROR(
  VLOOKUP(
    A84,
    IMPORTRANGE(
      ""1ZygntHC1J6IxzKbTidmOyf5nUyW4GCLurHCjexrLm_o        "",
      ""HTMLキャッシュ!A:F""
    ),
    3,
    FALSE
  ),
  0
)
"),46074.565104166664)</f>
        <v>46074.5651</v>
      </c>
      <c r="F84" s="49">
        <f>IFERROR(__xludf.DUMMYFUNCTION("IFERROR(
  VLOOKUP(
    A84,
    IMPORTRANGE(
      ""1ZHMy3vVUd_0MrSduXTe1etBb1HNpAlGwQr006ljwMiM"",
      ""GSC最新!A:F""
    ),
    2,
    FALSE
  ),
  0
)
"),3.0)</f>
        <v>3</v>
      </c>
      <c r="G84" s="49">
        <f>IFERROR(__xludf.DUMMYFUNCTION("IFERROR(
  VLOOKUP(
    A84,
    IMPORTRANGE(
      ""1ZHMy3vVUd_0MrSduXTe1etBb1HNpAlGwQr006ljwMiM"",
      ""GSC最新!A:F""
    ),
    3,
    FALSE
  ),
  0
)
"),3.0)</f>
        <v>3</v>
      </c>
      <c r="H84" s="49">
        <f>IFERROR(__xludf.DUMMYFUNCTION("IFERROR(
  VLOOKUP(
    A84,
    IMPORTRANGE(
      ""1ZHMy3vVUd_0MrSduXTe1etBb1HNpAlGwQr006ljwMiM"",
      ""GSC最新!A:F""
    ),
    4,
    FALSE
  ),
  0
)
"),1.0)</f>
        <v>1</v>
      </c>
      <c r="I84" s="49">
        <f>IFERROR(__xludf.DUMMYFUNCTION("IFERROR(
  VLOOKUP(
    A84,
    IMPORTRANGE(
      ""1ZHMy3vVUd_0MrSduXTe1etBb1HNpAlGwQr006ljwMiM"",
      ""GSC最新!A:F""
    ),
    5,
    FALSE
  ),
  0
)
"),4.0)</f>
        <v>4</v>
      </c>
      <c r="J84" s="50">
        <f t="shared" ref="J84:K84" si="411">IFERROR(F84/H84,"-")</f>
        <v>3</v>
      </c>
      <c r="K84" s="50">
        <f t="shared" si="411"/>
        <v>0.75</v>
      </c>
      <c r="L84" s="6">
        <f>IFERROR(__xludf.DUMMYFUNCTION("IFERROR(
  VLOOKUP(
    A84,
    IMPORTRANGE(
      ""1ZHMy3vVUd_0MrSduXTe1etBb1HNpAlGwQr006ljwMiM"",
      ""GSC最新!A:R""
    ),
    7,
    FALSE
  ),
  0
)
"),2126.0)</f>
        <v>2126</v>
      </c>
      <c r="M84" s="6">
        <f>IFERROR(__xludf.DUMMYFUNCTION("IFERROR(
  VLOOKUP(
    A84,
    IMPORTRANGE(
      ""1ZHMy3vVUd_0MrSduXTe1etBb1HNpAlGwQr006ljwMiM"",
      ""GSC最新!A:R""
    ),
    10,
    FALSE
  ),
  0
)
"),2298.0)</f>
        <v>2298</v>
      </c>
      <c r="N84" s="6">
        <f>IFERROR(__xludf.DUMMYFUNCTION("IFERROR(
  VLOOKUP(
    A84,
    IMPORTRANGE(
      ""1ZHMy3vVUd_0MrSduXTe1etBb1HNpAlGwQr006ljwMiM"",
      ""GSC最新!A:R""
    ),
    13,
    FALSE
  ),
  0
)
"),160.0)</f>
        <v>160</v>
      </c>
      <c r="O84" s="6">
        <f>IFERROR(__xludf.DUMMYFUNCTION("IFERROR(
  VLOOKUP(
    A84,
    IMPORTRANGE(
      ""1ZHMy3vVUd_0MrSduXTe1etBb1HNpAlGwQr006ljwMiM"",
      ""GSC最新!A:R""
    ),
    16,
    FALSE
  ),
  0
)
"),645.0)</f>
        <v>645</v>
      </c>
      <c r="P84" s="51">
        <f t="shared" ref="P84:Q84" si="412">IFERROR(L84/N84,"-")</f>
        <v>13.2875</v>
      </c>
      <c r="Q84" s="51">
        <f t="shared" si="412"/>
        <v>3.562790698</v>
      </c>
      <c r="R84" s="9">
        <f>IFERROR(__xludf.DUMMYFUNCTION("IFERROR(
  VLOOKUP(
    A84,
    IMPORTRANGE(
      ""1ZHMy3vVUd_0MrSduXTe1etBb1HNpAlGwQr006ljwMiM"",
      ""GSC最新!A:R""
    ),
    8,
    FALSE
  ),
  0
)
"),0.0014111006585136407)</f>
        <v>0.001411100659</v>
      </c>
      <c r="S84" s="9">
        <f>IFERROR(__xludf.DUMMYFUNCTION("IFERROR(
  VLOOKUP(
    A84,
    IMPORTRANGE(
      ""1ZHMy3vVUd_0MrSduXTe1etBb1HNpAlGwQr006ljwMiM"",
      ""GSC最新!A:R""
    ),
    11,
    FALSE
  ),
  0
)
"),0.0013054830287206266)</f>
        <v>0.001305483029</v>
      </c>
      <c r="T84" s="9">
        <f>IFERROR(__xludf.DUMMYFUNCTION("IFERROR(
  VLOOKUP(
    A84,
    IMPORTRANGE(
      ""1ZHMy3vVUd_0MrSduXTe1etBb1HNpAlGwQr006ljwMiM"",
      ""GSC最新!A:R""
    ),
    14,
    FALSE
  ),
  0
)
"),0.00625)</f>
        <v>0.00625</v>
      </c>
      <c r="U84" s="9">
        <f>IFERROR(__xludf.DUMMYFUNCTION("IFERROR(
  VLOOKUP(
    A84,
    IMPORTRANGE(
      ""1ZHMy3vVUd_0MrSduXTe1etBb1HNpAlGwQr006ljwMiM"",
      ""GSC最新!A:R""
    ),
    17,
    FALSE
  ),
  0
)
"),0.006201550387596899)</f>
        <v>0.006201550388</v>
      </c>
      <c r="V84" s="9">
        <f t="shared" ref="V84:W84" si="413">IFERROR(R84-T84,"-")</f>
        <v>-0.004838899341</v>
      </c>
      <c r="W84" s="9">
        <f t="shared" si="413"/>
        <v>-0.004896067359</v>
      </c>
      <c r="X84" s="65">
        <f>IFERROR(__xludf.DUMMYFUNCTION("IFERROR(
  VLOOKUP(
    A84,
    IMPORTRANGE(
      ""1ZHMy3vVUd_0MrSduXTe1etBb1HNpAlGwQr006ljwMiM"",
      ""GSC最新!A:R""
    ),
    9,
    FALSE
  ),
  0
)
"),10.642521166509878)</f>
        <v>10.64252117</v>
      </c>
      <c r="Y84" s="65">
        <f>IFERROR(__xludf.DUMMYFUNCTION("IFERROR(
  VLOOKUP(
    A84,
    IMPORTRANGE(
      ""1ZHMy3vVUd_0MrSduXTe1etBb1HNpAlGwQr006ljwMiM"",
      ""GSC最新!A:R""
    ),
    12,
    FALSE
  ),
  0
)
"),10.562228024369016)</f>
        <v>10.56222802</v>
      </c>
      <c r="Z84" s="65">
        <f>IFERROR(__xludf.DUMMYFUNCTION("IFERROR(
  VLOOKUP(
    A84,
    IMPORTRANGE(
      ""1ZHMy3vVUd_0MrSduXTe1etBb1HNpAlGwQr006ljwMiM"",
      ""GSC最新!A:R""
    ),
    15,
    FALSE
  ),
  0
)
"),21.3375)</f>
        <v>21.3375</v>
      </c>
      <c r="AA84" s="65">
        <f>IFERROR(__xludf.DUMMYFUNCTION("IFERROR(
  VLOOKUP(
    A84,
    IMPORTRANGE(
      ""1ZHMy3vVUd_0MrSduXTe1etBb1HNpAlGwQr006ljwMiM"",
      ""GSC最新!A:R""
    ),
    18,
    FALSE
  ),
  0
)
"),27.869767441860464)</f>
        <v>27.86976744</v>
      </c>
      <c r="AB84" s="65">
        <f t="shared" ref="AB84:AC84" si="414">X84-Z84</f>
        <v>-10.69497883</v>
      </c>
      <c r="AC84" s="65">
        <f t="shared" si="414"/>
        <v>-17.30753942</v>
      </c>
      <c r="AD84" s="53">
        <f>IFERROR(__xludf.DUMMYFUNCTION("IFERROR(
  VLOOKUP(
    A84,
    IMPORTRANGE(
      ""1ZHMy3vVUd_0MrSduXTe1etBb1HNpAlGwQr006ljwMiM"",
      ""GSC最新!A:F""
    ),
    6,
    FALSE
  ),
  0
)
"),46081.0)</f>
        <v>46081</v>
      </c>
      <c r="AE84" s="54">
        <f>IFERROR(__xludf.DUMMYFUNCTION("IFERROR(
  VLOOKUP(
    A84,
    IMPORTRANGE(
      ""1SCYQd7_cobOYqT0r_F0IqD4tE4rYn5y8Eup4PJTH8es"",
      ""Snapshot!A:M""
    ),
    5,
    FALSE
  ),
  ""-""
)
"),8.0)</f>
        <v>8</v>
      </c>
      <c r="AF84" s="54">
        <f>IFERROR(__xludf.DUMMYFUNCTION("IFERROR(
  VLOOKUP(
    A84,
    IMPORTRANGE(
      ""1SCYQd7_cobOYqT0r_F0IqD4tE4rYn5y8Eup4PJTH8es"",
      ""Snapshot!A:M""
    ),
    6,
    FALSE
  ),
  0
)
"),8.0)</f>
        <v>8</v>
      </c>
      <c r="AG84" s="54">
        <f>IFERROR(__xludf.DUMMYFUNCTION("IFERROR(
  VLOOKUP(
    A84,
    IMPORTRANGE(
      ""1SCYQd7_cobOYqT0r_F0IqD4tE4rYn5y8Eup4PJTH8es"",
      ""Snapshot!A:M""
    ),
    7,
    FALSE
  ),
  0
)
"),6956.0)</f>
        <v>6956</v>
      </c>
      <c r="AH84" s="54">
        <f>IFERROR(__xludf.DUMMYFUNCTION("IFERROR(
  VLOOKUP(
    A84,
    IMPORTRANGE(
      ""1SCYQd7_cobOYqT0r_F0IqD4tE4rYn5y8Eup4PJTH8es"",
      ""Snapshot!A:M""
    ),
    8,
    FALSE
  ),
  0
)
"),1.0)</f>
        <v>1</v>
      </c>
      <c r="AI84" s="54">
        <f>IFERROR(__xludf.DUMMYFUNCTION("IFERROR(
  VLOOKUP(
    A84,
    IMPORTRANGE(
      ""1SCYQd7_cobOYqT0r_F0IqD4tE4rYn5y8Eup4PJTH8es"",
      ""Snapshot!A:M""
    ),
    9,
    FALSE
  ),
  0
)
"),6.0)</f>
        <v>6</v>
      </c>
      <c r="AJ84" s="54">
        <f>IFERROR(__xludf.DUMMYFUNCTION("IFERROR(
  VLOOKUP(
    A84,
    IMPORTRANGE(
      ""1SCYQd7_cobOYqT0r_F0IqD4tE4rYn5y8Eup4PJTH8es"",
      ""Snapshot!A:M""
    ),
    13,
    FALSE
  ),
  0
)
"),1.0)</f>
        <v>1</v>
      </c>
      <c r="AK84" s="49">
        <f t="shared" ref="AK84:AL84" si="415">LEN(C84)</f>
        <v>28</v>
      </c>
      <c r="AL84" s="49">
        <f t="shared" si="415"/>
        <v>48</v>
      </c>
    </row>
    <row r="85">
      <c r="A85" s="3" t="s">
        <v>1171</v>
      </c>
      <c r="B85" s="1" t="str">
        <f>IFERROR(__xludf.DUMMYFUNCTION("IFERROR(
  VLOOKUP(
    A85,
    IMPORTRANGE(
      ""1ZygntHC1J6IxzKbTidmOyf5nUyW4GCLurHCjexrLm_o"",
      ""HTMLキャッシュ!A:F""
    ),
    2,
    FALSE
  ),
  0
)
"),"MC")</f>
        <v>MC</v>
      </c>
      <c r="C85" s="1" t="str">
        <f>IFERROR(__xludf.DUMMYFUNCTION("IFERROR(
  VLOOKUP(
    A85,
    IMPORTRANGE(
      ""1ZygntHC1J6IxzKbTidmOyf5nUyW4GCLurHCjexrLm_o"",
      ""HTMLキャッシュ!A:F""
    ),
    5,
    FALSE
  ),
  0
)
"),"too…to構文の読み違い防止｜for＋人＋toの見抜き方｜中学英語")</f>
        <v>too…to構文の読み違い防止｜for＋人＋toの見抜き方｜中学英語</v>
      </c>
      <c r="D85" s="1" t="str">
        <f>IFERROR(__xludf.DUMMYFUNCTION("IFERROR(
  VLOOKUP(
    A85,
    IMPORTRANGE(
      ""1ZygntHC1J6IxzKbTidmOyf5nUyW4GCLurHCjexrLm_o        "",
      ""HTMLキャッシュ!A:F""
    ),
    6,
    FALSE
  ),
  0
)
"),"too…toの基本から、too＋形容詞＋for＋人＋toの形を型で固定。主語の見抜き方と不定詞句内の目的語省略を、例文で復元して読み間違いを止めます。")</f>
        <v>too…toの基本から、too＋形容詞＋for＋人＋toの形を型で固定。主語の見抜き方と不定詞句内の目的語省略を、例文で復元して読み間違いを止めます。</v>
      </c>
      <c r="E85" s="32">
        <f>IFERROR(__xludf.DUMMYFUNCTION("IFERROR(
  VLOOKUP(
    A85,
    IMPORTRANGE(
      ""1ZygntHC1J6IxzKbTidmOyf5nUyW4GCLurHCjexrLm_o        "",
      ""HTMLキャッシュ!A:F""
    ),
    3,
    FALSE
  ),
  0
)
"),46077.83105324074)</f>
        <v>46077.83105</v>
      </c>
      <c r="F85" s="49">
        <f>IFERROR(__xludf.DUMMYFUNCTION("IFERROR(
  VLOOKUP(
    A85,
    IMPORTRANGE(
      ""1ZHMy3vVUd_0MrSduXTe1etBb1HNpAlGwQr006ljwMiM"",
      ""GSC最新!A:F""
    ),
    2,
    FALSE
  ),
  0
)
"),0.0)</f>
        <v>0</v>
      </c>
      <c r="G85" s="49">
        <f>IFERROR(__xludf.DUMMYFUNCTION("IFERROR(
  VLOOKUP(
    A85,
    IMPORTRANGE(
      ""1ZHMy3vVUd_0MrSduXTe1etBb1HNpAlGwQr006ljwMiM"",
      ""GSC最新!A:F""
    ),
    3,
    FALSE
  ),
  0
)
"),1.0)</f>
        <v>1</v>
      </c>
      <c r="H85" s="49">
        <f>IFERROR(__xludf.DUMMYFUNCTION("IFERROR(
  VLOOKUP(
    A85,
    IMPORTRANGE(
      ""1ZHMy3vVUd_0MrSduXTe1etBb1HNpAlGwQr006ljwMiM"",
      ""GSC最新!A:F""
    ),
    4,
    FALSE
  ),
  0
)
"),0.0)</f>
        <v>0</v>
      </c>
      <c r="I85" s="49">
        <f>IFERROR(__xludf.DUMMYFUNCTION("IFERROR(
  VLOOKUP(
    A85,
    IMPORTRANGE(
      ""1ZHMy3vVUd_0MrSduXTe1etBb1HNpAlGwQr006ljwMiM"",
      ""GSC最新!A:F""
    ),
    5,
    FALSE
  ),
  0
)
"),0.0)</f>
        <v>0</v>
      </c>
      <c r="J85" s="50" t="str">
        <f t="shared" ref="J85:K85" si="416">IFERROR(F85/H85,"-")</f>
        <v>-</v>
      </c>
      <c r="K85" s="50" t="str">
        <f t="shared" si="416"/>
        <v>-</v>
      </c>
      <c r="L85" s="6">
        <f>IFERROR(__xludf.DUMMYFUNCTION("IFERROR(
  VLOOKUP(
    A85,
    IMPORTRANGE(
      ""1ZHMy3vVUd_0MrSduXTe1etBb1HNpAlGwQr006ljwMiM"",
      ""GSC最新!A:R""
    ),
    7,
    FALSE
  ),
  0
)
"),1433.0)</f>
        <v>1433</v>
      </c>
      <c r="M85" s="6">
        <f>IFERROR(__xludf.DUMMYFUNCTION("IFERROR(
  VLOOKUP(
    A85,
    IMPORTRANGE(
      ""1ZHMy3vVUd_0MrSduXTe1etBb1HNpAlGwQr006ljwMiM"",
      ""GSC最新!A:R""
    ),
    10,
    FALSE
  ),
  0
)
"),1956.0)</f>
        <v>1956</v>
      </c>
      <c r="N85" s="6">
        <f>IFERROR(__xludf.DUMMYFUNCTION("IFERROR(
  VLOOKUP(
    A85,
    IMPORTRANGE(
      ""1ZHMy3vVUd_0MrSduXTe1etBb1HNpAlGwQr006ljwMiM"",
      ""GSC最新!A:R""
    ),
    13,
    FALSE
  ),
  0
)
"),149.0)</f>
        <v>149</v>
      </c>
      <c r="O85" s="6">
        <f>IFERROR(__xludf.DUMMYFUNCTION("IFERROR(
  VLOOKUP(
    A85,
    IMPORTRANGE(
      ""1ZHMy3vVUd_0MrSduXTe1etBb1HNpAlGwQr006ljwMiM"",
      ""GSC最新!A:R""
    ),
    16,
    FALSE
  ),
  0
)
"),687.0)</f>
        <v>687</v>
      </c>
      <c r="P85" s="51">
        <f t="shared" ref="P85:Q85" si="417">IFERROR(L85/N85,"-")</f>
        <v>9.617449664</v>
      </c>
      <c r="Q85" s="51">
        <f t="shared" si="417"/>
        <v>2.847161572</v>
      </c>
      <c r="R85" s="9">
        <f>IFERROR(__xludf.DUMMYFUNCTION("IFERROR(
  VLOOKUP(
    A85,
    IMPORTRANGE(
      ""1ZHMy3vVUd_0MrSduXTe1etBb1HNpAlGwQr006ljwMiM"",
      ""GSC最新!A:R""
    ),
    8,
    FALSE
  ),
  0
)
"),0.0)</f>
        <v>0</v>
      </c>
      <c r="S85" s="9">
        <f>IFERROR(__xludf.DUMMYFUNCTION("IFERROR(
  VLOOKUP(
    A85,
    IMPORTRANGE(
      ""1ZHMy3vVUd_0MrSduXTe1etBb1HNpAlGwQr006ljwMiM"",
      ""GSC最新!A:R""
    ),
    11,
    FALSE
  ),
  0
)
"),5.112474437627812E-4)</f>
        <v>0.0005112474438</v>
      </c>
      <c r="T85" s="9">
        <f>IFERROR(__xludf.DUMMYFUNCTION("IFERROR(
  VLOOKUP(
    A85,
    IMPORTRANGE(
      ""1ZHMy3vVUd_0MrSduXTe1etBb1HNpAlGwQr006ljwMiM"",
      ""GSC最新!A:R""
    ),
    14,
    FALSE
  ),
  0
)
"),0.0)</f>
        <v>0</v>
      </c>
      <c r="U85" s="9">
        <f>IFERROR(__xludf.DUMMYFUNCTION("IFERROR(
  VLOOKUP(
    A85,
    IMPORTRANGE(
      ""1ZHMy3vVUd_0MrSduXTe1etBb1HNpAlGwQr006ljwMiM"",
      ""GSC最新!A:R""
    ),
    17,
    FALSE
  ),
  0
)
"),0.0)</f>
        <v>0</v>
      </c>
      <c r="V85" s="9">
        <f t="shared" ref="V85:W85" si="418">IFERROR(R85-T85,"-")</f>
        <v>0</v>
      </c>
      <c r="W85" s="9">
        <f t="shared" si="418"/>
        <v>0.0005112474438</v>
      </c>
      <c r="X85" s="65">
        <f>IFERROR(__xludf.DUMMYFUNCTION("IFERROR(
  VLOOKUP(
    A85,
    IMPORTRANGE(
      ""1ZHMy3vVUd_0MrSduXTe1etBb1HNpAlGwQr006ljwMiM"",
      ""GSC最新!A:R""
    ),
    9,
    FALSE
  ),
  0
)
"),4.741102581995813)</f>
        <v>4.741102582</v>
      </c>
      <c r="Y85" s="65">
        <f>IFERROR(__xludf.DUMMYFUNCTION("IFERROR(
  VLOOKUP(
    A85,
    IMPORTRANGE(
      ""1ZHMy3vVUd_0MrSduXTe1etBb1HNpAlGwQr006ljwMiM"",
      ""GSC最新!A:R""
    ),
    12,
    FALSE
  ),
  0
)
"),6.5475460122699385)</f>
        <v>6.547546012</v>
      </c>
      <c r="Z85" s="65">
        <f>IFERROR(__xludf.DUMMYFUNCTION("IFERROR(
  VLOOKUP(
    A85,
    IMPORTRANGE(
      ""1ZHMy3vVUd_0MrSduXTe1etBb1HNpAlGwQr006ljwMiM"",
      ""GSC最新!A:R""
    ),
    15,
    FALSE
  ),
  0
)
"),16.85234899328859)</f>
        <v>16.85234899</v>
      </c>
      <c r="AA85" s="65">
        <f>IFERROR(__xludf.DUMMYFUNCTION("IFERROR(
  VLOOKUP(
    A85,
    IMPORTRANGE(
      ""1ZHMy3vVUd_0MrSduXTe1etBb1HNpAlGwQr006ljwMiM"",
      ""GSC最新!A:R""
    ),
    18,
    FALSE
  ),
  0
)
"),19.768558951965066)</f>
        <v>19.76855895</v>
      </c>
      <c r="AB85" s="65">
        <f t="shared" ref="AB85:AC85" si="419">X85-Z85</f>
        <v>-12.11124641</v>
      </c>
      <c r="AC85" s="65">
        <f t="shared" si="419"/>
        <v>-13.22101294</v>
      </c>
      <c r="AD85" s="53">
        <f>IFERROR(__xludf.DUMMYFUNCTION("IFERROR(
  VLOOKUP(
    A85,
    IMPORTRANGE(
      ""1ZHMy3vVUd_0MrSduXTe1etBb1HNpAlGwQr006ljwMiM"",
      ""GSC最新!A:F""
    ),
    6,
    FALSE
  ),
  0
)
"),46081.0)</f>
        <v>46081</v>
      </c>
      <c r="AE85" s="54">
        <f>IFERROR(__xludf.DUMMYFUNCTION("IFERROR(
  VLOOKUP(
    A85,
    IMPORTRANGE(
      ""1SCYQd7_cobOYqT0r_F0IqD4tE4rYn5y8Eup4PJTH8es"",
      ""Snapshot!A:M""
    ),
    5,
    FALSE
  ),
  ""-""
)
"),4.0)</f>
        <v>4</v>
      </c>
      <c r="AF85" s="54">
        <f>IFERROR(__xludf.DUMMYFUNCTION("IFERROR(
  VLOOKUP(
    A85,
    IMPORTRANGE(
      ""1SCYQd7_cobOYqT0r_F0IqD4tE4rYn5y8Eup4PJTH8es"",
      ""Snapshot!A:M""
    ),
    6,
    FALSE
  ),
  0
)
"),8.0)</f>
        <v>8</v>
      </c>
      <c r="AG85" s="54">
        <f>IFERROR(__xludf.DUMMYFUNCTION("IFERROR(
  VLOOKUP(
    A85,
    IMPORTRANGE(
      ""1SCYQd7_cobOYqT0r_F0IqD4tE4rYn5y8Eup4PJTH8es"",
      ""Snapshot!A:M""
    ),
    7,
    FALSE
  ),
  0
)
"),1318.0)</f>
        <v>1318</v>
      </c>
      <c r="AH85" s="54">
        <f>IFERROR(__xludf.DUMMYFUNCTION("IFERROR(
  VLOOKUP(
    A85,
    IMPORTRANGE(
      ""1SCYQd7_cobOYqT0r_F0IqD4tE4rYn5y8Eup4PJTH8es"",
      ""Snapshot!A:M""
    ),
    8,
    FALSE
  ),
  0
)
"),1.0)</f>
        <v>1</v>
      </c>
      <c r="AI85" s="54">
        <f>IFERROR(__xludf.DUMMYFUNCTION("IFERROR(
  VLOOKUP(
    A85,
    IMPORTRANGE(
      ""1SCYQd7_cobOYqT0r_F0IqD4tE4rYn5y8Eup4PJTH8es"",
      ""Snapshot!A:M""
    ),
    9,
    FALSE
  ),
  0
)
"),3.0)</f>
        <v>3</v>
      </c>
      <c r="AJ85" s="54">
        <f>IFERROR(__xludf.DUMMYFUNCTION("IFERROR(
  VLOOKUP(
    A85,
    IMPORTRANGE(
      ""1SCYQd7_cobOYqT0r_F0IqD4tE4rYn5y8Eup4PJTH8es"",
      ""Snapshot!A:M""
    ),
    13,
    FALSE
  ),
  0
)
"),1.0)</f>
        <v>1</v>
      </c>
      <c r="AK85" s="49">
        <f t="shared" ref="AK85:AL85" si="420">LEN(C85)</f>
        <v>34</v>
      </c>
      <c r="AL85" s="49">
        <f t="shared" si="420"/>
        <v>75</v>
      </c>
    </row>
    <row r="86">
      <c r="A86" s="3" t="s">
        <v>1172</v>
      </c>
      <c r="B86" s="1" t="str">
        <f>IFERROR(__xludf.DUMMYFUNCTION("IFERROR(
  VLOOKUP(
    A86,
    IMPORTRANGE(
      ""1ZygntHC1J6IxzKbTidmOyf5nUyW4GCLurHCjexrLm_o"",
      ""HTMLキャッシュ!A:F""
    ),
    2,
    FALSE
  ),
  0
)
"),"MC")</f>
        <v>MC</v>
      </c>
      <c r="C86" s="1" t="str">
        <f>IFERROR(__xludf.DUMMYFUNCTION("IFERROR(
  VLOOKUP(
    A86,
    IMPORTRANGE(
      ""1ZygntHC1J6IxzKbTidmOyf5nUyW4GCLurHCjexrLm_o"",
      ""HTMLキャッシュ!A:F""
    ),
    5,
    FALSE
  ),
  0
)
"),"中1英語｜一般動詞平叙文の作り方と be/一般動詞の違い")</f>
        <v>中1英語｜一般動詞平叙文の作り方と be/一般動詞の違い</v>
      </c>
      <c r="D86" s="1" t="str">
        <f>IFERROR(__xludf.DUMMYFUNCTION("IFERROR(
  VLOOKUP(
    A86,
    IMPORTRANGE(
      ""1ZygntHC1J6IxzKbTidmOyf5nUyW4GCLurHCjexrLm_o        "",
      ""HTMLキャッシュ!A:F""
    ),
    6,
    FALSE
  ),
  0
)
"),"平叙文（肯定文）の基本を、中1で混乱しやすいbe動詞と一般動詞の違いから整理。I amからI haveへ切り替わる理由を確認。")</f>
        <v>平叙文（肯定文）の基本を、中1で混乱しやすいbe動詞と一般動詞の違いから整理。I amからI haveへ切り替わる理由を確認。</v>
      </c>
      <c r="E86" s="32">
        <f>IFERROR(__xludf.DUMMYFUNCTION("IFERROR(
  VLOOKUP(
    A86,
    IMPORTRANGE(
      ""1ZygntHC1J6IxzKbTidmOyf5nUyW4GCLurHCjexrLm_o        "",
      ""HTMLキャッシュ!A:F""
    ),
    3,
    FALSE
  ),
  0
)
"),46074.54934027778)</f>
        <v>46074.54934</v>
      </c>
      <c r="F86" s="49">
        <f>IFERROR(__xludf.DUMMYFUNCTION("IFERROR(
  VLOOKUP(
    A86,
    IMPORTRANGE(
      ""1ZHMy3vVUd_0MrSduXTe1etBb1HNpAlGwQr006ljwMiM"",
      ""GSC最新!A:F""
    ),
    2,
    FALSE
  ),
  0
)
"),1.0)</f>
        <v>1</v>
      </c>
      <c r="G86" s="49">
        <f>IFERROR(__xludf.DUMMYFUNCTION("IFERROR(
  VLOOKUP(
    A86,
    IMPORTRANGE(
      ""1ZHMy3vVUd_0MrSduXTe1etBb1HNpAlGwQr006ljwMiM"",
      ""GSC最新!A:F""
    ),
    3,
    FALSE
  ),
  0
)
"),1.0)</f>
        <v>1</v>
      </c>
      <c r="H86" s="49">
        <f>IFERROR(__xludf.DUMMYFUNCTION("IFERROR(
  VLOOKUP(
    A86,
    IMPORTRANGE(
      ""1ZHMy3vVUd_0MrSduXTe1etBb1HNpAlGwQr006ljwMiM"",
      ""GSC最新!A:F""
    ),
    4,
    FALSE
  ),
  0
)
"),0.0)</f>
        <v>0</v>
      </c>
      <c r="I86" s="49">
        <f>IFERROR(__xludf.DUMMYFUNCTION("IFERROR(
  VLOOKUP(
    A86,
    IMPORTRANGE(
      ""1ZHMy3vVUd_0MrSduXTe1etBb1HNpAlGwQr006ljwMiM"",
      ""GSC最新!A:F""
    ),
    5,
    FALSE
  ),
  0
)
"),0.0)</f>
        <v>0</v>
      </c>
      <c r="J86" s="50" t="str">
        <f t="shared" ref="J86:K86" si="421">IFERROR(F86/H86,"-")</f>
        <v>-</v>
      </c>
      <c r="K86" s="50" t="str">
        <f t="shared" si="421"/>
        <v>-</v>
      </c>
      <c r="L86" s="6">
        <f>IFERROR(__xludf.DUMMYFUNCTION("IFERROR(
  VLOOKUP(
    A86,
    IMPORTRANGE(
      ""1ZHMy3vVUd_0MrSduXTe1etBb1HNpAlGwQr006ljwMiM"",
      ""GSC最新!A:R""
    ),
    7,
    FALSE
  ),
  0
)
"),1159.0)</f>
        <v>1159</v>
      </c>
      <c r="M86" s="6">
        <f>IFERROR(__xludf.DUMMYFUNCTION("IFERROR(
  VLOOKUP(
    A86,
    IMPORTRANGE(
      ""1ZHMy3vVUd_0MrSduXTe1etBb1HNpAlGwQr006ljwMiM"",
      ""GSC最新!A:R""
    ),
    10,
    FALSE
  ),
  0
)
"),1277.0)</f>
        <v>1277</v>
      </c>
      <c r="N86" s="6">
        <f>IFERROR(__xludf.DUMMYFUNCTION("IFERROR(
  VLOOKUP(
    A86,
    IMPORTRANGE(
      ""1ZHMy3vVUd_0MrSduXTe1etBb1HNpAlGwQr006ljwMiM"",
      ""GSC最新!A:R""
    ),
    13,
    FALSE
  ),
  0
)
"),6.0)</f>
        <v>6</v>
      </c>
      <c r="O86" s="6">
        <f>IFERROR(__xludf.DUMMYFUNCTION("IFERROR(
  VLOOKUP(
    A86,
    IMPORTRANGE(
      ""1ZHMy3vVUd_0MrSduXTe1etBb1HNpAlGwQr006ljwMiM"",
      ""GSC最新!A:R""
    ),
    16,
    FALSE
  ),
  0
)
"),52.0)</f>
        <v>52</v>
      </c>
      <c r="P86" s="51">
        <f t="shared" ref="P86:Q86" si="422">IFERROR(L86/N86,"-")</f>
        <v>193.1666667</v>
      </c>
      <c r="Q86" s="51">
        <f t="shared" si="422"/>
        <v>24.55769231</v>
      </c>
      <c r="R86" s="9">
        <f>IFERROR(__xludf.DUMMYFUNCTION("IFERROR(
  VLOOKUP(
    A86,
    IMPORTRANGE(
      ""1ZHMy3vVUd_0MrSduXTe1etBb1HNpAlGwQr006ljwMiM"",
      ""GSC最新!A:R""
    ),
    8,
    FALSE
  ),
  0
)
"),8.628127696289905E-4)</f>
        <v>0.0008628127696</v>
      </c>
      <c r="S86" s="9">
        <f>IFERROR(__xludf.DUMMYFUNCTION("IFERROR(
  VLOOKUP(
    A86,
    IMPORTRANGE(
      ""1ZHMy3vVUd_0MrSduXTe1etBb1HNpAlGwQr006ljwMiM"",
      ""GSC最新!A:R""
    ),
    11,
    FALSE
  ),
  0
)
"),7.830853563038371E-4)</f>
        <v>0.0007830853563</v>
      </c>
      <c r="T86" s="9">
        <f>IFERROR(__xludf.DUMMYFUNCTION("IFERROR(
  VLOOKUP(
    A86,
    IMPORTRANGE(
      ""1ZHMy3vVUd_0MrSduXTe1etBb1HNpAlGwQr006ljwMiM"",
      ""GSC最新!A:R""
    ),
    14,
    FALSE
  ),
  0
)
"),0.0)</f>
        <v>0</v>
      </c>
      <c r="U86" s="9">
        <f>IFERROR(__xludf.DUMMYFUNCTION("IFERROR(
  VLOOKUP(
    A86,
    IMPORTRANGE(
      ""1ZHMy3vVUd_0MrSduXTe1etBb1HNpAlGwQr006ljwMiM"",
      ""GSC最新!A:R""
    ),
    17,
    FALSE
  ),
  0
)
"),0.0)</f>
        <v>0</v>
      </c>
      <c r="V86" s="9">
        <f t="shared" ref="V86:W86" si="423">IFERROR(R86-T86,"-")</f>
        <v>0.0008628127696</v>
      </c>
      <c r="W86" s="9">
        <f t="shared" si="423"/>
        <v>0.0007830853563</v>
      </c>
      <c r="X86" s="65">
        <f>IFERROR(__xludf.DUMMYFUNCTION("IFERROR(
  VLOOKUP(
    A86,
    IMPORTRANGE(
      ""1ZHMy3vVUd_0MrSduXTe1etBb1HNpAlGwQr006ljwMiM"",
      ""GSC最新!A:R""
    ),
    9,
    FALSE
  ),
  0
)
"),9.39430543572045)</f>
        <v>9.394305436</v>
      </c>
      <c r="Y86" s="65">
        <f>IFERROR(__xludf.DUMMYFUNCTION("IFERROR(
  VLOOKUP(
    A86,
    IMPORTRANGE(
      ""1ZHMy3vVUd_0MrSduXTe1etBb1HNpAlGwQr006ljwMiM"",
      ""GSC最新!A:R""
    ),
    12,
    FALSE
  ),
  0
)
"),9.59984338292874)</f>
        <v>9.599843383</v>
      </c>
      <c r="Z86" s="65">
        <f>IFERROR(__xludf.DUMMYFUNCTION("IFERROR(
  VLOOKUP(
    A86,
    IMPORTRANGE(
      ""1ZHMy3vVUd_0MrSduXTe1etBb1HNpAlGwQr006ljwMiM"",
      ""GSC最新!A:R""
    ),
    15,
    FALSE
  ),
  0
)
"),9.333333333333334)</f>
        <v>9.333333333</v>
      </c>
      <c r="AA86" s="65">
        <f>IFERROR(__xludf.DUMMYFUNCTION("IFERROR(
  VLOOKUP(
    A86,
    IMPORTRANGE(
      ""1ZHMy3vVUd_0MrSduXTe1etBb1HNpAlGwQr006ljwMiM"",
      ""GSC最新!A:R""
    ),
    18,
    FALSE
  ),
  0
)
"),33.23076923076923)</f>
        <v>33.23076923</v>
      </c>
      <c r="AB86" s="65">
        <f t="shared" ref="AB86:AC86" si="424">X86-Z86</f>
        <v>0.06097210239</v>
      </c>
      <c r="AC86" s="65">
        <f t="shared" si="424"/>
        <v>-23.63092585</v>
      </c>
      <c r="AD86" s="53">
        <f>IFERROR(__xludf.DUMMYFUNCTION("IFERROR(
  VLOOKUP(
    A86,
    IMPORTRANGE(
      ""1ZHMy3vVUd_0MrSduXTe1etBb1HNpAlGwQr006ljwMiM"",
      ""GSC最新!A:F""
    ),
    6,
    FALSE
  ),
  0
)
"),46081.0)</f>
        <v>46081</v>
      </c>
      <c r="AE86" s="54">
        <f>IFERROR(__xludf.DUMMYFUNCTION("IFERROR(
  VLOOKUP(
    A86,
    IMPORTRANGE(
      ""1SCYQd7_cobOYqT0r_F0IqD4tE4rYn5y8Eup4PJTH8es"",
      ""Snapshot!A:M""
    ),
    5,
    FALSE
  ),
  ""-""
)
"),5.0)</f>
        <v>5</v>
      </c>
      <c r="AF86" s="54">
        <f>IFERROR(__xludf.DUMMYFUNCTION("IFERROR(
  VLOOKUP(
    A86,
    IMPORTRANGE(
      ""1SCYQd7_cobOYqT0r_F0IqD4tE4rYn5y8Eup4PJTH8es"",
      ""Snapshot!A:M""
    ),
    6,
    FALSE
  ),
  0
)
"),5.0)</f>
        <v>5</v>
      </c>
      <c r="AG86" s="54">
        <f>IFERROR(__xludf.DUMMYFUNCTION("IFERROR(
  VLOOKUP(
    A86,
    IMPORTRANGE(
      ""1SCYQd7_cobOYqT0r_F0IqD4tE4rYn5y8Eup4PJTH8es"",
      ""Snapshot!A:M""
    ),
    7,
    FALSE
  ),
  0
)
"),995.0)</f>
        <v>995</v>
      </c>
      <c r="AH86" s="54">
        <f>IFERROR(__xludf.DUMMYFUNCTION("IFERROR(
  VLOOKUP(
    A86,
    IMPORTRANGE(
      ""1SCYQd7_cobOYqT0r_F0IqD4tE4rYn5y8Eup4PJTH8es"",
      ""Snapshot!A:M""
    ),
    8,
    FALSE
  ),
  0
)
"),1.0)</f>
        <v>1</v>
      </c>
      <c r="AI86" s="54">
        <f>IFERROR(__xludf.DUMMYFUNCTION("IFERROR(
  VLOOKUP(
    A86,
    IMPORTRANGE(
      ""1SCYQd7_cobOYqT0r_F0IqD4tE4rYn5y8Eup4PJTH8es"",
      ""Snapshot!A:M""
    ),
    9,
    FALSE
  ),
  0
)
"),3.0)</f>
        <v>3</v>
      </c>
      <c r="AJ86" s="54">
        <f>IFERROR(__xludf.DUMMYFUNCTION("IFERROR(
  VLOOKUP(
    A86,
    IMPORTRANGE(
      ""1SCYQd7_cobOYqT0r_F0IqD4tE4rYn5y8Eup4PJTH8es"",
      ""Snapshot!A:M""
    ),
    13,
    FALSE
  ),
  0
)
"),1.0)</f>
        <v>1</v>
      </c>
      <c r="AK86" s="49">
        <f t="shared" ref="AK86:AL86" si="425">LEN(C86)</f>
        <v>28</v>
      </c>
      <c r="AL86" s="49">
        <f t="shared" si="425"/>
        <v>63</v>
      </c>
    </row>
    <row r="87">
      <c r="A87" s="3" t="s">
        <v>1173</v>
      </c>
      <c r="B87" s="1" t="str">
        <f>IFERROR(__xludf.DUMMYFUNCTION("IFERROR(
  VLOOKUP(
    A87,
    IMPORTRANGE(
      ""1ZygntHC1J6IxzKbTidmOyf5nUyW4GCLurHCjexrLm_o"",
      ""HTMLキャッシュ!A:F""
    ),
    2,
    FALSE
  ),
  0
)
"),"MC")</f>
        <v>MC</v>
      </c>
      <c r="C87" s="1" t="str">
        <f>IFERROR(__xludf.DUMMYFUNCTION("IFERROR(
  VLOOKUP(
    A87,
    IMPORTRANGE(
      ""1ZygntHC1J6IxzKbTidmOyf5nUyW4GCLurHCjexrLm_o"",
      ""HTMLキャッシュ!A:F""
    ),
    5,
    FALSE
  ),
  0
)
"),"過去完了進行形 had been〜ing｜意味と疑問文の語順｜中高一貫英語")</f>
        <v>過去完了進行形 had been〜ing｜意味と疑問文の語順｜中高一貫英語</v>
      </c>
      <c r="D87" s="1" t="str">
        <f>IFERROR(__xludf.DUMMYFUNCTION("IFERROR(
  VLOOKUP(
    A87,
    IMPORTRANGE(
      ""1ZygntHC1J6IxzKbTidmOyf5nUyW4GCLurHCjexrLm_o        "",
      ""HTMLキャッシュ!A:F""
    ),
    6,
    FALSE
  ),
  0
)
"),"過去完了進行形 had been〜ing を「過去のある時点まで続いていた」で整理。意味の判定法、疑問文の語順（had の位置）、How long／for／since を例文で確認。現在完了進行形との違いもまとめてテスト前に迷いを消します。")</f>
        <v>過去完了進行形 had been〜ing を「過去のある時点まで続いていた」で整理。意味の判定法、疑問文の語順（had の位置）、How long／for／since を例文で確認。現在完了進行形との違いもまとめてテスト前に迷いを消します。</v>
      </c>
      <c r="E87" s="32">
        <f>IFERROR(__xludf.DUMMYFUNCTION("IFERROR(
  VLOOKUP(
    A87,
    IMPORTRANGE(
      ""1ZygntHC1J6IxzKbTidmOyf5nUyW4GCLurHCjexrLm_o        "",
      ""HTMLキャッシュ!A:F""
    ),
    3,
    FALSE
  ),
  0
)
"),46078.587847222225)</f>
        <v>46078.58785</v>
      </c>
      <c r="F87" s="49">
        <f>IFERROR(__xludf.DUMMYFUNCTION("IFERROR(
  VLOOKUP(
    A87,
    IMPORTRANGE(
      ""1ZHMy3vVUd_0MrSduXTe1etBb1HNpAlGwQr006ljwMiM"",
      ""GSC最新!A:F""
    ),
    2,
    FALSE
  ),
  0
)
"),0.0)</f>
        <v>0</v>
      </c>
      <c r="G87" s="49">
        <f>IFERROR(__xludf.DUMMYFUNCTION("IFERROR(
  VLOOKUP(
    A87,
    IMPORTRANGE(
      ""1ZHMy3vVUd_0MrSduXTe1etBb1HNpAlGwQr006ljwMiM"",
      ""GSC最新!A:F""
    ),
    3,
    FALSE
  ),
  0
)
"),1.0)</f>
        <v>1</v>
      </c>
      <c r="H87" s="49">
        <f>IFERROR(__xludf.DUMMYFUNCTION("IFERROR(
  VLOOKUP(
    A87,
    IMPORTRANGE(
      ""1ZHMy3vVUd_0MrSduXTe1etBb1HNpAlGwQr006ljwMiM"",
      ""GSC最新!A:F""
    ),
    4,
    FALSE
  ),
  0
)
"),2.0)</f>
        <v>2</v>
      </c>
      <c r="I87" s="49">
        <f>IFERROR(__xludf.DUMMYFUNCTION("IFERROR(
  VLOOKUP(
    A87,
    IMPORTRANGE(
      ""1ZHMy3vVUd_0MrSduXTe1etBb1HNpAlGwQr006ljwMiM"",
      ""GSC最新!A:F""
    ),
    5,
    FALSE
  ),
  0
)
"),3.0)</f>
        <v>3</v>
      </c>
      <c r="J87" s="50">
        <f t="shared" ref="J87:K87" si="426">IFERROR(F87/H87,"-")</f>
        <v>0</v>
      </c>
      <c r="K87" s="50">
        <f t="shared" si="426"/>
        <v>0.3333333333</v>
      </c>
      <c r="L87" s="6">
        <f>IFERROR(__xludf.DUMMYFUNCTION("IFERROR(
  VLOOKUP(
    A87,
    IMPORTRANGE(
      ""1ZHMy3vVUd_0MrSduXTe1etBb1HNpAlGwQr006ljwMiM"",
      ""GSC最新!A:R""
    ),
    7,
    FALSE
  ),
  0
)
"),370.0)</f>
        <v>370</v>
      </c>
      <c r="M87" s="6">
        <f>IFERROR(__xludf.DUMMYFUNCTION("IFERROR(
  VLOOKUP(
    A87,
    IMPORTRANGE(
      ""1ZHMy3vVUd_0MrSduXTe1etBb1HNpAlGwQr006ljwMiM"",
      ""GSC最新!A:R""
    ),
    10,
    FALSE
  ),
  0
)
"),800.0)</f>
        <v>800</v>
      </c>
      <c r="N87" s="6">
        <f>IFERROR(__xludf.DUMMYFUNCTION("IFERROR(
  VLOOKUP(
    A87,
    IMPORTRANGE(
      ""1ZHMy3vVUd_0MrSduXTe1etBb1HNpAlGwQr006ljwMiM"",
      ""GSC最新!A:R""
    ),
    13,
    FALSE
  ),
  0
)
"),324.0)</f>
        <v>324</v>
      </c>
      <c r="O87" s="6">
        <f>IFERROR(__xludf.DUMMYFUNCTION("IFERROR(
  VLOOKUP(
    A87,
    IMPORTRANGE(
      ""1ZHMy3vVUd_0MrSduXTe1etBb1HNpAlGwQr006ljwMiM"",
      ""GSC最新!A:R""
    ),
    16,
    FALSE
  ),
  0
)
"),1159.0)</f>
        <v>1159</v>
      </c>
      <c r="P87" s="51">
        <f t="shared" ref="P87:Q87" si="427">IFERROR(L87/N87,"-")</f>
        <v>1.141975309</v>
      </c>
      <c r="Q87" s="51">
        <f t="shared" si="427"/>
        <v>0.6902502157</v>
      </c>
      <c r="R87" s="9">
        <f>IFERROR(__xludf.DUMMYFUNCTION("IFERROR(
  VLOOKUP(
    A87,
    IMPORTRANGE(
      ""1ZHMy3vVUd_0MrSduXTe1etBb1HNpAlGwQr006ljwMiM"",
      ""GSC最新!A:R""
    ),
    8,
    FALSE
  ),
  0
)
"),0.0)</f>
        <v>0</v>
      </c>
      <c r="S87" s="9">
        <f>IFERROR(__xludf.DUMMYFUNCTION("IFERROR(
  VLOOKUP(
    A87,
    IMPORTRANGE(
      ""1ZHMy3vVUd_0MrSduXTe1etBb1HNpAlGwQr006ljwMiM"",
      ""GSC最新!A:R""
    ),
    11,
    FALSE
  ),
  0
)
"),0.00125)</f>
        <v>0.00125</v>
      </c>
      <c r="T87" s="9">
        <f>IFERROR(__xludf.DUMMYFUNCTION("IFERROR(
  VLOOKUP(
    A87,
    IMPORTRANGE(
      ""1ZHMy3vVUd_0MrSduXTe1etBb1HNpAlGwQr006ljwMiM"",
      ""GSC最新!A:R""
    ),
    14,
    FALSE
  ),
  0
)
"),0.006172839506172839)</f>
        <v>0.006172839506</v>
      </c>
      <c r="U87" s="9">
        <f>IFERROR(__xludf.DUMMYFUNCTION("IFERROR(
  VLOOKUP(
    A87,
    IMPORTRANGE(
      ""1ZHMy3vVUd_0MrSduXTe1etBb1HNpAlGwQr006ljwMiM"",
      ""GSC最新!A:R""
    ),
    17,
    FALSE
  ),
  0
)
"),0.0025884383088869713)</f>
        <v>0.002588438309</v>
      </c>
      <c r="V87" s="9">
        <f t="shared" ref="V87:W87" si="428">IFERROR(R87-T87,"-")</f>
        <v>-0.006172839506</v>
      </c>
      <c r="W87" s="9">
        <f t="shared" si="428"/>
        <v>-0.001338438309</v>
      </c>
      <c r="X87" s="65">
        <f>IFERROR(__xludf.DUMMYFUNCTION("IFERROR(
  VLOOKUP(
    A87,
    IMPORTRANGE(
      ""1ZHMy3vVUd_0MrSduXTe1etBb1HNpAlGwQr006ljwMiM"",
      ""GSC最新!A:R""
    ),
    9,
    FALSE
  ),
  0
)
"),9.375675675675677)</f>
        <v>9.375675676</v>
      </c>
      <c r="Y87" s="65">
        <f>IFERROR(__xludf.DUMMYFUNCTION("IFERROR(
  VLOOKUP(
    A87,
    IMPORTRANGE(
      ""1ZHMy3vVUd_0MrSduXTe1etBb1HNpAlGwQr006ljwMiM"",
      ""GSC最新!A:R""
    ),
    12,
    FALSE
  ),
  0
)
"),10.22625)</f>
        <v>10.22625</v>
      </c>
      <c r="Z87" s="65">
        <f>IFERROR(__xludf.DUMMYFUNCTION("IFERROR(
  VLOOKUP(
    A87,
    IMPORTRANGE(
      ""1ZHMy3vVUd_0MrSduXTe1etBb1HNpAlGwQr006ljwMiM"",
      ""GSC最新!A:R""
    ),
    15,
    FALSE
  ),
  0
)
"),13.287037037037036)</f>
        <v>13.28703704</v>
      </c>
      <c r="AA87" s="65">
        <f>IFERROR(__xludf.DUMMYFUNCTION("IFERROR(
  VLOOKUP(
    A87,
    IMPORTRANGE(
      ""1ZHMy3vVUd_0MrSduXTe1etBb1HNpAlGwQr006ljwMiM"",
      ""GSC最新!A:R""
    ),
    18,
    FALSE
  ),
  0
)
"),16.773080241587575)</f>
        <v>16.77308024</v>
      </c>
      <c r="AB87" s="65">
        <f t="shared" ref="AB87:AC87" si="429">X87-Z87</f>
        <v>-3.911361361</v>
      </c>
      <c r="AC87" s="65">
        <f t="shared" si="429"/>
        <v>-6.546830242</v>
      </c>
      <c r="AD87" s="53">
        <f>IFERROR(__xludf.DUMMYFUNCTION("IFERROR(
  VLOOKUP(
    A87,
    IMPORTRANGE(
      ""1ZHMy3vVUd_0MrSduXTe1etBb1HNpAlGwQr006ljwMiM"",
      ""GSC最新!A:F""
    ),
    6,
    FALSE
  ),
  0
)
"),46081.0)</f>
        <v>46081</v>
      </c>
      <c r="AE87" s="54">
        <f>IFERROR(__xludf.DUMMYFUNCTION("IFERROR(
  VLOOKUP(
    A87,
    IMPORTRANGE(
      ""1SCYQd7_cobOYqT0r_F0IqD4tE4rYn5y8Eup4PJTH8es"",
      ""Snapshot!A:M""
    ),
    5,
    FALSE
  ),
  ""-""
)
"),4.0)</f>
        <v>4</v>
      </c>
      <c r="AF87" s="54">
        <f>IFERROR(__xludf.DUMMYFUNCTION("IFERROR(
  VLOOKUP(
    A87,
    IMPORTRANGE(
      ""1SCYQd7_cobOYqT0r_F0IqD4tE4rYn5y8Eup4PJTH8es"",
      ""Snapshot!A:M""
    ),
    6,
    FALSE
  ),
  0
)
"),7.0)</f>
        <v>7</v>
      </c>
      <c r="AG87" s="54">
        <f>IFERROR(__xludf.DUMMYFUNCTION("IFERROR(
  VLOOKUP(
    A87,
    IMPORTRANGE(
      ""1SCYQd7_cobOYqT0r_F0IqD4tE4rYn5y8Eup4PJTH8es"",
      ""Snapshot!A:M""
    ),
    7,
    FALSE
  ),
  0
)
"),1280.0)</f>
        <v>1280</v>
      </c>
      <c r="AH87" s="54">
        <f>IFERROR(__xludf.DUMMYFUNCTION("IFERROR(
  VLOOKUP(
    A87,
    IMPORTRANGE(
      ""1SCYQd7_cobOYqT0r_F0IqD4tE4rYn5y8Eup4PJTH8es"",
      ""Snapshot!A:M""
    ),
    8,
    FALSE
  ),
  0
)
"),1.0)</f>
        <v>1</v>
      </c>
      <c r="AI87" s="54">
        <f>IFERROR(__xludf.DUMMYFUNCTION("IFERROR(
  VLOOKUP(
    A87,
    IMPORTRANGE(
      ""1SCYQd7_cobOYqT0r_F0IqD4tE4rYn5y8Eup4PJTH8es"",
      ""Snapshot!A:M""
    ),
    9,
    FALSE
  ),
  0
)
"),3.0)</f>
        <v>3</v>
      </c>
      <c r="AJ87" s="54">
        <f>IFERROR(__xludf.DUMMYFUNCTION("IFERROR(
  VLOOKUP(
    A87,
    IMPORTRANGE(
      ""1SCYQd7_cobOYqT0r_F0IqD4tE4rYn5y8Eup4PJTH8es"",
      ""Snapshot!A:M""
    ),
    13,
    FALSE
  ),
  0
)
"),1.0)</f>
        <v>1</v>
      </c>
      <c r="AK87" s="49">
        <f t="shared" ref="AK87:AL87" si="430">LEN(C87)</f>
        <v>37</v>
      </c>
      <c r="AL87" s="49">
        <f t="shared" si="430"/>
        <v>120</v>
      </c>
    </row>
    <row r="88">
      <c r="A88" s="3" t="s">
        <v>1174</v>
      </c>
      <c r="B88" s="1" t="str">
        <f>IFERROR(__xludf.DUMMYFUNCTION("IFERROR(
  VLOOKUP(
    A88,
    IMPORTRANGE(
      ""1ZygntHC1J6IxzKbTidmOyf5nUyW4GCLurHCjexrLm_o"",
      ""HTMLキャッシュ!A:F""
    ),
    2,
    FALSE
  ),
  0
)
"),"MC")</f>
        <v>MC</v>
      </c>
      <c r="C88" s="1" t="str">
        <f>IFERROR(__xludf.DUMMYFUNCTION("IFERROR(
  VLOOKUP(
    A88,
    IMPORTRANGE(
      ""1ZygntHC1J6IxzKbTidmOyf5nUyW4GCLurHCjexrLm_o"",
      ""HTMLキャッシュ!A:F""
    ),
    5,
    FALSE
  ),
  0
)
"),"目的を表す不定詞｜in order toの意味と用例｜中1英語")</f>
        <v>目的を表す不定詞｜in order toの意味と用例｜中1英語</v>
      </c>
      <c r="D88" s="1" t="str">
        <f>IFERROR(__xludf.DUMMYFUNCTION("IFERROR(
  VLOOKUP(
    A88,
    IMPORTRANGE(
      ""1ZygntHC1J6IxzKbTidmOyf5nUyW4GCLurHCjexrLm_o        "",
      ""HTMLキャッシュ!A:F""
    ),
    6,
    FALSE
  ),
  0
)
"),"in order toは目的「〜するために」。名詞用法のtoとの違い、置き換え確認、例文と練習で整理。")</f>
        <v>in order toは目的「〜するために」。名詞用法のtoとの違い、置き換え確認、例文と練習で整理。</v>
      </c>
      <c r="E88" s="32">
        <f>IFERROR(__xludf.DUMMYFUNCTION("IFERROR(
  VLOOKUP(
    A88,
    IMPORTRANGE(
      ""1ZygntHC1J6IxzKbTidmOyf5nUyW4GCLurHCjexrLm_o        "",
      ""HTMLキャッシュ!A:F""
    ),
    3,
    FALSE
  ),
  0
)
"),46078.592453703706)</f>
        <v>46078.59245</v>
      </c>
      <c r="F88" s="49">
        <f>IFERROR(__xludf.DUMMYFUNCTION("IFERROR(
  VLOOKUP(
    A88,
    IMPORTRANGE(
      ""1ZHMy3vVUd_0MrSduXTe1etBb1HNpAlGwQr006ljwMiM"",
      ""GSC最新!A:F""
    ),
    2,
    FALSE
  ),
  0
)
"),0.0)</f>
        <v>0</v>
      </c>
      <c r="G88" s="49">
        <f>IFERROR(__xludf.DUMMYFUNCTION("IFERROR(
  VLOOKUP(
    A88,
    IMPORTRANGE(
      ""1ZHMy3vVUd_0MrSduXTe1etBb1HNpAlGwQr006ljwMiM"",
      ""GSC最新!A:F""
    ),
    3,
    FALSE
  ),
  0
)
"),1.0)</f>
        <v>1</v>
      </c>
      <c r="H88" s="49">
        <f>IFERROR(__xludf.DUMMYFUNCTION("IFERROR(
  VLOOKUP(
    A88,
    IMPORTRANGE(
      ""1ZHMy3vVUd_0MrSduXTe1etBb1HNpAlGwQr006ljwMiM"",
      ""GSC最新!A:F""
    ),
    4,
    FALSE
  ),
  0
)
"),0.0)</f>
        <v>0</v>
      </c>
      <c r="I88" s="49">
        <f>IFERROR(__xludf.DUMMYFUNCTION("IFERROR(
  VLOOKUP(
    A88,
    IMPORTRANGE(
      ""1ZHMy3vVUd_0MrSduXTe1etBb1HNpAlGwQr006ljwMiM"",
      ""GSC最新!A:F""
    ),
    5,
    FALSE
  ),
  0
)
"),0.0)</f>
        <v>0</v>
      </c>
      <c r="J88" s="50" t="str">
        <f t="shared" ref="J88:K88" si="431">IFERROR(F88/H88,"-")</f>
        <v>-</v>
      </c>
      <c r="K88" s="50" t="str">
        <f t="shared" si="431"/>
        <v>-</v>
      </c>
      <c r="L88" s="6">
        <f>IFERROR(__xludf.DUMMYFUNCTION("IFERROR(
  VLOOKUP(
    A88,
    IMPORTRANGE(
      ""1ZHMy3vVUd_0MrSduXTe1etBb1HNpAlGwQr006ljwMiM"",
      ""GSC最新!A:R""
    ),
    7,
    FALSE
  ),
  0
)
"),304.0)</f>
        <v>304</v>
      </c>
      <c r="M88" s="6">
        <f>IFERROR(__xludf.DUMMYFUNCTION("IFERROR(
  VLOOKUP(
    A88,
    IMPORTRANGE(
      ""1ZHMy3vVUd_0MrSduXTe1etBb1HNpAlGwQr006ljwMiM"",
      ""GSC最新!A:R""
    ),
    10,
    FALSE
  ),
  0
)
"),454.0)</f>
        <v>454</v>
      </c>
      <c r="N88" s="6">
        <f>IFERROR(__xludf.DUMMYFUNCTION("IFERROR(
  VLOOKUP(
    A88,
    IMPORTRANGE(
      ""1ZHMy3vVUd_0MrSduXTe1etBb1HNpAlGwQr006ljwMiM"",
      ""GSC最新!A:R""
    ),
    13,
    FALSE
  ),
  0
)
"),8.0)</f>
        <v>8</v>
      </c>
      <c r="O88" s="6">
        <f>IFERROR(__xludf.DUMMYFUNCTION("IFERROR(
  VLOOKUP(
    A88,
    IMPORTRANGE(
      ""1ZHMy3vVUd_0MrSduXTe1etBb1HNpAlGwQr006ljwMiM"",
      ""GSC最新!A:R""
    ),
    16,
    FALSE
  ),
  0
)
"),47.0)</f>
        <v>47</v>
      </c>
      <c r="P88" s="51">
        <f t="shared" ref="P88:Q88" si="432">IFERROR(L88/N88,"-")</f>
        <v>38</v>
      </c>
      <c r="Q88" s="51">
        <f t="shared" si="432"/>
        <v>9.659574468</v>
      </c>
      <c r="R88" s="9">
        <f>IFERROR(__xludf.DUMMYFUNCTION("IFERROR(
  VLOOKUP(
    A88,
    IMPORTRANGE(
      ""1ZHMy3vVUd_0MrSduXTe1etBb1HNpAlGwQr006ljwMiM"",
      ""GSC最新!A:R""
    ),
    8,
    FALSE
  ),
  0
)
"),0.0)</f>
        <v>0</v>
      </c>
      <c r="S88" s="9">
        <f>IFERROR(__xludf.DUMMYFUNCTION("IFERROR(
  VLOOKUP(
    A88,
    IMPORTRANGE(
      ""1ZHMy3vVUd_0MrSduXTe1etBb1HNpAlGwQr006ljwMiM"",
      ""GSC最新!A:R""
    ),
    11,
    FALSE
  ),
  0
)
"),0.0022026431718061676)</f>
        <v>0.002202643172</v>
      </c>
      <c r="T88" s="9">
        <f>IFERROR(__xludf.DUMMYFUNCTION("IFERROR(
  VLOOKUP(
    A88,
    IMPORTRANGE(
      ""1ZHMy3vVUd_0MrSduXTe1etBb1HNpAlGwQr006ljwMiM"",
      ""GSC最新!A:R""
    ),
    14,
    FALSE
  ),
  0
)
"),0.0)</f>
        <v>0</v>
      </c>
      <c r="U88" s="9">
        <f>IFERROR(__xludf.DUMMYFUNCTION("IFERROR(
  VLOOKUP(
    A88,
    IMPORTRANGE(
      ""1ZHMy3vVUd_0MrSduXTe1etBb1HNpAlGwQr006ljwMiM"",
      ""GSC最新!A:R""
    ),
    17,
    FALSE
  ),
  0
)
"),0.0)</f>
        <v>0</v>
      </c>
      <c r="V88" s="9">
        <f t="shared" ref="V88:W88" si="433">IFERROR(R88-T88,"-")</f>
        <v>0</v>
      </c>
      <c r="W88" s="9">
        <f t="shared" si="433"/>
        <v>0.002202643172</v>
      </c>
      <c r="X88" s="65">
        <f>IFERROR(__xludf.DUMMYFUNCTION("IFERROR(
  VLOOKUP(
    A88,
    IMPORTRANGE(
      ""1ZHMy3vVUd_0MrSduXTe1etBb1HNpAlGwQr006ljwMiM"",
      ""GSC最新!A:R""
    ),
    9,
    FALSE
  ),
  0
)
"),8.578947368421051)</f>
        <v>8.578947368</v>
      </c>
      <c r="Y88" s="65">
        <f>IFERROR(__xludf.DUMMYFUNCTION("IFERROR(
  VLOOKUP(
    A88,
    IMPORTRANGE(
      ""1ZHMy3vVUd_0MrSduXTe1etBb1HNpAlGwQr006ljwMiM"",
      ""GSC最新!A:R""
    ),
    12,
    FALSE
  ),
  0
)
"),9.015418502202643)</f>
        <v>9.015418502</v>
      </c>
      <c r="Z88" s="65">
        <f>IFERROR(__xludf.DUMMYFUNCTION("IFERROR(
  VLOOKUP(
    A88,
    IMPORTRANGE(
      ""1ZHMy3vVUd_0MrSduXTe1etBb1HNpAlGwQr006ljwMiM"",
      ""GSC最新!A:R""
    ),
    15,
    FALSE
  ),
  0
)
"),15.5)</f>
        <v>15.5</v>
      </c>
      <c r="AA88" s="65">
        <f>IFERROR(__xludf.DUMMYFUNCTION("IFERROR(
  VLOOKUP(
    A88,
    IMPORTRANGE(
      ""1ZHMy3vVUd_0MrSduXTe1etBb1HNpAlGwQr006ljwMiM"",
      ""GSC最新!A:R""
    ),
    18,
    FALSE
  ),
  0
)
"),12.23404255319149)</f>
        <v>12.23404255</v>
      </c>
      <c r="AB88" s="65">
        <f t="shared" ref="AB88:AC88" si="434">X88-Z88</f>
        <v>-6.921052632</v>
      </c>
      <c r="AC88" s="65">
        <f t="shared" si="434"/>
        <v>-3.218624051</v>
      </c>
      <c r="AD88" s="53">
        <f>IFERROR(__xludf.DUMMYFUNCTION("IFERROR(
  VLOOKUP(
    A88,
    IMPORTRANGE(
      ""1ZHMy3vVUd_0MrSduXTe1etBb1HNpAlGwQr006ljwMiM"",
      ""GSC最新!A:F""
    ),
    6,
    FALSE
  ),
  0
)
"),46081.0)</f>
        <v>46081</v>
      </c>
      <c r="AE88" s="54">
        <f>IFERROR(__xludf.DUMMYFUNCTION("IFERROR(
  VLOOKUP(
    A88,
    IMPORTRANGE(
      ""1SCYQd7_cobOYqT0r_F0IqD4tE4rYn5y8Eup4PJTH8es"",
      ""Snapshot!A:M""
    ),
    5,
    FALSE
  ),
  ""-""
)
"),10.0)</f>
        <v>10</v>
      </c>
      <c r="AF88" s="54">
        <f>IFERROR(__xludf.DUMMYFUNCTION("IFERROR(
  VLOOKUP(
    A88,
    IMPORTRANGE(
      ""1SCYQd7_cobOYqT0r_F0IqD4tE4rYn5y8Eup4PJTH8es"",
      ""Snapshot!A:M""
    ),
    6,
    FALSE
  ),
  0
)
"),3.0)</f>
        <v>3</v>
      </c>
      <c r="AG88" s="54">
        <f>IFERROR(__xludf.DUMMYFUNCTION("IFERROR(
  VLOOKUP(
    A88,
    IMPORTRANGE(
      ""1SCYQd7_cobOYqT0r_F0IqD4tE4rYn5y8Eup4PJTH8es"",
      ""Snapshot!A:M""
    ),
    7,
    FALSE
  ),
  0
)
"),2582.0)</f>
        <v>2582</v>
      </c>
      <c r="AH88" s="54">
        <f>IFERROR(__xludf.DUMMYFUNCTION("IFERROR(
  VLOOKUP(
    A88,
    IMPORTRANGE(
      ""1SCYQd7_cobOYqT0r_F0IqD4tE4rYn5y8Eup4PJTH8es"",
      ""Snapshot!A:M""
    ),
    8,
    FALSE
  ),
  0
)
"),1.0)</f>
        <v>1</v>
      </c>
      <c r="AI88" s="54">
        <f>IFERROR(__xludf.DUMMYFUNCTION("IFERROR(
  VLOOKUP(
    A88,
    IMPORTRANGE(
      ""1SCYQd7_cobOYqT0r_F0IqD4tE4rYn5y8Eup4PJTH8es"",
      ""Snapshot!A:M""
    ),
    9,
    FALSE
  ),
  0
)
"),4.0)</f>
        <v>4</v>
      </c>
      <c r="AJ88" s="54">
        <f>IFERROR(__xludf.DUMMYFUNCTION("IFERROR(
  VLOOKUP(
    A88,
    IMPORTRANGE(
      ""1SCYQd7_cobOYqT0r_F0IqD4tE4rYn5y8Eup4PJTH8es"",
      ""Snapshot!A:M""
    ),
    13,
    FALSE
  ),
  0
)
"),1.0)</f>
        <v>1</v>
      </c>
      <c r="AK88" s="49">
        <f t="shared" ref="AK88:AL88" si="435">LEN(C88)</f>
        <v>31</v>
      </c>
      <c r="AL88" s="49">
        <f t="shared" si="435"/>
        <v>51</v>
      </c>
    </row>
    <row r="89">
      <c r="A89" s="3" t="s">
        <v>1175</v>
      </c>
      <c r="B89" s="1" t="str">
        <f>IFERROR(__xludf.DUMMYFUNCTION("IFERROR(
  VLOOKUP(
    A89,
    IMPORTRANGE(
      ""1ZygntHC1J6IxzKbTidmOyf5nUyW4GCLurHCjexrLm_o"",
      ""HTMLキャッシュ!A:F""
    ),
    2,
    FALSE
  ),
  0
)
"),"MC")</f>
        <v>MC</v>
      </c>
      <c r="C89" s="1" t="str">
        <f>IFERROR(__xludf.DUMMYFUNCTION("IFERROR(
  VLOOKUP(
    A89,
    IMPORTRANGE(
      ""1ZygntHC1J6IxzKbTidmOyf5nUyW4GCLurHCjexrLm_o"",
      ""HTMLキャッシュ!A:F""
    ),
    5,
    FALSE
  ),
  0
)
"),"関係代名詞の目的格を例文で理解する英文法解説")</f>
        <v>関係代名詞の目的格を例文で理解する英文法解説</v>
      </c>
      <c r="D89" s="1" t="str">
        <f>IFERROR(__xludf.DUMMYFUNCTION("IFERROR(
  VLOOKUP(
    A89,
    IMPORTRANGE(
      ""1ZygntHC1J6IxzKbTidmOyf5nUyW4GCLurHCjexrLm_o        "",
      ""HTMLキャッシュ!A:F""
    ),
    6,
    FALSE
  ),
  0
)
"),"関係代名詞節とは何かを例文で整理。目的格whom/thatの形と訳し方、who/whichとの違いまで。")</f>
        <v>関係代名詞節とは何かを例文で整理。目的格whom/thatの形と訳し方、who/whichとの違いまで。</v>
      </c>
      <c r="E89" s="32">
        <f>IFERROR(__xludf.DUMMYFUNCTION("IFERROR(
  VLOOKUP(
    A89,
    IMPORTRANGE(
      ""1ZygntHC1J6IxzKbTidmOyf5nUyW4GCLurHCjexrLm_o        "",
      ""HTMLキャッシュ!A:F""
    ),
    3,
    FALSE
  ),
  0
)
"),46078.58256944444)</f>
        <v>46078.58257</v>
      </c>
      <c r="F89" s="49">
        <f>IFERROR(__xludf.DUMMYFUNCTION("IFERROR(
  VLOOKUP(
    A89,
    IMPORTRANGE(
      ""1ZHMy3vVUd_0MrSduXTe1etBb1HNpAlGwQr006ljwMiM"",
      ""GSC最新!A:F""
    ),
    2,
    FALSE
  ),
  0
)
"),0.0)</f>
        <v>0</v>
      </c>
      <c r="G89" s="49">
        <f>IFERROR(__xludf.DUMMYFUNCTION("IFERROR(
  VLOOKUP(
    A89,
    IMPORTRANGE(
      ""1ZHMy3vVUd_0MrSduXTe1etBb1HNpAlGwQr006ljwMiM"",
      ""GSC最新!A:F""
    ),
    3,
    FALSE
  ),
  0
)
"),1.0)</f>
        <v>1</v>
      </c>
      <c r="H89" s="49">
        <f>IFERROR(__xludf.DUMMYFUNCTION("IFERROR(
  VLOOKUP(
    A89,
    IMPORTRANGE(
      ""1ZHMy3vVUd_0MrSduXTe1etBb1HNpAlGwQr006ljwMiM"",
      ""GSC最新!A:F""
    ),
    4,
    FALSE
  ),
  0
)
"),0.0)</f>
        <v>0</v>
      </c>
      <c r="I89" s="49">
        <f>IFERROR(__xludf.DUMMYFUNCTION("IFERROR(
  VLOOKUP(
    A89,
    IMPORTRANGE(
      ""1ZHMy3vVUd_0MrSduXTe1etBb1HNpAlGwQr006ljwMiM"",
      ""GSC最新!A:F""
    ),
    5,
    FALSE
  ),
  0
)
"),0.0)</f>
        <v>0</v>
      </c>
      <c r="J89" s="50" t="str">
        <f t="shared" ref="J89:K89" si="436">IFERROR(F89/H89,"-")</f>
        <v>-</v>
      </c>
      <c r="K89" s="50" t="str">
        <f t="shared" si="436"/>
        <v>-</v>
      </c>
      <c r="L89" s="6">
        <f>IFERROR(__xludf.DUMMYFUNCTION("IFERROR(
  VLOOKUP(
    A89,
    IMPORTRANGE(
      ""1ZHMy3vVUd_0MrSduXTe1etBb1HNpAlGwQr006ljwMiM"",
      ""GSC最新!A:R""
    ),
    7,
    FALSE
  ),
  0
)
"),213.0)</f>
        <v>213</v>
      </c>
      <c r="M89" s="6">
        <f>IFERROR(__xludf.DUMMYFUNCTION("IFERROR(
  VLOOKUP(
    A89,
    IMPORTRANGE(
      ""1ZHMy3vVUd_0MrSduXTe1etBb1HNpAlGwQr006ljwMiM"",
      ""GSC最新!A:R""
    ),
    10,
    FALSE
  ),
  0
)
"),270.0)</f>
        <v>270</v>
      </c>
      <c r="N89" s="6">
        <f>IFERROR(__xludf.DUMMYFUNCTION("IFERROR(
  VLOOKUP(
    A89,
    IMPORTRANGE(
      ""1ZHMy3vVUd_0MrSduXTe1etBb1HNpAlGwQr006ljwMiM"",
      ""GSC最新!A:R""
    ),
    13,
    FALSE
  ),
  0
)
"),60.0)</f>
        <v>60</v>
      </c>
      <c r="O89" s="6">
        <f>IFERROR(__xludf.DUMMYFUNCTION("IFERROR(
  VLOOKUP(
    A89,
    IMPORTRANGE(
      ""1ZHMy3vVUd_0MrSduXTe1etBb1HNpAlGwQr006ljwMiM"",
      ""GSC最新!A:R""
    ),
    16,
    FALSE
  ),
  0
)
"),185.0)</f>
        <v>185</v>
      </c>
      <c r="P89" s="51">
        <f t="shared" ref="P89:Q89" si="437">IFERROR(L89/N89,"-")</f>
        <v>3.55</v>
      </c>
      <c r="Q89" s="51">
        <f t="shared" si="437"/>
        <v>1.459459459</v>
      </c>
      <c r="R89" s="9">
        <f>IFERROR(__xludf.DUMMYFUNCTION("IFERROR(
  VLOOKUP(
    A89,
    IMPORTRANGE(
      ""1ZHMy3vVUd_0MrSduXTe1etBb1HNpAlGwQr006ljwMiM"",
      ""GSC最新!A:R""
    ),
    8,
    FALSE
  ),
  0
)
"),0.0)</f>
        <v>0</v>
      </c>
      <c r="S89" s="9">
        <f>IFERROR(__xludf.DUMMYFUNCTION("IFERROR(
  VLOOKUP(
    A89,
    IMPORTRANGE(
      ""1ZHMy3vVUd_0MrSduXTe1etBb1HNpAlGwQr006ljwMiM"",
      ""GSC最新!A:R""
    ),
    11,
    FALSE
  ),
  0
)
"),0.003703703703703704)</f>
        <v>0.003703703704</v>
      </c>
      <c r="T89" s="9">
        <f>IFERROR(__xludf.DUMMYFUNCTION("IFERROR(
  VLOOKUP(
    A89,
    IMPORTRANGE(
      ""1ZHMy3vVUd_0MrSduXTe1etBb1HNpAlGwQr006ljwMiM"",
      ""GSC最新!A:R""
    ),
    14,
    FALSE
  ),
  0
)
"),0.0)</f>
        <v>0</v>
      </c>
      <c r="U89" s="9">
        <f>IFERROR(__xludf.DUMMYFUNCTION("IFERROR(
  VLOOKUP(
    A89,
    IMPORTRANGE(
      ""1ZHMy3vVUd_0MrSduXTe1etBb1HNpAlGwQr006ljwMiM"",
      ""GSC最新!A:R""
    ),
    17,
    FALSE
  ),
  0
)
"),0.0)</f>
        <v>0</v>
      </c>
      <c r="V89" s="9">
        <f t="shared" ref="V89:W89" si="438">IFERROR(R89-T89,"-")</f>
        <v>0</v>
      </c>
      <c r="W89" s="9">
        <f t="shared" si="438"/>
        <v>0.003703703704</v>
      </c>
      <c r="X89" s="65">
        <f>IFERROR(__xludf.DUMMYFUNCTION("IFERROR(
  VLOOKUP(
    A89,
    IMPORTRANGE(
      ""1ZHMy3vVUd_0MrSduXTe1etBb1HNpAlGwQr006ljwMiM"",
      ""GSC最新!A:R""
    ),
    9,
    FALSE
  ),
  0
)
"),10.075117370892018)</f>
        <v>10.07511737</v>
      </c>
      <c r="Y89" s="65">
        <f>IFERROR(__xludf.DUMMYFUNCTION("IFERROR(
  VLOOKUP(
    A89,
    IMPORTRANGE(
      ""1ZHMy3vVUd_0MrSduXTe1etBb1HNpAlGwQr006ljwMiM"",
      ""GSC最新!A:R""
    ),
    12,
    FALSE
  ),
  0
)
"),10.025925925925925)</f>
        <v>10.02592593</v>
      </c>
      <c r="Z89" s="65">
        <f>IFERROR(__xludf.DUMMYFUNCTION("IFERROR(
  VLOOKUP(
    A89,
    IMPORTRANGE(
      ""1ZHMy3vVUd_0MrSduXTe1etBb1HNpAlGwQr006ljwMiM"",
      ""GSC最新!A:R""
    ),
    15,
    FALSE
  ),
  0
)
"),8.85)</f>
        <v>8.85</v>
      </c>
      <c r="AA89" s="65">
        <f>IFERROR(__xludf.DUMMYFUNCTION("IFERROR(
  VLOOKUP(
    A89,
    IMPORTRANGE(
      ""1ZHMy3vVUd_0MrSduXTe1etBb1HNpAlGwQr006ljwMiM"",
      ""GSC最新!A:R""
    ),
    18,
    FALSE
  ),
  0
)
"),22.135135135135137)</f>
        <v>22.13513514</v>
      </c>
      <c r="AB89" s="65">
        <f t="shared" ref="AB89:AC89" si="439">X89-Z89</f>
        <v>1.225117371</v>
      </c>
      <c r="AC89" s="65">
        <f t="shared" si="439"/>
        <v>-12.10920921</v>
      </c>
      <c r="AD89" s="53">
        <f>IFERROR(__xludf.DUMMYFUNCTION("IFERROR(
  VLOOKUP(
    A89,
    IMPORTRANGE(
      ""1ZHMy3vVUd_0MrSduXTe1etBb1HNpAlGwQr006ljwMiM"",
      ""GSC最新!A:F""
    ),
    6,
    FALSE
  ),
  0
)
"),46081.0)</f>
        <v>46081</v>
      </c>
      <c r="AE89" s="54">
        <f>IFERROR(__xludf.DUMMYFUNCTION("IFERROR(
  VLOOKUP(
    A89,
    IMPORTRANGE(
      ""1SCYQd7_cobOYqT0r_F0IqD4tE4rYn5y8Eup4PJTH8es"",
      ""Snapshot!A:M""
    ),
    5,
    FALSE
  ),
  ""-""
)
"),7.0)</f>
        <v>7</v>
      </c>
      <c r="AF89" s="54">
        <f>IFERROR(__xludf.DUMMYFUNCTION("IFERROR(
  VLOOKUP(
    A89,
    IMPORTRANGE(
      ""1SCYQd7_cobOYqT0r_F0IqD4tE4rYn5y8Eup4PJTH8es"",
      ""Snapshot!A:M""
    ),
    6,
    FALSE
  ),
  0
)
"),9.0)</f>
        <v>9</v>
      </c>
      <c r="AG89" s="54">
        <f>IFERROR(__xludf.DUMMYFUNCTION("IFERROR(
  VLOOKUP(
    A89,
    IMPORTRANGE(
      ""1SCYQd7_cobOYqT0r_F0IqD4tE4rYn5y8Eup4PJTH8es"",
      ""Snapshot!A:M""
    ),
    7,
    FALSE
  ),
  0
)
"),3243.0)</f>
        <v>3243</v>
      </c>
      <c r="AH89" s="54">
        <f>IFERROR(__xludf.DUMMYFUNCTION("IFERROR(
  VLOOKUP(
    A89,
    IMPORTRANGE(
      ""1SCYQd7_cobOYqT0r_F0IqD4tE4rYn5y8Eup4PJTH8es"",
      ""Snapshot!A:M""
    ),
    8,
    FALSE
  ),
  0
)
"),1.0)</f>
        <v>1</v>
      </c>
      <c r="AI89" s="54">
        <f>IFERROR(__xludf.DUMMYFUNCTION("IFERROR(
  VLOOKUP(
    A89,
    IMPORTRANGE(
      ""1SCYQd7_cobOYqT0r_F0IqD4tE4rYn5y8Eup4PJTH8es"",
      ""Snapshot!A:M""
    ),
    9,
    FALSE
  ),
  0
)
"),4.0)</f>
        <v>4</v>
      </c>
      <c r="AJ89" s="54">
        <f>IFERROR(__xludf.DUMMYFUNCTION("IFERROR(
  VLOOKUP(
    A89,
    IMPORTRANGE(
      ""1SCYQd7_cobOYqT0r_F0IqD4tE4rYn5y8Eup4PJTH8es"",
      ""Snapshot!A:M""
    ),
    13,
    FALSE
  ),
  0
)
"),1.0)</f>
        <v>1</v>
      </c>
      <c r="AK89" s="49">
        <f t="shared" ref="AK89:AL89" si="440">LEN(C89)</f>
        <v>22</v>
      </c>
      <c r="AL89" s="49">
        <f t="shared" si="440"/>
        <v>52</v>
      </c>
    </row>
    <row r="90">
      <c r="A90" s="3" t="s">
        <v>1176</v>
      </c>
      <c r="B90" s="1" t="str">
        <f>IFERROR(__xludf.DUMMYFUNCTION("IFERROR(
  VLOOKUP(
    A90,
    IMPORTRANGE(
      ""1ZygntHC1J6IxzKbTidmOyf5nUyW4GCLurHCjexrLm_o"",
      ""HTMLキャッシュ!A:F""
    ),
    2,
    FALSE
  ),
  0
)
"),"MC")</f>
        <v>MC</v>
      </c>
      <c r="C90" s="1" t="str">
        <f>IFERROR(__xludf.DUMMYFUNCTION("IFERROR(
  VLOOKUP(
    A90,
    IMPORTRANGE(
      ""1ZygntHC1J6IxzKbTidmOyf5nUyW4GCLurHCjexrLm_o"",
      ""HTMLキャッシュ!A:F""
    ),
    5,
    FALSE
  ),
  0
)
"),"how many疑問文の作り方｜語順と名詞複数sのミスを防ぐ")</f>
        <v>how many疑問文の作り方｜語順と名詞複数sのミスを防ぐ</v>
      </c>
      <c r="D90" s="1" t="str">
        <f>IFERROR(__xludf.DUMMYFUNCTION("IFERROR(
  VLOOKUP(
    A90,
    IMPORTRANGE(
      ""1ZygntHC1J6IxzKbTidmOyf5nUyW4GCLurHCjexrLm_o        "",
      ""HTMLキャッシュ!A:F""
    ),
    6,
    FALSE
  ),
  0
)
"),"how many疑問文は「How many＋名詞複数」を塊で文頭へ。How manyだけを前に出す誤答（How many do you want…）を例文で修正します。中1英語向け。")</f>
        <v>how many疑問文は「How many＋名詞複数」を塊で文頭へ。How manyだけを前に出す誤答（How many do you want…）を例文で修正します。中1英語向け。</v>
      </c>
      <c r="E90" s="32">
        <f>IFERROR(__xludf.DUMMYFUNCTION("IFERROR(
  VLOOKUP(
    A90,
    IMPORTRANGE(
      ""1ZygntHC1J6IxzKbTidmOyf5nUyW4GCLurHCjexrLm_o        "",
      ""HTMLキャッシュ!A:F""
    ),
    3,
    FALSE
  ),
  0
)
"),46055.732627314814)</f>
        <v>46055.73263</v>
      </c>
      <c r="F90" s="49">
        <f>IFERROR(__xludf.DUMMYFUNCTION("IFERROR(
  VLOOKUP(
    A90,
    IMPORTRANGE(
      ""1ZHMy3vVUd_0MrSduXTe1etBb1HNpAlGwQr006ljwMiM"",
      ""GSC最新!A:F""
    ),
    2,
    FALSE
  ),
  0
)
"),1.0)</f>
        <v>1</v>
      </c>
      <c r="G90" s="49">
        <f>IFERROR(__xludf.DUMMYFUNCTION("IFERROR(
  VLOOKUP(
    A90,
    IMPORTRANGE(
      ""1ZHMy3vVUd_0MrSduXTe1etBb1HNpAlGwQr006ljwMiM"",
      ""GSC最新!A:F""
    ),
    3,
    FALSE
  ),
  0
)
"),1.0)</f>
        <v>1</v>
      </c>
      <c r="H90" s="49">
        <f>IFERROR(__xludf.DUMMYFUNCTION("IFERROR(
  VLOOKUP(
    A90,
    IMPORTRANGE(
      ""1ZHMy3vVUd_0MrSduXTe1etBb1HNpAlGwQr006ljwMiM"",
      ""GSC最新!A:F""
    ),
    4,
    FALSE
  ),
  0
)
"),0.0)</f>
        <v>0</v>
      </c>
      <c r="I90" s="49">
        <f>IFERROR(__xludf.DUMMYFUNCTION("IFERROR(
  VLOOKUP(
    A90,
    IMPORTRANGE(
      ""1ZHMy3vVUd_0MrSduXTe1etBb1HNpAlGwQr006ljwMiM"",
      ""GSC最新!A:F""
    ),
    5,
    FALSE
  ),
  0
)
"),0.0)</f>
        <v>0</v>
      </c>
      <c r="J90" s="50" t="str">
        <f t="shared" ref="J90:K90" si="441">IFERROR(F90/H90,"-")</f>
        <v>-</v>
      </c>
      <c r="K90" s="50" t="str">
        <f t="shared" si="441"/>
        <v>-</v>
      </c>
      <c r="L90" s="6">
        <f>IFERROR(__xludf.DUMMYFUNCTION("IFERROR(
  VLOOKUP(
    A90,
    IMPORTRANGE(
      ""1ZHMy3vVUd_0MrSduXTe1etBb1HNpAlGwQr006ljwMiM"",
      ""GSC最新!A:R""
    ),
    7,
    FALSE
  ),
  0
)
"),46.0)</f>
        <v>46</v>
      </c>
      <c r="M90" s="6">
        <f>IFERROR(__xludf.DUMMYFUNCTION("IFERROR(
  VLOOKUP(
    A90,
    IMPORTRANGE(
      ""1ZHMy3vVUd_0MrSduXTe1etBb1HNpAlGwQr006ljwMiM"",
      ""GSC最新!A:R""
    ),
    10,
    FALSE
  ),
  0
)
"),128.0)</f>
        <v>128</v>
      </c>
      <c r="N90" s="6">
        <f>IFERROR(__xludf.DUMMYFUNCTION("IFERROR(
  VLOOKUP(
    A90,
    IMPORTRANGE(
      ""1ZHMy3vVUd_0MrSduXTe1etBb1HNpAlGwQr006ljwMiM"",
      ""GSC最新!A:R""
    ),
    13,
    FALSE
  ),
  0
)
"),0.0)</f>
        <v>0</v>
      </c>
      <c r="O90" s="6">
        <f>IFERROR(__xludf.DUMMYFUNCTION("IFERROR(
  VLOOKUP(
    A90,
    IMPORTRANGE(
      ""1ZHMy3vVUd_0MrSduXTe1etBb1HNpAlGwQr006ljwMiM"",
      ""GSC最新!A:R""
    ),
    16,
    FALSE
  ),
  0
)
"),20.0)</f>
        <v>20</v>
      </c>
      <c r="P90" s="51" t="str">
        <f t="shared" ref="P90:Q90" si="442">IFERROR(L90/N90,"-")</f>
        <v>-</v>
      </c>
      <c r="Q90" s="51">
        <f t="shared" si="442"/>
        <v>6.4</v>
      </c>
      <c r="R90" s="9">
        <f>IFERROR(__xludf.DUMMYFUNCTION("IFERROR(
  VLOOKUP(
    A90,
    IMPORTRANGE(
      ""1ZHMy3vVUd_0MrSduXTe1etBb1HNpAlGwQr006ljwMiM"",
      ""GSC最新!A:R""
    ),
    8,
    FALSE
  ),
  0
)
"),0.021739130434782608)</f>
        <v>0.02173913043</v>
      </c>
      <c r="S90" s="9">
        <f>IFERROR(__xludf.DUMMYFUNCTION("IFERROR(
  VLOOKUP(
    A90,
    IMPORTRANGE(
      ""1ZHMy3vVUd_0MrSduXTe1etBb1HNpAlGwQr006ljwMiM"",
      ""GSC最新!A:R""
    ),
    11,
    FALSE
  ),
  0
)
"),0.0078125)</f>
        <v>0.0078125</v>
      </c>
      <c r="T90" s="9">
        <f>IFERROR(__xludf.DUMMYFUNCTION("IFERROR(
  VLOOKUP(
    A90,
    IMPORTRANGE(
      ""1ZHMy3vVUd_0MrSduXTe1etBb1HNpAlGwQr006ljwMiM"",
      ""GSC最新!A:R""
    ),
    14,
    FALSE
  ),
  0
)
"),0.0)</f>
        <v>0</v>
      </c>
      <c r="U90" s="9">
        <f>IFERROR(__xludf.DUMMYFUNCTION("IFERROR(
  VLOOKUP(
    A90,
    IMPORTRANGE(
      ""1ZHMy3vVUd_0MrSduXTe1etBb1HNpAlGwQr006ljwMiM"",
      ""GSC最新!A:R""
    ),
    17,
    FALSE
  ),
  0
)
"),0.0)</f>
        <v>0</v>
      </c>
      <c r="V90" s="9">
        <f t="shared" ref="V90:W90" si="443">IFERROR(R90-T90,"-")</f>
        <v>0.02173913043</v>
      </c>
      <c r="W90" s="9">
        <f t="shared" si="443"/>
        <v>0.0078125</v>
      </c>
      <c r="X90" s="65">
        <f>IFERROR(__xludf.DUMMYFUNCTION("IFERROR(
  VLOOKUP(
    A90,
    IMPORTRANGE(
      ""1ZHMy3vVUd_0MrSduXTe1etBb1HNpAlGwQr006ljwMiM"",
      ""GSC最新!A:R""
    ),
    9,
    FALSE
  ),
  0
)
"),9.695652173913043)</f>
        <v>9.695652174</v>
      </c>
      <c r="Y90" s="65">
        <f>IFERROR(__xludf.DUMMYFUNCTION("IFERROR(
  VLOOKUP(
    A90,
    IMPORTRANGE(
      ""1ZHMy3vVUd_0MrSduXTe1etBb1HNpAlGwQr006ljwMiM"",
      ""GSC最新!A:R""
    ),
    12,
    FALSE
  ),
  0
)
"),9.5625)</f>
        <v>9.5625</v>
      </c>
      <c r="Z90" s="65" t="str">
        <f>IFERROR(__xludf.DUMMYFUNCTION("IFERROR(
  VLOOKUP(
    A90,
    IMPORTRANGE(
      ""1ZHMy3vVUd_0MrSduXTe1etBb1HNpAlGwQr006ljwMiM"",
      ""GSC最新!A:R""
    ),
    15,
    FALSE
  ),
  0
)
"),"")</f>
        <v/>
      </c>
      <c r="AA90" s="65">
        <f>IFERROR(__xludf.DUMMYFUNCTION("IFERROR(
  VLOOKUP(
    A90,
    IMPORTRANGE(
      ""1ZHMy3vVUd_0MrSduXTe1etBb1HNpAlGwQr006ljwMiM"",
      ""GSC最新!A:R""
    ),
    18,
    FALSE
  ),
  0
)
"),13.0)</f>
        <v>13</v>
      </c>
      <c r="AB90" s="65">
        <f t="shared" ref="AB90:AC90" si="444">X90-Z90</f>
        <v>9.695652174</v>
      </c>
      <c r="AC90" s="65">
        <f t="shared" si="444"/>
        <v>-3.4375</v>
      </c>
      <c r="AD90" s="53">
        <f>IFERROR(__xludf.DUMMYFUNCTION("IFERROR(
  VLOOKUP(
    A90,
    IMPORTRANGE(
      ""1ZHMy3vVUd_0MrSduXTe1etBb1HNpAlGwQr006ljwMiM"",
      ""GSC最新!A:F""
    ),
    6,
    FALSE
  ),
  0
)
"),46081.0)</f>
        <v>46081</v>
      </c>
      <c r="AE90" s="54">
        <f>IFERROR(__xludf.DUMMYFUNCTION("IFERROR(
  VLOOKUP(
    A90,
    IMPORTRANGE(
      ""1SCYQd7_cobOYqT0r_F0IqD4tE4rYn5y8Eup4PJTH8es"",
      ""Snapshot!A:M""
    ),
    5,
    FALSE
  ),
  ""-""
)
"),4.0)</f>
        <v>4</v>
      </c>
      <c r="AF90" s="54">
        <f>IFERROR(__xludf.DUMMYFUNCTION("IFERROR(
  VLOOKUP(
    A90,
    IMPORTRANGE(
      ""1SCYQd7_cobOYqT0r_F0IqD4tE4rYn5y8Eup4PJTH8es"",
      ""Snapshot!A:M""
    ),
    6,
    FALSE
  ),
  0
)
"),3.0)</f>
        <v>3</v>
      </c>
      <c r="AG90" s="54">
        <f>IFERROR(__xludf.DUMMYFUNCTION("IFERROR(
  VLOOKUP(
    A90,
    IMPORTRANGE(
      ""1SCYQd7_cobOYqT0r_F0IqD4tE4rYn5y8Eup4PJTH8es"",
      ""Snapshot!A:M""
    ),
    7,
    FALSE
  ),
  0
)
"),2323.0)</f>
        <v>2323</v>
      </c>
      <c r="AH90" s="54">
        <f>IFERROR(__xludf.DUMMYFUNCTION("IFERROR(
  VLOOKUP(
    A90,
    IMPORTRANGE(
      ""1SCYQd7_cobOYqT0r_F0IqD4tE4rYn5y8Eup4PJTH8es"",
      ""Snapshot!A:M""
    ),
    8,
    FALSE
  ),
  0
)
"),1.0)</f>
        <v>1</v>
      </c>
      <c r="AI90" s="54">
        <f>IFERROR(__xludf.DUMMYFUNCTION("IFERROR(
  VLOOKUP(
    A90,
    IMPORTRANGE(
      ""1SCYQd7_cobOYqT0r_F0IqD4tE4rYn5y8Eup4PJTH8es"",
      ""Snapshot!A:M""
    ),
    9,
    FALSE
  ),
  0
)
"),4.0)</f>
        <v>4</v>
      </c>
      <c r="AJ90" s="54">
        <f>IFERROR(__xludf.DUMMYFUNCTION("IFERROR(
  VLOOKUP(
    A90,
    IMPORTRANGE(
      ""1SCYQd7_cobOYqT0r_F0IqD4tE4rYn5y8Eup4PJTH8es"",
      ""Snapshot!A:M""
    ),
    13,
    FALSE
  ),
  0
)
"),1.0)</f>
        <v>1</v>
      </c>
      <c r="AK90" s="49">
        <f t="shared" ref="AK90:AL90" si="445">LEN(C90)</f>
        <v>30</v>
      </c>
      <c r="AL90" s="49">
        <f t="shared" si="445"/>
        <v>91</v>
      </c>
    </row>
    <row r="91">
      <c r="A91" s="3" t="s">
        <v>1177</v>
      </c>
      <c r="B91" s="1" t="str">
        <f>IFERROR(__xludf.DUMMYFUNCTION("IFERROR(
  VLOOKUP(
    A91,
    IMPORTRANGE(
      ""1ZygntHC1J6IxzKbTidmOyf5nUyW4GCLurHCjexrLm_o"",
      ""HTMLキャッシュ!A:F""
    ),
    2,
    FALSE
  ),
  0
)
"),"MC")</f>
        <v>MC</v>
      </c>
      <c r="C91" s="1" t="str">
        <f>IFERROR(__xludf.DUMMYFUNCTION("IFERROR(
  VLOOKUP(
    A91,
    IMPORTRANGE(
      ""1ZygntHC1J6IxzKbTidmOyf5nUyW4GCLurHCjexrLm_o"",
      ""HTMLキャッシュ!A:F""
    ),
    5,
    FALSE
  ),
  0
)
"),"英語文法｜現在完了（完了と結果）の用法を例で完全整理")</f>
        <v>英語文法｜現在完了（完了と結果）の用法を例で完全整理</v>
      </c>
      <c r="D91" s="1" t="str">
        <f>IFERROR(__xludf.DUMMYFUNCTION("IFERROR(
  VLOOKUP(
    A91,
    IMPORTRANGE(
      ""1ZygntHC1J6IxzKbTidmOyf5nUyW4GCLurHCjexrLm_o        "",
      ""HTMLキャッシュ!A:F""
    ),
    6,
    FALSE
  ),
  0
)
"),"現在完了の結果用法を例文で整理。過去形との違い、yet/alreadyの位置、否定文・疑問文の型まで中2向けに確認。")</f>
        <v>現在完了の結果用法を例文で整理。過去形との違い、yet/alreadyの位置、否定文・疑問文の型まで中2向けに確認。</v>
      </c>
      <c r="E91" s="32">
        <f>IFERROR(__xludf.DUMMYFUNCTION("IFERROR(
  VLOOKUP(
    A91,
    IMPORTRANGE(
      ""1ZygntHC1J6IxzKbTidmOyf5nUyW4GCLurHCjexrLm_o        "",
      ""HTMLキャッシュ!A:F""
    ),
    3,
    FALSE
  ),
  0
)
"),46074.54837962963)</f>
        <v>46074.54838</v>
      </c>
      <c r="F91" s="49">
        <f>IFERROR(__xludf.DUMMYFUNCTION("IFERROR(
  VLOOKUP(
    A91,
    IMPORTRANGE(
      ""1ZHMy3vVUd_0MrSduXTe1etBb1HNpAlGwQr006ljwMiM"",
      ""GSC最新!A:F""
    ),
    2,
    FALSE
  ),
  0
)
"),0.0)</f>
        <v>0</v>
      </c>
      <c r="G91" s="49">
        <f>IFERROR(__xludf.DUMMYFUNCTION("IFERROR(
  VLOOKUP(
    A91,
    IMPORTRANGE(
      ""1ZHMy3vVUd_0MrSduXTe1etBb1HNpAlGwQr006ljwMiM"",
      ""GSC最新!A:F""
    ),
    3,
    FALSE
  ),
  0
)
"),1.0)</f>
        <v>1</v>
      </c>
      <c r="H91" s="49">
        <f>IFERROR(__xludf.DUMMYFUNCTION("IFERROR(
  VLOOKUP(
    A91,
    IMPORTRANGE(
      ""1ZHMy3vVUd_0MrSduXTe1etBb1HNpAlGwQr006ljwMiM"",
      ""GSC最新!A:F""
    ),
    4,
    FALSE
  ),
  0
)
"),1.0)</f>
        <v>1</v>
      </c>
      <c r="I91" s="49">
        <f>IFERROR(__xludf.DUMMYFUNCTION("IFERROR(
  VLOOKUP(
    A91,
    IMPORTRANGE(
      ""1ZHMy3vVUd_0MrSduXTe1etBb1HNpAlGwQr006ljwMiM"",
      ""GSC最新!A:F""
    ),
    5,
    FALSE
  ),
  0
)
"),1.0)</f>
        <v>1</v>
      </c>
      <c r="J91" s="50">
        <f t="shared" ref="J91:K91" si="446">IFERROR(F91/H91,"-")</f>
        <v>0</v>
      </c>
      <c r="K91" s="50">
        <f t="shared" si="446"/>
        <v>1</v>
      </c>
      <c r="L91" s="6">
        <f>IFERROR(__xludf.DUMMYFUNCTION("IFERROR(
  VLOOKUP(
    A91,
    IMPORTRANGE(
      ""1ZHMy3vVUd_0MrSduXTe1etBb1HNpAlGwQr006ljwMiM"",
      ""GSC最新!A:R""
    ),
    7,
    FALSE
  ),
  0
)
"),26.0)</f>
        <v>26</v>
      </c>
      <c r="M91" s="6">
        <f>IFERROR(__xludf.DUMMYFUNCTION("IFERROR(
  VLOOKUP(
    A91,
    IMPORTRANGE(
      ""1ZHMy3vVUd_0MrSduXTe1etBb1HNpAlGwQr006ljwMiM"",
      ""GSC最新!A:R""
    ),
    10,
    FALSE
  ),
  0
)
"),94.0)</f>
        <v>94</v>
      </c>
      <c r="N91" s="6">
        <f>IFERROR(__xludf.DUMMYFUNCTION("IFERROR(
  VLOOKUP(
    A91,
    IMPORTRANGE(
      ""1ZHMy3vVUd_0MrSduXTe1etBb1HNpAlGwQr006ljwMiM"",
      ""GSC最新!A:R""
    ),
    13,
    FALSE
  ),
  0
)
"),2.0)</f>
        <v>2</v>
      </c>
      <c r="O91" s="6">
        <f>IFERROR(__xludf.DUMMYFUNCTION("IFERROR(
  VLOOKUP(
    A91,
    IMPORTRANGE(
      ""1ZHMy3vVUd_0MrSduXTe1etBb1HNpAlGwQr006ljwMiM"",
      ""GSC最新!A:R""
    ),
    16,
    FALSE
  ),
  0
)
"),11.0)</f>
        <v>11</v>
      </c>
      <c r="P91" s="51">
        <f t="shared" ref="P91:Q91" si="447">IFERROR(L91/N91,"-")</f>
        <v>13</v>
      </c>
      <c r="Q91" s="51">
        <f t="shared" si="447"/>
        <v>8.545454545</v>
      </c>
      <c r="R91" s="9">
        <f>IFERROR(__xludf.DUMMYFUNCTION("IFERROR(
  VLOOKUP(
    A91,
    IMPORTRANGE(
      ""1ZHMy3vVUd_0MrSduXTe1etBb1HNpAlGwQr006ljwMiM"",
      ""GSC最新!A:R""
    ),
    8,
    FALSE
  ),
  0
)
"),0.0)</f>
        <v>0</v>
      </c>
      <c r="S91" s="9">
        <f>IFERROR(__xludf.DUMMYFUNCTION("IFERROR(
  VLOOKUP(
    A91,
    IMPORTRANGE(
      ""1ZHMy3vVUd_0MrSduXTe1etBb1HNpAlGwQr006ljwMiM"",
      ""GSC最新!A:R""
    ),
    11,
    FALSE
  ),
  0
)
"),0.010638297872340425)</f>
        <v>0.01063829787</v>
      </c>
      <c r="T91" s="9">
        <f>IFERROR(__xludf.DUMMYFUNCTION("IFERROR(
  VLOOKUP(
    A91,
    IMPORTRANGE(
      ""1ZHMy3vVUd_0MrSduXTe1etBb1HNpAlGwQr006ljwMiM"",
      ""GSC最新!A:R""
    ),
    14,
    FALSE
  ),
  0
)
"),0.5)</f>
        <v>0.5</v>
      </c>
      <c r="U91" s="9">
        <f>IFERROR(__xludf.DUMMYFUNCTION("IFERROR(
  VLOOKUP(
    A91,
    IMPORTRANGE(
      ""1ZHMy3vVUd_0MrSduXTe1etBb1HNpAlGwQr006ljwMiM"",
      ""GSC最新!A:R""
    ),
    17,
    FALSE
  ),
  0
)
"),0.09090909090909091)</f>
        <v>0.09090909091</v>
      </c>
      <c r="V91" s="9">
        <f t="shared" ref="V91:W91" si="448">IFERROR(R91-T91,"-")</f>
        <v>-0.5</v>
      </c>
      <c r="W91" s="9">
        <f t="shared" si="448"/>
        <v>-0.08027079304</v>
      </c>
      <c r="X91" s="65">
        <f>IFERROR(__xludf.DUMMYFUNCTION("IFERROR(
  VLOOKUP(
    A91,
    IMPORTRANGE(
      ""1ZHMy3vVUd_0MrSduXTe1etBb1HNpAlGwQr006ljwMiM"",
      ""GSC最新!A:R""
    ),
    9,
    FALSE
  ),
  0
)
"),9.307692307692308)</f>
        <v>9.307692308</v>
      </c>
      <c r="Y91" s="65">
        <f>IFERROR(__xludf.DUMMYFUNCTION("IFERROR(
  VLOOKUP(
    A91,
    IMPORTRANGE(
      ""1ZHMy3vVUd_0MrSduXTe1etBb1HNpAlGwQr006ljwMiM"",
      ""GSC最新!A:R""
    ),
    12,
    FALSE
  ),
  0
)
"),8.46808510638298)</f>
        <v>8.468085106</v>
      </c>
      <c r="Z91" s="65">
        <f>IFERROR(__xludf.DUMMYFUNCTION("IFERROR(
  VLOOKUP(
    A91,
    IMPORTRANGE(
      ""1ZHMy3vVUd_0MrSduXTe1etBb1HNpAlGwQr006ljwMiM"",
      ""GSC最新!A:R""
    ),
    15,
    FALSE
  ),
  0
)
"),8.0)</f>
        <v>8</v>
      </c>
      <c r="AA91" s="65">
        <f>IFERROR(__xludf.DUMMYFUNCTION("IFERROR(
  VLOOKUP(
    A91,
    IMPORTRANGE(
      ""1ZHMy3vVUd_0MrSduXTe1etBb1HNpAlGwQr006ljwMiM"",
      ""GSC最新!A:R""
    ),
    18,
    FALSE
  ),
  0
)
"),7.909090909090909)</f>
        <v>7.909090909</v>
      </c>
      <c r="AB91" s="65">
        <f t="shared" ref="AB91:AC91" si="449">X91-Z91</f>
        <v>1.307692308</v>
      </c>
      <c r="AC91" s="65">
        <f t="shared" si="449"/>
        <v>0.5589941973</v>
      </c>
      <c r="AD91" s="53">
        <f>IFERROR(__xludf.DUMMYFUNCTION("IFERROR(
  VLOOKUP(
    A91,
    IMPORTRANGE(
      ""1ZHMy3vVUd_0MrSduXTe1etBb1HNpAlGwQr006ljwMiM"",
      ""GSC最新!A:F""
    ),
    6,
    FALSE
  ),
  0
)
"),46081.0)</f>
        <v>46081</v>
      </c>
      <c r="AE91" s="54">
        <f>IFERROR(__xludf.DUMMYFUNCTION("IFERROR(
  VLOOKUP(
    A91,
    IMPORTRANGE(
      ""1SCYQd7_cobOYqT0r_F0IqD4tE4rYn5y8Eup4PJTH8es"",
      ""Snapshot!A:M""
    ),
    5,
    FALSE
  ),
  ""-""
)
"),0.0)</f>
        <v>0</v>
      </c>
      <c r="AF91" s="54">
        <f>IFERROR(__xludf.DUMMYFUNCTION("IFERROR(
  VLOOKUP(
    A91,
    IMPORTRANGE(
      ""1SCYQd7_cobOYqT0r_F0IqD4tE4rYn5y8Eup4PJTH8es"",
      ""Snapshot!A:M""
    ),
    6,
    FALSE
  ),
  0
)
"),5.0)</f>
        <v>5</v>
      </c>
      <c r="AG91" s="54">
        <f>IFERROR(__xludf.DUMMYFUNCTION("IFERROR(
  VLOOKUP(
    A91,
    IMPORTRANGE(
      ""1SCYQd7_cobOYqT0r_F0IqD4tE4rYn5y8Eup4PJTH8es"",
      ""Snapshot!A:M""
    ),
    7,
    FALSE
  ),
  0
)
"),1526.0)</f>
        <v>1526</v>
      </c>
      <c r="AH91" s="54">
        <f>IFERROR(__xludf.DUMMYFUNCTION("IFERROR(
  VLOOKUP(
    A91,
    IMPORTRANGE(
      ""1SCYQd7_cobOYqT0r_F0IqD4tE4rYn5y8Eup4PJTH8es"",
      ""Snapshot!A:M""
    ),
    8,
    FALSE
  ),
  0
)
"),1.0)</f>
        <v>1</v>
      </c>
      <c r="AI91" s="54">
        <f>IFERROR(__xludf.DUMMYFUNCTION("IFERROR(
  VLOOKUP(
    A91,
    IMPORTRANGE(
      ""1SCYQd7_cobOYqT0r_F0IqD4tE4rYn5y8Eup4PJTH8es"",
      ""Snapshot!A:M""
    ),
    9,
    FALSE
  ),
  0
)
"),4.0)</f>
        <v>4</v>
      </c>
      <c r="AJ91" s="54">
        <f>IFERROR(__xludf.DUMMYFUNCTION("IFERROR(
  VLOOKUP(
    A91,
    IMPORTRANGE(
      ""1SCYQd7_cobOYqT0r_F0IqD4tE4rYn5y8Eup4PJTH8es"",
      ""Snapshot!A:M""
    ),
    13,
    FALSE
  ),
  0
)
"),1.0)</f>
        <v>1</v>
      </c>
      <c r="AK91" s="49">
        <f t="shared" ref="AK91:AL91" si="450">LEN(C91)</f>
        <v>26</v>
      </c>
      <c r="AL91" s="49">
        <f t="shared" si="450"/>
        <v>58</v>
      </c>
    </row>
    <row r="92">
      <c r="A92" s="3" t="s">
        <v>1178</v>
      </c>
      <c r="B92" s="1" t="str">
        <f>IFERROR(__xludf.DUMMYFUNCTION("IFERROR(
  VLOOKUP(
    A92,
    IMPORTRANGE(
      ""1ZygntHC1J6IxzKbTidmOyf5nUyW4GCLurHCjexrLm_o"",
      ""HTMLキャッシュ!A:F""
    ),
    2,
    FALSE
  ),
  0
)
"),"MC")</f>
        <v>MC</v>
      </c>
      <c r="C92" s="1" t="str">
        <f>IFERROR(__xludf.DUMMYFUNCTION("IFERROR(
  VLOOKUP(
    A92,
    IMPORTRANGE(
      ""1ZygntHC1J6IxzKbTidmOyf5nUyW4GCLurHCjexrLm_o"",
      ""HTMLキャッシュ!A:F""
    ),
    5,
    FALSE
  ),
  0
)
"),"be surprised at～【Book2 Lesson10 Scene1】 - 新宿区四谷の英語専門塾「英語教室『サポート』」～英語は別に怖くない！～")</f>
        <v>be surprised at～【Book2 Lesson10 Scene1】 - 新宿区四谷の英語専門塾「英語教室『サポート』」～英語は別に怖くない！～</v>
      </c>
      <c r="D92" s="1" t="str">
        <f>IFERROR(__xludf.DUMMYFUNCTION("IFERROR(
  VLOOKUP(
    A92,
    IMPORTRANGE(
      ""1ZygntHC1J6IxzKbTidmOyf5nUyW4GCLurHCjexrLm_o        "",
      ""HTMLキャッシュ!A:F""
    ),
    6,
    FALSE
  ),
  0
)
"),"Lesson10-1では、英語における受動態の構造について解説します。&amp;quot;be surprised at&amp;quot;を例に")</f>
        <v>Lesson10-1では、英語における受動態の構造について解説します。&amp;quot;be surprised at&amp;quot;を例に</v>
      </c>
      <c r="E92" s="32">
        <f>IFERROR(__xludf.DUMMYFUNCTION("IFERROR(
  VLOOKUP(
    A92,
    IMPORTRANGE(
      ""1ZygntHC1J6IxzKbTidmOyf5nUyW4GCLurHCjexrLm_o        "",
      ""HTMLキャッシュ!A:F""
    ),
    3,
    FALSE
  ),
  0
)
"),46043.745416666665)</f>
        <v>46043.74542</v>
      </c>
      <c r="F92" s="49">
        <f>IFERROR(__xludf.DUMMYFUNCTION("IFERROR(
  VLOOKUP(
    A92,
    IMPORTRANGE(
      ""1ZHMy3vVUd_0MrSduXTe1etBb1HNpAlGwQr006ljwMiM"",
      ""GSC最新!A:F""
    ),
    2,
    FALSE
  ),
  0
)
"),1.0)</f>
        <v>1</v>
      </c>
      <c r="G92" s="49">
        <f>IFERROR(__xludf.DUMMYFUNCTION("IFERROR(
  VLOOKUP(
    A92,
    IMPORTRANGE(
      ""1ZHMy3vVUd_0MrSduXTe1etBb1HNpAlGwQr006ljwMiM"",
      ""GSC最新!A:F""
    ),
    3,
    FALSE
  ),
  0
)
"),1.0)</f>
        <v>1</v>
      </c>
      <c r="H92" s="49">
        <f>IFERROR(__xludf.DUMMYFUNCTION("IFERROR(
  VLOOKUP(
    A92,
    IMPORTRANGE(
      ""1ZHMy3vVUd_0MrSduXTe1etBb1HNpAlGwQr006ljwMiM"",
      ""GSC最新!A:F""
    ),
    4,
    FALSE
  ),
  0
)
"),4.0)</f>
        <v>4</v>
      </c>
      <c r="I92" s="49">
        <f>IFERROR(__xludf.DUMMYFUNCTION("IFERROR(
  VLOOKUP(
    A92,
    IMPORTRANGE(
      ""1ZHMy3vVUd_0MrSduXTe1etBb1HNpAlGwQr006ljwMiM"",
      ""GSC最新!A:F""
    ),
    5,
    FALSE
  ),
  0
)
"),7.0)</f>
        <v>7</v>
      </c>
      <c r="J92" s="50">
        <f t="shared" ref="J92:K92" si="451">IFERROR(F92/H92,"-")</f>
        <v>0.25</v>
      </c>
      <c r="K92" s="50">
        <f t="shared" si="451"/>
        <v>0.1428571429</v>
      </c>
      <c r="L92" s="6">
        <f>IFERROR(__xludf.DUMMYFUNCTION("IFERROR(
  VLOOKUP(
    A92,
    IMPORTRANGE(
      ""1ZHMy3vVUd_0MrSduXTe1etBb1HNpAlGwQr006ljwMiM"",
      ""GSC最新!A:R""
    ),
    7,
    FALSE
  ),
  0
)
"),52.0)</f>
        <v>52</v>
      </c>
      <c r="M92" s="6">
        <f>IFERROR(__xludf.DUMMYFUNCTION("IFERROR(
  VLOOKUP(
    A92,
    IMPORTRANGE(
      ""1ZHMy3vVUd_0MrSduXTe1etBb1HNpAlGwQr006ljwMiM"",
      ""GSC最新!A:R""
    ),
    10,
    FALSE
  ),
  0
)
"),70.0)</f>
        <v>70</v>
      </c>
      <c r="N92" s="6">
        <f>IFERROR(__xludf.DUMMYFUNCTION("IFERROR(
  VLOOKUP(
    A92,
    IMPORTRANGE(
      ""1ZHMy3vVUd_0MrSduXTe1etBb1HNpAlGwQr006ljwMiM"",
      ""GSC最新!A:R""
    ),
    13,
    FALSE
  ),
  0
)
"),566.0)</f>
        <v>566</v>
      </c>
      <c r="O92" s="6">
        <f>IFERROR(__xludf.DUMMYFUNCTION("IFERROR(
  VLOOKUP(
    A92,
    IMPORTRANGE(
      ""1ZHMy3vVUd_0MrSduXTe1etBb1HNpAlGwQr006ljwMiM"",
      ""GSC最新!A:R""
    ),
    16,
    FALSE
  ),
  0
)
"),905.0)</f>
        <v>905</v>
      </c>
      <c r="P92" s="51">
        <f t="shared" ref="P92:Q92" si="452">IFERROR(L92/N92,"-")</f>
        <v>0.09187279152</v>
      </c>
      <c r="Q92" s="51">
        <f t="shared" si="452"/>
        <v>0.0773480663</v>
      </c>
      <c r="R92" s="9">
        <f>IFERROR(__xludf.DUMMYFUNCTION("IFERROR(
  VLOOKUP(
    A92,
    IMPORTRANGE(
      ""1ZHMy3vVUd_0MrSduXTe1etBb1HNpAlGwQr006ljwMiM"",
      ""GSC最新!A:R""
    ),
    8,
    FALSE
  ),
  0
)
"),0.019230769230769232)</f>
        <v>0.01923076923</v>
      </c>
      <c r="S92" s="9">
        <f>IFERROR(__xludf.DUMMYFUNCTION("IFERROR(
  VLOOKUP(
    A92,
    IMPORTRANGE(
      ""1ZHMy3vVUd_0MrSduXTe1etBb1HNpAlGwQr006ljwMiM"",
      ""GSC最新!A:R""
    ),
    11,
    FALSE
  ),
  0
)
"),0.014285714285714285)</f>
        <v>0.01428571429</v>
      </c>
      <c r="T92" s="9">
        <f>IFERROR(__xludf.DUMMYFUNCTION("IFERROR(
  VLOOKUP(
    A92,
    IMPORTRANGE(
      ""1ZHMy3vVUd_0MrSduXTe1etBb1HNpAlGwQr006ljwMiM"",
      ""GSC最新!A:R""
    ),
    14,
    FALSE
  ),
  0
)
"),0.007067137809187279)</f>
        <v>0.007067137809</v>
      </c>
      <c r="U92" s="9">
        <f>IFERROR(__xludf.DUMMYFUNCTION("IFERROR(
  VLOOKUP(
    A92,
    IMPORTRANGE(
      ""1ZHMy3vVUd_0MrSduXTe1etBb1HNpAlGwQr006ljwMiM"",
      ""GSC最新!A:R""
    ),
    17,
    FALSE
  ),
  0
)
"),0.0077348066298342545)</f>
        <v>0.00773480663</v>
      </c>
      <c r="V92" s="9">
        <f t="shared" ref="V92:W92" si="453">IFERROR(R92-T92,"-")</f>
        <v>0.01216363142</v>
      </c>
      <c r="W92" s="9">
        <f t="shared" si="453"/>
        <v>0.006550907656</v>
      </c>
      <c r="X92" s="65">
        <f>IFERROR(__xludf.DUMMYFUNCTION("IFERROR(
  VLOOKUP(
    A92,
    IMPORTRANGE(
      ""1ZHMy3vVUd_0MrSduXTe1etBb1HNpAlGwQr006ljwMiM"",
      ""GSC最新!A:R""
    ),
    9,
    FALSE
  ),
  0
)
"),6.653846153846154)</f>
        <v>6.653846154</v>
      </c>
      <c r="Y92" s="65">
        <f>IFERROR(__xludf.DUMMYFUNCTION("IFERROR(
  VLOOKUP(
    A92,
    IMPORTRANGE(
      ""1ZHMy3vVUd_0MrSduXTe1etBb1HNpAlGwQr006ljwMiM"",
      ""GSC最新!A:R""
    ),
    12,
    FALSE
  ),
  0
)
"),7.057142857142857)</f>
        <v>7.057142857</v>
      </c>
      <c r="Z92" s="65">
        <f>IFERROR(__xludf.DUMMYFUNCTION("IFERROR(
  VLOOKUP(
    A92,
    IMPORTRANGE(
      ""1ZHMy3vVUd_0MrSduXTe1etBb1HNpAlGwQr006ljwMiM"",
      ""GSC最新!A:R""
    ),
    15,
    FALSE
  ),
  0
)
"),8.991166077738516)</f>
        <v>8.991166078</v>
      </c>
      <c r="AA92" s="65">
        <f>IFERROR(__xludf.DUMMYFUNCTION("IFERROR(
  VLOOKUP(
    A92,
    IMPORTRANGE(
      ""1ZHMy3vVUd_0MrSduXTe1etBb1HNpAlGwQr006ljwMiM"",
      ""GSC最新!A:R""
    ),
    18,
    FALSE
  ),
  0
)
"),9.91049723756906)</f>
        <v>9.910497238</v>
      </c>
      <c r="AB92" s="65">
        <f t="shared" ref="AB92:AC92" si="454">X92-Z92</f>
        <v>-2.337319924</v>
      </c>
      <c r="AC92" s="65">
        <f t="shared" si="454"/>
        <v>-2.85335438</v>
      </c>
      <c r="AD92" s="53">
        <f>IFERROR(__xludf.DUMMYFUNCTION("IFERROR(
  VLOOKUP(
    A92,
    IMPORTRANGE(
      ""1ZHMy3vVUd_0MrSduXTe1etBb1HNpAlGwQr006ljwMiM"",
      ""GSC最新!A:F""
    ),
    6,
    FALSE
  ),
  0
)
"),46081.0)</f>
        <v>46081</v>
      </c>
      <c r="AE92" s="54">
        <f>IFERROR(__xludf.DUMMYFUNCTION("IFERROR(
  VLOOKUP(
    A92,
    IMPORTRANGE(
      ""1SCYQd7_cobOYqT0r_F0IqD4tE4rYn5y8Eup4PJTH8es"",
      ""Snapshot!A:M""
    ),
    5,
    FALSE
  ),
  ""-""
)
"),4.0)</f>
        <v>4</v>
      </c>
      <c r="AF92" s="54">
        <f>IFERROR(__xludf.DUMMYFUNCTION("IFERROR(
  VLOOKUP(
    A92,
    IMPORTRANGE(
      ""1SCYQd7_cobOYqT0r_F0IqD4tE4rYn5y8Eup4PJTH8es"",
      ""Snapshot!A:M""
    ),
    6,
    FALSE
  ),
  0
)
"),7.0)</f>
        <v>7</v>
      </c>
      <c r="AG92" s="54">
        <f>IFERROR(__xludf.DUMMYFUNCTION("IFERROR(
  VLOOKUP(
    A92,
    IMPORTRANGE(
      ""1SCYQd7_cobOYqT0r_F0IqD4tE4rYn5y8Eup4PJTH8es"",
      ""Snapshot!A:M""
    ),
    7,
    FALSE
  ),
  0
)
"),1680.0)</f>
        <v>1680</v>
      </c>
      <c r="AH92" s="54">
        <f>IFERROR(__xludf.DUMMYFUNCTION("IFERROR(
  VLOOKUP(
    A92,
    IMPORTRANGE(
      ""1SCYQd7_cobOYqT0r_F0IqD4tE4rYn5y8Eup4PJTH8es"",
      ""Snapshot!A:M""
    ),
    8,
    FALSE
  ),
  0
)
"),1.0)</f>
        <v>1</v>
      </c>
      <c r="AI92" s="54">
        <f>IFERROR(__xludf.DUMMYFUNCTION("IFERROR(
  VLOOKUP(
    A92,
    IMPORTRANGE(
      ""1SCYQd7_cobOYqT0r_F0IqD4tE4rYn5y8Eup4PJTH8es"",
      ""Snapshot!A:M""
    ),
    9,
    FALSE
  ),
  0
)
"),4.0)</f>
        <v>4</v>
      </c>
      <c r="AJ92" s="54">
        <f>IFERROR(__xludf.DUMMYFUNCTION("IFERROR(
  VLOOKUP(
    A92,
    IMPORTRANGE(
      ""1SCYQd7_cobOYqT0r_F0IqD4tE4rYn5y8Eup4PJTH8es"",
      ""Snapshot!A:M""
    ),
    13,
    FALSE
  ),
  0
)
"),1.0)</f>
        <v>1</v>
      </c>
      <c r="AK92" s="49">
        <f t="shared" ref="AK92:AL92" si="455">LEN(C92)</f>
        <v>77</v>
      </c>
      <c r="AL92" s="49">
        <f t="shared" si="455"/>
        <v>65</v>
      </c>
    </row>
    <row r="93">
      <c r="A93" s="1" t="s">
        <v>1179</v>
      </c>
      <c r="B93" s="1" t="str">
        <f>IFERROR(__xludf.DUMMYFUNCTION("IFERROR(
  VLOOKUP(
    A93,
    IMPORTRANGE(
      ""1ZygntHC1J6IxzKbTidmOyf5nUyW4GCLurHCjexrLm_o"",
      ""HTMLキャッシュ!A:F""
    ),
    2,
    FALSE
  ),
  0
)
"),"NW")</f>
        <v>NW</v>
      </c>
      <c r="C93" s="1" t="str">
        <f>IFERROR(__xludf.DUMMYFUNCTION("IFERROR(
  VLOOKUP(
    A93,
    IMPORTRANGE(
      ""1ZygntHC1J6IxzKbTidmOyf5nUyW4GCLurHCjexrLm_o"",
      ""HTMLキャッシュ!A:F""
    ),
    5,
    FALSE
  ),
  0
)
"),"2024年度春期講習開催のお知らせ - 新宿区四谷の英語専門塾「英語教室『サポート』」～英語は別に怖くない！～")</f>
        <v>2024年度春期講習開催のお知らせ - 新宿区四谷の英語専門塾「英語教室『サポート』」～英語は別に怖くない！～</v>
      </c>
      <c r="D93" s="1" t="str">
        <f>IFERROR(__xludf.DUMMYFUNCTION("IFERROR(
  VLOOKUP(
    A93,
    IMPORTRANGE(
      ""1ZygntHC1J6IxzKbTidmOyf5nUyW4GCLurHCjexrLm_o        "",
      ""HTMLキャッシュ!A:F""
    ),
    6,
    FALSE
  ),
  0
)
"),"以下が2024年度版の春期講習会案内文です。 春休みは、短いながらも日頃の積み残しを消化するのに最適なタイミン")</f>
        <v>以下が2024年度版の春期講習会案内文です。 春休みは、短いながらも日頃の積み残しを消化するのに最適なタイミン</v>
      </c>
      <c r="E93" s="32">
        <f>IFERROR(__xludf.DUMMYFUNCTION("IFERROR(
  VLOOKUP(
    A93,
    IMPORTRANGE(
      ""1ZygntHC1J6IxzKbTidmOyf5nUyW4GCLurHCjexrLm_o        "",
      ""HTMLキャッシュ!A:F""
    ),
    3,
    FALSE
  ),
  0
)
"),46015.73210648148)</f>
        <v>46015.73211</v>
      </c>
      <c r="F93" s="49">
        <f>IFERROR(__xludf.DUMMYFUNCTION("IFERROR(
  VLOOKUP(
    A93,
    IMPORTRANGE(
      ""1ZHMy3vVUd_0MrSduXTe1etBb1HNpAlGwQr006ljwMiM"",
      ""GSC最新!A:F""
    ),
    2,
    FALSE
  ),
  0
)
"),1.0)</f>
        <v>1</v>
      </c>
      <c r="G93" s="49">
        <f>IFERROR(__xludf.DUMMYFUNCTION("IFERROR(
  VLOOKUP(
    A93,
    IMPORTRANGE(
      ""1ZHMy3vVUd_0MrSduXTe1etBb1HNpAlGwQr006ljwMiM"",
      ""GSC最新!A:F""
    ),
    3,
    FALSE
  ),
  0
)
"),1.0)</f>
        <v>1</v>
      </c>
      <c r="H93" s="49">
        <f>IFERROR(__xludf.DUMMYFUNCTION("IFERROR(
  VLOOKUP(
    A93,
    IMPORTRANGE(
      ""1ZHMy3vVUd_0MrSduXTe1etBb1HNpAlGwQr006ljwMiM"",
      ""GSC最新!A:F""
    ),
    4,
    FALSE
  ),
  0
)
"),2.0)</f>
        <v>2</v>
      </c>
      <c r="I93" s="49">
        <f>IFERROR(__xludf.DUMMYFUNCTION("IFERROR(
  VLOOKUP(
    A93,
    IMPORTRANGE(
      ""1ZHMy3vVUd_0MrSduXTe1etBb1HNpAlGwQr006ljwMiM"",
      ""GSC最新!A:F""
    ),
    5,
    FALSE
  ),
  0
)
"),3.0)</f>
        <v>3</v>
      </c>
      <c r="J93" s="50">
        <f t="shared" ref="J93:K93" si="456">IFERROR(F93/H93,"-")</f>
        <v>0.5</v>
      </c>
      <c r="K93" s="50">
        <f t="shared" si="456"/>
        <v>0.3333333333</v>
      </c>
      <c r="L93" s="6">
        <f>IFERROR(__xludf.DUMMYFUNCTION("IFERROR(
  VLOOKUP(
    A93,
    IMPORTRANGE(
      ""1ZHMy3vVUd_0MrSduXTe1etBb1HNpAlGwQr006ljwMiM"",
      ""GSC最新!A:R""
    ),
    7,
    FALSE
  ),
  0
)
"),3.0)</f>
        <v>3</v>
      </c>
      <c r="M93" s="6">
        <f>IFERROR(__xludf.DUMMYFUNCTION("IFERROR(
  VLOOKUP(
    A93,
    IMPORTRANGE(
      ""1ZHMy3vVUd_0MrSduXTe1etBb1HNpAlGwQr006ljwMiM"",
      ""GSC最新!A:R""
    ),
    10,
    FALSE
  ),
  0
)
"),13.0)</f>
        <v>13</v>
      </c>
      <c r="N93" s="6">
        <f>IFERROR(__xludf.DUMMYFUNCTION("IFERROR(
  VLOOKUP(
    A93,
    IMPORTRANGE(
      ""1ZHMy3vVUd_0MrSduXTe1etBb1HNpAlGwQr006ljwMiM"",
      ""GSC最新!A:R""
    ),
    13,
    FALSE
  ),
  0
)
"),79.0)</f>
        <v>79</v>
      </c>
      <c r="O93" s="6">
        <f>IFERROR(__xludf.DUMMYFUNCTION("IFERROR(
  VLOOKUP(
    A93,
    IMPORTRANGE(
      ""1ZHMy3vVUd_0MrSduXTe1etBb1HNpAlGwQr006ljwMiM"",
      ""GSC最新!A:R""
    ),
    16,
    FALSE
  ),
  0
)
"),115.0)</f>
        <v>115</v>
      </c>
      <c r="P93" s="51">
        <f t="shared" ref="P93:Q93" si="457">IFERROR(L93/N93,"-")</f>
        <v>0.03797468354</v>
      </c>
      <c r="Q93" s="51">
        <f t="shared" si="457"/>
        <v>0.1130434783</v>
      </c>
      <c r="R93" s="9">
        <f>IFERROR(__xludf.DUMMYFUNCTION("IFERROR(
  VLOOKUP(
    A93,
    IMPORTRANGE(
      ""1ZHMy3vVUd_0MrSduXTe1etBb1HNpAlGwQr006ljwMiM"",
      ""GSC最新!A:R""
    ),
    8,
    FALSE
  ),
  0
)
"),0.3333333333333333)</f>
        <v>0.3333333333</v>
      </c>
      <c r="S93" s="9">
        <f>IFERROR(__xludf.DUMMYFUNCTION("IFERROR(
  VLOOKUP(
    A93,
    IMPORTRANGE(
      ""1ZHMy3vVUd_0MrSduXTe1etBb1HNpAlGwQr006ljwMiM"",
      ""GSC最新!A:R""
    ),
    11,
    FALSE
  ),
  0
)
"),0.07692307692307693)</f>
        <v>0.07692307692</v>
      </c>
      <c r="T93" s="9">
        <f>IFERROR(__xludf.DUMMYFUNCTION("IFERROR(
  VLOOKUP(
    A93,
    IMPORTRANGE(
      ""1ZHMy3vVUd_0MrSduXTe1etBb1HNpAlGwQr006ljwMiM"",
      ""GSC最新!A:R""
    ),
    14,
    FALSE
  ),
  0
)
"),0.02531645569620253)</f>
        <v>0.0253164557</v>
      </c>
      <c r="U93" s="9">
        <f>IFERROR(__xludf.DUMMYFUNCTION("IFERROR(
  VLOOKUP(
    A93,
    IMPORTRANGE(
      ""1ZHMy3vVUd_0MrSduXTe1etBb1HNpAlGwQr006ljwMiM"",
      ""GSC最新!A:R""
    ),
    17,
    FALSE
  ),
  0
)
"),0.02608695652173913)</f>
        <v>0.02608695652</v>
      </c>
      <c r="V93" s="9">
        <f t="shared" ref="V93:W93" si="458">IFERROR(R93-T93,"-")</f>
        <v>0.3080168776</v>
      </c>
      <c r="W93" s="9">
        <f t="shared" si="458"/>
        <v>0.0508361204</v>
      </c>
      <c r="X93" s="65">
        <f>IFERROR(__xludf.DUMMYFUNCTION("IFERROR(
  VLOOKUP(
    A93,
    IMPORTRANGE(
      ""1ZHMy3vVUd_0MrSduXTe1etBb1HNpAlGwQr006ljwMiM"",
      ""GSC最新!A:R""
    ),
    9,
    FALSE
  ),
  0
)
"),10.333333333333334)</f>
        <v>10.33333333</v>
      </c>
      <c r="Y93" s="65">
        <f>IFERROR(__xludf.DUMMYFUNCTION("IFERROR(
  VLOOKUP(
    A93,
    IMPORTRANGE(
      ""1ZHMy3vVUd_0MrSduXTe1etBb1HNpAlGwQr006ljwMiM"",
      ""GSC最新!A:R""
    ),
    12,
    FALSE
  ),
  0
)
"),7.153846153846154)</f>
        <v>7.153846154</v>
      </c>
      <c r="Z93" s="65">
        <f>IFERROR(__xludf.DUMMYFUNCTION("IFERROR(
  VLOOKUP(
    A93,
    IMPORTRANGE(
      ""1ZHMy3vVUd_0MrSduXTe1etBb1HNpAlGwQr006ljwMiM"",
      ""GSC最新!A:R""
    ),
    15,
    FALSE
  ),
  0
)
"),56.46835443037975)</f>
        <v>56.46835443</v>
      </c>
      <c r="AA93" s="65">
        <f>IFERROR(__xludf.DUMMYFUNCTION("IFERROR(
  VLOOKUP(
    A93,
    IMPORTRANGE(
      ""1ZHMy3vVUd_0MrSduXTe1etBb1HNpAlGwQr006ljwMiM"",
      ""GSC最新!A:R""
    ),
    18,
    FALSE
  ),
  0
)
"),54.21739130434783)</f>
        <v>54.2173913</v>
      </c>
      <c r="AB93" s="65">
        <f t="shared" ref="AB93:AC93" si="459">X93-Z93</f>
        <v>-46.1350211</v>
      </c>
      <c r="AC93" s="65">
        <f t="shared" si="459"/>
        <v>-47.06354515</v>
      </c>
      <c r="AD93" s="53">
        <f>IFERROR(__xludf.DUMMYFUNCTION("IFERROR(
  VLOOKUP(
    A93,
    IMPORTRANGE(
      ""1ZHMy3vVUd_0MrSduXTe1etBb1HNpAlGwQr006ljwMiM"",
      ""GSC最新!A:F""
    ),
    6,
    FALSE
  ),
  0
)
"),46081.0)</f>
        <v>46081</v>
      </c>
      <c r="AE93" s="54">
        <f>IFERROR(__xludf.DUMMYFUNCTION("IFERROR(
  VLOOKUP(
    A93,
    IMPORTRANGE(
      ""1SCYQd7_cobOYqT0r_F0IqD4tE4rYn5y8Eup4PJTH8es"",
      ""Snapshot!A:M""
    ),
    5,
    FALSE
  ),
  ""-""
)
"),0.0)</f>
        <v>0</v>
      </c>
      <c r="AF93" s="54">
        <f>IFERROR(__xludf.DUMMYFUNCTION("IFERROR(
  VLOOKUP(
    A93,
    IMPORTRANGE(
      ""1SCYQd7_cobOYqT0r_F0IqD4tE4rYn5y8Eup4PJTH8es"",
      ""Snapshot!A:M""
    ),
    6,
    FALSE
  ),
  0
)
"),0.0)</f>
        <v>0</v>
      </c>
      <c r="AG93" s="54">
        <f>IFERROR(__xludf.DUMMYFUNCTION("IFERROR(
  VLOOKUP(
    A93,
    IMPORTRANGE(
      ""1SCYQd7_cobOYqT0r_F0IqD4tE4rYn5y8Eup4PJTH8es"",
      ""Snapshot!A:M""
    ),
    7,
    FALSE
  ),
  0
)
"),521.0)</f>
        <v>521</v>
      </c>
      <c r="AH93" s="54">
        <f>IFERROR(__xludf.DUMMYFUNCTION("IFERROR(
  VLOOKUP(
    A93,
    IMPORTRANGE(
      ""1SCYQd7_cobOYqT0r_F0IqD4tE4rYn5y8Eup4PJTH8es"",
      ""Snapshot!A:M""
    ),
    8,
    FALSE
  ),
  0
)
"),2.0)</f>
        <v>2</v>
      </c>
      <c r="AI93" s="54">
        <f>IFERROR(__xludf.DUMMYFUNCTION("IFERROR(
  VLOOKUP(
    A93,
    IMPORTRANGE(
      ""1SCYQd7_cobOYqT0r_F0IqD4tE4rYn5y8Eup4PJTH8es"",
      ""Snapshot!A:M""
    ),
    9,
    FALSE
  ),
  0
)
"),0.0)</f>
        <v>0</v>
      </c>
      <c r="AJ93" s="54">
        <f>IFERROR(__xludf.DUMMYFUNCTION("IFERROR(
  VLOOKUP(
    A93,
    IMPORTRANGE(
      ""1SCYQd7_cobOYqT0r_F0IqD4tE4rYn5y8Eup4PJTH8es"",
      ""Snapshot!A:M""
    ),
    13,
    FALSE
  ),
  0
)
"),1.0)</f>
        <v>1</v>
      </c>
      <c r="AK93" s="49">
        <f t="shared" ref="AK93:AL93" si="460">LEN(C93)</f>
        <v>55</v>
      </c>
      <c r="AL93" s="49">
        <f t="shared" si="460"/>
        <v>55</v>
      </c>
    </row>
    <row r="94">
      <c r="A94" s="3" t="s">
        <v>1180</v>
      </c>
      <c r="B94" s="1" t="str">
        <f>IFERROR(__xludf.DUMMYFUNCTION("IFERROR(
  VLOOKUP(
    A94,
    IMPORTRANGE(
      ""1ZygntHC1J6IxzKbTidmOyf5nUyW4GCLurHCjexrLm_o"",
      ""HTMLキャッシュ!A:F""
    ),
    2,
    FALSE
  ),
  0
)
"),"MC")</f>
        <v>MC</v>
      </c>
      <c r="C94" s="1" t="str">
        <f>IFERROR(__xludf.DUMMYFUNCTION("IFERROR(
  VLOOKUP(
    A94,
    IMPORTRANGE(
      ""1ZygntHC1J6IxzKbTidmOyf5nUyW4GCLurHCjexrLm_o"",
      ""HTMLキャッシュ!A:F""
    ),
    5,
    FALSE
  ),
  0
)
"),"ワッチャネームの正しい英文｜What is your nameとwhoの違い｜中1英語")</f>
        <v>ワッチャネームの正しい英文｜What is your nameとwhoの違い｜中1英語</v>
      </c>
      <c r="D94" s="1" t="str">
        <f>IFERROR(__xludf.DUMMYFUNCTION("IFERROR(
  VLOOKUP(
    A94,
    IMPORTRANGE(
      ""1ZygntHC1J6IxzKbTidmOyf5nUyW4GCLurHCjexrLm_o        "",
      ""HTMLキャッシュ!A:F""
    ),
    6,
    FALSE
  ),
  0
)
"),"ワッチャネームはWhat is your name。whoとの違い、yourの働き、What is＋名詞が成り立つ理由を例文で整理。")</f>
        <v>ワッチャネームはWhat is your name。whoとの違い、yourの働き、What is＋名詞が成り立つ理由を例文で整理。</v>
      </c>
      <c r="E94" s="32">
        <f>IFERROR(__xludf.DUMMYFUNCTION("IFERROR(
  VLOOKUP(
    A94,
    IMPORTRANGE(
      ""1ZygntHC1J6IxzKbTidmOyf5nUyW4GCLurHCjexrLm_o        "",
      ""HTMLキャッシュ!A:F""
    ),
    3,
    FALSE
  ),
  0
)
"),46078.59553240741)</f>
        <v>46078.59553</v>
      </c>
      <c r="F94" s="49">
        <f>IFERROR(__xludf.DUMMYFUNCTION("IFERROR(
  VLOOKUP(
    A94,
    IMPORTRANGE(
      ""1ZHMy3vVUd_0MrSduXTe1etBb1HNpAlGwQr006ljwMiM"",
      ""GSC最新!A:F""
    ),
    2,
    FALSE
  ),
  0
)
"),1.0)</f>
        <v>1</v>
      </c>
      <c r="G94" s="49">
        <f>IFERROR(__xludf.DUMMYFUNCTION("IFERROR(
  VLOOKUP(
    A94,
    IMPORTRANGE(
      ""1ZHMy3vVUd_0MrSduXTe1etBb1HNpAlGwQr006ljwMiM"",
      ""GSC最新!A:F""
    ),
    3,
    FALSE
  ),
  0
)
"),1.0)</f>
        <v>1</v>
      </c>
      <c r="H94" s="49">
        <f>IFERROR(__xludf.DUMMYFUNCTION("IFERROR(
  VLOOKUP(
    A94,
    IMPORTRANGE(
      ""1ZHMy3vVUd_0MrSduXTe1etBb1HNpAlGwQr006ljwMiM"",
      ""GSC最新!A:F""
    ),
    4,
    FALSE
  ),
  0
)
"),1.0)</f>
        <v>1</v>
      </c>
      <c r="I94" s="49">
        <f>IFERROR(__xludf.DUMMYFUNCTION("IFERROR(
  VLOOKUP(
    A94,
    IMPORTRANGE(
      ""1ZHMy3vVUd_0MrSduXTe1etBb1HNpAlGwQr006ljwMiM"",
      ""GSC最新!A:F""
    ),
    5,
    FALSE
  ),
  0
)
"),2.0)</f>
        <v>2</v>
      </c>
      <c r="J94" s="50">
        <f t="shared" ref="J94:K94" si="461">IFERROR(F94/H94,"-")</f>
        <v>1</v>
      </c>
      <c r="K94" s="50">
        <f t="shared" si="461"/>
        <v>0.5</v>
      </c>
      <c r="L94" s="6">
        <f>IFERROR(__xludf.DUMMYFUNCTION("IFERROR(
  VLOOKUP(
    A94,
    IMPORTRANGE(
      ""1ZHMy3vVUd_0MrSduXTe1etBb1HNpAlGwQr006ljwMiM"",
      ""GSC最新!A:R""
    ),
    7,
    FALSE
  ),
  0
)
"),344.0)</f>
        <v>344</v>
      </c>
      <c r="M94" s="6">
        <f>IFERROR(__xludf.DUMMYFUNCTION("IFERROR(
  VLOOKUP(
    A94,
    IMPORTRANGE(
      ""1ZHMy3vVUd_0MrSduXTe1etBb1HNpAlGwQr006ljwMiM"",
      ""GSC最新!A:R""
    ),
    10,
    FALSE
  ),
  0
)
"),594.0)</f>
        <v>594</v>
      </c>
      <c r="N94" s="6">
        <f>IFERROR(__xludf.DUMMYFUNCTION("IFERROR(
  VLOOKUP(
    A94,
    IMPORTRANGE(
      ""1ZHMy3vVUd_0MrSduXTe1etBb1HNpAlGwQr006ljwMiM"",
      ""GSC最新!A:R""
    ),
    13,
    FALSE
  ),
  0
)
"),72.0)</f>
        <v>72</v>
      </c>
      <c r="O94" s="6">
        <f>IFERROR(__xludf.DUMMYFUNCTION("IFERROR(
  VLOOKUP(
    A94,
    IMPORTRANGE(
      ""1ZHMy3vVUd_0MrSduXTe1etBb1HNpAlGwQr006ljwMiM"",
      ""GSC最新!A:R""
    ),
    16,
    FALSE
  ),
  0
)
"),384.0)</f>
        <v>384</v>
      </c>
      <c r="P94" s="51">
        <f t="shared" ref="P94:Q94" si="462">IFERROR(L94/N94,"-")</f>
        <v>4.777777778</v>
      </c>
      <c r="Q94" s="51">
        <f t="shared" si="462"/>
        <v>1.546875</v>
      </c>
      <c r="R94" s="9">
        <f>IFERROR(__xludf.DUMMYFUNCTION("IFERROR(
  VLOOKUP(
    A94,
    IMPORTRANGE(
      ""1ZHMy3vVUd_0MrSduXTe1etBb1HNpAlGwQr006ljwMiM"",
      ""GSC最新!A:R""
    ),
    8,
    FALSE
  ),
  0
)
"),0.0029069767441860465)</f>
        <v>0.002906976744</v>
      </c>
      <c r="S94" s="9">
        <f>IFERROR(__xludf.DUMMYFUNCTION("IFERROR(
  VLOOKUP(
    A94,
    IMPORTRANGE(
      ""1ZHMy3vVUd_0MrSduXTe1etBb1HNpAlGwQr006ljwMiM"",
      ""GSC最新!A:R""
    ),
    11,
    FALSE
  ),
  0
)
"),0.0016835016835016834)</f>
        <v>0.001683501684</v>
      </c>
      <c r="T94" s="9">
        <f>IFERROR(__xludf.DUMMYFUNCTION("IFERROR(
  VLOOKUP(
    A94,
    IMPORTRANGE(
      ""1ZHMy3vVUd_0MrSduXTe1etBb1HNpAlGwQr006ljwMiM"",
      ""GSC最新!A:R""
    ),
    14,
    FALSE
  ),
  0
)
"),0.013888888888888888)</f>
        <v>0.01388888889</v>
      </c>
      <c r="U94" s="9">
        <f>IFERROR(__xludf.DUMMYFUNCTION("IFERROR(
  VLOOKUP(
    A94,
    IMPORTRANGE(
      ""1ZHMy3vVUd_0MrSduXTe1etBb1HNpAlGwQr006ljwMiM"",
      ""GSC最新!A:R""
    ),
    17,
    FALSE
  ),
  0
)
"),0.005208333333333333)</f>
        <v>0.005208333333</v>
      </c>
      <c r="V94" s="9">
        <f t="shared" ref="V94:W94" si="463">IFERROR(R94-T94,"-")</f>
        <v>-0.01098191214</v>
      </c>
      <c r="W94" s="9">
        <f t="shared" si="463"/>
        <v>-0.00352483165</v>
      </c>
      <c r="X94" s="65">
        <f>IFERROR(__xludf.DUMMYFUNCTION("IFERROR(
  VLOOKUP(
    A94,
    IMPORTRANGE(
      ""1ZHMy3vVUd_0MrSduXTe1etBb1HNpAlGwQr006ljwMiM"",
      ""GSC最新!A:R""
    ),
    9,
    FALSE
  ),
  0
)
"),5.090116279069767)</f>
        <v>5.090116279</v>
      </c>
      <c r="Y94" s="65">
        <f>IFERROR(__xludf.DUMMYFUNCTION("IFERROR(
  VLOOKUP(
    A94,
    IMPORTRANGE(
      ""1ZHMy3vVUd_0MrSduXTe1etBb1HNpAlGwQr006ljwMiM"",
      ""GSC最新!A:R""
    ),
    12,
    FALSE
  ),
  0
)
"),5.338383838383838)</f>
        <v>5.338383838</v>
      </c>
      <c r="Z94" s="65">
        <f>IFERROR(__xludf.DUMMYFUNCTION("IFERROR(
  VLOOKUP(
    A94,
    IMPORTRANGE(
      ""1ZHMy3vVUd_0MrSduXTe1etBb1HNpAlGwQr006ljwMiM"",
      ""GSC最新!A:R""
    ),
    15,
    FALSE
  ),
  0
)
"),10.625)</f>
        <v>10.625</v>
      </c>
      <c r="AA94" s="65">
        <f>IFERROR(__xludf.DUMMYFUNCTION("IFERROR(
  VLOOKUP(
    A94,
    IMPORTRANGE(
      ""1ZHMy3vVUd_0MrSduXTe1etBb1HNpAlGwQr006ljwMiM"",
      ""GSC最新!A:R""
    ),
    18,
    FALSE
  ),
  0
)
"),12.015625)</f>
        <v>12.015625</v>
      </c>
      <c r="AB94" s="65">
        <f t="shared" ref="AB94:AC94" si="464">X94-Z94</f>
        <v>-5.534883721</v>
      </c>
      <c r="AC94" s="65">
        <f t="shared" si="464"/>
        <v>-6.677241162</v>
      </c>
      <c r="AD94" s="53">
        <f>IFERROR(__xludf.DUMMYFUNCTION("IFERROR(
  VLOOKUP(
    A94,
    IMPORTRANGE(
      ""1ZHMy3vVUd_0MrSduXTe1etBb1HNpAlGwQr006ljwMiM"",
      ""GSC最新!A:F""
    ),
    6,
    FALSE
  ),
  0
)
"),46081.0)</f>
        <v>46081</v>
      </c>
      <c r="AE94" s="54">
        <f>IFERROR(__xludf.DUMMYFUNCTION("IFERROR(
  VLOOKUP(
    A94,
    IMPORTRANGE(
      ""1SCYQd7_cobOYqT0r_F0IqD4tE4rYn5y8Eup4PJTH8es"",
      ""Snapshot!A:M""
    ),
    5,
    FALSE
  ),
  ""-""
)
"),3.0)</f>
        <v>3</v>
      </c>
      <c r="AF94" s="54">
        <f>IFERROR(__xludf.DUMMYFUNCTION("IFERROR(
  VLOOKUP(
    A94,
    IMPORTRANGE(
      ""1SCYQd7_cobOYqT0r_F0IqD4tE4rYn5y8Eup4PJTH8es"",
      ""Snapshot!A:M""
    ),
    6,
    FALSE
  ),
  0
)
"),7.0)</f>
        <v>7</v>
      </c>
      <c r="AG94" s="54">
        <f>IFERROR(__xludf.DUMMYFUNCTION("IFERROR(
  VLOOKUP(
    A94,
    IMPORTRANGE(
      ""1SCYQd7_cobOYqT0r_F0IqD4tE4rYn5y8Eup4PJTH8es"",
      ""Snapshot!A:M""
    ),
    7,
    FALSE
  ),
  0
)
"),2012.0)</f>
        <v>2012</v>
      </c>
      <c r="AH94" s="54">
        <f>IFERROR(__xludf.DUMMYFUNCTION("IFERROR(
  VLOOKUP(
    A94,
    IMPORTRANGE(
      ""1SCYQd7_cobOYqT0r_F0IqD4tE4rYn5y8Eup4PJTH8es"",
      ""Snapshot!A:M""
    ),
    8,
    FALSE
  ),
  0
)
"),1.0)</f>
        <v>1</v>
      </c>
      <c r="AI94" s="54">
        <f>IFERROR(__xludf.DUMMYFUNCTION("IFERROR(
  VLOOKUP(
    A94,
    IMPORTRANGE(
      ""1SCYQd7_cobOYqT0r_F0IqD4tE4rYn5y8Eup4PJTH8es"",
      ""Snapshot!A:M""
    ),
    9,
    FALSE
  ),
  0
)
"),4.0)</f>
        <v>4</v>
      </c>
      <c r="AJ94" s="54">
        <f>IFERROR(__xludf.DUMMYFUNCTION("IFERROR(
  VLOOKUP(
    A94,
    IMPORTRANGE(
      ""1SCYQd7_cobOYqT0r_F0IqD4tE4rYn5y8Eup4PJTH8es"",
      ""Snapshot!A:M""
    ),
    13,
    FALSE
  ),
  0
)
"),1.0)</f>
        <v>1</v>
      </c>
      <c r="AK94" s="49">
        <f t="shared" ref="AK94:AL94" si="465">LEN(C94)</f>
        <v>43</v>
      </c>
      <c r="AL94" s="49">
        <f t="shared" si="465"/>
        <v>66</v>
      </c>
    </row>
    <row r="95">
      <c r="A95" s="3" t="s">
        <v>1181</v>
      </c>
      <c r="B95" s="1" t="str">
        <f>IFERROR(__xludf.DUMMYFUNCTION("IFERROR(
  VLOOKUP(
    A95,
    IMPORTRANGE(
      ""1ZygntHC1J6IxzKbTidmOyf5nUyW4GCLurHCjexrLm_o"",
      ""HTMLキャッシュ!A:F""
    ),
    2,
    FALSE
  ),
  0
)
"),"MC")</f>
        <v>MC</v>
      </c>
      <c r="C95" s="1" t="str">
        <f>IFERROR(__xludf.DUMMYFUNCTION("IFERROR(
  VLOOKUP(
    A95,
    IMPORTRANGE(
      ""1ZygntHC1J6IxzKbTidmOyf5nUyW4GCLurHCjexrLm_o"",
      ""HTMLキャッシュ!A:F""
    ),
    5,
    FALSE
  ),
  0
)
"),"代名詞の種類と使い方｜英文で確実に意味を取る基礎ルール")</f>
        <v>代名詞の種類と使い方｜英文で確実に意味を取る基礎ルール</v>
      </c>
      <c r="D95" s="1" t="str">
        <f>IFERROR(__xludf.DUMMYFUNCTION("IFERROR(
  VLOOKUP(
    A95,
    IMPORTRANGE(
      ""1ZygntHC1J6IxzKbTidmOyf5nUyW4GCLurHCjexrLm_o        "",
      ""HTMLキャッシュ!A:F""
    ),
    6,
    FALSE
  ),
  0
)
"),"WhenとWhereの違いを例文で整理。Whereはどこで・どこに・どこへ。曜日が3つ以上並ぶandの位置も確認。")</f>
        <v>WhenとWhereの違いを例文で整理。Whereはどこで・どこに・どこへ。曜日が3つ以上並ぶandの位置も確認。</v>
      </c>
      <c r="E95" s="32">
        <f>IFERROR(__xludf.DUMMYFUNCTION("IFERROR(
  VLOOKUP(
    A95,
    IMPORTRANGE(
      ""1ZygntHC1J6IxzKbTidmOyf5nUyW4GCLurHCjexrLm_o        "",
      ""HTMLキャッシュ!A:F""
    ),
    3,
    FALSE
  ),
  0
)
"),46078.59423611111)</f>
        <v>46078.59424</v>
      </c>
      <c r="F95" s="49">
        <f>IFERROR(__xludf.DUMMYFUNCTION("IFERROR(
  VLOOKUP(
    A95,
    IMPORTRANGE(
      ""1ZHMy3vVUd_0MrSduXTe1etBb1HNpAlGwQr006ljwMiM"",
      ""GSC最新!A:F""
    ),
    2,
    FALSE
  ),
  0
)
"),0.0)</f>
        <v>0</v>
      </c>
      <c r="G95" s="49">
        <f>IFERROR(__xludf.DUMMYFUNCTION("IFERROR(
  VLOOKUP(
    A95,
    IMPORTRANGE(
      ""1ZHMy3vVUd_0MrSduXTe1etBb1HNpAlGwQr006ljwMiM"",
      ""GSC最新!A:F""
    ),
    3,
    FALSE
  ),
  0
)
"),0.0)</f>
        <v>0</v>
      </c>
      <c r="H95" s="49">
        <f>IFERROR(__xludf.DUMMYFUNCTION("IFERROR(
  VLOOKUP(
    A95,
    IMPORTRANGE(
      ""1ZHMy3vVUd_0MrSduXTe1etBb1HNpAlGwQr006ljwMiM"",
      ""GSC最新!A:F""
    ),
    4,
    FALSE
  ),
  0
)
"),0.0)</f>
        <v>0</v>
      </c>
      <c r="I95" s="49">
        <f>IFERROR(__xludf.DUMMYFUNCTION("IFERROR(
  VLOOKUP(
    A95,
    IMPORTRANGE(
      ""1ZHMy3vVUd_0MrSduXTe1etBb1HNpAlGwQr006ljwMiM"",
      ""GSC最新!A:F""
    ),
    5,
    FALSE
  ),
  0
)
"),0.0)</f>
        <v>0</v>
      </c>
      <c r="J95" s="50" t="str">
        <f t="shared" ref="J95:K95" si="466">IFERROR(F95/H95,"-")</f>
        <v>-</v>
      </c>
      <c r="K95" s="50" t="str">
        <f t="shared" si="466"/>
        <v>-</v>
      </c>
      <c r="L95" s="6">
        <f>IFERROR(__xludf.DUMMYFUNCTION("IFERROR(
  VLOOKUP(
    A95,
    IMPORTRANGE(
      ""1ZHMy3vVUd_0MrSduXTe1etBb1HNpAlGwQr006ljwMiM"",
      ""GSC最新!A:R""
    ),
    7,
    FALSE
  ),
  0
)
"),335.0)</f>
        <v>335</v>
      </c>
      <c r="M95" s="6">
        <f>IFERROR(__xludf.DUMMYFUNCTION("IFERROR(
  VLOOKUP(
    A95,
    IMPORTRANGE(
      ""1ZHMy3vVUd_0MrSduXTe1etBb1HNpAlGwQr006ljwMiM"",
      ""GSC最新!A:R""
    ),
    10,
    FALSE
  ),
  0
)
"),467.0)</f>
        <v>467</v>
      </c>
      <c r="N95" s="6">
        <f>IFERROR(__xludf.DUMMYFUNCTION("IFERROR(
  VLOOKUP(
    A95,
    IMPORTRANGE(
      ""1ZHMy3vVUd_0MrSduXTe1etBb1HNpAlGwQr006ljwMiM"",
      ""GSC最新!A:R""
    ),
    13,
    FALSE
  ),
  0
)
"),4.0)</f>
        <v>4</v>
      </c>
      <c r="O95" s="6">
        <f>IFERROR(__xludf.DUMMYFUNCTION("IFERROR(
  VLOOKUP(
    A95,
    IMPORTRANGE(
      ""1ZHMy3vVUd_0MrSduXTe1etBb1HNpAlGwQr006ljwMiM"",
      ""GSC最新!A:R""
    ),
    16,
    FALSE
  ),
  0
)
"),11.0)</f>
        <v>11</v>
      </c>
      <c r="P95" s="51">
        <f t="shared" ref="P95:Q95" si="467">IFERROR(L95/N95,"-")</f>
        <v>83.75</v>
      </c>
      <c r="Q95" s="51">
        <f t="shared" si="467"/>
        <v>42.45454545</v>
      </c>
      <c r="R95" s="9">
        <f>IFERROR(__xludf.DUMMYFUNCTION("IFERROR(
  VLOOKUP(
    A95,
    IMPORTRANGE(
      ""1ZHMy3vVUd_0MrSduXTe1etBb1HNpAlGwQr006ljwMiM"",
      ""GSC最新!A:R""
    ),
    8,
    FALSE
  ),
  0
)
"),0.0)</f>
        <v>0</v>
      </c>
      <c r="S95" s="9">
        <f>IFERROR(__xludf.DUMMYFUNCTION("IFERROR(
  VLOOKUP(
    A95,
    IMPORTRANGE(
      ""1ZHMy3vVUd_0MrSduXTe1etBb1HNpAlGwQr006ljwMiM"",
      ""GSC最新!A:R""
    ),
    11,
    FALSE
  ),
  0
)
"),0.0)</f>
        <v>0</v>
      </c>
      <c r="T95" s="9">
        <f>IFERROR(__xludf.DUMMYFUNCTION("IFERROR(
  VLOOKUP(
    A95,
    IMPORTRANGE(
      ""1ZHMy3vVUd_0MrSduXTe1etBb1HNpAlGwQr006ljwMiM"",
      ""GSC最新!A:R""
    ),
    14,
    FALSE
  ),
  0
)
"),0.0)</f>
        <v>0</v>
      </c>
      <c r="U95" s="9">
        <f>IFERROR(__xludf.DUMMYFUNCTION("IFERROR(
  VLOOKUP(
    A95,
    IMPORTRANGE(
      ""1ZHMy3vVUd_0MrSduXTe1etBb1HNpAlGwQr006ljwMiM"",
      ""GSC最新!A:R""
    ),
    17,
    FALSE
  ),
  0
)
"),0.0)</f>
        <v>0</v>
      </c>
      <c r="V95" s="9">
        <f t="shared" ref="V95:W95" si="468">IFERROR(R95-T95,"-")</f>
        <v>0</v>
      </c>
      <c r="W95" s="9">
        <f t="shared" si="468"/>
        <v>0</v>
      </c>
      <c r="X95" s="65">
        <f>IFERROR(__xludf.DUMMYFUNCTION("IFERROR(
  VLOOKUP(
    A95,
    IMPORTRANGE(
      ""1ZHMy3vVUd_0MrSduXTe1etBb1HNpAlGwQr006ljwMiM"",
      ""GSC最新!A:R""
    ),
    9,
    FALSE
  ),
  0
)
"),9.564179104477612)</f>
        <v>9.564179104</v>
      </c>
      <c r="Y95" s="65">
        <f>IFERROR(__xludf.DUMMYFUNCTION("IFERROR(
  VLOOKUP(
    A95,
    IMPORTRANGE(
      ""1ZHMy3vVUd_0MrSduXTe1etBb1HNpAlGwQr006ljwMiM"",
      ""GSC最新!A:R""
    ),
    12,
    FALSE
  ),
  0
)
"),9.154175588865096)</f>
        <v>9.154175589</v>
      </c>
      <c r="Z95" s="65">
        <f>IFERROR(__xludf.DUMMYFUNCTION("IFERROR(
  VLOOKUP(
    A95,
    IMPORTRANGE(
      ""1ZHMy3vVUd_0MrSduXTe1etBb1HNpAlGwQr006ljwMiM"",
      ""GSC最新!A:R""
    ),
    15,
    FALSE
  ),
  0
)
"),9.0)</f>
        <v>9</v>
      </c>
      <c r="AA95" s="65">
        <f>IFERROR(__xludf.DUMMYFUNCTION("IFERROR(
  VLOOKUP(
    A95,
    IMPORTRANGE(
      ""1ZHMy3vVUd_0MrSduXTe1etBb1HNpAlGwQr006ljwMiM"",
      ""GSC最新!A:R""
    ),
    18,
    FALSE
  ),
  0
)
"),6.545454545454546)</f>
        <v>6.545454545</v>
      </c>
      <c r="AB95" s="65">
        <f t="shared" ref="AB95:AC95" si="469">X95-Z95</f>
        <v>0.5641791045</v>
      </c>
      <c r="AC95" s="65">
        <f t="shared" si="469"/>
        <v>2.608721043</v>
      </c>
      <c r="AD95" s="53">
        <f>IFERROR(__xludf.DUMMYFUNCTION("IFERROR(
  VLOOKUP(
    A95,
    IMPORTRANGE(
      ""1ZHMy3vVUd_0MrSduXTe1etBb1HNpAlGwQr006ljwMiM"",
      ""GSC最新!A:F""
    ),
    6,
    FALSE
  ),
  0
)
"),46081.0)</f>
        <v>46081</v>
      </c>
      <c r="AE95" s="54">
        <f>IFERROR(__xludf.DUMMYFUNCTION("IFERROR(
  VLOOKUP(
    A95,
    IMPORTRANGE(
      ""1SCYQd7_cobOYqT0r_F0IqD4tE4rYn5y8Eup4PJTH8es"",
      ""Snapshot!A:M""
    ),
    5,
    FALSE
  ),
  ""-""
)
"),3.0)</f>
        <v>3</v>
      </c>
      <c r="AF95" s="54">
        <f>IFERROR(__xludf.DUMMYFUNCTION("IFERROR(
  VLOOKUP(
    A95,
    IMPORTRANGE(
      ""1SCYQd7_cobOYqT0r_F0IqD4tE4rYn5y8Eup4PJTH8es"",
      ""Snapshot!A:M""
    ),
    6,
    FALSE
  ),
  0
)
"),5.0)</f>
        <v>5</v>
      </c>
      <c r="AG95" s="54">
        <f>IFERROR(__xludf.DUMMYFUNCTION("IFERROR(
  VLOOKUP(
    A95,
    IMPORTRANGE(
      ""1SCYQd7_cobOYqT0r_F0IqD4tE4rYn5y8Eup4PJTH8es"",
      ""Snapshot!A:M""
    ),
    7,
    FALSE
  ),
  0
)
"),3748.0)</f>
        <v>3748</v>
      </c>
      <c r="AH95" s="54">
        <f>IFERROR(__xludf.DUMMYFUNCTION("IFERROR(
  VLOOKUP(
    A95,
    IMPORTRANGE(
      ""1SCYQd7_cobOYqT0r_F0IqD4tE4rYn5y8Eup4PJTH8es"",
      ""Snapshot!A:M""
    ),
    8,
    FALSE
  ),
  0
)
"),1.0)</f>
        <v>1</v>
      </c>
      <c r="AI95" s="54">
        <f>IFERROR(__xludf.DUMMYFUNCTION("IFERROR(
  VLOOKUP(
    A95,
    IMPORTRANGE(
      ""1SCYQd7_cobOYqT0r_F0IqD4tE4rYn5y8Eup4PJTH8es"",
      ""Snapshot!A:M""
    ),
    9,
    FALSE
  ),
  0
)
"),4.0)</f>
        <v>4</v>
      </c>
      <c r="AJ95" s="54">
        <f>IFERROR(__xludf.DUMMYFUNCTION("IFERROR(
  VLOOKUP(
    A95,
    IMPORTRANGE(
      ""1SCYQd7_cobOYqT0r_F0IqD4tE4rYn5y8Eup4PJTH8es"",
      ""Snapshot!A:M""
    ),
    13,
    FALSE
  ),
  0
)
"),1.0)</f>
        <v>1</v>
      </c>
      <c r="AK95" s="49">
        <f t="shared" ref="AK95:AL95" si="470">LEN(C95)</f>
        <v>27</v>
      </c>
      <c r="AL95" s="49">
        <f t="shared" si="470"/>
        <v>57</v>
      </c>
    </row>
    <row r="96">
      <c r="A96" s="3" t="s">
        <v>1182</v>
      </c>
      <c r="B96" s="1" t="str">
        <f>IFERROR(__xludf.DUMMYFUNCTION("IFERROR(
  VLOOKUP(
    A96,
    IMPORTRANGE(
      ""1ZygntHC1J6IxzKbTidmOyf5nUyW4GCLurHCjexrLm_o"",
      ""HTMLキャッシュ!A:F""
    ),
    2,
    FALSE
  ),
  0
)
"),"MC")</f>
        <v>MC</v>
      </c>
      <c r="C96" s="1" t="str">
        <f>IFERROR(__xludf.DUMMYFUNCTION("IFERROR(
  VLOOKUP(
    A96,
    IMPORTRANGE(
      ""1ZygntHC1J6IxzKbTidmOyf5nUyW4GCLurHCjexrLm_o"",
      ""HTMLキャッシュ!A:F""
    ),
    5,
    FALSE
  ),
  0
)
"),"haveの疑問文｜Doとbeの違い｜中1英語（Progress1-4-2）")</f>
        <v>haveの疑問文｜Doとbeの違い｜中1英語（Progress1-4-2）</v>
      </c>
      <c r="D96" s="1" t="str">
        <f>IFERROR(__xludf.DUMMYFUNCTION("IFERROR(
  VLOOKUP(
    A96,
    IMPORTRANGE(
      ""1ZygntHC1J6IxzKbTidmOyf5nUyW4GCLurHCjexrLm_o        "",
      ""HTMLキャッシュ!A:F""
    ),
    6,
    FALSE
  ),
  0
)
"),"一般動詞の疑問文はDoの後が原形。Are you have…/Do you are…のミスを例文で修正し、Do you have…とYes, I doまで確認。")</f>
        <v>一般動詞の疑問文はDoの後が原形。Are you have…/Do you are…のミスを例文で修正し、Do you have…とYes, I doまで確認。</v>
      </c>
      <c r="E96" s="32">
        <f>IFERROR(__xludf.DUMMYFUNCTION("IFERROR(
  VLOOKUP(
    A96,
    IMPORTRANGE(
      ""1ZygntHC1J6IxzKbTidmOyf5nUyW4GCLurHCjexrLm_o        "",
      ""HTMLキャッシュ!A:F""
    ),
    3,
    FALSE
  ),
  0
)
"),46078.59875)</f>
        <v>46078.59875</v>
      </c>
      <c r="F96" s="49">
        <f>IFERROR(__xludf.DUMMYFUNCTION("IFERROR(
  VLOOKUP(
    A96,
    IMPORTRANGE(
      ""1ZHMy3vVUd_0MrSduXTe1etBb1HNpAlGwQr006ljwMiM"",
      ""GSC最新!A:F""
    ),
    2,
    FALSE
  ),
  0
)
"),0.0)</f>
        <v>0</v>
      </c>
      <c r="G96" s="49">
        <f>IFERROR(__xludf.DUMMYFUNCTION("IFERROR(
  VLOOKUP(
    A96,
    IMPORTRANGE(
      ""1ZHMy3vVUd_0MrSduXTe1etBb1HNpAlGwQr006ljwMiM"",
      ""GSC最新!A:F""
    ),
    3,
    FALSE
  ),
  0
)
"),0.0)</f>
        <v>0</v>
      </c>
      <c r="H96" s="49">
        <f>IFERROR(__xludf.DUMMYFUNCTION("IFERROR(
  VLOOKUP(
    A96,
    IMPORTRANGE(
      ""1ZHMy3vVUd_0MrSduXTe1etBb1HNpAlGwQr006ljwMiM"",
      ""GSC最新!A:F""
    ),
    4,
    FALSE
  ),
  0
)
"),0.0)</f>
        <v>0</v>
      </c>
      <c r="I96" s="49">
        <f>IFERROR(__xludf.DUMMYFUNCTION("IFERROR(
  VLOOKUP(
    A96,
    IMPORTRANGE(
      ""1ZHMy3vVUd_0MrSduXTe1etBb1HNpAlGwQr006ljwMiM"",
      ""GSC最新!A:F""
    ),
    5,
    FALSE
  ),
  0
)
"),0.0)</f>
        <v>0</v>
      </c>
      <c r="J96" s="50" t="str">
        <f t="shared" ref="J96:K96" si="471">IFERROR(F96/H96,"-")</f>
        <v>-</v>
      </c>
      <c r="K96" s="50" t="str">
        <f t="shared" si="471"/>
        <v>-</v>
      </c>
      <c r="L96" s="6">
        <f>IFERROR(__xludf.DUMMYFUNCTION("IFERROR(
  VLOOKUP(
    A96,
    IMPORTRANGE(
      ""1ZHMy3vVUd_0MrSduXTe1etBb1HNpAlGwQr006ljwMiM"",
      ""GSC最新!A:R""
    ),
    7,
    FALSE
  ),
  0
)
"),391.0)</f>
        <v>391</v>
      </c>
      <c r="M96" s="6">
        <f>IFERROR(__xludf.DUMMYFUNCTION("IFERROR(
  VLOOKUP(
    A96,
    IMPORTRANGE(
      ""1ZHMy3vVUd_0MrSduXTe1etBb1HNpAlGwQr006ljwMiM"",
      ""GSC最新!A:R""
    ),
    10,
    FALSE
  ),
  0
)
"),426.0)</f>
        <v>426</v>
      </c>
      <c r="N96" s="6">
        <f>IFERROR(__xludf.DUMMYFUNCTION("IFERROR(
  VLOOKUP(
    A96,
    IMPORTRANGE(
      ""1ZHMy3vVUd_0MrSduXTe1etBb1HNpAlGwQr006ljwMiM"",
      ""GSC最新!A:R""
    ),
    13,
    FALSE
  ),
  0
)
"),14.0)</f>
        <v>14</v>
      </c>
      <c r="O96" s="6">
        <f>IFERROR(__xludf.DUMMYFUNCTION("IFERROR(
  VLOOKUP(
    A96,
    IMPORTRANGE(
      ""1ZHMy3vVUd_0MrSduXTe1etBb1HNpAlGwQr006ljwMiM"",
      ""GSC最新!A:R""
    ),
    16,
    FALSE
  ),
  0
)
"),51.0)</f>
        <v>51</v>
      </c>
      <c r="P96" s="51">
        <f t="shared" ref="P96:Q96" si="472">IFERROR(L96/N96,"-")</f>
        <v>27.92857143</v>
      </c>
      <c r="Q96" s="51">
        <f t="shared" si="472"/>
        <v>8.352941176</v>
      </c>
      <c r="R96" s="9">
        <f>IFERROR(__xludf.DUMMYFUNCTION("IFERROR(
  VLOOKUP(
    A96,
    IMPORTRANGE(
      ""1ZHMy3vVUd_0MrSduXTe1etBb1HNpAlGwQr006ljwMiM"",
      ""GSC最新!A:R""
    ),
    8,
    FALSE
  ),
  0
)
"),0.0)</f>
        <v>0</v>
      </c>
      <c r="S96" s="9">
        <f>IFERROR(__xludf.DUMMYFUNCTION("IFERROR(
  VLOOKUP(
    A96,
    IMPORTRANGE(
      ""1ZHMy3vVUd_0MrSduXTe1etBb1HNpAlGwQr006ljwMiM"",
      ""GSC最新!A:R""
    ),
    11,
    FALSE
  ),
  0
)
"),0.0)</f>
        <v>0</v>
      </c>
      <c r="T96" s="9">
        <f>IFERROR(__xludf.DUMMYFUNCTION("IFERROR(
  VLOOKUP(
    A96,
    IMPORTRANGE(
      ""1ZHMy3vVUd_0MrSduXTe1etBb1HNpAlGwQr006ljwMiM"",
      ""GSC最新!A:R""
    ),
    14,
    FALSE
  ),
  0
)
"),0.0)</f>
        <v>0</v>
      </c>
      <c r="U96" s="9">
        <f>IFERROR(__xludf.DUMMYFUNCTION("IFERROR(
  VLOOKUP(
    A96,
    IMPORTRANGE(
      ""1ZHMy3vVUd_0MrSduXTe1etBb1HNpAlGwQr006ljwMiM"",
      ""GSC最新!A:R""
    ),
    17,
    FALSE
  ),
  0
)
"),0.0)</f>
        <v>0</v>
      </c>
      <c r="V96" s="9">
        <f t="shared" ref="V96:W96" si="473">IFERROR(R96-T96,"-")</f>
        <v>0</v>
      </c>
      <c r="W96" s="9">
        <f t="shared" si="473"/>
        <v>0</v>
      </c>
      <c r="X96" s="65">
        <f>IFERROR(__xludf.DUMMYFUNCTION("IFERROR(
  VLOOKUP(
    A96,
    IMPORTRANGE(
      ""1ZHMy3vVUd_0MrSduXTe1etBb1HNpAlGwQr006ljwMiM"",
      ""GSC最新!A:R""
    ),
    9,
    FALSE
  ),
  0
)
"),4.414322250639386)</f>
        <v>4.414322251</v>
      </c>
      <c r="Y96" s="65">
        <f>IFERROR(__xludf.DUMMYFUNCTION("IFERROR(
  VLOOKUP(
    A96,
    IMPORTRANGE(
      ""1ZHMy3vVUd_0MrSduXTe1etBb1HNpAlGwQr006ljwMiM"",
      ""GSC最新!A:R""
    ),
    12,
    FALSE
  ),
  0
)
"),4.368544600938967)</f>
        <v>4.368544601</v>
      </c>
      <c r="Z96" s="65">
        <f>IFERROR(__xludf.DUMMYFUNCTION("IFERROR(
  VLOOKUP(
    A96,
    IMPORTRANGE(
      ""1ZHMy3vVUd_0MrSduXTe1etBb1HNpAlGwQr006ljwMiM"",
      ""GSC最新!A:R""
    ),
    15,
    FALSE
  ),
  0
)
"),8.857142857142858)</f>
        <v>8.857142857</v>
      </c>
      <c r="AA96" s="65">
        <f>IFERROR(__xludf.DUMMYFUNCTION("IFERROR(
  VLOOKUP(
    A96,
    IMPORTRANGE(
      ""1ZHMy3vVUd_0MrSduXTe1etBb1HNpAlGwQr006ljwMiM"",
      ""GSC最新!A:R""
    ),
    18,
    FALSE
  ),
  0
)
"),17.627450980392158)</f>
        <v>17.62745098</v>
      </c>
      <c r="AB96" s="65">
        <f t="shared" ref="AB96:AC96" si="474">X96-Z96</f>
        <v>-4.442820607</v>
      </c>
      <c r="AC96" s="65">
        <f t="shared" si="474"/>
        <v>-13.25890638</v>
      </c>
      <c r="AD96" s="53">
        <f>IFERROR(__xludf.DUMMYFUNCTION("IFERROR(
  VLOOKUP(
    A96,
    IMPORTRANGE(
      ""1ZHMy3vVUd_0MrSduXTe1etBb1HNpAlGwQr006ljwMiM"",
      ""GSC最新!A:F""
    ),
    6,
    FALSE
  ),
  0
)
"),46081.0)</f>
        <v>46081</v>
      </c>
      <c r="AE96" s="54">
        <f>IFERROR(__xludf.DUMMYFUNCTION("IFERROR(
  VLOOKUP(
    A96,
    IMPORTRANGE(
      ""1SCYQd7_cobOYqT0r_F0IqD4tE4rYn5y8Eup4PJTH8es"",
      ""Snapshot!A:M""
    ),
    5,
    FALSE
  ),
  ""-""
)
"),0.0)</f>
        <v>0</v>
      </c>
      <c r="AF96" s="54">
        <f>IFERROR(__xludf.DUMMYFUNCTION("IFERROR(
  VLOOKUP(
    A96,
    IMPORTRANGE(
      ""1SCYQd7_cobOYqT0r_F0IqD4tE4rYn5y8Eup4PJTH8es"",
      ""Snapshot!A:M""
    ),
    6,
    FALSE
  ),
  0
)
"),8.0)</f>
        <v>8</v>
      </c>
      <c r="AG96" s="54">
        <f>IFERROR(__xludf.DUMMYFUNCTION("IFERROR(
  VLOOKUP(
    A96,
    IMPORTRANGE(
      ""1SCYQd7_cobOYqT0r_F0IqD4tE4rYn5y8Eup4PJTH8es"",
      ""Snapshot!A:M""
    ),
    7,
    FALSE
  ),
  0
)
"),2490.0)</f>
        <v>2490</v>
      </c>
      <c r="AH96" s="54">
        <f>IFERROR(__xludf.DUMMYFUNCTION("IFERROR(
  VLOOKUP(
    A96,
    IMPORTRANGE(
      ""1SCYQd7_cobOYqT0r_F0IqD4tE4rYn5y8Eup4PJTH8es"",
      ""Snapshot!A:M""
    ),
    8,
    FALSE
  ),
  0
)
"),1.0)</f>
        <v>1</v>
      </c>
      <c r="AI96" s="54">
        <f>IFERROR(__xludf.DUMMYFUNCTION("IFERROR(
  VLOOKUP(
    A96,
    IMPORTRANGE(
      ""1SCYQd7_cobOYqT0r_F0IqD4tE4rYn5y8Eup4PJTH8es"",
      ""Snapshot!A:M""
    ),
    9,
    FALSE
  ),
  0
)
"),4.0)</f>
        <v>4</v>
      </c>
      <c r="AJ96" s="54">
        <f>IFERROR(__xludf.DUMMYFUNCTION("IFERROR(
  VLOOKUP(
    A96,
    IMPORTRANGE(
      ""1SCYQd7_cobOYqT0r_F0IqD4tE4rYn5y8Eup4PJTH8es"",
      ""Snapshot!A:M""
    ),
    13,
    FALSE
  ),
  0
)
"),1.0)</f>
        <v>1</v>
      </c>
      <c r="AK96" s="49">
        <f t="shared" ref="AK96:AL96" si="475">LEN(C96)</f>
        <v>37</v>
      </c>
      <c r="AL96" s="49">
        <f t="shared" si="475"/>
        <v>80</v>
      </c>
    </row>
    <row r="97">
      <c r="A97" s="3" t="s">
        <v>1183</v>
      </c>
      <c r="B97" s="1" t="str">
        <f>IFERROR(__xludf.DUMMYFUNCTION("IFERROR(
  VLOOKUP(
    A97,
    IMPORTRANGE(
      ""1ZygntHC1J6IxzKbTidmOyf5nUyW4GCLurHCjexrLm_o"",
      ""HTMLキャッシュ!A:F""
    ),
    2,
    FALSE
  ),
  0
)
"),"MC")</f>
        <v>MC</v>
      </c>
      <c r="C97" s="1" t="str">
        <f>IFERROR(__xludf.DUMMYFUNCTION("IFERROR(
  VLOOKUP(
    A97,
    IMPORTRANGE(
      ""1ZygntHC1J6IxzKbTidmOyf5nUyW4GCLurHCjexrLm_o"",
      ""HTMLキャッシュ!A:F""
    ),
    5,
    FALSE
  ),
  0
)
"),"分詞と動名詞の見分け方｜ingの判定が止まらなくなる｜中学英語")</f>
        <v>分詞と動名詞の見分け方｜ingの判定が止まらなくなる｜中学英語</v>
      </c>
      <c r="D97" s="1" t="str">
        <f>IFERROR(__xludf.DUMMYFUNCTION("IFERROR(
  VLOOKUP(
    A97,
    IMPORTRANGE(
      ""1ZygntHC1J6IxzKbTidmOyf5nUyW4GCLurHCjexrLm_o        "",
      ""HTMLキャッシュ!A:F""
    ),
    6,
    FALSE
  ),
  0
)
"),"分詞と動名詞の見分け方を例文で整理。ingが名詞か名詞を説明する語かで判定し、分詞構文までつながる考え方を確認。")</f>
        <v>分詞と動名詞の見分け方を例文で整理。ingが名詞か名詞を説明する語かで判定し、分詞構文までつながる考え方を確認。</v>
      </c>
      <c r="E97" s="32">
        <f>IFERROR(__xludf.DUMMYFUNCTION("IFERROR(
  VLOOKUP(
    A97,
    IMPORTRANGE(
      ""1ZygntHC1J6IxzKbTidmOyf5nUyW4GCLurHCjexrLm_o        "",
      ""HTMLキャッシュ!A:F""
    ),
    3,
    FALSE
  ),
  0
)
"),46078.60019675926)</f>
        <v>46078.6002</v>
      </c>
      <c r="F97" s="49">
        <f>IFERROR(__xludf.DUMMYFUNCTION("IFERROR(
  VLOOKUP(
    A97,
    IMPORTRANGE(
      ""1ZHMy3vVUd_0MrSduXTe1etBb1HNpAlGwQr006ljwMiM"",
      ""GSC最新!A:F""
    ),
    2,
    FALSE
  ),
  0
)
"),0.0)</f>
        <v>0</v>
      </c>
      <c r="G97" s="49">
        <f>IFERROR(__xludf.DUMMYFUNCTION("IFERROR(
  VLOOKUP(
    A97,
    IMPORTRANGE(
      ""1ZHMy3vVUd_0MrSduXTe1etBb1HNpAlGwQr006ljwMiM"",
      ""GSC最新!A:F""
    ),
    3,
    FALSE
  ),
  0
)
"),0.0)</f>
        <v>0</v>
      </c>
      <c r="H97" s="49">
        <f>IFERROR(__xludf.DUMMYFUNCTION("IFERROR(
  VLOOKUP(
    A97,
    IMPORTRANGE(
      ""1ZHMy3vVUd_0MrSduXTe1etBb1HNpAlGwQr006ljwMiM"",
      ""GSC最新!A:F""
    ),
    4,
    FALSE
  ),
  0
)
"),0.0)</f>
        <v>0</v>
      </c>
      <c r="I97" s="49">
        <f>IFERROR(__xludf.DUMMYFUNCTION("IFERROR(
  VLOOKUP(
    A97,
    IMPORTRANGE(
      ""1ZHMy3vVUd_0MrSduXTe1etBb1HNpAlGwQr006ljwMiM"",
      ""GSC最新!A:F""
    ),
    5,
    FALSE
  ),
  0
)
"),0.0)</f>
        <v>0</v>
      </c>
      <c r="J97" s="50" t="str">
        <f t="shared" ref="J97:K97" si="476">IFERROR(F97/H97,"-")</f>
        <v>-</v>
      </c>
      <c r="K97" s="50" t="str">
        <f t="shared" si="476"/>
        <v>-</v>
      </c>
      <c r="L97" s="6">
        <f>IFERROR(__xludf.DUMMYFUNCTION("IFERROR(
  VLOOKUP(
    A97,
    IMPORTRANGE(
      ""1ZHMy3vVUd_0MrSduXTe1etBb1HNpAlGwQr006ljwMiM"",
      ""GSC最新!A:R""
    ),
    7,
    FALSE
  ),
  0
)
"),129.0)</f>
        <v>129</v>
      </c>
      <c r="M97" s="6">
        <f>IFERROR(__xludf.DUMMYFUNCTION("IFERROR(
  VLOOKUP(
    A97,
    IMPORTRANGE(
      ""1ZHMy3vVUd_0MrSduXTe1etBb1HNpAlGwQr006ljwMiM"",
      ""GSC最新!A:R""
    ),
    10,
    FALSE
  ),
  0
)
"),152.0)</f>
        <v>152</v>
      </c>
      <c r="N97" s="6">
        <f>IFERROR(__xludf.DUMMYFUNCTION("IFERROR(
  VLOOKUP(
    A97,
    IMPORTRANGE(
      ""1ZHMy3vVUd_0MrSduXTe1etBb1HNpAlGwQr006ljwMiM"",
      ""GSC最新!A:R""
    ),
    13,
    FALSE
  ),
  0
)
"),1.0)</f>
        <v>1</v>
      </c>
      <c r="O97" s="6">
        <f>IFERROR(__xludf.DUMMYFUNCTION("IFERROR(
  VLOOKUP(
    A97,
    IMPORTRANGE(
      ""1ZHMy3vVUd_0MrSduXTe1etBb1HNpAlGwQr006ljwMiM"",
      ""GSC最新!A:R""
    ),
    16,
    FALSE
  ),
  0
)
"),13.0)</f>
        <v>13</v>
      </c>
      <c r="P97" s="51">
        <f t="shared" ref="P97:Q97" si="477">IFERROR(L97/N97,"-")</f>
        <v>129</v>
      </c>
      <c r="Q97" s="51">
        <f t="shared" si="477"/>
        <v>11.69230769</v>
      </c>
      <c r="R97" s="9">
        <f>IFERROR(__xludf.DUMMYFUNCTION("IFERROR(
  VLOOKUP(
    A97,
    IMPORTRANGE(
      ""1ZHMy3vVUd_0MrSduXTe1etBb1HNpAlGwQr006ljwMiM"",
      ""GSC最新!A:R""
    ),
    8,
    FALSE
  ),
  0
)
"),0.0)</f>
        <v>0</v>
      </c>
      <c r="S97" s="9">
        <f>IFERROR(__xludf.DUMMYFUNCTION("IFERROR(
  VLOOKUP(
    A97,
    IMPORTRANGE(
      ""1ZHMy3vVUd_0MrSduXTe1etBb1HNpAlGwQr006ljwMiM"",
      ""GSC最新!A:R""
    ),
    11,
    FALSE
  ),
  0
)
"),0.0)</f>
        <v>0</v>
      </c>
      <c r="T97" s="9">
        <f>IFERROR(__xludf.DUMMYFUNCTION("IFERROR(
  VLOOKUP(
    A97,
    IMPORTRANGE(
      ""1ZHMy3vVUd_0MrSduXTe1etBb1HNpAlGwQr006ljwMiM"",
      ""GSC最新!A:R""
    ),
    14,
    FALSE
  ),
  0
)
"),0.0)</f>
        <v>0</v>
      </c>
      <c r="U97" s="9">
        <f>IFERROR(__xludf.DUMMYFUNCTION("IFERROR(
  VLOOKUP(
    A97,
    IMPORTRANGE(
      ""1ZHMy3vVUd_0MrSduXTe1etBb1HNpAlGwQr006ljwMiM"",
      ""GSC最新!A:R""
    ),
    17,
    FALSE
  ),
  0
)
"),0.0)</f>
        <v>0</v>
      </c>
      <c r="V97" s="9">
        <f t="shared" ref="V97:W97" si="478">IFERROR(R97-T97,"-")</f>
        <v>0</v>
      </c>
      <c r="W97" s="9">
        <f t="shared" si="478"/>
        <v>0</v>
      </c>
      <c r="X97" s="65">
        <f>IFERROR(__xludf.DUMMYFUNCTION("IFERROR(
  VLOOKUP(
    A97,
    IMPORTRANGE(
      ""1ZHMy3vVUd_0MrSduXTe1etBb1HNpAlGwQr006ljwMiM"",
      ""GSC最新!A:R""
    ),
    9,
    FALSE
  ),
  0
)
"),4.7441860465116275)</f>
        <v>4.744186047</v>
      </c>
      <c r="Y97" s="65">
        <f>IFERROR(__xludf.DUMMYFUNCTION("IFERROR(
  VLOOKUP(
    A97,
    IMPORTRANGE(
      ""1ZHMy3vVUd_0MrSduXTe1etBb1HNpAlGwQr006ljwMiM"",
      ""GSC最新!A:R""
    ),
    12,
    FALSE
  ),
  0
)
"),4.6381578947368425)</f>
        <v>4.638157895</v>
      </c>
      <c r="Z97" s="65">
        <f>IFERROR(__xludf.DUMMYFUNCTION("IFERROR(
  VLOOKUP(
    A97,
    IMPORTRANGE(
      ""1ZHMy3vVUd_0MrSduXTe1etBb1HNpAlGwQr006ljwMiM"",
      ""GSC最新!A:R""
    ),
    15,
    FALSE
  ),
  0
)
"),20.0)</f>
        <v>20</v>
      </c>
      <c r="AA97" s="65">
        <f>IFERROR(__xludf.DUMMYFUNCTION("IFERROR(
  VLOOKUP(
    A97,
    IMPORTRANGE(
      ""1ZHMy3vVUd_0MrSduXTe1etBb1HNpAlGwQr006ljwMiM"",
      ""GSC最新!A:R""
    ),
    18,
    FALSE
  ),
  0
)
"),39.30769230769231)</f>
        <v>39.30769231</v>
      </c>
      <c r="AB97" s="65">
        <f t="shared" ref="AB97:AC97" si="479">X97-Z97</f>
        <v>-15.25581395</v>
      </c>
      <c r="AC97" s="65">
        <f t="shared" si="479"/>
        <v>-34.66953441</v>
      </c>
      <c r="AD97" s="53">
        <f>IFERROR(__xludf.DUMMYFUNCTION("IFERROR(
  VLOOKUP(
    A97,
    IMPORTRANGE(
      ""1ZHMy3vVUd_0MrSduXTe1etBb1HNpAlGwQr006ljwMiM"",
      ""GSC最新!A:F""
    ),
    6,
    FALSE
  ),
  0
)
"),46081.0)</f>
        <v>46081</v>
      </c>
      <c r="AE97" s="54">
        <f>IFERROR(__xludf.DUMMYFUNCTION("IFERROR(
  VLOOKUP(
    A97,
    IMPORTRANGE(
      ""1SCYQd7_cobOYqT0r_F0IqD4tE4rYn5y8Eup4PJTH8es"",
      ""Snapshot!A:M""
    ),
    5,
    FALSE
  ),
  ""-""
)
"),12.0)</f>
        <v>12</v>
      </c>
      <c r="AF97" s="54">
        <f>IFERROR(__xludf.DUMMYFUNCTION("IFERROR(
  VLOOKUP(
    A97,
    IMPORTRANGE(
      ""1SCYQd7_cobOYqT0r_F0IqD4tE4rYn5y8Eup4PJTH8es"",
      ""Snapshot!A:M""
    ),
    6,
    FALSE
  ),
  0
)
"),10.0)</f>
        <v>10</v>
      </c>
      <c r="AG97" s="54">
        <f>IFERROR(__xludf.DUMMYFUNCTION("IFERROR(
  VLOOKUP(
    A97,
    IMPORTRANGE(
      ""1SCYQd7_cobOYqT0r_F0IqD4tE4rYn5y8Eup4PJTH8es"",
      ""Snapshot!A:M""
    ),
    7,
    FALSE
  ),
  0
)
"),3311.0)</f>
        <v>3311</v>
      </c>
      <c r="AH97" s="54">
        <f>IFERROR(__xludf.DUMMYFUNCTION("IFERROR(
  VLOOKUP(
    A97,
    IMPORTRANGE(
      ""1SCYQd7_cobOYqT0r_F0IqD4tE4rYn5y8Eup4PJTH8es"",
      ""Snapshot!A:M""
    ),
    8,
    FALSE
  ),
  0
)
"),1.0)</f>
        <v>1</v>
      </c>
      <c r="AI97" s="54">
        <f>IFERROR(__xludf.DUMMYFUNCTION("IFERROR(
  VLOOKUP(
    A97,
    IMPORTRANGE(
      ""1SCYQd7_cobOYqT0r_F0IqD4tE4rYn5y8Eup4PJTH8es"",
      ""Snapshot!A:M""
    ),
    9,
    FALSE
  ),
  0
)
"),2.0)</f>
        <v>2</v>
      </c>
      <c r="AJ97" s="54">
        <f>IFERROR(__xludf.DUMMYFUNCTION("IFERROR(
  VLOOKUP(
    A97,
    IMPORTRANGE(
      ""1SCYQd7_cobOYqT0r_F0IqD4tE4rYn5y8Eup4PJTH8es"",
      ""Snapshot!A:M""
    ),
    13,
    FALSE
  ),
  0
)
"),1.0)</f>
        <v>1</v>
      </c>
      <c r="AK97" s="49">
        <f t="shared" ref="AK97:AL97" si="480">LEN(C97)</f>
        <v>31</v>
      </c>
      <c r="AL97" s="49">
        <f t="shared" si="480"/>
        <v>56</v>
      </c>
    </row>
    <row r="98">
      <c r="A98" s="3" t="s">
        <v>1184</v>
      </c>
      <c r="B98" s="1" t="str">
        <f>IFERROR(__xludf.DUMMYFUNCTION("IFERROR(
  VLOOKUP(
    A98,
    IMPORTRANGE(
      ""1ZygntHC1J6IxzKbTidmOyf5nUyW4GCLurHCjexrLm_o"",
      ""HTMLキャッシュ!A:F""
    ),
    2,
    FALSE
  ),
  0
)
"),"MC")</f>
        <v>MC</v>
      </c>
      <c r="C98" s="1" t="str">
        <f>IFERROR(__xludf.DUMMYFUNCTION("IFERROR(
  VLOOKUP(
    A98,
    IMPORTRANGE(
      ""1ZygntHC1J6IxzKbTidmOyf5nUyW4GCLurHCjexrLm_o"",
      ""HTMLキャッシュ!A:F""
    ),
    5,
    FALSE
  ),
  0
)
"),"want 人 to不定詞｜第5文の形・訳し方｜中学英語（Book2L12S3）")</f>
        <v>want 人 to不定詞｜第5文の形・訳し方｜中学英語（Book2L12S3）</v>
      </c>
      <c r="D98" s="1" t="str">
        <f>IFERROR(__xludf.DUMMYFUNCTION("IFERROR(
  VLOOKUP(
    A98,
    IMPORTRANGE(
      ""1ZygntHC1J6IxzKbTidmOyf5nUyW4GCLurHCjexrLm_o        "",
      ""HTMLキャッシュ!A:F""
    ),
    6,
    FALSE
  ),
  0
)
"),"want 人 to不定詞を第5文の形（SVtOC）として解説。OとCの関係、訳し方、allow・let・helpのto有無の違いを例文つきで確認。")</f>
        <v>want 人 to不定詞を第5文の形（SVtOC）として解説。OとCの関係、訳し方、allow・let・helpのto有無の違いを例文つきで確認。</v>
      </c>
      <c r="E98" s="32">
        <f>IFERROR(__xludf.DUMMYFUNCTION("IFERROR(
  VLOOKUP(
    A98,
    IMPORTRANGE(
      ""1ZygntHC1J6IxzKbTidmOyf5nUyW4GCLurHCjexrLm_o        "",
      ""HTMLキャッシュ!A:F""
    ),
    3,
    FALSE
  ),
  0
)
"),46078.81165509259)</f>
        <v>46078.81166</v>
      </c>
      <c r="F98" s="49">
        <f>IFERROR(__xludf.DUMMYFUNCTION("IFERROR(
  VLOOKUP(
    A98,
    IMPORTRANGE(
      ""1ZHMy3vVUd_0MrSduXTe1etBb1HNpAlGwQr006ljwMiM"",
      ""GSC最新!A:F""
    ),
    2,
    FALSE
  ),
  0
)
"),0.0)</f>
        <v>0</v>
      </c>
      <c r="G98" s="49">
        <f>IFERROR(__xludf.DUMMYFUNCTION("IFERROR(
  VLOOKUP(
    A98,
    IMPORTRANGE(
      ""1ZHMy3vVUd_0MrSduXTe1etBb1HNpAlGwQr006ljwMiM"",
      ""GSC最新!A:F""
    ),
    3,
    FALSE
  ),
  0
)
"),0.0)</f>
        <v>0</v>
      </c>
      <c r="H98" s="49">
        <f>IFERROR(__xludf.DUMMYFUNCTION("IFERROR(
  VLOOKUP(
    A98,
    IMPORTRANGE(
      ""1ZHMy3vVUd_0MrSduXTe1etBb1HNpAlGwQr006ljwMiM"",
      ""GSC最新!A:F""
    ),
    4,
    FALSE
  ),
  0
)
"),0.0)</f>
        <v>0</v>
      </c>
      <c r="I98" s="49">
        <f>IFERROR(__xludf.DUMMYFUNCTION("IFERROR(
  VLOOKUP(
    A98,
    IMPORTRANGE(
      ""1ZHMy3vVUd_0MrSduXTe1etBb1HNpAlGwQr006ljwMiM"",
      ""GSC最新!A:F""
    ),
    5,
    FALSE
  ),
  0
)
"),1.0)</f>
        <v>1</v>
      </c>
      <c r="J98" s="50" t="str">
        <f t="shared" ref="J98:K98" si="481">IFERROR(F98/H98,"-")</f>
        <v>-</v>
      </c>
      <c r="K98" s="50">
        <f t="shared" si="481"/>
        <v>0</v>
      </c>
      <c r="L98" s="6">
        <f>IFERROR(__xludf.DUMMYFUNCTION("IFERROR(
  VLOOKUP(
    A98,
    IMPORTRANGE(
      ""1ZHMy3vVUd_0MrSduXTe1etBb1HNpAlGwQr006ljwMiM"",
      ""GSC最新!A:R""
    ),
    7,
    FALSE
  ),
  0
)
"),60.0)</f>
        <v>60</v>
      </c>
      <c r="M98" s="6">
        <f>IFERROR(__xludf.DUMMYFUNCTION("IFERROR(
  VLOOKUP(
    A98,
    IMPORTRANGE(
      ""1ZHMy3vVUd_0MrSduXTe1etBb1HNpAlGwQr006ljwMiM"",
      ""GSC最新!A:R""
    ),
    10,
    FALSE
  ),
  0
)
"),96.0)</f>
        <v>96</v>
      </c>
      <c r="N98" s="6">
        <f>IFERROR(__xludf.DUMMYFUNCTION("IFERROR(
  VLOOKUP(
    A98,
    IMPORTRANGE(
      ""1ZHMy3vVUd_0MrSduXTe1etBb1HNpAlGwQr006ljwMiM"",
      ""GSC最新!A:R""
    ),
    13,
    FALSE
  ),
  0
)
"),1.0)</f>
        <v>1</v>
      </c>
      <c r="O98" s="6">
        <f>IFERROR(__xludf.DUMMYFUNCTION("IFERROR(
  VLOOKUP(
    A98,
    IMPORTRANGE(
      ""1ZHMy3vVUd_0MrSduXTe1etBb1HNpAlGwQr006ljwMiM"",
      ""GSC最新!A:R""
    ),
    16,
    FALSE
  ),
  0
)
"),12.0)</f>
        <v>12</v>
      </c>
      <c r="P98" s="51">
        <f t="shared" ref="P98:Q98" si="482">IFERROR(L98/N98,"-")</f>
        <v>60</v>
      </c>
      <c r="Q98" s="51">
        <f t="shared" si="482"/>
        <v>8</v>
      </c>
      <c r="R98" s="9">
        <f>IFERROR(__xludf.DUMMYFUNCTION("IFERROR(
  VLOOKUP(
    A98,
    IMPORTRANGE(
      ""1ZHMy3vVUd_0MrSduXTe1etBb1HNpAlGwQr006ljwMiM"",
      ""GSC最新!A:R""
    ),
    8,
    FALSE
  ),
  0
)
"),0.0)</f>
        <v>0</v>
      </c>
      <c r="S98" s="9">
        <f>IFERROR(__xludf.DUMMYFUNCTION("IFERROR(
  VLOOKUP(
    A98,
    IMPORTRANGE(
      ""1ZHMy3vVUd_0MrSduXTe1etBb1HNpAlGwQr006ljwMiM"",
      ""GSC最新!A:R""
    ),
    11,
    FALSE
  ),
  0
)
"),0.0)</f>
        <v>0</v>
      </c>
      <c r="T98" s="9">
        <f>IFERROR(__xludf.DUMMYFUNCTION("IFERROR(
  VLOOKUP(
    A98,
    IMPORTRANGE(
      ""1ZHMy3vVUd_0MrSduXTe1etBb1HNpAlGwQr006ljwMiM"",
      ""GSC最新!A:R""
    ),
    14,
    FALSE
  ),
  0
)
"),0.0)</f>
        <v>0</v>
      </c>
      <c r="U98" s="9">
        <f>IFERROR(__xludf.DUMMYFUNCTION("IFERROR(
  VLOOKUP(
    A98,
    IMPORTRANGE(
      ""1ZHMy3vVUd_0MrSduXTe1etBb1HNpAlGwQr006ljwMiM"",
      ""GSC最新!A:R""
    ),
    17,
    FALSE
  ),
  0
)
"),0.08333333333333333)</f>
        <v>0.08333333333</v>
      </c>
      <c r="V98" s="9">
        <f t="shared" ref="V98:W98" si="483">IFERROR(R98-T98,"-")</f>
        <v>0</v>
      </c>
      <c r="W98" s="9">
        <f t="shared" si="483"/>
        <v>-0.08333333333</v>
      </c>
      <c r="X98" s="65">
        <f>IFERROR(__xludf.DUMMYFUNCTION("IFERROR(
  VLOOKUP(
    A98,
    IMPORTRANGE(
      ""1ZHMy3vVUd_0MrSduXTe1etBb1HNpAlGwQr006ljwMiM"",
      ""GSC最新!A:R""
    ),
    9,
    FALSE
  ),
  0
)
"),7.666666666666667)</f>
        <v>7.666666667</v>
      </c>
      <c r="Y98" s="65">
        <f>IFERROR(__xludf.DUMMYFUNCTION("IFERROR(
  VLOOKUP(
    A98,
    IMPORTRANGE(
      ""1ZHMy3vVUd_0MrSduXTe1etBb1HNpAlGwQr006ljwMiM"",
      ""GSC最新!A:R""
    ),
    12,
    FALSE
  ),
  0
)
"),8.041666666666668)</f>
        <v>8.041666667</v>
      </c>
      <c r="Z98" s="65">
        <f>IFERROR(__xludf.DUMMYFUNCTION("IFERROR(
  VLOOKUP(
    A98,
    IMPORTRANGE(
      ""1ZHMy3vVUd_0MrSduXTe1etBb1HNpAlGwQr006ljwMiM"",
      ""GSC最新!A:R""
    ),
    15,
    FALSE
  ),
  0
)
"),4.0)</f>
        <v>4</v>
      </c>
      <c r="AA98" s="65">
        <f>IFERROR(__xludf.DUMMYFUNCTION("IFERROR(
  VLOOKUP(
    A98,
    IMPORTRANGE(
      ""1ZHMy3vVUd_0MrSduXTe1etBb1HNpAlGwQr006ljwMiM"",
      ""GSC最新!A:R""
    ),
    18,
    FALSE
  ),
  0
)
"),6.916666666666667)</f>
        <v>6.916666667</v>
      </c>
      <c r="AB98" s="65">
        <f t="shared" ref="AB98:AC98" si="484">X98-Z98</f>
        <v>3.666666667</v>
      </c>
      <c r="AC98" s="65">
        <f t="shared" si="484"/>
        <v>1.125</v>
      </c>
      <c r="AD98" s="53">
        <f>IFERROR(__xludf.DUMMYFUNCTION("IFERROR(
  VLOOKUP(
    A98,
    IMPORTRANGE(
      ""1ZHMy3vVUd_0MrSduXTe1etBb1HNpAlGwQr006ljwMiM"",
      ""GSC最新!A:F""
    ),
    6,
    FALSE
  ),
  0
)
"),46081.0)</f>
        <v>46081</v>
      </c>
      <c r="AE98" s="54">
        <f>IFERROR(__xludf.DUMMYFUNCTION("IFERROR(
  VLOOKUP(
    A98,
    IMPORTRANGE(
      ""1SCYQd7_cobOYqT0r_F0IqD4tE4rYn5y8Eup4PJTH8es"",
      ""Snapshot!A:M""
    ),
    5,
    FALSE
  ),
  ""-""
)
"),0.0)</f>
        <v>0</v>
      </c>
      <c r="AF98" s="54">
        <f>IFERROR(__xludf.DUMMYFUNCTION("IFERROR(
  VLOOKUP(
    A98,
    IMPORTRANGE(
      ""1SCYQd7_cobOYqT0r_F0IqD4tE4rYn5y8Eup4PJTH8es"",
      ""Snapshot!A:M""
    ),
    6,
    FALSE
  ),
  0
)
"),31.0)</f>
        <v>31</v>
      </c>
      <c r="AG98" s="54">
        <f>IFERROR(__xludf.DUMMYFUNCTION("IFERROR(
  VLOOKUP(
    A98,
    IMPORTRANGE(
      ""1SCYQd7_cobOYqT0r_F0IqD4tE4rYn5y8Eup4PJTH8es"",
      ""Snapshot!A:M""
    ),
    7,
    FALSE
  ),
  0
)
"),6216.0)</f>
        <v>6216</v>
      </c>
      <c r="AH98" s="54">
        <f>IFERROR(__xludf.DUMMYFUNCTION("IFERROR(
  VLOOKUP(
    A98,
    IMPORTRANGE(
      ""1SCYQd7_cobOYqT0r_F0IqD4tE4rYn5y8Eup4PJTH8es"",
      ""Snapshot!A:M""
    ),
    8,
    FALSE
  ),
  0
)
"),1.0)</f>
        <v>1</v>
      </c>
      <c r="AI98" s="54">
        <f>IFERROR(__xludf.DUMMYFUNCTION("IFERROR(
  VLOOKUP(
    A98,
    IMPORTRANGE(
      ""1SCYQd7_cobOYqT0r_F0IqD4tE4rYn5y8Eup4PJTH8es"",
      ""Snapshot!A:M""
    ),
    9,
    FALSE
  ),
  0
)
"),6.0)</f>
        <v>6</v>
      </c>
      <c r="AJ98" s="54">
        <f>IFERROR(__xludf.DUMMYFUNCTION("IFERROR(
  VLOOKUP(
    A98,
    IMPORTRANGE(
      ""1SCYQd7_cobOYqT0r_F0IqD4tE4rYn5y8Eup4PJTH8es"",
      ""Snapshot!A:M""
    ),
    13,
    FALSE
  ),
  0
)
"),1.0)</f>
        <v>1</v>
      </c>
      <c r="AK98" s="49">
        <f t="shared" ref="AK98:AL98" si="485">LEN(C98)</f>
        <v>39</v>
      </c>
      <c r="AL98" s="49">
        <f t="shared" si="485"/>
        <v>73</v>
      </c>
    </row>
    <row r="99">
      <c r="A99" s="3" t="s">
        <v>319</v>
      </c>
      <c r="B99" s="1" t="str">
        <f>IFERROR(__xludf.DUMMYFUNCTION("IFERROR(
  VLOOKUP(
    A99,
    IMPORTRANGE(
      ""1ZygntHC1J6IxzKbTidmOyf5nUyW4GCLurHCjexrLm_o"",
      ""HTMLキャッシュ!A:F""
    ),
    2,
    FALSE
  ),
  0
)
"),"SP")</f>
        <v>SP</v>
      </c>
      <c r="C99" s="1" t="str">
        <f>IFERROR(__xludf.DUMMYFUNCTION("IFERROR(
  VLOOKUP(
    A99,
    IMPORTRANGE(
      ""1ZygntHC1J6IxzKbTidmOyf5nUyW4GCLurHCjexrLm_o"",
      ""HTMLキャッシュ!A:F""
    ),
    5,
    FALSE
  ),
  0
)
"),"英語個別指導講座一覧｜基礎〜定期・過去問対応オンライン塾")</f>
        <v>英語個別指導講座一覧｜基礎〜定期・過去問対応オンライン塾</v>
      </c>
      <c r="D99" s="1" t="str">
        <f>IFERROR(__xludf.DUMMYFUNCTION("IFERROR(
  VLOOKUP(
    A99,
    IMPORTRANGE(
      ""1ZygntHC1J6IxzKbTidmOyf5nUyW4GCLurHCjexrLm_o        "",
      ""HTMLキャッシュ!A:F""
    ),
    6,
    FALSE
  ),
  0
)
"),"苦手英語や定期・入試対策に個別指導で対応。基礎〜過去問まで1対1で定着。四谷教室・オンライン体験受付中今すぐ相談可")</f>
        <v>苦手英語や定期・入試対策に個別指導で対応。基礎〜過去問まで1対1で定着。四谷教室・オンライン体験受付中今すぐ相談可</v>
      </c>
      <c r="E99" s="32">
        <f>IFERROR(__xludf.DUMMYFUNCTION("IFERROR(
  VLOOKUP(
    A99,
    IMPORTRANGE(
      ""1ZygntHC1J6IxzKbTidmOyf5nUyW4GCLurHCjexrLm_o        "",
      ""HTMLキャッシュ!A:F""
    ),
    3,
    FALSE
  ),
  0
)
"),46081.75827546296)</f>
        <v>46081.75828</v>
      </c>
      <c r="F99" s="49">
        <f>IFERROR(__xludf.DUMMYFUNCTION("IFERROR(
  VLOOKUP(
    A99,
    IMPORTRANGE(
      ""1ZHMy3vVUd_0MrSduXTe1etBb1HNpAlGwQr006ljwMiM"",
      ""GSC最新!A:F""
    ),
    2,
    FALSE
  ),
  0
)
"),0.0)</f>
        <v>0</v>
      </c>
      <c r="G99" s="49">
        <f>IFERROR(__xludf.DUMMYFUNCTION("IFERROR(
  VLOOKUP(
    A99,
    IMPORTRANGE(
      ""1ZHMy3vVUd_0MrSduXTe1etBb1HNpAlGwQr006ljwMiM"",
      ""GSC最新!A:F""
    ),
    3,
    FALSE
  ),
  0
)
"),0.0)</f>
        <v>0</v>
      </c>
      <c r="H99" s="49">
        <f>IFERROR(__xludf.DUMMYFUNCTION("IFERROR(
  VLOOKUP(
    A99,
    IMPORTRANGE(
      ""1ZHMy3vVUd_0MrSduXTe1etBb1HNpAlGwQr006ljwMiM"",
      ""GSC最新!A:F""
    ),
    4,
    FALSE
  ),
  0
)
"),0.0)</f>
        <v>0</v>
      </c>
      <c r="I99" s="49">
        <f>IFERROR(__xludf.DUMMYFUNCTION("IFERROR(
  VLOOKUP(
    A99,
    IMPORTRANGE(
      ""1ZHMy3vVUd_0MrSduXTe1etBb1HNpAlGwQr006ljwMiM"",
      ""GSC最新!A:F""
    ),
    5,
    FALSE
  ),
  0
)
"),0.0)</f>
        <v>0</v>
      </c>
      <c r="J99" s="50" t="str">
        <f t="shared" ref="J99:K99" si="486">IFERROR(F99/H99,"-")</f>
        <v>-</v>
      </c>
      <c r="K99" s="50" t="str">
        <f t="shared" si="486"/>
        <v>-</v>
      </c>
      <c r="L99" s="6">
        <f>IFERROR(__xludf.DUMMYFUNCTION("IFERROR(
  VLOOKUP(
    A99,
    IMPORTRANGE(
      ""1ZHMy3vVUd_0MrSduXTe1etBb1HNpAlGwQr006ljwMiM"",
      ""GSC最新!A:R""
    ),
    7,
    FALSE
  ),
  0
)
"),40.0)</f>
        <v>40</v>
      </c>
      <c r="M99" s="6">
        <f>IFERROR(__xludf.DUMMYFUNCTION("IFERROR(
  VLOOKUP(
    A99,
    IMPORTRANGE(
      ""1ZHMy3vVUd_0MrSduXTe1etBb1HNpAlGwQr006ljwMiM"",
      ""GSC最新!A:R""
    ),
    10,
    FALSE
  ),
  0
)
"),71.0)</f>
        <v>71</v>
      </c>
      <c r="N99" s="6">
        <f>IFERROR(__xludf.DUMMYFUNCTION("IFERROR(
  VLOOKUP(
    A99,
    IMPORTRANGE(
      ""1ZHMy3vVUd_0MrSduXTe1etBb1HNpAlGwQr006ljwMiM"",
      ""GSC最新!A:R""
    ),
    13,
    FALSE
  ),
  0
)
"),35.0)</f>
        <v>35</v>
      </c>
      <c r="O99" s="6">
        <f>IFERROR(__xludf.DUMMYFUNCTION("IFERROR(
  VLOOKUP(
    A99,
    IMPORTRANGE(
      ""1ZHMy3vVUd_0MrSduXTe1etBb1HNpAlGwQr006ljwMiM"",
      ""GSC最新!A:R""
    ),
    16,
    FALSE
  ),
  0
)
"),110.0)</f>
        <v>110</v>
      </c>
      <c r="P99" s="51">
        <f t="shared" ref="P99:Q99" si="487">IFERROR(L99/N99,"-")</f>
        <v>1.142857143</v>
      </c>
      <c r="Q99" s="51">
        <f t="shared" si="487"/>
        <v>0.6454545455</v>
      </c>
      <c r="R99" s="9">
        <f>IFERROR(__xludf.DUMMYFUNCTION("IFERROR(
  VLOOKUP(
    A99,
    IMPORTRANGE(
      ""1ZHMy3vVUd_0MrSduXTe1etBb1HNpAlGwQr006ljwMiM"",
      ""GSC最新!A:R""
    ),
    8,
    FALSE
  ),
  0
)
"),0.0)</f>
        <v>0</v>
      </c>
      <c r="S99" s="9">
        <f>IFERROR(__xludf.DUMMYFUNCTION("IFERROR(
  VLOOKUP(
    A99,
    IMPORTRANGE(
      ""1ZHMy3vVUd_0MrSduXTe1etBb1HNpAlGwQr006ljwMiM"",
      ""GSC最新!A:R""
    ),
    11,
    FALSE
  ),
  0
)
"),0.0)</f>
        <v>0</v>
      </c>
      <c r="T99" s="9">
        <f>IFERROR(__xludf.DUMMYFUNCTION("IFERROR(
  VLOOKUP(
    A99,
    IMPORTRANGE(
      ""1ZHMy3vVUd_0MrSduXTe1etBb1HNpAlGwQr006ljwMiM"",
      ""GSC最新!A:R""
    ),
    14,
    FALSE
  ),
  0
)
"),0.0)</f>
        <v>0</v>
      </c>
      <c r="U99" s="9">
        <f>IFERROR(__xludf.DUMMYFUNCTION("IFERROR(
  VLOOKUP(
    A99,
    IMPORTRANGE(
      ""1ZHMy3vVUd_0MrSduXTe1etBb1HNpAlGwQr006ljwMiM"",
      ""GSC最新!A:R""
    ),
    17,
    FALSE
  ),
  0
)
"),0.0)</f>
        <v>0</v>
      </c>
      <c r="V99" s="9">
        <f t="shared" ref="V99:W99" si="488">IFERROR(R99-T99,"-")</f>
        <v>0</v>
      </c>
      <c r="W99" s="9">
        <f t="shared" si="488"/>
        <v>0</v>
      </c>
      <c r="X99" s="65">
        <f>IFERROR(__xludf.DUMMYFUNCTION("IFERROR(
  VLOOKUP(
    A99,
    IMPORTRANGE(
      ""1ZHMy3vVUd_0MrSduXTe1etBb1HNpAlGwQr006ljwMiM"",
      ""GSC最新!A:R""
    ),
    9,
    FALSE
  ),
  0
)
"),9.175)</f>
        <v>9.175</v>
      </c>
      <c r="Y99" s="65">
        <f>IFERROR(__xludf.DUMMYFUNCTION("IFERROR(
  VLOOKUP(
    A99,
    IMPORTRANGE(
      ""1ZHMy3vVUd_0MrSduXTe1etBb1HNpAlGwQr006ljwMiM"",
      ""GSC最新!A:R""
    ),
    12,
    FALSE
  ),
  0
)
"),7.323943661971831)</f>
        <v>7.323943662</v>
      </c>
      <c r="Z99" s="65">
        <f>IFERROR(__xludf.DUMMYFUNCTION("IFERROR(
  VLOOKUP(
    A99,
    IMPORTRANGE(
      ""1ZHMy3vVUd_0MrSduXTe1etBb1HNpAlGwQr006ljwMiM"",
      ""GSC最新!A:R""
    ),
    15,
    FALSE
  ),
  0
)
"),17.057142857142857)</f>
        <v>17.05714286</v>
      </c>
      <c r="AA99" s="65">
        <f>IFERROR(__xludf.DUMMYFUNCTION("IFERROR(
  VLOOKUP(
    A99,
    IMPORTRANGE(
      ""1ZHMy3vVUd_0MrSduXTe1etBb1HNpAlGwQr006ljwMiM"",
      ""GSC最新!A:R""
    ),
    18,
    FALSE
  ),
  0
)
"),37.13636363636363)</f>
        <v>37.13636364</v>
      </c>
      <c r="AB99" s="65">
        <f t="shared" ref="AB99:AC99" si="489">X99-Z99</f>
        <v>-7.882142857</v>
      </c>
      <c r="AC99" s="65">
        <f t="shared" si="489"/>
        <v>-29.81241997</v>
      </c>
      <c r="AD99" s="53">
        <f>IFERROR(__xludf.DUMMYFUNCTION("IFERROR(
  VLOOKUP(
    A99,
    IMPORTRANGE(
      ""1ZHMy3vVUd_0MrSduXTe1etBb1HNpAlGwQr006ljwMiM"",
      ""GSC最新!A:F""
    ),
    6,
    FALSE
  ),
  0
)
"),46081.0)</f>
        <v>46081</v>
      </c>
      <c r="AE99" s="54">
        <f>IFERROR(__xludf.DUMMYFUNCTION("IFERROR(
  VLOOKUP(
    A99,
    IMPORTRANGE(
      ""1SCYQd7_cobOYqT0r_F0IqD4tE4rYn5y8Eup4PJTH8es"",
      ""Snapshot!A:M""
    ),
    5,
    FALSE
  ),
  ""-""
)
"),5.0)</f>
        <v>5</v>
      </c>
      <c r="AF99" s="54">
        <f>IFERROR(__xludf.DUMMYFUNCTION("IFERROR(
  VLOOKUP(
    A99,
    IMPORTRANGE(
      ""1SCYQd7_cobOYqT0r_F0IqD4tE4rYn5y8Eup4PJTH8es"",
      ""Snapshot!A:M""
    ),
    6,
    FALSE
  ),
  0
)
"),5.0)</f>
        <v>5</v>
      </c>
      <c r="AG99" s="54">
        <f>IFERROR(__xludf.DUMMYFUNCTION("IFERROR(
  VLOOKUP(
    A99,
    IMPORTRANGE(
      ""1SCYQd7_cobOYqT0r_F0IqD4tE4rYn5y8Eup4PJTH8es"",
      ""Snapshot!A:M""
    ),
    7,
    FALSE
  ),
  0
)
"),3546.0)</f>
        <v>3546</v>
      </c>
      <c r="AH99" s="54">
        <f>IFERROR(__xludf.DUMMYFUNCTION("IFERROR(
  VLOOKUP(
    A99,
    IMPORTRANGE(
      ""1SCYQd7_cobOYqT0r_F0IqD4tE4rYn5y8Eup4PJTH8es"",
      ""Snapshot!A:M""
    ),
    8,
    FALSE
  ),
  0
)
"),0.0)</f>
        <v>0</v>
      </c>
      <c r="AI99" s="54">
        <f>IFERROR(__xludf.DUMMYFUNCTION("IFERROR(
  VLOOKUP(
    A99,
    IMPORTRANGE(
      ""1SCYQd7_cobOYqT0r_F0IqD4tE4rYn5y8Eup4PJTH8es"",
      ""Snapshot!A:M""
    ),
    9,
    FALSE
  ),
  0
)
"),1.0)</f>
        <v>1</v>
      </c>
      <c r="AJ99" s="54">
        <f>IFERROR(__xludf.DUMMYFUNCTION("IFERROR(
  VLOOKUP(
    A99,
    IMPORTRANGE(
      ""1SCYQd7_cobOYqT0r_F0IqD4tE4rYn5y8Eup4PJTH8es"",
      ""Snapshot!A:M""
    ),
    13,
    FALSE
  ),
  0
)
"),1.0)</f>
        <v>1</v>
      </c>
      <c r="AK99" s="49">
        <f t="shared" ref="AK99:AL99" si="490">LEN(C99)</f>
        <v>28</v>
      </c>
      <c r="AL99" s="49">
        <f t="shared" si="490"/>
        <v>57</v>
      </c>
    </row>
    <row r="100">
      <c r="A100" s="3" t="s">
        <v>227</v>
      </c>
      <c r="B100" s="1" t="str">
        <f>IFERROR(__xludf.DUMMYFUNCTION("IFERROR(
  VLOOKUP(
    A100,
    IMPORTRANGE(
      ""1ZygntHC1J6IxzKbTidmOyf5nUyW4GCLurHCjexrLm_o"",
      ""HTMLキャッシュ!A:F""
    ),
    2,
    FALSE
  ),
  0
)
"),"-")</f>
        <v>-</v>
      </c>
      <c r="C100" s="1" t="str">
        <f>IFERROR(__xludf.DUMMYFUNCTION("IFERROR(
  VLOOKUP(
    A100,
    IMPORTRANGE(
      ""1ZygntHC1J6IxzKbTidmOyf5nUyW4GCLurHCjexrLm_o"",
      ""HTMLキャッシュ!A:F""
    ),
    5,
    FALSE
  ),
  0
)
"),"コラム - 新宿区四谷の英語専門塾「英語教室『サポート』」～英語は別に怖くない！～")</f>
        <v>コラム - 新宿区四谷の英語専門塾「英語教室『サポート』」～英語は別に怖くない！～</v>
      </c>
      <c r="D100" s="1" t="str">
        <f>IFERROR(__xludf.DUMMYFUNCTION("IFERROR(
  VLOOKUP(
    A100,
    IMPORTRANGE(
      ""1ZygntHC1J6IxzKbTidmOyf5nUyW4GCLurHCjexrLm_o        "",
      ""HTMLキャッシュ!A:F""
    ),
    6,
    FALSE
  ),
  0
)
"),"[1ページ目] コラム の記事 新宿区四谷の英語専門塾「英語教室『サポート』」～英語は別に怖くない！～ 完全１対１の個別指導で生徒さんのニーズに応じて、適切な授業をご提案いたします。")</f>
        <v>[1ページ目] コラム の記事 新宿区四谷の英語専門塾「英語教室『サポート』」～英語は別に怖くない！～ 完全１対１の個別指導で生徒さんのニーズに応じて、適切な授業をご提案いたします。</v>
      </c>
      <c r="E100" s="32">
        <f>IFERROR(__xludf.DUMMYFUNCTION("IFERROR(
  VLOOKUP(
    A100,
    IMPORTRANGE(
      ""1ZygntHC1J6IxzKbTidmOyf5nUyW4GCLurHCjexrLm_o        "",
      ""HTMLキャッシュ!A:F""
    ),
    3,
    FALSE
  ),
  0
)
"),46026.64440972222)</f>
        <v>46026.64441</v>
      </c>
      <c r="F100" s="49">
        <f>IFERROR(__xludf.DUMMYFUNCTION("IFERROR(
  VLOOKUP(
    A100,
    IMPORTRANGE(
      ""1ZHMy3vVUd_0MrSduXTe1etBb1HNpAlGwQr006ljwMiM"",
      ""GSC最新!A:F""
    ),
    2,
    FALSE
  ),
  0
)
"),0.0)</f>
        <v>0</v>
      </c>
      <c r="G100" s="49">
        <f>IFERROR(__xludf.DUMMYFUNCTION("IFERROR(
  VLOOKUP(
    A100,
    IMPORTRANGE(
      ""1ZHMy3vVUd_0MrSduXTe1etBb1HNpAlGwQr006ljwMiM"",
      ""GSC最新!A:F""
    ),
    3,
    FALSE
  ),
  0
)
"),0.0)</f>
        <v>0</v>
      </c>
      <c r="H100" s="49">
        <f>IFERROR(__xludf.DUMMYFUNCTION("IFERROR(
  VLOOKUP(
    A100,
    IMPORTRANGE(
      ""1ZHMy3vVUd_0MrSduXTe1etBb1HNpAlGwQr006ljwMiM"",
      ""GSC最新!A:F""
    ),
    4,
    FALSE
  ),
  0
)
"),0.0)</f>
        <v>0</v>
      </c>
      <c r="I100" s="49">
        <f>IFERROR(__xludf.DUMMYFUNCTION("IFERROR(
  VLOOKUP(
    A100,
    IMPORTRANGE(
      ""1ZHMy3vVUd_0MrSduXTe1etBb1HNpAlGwQr006ljwMiM"",
      ""GSC最新!A:F""
    ),
    5,
    FALSE
  ),
  0
)
"),0.0)</f>
        <v>0</v>
      </c>
      <c r="J100" s="50" t="str">
        <f t="shared" ref="J100:K100" si="491">IFERROR(F100/H100,"-")</f>
        <v>-</v>
      </c>
      <c r="K100" s="50" t="str">
        <f t="shared" si="491"/>
        <v>-</v>
      </c>
      <c r="L100" s="6">
        <f>IFERROR(__xludf.DUMMYFUNCTION("IFERROR(
  VLOOKUP(
    A100,
    IMPORTRANGE(
      ""1ZHMy3vVUd_0MrSduXTe1etBb1HNpAlGwQr006ljwMiM"",
      ""GSC最新!A:R""
    ),
    7,
    FALSE
  ),
  0
)
"),18.0)</f>
        <v>18</v>
      </c>
      <c r="M100" s="6">
        <f>IFERROR(__xludf.DUMMYFUNCTION("IFERROR(
  VLOOKUP(
    A100,
    IMPORTRANGE(
      ""1ZHMy3vVUd_0MrSduXTe1etBb1HNpAlGwQr006ljwMiM"",
      ""GSC最新!A:R""
    ),
    10,
    FALSE
  ),
  0
)
"),61.0)</f>
        <v>61</v>
      </c>
      <c r="N100" s="6">
        <f>IFERROR(__xludf.DUMMYFUNCTION("IFERROR(
  VLOOKUP(
    A100,
    IMPORTRANGE(
      ""1ZHMy3vVUd_0MrSduXTe1etBb1HNpAlGwQr006ljwMiM"",
      ""GSC最新!A:R""
    ),
    13,
    FALSE
  ),
  0
)
"),0.0)</f>
        <v>0</v>
      </c>
      <c r="O100" s="6">
        <f>IFERROR(__xludf.DUMMYFUNCTION("IFERROR(
  VLOOKUP(
    A100,
    IMPORTRANGE(
      ""1ZHMy3vVUd_0MrSduXTe1etBb1HNpAlGwQr006ljwMiM"",
      ""GSC最新!A:R""
    ),
    16,
    FALSE
  ),
  0
)
"),17.0)</f>
        <v>17</v>
      </c>
      <c r="P100" s="51" t="str">
        <f t="shared" ref="P100:Q100" si="492">IFERROR(L100/N100,"-")</f>
        <v>-</v>
      </c>
      <c r="Q100" s="51">
        <f t="shared" si="492"/>
        <v>3.588235294</v>
      </c>
      <c r="R100" s="9">
        <f>IFERROR(__xludf.DUMMYFUNCTION("IFERROR(
  VLOOKUP(
    A100,
    IMPORTRANGE(
      ""1ZHMy3vVUd_0MrSduXTe1etBb1HNpAlGwQr006ljwMiM"",
      ""GSC最新!A:R""
    ),
    8,
    FALSE
  ),
  0
)
"),0.0)</f>
        <v>0</v>
      </c>
      <c r="S100" s="9">
        <f>IFERROR(__xludf.DUMMYFUNCTION("IFERROR(
  VLOOKUP(
    A100,
    IMPORTRANGE(
      ""1ZHMy3vVUd_0MrSduXTe1etBb1HNpAlGwQr006ljwMiM"",
      ""GSC最新!A:R""
    ),
    11,
    FALSE
  ),
  0
)
"),0.0)</f>
        <v>0</v>
      </c>
      <c r="T100" s="9">
        <f>IFERROR(__xludf.DUMMYFUNCTION("IFERROR(
  VLOOKUP(
    A100,
    IMPORTRANGE(
      ""1ZHMy3vVUd_0MrSduXTe1etBb1HNpAlGwQr006ljwMiM"",
      ""GSC最新!A:R""
    ),
    14,
    FALSE
  ),
  0
)
"),0.0)</f>
        <v>0</v>
      </c>
      <c r="U100" s="9">
        <f>IFERROR(__xludf.DUMMYFUNCTION("IFERROR(
  VLOOKUP(
    A100,
    IMPORTRANGE(
      ""1ZHMy3vVUd_0MrSduXTe1etBb1HNpAlGwQr006ljwMiM"",
      ""GSC最新!A:R""
    ),
    17,
    FALSE
  ),
  0
)
"),0.0)</f>
        <v>0</v>
      </c>
      <c r="V100" s="9">
        <f t="shared" ref="V100:W100" si="493">IFERROR(R100-T100,"-")</f>
        <v>0</v>
      </c>
      <c r="W100" s="9">
        <f t="shared" si="493"/>
        <v>0</v>
      </c>
      <c r="X100" s="65">
        <f>IFERROR(__xludf.DUMMYFUNCTION("IFERROR(
  VLOOKUP(
    A100,
    IMPORTRANGE(
      ""1ZHMy3vVUd_0MrSduXTe1etBb1HNpAlGwQr006ljwMiM"",
      ""GSC最新!A:R""
    ),
    9,
    FALSE
  ),
  0
)
"),8.777777777777779)</f>
        <v>8.777777778</v>
      </c>
      <c r="Y100" s="65">
        <f>IFERROR(__xludf.DUMMYFUNCTION("IFERROR(
  VLOOKUP(
    A100,
    IMPORTRANGE(
      ""1ZHMy3vVUd_0MrSduXTe1etBb1HNpAlGwQr006ljwMiM"",
      ""GSC最新!A:R""
    ),
    12,
    FALSE
  ),
  0
)
"),5.016393442622951)</f>
        <v>5.016393443</v>
      </c>
      <c r="Z100" s="65" t="str">
        <f>IFERROR(__xludf.DUMMYFUNCTION("IFERROR(
  VLOOKUP(
    A100,
    IMPORTRANGE(
      ""1ZHMy3vVUd_0MrSduXTe1etBb1HNpAlGwQr006ljwMiM"",
      ""GSC最新!A:R""
    ),
    15,
    FALSE
  ),
  0
)
"),"")</f>
        <v/>
      </c>
      <c r="AA100" s="65">
        <f>IFERROR(__xludf.DUMMYFUNCTION("IFERROR(
  VLOOKUP(
    A100,
    IMPORTRANGE(
      ""1ZHMy3vVUd_0MrSduXTe1etBb1HNpAlGwQr006ljwMiM"",
      ""GSC最新!A:R""
    ),
    18,
    FALSE
  ),
  0
)
"),41.88235294117647)</f>
        <v>41.88235294</v>
      </c>
      <c r="AB100" s="65">
        <f t="shared" ref="AB100:AC100" si="494">X100-Z100</f>
        <v>8.777777778</v>
      </c>
      <c r="AC100" s="65">
        <f t="shared" si="494"/>
        <v>-36.8659595</v>
      </c>
      <c r="AD100" s="53">
        <f>IFERROR(__xludf.DUMMYFUNCTION("IFERROR(
  VLOOKUP(
    A100,
    IMPORTRANGE(
      ""1ZHMy3vVUd_0MrSduXTe1etBb1HNpAlGwQr006ljwMiM"",
      ""GSC最新!A:F""
    ),
    6,
    FALSE
  ),
  0
)
"),46081.0)</f>
        <v>46081</v>
      </c>
      <c r="AE100" s="54">
        <f>IFERROR(__xludf.DUMMYFUNCTION("IFERROR(
  VLOOKUP(
    A100,
    IMPORTRANGE(
      ""1SCYQd7_cobOYqT0r_F0IqD4tE4rYn5y8Eup4PJTH8es"",
      ""Snapshot!A:M""
    ),
    5,
    FALSE
  ),
  ""-""
)
"),0.0)</f>
        <v>0</v>
      </c>
      <c r="AF100" s="54">
        <f>IFERROR(__xludf.DUMMYFUNCTION("IFERROR(
  VLOOKUP(
    A100,
    IMPORTRANGE(
      ""1SCYQd7_cobOYqT0r_F0IqD4tE4rYn5y8Eup4PJTH8es"",
      ""Snapshot!A:M""
    ),
    6,
    FALSE
  ),
  0
)
"),0.0)</f>
        <v>0</v>
      </c>
      <c r="AG100" s="54">
        <f>IFERROR(__xludf.DUMMYFUNCTION("IFERROR(
  VLOOKUP(
    A100,
    IMPORTRANGE(
      ""1SCYQd7_cobOYqT0r_F0IqD4tE4rYn5y8Eup4PJTH8es"",
      ""Snapshot!A:M""
    ),
    7,
    FALSE
  ),
  0
)
"),0.0)</f>
        <v>0</v>
      </c>
      <c r="AH100" s="54">
        <f>IFERROR(__xludf.DUMMYFUNCTION("IFERROR(
  VLOOKUP(
    A100,
    IMPORTRANGE(
      ""1SCYQd7_cobOYqT0r_F0IqD4tE4rYn5y8Eup4PJTH8es"",
      ""Snapshot!A:M""
    ),
    8,
    FALSE
  ),
  0
)
"),0.0)</f>
        <v>0</v>
      </c>
      <c r="AI100" s="54">
        <f>IFERROR(__xludf.DUMMYFUNCTION("IFERROR(
  VLOOKUP(
    A100,
    IMPORTRANGE(
      ""1SCYQd7_cobOYqT0r_F0IqD4tE4rYn5y8Eup4PJTH8es"",
      ""Snapshot!A:M""
    ),
    9,
    FALSE
  ),
  0
)
"),0.0)</f>
        <v>0</v>
      </c>
      <c r="AJ100" s="54">
        <f>IFERROR(__xludf.DUMMYFUNCTION("IFERROR(
  VLOOKUP(
    A100,
    IMPORTRANGE(
      ""1SCYQd7_cobOYqT0r_F0IqD4tE4rYn5y8Eup4PJTH8es"",
      ""Snapshot!A:M""
    ),
    13,
    FALSE
  ),
  0
)
"),1.0)</f>
        <v>1</v>
      </c>
      <c r="AK100" s="49">
        <f t="shared" ref="AK100:AL100" si="495">LEN(C100)</f>
        <v>41</v>
      </c>
      <c r="AL100" s="49">
        <f t="shared" si="495"/>
        <v>91</v>
      </c>
    </row>
    <row r="101">
      <c r="A101" s="3" t="s">
        <v>1185</v>
      </c>
      <c r="B101" s="1" t="str">
        <f>IFERROR(__xludf.DUMMYFUNCTION("IFERROR(
  VLOOKUP(
    A101,
    IMPORTRANGE(
      ""1ZygntHC1J6IxzKbTidmOyf5nUyW4GCLurHCjexrLm_o"",
      ""HTMLキャッシュ!A:F""
    ),
    2,
    FALSE
  ),
  0
)
"),"MC")</f>
        <v>MC</v>
      </c>
      <c r="C101" s="1" t="str">
        <f>IFERROR(__xludf.DUMMYFUNCTION("IFERROR(
  VLOOKUP(
    A101,
    IMPORTRANGE(
      ""1ZygntHC1J6IxzKbTidmOyf5nUyW4GCLurHCjexrLm_o"",
      ""HTMLキャッシュ!A:F""
    ),
    5,
    FALSE
  ),
  0
)
"),"定冠詞【Progress Book1 5-2】 - 新宿区四谷の英語専門塾「英語教室『サポート』」～英語は別に怖くない！～")</f>
        <v>定冠詞【Progress Book1 5-2】 - 新宿区四谷の英語専門塾「英語教室『サポート』」～英語は別に怖くない！～</v>
      </c>
      <c r="D101" s="1" t="str">
        <f>IFERROR(__xludf.DUMMYFUNCTION("IFERROR(
  VLOOKUP(
    A101,
    IMPORTRANGE(
      ""1ZygntHC1J6IxzKbTidmOyf5nUyW4GCLurHCjexrLm_o        "",
      ""HTMLキャッシュ!A:F""
    ),
    6,
    FALSE
  ),
  0
)
"),"「Where&amp;#039;s」の使い方 今回は「Where&amp;#039;s Kevin’ dad?」という文を取り上げます。ちなみに「")</f>
        <v>「Where&amp;#039;s」の使い方 今回は「Where&amp;#039;s Kevin’ dad?」という文を取り上げます。ちなみに「</v>
      </c>
      <c r="E101" s="32">
        <f>IFERROR(__xludf.DUMMYFUNCTION("IFERROR(
  VLOOKUP(
    A101,
    IMPORTRANGE(
      ""1ZygntHC1J6IxzKbTidmOyf5nUyW4GCLurHCjexrLm_o        "",
      ""HTMLキャッシュ!A:F""
    ),
    3,
    FALSE
  ),
  0
)
"),46043.76094907407)</f>
        <v>46043.76095</v>
      </c>
      <c r="F101" s="49">
        <f>IFERROR(__xludf.DUMMYFUNCTION("IFERROR(
  VLOOKUP(
    A101,
    IMPORTRANGE(
      ""1ZHMy3vVUd_0MrSduXTe1etBb1HNpAlGwQr006ljwMiM"",
      ""GSC最新!A:F""
    ),
    2,
    FALSE
  ),
  0
)
"),0.0)</f>
        <v>0</v>
      </c>
      <c r="G101" s="49">
        <f>IFERROR(__xludf.DUMMYFUNCTION("IFERROR(
  VLOOKUP(
    A101,
    IMPORTRANGE(
      ""1ZHMy3vVUd_0MrSduXTe1etBb1HNpAlGwQr006ljwMiM"",
      ""GSC最新!A:F""
    ),
    3,
    FALSE
  ),
  0
)
"),0.0)</f>
        <v>0</v>
      </c>
      <c r="H101" s="49">
        <f>IFERROR(__xludf.DUMMYFUNCTION("IFERROR(
  VLOOKUP(
    A101,
    IMPORTRANGE(
      ""1ZHMy3vVUd_0MrSduXTe1etBb1HNpAlGwQr006ljwMiM"",
      ""GSC最新!A:F""
    ),
    4,
    FALSE
  ),
  0
)
"),0.0)</f>
        <v>0</v>
      </c>
      <c r="I101" s="49">
        <f>IFERROR(__xludf.DUMMYFUNCTION("IFERROR(
  VLOOKUP(
    A101,
    IMPORTRANGE(
      ""1ZHMy3vVUd_0MrSduXTe1etBb1HNpAlGwQr006ljwMiM"",
      ""GSC最新!A:F""
    ),
    5,
    FALSE
  ),
  0
)
"),0.0)</f>
        <v>0</v>
      </c>
      <c r="J101" s="50" t="str">
        <f t="shared" ref="J101:K101" si="496">IFERROR(F101/H101,"-")</f>
        <v>-</v>
      </c>
      <c r="K101" s="50" t="str">
        <f t="shared" si="496"/>
        <v>-</v>
      </c>
      <c r="L101" s="6">
        <f>IFERROR(__xludf.DUMMYFUNCTION("IFERROR(
  VLOOKUP(
    A101,
    IMPORTRANGE(
      ""1ZHMy3vVUd_0MrSduXTe1etBb1HNpAlGwQr006ljwMiM"",
      ""GSC最新!A:R""
    ),
    7,
    FALSE
  ),
  0
)
"),35.0)</f>
        <v>35</v>
      </c>
      <c r="M101" s="6">
        <f>IFERROR(__xludf.DUMMYFUNCTION("IFERROR(
  VLOOKUP(
    A101,
    IMPORTRANGE(
      ""1ZHMy3vVUd_0MrSduXTe1etBb1HNpAlGwQr006ljwMiM"",
      ""GSC最新!A:R""
    ),
    10,
    FALSE
  ),
  0
)
"),54.0)</f>
        <v>54</v>
      </c>
      <c r="N101" s="6">
        <f>IFERROR(__xludf.DUMMYFUNCTION("IFERROR(
  VLOOKUP(
    A101,
    IMPORTRANGE(
      ""1ZHMy3vVUd_0MrSduXTe1etBb1HNpAlGwQr006ljwMiM"",
      ""GSC最新!A:R""
    ),
    13,
    FALSE
  ),
  0
)
"),3.0)</f>
        <v>3</v>
      </c>
      <c r="O101" s="6">
        <f>IFERROR(__xludf.DUMMYFUNCTION("IFERROR(
  VLOOKUP(
    A101,
    IMPORTRANGE(
      ""1ZHMy3vVUd_0MrSduXTe1etBb1HNpAlGwQr006ljwMiM"",
      ""GSC最新!A:R""
    ),
    16,
    FALSE
  ),
  0
)
"),63.0)</f>
        <v>63</v>
      </c>
      <c r="P101" s="51">
        <f t="shared" ref="P101:Q101" si="497">IFERROR(L101/N101,"-")</f>
        <v>11.66666667</v>
      </c>
      <c r="Q101" s="51">
        <f t="shared" si="497"/>
        <v>0.8571428571</v>
      </c>
      <c r="R101" s="9">
        <f>IFERROR(__xludf.DUMMYFUNCTION("IFERROR(
  VLOOKUP(
    A101,
    IMPORTRANGE(
      ""1ZHMy3vVUd_0MrSduXTe1etBb1HNpAlGwQr006ljwMiM"",
      ""GSC最新!A:R""
    ),
    8,
    FALSE
  ),
  0
)
"),0.0)</f>
        <v>0</v>
      </c>
      <c r="S101" s="9">
        <f>IFERROR(__xludf.DUMMYFUNCTION("IFERROR(
  VLOOKUP(
    A101,
    IMPORTRANGE(
      ""1ZHMy3vVUd_0MrSduXTe1etBb1HNpAlGwQr006ljwMiM"",
      ""GSC最新!A:R""
    ),
    11,
    FALSE
  ),
  0
)
"),0.0)</f>
        <v>0</v>
      </c>
      <c r="T101" s="9">
        <f>IFERROR(__xludf.DUMMYFUNCTION("IFERROR(
  VLOOKUP(
    A101,
    IMPORTRANGE(
      ""1ZHMy3vVUd_0MrSduXTe1etBb1HNpAlGwQr006ljwMiM"",
      ""GSC最新!A:R""
    ),
    14,
    FALSE
  ),
  0
)
"),0.0)</f>
        <v>0</v>
      </c>
      <c r="U101" s="9">
        <f>IFERROR(__xludf.DUMMYFUNCTION("IFERROR(
  VLOOKUP(
    A101,
    IMPORTRANGE(
      ""1ZHMy3vVUd_0MrSduXTe1etBb1HNpAlGwQr006ljwMiM"",
      ""GSC最新!A:R""
    ),
    17,
    FALSE
  ),
  0
)
"),0.0)</f>
        <v>0</v>
      </c>
      <c r="V101" s="9">
        <f t="shared" ref="V101:W101" si="498">IFERROR(R101-T101,"-")</f>
        <v>0</v>
      </c>
      <c r="W101" s="9">
        <f t="shared" si="498"/>
        <v>0</v>
      </c>
      <c r="X101" s="65">
        <f>IFERROR(__xludf.DUMMYFUNCTION("IFERROR(
  VLOOKUP(
    A101,
    IMPORTRANGE(
      ""1ZHMy3vVUd_0MrSduXTe1etBb1HNpAlGwQr006ljwMiM"",
      ""GSC最新!A:R""
    ),
    9,
    FALSE
  ),
  0
)
"),7.285714285714286)</f>
        <v>7.285714286</v>
      </c>
      <c r="Y101" s="65">
        <f>IFERROR(__xludf.DUMMYFUNCTION("IFERROR(
  VLOOKUP(
    A101,
    IMPORTRANGE(
      ""1ZHMy3vVUd_0MrSduXTe1etBb1HNpAlGwQr006ljwMiM"",
      ""GSC最新!A:R""
    ),
    12,
    FALSE
  ),
  0
)
"),7.333333333333333)</f>
        <v>7.333333333</v>
      </c>
      <c r="Z101" s="65">
        <f>IFERROR(__xludf.DUMMYFUNCTION("IFERROR(
  VLOOKUP(
    A101,
    IMPORTRANGE(
      ""1ZHMy3vVUd_0MrSduXTe1etBb1HNpAlGwQr006ljwMiM"",
      ""GSC最新!A:R""
    ),
    15,
    FALSE
  ),
  0
)
"),6.333333333333333)</f>
        <v>6.333333333</v>
      </c>
      <c r="AA101" s="65">
        <f>IFERROR(__xludf.DUMMYFUNCTION("IFERROR(
  VLOOKUP(
    A101,
    IMPORTRANGE(
      ""1ZHMy3vVUd_0MrSduXTe1etBb1HNpAlGwQr006ljwMiM"",
      ""GSC最新!A:R""
    ),
    18,
    FALSE
  ),
  0
)
"),8.968253968253968)</f>
        <v>8.968253968</v>
      </c>
      <c r="AB101" s="65">
        <f t="shared" ref="AB101:AC101" si="499">X101-Z101</f>
        <v>0.9523809524</v>
      </c>
      <c r="AC101" s="65">
        <f t="shared" si="499"/>
        <v>-1.634920635</v>
      </c>
      <c r="AD101" s="53">
        <f>IFERROR(__xludf.DUMMYFUNCTION("IFERROR(
  VLOOKUP(
    A101,
    IMPORTRANGE(
      ""1ZHMy3vVUd_0MrSduXTe1etBb1HNpAlGwQr006ljwMiM"",
      ""GSC最新!A:F""
    ),
    6,
    FALSE
  ),
  0
)
"),46081.0)</f>
        <v>46081</v>
      </c>
      <c r="AE101" s="54">
        <f>IFERROR(__xludf.DUMMYFUNCTION("IFERROR(
  VLOOKUP(
    A101,
    IMPORTRANGE(
      ""1SCYQd7_cobOYqT0r_F0IqD4tE4rYn5y8Eup4PJTH8es"",
      ""Snapshot!A:M""
    ),
    5,
    FALSE
  ),
  ""-""
)
"),0.0)</f>
        <v>0</v>
      </c>
      <c r="AF101" s="54">
        <f>IFERROR(__xludf.DUMMYFUNCTION("IFERROR(
  VLOOKUP(
    A101,
    IMPORTRANGE(
      ""1SCYQd7_cobOYqT0r_F0IqD4tE4rYn5y8Eup4PJTH8es"",
      ""Snapshot!A:M""
    ),
    6,
    FALSE
  ),
  0
)
"),8.0)</f>
        <v>8</v>
      </c>
      <c r="AG101" s="54">
        <f>IFERROR(__xludf.DUMMYFUNCTION("IFERROR(
  VLOOKUP(
    A101,
    IMPORTRANGE(
      ""1SCYQd7_cobOYqT0r_F0IqD4tE4rYn5y8Eup4PJTH8es"",
      ""Snapshot!A:M""
    ),
    7,
    FALSE
  ),
  0
)
"),4567.0)</f>
        <v>4567</v>
      </c>
      <c r="AH101" s="54">
        <f>IFERROR(__xludf.DUMMYFUNCTION("IFERROR(
  VLOOKUP(
    A101,
    IMPORTRANGE(
      ""1SCYQd7_cobOYqT0r_F0IqD4tE4rYn5y8Eup4PJTH8es"",
      ""Snapshot!A:M""
    ),
    8,
    FALSE
  ),
  0
)
"),1.0)</f>
        <v>1</v>
      </c>
      <c r="AI101" s="54">
        <f>IFERROR(__xludf.DUMMYFUNCTION("IFERROR(
  VLOOKUP(
    A101,
    IMPORTRANGE(
      ""1SCYQd7_cobOYqT0r_F0IqD4tE4rYn5y8Eup4PJTH8es"",
      ""Snapshot!A:M""
    ),
    9,
    FALSE
  ),
  0
)
"),4.0)</f>
        <v>4</v>
      </c>
      <c r="AJ101" s="54">
        <f>IFERROR(__xludf.DUMMYFUNCTION("IFERROR(
  VLOOKUP(
    A101,
    IMPORTRANGE(
      ""1SCYQd7_cobOYqT0r_F0IqD4tE4rYn5y8Eup4PJTH8es"",
      ""Snapshot!A:M""
    ),
    13,
    FALSE
  ),
  0
)
"),1.0)</f>
        <v>1</v>
      </c>
      <c r="AK101" s="49">
        <f t="shared" ref="AK101:AL101" si="500">LEN(C101)</f>
        <v>61</v>
      </c>
      <c r="AL101" s="49">
        <f t="shared" si="500"/>
        <v>65</v>
      </c>
    </row>
    <row r="102">
      <c r="A102" s="3" t="s">
        <v>1186</v>
      </c>
      <c r="B102" s="1" t="str">
        <f>IFERROR(__xludf.DUMMYFUNCTION("IFERROR(
  VLOOKUP(
    A102,
    IMPORTRANGE(
      ""1ZygntHC1J6IxzKbTidmOyf5nUyW4GCLurHCjexrLm_o"",
      ""HTMLキャッシュ!A:F""
    ),
    2,
    FALSE
  ),
  0
)
"),"ST")</f>
        <v>ST</v>
      </c>
      <c r="C102" s="1" t="str">
        <f>IFERROR(__xludf.DUMMYFUNCTION("IFERROR(
  VLOOKUP(
    A102,
    IMPORTRANGE(
      ""1ZygntHC1J6IxzKbTidmOyf5nUyW4GCLurHCjexrLm_o"",
      ""HTMLキャッシュ!A:F""
    ),
    5,
    FALSE
  ),
  0
)
"),"アクセス - 新宿区四谷の英語専門塾「英語教室『サポート』」～英語は別に怖くない！～")</f>
        <v>アクセス - 新宿区四谷の英語専門塾「英語教室『サポート』」～英語は別に怖くない！～</v>
      </c>
      <c r="D102" s="1" t="str">
        <f>IFERROR(__xludf.DUMMYFUNCTION("IFERROR(
  VLOOKUP(
    A102,
    IMPORTRANGE(
      ""1ZygntHC1J6IxzKbTidmOyf5nUyW4GCLurHCjexrLm_o        "",
      ""HTMLキャッシュ!A:F""
    ),
    6,
    FALSE
  ),
  0
)
"),"教室へのアクセス 住所 〒160-0004 東京都新宿区四谷１－７ 装美ビル301 地図 道順 四ツ谷駅の四ツ")</f>
        <v>教室へのアクセス 住所 〒160-0004 東京都新宿区四谷１－７ 装美ビル301 地図 道順 四ツ谷駅の四ツ</v>
      </c>
      <c r="E102" s="32">
        <f>IFERROR(__xludf.DUMMYFUNCTION("IFERROR(
  VLOOKUP(
    A102,
    IMPORTRANGE(
      ""1ZygntHC1J6IxzKbTidmOyf5nUyW4GCLurHCjexrLm_o        "",
      ""HTMLキャッシュ!A:F""
    ),
    3,
    FALSE
  ),
  0
)
"),45159.60018518518)</f>
        <v>45159.60019</v>
      </c>
      <c r="F102" s="49">
        <f>IFERROR(__xludf.DUMMYFUNCTION("IFERROR(
  VLOOKUP(
    A102,
    IMPORTRANGE(
      ""1ZHMy3vVUd_0MrSduXTe1etBb1HNpAlGwQr006ljwMiM"",
      ""GSC最新!A:F""
    ),
    2,
    FALSE
  ),
  0
)
"),0.0)</f>
        <v>0</v>
      </c>
      <c r="G102" s="49">
        <f>IFERROR(__xludf.DUMMYFUNCTION("IFERROR(
  VLOOKUP(
    A102,
    IMPORTRANGE(
      ""1ZHMy3vVUd_0MrSduXTe1etBb1HNpAlGwQr006ljwMiM"",
      ""GSC最新!A:F""
    ),
    3,
    FALSE
  ),
  0
)
"),0.0)</f>
        <v>0</v>
      </c>
      <c r="H102" s="49">
        <f>IFERROR(__xludf.DUMMYFUNCTION("IFERROR(
  VLOOKUP(
    A102,
    IMPORTRANGE(
      ""1ZHMy3vVUd_0MrSduXTe1etBb1HNpAlGwQr006ljwMiM"",
      ""GSC最新!A:F""
    ),
    4,
    FALSE
  ),
  0
)
"),0.0)</f>
        <v>0</v>
      </c>
      <c r="I102" s="49">
        <f>IFERROR(__xludf.DUMMYFUNCTION("IFERROR(
  VLOOKUP(
    A102,
    IMPORTRANGE(
      ""1ZHMy3vVUd_0MrSduXTe1etBb1HNpAlGwQr006ljwMiM"",
      ""GSC最新!A:F""
    ),
    5,
    FALSE
  ),
  0
)
"),0.0)</f>
        <v>0</v>
      </c>
      <c r="J102" s="50" t="str">
        <f t="shared" ref="J102:K102" si="501">IFERROR(F102/H102,"-")</f>
        <v>-</v>
      </c>
      <c r="K102" s="50" t="str">
        <f t="shared" si="501"/>
        <v>-</v>
      </c>
      <c r="L102" s="6">
        <f>IFERROR(__xludf.DUMMYFUNCTION("IFERROR(
  VLOOKUP(
    A102,
    IMPORTRANGE(
      ""1ZHMy3vVUd_0MrSduXTe1etBb1HNpAlGwQr006ljwMiM"",
      ""GSC最新!A:R""
    ),
    7,
    FALSE
  ),
  0
)
"),18.0)</f>
        <v>18</v>
      </c>
      <c r="M102" s="6">
        <f>IFERROR(__xludf.DUMMYFUNCTION("IFERROR(
  VLOOKUP(
    A102,
    IMPORTRANGE(
      ""1ZHMy3vVUd_0MrSduXTe1etBb1HNpAlGwQr006ljwMiM"",
      ""GSC最新!A:R""
    ),
    10,
    FALSE
  ),
  0
)
"),49.0)</f>
        <v>49</v>
      </c>
      <c r="N102" s="6">
        <f>IFERROR(__xludf.DUMMYFUNCTION("IFERROR(
  VLOOKUP(
    A102,
    IMPORTRANGE(
      ""1ZHMy3vVUd_0MrSduXTe1etBb1HNpAlGwQr006ljwMiM"",
      ""GSC最新!A:R""
    ),
    13,
    FALSE
  ),
  0
)
"),107.0)</f>
        <v>107</v>
      </c>
      <c r="O102" s="6">
        <f>IFERROR(__xludf.DUMMYFUNCTION("IFERROR(
  VLOOKUP(
    A102,
    IMPORTRANGE(
      ""1ZHMy3vVUd_0MrSduXTe1etBb1HNpAlGwQr006ljwMiM"",
      ""GSC最新!A:R""
    ),
    16,
    FALSE
  ),
  0
)
"),371.0)</f>
        <v>371</v>
      </c>
      <c r="P102" s="51">
        <f t="shared" ref="P102:Q102" si="502">IFERROR(L102/N102,"-")</f>
        <v>0.1682242991</v>
      </c>
      <c r="Q102" s="51">
        <f t="shared" si="502"/>
        <v>0.1320754717</v>
      </c>
      <c r="R102" s="9">
        <f>IFERROR(__xludf.DUMMYFUNCTION("IFERROR(
  VLOOKUP(
    A102,
    IMPORTRANGE(
      ""1ZHMy3vVUd_0MrSduXTe1etBb1HNpAlGwQr006ljwMiM"",
      ""GSC最新!A:R""
    ),
    8,
    FALSE
  ),
  0
)
"),0.0)</f>
        <v>0</v>
      </c>
      <c r="S102" s="9">
        <f>IFERROR(__xludf.DUMMYFUNCTION("IFERROR(
  VLOOKUP(
    A102,
    IMPORTRANGE(
      ""1ZHMy3vVUd_0MrSduXTe1etBb1HNpAlGwQr006ljwMiM"",
      ""GSC最新!A:R""
    ),
    11,
    FALSE
  ),
  0
)
"),0.0)</f>
        <v>0</v>
      </c>
      <c r="T102" s="9">
        <f>IFERROR(__xludf.DUMMYFUNCTION("IFERROR(
  VLOOKUP(
    A102,
    IMPORTRANGE(
      ""1ZHMy3vVUd_0MrSduXTe1etBb1HNpAlGwQr006ljwMiM"",
      ""GSC最新!A:R""
    ),
    14,
    FALSE
  ),
  0
)
"),0.0)</f>
        <v>0</v>
      </c>
      <c r="U102" s="9">
        <f>IFERROR(__xludf.DUMMYFUNCTION("IFERROR(
  VLOOKUP(
    A102,
    IMPORTRANGE(
      ""1ZHMy3vVUd_0MrSduXTe1etBb1HNpAlGwQr006ljwMiM"",
      ""GSC最新!A:R""
    ),
    17,
    FALSE
  ),
  0
)
"),0.0)</f>
        <v>0</v>
      </c>
      <c r="V102" s="9">
        <f t="shared" ref="V102:W102" si="503">IFERROR(R102-T102,"-")</f>
        <v>0</v>
      </c>
      <c r="W102" s="9">
        <f t="shared" si="503"/>
        <v>0</v>
      </c>
      <c r="X102" s="65">
        <f>IFERROR(__xludf.DUMMYFUNCTION("IFERROR(
  VLOOKUP(
    A102,
    IMPORTRANGE(
      ""1ZHMy3vVUd_0MrSduXTe1etBb1HNpAlGwQr006ljwMiM"",
      ""GSC最新!A:R""
    ),
    9,
    FALSE
  ),
  0
)
"),8.777777777777779)</f>
        <v>8.777777778</v>
      </c>
      <c r="Y102" s="65">
        <f>IFERROR(__xludf.DUMMYFUNCTION("IFERROR(
  VLOOKUP(
    A102,
    IMPORTRANGE(
      ""1ZHMy3vVUd_0MrSduXTe1etBb1HNpAlGwQr006ljwMiM"",
      ""GSC最新!A:R""
    ),
    12,
    FALSE
  ),
  0
)
"),8.938775510204081)</f>
        <v>8.93877551</v>
      </c>
      <c r="Z102" s="65">
        <f>IFERROR(__xludf.DUMMYFUNCTION("IFERROR(
  VLOOKUP(
    A102,
    IMPORTRANGE(
      ""1ZHMy3vVUd_0MrSduXTe1etBb1HNpAlGwQr006ljwMiM"",
      ""GSC最新!A:R""
    ),
    15,
    FALSE
  ),
  0
)
"),43.22429906542056)</f>
        <v>43.22429907</v>
      </c>
      <c r="AA102" s="65">
        <f>IFERROR(__xludf.DUMMYFUNCTION("IFERROR(
  VLOOKUP(
    A102,
    IMPORTRANGE(
      ""1ZHMy3vVUd_0MrSduXTe1etBb1HNpAlGwQr006ljwMiM"",
      ""GSC最新!A:R""
    ),
    18,
    FALSE
  ),
  0
)
"),48.25606469002695)</f>
        <v>48.25606469</v>
      </c>
      <c r="AB102" s="65">
        <f t="shared" ref="AB102:AC102" si="504">X102-Z102</f>
        <v>-34.44652129</v>
      </c>
      <c r="AC102" s="65">
        <f t="shared" si="504"/>
        <v>-39.31728918</v>
      </c>
      <c r="AD102" s="53">
        <f>IFERROR(__xludf.DUMMYFUNCTION("IFERROR(
  VLOOKUP(
    A102,
    IMPORTRANGE(
      ""1ZHMy3vVUd_0MrSduXTe1etBb1HNpAlGwQr006ljwMiM"",
      ""GSC最新!A:F""
    ),
    6,
    FALSE
  ),
  0
)
"),46081.0)</f>
        <v>46081</v>
      </c>
      <c r="AE102" s="54">
        <f>IFERROR(__xludf.DUMMYFUNCTION("IFERROR(
  VLOOKUP(
    A102,
    IMPORTRANGE(
      ""1SCYQd7_cobOYqT0r_F0IqD4tE4rYn5y8Eup4PJTH8es"",
      ""Snapshot!A:M""
    ),
    5,
    FALSE
  ),
  ""-""
)
"),1.0)</f>
        <v>1</v>
      </c>
      <c r="AF102" s="54">
        <f>IFERROR(__xludf.DUMMYFUNCTION("IFERROR(
  VLOOKUP(
    A102,
    IMPORTRANGE(
      ""1SCYQd7_cobOYqT0r_F0IqD4tE4rYn5y8Eup4PJTH8es"",
      ""Snapshot!A:M""
    ),
    6,
    FALSE
  ),
  0
)
"),4.0)</f>
        <v>4</v>
      </c>
      <c r="AG102" s="54">
        <f>IFERROR(__xludf.DUMMYFUNCTION("IFERROR(
  VLOOKUP(
    A102,
    IMPORTRANGE(
      ""1SCYQd7_cobOYqT0r_F0IqD4tE4rYn5y8Eup4PJTH8es"",
      ""Snapshot!A:M""
    ),
    7,
    FALSE
  ),
  0
)
"),206.0)</f>
        <v>206</v>
      </c>
      <c r="AH102" s="54">
        <f>IFERROR(__xludf.DUMMYFUNCTION("IFERROR(
  VLOOKUP(
    A102,
    IMPORTRANGE(
      ""1SCYQd7_cobOYqT0r_F0IqD4tE4rYn5y8Eup4PJTH8es"",
      ""Snapshot!A:M""
    ),
    8,
    FALSE
  ),
  0
)
"),0.0)</f>
        <v>0</v>
      </c>
      <c r="AI102" s="54">
        <f>IFERROR(__xludf.DUMMYFUNCTION("IFERROR(
  VLOOKUP(
    A102,
    IMPORTRANGE(
      ""1SCYQd7_cobOYqT0r_F0IqD4tE4rYn5y8Eup4PJTH8es"",
      ""Snapshot!A:M""
    ),
    9,
    FALSE
  ),
  0
)
"),1.0)</f>
        <v>1</v>
      </c>
      <c r="AJ102" s="54">
        <f>IFERROR(__xludf.DUMMYFUNCTION("IFERROR(
  VLOOKUP(
    A102,
    IMPORTRANGE(
      ""1SCYQd7_cobOYqT0r_F0IqD4tE4rYn5y8Eup4PJTH8es"",
      ""Snapshot!A:M""
    ),
    13,
    FALSE
  ),
  0
)
"),1.0)</f>
        <v>1</v>
      </c>
      <c r="AK102" s="49">
        <f t="shared" ref="AK102:AL102" si="505">LEN(C102)</f>
        <v>42</v>
      </c>
      <c r="AL102" s="49">
        <f t="shared" si="505"/>
        <v>55</v>
      </c>
    </row>
    <row r="103">
      <c r="A103" s="3" t="s">
        <v>1187</v>
      </c>
      <c r="B103" s="1" t="str">
        <f>IFERROR(__xludf.DUMMYFUNCTION("IFERROR(
  VLOOKUP(
    A103,
    IMPORTRANGE(
      ""1ZygntHC1J6IxzKbTidmOyf5nUyW4GCLurHCjexrLm_o"",
      ""HTMLキャッシュ!A:F""
    ),
    2,
    FALSE
  ),
  0
)
"),"ST")</f>
        <v>ST</v>
      </c>
      <c r="C103" s="1" t="str">
        <f>IFERROR(__xludf.DUMMYFUNCTION("IFERROR(
  VLOOKUP(
    A103,
    IMPORTRANGE(
      ""1ZygntHC1J6IxzKbTidmOyf5nUyW4GCLurHCjexrLm_o"",
      ""HTMLキャッシュ!A:F""
    ),
    5,
    FALSE
  ),
  0
)
"),"会社概要 - 新宿区四谷の英語専門塾「英語教室『サポート』」～英語は別に怖くない！～")</f>
        <v>会社概要 - 新宿区四谷の英語専門塾「英語教室『サポート』」～英語は別に怖くない！～</v>
      </c>
      <c r="D103" s="1" t="str">
        <f>IFERROR(__xludf.DUMMYFUNCTION("IFERROR(
  VLOOKUP(
    A103,
    IMPORTRANGE(
      ""1ZygntHC1J6IxzKbTidmOyf5nUyW4GCLurHCjexrLm_o        "",
      ""HTMLキャッシュ!A:F""
    ),
    6,
    FALSE
  ),
  0
)
"),"「英語教室サポート」は株式会社アリスメティカジャパンにより運営されております。 会社概要 社名 株式会社アリス")</f>
        <v>「英語教室サポート」は株式会社アリスメティカジャパンにより運営されております。 会社概要 社名 株式会社アリス</v>
      </c>
      <c r="E103" s="32">
        <f>IFERROR(__xludf.DUMMYFUNCTION("IFERROR(
  VLOOKUP(
    A103,
    IMPORTRANGE(
      ""1ZygntHC1J6IxzKbTidmOyf5nUyW4GCLurHCjexrLm_o        "",
      ""HTMLキャッシュ!A:F""
    ),
    3,
    FALSE
  ),
  0
)
"),45159.60119212963)</f>
        <v>45159.60119</v>
      </c>
      <c r="F103" s="49">
        <f>IFERROR(__xludf.DUMMYFUNCTION("IFERROR(
  VLOOKUP(
    A103,
    IMPORTRANGE(
      ""1ZHMy3vVUd_0MrSduXTe1etBb1HNpAlGwQr006ljwMiM"",
      ""GSC最新!A:F""
    ),
    2,
    FALSE
  ),
  0
)
"),0.0)</f>
        <v>0</v>
      </c>
      <c r="G103" s="49">
        <f>IFERROR(__xludf.DUMMYFUNCTION("IFERROR(
  VLOOKUP(
    A103,
    IMPORTRANGE(
      ""1ZHMy3vVUd_0MrSduXTe1etBb1HNpAlGwQr006ljwMiM"",
      ""GSC最新!A:F""
    ),
    3,
    FALSE
  ),
  0
)
"),0.0)</f>
        <v>0</v>
      </c>
      <c r="H103" s="49">
        <f>IFERROR(__xludf.DUMMYFUNCTION("IFERROR(
  VLOOKUP(
    A103,
    IMPORTRANGE(
      ""1ZHMy3vVUd_0MrSduXTe1etBb1HNpAlGwQr006ljwMiM"",
      ""GSC最新!A:F""
    ),
    4,
    FALSE
  ),
  0
)
"),0.0)</f>
        <v>0</v>
      </c>
      <c r="I103" s="49">
        <f>IFERROR(__xludf.DUMMYFUNCTION("IFERROR(
  VLOOKUP(
    A103,
    IMPORTRANGE(
      ""1ZHMy3vVUd_0MrSduXTe1etBb1HNpAlGwQr006ljwMiM"",
      ""GSC最新!A:F""
    ),
    5,
    FALSE
  ),
  0
)
"),1.0)</f>
        <v>1</v>
      </c>
      <c r="J103" s="50" t="str">
        <f t="shared" ref="J103:K103" si="506">IFERROR(F103/H103,"-")</f>
        <v>-</v>
      </c>
      <c r="K103" s="50">
        <f t="shared" si="506"/>
        <v>0</v>
      </c>
      <c r="L103" s="6">
        <f>IFERROR(__xludf.DUMMYFUNCTION("IFERROR(
  VLOOKUP(
    A103,
    IMPORTRANGE(
      ""1ZHMy3vVUd_0MrSduXTe1etBb1HNpAlGwQr006ljwMiM"",
      ""GSC最新!A:R""
    ),
    7,
    FALSE
  ),
  0
)
"),25.0)</f>
        <v>25</v>
      </c>
      <c r="M103" s="6">
        <f>IFERROR(__xludf.DUMMYFUNCTION("IFERROR(
  VLOOKUP(
    A103,
    IMPORTRANGE(
      ""1ZHMy3vVUd_0MrSduXTe1etBb1HNpAlGwQr006ljwMiM"",
      ""GSC最新!A:R""
    ),
    10,
    FALSE
  ),
  0
)
"),46.0)</f>
        <v>46</v>
      </c>
      <c r="N103" s="6">
        <f>IFERROR(__xludf.DUMMYFUNCTION("IFERROR(
  VLOOKUP(
    A103,
    IMPORTRANGE(
      ""1ZHMy3vVUd_0MrSduXTe1etBb1HNpAlGwQr006ljwMiM"",
      ""GSC最新!A:R""
    ),
    13,
    FALSE
  ),
  0
)
"),12.0)</f>
        <v>12</v>
      </c>
      <c r="O103" s="6">
        <f>IFERROR(__xludf.DUMMYFUNCTION("IFERROR(
  VLOOKUP(
    A103,
    IMPORTRANGE(
      ""1ZHMy3vVUd_0MrSduXTe1etBb1HNpAlGwQr006ljwMiM"",
      ""GSC最新!A:R""
    ),
    16,
    FALSE
  ),
  0
)
"),79.0)</f>
        <v>79</v>
      </c>
      <c r="P103" s="51">
        <f t="shared" ref="P103:Q103" si="507">IFERROR(L103/N103,"-")</f>
        <v>2.083333333</v>
      </c>
      <c r="Q103" s="51">
        <f t="shared" si="507"/>
        <v>0.582278481</v>
      </c>
      <c r="R103" s="9">
        <f>IFERROR(__xludf.DUMMYFUNCTION("IFERROR(
  VLOOKUP(
    A103,
    IMPORTRANGE(
      ""1ZHMy3vVUd_0MrSduXTe1etBb1HNpAlGwQr006ljwMiM"",
      ""GSC最新!A:R""
    ),
    8,
    FALSE
  ),
  0
)
"),0.0)</f>
        <v>0</v>
      </c>
      <c r="S103" s="9">
        <f>IFERROR(__xludf.DUMMYFUNCTION("IFERROR(
  VLOOKUP(
    A103,
    IMPORTRANGE(
      ""1ZHMy3vVUd_0MrSduXTe1etBb1HNpAlGwQr006ljwMiM"",
      ""GSC最新!A:R""
    ),
    11,
    FALSE
  ),
  0
)
"),0.0)</f>
        <v>0</v>
      </c>
      <c r="T103" s="9">
        <f>IFERROR(__xludf.DUMMYFUNCTION("IFERROR(
  VLOOKUP(
    A103,
    IMPORTRANGE(
      ""1ZHMy3vVUd_0MrSduXTe1etBb1HNpAlGwQr006ljwMiM"",
      ""GSC最新!A:R""
    ),
    14,
    FALSE
  ),
  0
)
"),0.0)</f>
        <v>0</v>
      </c>
      <c r="U103" s="9">
        <f>IFERROR(__xludf.DUMMYFUNCTION("IFERROR(
  VLOOKUP(
    A103,
    IMPORTRANGE(
      ""1ZHMy3vVUd_0MrSduXTe1etBb1HNpAlGwQr006ljwMiM"",
      ""GSC最新!A:R""
    ),
    17,
    FALSE
  ),
  0
)
"),0.012658227848101266)</f>
        <v>0.01265822785</v>
      </c>
      <c r="V103" s="9">
        <f t="shared" ref="V103:W103" si="508">IFERROR(R103-T103,"-")</f>
        <v>0</v>
      </c>
      <c r="W103" s="9">
        <f t="shared" si="508"/>
        <v>-0.01265822785</v>
      </c>
      <c r="X103" s="65">
        <f>IFERROR(__xludf.DUMMYFUNCTION("IFERROR(
  VLOOKUP(
    A103,
    IMPORTRANGE(
      ""1ZHMy3vVUd_0MrSduXTe1etBb1HNpAlGwQr006ljwMiM"",
      ""GSC最新!A:R""
    ),
    9,
    FALSE
  ),
  0
)
"),4.6)</f>
        <v>4.6</v>
      </c>
      <c r="Y103" s="65">
        <f>IFERROR(__xludf.DUMMYFUNCTION("IFERROR(
  VLOOKUP(
    A103,
    IMPORTRANGE(
      ""1ZHMy3vVUd_0MrSduXTe1etBb1HNpAlGwQr006ljwMiM"",
      ""GSC最新!A:R""
    ),
    12,
    FALSE
  ),
  0
)
"),5.391304347826087)</f>
        <v>5.391304348</v>
      </c>
      <c r="Z103" s="65">
        <f>IFERROR(__xludf.DUMMYFUNCTION("IFERROR(
  VLOOKUP(
    A103,
    IMPORTRANGE(
      ""1ZHMy3vVUd_0MrSduXTe1etBb1HNpAlGwQr006ljwMiM"",
      ""GSC最新!A:R""
    ),
    15,
    FALSE
  ),
  0
)
"),10.416666666666666)</f>
        <v>10.41666667</v>
      </c>
      <c r="AA103" s="65">
        <f>IFERROR(__xludf.DUMMYFUNCTION("IFERROR(
  VLOOKUP(
    A103,
    IMPORTRANGE(
      ""1ZHMy3vVUd_0MrSduXTe1etBb1HNpAlGwQr006ljwMiM"",
      ""GSC最新!A:R""
    ),
    18,
    FALSE
  ),
  0
)
"),17.50632911392405)</f>
        <v>17.50632911</v>
      </c>
      <c r="AB103" s="65">
        <f t="shared" ref="AB103:AC103" si="509">X103-Z103</f>
        <v>-5.816666667</v>
      </c>
      <c r="AC103" s="65">
        <f t="shared" si="509"/>
        <v>-12.11502477</v>
      </c>
      <c r="AD103" s="53">
        <f>IFERROR(__xludf.DUMMYFUNCTION("IFERROR(
  VLOOKUP(
    A103,
    IMPORTRANGE(
      ""1ZHMy3vVUd_0MrSduXTe1etBb1HNpAlGwQr006ljwMiM"",
      ""GSC最新!A:F""
    ),
    6,
    FALSE
  ),
  0
)
"),46081.0)</f>
        <v>46081</v>
      </c>
      <c r="AE103" s="54">
        <f>IFERROR(__xludf.DUMMYFUNCTION("IFERROR(
  VLOOKUP(
    A103,
    IMPORTRANGE(
      ""1SCYQd7_cobOYqT0r_F0IqD4tE4rYn5y8Eup4PJTH8es"",
      ""Snapshot!A:M""
    ),
    5,
    FALSE
  ),
  ""-""
)
"),1.0)</f>
        <v>1</v>
      </c>
      <c r="AF103" s="54">
        <f>IFERROR(__xludf.DUMMYFUNCTION("IFERROR(
  VLOOKUP(
    A103,
    IMPORTRANGE(
      ""1SCYQd7_cobOYqT0r_F0IqD4tE4rYn5y8Eup4PJTH8es"",
      ""Snapshot!A:M""
    ),
    6,
    FALSE
  ),
  0
)
"),6.0)</f>
        <v>6</v>
      </c>
      <c r="AG103" s="54">
        <f>IFERROR(__xludf.DUMMYFUNCTION("IFERROR(
  VLOOKUP(
    A103,
    IMPORTRANGE(
      ""1SCYQd7_cobOYqT0r_F0IqD4tE4rYn5y8Eup4PJTH8es"",
      ""Snapshot!A:M""
    ),
    7,
    FALSE
  ),
  0
)
"),679.0)</f>
        <v>679</v>
      </c>
      <c r="AH103" s="54">
        <f>IFERROR(__xludf.DUMMYFUNCTION("IFERROR(
  VLOOKUP(
    A103,
    IMPORTRANGE(
      ""1SCYQd7_cobOYqT0r_F0IqD4tE4rYn5y8Eup4PJTH8es"",
      ""Snapshot!A:M""
    ),
    8,
    FALSE
  ),
  0
)
"),0.0)</f>
        <v>0</v>
      </c>
      <c r="AI103" s="54">
        <f>IFERROR(__xludf.DUMMYFUNCTION("IFERROR(
  VLOOKUP(
    A103,
    IMPORTRANGE(
      ""1SCYQd7_cobOYqT0r_F0IqD4tE4rYn5y8Eup4PJTH8es"",
      ""Snapshot!A:M""
    ),
    9,
    FALSE
  ),
  0
)
"),1.0)</f>
        <v>1</v>
      </c>
      <c r="AJ103" s="54">
        <f>IFERROR(__xludf.DUMMYFUNCTION("IFERROR(
  VLOOKUP(
    A103,
    IMPORTRANGE(
      ""1SCYQd7_cobOYqT0r_F0IqD4tE4rYn5y8Eup4PJTH8es"",
      ""Snapshot!A:M""
    ),
    13,
    FALSE
  ),
  0
)
"),1.0)</f>
        <v>1</v>
      </c>
      <c r="AK103" s="49">
        <f t="shared" ref="AK103:AL103" si="510">LEN(C103)</f>
        <v>42</v>
      </c>
      <c r="AL103" s="49">
        <f t="shared" si="510"/>
        <v>55</v>
      </c>
    </row>
    <row r="104">
      <c r="A104" s="3" t="s">
        <v>1188</v>
      </c>
      <c r="B104" s="1" t="str">
        <f>IFERROR(__xludf.DUMMYFUNCTION("IFERROR(
  VLOOKUP(
    A104,
    IMPORTRANGE(
      ""1ZygntHC1J6IxzKbTidmOyf5nUyW4GCLurHCjexrLm_o"",
      ""HTMLキャッシュ!A:F""
    ),
    2,
    FALSE
  ),
  0
)
"),"MC")</f>
        <v>MC</v>
      </c>
      <c r="C104" s="1" t="str">
        <f>IFERROR(__xludf.DUMMYFUNCTION("IFERROR(
  VLOOKUP(
    A104,
    IMPORTRANGE(
      ""1ZygntHC1J6IxzKbTidmOyf5nUyW4GCLurHCjexrLm_o"",
      ""HTMLキャッシュ!A:F""
    ),
    5,
    FALSE
  ),
  0
)
"),"不定詞 to do の基本と用法整理｜Progress Book1-3-2")</f>
        <v>不定詞 to do の基本と用法整理｜Progress Book1-3-2</v>
      </c>
      <c r="D104" s="1" t="str">
        <f>IFERROR(__xludf.DUMMYFUNCTION("IFERROR(
  VLOOKUP(
    A104,
    IMPORTRANGE(
      ""1ZygntHC1J6IxzKbTidmOyf5nUyW4GCLurHCjexrLm_o        "",
      ""HTMLキャッシュ!A:F""
    ),
    6,
    FALSE
  ),
  0
)
"),"aとmyは同時に使えない。所有格の基本と、your new penの正しい語順を例文で整理。中1英語の初期ミスを防ぐ確認用。")</f>
        <v>aとmyは同時に使えない。所有格の基本と、your new penの正しい語順を例文で整理。中1英語の初期ミスを防ぐ確認用。</v>
      </c>
      <c r="E104" s="32">
        <f>IFERROR(__xludf.DUMMYFUNCTION("IFERROR(
  VLOOKUP(
    A104,
    IMPORTRANGE(
      ""1ZygntHC1J6IxzKbTidmOyf5nUyW4GCLurHCjexrLm_o        "",
      ""HTMLキャッシュ!A:F""
    ),
    3,
    FALSE
  ),
  0
)
"),46074.56575231482)</f>
        <v>46074.56575</v>
      </c>
      <c r="F104" s="49">
        <f>IFERROR(__xludf.DUMMYFUNCTION("IFERROR(
  VLOOKUP(
    A104,
    IMPORTRANGE(
      ""1ZHMy3vVUd_0MrSduXTe1etBb1HNpAlGwQr006ljwMiM"",
      ""GSC最新!A:F""
    ),
    2,
    FALSE
  ),
  0
)
"),0.0)</f>
        <v>0</v>
      </c>
      <c r="G104" s="49">
        <f>IFERROR(__xludf.DUMMYFUNCTION("IFERROR(
  VLOOKUP(
    A104,
    IMPORTRANGE(
      ""1ZHMy3vVUd_0MrSduXTe1etBb1HNpAlGwQr006ljwMiM"",
      ""GSC最新!A:F""
    ),
    3,
    FALSE
  ),
  0
)
"),0.0)</f>
        <v>0</v>
      </c>
      <c r="H104" s="49">
        <f>IFERROR(__xludf.DUMMYFUNCTION("IFERROR(
  VLOOKUP(
    A104,
    IMPORTRANGE(
      ""1ZHMy3vVUd_0MrSduXTe1etBb1HNpAlGwQr006ljwMiM"",
      ""GSC最新!A:F""
    ),
    4,
    FALSE
  ),
  0
)
"),0.0)</f>
        <v>0</v>
      </c>
      <c r="I104" s="49">
        <f>IFERROR(__xludf.DUMMYFUNCTION("IFERROR(
  VLOOKUP(
    A104,
    IMPORTRANGE(
      ""1ZHMy3vVUd_0MrSduXTe1etBb1HNpAlGwQr006ljwMiM"",
      ""GSC最新!A:F""
    ),
    5,
    FALSE
  ),
  0
)
"),0.0)</f>
        <v>0</v>
      </c>
      <c r="J104" s="50" t="str">
        <f t="shared" ref="J104:K104" si="511">IFERROR(F104/H104,"-")</f>
        <v>-</v>
      </c>
      <c r="K104" s="50" t="str">
        <f t="shared" si="511"/>
        <v>-</v>
      </c>
      <c r="L104" s="6">
        <f>IFERROR(__xludf.DUMMYFUNCTION("IFERROR(
  VLOOKUP(
    A104,
    IMPORTRANGE(
      ""1ZHMy3vVUd_0MrSduXTe1etBb1HNpAlGwQr006ljwMiM"",
      ""GSC最新!A:R""
    ),
    7,
    FALSE
  ),
  0
)
"),20.0)</f>
        <v>20</v>
      </c>
      <c r="M104" s="6">
        <f>IFERROR(__xludf.DUMMYFUNCTION("IFERROR(
  VLOOKUP(
    A104,
    IMPORTRANGE(
      ""1ZHMy3vVUd_0MrSduXTe1etBb1HNpAlGwQr006ljwMiM"",
      ""GSC最新!A:R""
    ),
    10,
    FALSE
  ),
  0
)
"),48.0)</f>
        <v>48</v>
      </c>
      <c r="N104" s="6">
        <f>IFERROR(__xludf.DUMMYFUNCTION("IFERROR(
  VLOOKUP(
    A104,
    IMPORTRANGE(
      ""1ZHMy3vVUd_0MrSduXTe1etBb1HNpAlGwQr006ljwMiM"",
      ""GSC最新!A:R""
    ),
    13,
    FALSE
  ),
  0
)
"),2.0)</f>
        <v>2</v>
      </c>
      <c r="O104" s="6">
        <f>IFERROR(__xludf.DUMMYFUNCTION("IFERROR(
  VLOOKUP(
    A104,
    IMPORTRANGE(
      ""1ZHMy3vVUd_0MrSduXTe1etBb1HNpAlGwQr006ljwMiM"",
      ""GSC最新!A:R""
    ),
    16,
    FALSE
  ),
  0
)
"),2.0)</f>
        <v>2</v>
      </c>
      <c r="P104" s="51">
        <f t="shared" ref="P104:Q104" si="512">IFERROR(L104/N104,"-")</f>
        <v>10</v>
      </c>
      <c r="Q104" s="51">
        <f t="shared" si="512"/>
        <v>24</v>
      </c>
      <c r="R104" s="9">
        <f>IFERROR(__xludf.DUMMYFUNCTION("IFERROR(
  VLOOKUP(
    A104,
    IMPORTRANGE(
      ""1ZHMy3vVUd_0MrSduXTe1etBb1HNpAlGwQr006ljwMiM"",
      ""GSC最新!A:R""
    ),
    8,
    FALSE
  ),
  0
)
"),0.0)</f>
        <v>0</v>
      </c>
      <c r="S104" s="9">
        <f>IFERROR(__xludf.DUMMYFUNCTION("IFERROR(
  VLOOKUP(
    A104,
    IMPORTRANGE(
      ""1ZHMy3vVUd_0MrSduXTe1etBb1HNpAlGwQr006ljwMiM"",
      ""GSC最新!A:R""
    ),
    11,
    FALSE
  ),
  0
)
"),0.0)</f>
        <v>0</v>
      </c>
      <c r="T104" s="9">
        <f>IFERROR(__xludf.DUMMYFUNCTION("IFERROR(
  VLOOKUP(
    A104,
    IMPORTRANGE(
      ""1ZHMy3vVUd_0MrSduXTe1etBb1HNpAlGwQr006ljwMiM"",
      ""GSC最新!A:R""
    ),
    14,
    FALSE
  ),
  0
)
"),0.0)</f>
        <v>0</v>
      </c>
      <c r="U104" s="9">
        <f>IFERROR(__xludf.DUMMYFUNCTION("IFERROR(
  VLOOKUP(
    A104,
    IMPORTRANGE(
      ""1ZHMy3vVUd_0MrSduXTe1etBb1HNpAlGwQr006ljwMiM"",
      ""GSC最新!A:R""
    ),
    17,
    FALSE
  ),
  0
)
"),0.0)</f>
        <v>0</v>
      </c>
      <c r="V104" s="9">
        <f t="shared" ref="V104:W104" si="513">IFERROR(R104-T104,"-")</f>
        <v>0</v>
      </c>
      <c r="W104" s="9">
        <f t="shared" si="513"/>
        <v>0</v>
      </c>
      <c r="X104" s="65">
        <f>IFERROR(__xludf.DUMMYFUNCTION("IFERROR(
  VLOOKUP(
    A104,
    IMPORTRANGE(
      ""1ZHMy3vVUd_0MrSduXTe1etBb1HNpAlGwQr006ljwMiM"",
      ""GSC最新!A:R""
    ),
    9,
    FALSE
  ),
  0
)
"),9.0)</f>
        <v>9</v>
      </c>
      <c r="Y104" s="65">
        <f>IFERROR(__xludf.DUMMYFUNCTION("IFERROR(
  VLOOKUP(
    A104,
    IMPORTRANGE(
      ""1ZHMy3vVUd_0MrSduXTe1etBb1HNpAlGwQr006ljwMiM"",
      ""GSC最新!A:R""
    ),
    12,
    FALSE
  ),
  0
)
"),8.416666666666668)</f>
        <v>8.416666667</v>
      </c>
      <c r="Z104" s="65">
        <f>IFERROR(__xludf.DUMMYFUNCTION("IFERROR(
  VLOOKUP(
    A104,
    IMPORTRANGE(
      ""1ZHMy3vVUd_0MrSduXTe1etBb1HNpAlGwQr006ljwMiM"",
      ""GSC最新!A:R""
    ),
    15,
    FALSE
  ),
  0
)
"),15.5)</f>
        <v>15.5</v>
      </c>
      <c r="AA104" s="65">
        <f>IFERROR(__xludf.DUMMYFUNCTION("IFERROR(
  VLOOKUP(
    A104,
    IMPORTRANGE(
      ""1ZHMy3vVUd_0MrSduXTe1etBb1HNpAlGwQr006ljwMiM"",
      ""GSC最新!A:R""
    ),
    18,
    FALSE
  ),
  0
)
"),15.5)</f>
        <v>15.5</v>
      </c>
      <c r="AB104" s="65">
        <f t="shared" ref="AB104:AC104" si="514">X104-Z104</f>
        <v>-6.5</v>
      </c>
      <c r="AC104" s="65">
        <f t="shared" si="514"/>
        <v>-7.083333333</v>
      </c>
      <c r="AD104" s="53">
        <f>IFERROR(__xludf.DUMMYFUNCTION("IFERROR(
  VLOOKUP(
    A104,
    IMPORTRANGE(
      ""1ZHMy3vVUd_0MrSduXTe1etBb1HNpAlGwQr006ljwMiM"",
      ""GSC最新!A:F""
    ),
    6,
    FALSE
  ),
  0
)
"),46081.0)</f>
        <v>46081</v>
      </c>
      <c r="AE104" s="54">
        <f>IFERROR(__xludf.DUMMYFUNCTION("IFERROR(
  VLOOKUP(
    A104,
    IMPORTRANGE(
      ""1SCYQd7_cobOYqT0r_F0IqD4tE4rYn5y8Eup4PJTH8es"",
      ""Snapshot!A:M""
    ),
    5,
    FALSE
  ),
  ""-""
)
"),0.0)</f>
        <v>0</v>
      </c>
      <c r="AF104" s="54">
        <f>IFERROR(__xludf.DUMMYFUNCTION("IFERROR(
  VLOOKUP(
    A104,
    IMPORTRANGE(
      ""1SCYQd7_cobOYqT0r_F0IqD4tE4rYn5y8Eup4PJTH8es"",
      ""Snapshot!A:M""
    ),
    6,
    FALSE
  ),
  0
)
"),7.0)</f>
        <v>7</v>
      </c>
      <c r="AG104" s="54">
        <f>IFERROR(__xludf.DUMMYFUNCTION("IFERROR(
  VLOOKUP(
    A104,
    IMPORTRANGE(
      ""1SCYQd7_cobOYqT0r_F0IqD4tE4rYn5y8Eup4PJTH8es"",
      ""Snapshot!A:M""
    ),
    7,
    FALSE
  ),
  0
)
"),2289.0)</f>
        <v>2289</v>
      </c>
      <c r="AH104" s="54">
        <f>IFERROR(__xludf.DUMMYFUNCTION("IFERROR(
  VLOOKUP(
    A104,
    IMPORTRANGE(
      ""1SCYQd7_cobOYqT0r_F0IqD4tE4rYn5y8Eup4PJTH8es"",
      ""Snapshot!A:M""
    ),
    8,
    FALSE
  ),
  0
)
"),1.0)</f>
        <v>1</v>
      </c>
      <c r="AI104" s="54">
        <f>IFERROR(__xludf.DUMMYFUNCTION("IFERROR(
  VLOOKUP(
    A104,
    IMPORTRANGE(
      ""1SCYQd7_cobOYqT0r_F0IqD4tE4rYn5y8Eup4PJTH8es"",
      ""Snapshot!A:M""
    ),
    9,
    FALSE
  ),
  0
)
"),5.0)</f>
        <v>5</v>
      </c>
      <c r="AJ104" s="54">
        <f>IFERROR(__xludf.DUMMYFUNCTION("IFERROR(
  VLOOKUP(
    A104,
    IMPORTRANGE(
      ""1SCYQd7_cobOYqT0r_F0IqD4tE4rYn5y8Eup4PJTH8es"",
      ""Snapshot!A:M""
    ),
    13,
    FALSE
  ),
  0
)
"),1.0)</f>
        <v>1</v>
      </c>
      <c r="AK104" s="49">
        <f t="shared" ref="AK104:AL104" si="515">LEN(C104)</f>
        <v>37</v>
      </c>
      <c r="AL104" s="49">
        <f t="shared" si="515"/>
        <v>62</v>
      </c>
    </row>
    <row r="105">
      <c r="A105" s="3" t="s">
        <v>1189</v>
      </c>
      <c r="B105" s="1" t="str">
        <f>IFERROR(__xludf.DUMMYFUNCTION("IFERROR(
  VLOOKUP(
    A105,
    IMPORTRANGE(
      ""1ZygntHC1J6IxzKbTidmOyf5nUyW4GCLurHCjexrLm_o"",
      ""HTMLキャッシュ!A:F""
    ),
    2,
    FALSE
  ),
  0
)
"),"MC")</f>
        <v>MC</v>
      </c>
      <c r="C105" s="1" t="str">
        <f>IFERROR(__xludf.DUMMYFUNCTION("IFERROR(
  VLOOKUP(
    A105,
    IMPORTRANGE(
      ""1ZygntHC1J6IxzKbTidmOyf5nUyW4GCLurHCjexrLm_o"",
      ""HTMLキャッシュ!A:F""
    ),
    5,
    FALSE
  ),
  0
)
"),"中高一貫中2｜withの用法まとめ：together/名詞修飾/付帯状況with A B【ProgressBook2】")</f>
        <v>中高一貫中2｜withの用法まとめ：together/名詞修飾/付帯状況with A B【ProgressBook2】</v>
      </c>
      <c r="D105" s="1" t="str">
        <f>IFERROR(__xludf.DUMMYFUNCTION("IFERROR(
  VLOOKUP(
    A105,
    IMPORTRANGE(
      ""1ZygntHC1J6IxzKbTidmOyf5nUyW4GCLurHCjexrLm_o        "",
      ""HTMLキャッシュ!A:F""
    ),
    6,
    FALSE
  ),
  0
)
"),"中高一貫でProgress Book2を進める中2向け。with＝一緒にだけでなく、名詞を後ろから修飾（the boys with～）や付帯状況with A B（A＝名詞／B＝分詞・形容詞・副詞・前置詞句）を「形」で見分けるコツを例文で整理。togetherとの使い分けも確認。")</f>
        <v>中高一貫でProgress Book2を進める中2向け。with＝一緒にだけでなく、名詞を後ろから修飾（the boys with～）や付帯状況with A B（A＝名詞／B＝分詞・形容詞・副詞・前置詞句）を「形」で見分けるコツを例文で整理。togetherとの使い分けも確認。</v>
      </c>
      <c r="E105" s="32">
        <f>IFERROR(__xludf.DUMMYFUNCTION("IFERROR(
  VLOOKUP(
    A105,
    IMPORTRANGE(
      ""1ZygntHC1J6IxzKbTidmOyf5nUyW4GCLurHCjexrLm_o        "",
      ""HTMLキャッシュ!A:F""
    ),
    3,
    FALSE
  ),
  0
)
"),46016.81648148148)</f>
        <v>46016.81648</v>
      </c>
      <c r="F105" s="49">
        <f>IFERROR(__xludf.DUMMYFUNCTION("IFERROR(
  VLOOKUP(
    A105,
    IMPORTRANGE(
      ""1ZHMy3vVUd_0MrSduXTe1etBb1HNpAlGwQr006ljwMiM"",
      ""GSC最新!A:F""
    ),
    2,
    FALSE
  ),
  0
)
"),0.0)</f>
        <v>0</v>
      </c>
      <c r="G105" s="49">
        <f>IFERROR(__xludf.DUMMYFUNCTION("IFERROR(
  VLOOKUP(
    A105,
    IMPORTRANGE(
      ""1ZHMy3vVUd_0MrSduXTe1etBb1HNpAlGwQr006ljwMiM"",
      ""GSC最新!A:F""
    ),
    3,
    FALSE
  ),
  0
)
"),0.0)</f>
        <v>0</v>
      </c>
      <c r="H105" s="49">
        <f>IFERROR(__xludf.DUMMYFUNCTION("IFERROR(
  VLOOKUP(
    A105,
    IMPORTRANGE(
      ""1ZHMy3vVUd_0MrSduXTe1etBb1HNpAlGwQr006ljwMiM"",
      ""GSC最新!A:F""
    ),
    4,
    FALSE
  ),
  0
)
"),0.0)</f>
        <v>0</v>
      </c>
      <c r="I105" s="49">
        <f>IFERROR(__xludf.DUMMYFUNCTION("IFERROR(
  VLOOKUP(
    A105,
    IMPORTRANGE(
      ""1ZHMy3vVUd_0MrSduXTe1etBb1HNpAlGwQr006ljwMiM"",
      ""GSC最新!A:F""
    ),
    5,
    FALSE
  ),
  0
)
"),0.0)</f>
        <v>0</v>
      </c>
      <c r="J105" s="50" t="str">
        <f t="shared" ref="J105:K105" si="516">IFERROR(F105/H105,"-")</f>
        <v>-</v>
      </c>
      <c r="K105" s="50" t="str">
        <f t="shared" si="516"/>
        <v>-</v>
      </c>
      <c r="L105" s="6">
        <f>IFERROR(__xludf.DUMMYFUNCTION("IFERROR(
  VLOOKUP(
    A105,
    IMPORTRANGE(
      ""1ZHMy3vVUd_0MrSduXTe1etBb1HNpAlGwQr006ljwMiM"",
      ""GSC最新!A:R""
    ),
    7,
    FALSE
  ),
  0
)
"),11.0)</f>
        <v>11</v>
      </c>
      <c r="M105" s="6">
        <f>IFERROR(__xludf.DUMMYFUNCTION("IFERROR(
  VLOOKUP(
    A105,
    IMPORTRANGE(
      ""1ZHMy3vVUd_0MrSduXTe1etBb1HNpAlGwQr006ljwMiM"",
      ""GSC最新!A:R""
    ),
    10,
    FALSE
  ),
  0
)
"),44.0)</f>
        <v>44</v>
      </c>
      <c r="N105" s="6">
        <f>IFERROR(__xludf.DUMMYFUNCTION("IFERROR(
  VLOOKUP(
    A105,
    IMPORTRANGE(
      ""1ZHMy3vVUd_0MrSduXTe1etBb1HNpAlGwQr006ljwMiM"",
      ""GSC最新!A:R""
    ),
    13,
    FALSE
  ),
  0
)
"),4.0)</f>
        <v>4</v>
      </c>
      <c r="O105" s="6">
        <f>IFERROR(__xludf.DUMMYFUNCTION("IFERROR(
  VLOOKUP(
    A105,
    IMPORTRANGE(
      ""1ZHMy3vVUd_0MrSduXTe1etBb1HNpAlGwQr006ljwMiM"",
      ""GSC最新!A:R""
    ),
    16,
    FALSE
  ),
  0
)
"),5.0)</f>
        <v>5</v>
      </c>
      <c r="P105" s="51">
        <f t="shared" ref="P105:Q105" si="517">IFERROR(L105/N105,"-")</f>
        <v>2.75</v>
      </c>
      <c r="Q105" s="51">
        <f t="shared" si="517"/>
        <v>8.8</v>
      </c>
      <c r="R105" s="9">
        <f>IFERROR(__xludf.DUMMYFUNCTION("IFERROR(
  VLOOKUP(
    A105,
    IMPORTRANGE(
      ""1ZHMy3vVUd_0MrSduXTe1etBb1HNpAlGwQr006ljwMiM"",
      ""GSC最新!A:R""
    ),
    8,
    FALSE
  ),
  0
)
"),0.0)</f>
        <v>0</v>
      </c>
      <c r="S105" s="9">
        <f>IFERROR(__xludf.DUMMYFUNCTION("IFERROR(
  VLOOKUP(
    A105,
    IMPORTRANGE(
      ""1ZHMy3vVUd_0MrSduXTe1etBb1HNpAlGwQr006ljwMiM"",
      ""GSC最新!A:R""
    ),
    11,
    FALSE
  ),
  0
)
"),0.0)</f>
        <v>0</v>
      </c>
      <c r="T105" s="9">
        <f>IFERROR(__xludf.DUMMYFUNCTION("IFERROR(
  VLOOKUP(
    A105,
    IMPORTRANGE(
      ""1ZHMy3vVUd_0MrSduXTe1etBb1HNpAlGwQr006ljwMiM"",
      ""GSC最新!A:R""
    ),
    14,
    FALSE
  ),
  0
)
"),0.0)</f>
        <v>0</v>
      </c>
      <c r="U105" s="9">
        <f>IFERROR(__xludf.DUMMYFUNCTION("IFERROR(
  VLOOKUP(
    A105,
    IMPORTRANGE(
      ""1ZHMy3vVUd_0MrSduXTe1etBb1HNpAlGwQr006ljwMiM"",
      ""GSC最新!A:R""
    ),
    17,
    FALSE
  ),
  0
)
"),0.0)</f>
        <v>0</v>
      </c>
      <c r="V105" s="9">
        <f t="shared" ref="V105:W105" si="518">IFERROR(R105-T105,"-")</f>
        <v>0</v>
      </c>
      <c r="W105" s="9">
        <f t="shared" si="518"/>
        <v>0</v>
      </c>
      <c r="X105" s="65">
        <f>IFERROR(__xludf.DUMMYFUNCTION("IFERROR(
  VLOOKUP(
    A105,
    IMPORTRANGE(
      ""1ZHMy3vVUd_0MrSduXTe1etBb1HNpAlGwQr006ljwMiM"",
      ""GSC最新!A:R""
    ),
    9,
    FALSE
  ),
  0
)
"),4.454545454545455)</f>
        <v>4.454545455</v>
      </c>
      <c r="Y105" s="65">
        <f>IFERROR(__xludf.DUMMYFUNCTION("IFERROR(
  VLOOKUP(
    A105,
    IMPORTRANGE(
      ""1ZHMy3vVUd_0MrSduXTe1etBb1HNpAlGwQr006ljwMiM"",
      ""GSC最新!A:R""
    ),
    12,
    FALSE
  ),
  0
)
"),8.09090909090909)</f>
        <v>8.090909091</v>
      </c>
      <c r="Z105" s="65">
        <f>IFERROR(__xludf.DUMMYFUNCTION("IFERROR(
  VLOOKUP(
    A105,
    IMPORTRANGE(
      ""1ZHMy3vVUd_0MrSduXTe1etBb1HNpAlGwQr006ljwMiM"",
      ""GSC最新!A:R""
    ),
    15,
    FALSE
  ),
  0
)
"),7.5)</f>
        <v>7.5</v>
      </c>
      <c r="AA105" s="65">
        <f>IFERROR(__xludf.DUMMYFUNCTION("IFERROR(
  VLOOKUP(
    A105,
    IMPORTRANGE(
      ""1ZHMy3vVUd_0MrSduXTe1etBb1HNpAlGwQr006ljwMiM"",
      ""GSC最新!A:R""
    ),
    18,
    FALSE
  ),
  0
)
"),7.6)</f>
        <v>7.6</v>
      </c>
      <c r="AB105" s="65">
        <f t="shared" ref="AB105:AC105" si="519">X105-Z105</f>
        <v>-3.045454545</v>
      </c>
      <c r="AC105" s="65">
        <f t="shared" si="519"/>
        <v>0.4909090909</v>
      </c>
      <c r="AD105" s="53">
        <f>IFERROR(__xludf.DUMMYFUNCTION("IFERROR(
  VLOOKUP(
    A105,
    IMPORTRANGE(
      ""1ZHMy3vVUd_0MrSduXTe1etBb1HNpAlGwQr006ljwMiM"",
      ""GSC最新!A:F""
    ),
    6,
    FALSE
  ),
  0
)
"),46081.0)</f>
        <v>46081</v>
      </c>
      <c r="AE105" s="54">
        <f>IFERROR(__xludf.DUMMYFUNCTION("IFERROR(
  VLOOKUP(
    A105,
    IMPORTRANGE(
      ""1SCYQd7_cobOYqT0r_F0IqD4tE4rYn5y8Eup4PJTH8es"",
      ""Snapshot!A:M""
    ),
    5,
    FALSE
  ),
  ""-""
)
"),0.0)</f>
        <v>0</v>
      </c>
      <c r="AF105" s="54">
        <f>IFERROR(__xludf.DUMMYFUNCTION("IFERROR(
  VLOOKUP(
    A105,
    IMPORTRANGE(
      ""1SCYQd7_cobOYqT0r_F0IqD4tE4rYn5y8Eup4PJTH8es"",
      ""Snapshot!A:M""
    ),
    6,
    FALSE
  ),
  0
)
"),10.0)</f>
        <v>10</v>
      </c>
      <c r="AG105" s="54">
        <f>IFERROR(__xludf.DUMMYFUNCTION("IFERROR(
  VLOOKUP(
    A105,
    IMPORTRANGE(
      ""1SCYQd7_cobOYqT0r_F0IqD4tE4rYn5y8Eup4PJTH8es"",
      ""Snapshot!A:M""
    ),
    7,
    FALSE
  ),
  0
)
"),5730.0)</f>
        <v>5730</v>
      </c>
      <c r="AH105" s="54">
        <f>IFERROR(__xludf.DUMMYFUNCTION("IFERROR(
  VLOOKUP(
    A105,
    IMPORTRANGE(
      ""1SCYQd7_cobOYqT0r_F0IqD4tE4rYn5y8Eup4PJTH8es"",
      ""Snapshot!A:M""
    ),
    8,
    FALSE
  ),
  0
)
"),1.0)</f>
        <v>1</v>
      </c>
      <c r="AI105" s="54">
        <f>IFERROR(__xludf.DUMMYFUNCTION("IFERROR(
  VLOOKUP(
    A105,
    IMPORTRANGE(
      ""1SCYQd7_cobOYqT0r_F0IqD4tE4rYn5y8Eup4PJTH8es"",
      ""Snapshot!A:M""
    ),
    9,
    FALSE
  ),
  0
)
"),4.0)</f>
        <v>4</v>
      </c>
      <c r="AJ105" s="54">
        <f>IFERROR(__xludf.DUMMYFUNCTION("IFERROR(
  VLOOKUP(
    A105,
    IMPORTRANGE(
      ""1SCYQd7_cobOYqT0r_F0IqD4tE4rYn5y8Eup4PJTH8es"",
      ""Snapshot!A:M""
    ),
    13,
    FALSE
  ),
  0
)
"),1.0)</f>
        <v>1</v>
      </c>
      <c r="AK105" s="49">
        <f t="shared" ref="AK105:AL105" si="520">LEN(C105)</f>
        <v>59</v>
      </c>
      <c r="AL105" s="49">
        <f t="shared" si="520"/>
        <v>139</v>
      </c>
    </row>
    <row r="106">
      <c r="A106" s="3" t="s">
        <v>1190</v>
      </c>
      <c r="B106" s="1" t="str">
        <f>IFERROR(__xludf.DUMMYFUNCTION("IFERROR(
  VLOOKUP(
    A106,
    IMPORTRANGE(
      ""1ZygntHC1J6IxzKbTidmOyf5nUyW4GCLurHCjexrLm_o"",
      ""HTMLキャッシュ!A:F""
    ),
    2,
    FALSE
  ),
  0
)
"),"MC")</f>
        <v>MC</v>
      </c>
      <c r="C106" s="1" t="str">
        <f>IFERROR(__xludf.DUMMYFUNCTION("IFERROR(
  VLOOKUP(
    A106,
    IMPORTRANGE(
      ""1ZygntHC1J6IxzKbTidmOyf5nUyW4GCLurHCjexrLm_o"",
      ""HTMLキャッシュ!A:F""
    ),
    5,
    FALSE
  ),
  0
)
"),"This is の意味と訳し方｜誤訳しない順番のコツ｜中1英語 Progress Book1 1-1")</f>
        <v>This is の意味と訳し方｜誤訳しない順番のコツ｜中1英語 Progress Book1 1-1</v>
      </c>
      <c r="D106" s="1" t="str">
        <f>IFERROR(__xludf.DUMMYFUNCTION("IFERROR(
  VLOOKUP(
    A106,
    IMPORTRANGE(
      ""1ZygntHC1J6IxzKbTidmOyf5nUyW4GCLurHCjexrLm_o        "",
      ""HTMLキャッシュ!A:F""
    ),
    6,
    FALSE
  ),
  0
)
"),"This is ～はThis=これ、is=はと分解すると誤訳しやすい表現。This is Jiro/Keiko/Lauraで、Thisをこれは、isをですに固定し、This＋名前＋isの順で訳す癖を作る手順を整理。基礎が固まるまでの練習法も確認（Progress Book1 1-1）。")</f>
        <v>This is ～はThis=これ、is=はと分解すると誤訳しやすい表現。This is Jiro/Keiko/Lauraで、Thisをこれは、isをですに固定し、This＋名前＋isの順で訳す癖を作る手順を整理。基礎が固まるまでの練習法も確認（Progress Book1 1-1）。</v>
      </c>
      <c r="E106" s="32">
        <f>IFERROR(__xludf.DUMMYFUNCTION("IFERROR(
  VLOOKUP(
    A106,
    IMPORTRANGE(
      ""1ZygntHC1J6IxzKbTidmOyf5nUyW4GCLurHCjexrLm_o        "",
      ""HTMLキャッシュ!A:F""
    ),
    3,
    FALSE
  ),
  0
)
"),46043.823275462964)</f>
        <v>46043.82328</v>
      </c>
      <c r="F106" s="49">
        <f>IFERROR(__xludf.DUMMYFUNCTION("IFERROR(
  VLOOKUP(
    A106,
    IMPORTRANGE(
      ""1ZHMy3vVUd_0MrSduXTe1etBb1HNpAlGwQr006ljwMiM"",
      ""GSC最新!A:F""
    ),
    2,
    FALSE
  ),
  0
)
"),0.0)</f>
        <v>0</v>
      </c>
      <c r="G106" s="49">
        <f>IFERROR(__xludf.DUMMYFUNCTION("IFERROR(
  VLOOKUP(
    A106,
    IMPORTRANGE(
      ""1ZHMy3vVUd_0MrSduXTe1etBb1HNpAlGwQr006ljwMiM"",
      ""GSC最新!A:F""
    ),
    3,
    FALSE
  ),
  0
)
"),0.0)</f>
        <v>0</v>
      </c>
      <c r="H106" s="49">
        <f>IFERROR(__xludf.DUMMYFUNCTION("IFERROR(
  VLOOKUP(
    A106,
    IMPORTRANGE(
      ""1ZHMy3vVUd_0MrSduXTe1etBb1HNpAlGwQr006ljwMiM"",
      ""GSC最新!A:F""
    ),
    4,
    FALSE
  ),
  0
)
"),0.0)</f>
        <v>0</v>
      </c>
      <c r="I106" s="49">
        <f>IFERROR(__xludf.DUMMYFUNCTION("IFERROR(
  VLOOKUP(
    A106,
    IMPORTRANGE(
      ""1ZHMy3vVUd_0MrSduXTe1etBb1HNpAlGwQr006ljwMiM"",
      ""GSC最新!A:F""
    ),
    5,
    FALSE
  ),
  0
)
"),0.0)</f>
        <v>0</v>
      </c>
      <c r="J106" s="50" t="str">
        <f t="shared" ref="J106:K106" si="521">IFERROR(F106/H106,"-")</f>
        <v>-</v>
      </c>
      <c r="K106" s="50" t="str">
        <f t="shared" si="521"/>
        <v>-</v>
      </c>
      <c r="L106" s="6">
        <f>IFERROR(__xludf.DUMMYFUNCTION("IFERROR(
  VLOOKUP(
    A106,
    IMPORTRANGE(
      ""1ZHMy3vVUd_0MrSduXTe1etBb1HNpAlGwQr006ljwMiM"",
      ""GSC最新!A:R""
    ),
    7,
    FALSE
  ),
  0
)
"),24.0)</f>
        <v>24</v>
      </c>
      <c r="M106" s="6">
        <f>IFERROR(__xludf.DUMMYFUNCTION("IFERROR(
  VLOOKUP(
    A106,
    IMPORTRANGE(
      ""1ZHMy3vVUd_0MrSduXTe1etBb1HNpAlGwQr006ljwMiM"",
      ""GSC最新!A:R""
    ),
    10,
    FALSE
  ),
  0
)
"),41.0)</f>
        <v>41</v>
      </c>
      <c r="N106" s="6">
        <f>IFERROR(__xludf.DUMMYFUNCTION("IFERROR(
  VLOOKUP(
    A106,
    IMPORTRANGE(
      ""1ZHMy3vVUd_0MrSduXTe1etBb1HNpAlGwQr006ljwMiM"",
      ""GSC最新!A:R""
    ),
    13,
    FALSE
  ),
  0
)
"),19.0)</f>
        <v>19</v>
      </c>
      <c r="O106" s="6">
        <f>IFERROR(__xludf.DUMMYFUNCTION("IFERROR(
  VLOOKUP(
    A106,
    IMPORTRANGE(
      ""1ZHMy3vVUd_0MrSduXTe1etBb1HNpAlGwQr006ljwMiM"",
      ""GSC最新!A:R""
    ),
    16,
    FALSE
  ),
  0
)
"),47.0)</f>
        <v>47</v>
      </c>
      <c r="P106" s="51">
        <f t="shared" ref="P106:Q106" si="522">IFERROR(L106/N106,"-")</f>
        <v>1.263157895</v>
      </c>
      <c r="Q106" s="51">
        <f t="shared" si="522"/>
        <v>0.8723404255</v>
      </c>
      <c r="R106" s="9">
        <f>IFERROR(__xludf.DUMMYFUNCTION("IFERROR(
  VLOOKUP(
    A106,
    IMPORTRANGE(
      ""1ZHMy3vVUd_0MrSduXTe1etBb1HNpAlGwQr006ljwMiM"",
      ""GSC最新!A:R""
    ),
    8,
    FALSE
  ),
  0
)
"),0.0)</f>
        <v>0</v>
      </c>
      <c r="S106" s="9">
        <f>IFERROR(__xludf.DUMMYFUNCTION("IFERROR(
  VLOOKUP(
    A106,
    IMPORTRANGE(
      ""1ZHMy3vVUd_0MrSduXTe1etBb1HNpAlGwQr006ljwMiM"",
      ""GSC最新!A:R""
    ),
    11,
    FALSE
  ),
  0
)
"),0.0)</f>
        <v>0</v>
      </c>
      <c r="T106" s="9">
        <f>IFERROR(__xludf.DUMMYFUNCTION("IFERROR(
  VLOOKUP(
    A106,
    IMPORTRANGE(
      ""1ZHMy3vVUd_0MrSduXTe1etBb1HNpAlGwQr006ljwMiM"",
      ""GSC最新!A:R""
    ),
    14,
    FALSE
  ),
  0
)
"),0.0)</f>
        <v>0</v>
      </c>
      <c r="U106" s="9">
        <f>IFERROR(__xludf.DUMMYFUNCTION("IFERROR(
  VLOOKUP(
    A106,
    IMPORTRANGE(
      ""1ZHMy3vVUd_0MrSduXTe1etBb1HNpAlGwQr006ljwMiM"",
      ""GSC最新!A:R""
    ),
    17,
    FALSE
  ),
  0
)
"),0.0)</f>
        <v>0</v>
      </c>
      <c r="V106" s="9">
        <f t="shared" ref="V106:W106" si="523">IFERROR(R106-T106,"-")</f>
        <v>0</v>
      </c>
      <c r="W106" s="9">
        <f t="shared" si="523"/>
        <v>0</v>
      </c>
      <c r="X106" s="65">
        <f>IFERROR(__xludf.DUMMYFUNCTION("IFERROR(
  VLOOKUP(
    A106,
    IMPORTRANGE(
      ""1ZHMy3vVUd_0MrSduXTe1etBb1HNpAlGwQr006ljwMiM"",
      ""GSC最新!A:R""
    ),
    9,
    FALSE
  ),
  0
)
"),8.5)</f>
        <v>8.5</v>
      </c>
      <c r="Y106" s="65">
        <f>IFERROR(__xludf.DUMMYFUNCTION("IFERROR(
  VLOOKUP(
    A106,
    IMPORTRANGE(
      ""1ZHMy3vVUd_0MrSduXTe1etBb1HNpAlGwQr006ljwMiM"",
      ""GSC最新!A:R""
    ),
    12,
    FALSE
  ),
  0
)
"),9.512195121951219)</f>
        <v>9.512195122</v>
      </c>
      <c r="Z106" s="65">
        <f>IFERROR(__xludf.DUMMYFUNCTION("IFERROR(
  VLOOKUP(
    A106,
    IMPORTRANGE(
      ""1ZHMy3vVUd_0MrSduXTe1etBb1HNpAlGwQr006ljwMiM"",
      ""GSC最新!A:R""
    ),
    15,
    FALSE
  ),
  0
)
"),8.105263157894736)</f>
        <v>8.105263158</v>
      </c>
      <c r="AA106" s="65">
        <f>IFERROR(__xludf.DUMMYFUNCTION("IFERROR(
  VLOOKUP(
    A106,
    IMPORTRANGE(
      ""1ZHMy3vVUd_0MrSduXTe1etBb1HNpAlGwQr006ljwMiM"",
      ""GSC最新!A:R""
    ),
    18,
    FALSE
  ),
  0
)
"),7.808510638297872)</f>
        <v>7.808510638</v>
      </c>
      <c r="AB106" s="65">
        <f t="shared" ref="AB106:AC106" si="524">X106-Z106</f>
        <v>0.3947368421</v>
      </c>
      <c r="AC106" s="65">
        <f t="shared" si="524"/>
        <v>1.703684484</v>
      </c>
      <c r="AD106" s="53">
        <f>IFERROR(__xludf.DUMMYFUNCTION("IFERROR(
  VLOOKUP(
    A106,
    IMPORTRANGE(
      ""1ZHMy3vVUd_0MrSduXTe1etBb1HNpAlGwQr006ljwMiM"",
      ""GSC最新!A:F""
    ),
    6,
    FALSE
  ),
  0
)
"),46081.0)</f>
        <v>46081</v>
      </c>
      <c r="AE106" s="54">
        <f>IFERROR(__xludf.DUMMYFUNCTION("IFERROR(
  VLOOKUP(
    A106,
    IMPORTRANGE(
      ""1SCYQd7_cobOYqT0r_F0IqD4tE4rYn5y8Eup4PJTH8es"",
      ""Snapshot!A:M""
    ),
    5,
    FALSE
  ),
  ""-""
)
"),2.0)</f>
        <v>2</v>
      </c>
      <c r="AF106" s="54">
        <f>IFERROR(__xludf.DUMMYFUNCTION("IFERROR(
  VLOOKUP(
    A106,
    IMPORTRANGE(
      ""1SCYQd7_cobOYqT0r_F0IqD4tE4rYn5y8Eup4PJTH8es"",
      ""Snapshot!A:M""
    ),
    6,
    FALSE
  ),
  0
)
"),2.0)</f>
        <v>2</v>
      </c>
      <c r="AG106" s="54">
        <f>IFERROR(__xludf.DUMMYFUNCTION("IFERROR(
  VLOOKUP(
    A106,
    IMPORTRANGE(
      ""1SCYQd7_cobOYqT0r_F0IqD4tE4rYn5y8Eup4PJTH8es"",
      ""Snapshot!A:M""
    ),
    7,
    FALSE
  ),
  0
)
"),1736.0)</f>
        <v>1736</v>
      </c>
      <c r="AH106" s="54">
        <f>IFERROR(__xludf.DUMMYFUNCTION("IFERROR(
  VLOOKUP(
    A106,
    IMPORTRANGE(
      ""1SCYQd7_cobOYqT0r_F0IqD4tE4rYn5y8Eup4PJTH8es"",
      ""Snapshot!A:M""
    ),
    8,
    FALSE
  ),
  0
)
"),1.0)</f>
        <v>1</v>
      </c>
      <c r="AI106" s="54">
        <f>IFERROR(__xludf.DUMMYFUNCTION("IFERROR(
  VLOOKUP(
    A106,
    IMPORTRANGE(
      ""1SCYQd7_cobOYqT0r_F0IqD4tE4rYn5y8Eup4PJTH8es"",
      ""Snapshot!A:M""
    ),
    9,
    FALSE
  ),
  0
)
"),4.0)</f>
        <v>4</v>
      </c>
      <c r="AJ106" s="54">
        <f>IFERROR(__xludf.DUMMYFUNCTION("IFERROR(
  VLOOKUP(
    A106,
    IMPORTRANGE(
      ""1SCYQd7_cobOYqT0r_F0IqD4tE4rYn5y8Eup4PJTH8es"",
      ""Snapshot!A:M""
    ),
    13,
    FALSE
  ),
  0
)
"),1.0)</f>
        <v>1</v>
      </c>
      <c r="AK106" s="49">
        <f t="shared" ref="AK106:AL106" si="525">LEN(C106)</f>
        <v>50</v>
      </c>
      <c r="AL106" s="49">
        <f t="shared" si="525"/>
        <v>143</v>
      </c>
    </row>
    <row r="107">
      <c r="A107" s="3" t="s">
        <v>1191</v>
      </c>
      <c r="B107" s="1" t="str">
        <f>IFERROR(__xludf.DUMMYFUNCTION("IFERROR(
  VLOOKUP(
    A107,
    IMPORTRANGE(
      ""1ZygntHC1J6IxzKbTidmOyf5nUyW4GCLurHCjexrLm_o"",
      ""HTMLキャッシュ!A:F""
    ),
    2,
    FALSE
  ),
  0
)
"),"MC")</f>
        <v>MC</v>
      </c>
      <c r="C107" s="1" t="str">
        <f>IFERROR(__xludf.DUMMYFUNCTION("IFERROR(
  VLOOKUP(
    A107,
    IMPORTRANGE(
      ""1ZygntHC1J6IxzKbTidmOyf5nUyW4GCLurHCjexrLm_o"",
      ""HTMLキャッシュ!A:F""
    ),
    5,
    FALSE
  ),
  0
)
"),"疑問詞What・一般動詞【Progress Book1 8-1】 - 新宿区四谷の英語専門塾「英語教室『サポート』」～英語は別に怖くない！～")</f>
        <v>疑問詞What・一般動詞【Progress Book1 8-1】 - 新宿区四谷の英語専門塾「英語教室『サポート』」～英語は別に怖くない！～</v>
      </c>
      <c r="D107" s="1" t="str">
        <f>IFERROR(__xludf.DUMMYFUNCTION("IFERROR(
  VLOOKUP(
    A107,
    IMPORTRANGE(
      ""1ZygntHC1J6IxzKbTidmOyf5nUyW4GCLurHCjexrLm_o        "",
      ""HTMLキャッシュ!A:F""
    ),
    6,
    FALSE
  ),
  0
)
"),"――今回ですが、Book1 Lesson8シーン1という事で 疑問詞”What”と一般動詞という事でよく出")</f>
        <v>――今回ですが、Book1 Lesson8シーン1という事で 疑問詞”What”と一般動詞という事でよく出</v>
      </c>
      <c r="E107" s="32">
        <f>IFERROR(__xludf.DUMMYFUNCTION("IFERROR(
  VLOOKUP(
    A107,
    IMPORTRANGE(
      ""1ZygntHC1J6IxzKbTidmOyf5nUyW4GCLurHCjexrLm_o        "",
      ""HTMLキャッシュ!A:F""
    ),
    3,
    FALSE
  ),
  0
)
"),46043.7796875)</f>
        <v>46043.77969</v>
      </c>
      <c r="F107" s="49">
        <f>IFERROR(__xludf.DUMMYFUNCTION("IFERROR(
  VLOOKUP(
    A107,
    IMPORTRANGE(
      ""1ZHMy3vVUd_0MrSduXTe1etBb1HNpAlGwQr006ljwMiM"",
      ""GSC最新!A:F""
    ),
    2,
    FALSE
  ),
  0
)
"),0.0)</f>
        <v>0</v>
      </c>
      <c r="G107" s="49">
        <f>IFERROR(__xludf.DUMMYFUNCTION("IFERROR(
  VLOOKUP(
    A107,
    IMPORTRANGE(
      ""1ZHMy3vVUd_0MrSduXTe1etBb1HNpAlGwQr006ljwMiM"",
      ""GSC最新!A:F""
    ),
    3,
    FALSE
  ),
  0
)
"),0.0)</f>
        <v>0</v>
      </c>
      <c r="H107" s="49">
        <f>IFERROR(__xludf.DUMMYFUNCTION("IFERROR(
  VLOOKUP(
    A107,
    IMPORTRANGE(
      ""1ZHMy3vVUd_0MrSduXTe1etBb1HNpAlGwQr006ljwMiM"",
      ""GSC最新!A:F""
    ),
    4,
    FALSE
  ),
  0
)
"),0.0)</f>
        <v>0</v>
      </c>
      <c r="I107" s="49">
        <f>IFERROR(__xludf.DUMMYFUNCTION("IFERROR(
  VLOOKUP(
    A107,
    IMPORTRANGE(
      ""1ZHMy3vVUd_0MrSduXTe1etBb1HNpAlGwQr006ljwMiM"",
      ""GSC最新!A:F""
    ),
    5,
    FALSE
  ),
  0
)
"),0.0)</f>
        <v>0</v>
      </c>
      <c r="J107" s="50" t="str">
        <f t="shared" ref="J107:K107" si="526">IFERROR(F107/H107,"-")</f>
        <v>-</v>
      </c>
      <c r="K107" s="50" t="str">
        <f t="shared" si="526"/>
        <v>-</v>
      </c>
      <c r="L107" s="6">
        <f>IFERROR(__xludf.DUMMYFUNCTION("IFERROR(
  VLOOKUP(
    A107,
    IMPORTRANGE(
      ""1ZHMy3vVUd_0MrSduXTe1etBb1HNpAlGwQr006ljwMiM"",
      ""GSC最新!A:R""
    ),
    7,
    FALSE
  ),
  0
)
"),4.0)</f>
        <v>4</v>
      </c>
      <c r="M107" s="6">
        <f>IFERROR(__xludf.DUMMYFUNCTION("IFERROR(
  VLOOKUP(
    A107,
    IMPORTRANGE(
      ""1ZHMy3vVUd_0MrSduXTe1etBb1HNpAlGwQr006ljwMiM"",
      ""GSC最新!A:R""
    ),
    10,
    FALSE
  ),
  0
)
"),19.0)</f>
        <v>19</v>
      </c>
      <c r="N107" s="6">
        <f>IFERROR(__xludf.DUMMYFUNCTION("IFERROR(
  VLOOKUP(
    A107,
    IMPORTRANGE(
      ""1ZHMy3vVUd_0MrSduXTe1etBb1HNpAlGwQr006ljwMiM"",
      ""GSC最新!A:R""
    ),
    13,
    FALSE
  ),
  0
)
"),1.0)</f>
        <v>1</v>
      </c>
      <c r="O107" s="6">
        <f>IFERROR(__xludf.DUMMYFUNCTION("IFERROR(
  VLOOKUP(
    A107,
    IMPORTRANGE(
      ""1ZHMy3vVUd_0MrSduXTe1etBb1HNpAlGwQr006ljwMiM"",
      ""GSC最新!A:R""
    ),
    16,
    FALSE
  ),
  0
)
"),4.0)</f>
        <v>4</v>
      </c>
      <c r="P107" s="51">
        <f t="shared" ref="P107:Q107" si="527">IFERROR(L107/N107,"-")</f>
        <v>4</v>
      </c>
      <c r="Q107" s="51">
        <f t="shared" si="527"/>
        <v>4.75</v>
      </c>
      <c r="R107" s="9">
        <f>IFERROR(__xludf.DUMMYFUNCTION("IFERROR(
  VLOOKUP(
    A107,
    IMPORTRANGE(
      ""1ZHMy3vVUd_0MrSduXTe1etBb1HNpAlGwQr006ljwMiM"",
      ""GSC最新!A:R""
    ),
    8,
    FALSE
  ),
  0
)
"),0.0)</f>
        <v>0</v>
      </c>
      <c r="S107" s="9">
        <f>IFERROR(__xludf.DUMMYFUNCTION("IFERROR(
  VLOOKUP(
    A107,
    IMPORTRANGE(
      ""1ZHMy3vVUd_0MrSduXTe1etBb1HNpAlGwQr006ljwMiM"",
      ""GSC最新!A:R""
    ),
    11,
    FALSE
  ),
  0
)
"),0.0)</f>
        <v>0</v>
      </c>
      <c r="T107" s="9">
        <f>IFERROR(__xludf.DUMMYFUNCTION("IFERROR(
  VLOOKUP(
    A107,
    IMPORTRANGE(
      ""1ZHMy3vVUd_0MrSduXTe1etBb1HNpAlGwQr006ljwMiM"",
      ""GSC最新!A:R""
    ),
    14,
    FALSE
  ),
  0
)
"),0.0)</f>
        <v>0</v>
      </c>
      <c r="U107" s="9">
        <f>IFERROR(__xludf.DUMMYFUNCTION("IFERROR(
  VLOOKUP(
    A107,
    IMPORTRANGE(
      ""1ZHMy3vVUd_0MrSduXTe1etBb1HNpAlGwQr006ljwMiM"",
      ""GSC最新!A:R""
    ),
    17,
    FALSE
  ),
  0
)
"),0.0)</f>
        <v>0</v>
      </c>
      <c r="V107" s="9">
        <f t="shared" ref="V107:W107" si="528">IFERROR(R107-T107,"-")</f>
        <v>0</v>
      </c>
      <c r="W107" s="9">
        <f t="shared" si="528"/>
        <v>0</v>
      </c>
      <c r="X107" s="65">
        <f>IFERROR(__xludf.DUMMYFUNCTION("IFERROR(
  VLOOKUP(
    A107,
    IMPORTRANGE(
      ""1ZHMy3vVUd_0MrSduXTe1etBb1HNpAlGwQr006ljwMiM"",
      ""GSC最新!A:R""
    ),
    9,
    FALSE
  ),
  0
)
"),4.25)</f>
        <v>4.25</v>
      </c>
      <c r="Y107" s="65">
        <f>IFERROR(__xludf.DUMMYFUNCTION("IFERROR(
  VLOOKUP(
    A107,
    IMPORTRANGE(
      ""1ZHMy3vVUd_0MrSduXTe1etBb1HNpAlGwQr006ljwMiM"",
      ""GSC最新!A:R""
    ),
    12,
    FALSE
  ),
  0
)
"),8.736842105263158)</f>
        <v>8.736842105</v>
      </c>
      <c r="Z107" s="65">
        <f>IFERROR(__xludf.DUMMYFUNCTION("IFERROR(
  VLOOKUP(
    A107,
    IMPORTRANGE(
      ""1ZHMy3vVUd_0MrSduXTe1etBb1HNpAlGwQr006ljwMiM"",
      ""GSC最新!A:R""
    ),
    15,
    FALSE
  ),
  0
)
"),7.0)</f>
        <v>7</v>
      </c>
      <c r="AA107" s="65">
        <f>IFERROR(__xludf.DUMMYFUNCTION("IFERROR(
  VLOOKUP(
    A107,
    IMPORTRANGE(
      ""1ZHMy3vVUd_0MrSduXTe1etBb1HNpAlGwQr006ljwMiM"",
      ""GSC最新!A:R""
    ),
    18,
    FALSE
  ),
  0
)
"),6.75)</f>
        <v>6.75</v>
      </c>
      <c r="AB107" s="65">
        <f t="shared" ref="AB107:AC107" si="529">X107-Z107</f>
        <v>-2.75</v>
      </c>
      <c r="AC107" s="65">
        <f t="shared" si="529"/>
        <v>1.986842105</v>
      </c>
      <c r="AD107" s="53">
        <f>IFERROR(__xludf.DUMMYFUNCTION("IFERROR(
  VLOOKUP(
    A107,
    IMPORTRANGE(
      ""1ZHMy3vVUd_0MrSduXTe1etBb1HNpAlGwQr006ljwMiM"",
      ""GSC最新!A:F""
    ),
    6,
    FALSE
  ),
  0
)
"),46081.0)</f>
        <v>46081</v>
      </c>
      <c r="AE107" s="54">
        <f>IFERROR(__xludf.DUMMYFUNCTION("IFERROR(
  VLOOKUP(
    A107,
    IMPORTRANGE(
      ""1SCYQd7_cobOYqT0r_F0IqD4tE4rYn5y8Eup4PJTH8es"",
      ""Snapshot!A:M""
    ),
    5,
    FALSE
  ),
  ""-""
)
"),0.0)</f>
        <v>0</v>
      </c>
      <c r="AF107" s="54">
        <f>IFERROR(__xludf.DUMMYFUNCTION("IFERROR(
  VLOOKUP(
    A107,
    IMPORTRANGE(
      ""1SCYQd7_cobOYqT0r_F0IqD4tE4rYn5y8Eup4PJTH8es"",
      ""Snapshot!A:M""
    ),
    6,
    FALSE
  ),
  0
)
"),3.0)</f>
        <v>3</v>
      </c>
      <c r="AG107" s="54">
        <f>IFERROR(__xludf.DUMMYFUNCTION("IFERROR(
  VLOOKUP(
    A107,
    IMPORTRANGE(
      ""1SCYQd7_cobOYqT0r_F0IqD4tE4rYn5y8Eup4PJTH8es"",
      ""Snapshot!A:M""
    ),
    7,
    FALSE
  ),
  0
)
"),2968.0)</f>
        <v>2968</v>
      </c>
      <c r="AH107" s="54">
        <f>IFERROR(__xludf.DUMMYFUNCTION("IFERROR(
  VLOOKUP(
    A107,
    IMPORTRANGE(
      ""1SCYQd7_cobOYqT0r_F0IqD4tE4rYn5y8Eup4PJTH8es"",
      ""Snapshot!A:M""
    ),
    8,
    FALSE
  ),
  0
)
"),1.0)</f>
        <v>1</v>
      </c>
      <c r="AI107" s="54">
        <f>IFERROR(__xludf.DUMMYFUNCTION("IFERROR(
  VLOOKUP(
    A107,
    IMPORTRANGE(
      ""1SCYQd7_cobOYqT0r_F0IqD4tE4rYn5y8Eup4PJTH8es"",
      ""Snapshot!A:M""
    ),
    9,
    FALSE
  ),
  0
)
"),4.0)</f>
        <v>4</v>
      </c>
      <c r="AJ107" s="54">
        <f>IFERROR(__xludf.DUMMYFUNCTION("IFERROR(
  VLOOKUP(
    A107,
    IMPORTRANGE(
      ""1SCYQd7_cobOYqT0r_F0IqD4tE4rYn5y8Eup4PJTH8es"",
      ""Snapshot!A:M""
    ),
    13,
    FALSE
  ),
  0
)
"),1.0)</f>
        <v>1</v>
      </c>
      <c r="AK107" s="49">
        <f t="shared" ref="AK107:AL107" si="530">LEN(C107)</f>
        <v>70</v>
      </c>
      <c r="AL107" s="49">
        <f t="shared" si="530"/>
        <v>53</v>
      </c>
    </row>
    <row r="108">
      <c r="A108" s="1" t="s">
        <v>1192</v>
      </c>
      <c r="B108" s="1" t="str">
        <f>IFERROR(__xludf.DUMMYFUNCTION("IFERROR(
  VLOOKUP(
    A108,
    IMPORTRANGE(
      ""1ZygntHC1J6IxzKbTidmOyf5nUyW4GCLurHCjexrLm_o"",
      ""HTMLキャッシュ!A:F""
    ),
    2,
    FALSE
  ),
  0
)
"),"NW")</f>
        <v>NW</v>
      </c>
      <c r="C108" s="1" t="str">
        <f>IFERROR(__xludf.DUMMYFUNCTION("IFERROR(
  VLOOKUP(
    A108,
    IMPORTRANGE(
      ""1ZygntHC1J6IxzKbTidmOyf5nUyW4GCLurHCjexrLm_o"",
      ""HTMLキャッシュ!A:F""
    ),
    5,
    FALSE
  ),
  0
)
"),"2025年度 春期講習会のご案内 - 新宿区四谷の英語専門塾「英語教室『サポート』」～英語は別に怖くない！～")</f>
        <v>2025年度 春期講習会のご案内 - 新宿区四谷の英語専門塾「英語教室『サポート』」～英語は別に怖くない！～</v>
      </c>
      <c r="D108" s="1" t="str">
        <f>IFERROR(__xludf.DUMMYFUNCTION("IFERROR(
  VLOOKUP(
    A108,
    IMPORTRANGE(
      ""1ZygntHC1J6IxzKbTidmOyf5nUyW4GCLurHCjexrLm_o        "",
      ""HTMLキャッシュ!A:F""
    ),
    6,
    FALSE
  ),
  0
)
"),"春休みは、短いながらも日頃の積み残しを解消し、次のステップへ進むための絶好のタイミングです。 英語教室サポート")</f>
        <v>春休みは、短いながらも日頃の積み残しを解消し、次のステップへ進むための絶好のタイミングです。 英語教室サポート</v>
      </c>
      <c r="E108" s="32">
        <f>IFERROR(__xludf.DUMMYFUNCTION("IFERROR(
  VLOOKUP(
    A108,
    IMPORTRANGE(
      ""1ZygntHC1J6IxzKbTidmOyf5nUyW4GCLurHCjexrLm_o        "",
      ""HTMLキャッシュ!A:F""
    ),
    3,
    FALSE
  ),
  0
)
"),46015.73412037037)</f>
        <v>46015.73412</v>
      </c>
      <c r="F108" s="49">
        <f>IFERROR(__xludf.DUMMYFUNCTION("IFERROR(
  VLOOKUP(
    A108,
    IMPORTRANGE(
      ""1ZHMy3vVUd_0MrSduXTe1etBb1HNpAlGwQr006ljwMiM"",
      ""GSC最新!A:F""
    ),
    2,
    FALSE
  ),
  0
)
"),0.0)</f>
        <v>0</v>
      </c>
      <c r="G108" s="49">
        <f>IFERROR(__xludf.DUMMYFUNCTION("IFERROR(
  VLOOKUP(
    A108,
    IMPORTRANGE(
      ""1ZHMy3vVUd_0MrSduXTe1etBb1HNpAlGwQr006ljwMiM"",
      ""GSC最新!A:F""
    ),
    3,
    FALSE
  ),
  0
)
"),0.0)</f>
        <v>0</v>
      </c>
      <c r="H108" s="49">
        <f>IFERROR(__xludf.DUMMYFUNCTION("IFERROR(
  VLOOKUP(
    A108,
    IMPORTRANGE(
      ""1ZHMy3vVUd_0MrSduXTe1etBb1HNpAlGwQr006ljwMiM"",
      ""GSC最新!A:F""
    ),
    4,
    FALSE
  ),
  0
)
"),0.0)</f>
        <v>0</v>
      </c>
      <c r="I108" s="49">
        <f>IFERROR(__xludf.DUMMYFUNCTION("IFERROR(
  VLOOKUP(
    A108,
    IMPORTRANGE(
      ""1ZHMy3vVUd_0MrSduXTe1etBb1HNpAlGwQr006ljwMiM"",
      ""GSC最新!A:F""
    ),
    5,
    FALSE
  ),
  0
)
"),0.0)</f>
        <v>0</v>
      </c>
      <c r="J108" s="50" t="str">
        <f t="shared" ref="J108:K108" si="531">IFERROR(F108/H108,"-")</f>
        <v>-</v>
      </c>
      <c r="K108" s="50" t="str">
        <f t="shared" si="531"/>
        <v>-</v>
      </c>
      <c r="L108" s="6">
        <f>IFERROR(__xludf.DUMMYFUNCTION("IFERROR(
  VLOOKUP(
    A108,
    IMPORTRANGE(
      ""1ZHMy3vVUd_0MrSduXTe1etBb1HNpAlGwQr006ljwMiM"",
      ""GSC最新!A:R""
    ),
    7,
    FALSE
  ),
  0
)
"),5.0)</f>
        <v>5</v>
      </c>
      <c r="M108" s="6">
        <f>IFERROR(__xludf.DUMMYFUNCTION("IFERROR(
  VLOOKUP(
    A108,
    IMPORTRANGE(
      ""1ZHMy3vVUd_0MrSduXTe1etBb1HNpAlGwQr006ljwMiM"",
      ""GSC最新!A:R""
    ),
    10,
    FALSE
  ),
  0
)
"),23.0)</f>
        <v>23</v>
      </c>
      <c r="N108" s="6">
        <f>IFERROR(__xludf.DUMMYFUNCTION("IFERROR(
  VLOOKUP(
    A108,
    IMPORTRANGE(
      ""1ZHMy3vVUd_0MrSduXTe1etBb1HNpAlGwQr006ljwMiM"",
      ""GSC最新!A:R""
    ),
    13,
    FALSE
  ),
  0
)
"),0.0)</f>
        <v>0</v>
      </c>
      <c r="O108" s="6">
        <f>IFERROR(__xludf.DUMMYFUNCTION("IFERROR(
  VLOOKUP(
    A108,
    IMPORTRANGE(
      ""1ZHMy3vVUd_0MrSduXTe1etBb1HNpAlGwQr006ljwMiM"",
      ""GSC最新!A:R""
    ),
    16,
    FALSE
  ),
  0
)
"),0.0)</f>
        <v>0</v>
      </c>
      <c r="P108" s="51" t="str">
        <f t="shared" ref="P108:Q108" si="532">IFERROR(L108/N108,"-")</f>
        <v>-</v>
      </c>
      <c r="Q108" s="51" t="str">
        <f t="shared" si="532"/>
        <v>-</v>
      </c>
      <c r="R108" s="9">
        <f>IFERROR(__xludf.DUMMYFUNCTION("IFERROR(
  VLOOKUP(
    A108,
    IMPORTRANGE(
      ""1ZHMy3vVUd_0MrSduXTe1etBb1HNpAlGwQr006ljwMiM"",
      ""GSC最新!A:R""
    ),
    8,
    FALSE
  ),
  0
)
"),0.0)</f>
        <v>0</v>
      </c>
      <c r="S108" s="9">
        <f>IFERROR(__xludf.DUMMYFUNCTION("IFERROR(
  VLOOKUP(
    A108,
    IMPORTRANGE(
      ""1ZHMy3vVUd_0MrSduXTe1etBb1HNpAlGwQr006ljwMiM"",
      ""GSC最新!A:R""
    ),
    11,
    FALSE
  ),
  0
)
"),0.0)</f>
        <v>0</v>
      </c>
      <c r="T108" s="9">
        <f>IFERROR(__xludf.DUMMYFUNCTION("IFERROR(
  VLOOKUP(
    A108,
    IMPORTRANGE(
      ""1ZHMy3vVUd_0MrSduXTe1etBb1HNpAlGwQr006ljwMiM"",
      ""GSC最新!A:R""
    ),
    14,
    FALSE
  ),
  0
)
"),0.0)</f>
        <v>0</v>
      </c>
      <c r="U108" s="9">
        <f>IFERROR(__xludf.DUMMYFUNCTION("IFERROR(
  VLOOKUP(
    A108,
    IMPORTRANGE(
      ""1ZHMy3vVUd_0MrSduXTe1etBb1HNpAlGwQr006ljwMiM"",
      ""GSC最新!A:R""
    ),
    17,
    FALSE
  ),
  0
)
"),0.0)</f>
        <v>0</v>
      </c>
      <c r="V108" s="9">
        <f t="shared" ref="V108:W108" si="533">IFERROR(R108-T108,"-")</f>
        <v>0</v>
      </c>
      <c r="W108" s="9">
        <f t="shared" si="533"/>
        <v>0</v>
      </c>
      <c r="X108" s="65">
        <f>IFERROR(__xludf.DUMMYFUNCTION("IFERROR(
  VLOOKUP(
    A108,
    IMPORTRANGE(
      ""1ZHMy3vVUd_0MrSduXTe1etBb1HNpAlGwQr006ljwMiM"",
      ""GSC最新!A:R""
    ),
    9,
    FALSE
  ),
  0
)
"),12.2)</f>
        <v>12.2</v>
      </c>
      <c r="Y108" s="65">
        <f>IFERROR(__xludf.DUMMYFUNCTION("IFERROR(
  VLOOKUP(
    A108,
    IMPORTRANGE(
      ""1ZHMy3vVUd_0MrSduXTe1etBb1HNpAlGwQr006ljwMiM"",
      ""GSC最新!A:R""
    ),
    12,
    FALSE
  ),
  0
)
"),11.043478260869565)</f>
        <v>11.04347826</v>
      </c>
      <c r="Z108" s="65" t="str">
        <f>IFERROR(__xludf.DUMMYFUNCTION("IFERROR(
  VLOOKUP(
    A108,
    IMPORTRANGE(
      ""1ZHMy3vVUd_0MrSduXTe1etBb1HNpAlGwQr006ljwMiM"",
      ""GSC最新!A:R""
    ),
    15,
    FALSE
  ),
  0
)
"),"")</f>
        <v/>
      </c>
      <c r="AA108" s="65" t="str">
        <f>IFERROR(__xludf.DUMMYFUNCTION("IFERROR(
  VLOOKUP(
    A108,
    IMPORTRANGE(
      ""1ZHMy3vVUd_0MrSduXTe1etBb1HNpAlGwQr006ljwMiM"",
      ""GSC最新!A:R""
    ),
    18,
    FALSE
  ),
  0
)
"),"")</f>
        <v/>
      </c>
      <c r="AB108" s="65">
        <f t="shared" ref="AB108:AC108" si="534">X108-Z108</f>
        <v>12.2</v>
      </c>
      <c r="AC108" s="65">
        <f t="shared" si="534"/>
        <v>11.04347826</v>
      </c>
      <c r="AD108" s="53">
        <f>IFERROR(__xludf.DUMMYFUNCTION("IFERROR(
  VLOOKUP(
    A108,
    IMPORTRANGE(
      ""1ZHMy3vVUd_0MrSduXTe1etBb1HNpAlGwQr006ljwMiM"",
      ""GSC最新!A:F""
    ),
    6,
    FALSE
  ),
  0
)
"),46081.0)</f>
        <v>46081</v>
      </c>
      <c r="AE108" s="54">
        <f>IFERROR(__xludf.DUMMYFUNCTION("IFERROR(
  VLOOKUP(
    A108,
    IMPORTRANGE(
      ""1SCYQd7_cobOYqT0r_F0IqD4tE4rYn5y8Eup4PJTH8es"",
      ""Snapshot!A:M""
    ),
    5,
    FALSE
  ),
  ""-""
)
"),0.0)</f>
        <v>0</v>
      </c>
      <c r="AF108" s="54">
        <f>IFERROR(__xludf.DUMMYFUNCTION("IFERROR(
  VLOOKUP(
    A108,
    IMPORTRANGE(
      ""1SCYQd7_cobOYqT0r_F0IqD4tE4rYn5y8Eup4PJTH8es"",
      ""Snapshot!A:M""
    ),
    6,
    FALSE
  ),
  0
)
"),0.0)</f>
        <v>0</v>
      </c>
      <c r="AG108" s="54">
        <f>IFERROR(__xludf.DUMMYFUNCTION("IFERROR(
  VLOOKUP(
    A108,
    IMPORTRANGE(
      ""1SCYQd7_cobOYqT0r_F0IqD4tE4rYn5y8Eup4PJTH8es"",
      ""Snapshot!A:M""
    ),
    7,
    FALSE
  ),
  0
)
"),595.0)</f>
        <v>595</v>
      </c>
      <c r="AH108" s="54">
        <f>IFERROR(__xludf.DUMMYFUNCTION("IFERROR(
  VLOOKUP(
    A108,
    IMPORTRANGE(
      ""1SCYQd7_cobOYqT0r_F0IqD4tE4rYn5y8Eup4PJTH8es"",
      ""Snapshot!A:M""
    ),
    8,
    FALSE
  ),
  0
)
"),1.0)</f>
        <v>1</v>
      </c>
      <c r="AI108" s="54">
        <f>IFERROR(__xludf.DUMMYFUNCTION("IFERROR(
  VLOOKUP(
    A108,
    IMPORTRANGE(
      ""1SCYQd7_cobOYqT0r_F0IqD4tE4rYn5y8Eup4PJTH8es"",
      ""Snapshot!A:M""
    ),
    9,
    FALSE
  ),
  0
)
"),0.0)</f>
        <v>0</v>
      </c>
      <c r="AJ108" s="54">
        <f>IFERROR(__xludf.DUMMYFUNCTION("IFERROR(
  VLOOKUP(
    A108,
    IMPORTRANGE(
      ""1SCYQd7_cobOYqT0r_F0IqD4tE4rYn5y8Eup4PJTH8es"",
      ""Snapshot!A:M""
    ),
    13,
    FALSE
  ),
  0
)
"),1.0)</f>
        <v>1</v>
      </c>
      <c r="AK108" s="49">
        <f t="shared" ref="AK108:AL108" si="535">LEN(C108)</f>
        <v>54</v>
      </c>
      <c r="AL108" s="49">
        <f t="shared" si="535"/>
        <v>55</v>
      </c>
    </row>
    <row r="109">
      <c r="A109" s="3" t="s">
        <v>1193</v>
      </c>
      <c r="B109" s="1" t="str">
        <f>IFERROR(__xludf.DUMMYFUNCTION("IFERROR(
  VLOOKUP(
    A109,
    IMPORTRANGE(
      ""1ZygntHC1J6IxzKbTidmOyf5nUyW4GCLurHCjexrLm_o"",
      ""HTMLキャッシュ!A:F""
    ),
    2,
    FALSE
  ),
  0
)
"),"MC")</f>
        <v>MC</v>
      </c>
      <c r="C109" s="1" t="str">
        <f>IFERROR(__xludf.DUMMYFUNCTION("IFERROR(
  VLOOKUP(
    A109,
    IMPORTRANGE(
      ""1ZygntHC1J6IxzKbTidmOyf5nUyW4GCLurHCjexrLm_o"",
      ""HTMLキャッシュ!A:F""
    ),
    5,
    FALSE
  ),
  0
)
"),"不定詞の形容詞法【Book2 Lesson6 Scene3】 - 新宿区四谷の英語専門塾「英語教室『サポート』」～英語は別に怖くない！～")</f>
        <v>不定詞の形容詞法【Book2 Lesson6 Scene3】 - 新宿区四谷の英語専門塾「英語教室『サポート』」～英語は別に怖くない！～</v>
      </c>
      <c r="D109" s="1" t="str">
        <f>IFERROR(__xludf.DUMMYFUNCTION("IFERROR(
  VLOOKUP(
    A109,
    IMPORTRANGE(
      ""1ZygntHC1J6IxzKbTidmOyf5nUyW4GCLurHCjexrLm_o        "",
      ""HTMLキャッシュ!A:F""
    ),
    6,
    FALSE
  ),
  0
)
"),"不定詞の形容詞用法｜名詞の後ろのto不定詞を見抜く Book2 Lesson6 Scene3で扱うポイント 今")</f>
        <v>不定詞の形容詞用法｜名詞の後ろのto不定詞を見抜く Book2 Lesson6 Scene3で扱うポイント 今</v>
      </c>
      <c r="E109" s="32">
        <f>IFERROR(__xludf.DUMMYFUNCTION("IFERROR(
  VLOOKUP(
    A109,
    IMPORTRANGE(
      ""1ZygntHC1J6IxzKbTidmOyf5nUyW4GCLurHCjexrLm_o        "",
      ""HTMLキャッシュ!A:F""
    ),
    3,
    FALSE
  ),
  0
)
"),46043.82707175926)</f>
        <v>46043.82707</v>
      </c>
      <c r="F109" s="49">
        <f>IFERROR(__xludf.DUMMYFUNCTION("IFERROR(
  VLOOKUP(
    A109,
    IMPORTRANGE(
      ""1ZHMy3vVUd_0MrSduXTe1etBb1HNpAlGwQr006ljwMiM"",
      ""GSC最新!A:F""
    ),
    2,
    FALSE
  ),
  0
)
"),0.0)</f>
        <v>0</v>
      </c>
      <c r="G109" s="49">
        <f>IFERROR(__xludf.DUMMYFUNCTION("IFERROR(
  VLOOKUP(
    A109,
    IMPORTRANGE(
      ""1ZHMy3vVUd_0MrSduXTe1etBb1HNpAlGwQr006ljwMiM"",
      ""GSC最新!A:F""
    ),
    3,
    FALSE
  ),
  0
)
"),0.0)</f>
        <v>0</v>
      </c>
      <c r="H109" s="49">
        <f>IFERROR(__xludf.DUMMYFUNCTION("IFERROR(
  VLOOKUP(
    A109,
    IMPORTRANGE(
      ""1ZHMy3vVUd_0MrSduXTe1etBb1HNpAlGwQr006ljwMiM"",
      ""GSC最新!A:F""
    ),
    4,
    FALSE
  ),
  0
)
"),0.0)</f>
        <v>0</v>
      </c>
      <c r="I109" s="49">
        <f>IFERROR(__xludf.DUMMYFUNCTION("IFERROR(
  VLOOKUP(
    A109,
    IMPORTRANGE(
      ""1ZHMy3vVUd_0MrSduXTe1etBb1HNpAlGwQr006ljwMiM"",
      ""GSC最新!A:F""
    ),
    5,
    FALSE
  ),
  0
)
"),0.0)</f>
        <v>0</v>
      </c>
      <c r="J109" s="50" t="str">
        <f t="shared" ref="J109:K109" si="536">IFERROR(F109/H109,"-")</f>
        <v>-</v>
      </c>
      <c r="K109" s="50" t="str">
        <f t="shared" si="536"/>
        <v>-</v>
      </c>
      <c r="L109" s="6">
        <f>IFERROR(__xludf.DUMMYFUNCTION("IFERROR(
  VLOOKUP(
    A109,
    IMPORTRANGE(
      ""1ZHMy3vVUd_0MrSduXTe1etBb1HNpAlGwQr006ljwMiM"",
      ""GSC最新!A:R""
    ),
    7,
    FALSE
  ),
  0
)
"),12.0)</f>
        <v>12</v>
      </c>
      <c r="M109" s="6">
        <f>IFERROR(__xludf.DUMMYFUNCTION("IFERROR(
  VLOOKUP(
    A109,
    IMPORTRANGE(
      ""1ZHMy3vVUd_0MrSduXTe1etBb1HNpAlGwQr006ljwMiM"",
      ""GSC最新!A:R""
    ),
    10,
    FALSE
  ),
  0
)
"),21.0)</f>
        <v>21</v>
      </c>
      <c r="N109" s="6">
        <f>IFERROR(__xludf.DUMMYFUNCTION("IFERROR(
  VLOOKUP(
    A109,
    IMPORTRANGE(
      ""1ZHMy3vVUd_0MrSduXTe1etBb1HNpAlGwQr006ljwMiM"",
      ""GSC最新!A:R""
    ),
    13,
    FALSE
  ),
  0
)
"),1.0)</f>
        <v>1</v>
      </c>
      <c r="O109" s="6">
        <f>IFERROR(__xludf.DUMMYFUNCTION("IFERROR(
  VLOOKUP(
    A109,
    IMPORTRANGE(
      ""1ZHMy3vVUd_0MrSduXTe1etBb1HNpAlGwQr006ljwMiM"",
      ""GSC最新!A:R""
    ),
    16,
    FALSE
  ),
  0
)
"),1.0)</f>
        <v>1</v>
      </c>
      <c r="P109" s="51">
        <f t="shared" ref="P109:Q109" si="537">IFERROR(L109/N109,"-")</f>
        <v>12</v>
      </c>
      <c r="Q109" s="51">
        <f t="shared" si="537"/>
        <v>21</v>
      </c>
      <c r="R109" s="9">
        <f>IFERROR(__xludf.DUMMYFUNCTION("IFERROR(
  VLOOKUP(
    A109,
    IMPORTRANGE(
      ""1ZHMy3vVUd_0MrSduXTe1etBb1HNpAlGwQr006ljwMiM"",
      ""GSC最新!A:R""
    ),
    8,
    FALSE
  ),
  0
)
"),0.0)</f>
        <v>0</v>
      </c>
      <c r="S109" s="9">
        <f>IFERROR(__xludf.DUMMYFUNCTION("IFERROR(
  VLOOKUP(
    A109,
    IMPORTRANGE(
      ""1ZHMy3vVUd_0MrSduXTe1etBb1HNpAlGwQr006ljwMiM"",
      ""GSC最新!A:R""
    ),
    11,
    FALSE
  ),
  0
)
"),0.0)</f>
        <v>0</v>
      </c>
      <c r="T109" s="9">
        <f>IFERROR(__xludf.DUMMYFUNCTION("IFERROR(
  VLOOKUP(
    A109,
    IMPORTRANGE(
      ""1ZHMy3vVUd_0MrSduXTe1etBb1HNpAlGwQr006ljwMiM"",
      ""GSC最新!A:R""
    ),
    14,
    FALSE
  ),
  0
)
"),0.0)</f>
        <v>0</v>
      </c>
      <c r="U109" s="9">
        <f>IFERROR(__xludf.DUMMYFUNCTION("IFERROR(
  VLOOKUP(
    A109,
    IMPORTRANGE(
      ""1ZHMy3vVUd_0MrSduXTe1etBb1HNpAlGwQr006ljwMiM"",
      ""GSC最新!A:R""
    ),
    17,
    FALSE
  ),
  0
)
"),0.0)</f>
        <v>0</v>
      </c>
      <c r="V109" s="9">
        <f t="shared" ref="V109:W109" si="538">IFERROR(R109-T109,"-")</f>
        <v>0</v>
      </c>
      <c r="W109" s="9">
        <f t="shared" si="538"/>
        <v>0</v>
      </c>
      <c r="X109" s="65">
        <f>IFERROR(__xludf.DUMMYFUNCTION("IFERROR(
  VLOOKUP(
    A109,
    IMPORTRANGE(
      ""1ZHMy3vVUd_0MrSduXTe1etBb1HNpAlGwQr006ljwMiM"",
      ""GSC最新!A:R""
    ),
    9,
    FALSE
  ),
  0
)
"),6.083333333333333)</f>
        <v>6.083333333</v>
      </c>
      <c r="Y109" s="65">
        <f>IFERROR(__xludf.DUMMYFUNCTION("IFERROR(
  VLOOKUP(
    A109,
    IMPORTRANGE(
      ""1ZHMy3vVUd_0MrSduXTe1etBb1HNpAlGwQr006ljwMiM"",
      ""GSC最新!A:R""
    ),
    12,
    FALSE
  ),
  0
)
"),7.857142857142857)</f>
        <v>7.857142857</v>
      </c>
      <c r="Z109" s="65">
        <f>IFERROR(__xludf.DUMMYFUNCTION("IFERROR(
  VLOOKUP(
    A109,
    IMPORTRANGE(
      ""1ZHMy3vVUd_0MrSduXTe1etBb1HNpAlGwQr006ljwMiM"",
      ""GSC最新!A:R""
    ),
    15,
    FALSE
  ),
  0
)
"),8.0)</f>
        <v>8</v>
      </c>
      <c r="AA109" s="65">
        <f>IFERROR(__xludf.DUMMYFUNCTION("IFERROR(
  VLOOKUP(
    A109,
    IMPORTRANGE(
      ""1ZHMy3vVUd_0MrSduXTe1etBb1HNpAlGwQr006ljwMiM"",
      ""GSC最新!A:R""
    ),
    18,
    FALSE
  ),
  0
)
"),8.0)</f>
        <v>8</v>
      </c>
      <c r="AB109" s="65">
        <f t="shared" ref="AB109:AC109" si="539">X109-Z109</f>
        <v>-1.916666667</v>
      </c>
      <c r="AC109" s="65">
        <f t="shared" si="539"/>
        <v>-0.1428571429</v>
      </c>
      <c r="AD109" s="53">
        <f>IFERROR(__xludf.DUMMYFUNCTION("IFERROR(
  VLOOKUP(
    A109,
    IMPORTRANGE(
      ""1ZHMy3vVUd_0MrSduXTe1etBb1HNpAlGwQr006ljwMiM"",
      ""GSC最新!A:F""
    ),
    6,
    FALSE
  ),
  0
)
"),46081.0)</f>
        <v>46081</v>
      </c>
      <c r="AE109" s="54">
        <f>IFERROR(__xludf.DUMMYFUNCTION("IFERROR(
  VLOOKUP(
    A109,
    IMPORTRANGE(
      ""1SCYQd7_cobOYqT0r_F0IqD4tE4rYn5y8Eup4PJTH8es"",
      ""Snapshot!A:M""
    ),
    5,
    FALSE
  ),
  ""-""
)
"),4.0)</f>
        <v>4</v>
      </c>
      <c r="AF109" s="54">
        <f>IFERROR(__xludf.DUMMYFUNCTION("IFERROR(
  VLOOKUP(
    A109,
    IMPORTRANGE(
      ""1SCYQd7_cobOYqT0r_F0IqD4tE4rYn5y8Eup4PJTH8es"",
      ""Snapshot!A:M""
    ),
    6,
    FALSE
  ),
  0
)
"),8.0)</f>
        <v>8</v>
      </c>
      <c r="AG109" s="54">
        <f>IFERROR(__xludf.DUMMYFUNCTION("IFERROR(
  VLOOKUP(
    A109,
    IMPORTRANGE(
      ""1SCYQd7_cobOYqT0r_F0IqD4tE4rYn5y8Eup4PJTH8es"",
      ""Snapshot!A:M""
    ),
    7,
    FALSE
  ),
  0
)
"),2909.0)</f>
        <v>2909</v>
      </c>
      <c r="AH109" s="54">
        <f>IFERROR(__xludf.DUMMYFUNCTION("IFERROR(
  VLOOKUP(
    A109,
    IMPORTRANGE(
      ""1SCYQd7_cobOYqT0r_F0IqD4tE4rYn5y8Eup4PJTH8es"",
      ""Snapshot!A:M""
    ),
    8,
    FALSE
  ),
  0
)
"),1.0)</f>
        <v>1</v>
      </c>
      <c r="AI109" s="54">
        <f>IFERROR(__xludf.DUMMYFUNCTION("IFERROR(
  VLOOKUP(
    A109,
    IMPORTRANGE(
      ""1SCYQd7_cobOYqT0r_F0IqD4tE4rYn5y8Eup4PJTH8es"",
      ""Snapshot!A:M""
    ),
    9,
    FALSE
  ),
  0
)
"),4.0)</f>
        <v>4</v>
      </c>
      <c r="AJ109" s="54">
        <f>IFERROR(__xludf.DUMMYFUNCTION("IFERROR(
  VLOOKUP(
    A109,
    IMPORTRANGE(
      ""1SCYQd7_cobOYqT0r_F0IqD4tE4rYn5y8Eup4PJTH8es"",
      ""Snapshot!A:M""
    ),
    13,
    FALSE
  ),
  0
)
"),1.0)</f>
        <v>1</v>
      </c>
      <c r="AK109" s="49">
        <f t="shared" ref="AK109:AL109" si="540">LEN(C109)</f>
        <v>68</v>
      </c>
      <c r="AL109" s="49">
        <f t="shared" si="540"/>
        <v>55</v>
      </c>
    </row>
    <row r="110">
      <c r="A110" s="1" t="s">
        <v>1194</v>
      </c>
      <c r="B110" s="1" t="str">
        <f>IFERROR(__xludf.DUMMYFUNCTION("IFERROR(
  VLOOKUP(
    A110,
    IMPORTRANGE(
      ""1ZygntHC1J6IxzKbTidmOyf5nUyW4GCLurHCjexrLm_o"",
      ""HTMLキャッシュ!A:F""
    ),
    2,
    FALSE
  ),
  0
)
"),"ST")</f>
        <v>ST</v>
      </c>
      <c r="C110" s="1" t="str">
        <f>IFERROR(__xludf.DUMMYFUNCTION("IFERROR(
  VLOOKUP(
    A110,
    IMPORTRANGE(
      ""1ZygntHC1J6IxzKbTidmOyf5nUyW4GCLurHCjexrLm_o"",
      ""HTMLキャッシュ!A:F""
    ),
    5,
    FALSE
  ),
  0
)
"),"時間割 - 新宿区四谷の英語専門塾「英語教室『サポート』」～英語は別に怖くない！～")</f>
        <v>時間割 - 新宿区四谷の英語専門塾「英語教室『サポート』」～英語は別に怖くない！～</v>
      </c>
      <c r="D110" s="1" t="str">
        <f>IFERROR(__xludf.DUMMYFUNCTION("IFERROR(
  VLOOKUP(
    A110,
    IMPORTRANGE(
      ""1ZygntHC1J6IxzKbTidmOyf5nUyW4GCLurHCjexrLm_o        "",
      ""HTMLキャッシュ!A:F""
    ),
    6,
    FALSE
  ),
  0
)
"),"timetable")</f>
        <v>timetable</v>
      </c>
      <c r="E110" s="32">
        <f>IFERROR(__xludf.DUMMYFUNCTION("IFERROR(
  VLOOKUP(
    A110,
    IMPORTRANGE(
      ""1ZygntHC1J6IxzKbTidmOyf5nUyW4GCLurHCjexrLm_o        "",
      ""HTMLキャッシュ!A:F""
    ),
    3,
    FALSE
  ),
  0
)
"),44224.70893518518)</f>
        <v>44224.70894</v>
      </c>
      <c r="F110" s="49">
        <f>IFERROR(__xludf.DUMMYFUNCTION("IFERROR(
  VLOOKUP(
    A110,
    IMPORTRANGE(
      ""1ZHMy3vVUd_0MrSduXTe1etBb1HNpAlGwQr006ljwMiM"",
      ""GSC最新!A:F""
    ),
    2,
    FALSE
  ),
  0
)
"),0.0)</f>
        <v>0</v>
      </c>
      <c r="G110" s="49">
        <f>IFERROR(__xludf.DUMMYFUNCTION("IFERROR(
  VLOOKUP(
    A110,
    IMPORTRANGE(
      ""1ZHMy3vVUd_0MrSduXTe1etBb1HNpAlGwQr006ljwMiM"",
      ""GSC最新!A:F""
    ),
    3,
    FALSE
  ),
  0
)
"),0.0)</f>
        <v>0</v>
      </c>
      <c r="H110" s="49">
        <f>IFERROR(__xludf.DUMMYFUNCTION("IFERROR(
  VLOOKUP(
    A110,
    IMPORTRANGE(
      ""1ZHMy3vVUd_0MrSduXTe1etBb1HNpAlGwQr006ljwMiM"",
      ""GSC最新!A:F""
    ),
    4,
    FALSE
  ),
  0
)
"),0.0)</f>
        <v>0</v>
      </c>
      <c r="I110" s="49">
        <f>IFERROR(__xludf.DUMMYFUNCTION("IFERROR(
  VLOOKUP(
    A110,
    IMPORTRANGE(
      ""1ZHMy3vVUd_0MrSduXTe1etBb1HNpAlGwQr006ljwMiM"",
      ""GSC最新!A:F""
    ),
    5,
    FALSE
  ),
  0
)
"),0.0)</f>
        <v>0</v>
      </c>
      <c r="J110" s="50" t="str">
        <f t="shared" ref="J110:K110" si="541">IFERROR(F110/H110,"-")</f>
        <v>-</v>
      </c>
      <c r="K110" s="50" t="str">
        <f t="shared" si="541"/>
        <v>-</v>
      </c>
      <c r="L110" s="6">
        <f>IFERROR(__xludf.DUMMYFUNCTION("IFERROR(
  VLOOKUP(
    A110,
    IMPORTRANGE(
      ""1ZHMy3vVUd_0MrSduXTe1etBb1HNpAlGwQr006ljwMiM"",
      ""GSC最新!A:R""
    ),
    7,
    FALSE
  ),
  0
)
"),6.0)</f>
        <v>6</v>
      </c>
      <c r="M110" s="6">
        <f>IFERROR(__xludf.DUMMYFUNCTION("IFERROR(
  VLOOKUP(
    A110,
    IMPORTRANGE(
      ""1ZHMy3vVUd_0MrSduXTe1etBb1HNpAlGwQr006ljwMiM"",
      ""GSC最新!A:R""
    ),
    10,
    FALSE
  ),
  0
)
"),19.0)</f>
        <v>19</v>
      </c>
      <c r="N110" s="6">
        <f>IFERROR(__xludf.DUMMYFUNCTION("IFERROR(
  VLOOKUP(
    A110,
    IMPORTRANGE(
      ""1ZHMy3vVUd_0MrSduXTe1etBb1HNpAlGwQr006ljwMiM"",
      ""GSC最新!A:R""
    ),
    13,
    FALSE
  ),
  0
)
"),1.0)</f>
        <v>1</v>
      </c>
      <c r="O110" s="6">
        <f>IFERROR(__xludf.DUMMYFUNCTION("IFERROR(
  VLOOKUP(
    A110,
    IMPORTRANGE(
      ""1ZHMy3vVUd_0MrSduXTe1etBb1HNpAlGwQr006ljwMiM"",
      ""GSC最新!A:R""
    ),
    16,
    FALSE
  ),
  0
)
"),1.0)</f>
        <v>1</v>
      </c>
      <c r="P110" s="51">
        <f t="shared" ref="P110:Q110" si="542">IFERROR(L110/N110,"-")</f>
        <v>6</v>
      </c>
      <c r="Q110" s="51">
        <f t="shared" si="542"/>
        <v>19</v>
      </c>
      <c r="R110" s="9">
        <f>IFERROR(__xludf.DUMMYFUNCTION("IFERROR(
  VLOOKUP(
    A110,
    IMPORTRANGE(
      ""1ZHMy3vVUd_0MrSduXTe1etBb1HNpAlGwQr006ljwMiM"",
      ""GSC最新!A:R""
    ),
    8,
    FALSE
  ),
  0
)
"),0.0)</f>
        <v>0</v>
      </c>
      <c r="S110" s="9">
        <f>IFERROR(__xludf.DUMMYFUNCTION("IFERROR(
  VLOOKUP(
    A110,
    IMPORTRANGE(
      ""1ZHMy3vVUd_0MrSduXTe1etBb1HNpAlGwQr006ljwMiM"",
      ""GSC最新!A:R""
    ),
    11,
    FALSE
  ),
  0
)
"),0.0)</f>
        <v>0</v>
      </c>
      <c r="T110" s="9">
        <f>IFERROR(__xludf.DUMMYFUNCTION("IFERROR(
  VLOOKUP(
    A110,
    IMPORTRANGE(
      ""1ZHMy3vVUd_0MrSduXTe1etBb1HNpAlGwQr006ljwMiM"",
      ""GSC最新!A:R""
    ),
    14,
    FALSE
  ),
  0
)
"),0.0)</f>
        <v>0</v>
      </c>
      <c r="U110" s="9">
        <f>IFERROR(__xludf.DUMMYFUNCTION("IFERROR(
  VLOOKUP(
    A110,
    IMPORTRANGE(
      ""1ZHMy3vVUd_0MrSduXTe1etBb1HNpAlGwQr006ljwMiM"",
      ""GSC最新!A:R""
    ),
    17,
    FALSE
  ),
  0
)
"),0.0)</f>
        <v>0</v>
      </c>
      <c r="V110" s="9">
        <f t="shared" ref="V110:W110" si="543">IFERROR(R110-T110,"-")</f>
        <v>0</v>
      </c>
      <c r="W110" s="9">
        <f t="shared" si="543"/>
        <v>0</v>
      </c>
      <c r="X110" s="65">
        <f>IFERROR(__xludf.DUMMYFUNCTION("IFERROR(
  VLOOKUP(
    A110,
    IMPORTRANGE(
      ""1ZHMy3vVUd_0MrSduXTe1etBb1HNpAlGwQr006ljwMiM"",
      ""GSC最新!A:R""
    ),
    9,
    FALSE
  ),
  0
)
"),15.833333333333334)</f>
        <v>15.83333333</v>
      </c>
      <c r="Y110" s="65">
        <f>IFERROR(__xludf.DUMMYFUNCTION("IFERROR(
  VLOOKUP(
    A110,
    IMPORTRANGE(
      ""1ZHMy3vVUd_0MrSduXTe1etBb1HNpAlGwQr006ljwMiM"",
      ""GSC最新!A:R""
    ),
    12,
    FALSE
  ),
  0
)
"),19.94736842105263)</f>
        <v>19.94736842</v>
      </c>
      <c r="Z110" s="65">
        <f>IFERROR(__xludf.DUMMYFUNCTION("IFERROR(
  VLOOKUP(
    A110,
    IMPORTRANGE(
      ""1ZHMy3vVUd_0MrSduXTe1etBb1HNpAlGwQr006ljwMiM"",
      ""GSC最新!A:R""
    ),
    15,
    FALSE
  ),
  0
)
"),4.0)</f>
        <v>4</v>
      </c>
      <c r="AA110" s="65">
        <f>IFERROR(__xludf.DUMMYFUNCTION("IFERROR(
  VLOOKUP(
    A110,
    IMPORTRANGE(
      ""1ZHMy3vVUd_0MrSduXTe1etBb1HNpAlGwQr006ljwMiM"",
      ""GSC最新!A:R""
    ),
    18,
    FALSE
  ),
  0
)
"),4.0)</f>
        <v>4</v>
      </c>
      <c r="AB110" s="65">
        <f t="shared" ref="AB110:AC110" si="544">X110-Z110</f>
        <v>11.83333333</v>
      </c>
      <c r="AC110" s="65">
        <f t="shared" si="544"/>
        <v>15.94736842</v>
      </c>
      <c r="AD110" s="53">
        <f>IFERROR(__xludf.DUMMYFUNCTION("IFERROR(
  VLOOKUP(
    A110,
    IMPORTRANGE(
      ""1ZHMy3vVUd_0MrSduXTe1etBb1HNpAlGwQr006ljwMiM"",
      ""GSC最新!A:F""
    ),
    6,
    FALSE
  ),
  0
)
"),46081.0)</f>
        <v>46081</v>
      </c>
      <c r="AE110" s="54">
        <f>IFERROR(__xludf.DUMMYFUNCTION("IFERROR(
  VLOOKUP(
    A110,
    IMPORTRANGE(
      ""1SCYQd7_cobOYqT0r_F0IqD4tE4rYn5y8Eup4PJTH8es"",
      ""Snapshot!A:M""
    ),
    5,
    FALSE
  ),
  ""-""
)
"),0.0)</f>
        <v>0</v>
      </c>
      <c r="AF110" s="54">
        <f>IFERROR(__xludf.DUMMYFUNCTION("IFERROR(
  VLOOKUP(
    A110,
    IMPORTRANGE(
      ""1SCYQd7_cobOYqT0r_F0IqD4tE4rYn5y8Eup4PJTH8es"",
      ""Snapshot!A:M""
    ),
    6,
    FALSE
  ),
  0
)
"),0.0)</f>
        <v>0</v>
      </c>
      <c r="AG110" s="54">
        <f>IFERROR(__xludf.DUMMYFUNCTION("IFERROR(
  VLOOKUP(
    A110,
    IMPORTRANGE(
      ""1SCYQd7_cobOYqT0r_F0IqD4tE4rYn5y8Eup4PJTH8es"",
      ""Snapshot!A:M""
    ),
    7,
    FALSE
  ),
  0
)
"),9.0)</f>
        <v>9</v>
      </c>
      <c r="AH110" s="54">
        <f>IFERROR(__xludf.DUMMYFUNCTION("IFERROR(
  VLOOKUP(
    A110,
    IMPORTRANGE(
      ""1SCYQd7_cobOYqT0r_F0IqD4tE4rYn5y8Eup4PJTH8es"",
      ""Snapshot!A:M""
    ),
    8,
    FALSE
  ),
  0
)
"),0.0)</f>
        <v>0</v>
      </c>
      <c r="AI110" s="54">
        <f>IFERROR(__xludf.DUMMYFUNCTION("IFERROR(
  VLOOKUP(
    A110,
    IMPORTRANGE(
      ""1SCYQd7_cobOYqT0r_F0IqD4tE4rYn5y8Eup4PJTH8es"",
      ""Snapshot!A:M""
    ),
    9,
    FALSE
  ),
  0
)
"),1.0)</f>
        <v>1</v>
      </c>
      <c r="AJ110" s="54">
        <f>IFERROR(__xludf.DUMMYFUNCTION("IFERROR(
  VLOOKUP(
    A110,
    IMPORTRANGE(
      ""1SCYQd7_cobOYqT0r_F0IqD4tE4rYn5y8Eup4PJTH8es"",
      ""Snapshot!A:M""
    ),
    13,
    FALSE
  ),
  0
)
"),1.0)</f>
        <v>1</v>
      </c>
      <c r="AK110" s="49">
        <f t="shared" ref="AK110:AL110" si="545">LEN(C110)</f>
        <v>41</v>
      </c>
      <c r="AL110" s="49">
        <f t="shared" si="545"/>
        <v>9</v>
      </c>
    </row>
    <row r="111">
      <c r="A111" s="3" t="s">
        <v>1195</v>
      </c>
      <c r="B111" s="1" t="str">
        <f>IFERROR(__xludf.DUMMYFUNCTION("IFERROR(
  VLOOKUP(
    A111,
    IMPORTRANGE(
      ""1ZygntHC1J6IxzKbTidmOyf5nUyW4GCLurHCjexrLm_o"",
      ""HTMLキャッシュ!A:F""
    ),
    2,
    FALSE
  ),
  0
)
"),"ST")</f>
        <v>ST</v>
      </c>
      <c r="C111" s="1" t="str">
        <f>IFERROR(__xludf.DUMMYFUNCTION("IFERROR(
  VLOOKUP(
    A111,
    IMPORTRANGE(
      ""1ZygntHC1J6IxzKbTidmOyf5nUyW4GCLurHCjexrLm_o"",
      ""HTMLキャッシュ!A:F""
    ),
    5,
    FALSE
  ),
  0
)
"),"お問い合わせ - 新宿区四谷の英語専門塾「英語教室『サポート』」～英語は別に怖くない！～")</f>
        <v>お問い合わせ - 新宿区四谷の英語専門塾「英語教室『サポート』」～英語は別に怖くない！～</v>
      </c>
      <c r="D111" s="1" t="str">
        <f>IFERROR(__xludf.DUMMYFUNCTION("IFERROR(
  VLOOKUP(
    A111,
    IMPORTRANGE(
      ""1ZygntHC1J6IxzKbTidmOyf5nUyW4GCLurHCjexrLm_o        "",
      ""HTMLキャッシュ!A:F""
    ),
    6,
    FALSE
  ),
  0
)
"),"")</f>
        <v/>
      </c>
      <c r="E111" s="32">
        <f>IFERROR(__xludf.DUMMYFUNCTION("IFERROR(
  VLOOKUP(
    A111,
    IMPORTRANGE(
      ""1ZygntHC1J6IxzKbTidmOyf5nUyW4GCLurHCjexrLm_o        "",
      ""HTMLキャッシュ!A:F""
    ),
    3,
    FALSE
  ),
  0
)
"),44229.596655092595)</f>
        <v>44229.59666</v>
      </c>
      <c r="F111" s="49">
        <f>IFERROR(__xludf.DUMMYFUNCTION("IFERROR(
  VLOOKUP(
    A111,
    IMPORTRANGE(
      ""1ZHMy3vVUd_0MrSduXTe1etBb1HNpAlGwQr006ljwMiM"",
      ""GSC最新!A:F""
    ),
    2,
    FALSE
  ),
  0
)
"),0.0)</f>
        <v>0</v>
      </c>
      <c r="G111" s="49">
        <f>IFERROR(__xludf.DUMMYFUNCTION("IFERROR(
  VLOOKUP(
    A111,
    IMPORTRANGE(
      ""1ZHMy3vVUd_0MrSduXTe1etBb1HNpAlGwQr006ljwMiM"",
      ""GSC最新!A:F""
    ),
    3,
    FALSE
  ),
  0
)
"),0.0)</f>
        <v>0</v>
      </c>
      <c r="H111" s="49">
        <f>IFERROR(__xludf.DUMMYFUNCTION("IFERROR(
  VLOOKUP(
    A111,
    IMPORTRANGE(
      ""1ZHMy3vVUd_0MrSduXTe1etBb1HNpAlGwQr006ljwMiM"",
      ""GSC最新!A:F""
    ),
    4,
    FALSE
  ),
  0
)
"),0.0)</f>
        <v>0</v>
      </c>
      <c r="I111" s="49">
        <f>IFERROR(__xludf.DUMMYFUNCTION("IFERROR(
  VLOOKUP(
    A111,
    IMPORTRANGE(
      ""1ZHMy3vVUd_0MrSduXTe1etBb1HNpAlGwQr006ljwMiM"",
      ""GSC最新!A:F""
    ),
    5,
    FALSE
  ),
  0
)
"),0.0)</f>
        <v>0</v>
      </c>
      <c r="J111" s="50" t="str">
        <f t="shared" ref="J111:K111" si="546">IFERROR(F111/H111,"-")</f>
        <v>-</v>
      </c>
      <c r="K111" s="50" t="str">
        <f t="shared" si="546"/>
        <v>-</v>
      </c>
      <c r="L111" s="6">
        <f>IFERROR(__xludf.DUMMYFUNCTION("IFERROR(
  VLOOKUP(
    A111,
    IMPORTRANGE(
      ""1ZHMy3vVUd_0MrSduXTe1etBb1HNpAlGwQr006ljwMiM"",
      ""GSC最新!A:R""
    ),
    7,
    FALSE
  ),
  0
)
"),13.0)</f>
        <v>13</v>
      </c>
      <c r="M111" s="6">
        <f>IFERROR(__xludf.DUMMYFUNCTION("IFERROR(
  VLOOKUP(
    A111,
    IMPORTRANGE(
      ""1ZHMy3vVUd_0MrSduXTe1etBb1HNpAlGwQr006ljwMiM"",
      ""GSC最新!A:R""
    ),
    10,
    FALSE
  ),
  0
)
"),17.0)</f>
        <v>17</v>
      </c>
      <c r="N111" s="6">
        <f>IFERROR(__xludf.DUMMYFUNCTION("IFERROR(
  VLOOKUP(
    A111,
    IMPORTRANGE(
      ""1ZHMy3vVUd_0MrSduXTe1etBb1HNpAlGwQr006ljwMiM"",
      ""GSC最新!A:R""
    ),
    13,
    FALSE
  ),
  0
)
"),1.0)</f>
        <v>1</v>
      </c>
      <c r="O111" s="6">
        <f>IFERROR(__xludf.DUMMYFUNCTION("IFERROR(
  VLOOKUP(
    A111,
    IMPORTRANGE(
      ""1ZHMy3vVUd_0MrSduXTe1etBb1HNpAlGwQr006ljwMiM"",
      ""GSC最新!A:R""
    ),
    16,
    FALSE
  ),
  0
)
"),2.0)</f>
        <v>2</v>
      </c>
      <c r="P111" s="51">
        <f t="shared" ref="P111:Q111" si="547">IFERROR(L111/N111,"-")</f>
        <v>13</v>
      </c>
      <c r="Q111" s="51">
        <f t="shared" si="547"/>
        <v>8.5</v>
      </c>
      <c r="R111" s="9">
        <f>IFERROR(__xludf.DUMMYFUNCTION("IFERROR(
  VLOOKUP(
    A111,
    IMPORTRANGE(
      ""1ZHMy3vVUd_0MrSduXTe1etBb1HNpAlGwQr006ljwMiM"",
      ""GSC最新!A:R""
    ),
    8,
    FALSE
  ),
  0
)
"),0.0)</f>
        <v>0</v>
      </c>
      <c r="S111" s="9">
        <f>IFERROR(__xludf.DUMMYFUNCTION("IFERROR(
  VLOOKUP(
    A111,
    IMPORTRANGE(
      ""1ZHMy3vVUd_0MrSduXTe1etBb1HNpAlGwQr006ljwMiM"",
      ""GSC最新!A:R""
    ),
    11,
    FALSE
  ),
  0
)
"),0.0)</f>
        <v>0</v>
      </c>
      <c r="T111" s="9">
        <f>IFERROR(__xludf.DUMMYFUNCTION("IFERROR(
  VLOOKUP(
    A111,
    IMPORTRANGE(
      ""1ZHMy3vVUd_0MrSduXTe1etBb1HNpAlGwQr006ljwMiM"",
      ""GSC最新!A:R""
    ),
    14,
    FALSE
  ),
  0
)
"),0.0)</f>
        <v>0</v>
      </c>
      <c r="U111" s="9">
        <f>IFERROR(__xludf.DUMMYFUNCTION("IFERROR(
  VLOOKUP(
    A111,
    IMPORTRANGE(
      ""1ZHMy3vVUd_0MrSduXTe1etBb1HNpAlGwQr006ljwMiM"",
      ""GSC最新!A:R""
    ),
    17,
    FALSE
  ),
  0
)
"),0.0)</f>
        <v>0</v>
      </c>
      <c r="V111" s="9">
        <f t="shared" ref="V111:W111" si="548">IFERROR(R111-T111,"-")</f>
        <v>0</v>
      </c>
      <c r="W111" s="9">
        <f t="shared" si="548"/>
        <v>0</v>
      </c>
      <c r="X111" s="65">
        <f>IFERROR(__xludf.DUMMYFUNCTION("IFERROR(
  VLOOKUP(
    A111,
    IMPORTRANGE(
      ""1ZHMy3vVUd_0MrSduXTe1etBb1HNpAlGwQr006ljwMiM"",
      ""GSC最新!A:R""
    ),
    9,
    FALSE
  ),
  0
)
"),16.615384615384613)</f>
        <v>16.61538462</v>
      </c>
      <c r="Y111" s="65">
        <f>IFERROR(__xludf.DUMMYFUNCTION("IFERROR(
  VLOOKUP(
    A111,
    IMPORTRANGE(
      ""1ZHMy3vVUd_0MrSduXTe1etBb1HNpAlGwQr006ljwMiM"",
      ""GSC最新!A:R""
    ),
    12,
    FALSE
  ),
  0
)
"),14.352941176470589)</f>
        <v>14.35294118</v>
      </c>
      <c r="Z111" s="65">
        <f>IFERROR(__xludf.DUMMYFUNCTION("IFERROR(
  VLOOKUP(
    A111,
    IMPORTRANGE(
      ""1ZHMy3vVUd_0MrSduXTe1etBb1HNpAlGwQr006ljwMiM"",
      ""GSC最新!A:R""
    ),
    15,
    FALSE
  ),
  0
)
"),8.0)</f>
        <v>8</v>
      </c>
      <c r="AA111" s="65">
        <f>IFERROR(__xludf.DUMMYFUNCTION("IFERROR(
  VLOOKUP(
    A111,
    IMPORTRANGE(
      ""1ZHMy3vVUd_0MrSduXTe1etBb1HNpAlGwQr006ljwMiM"",
      ""GSC最新!A:R""
    ),
    18,
    FALSE
  ),
  0
)
"),50.0)</f>
        <v>50</v>
      </c>
      <c r="AB111" s="65">
        <f t="shared" ref="AB111:AC111" si="549">X111-Z111</f>
        <v>8.615384615</v>
      </c>
      <c r="AC111" s="65">
        <f t="shared" si="549"/>
        <v>-35.64705882</v>
      </c>
      <c r="AD111" s="53">
        <f>IFERROR(__xludf.DUMMYFUNCTION("IFERROR(
  VLOOKUP(
    A111,
    IMPORTRANGE(
      ""1ZHMy3vVUd_0MrSduXTe1etBb1HNpAlGwQr006ljwMiM"",
      ""GSC最新!A:F""
    ),
    6,
    FALSE
  ),
  0
)
"),46081.0)</f>
        <v>46081</v>
      </c>
      <c r="AE111" s="54">
        <f>IFERROR(__xludf.DUMMYFUNCTION("IFERROR(
  VLOOKUP(
    A111,
    IMPORTRANGE(
      ""1SCYQd7_cobOYqT0r_F0IqD4tE4rYn5y8Eup4PJTH8es"",
      ""Snapshot!A:M""
    ),
    5,
    FALSE
  ),
  ""-""
)
"),0.0)</f>
        <v>0</v>
      </c>
      <c r="AF111" s="54">
        <f>IFERROR(__xludf.DUMMYFUNCTION("IFERROR(
  VLOOKUP(
    A111,
    IMPORTRANGE(
      ""1SCYQd7_cobOYqT0r_F0IqD4tE4rYn5y8Eup4PJTH8es"",
      ""Snapshot!A:M""
    ),
    6,
    FALSE
  ),
  0
)
"),0.0)</f>
        <v>0</v>
      </c>
      <c r="AG111" s="54">
        <f>IFERROR(__xludf.DUMMYFUNCTION("IFERROR(
  VLOOKUP(
    A111,
    IMPORTRANGE(
      ""1SCYQd7_cobOYqT0r_F0IqD4tE4rYn5y8Eup4PJTH8es"",
      ""Snapshot!A:M""
    ),
    7,
    FALSE
  ),
  0
)
"),58.0)</f>
        <v>58</v>
      </c>
      <c r="AH111" s="54">
        <f>IFERROR(__xludf.DUMMYFUNCTION("IFERROR(
  VLOOKUP(
    A111,
    IMPORTRANGE(
      ""1SCYQd7_cobOYqT0r_F0IqD4tE4rYn5y8Eup4PJTH8es"",
      ""Snapshot!A:M""
    ),
    8,
    FALSE
  ),
  0
)
"),0.0)</f>
        <v>0</v>
      </c>
      <c r="AI111" s="54">
        <f>IFERROR(__xludf.DUMMYFUNCTION("IFERROR(
  VLOOKUP(
    A111,
    IMPORTRANGE(
      ""1SCYQd7_cobOYqT0r_F0IqD4tE4rYn5y8Eup4PJTH8es"",
      ""Snapshot!A:M""
    ),
    9,
    FALSE
  ),
  0
)
"),1.0)</f>
        <v>1</v>
      </c>
      <c r="AJ111" s="54">
        <f>IFERROR(__xludf.DUMMYFUNCTION("IFERROR(
  VLOOKUP(
    A111,
    IMPORTRANGE(
      ""1SCYQd7_cobOYqT0r_F0IqD4tE4rYn5y8Eup4PJTH8es"",
      ""Snapshot!A:M""
    ),
    13,
    FALSE
  ),
  0
)
"),1.0)</f>
        <v>1</v>
      </c>
      <c r="AK111" s="49">
        <f t="shared" ref="AK111:AL111" si="550">LEN(C111)</f>
        <v>44</v>
      </c>
      <c r="AL111" s="49">
        <f t="shared" si="550"/>
        <v>0</v>
      </c>
    </row>
    <row r="112">
      <c r="A112" s="1" t="s">
        <v>1196</v>
      </c>
      <c r="B112" s="1" t="str">
        <f>IFERROR(__xludf.DUMMYFUNCTION("IFERROR(
  VLOOKUP(
    A112,
    IMPORTRANGE(
      ""1ZygntHC1J6IxzKbTidmOyf5nUyW4GCLurHCjexrLm_o"",
      ""HTMLキャッシュ!A:F""
    ),
    2,
    FALSE
  ),
  0
)
"),"NW")</f>
        <v>NW</v>
      </c>
      <c r="C112" s="1" t="str">
        <f>IFERROR(__xludf.DUMMYFUNCTION("IFERROR(
  VLOOKUP(
    A112,
    IMPORTRANGE(
      ""1ZygntHC1J6IxzKbTidmOyf5nUyW4GCLurHCjexrLm_o"",
      ""HTMLキャッシュ!A:F""
    ),
    5,
    FALSE
  ),
  0
)
"),"2025年度 夏期講習会のご案内 - 新宿区四谷の英語専門塾「英語教室『サポート』」～英語は別に怖くない！～")</f>
        <v>2025年度 夏期講習会のご案内 - 新宿区四谷の英語専門塾「英語教室『サポート』」～英語は別に怖くない！～</v>
      </c>
      <c r="D112" s="1" t="str">
        <f>IFERROR(__xludf.DUMMYFUNCTION("IFERROR(
  VLOOKUP(
    A112,
    IMPORTRANGE(
      ""1ZygntHC1J6IxzKbTidmOyf5nUyW4GCLurHCjexrLm_o        "",
      ""HTMLキャッシュ!A:F""
    ),
    6,
    FALSE
  ),
  0
)
"),"夏休みは、受験生にとってまさに勝負の時期です。 また、受験を1年以上先に控えるお子様にとっても、普段は忙しくて")</f>
        <v>夏休みは、受験生にとってまさに勝負の時期です。 また、受験を1年以上先に控えるお子様にとっても、普段は忙しくて</v>
      </c>
      <c r="E112" s="32">
        <f>IFERROR(__xludf.DUMMYFUNCTION("IFERROR(
  VLOOKUP(
    A112,
    IMPORTRANGE(
      ""1ZygntHC1J6IxzKbTidmOyf5nUyW4GCLurHCjexrLm_o        "",
      ""HTMLキャッシュ!A:F""
    ),
    3,
    FALSE
  ),
  0
)
"),46015.733125)</f>
        <v>46015.73313</v>
      </c>
      <c r="F112" s="49">
        <f>IFERROR(__xludf.DUMMYFUNCTION("IFERROR(
  VLOOKUP(
    A112,
    IMPORTRANGE(
      ""1ZHMy3vVUd_0MrSduXTe1etBb1HNpAlGwQr006ljwMiM"",
      ""GSC最新!A:F""
    ),
    2,
    FALSE
  ),
  0
)
"),0.0)</f>
        <v>0</v>
      </c>
      <c r="G112" s="49">
        <f>IFERROR(__xludf.DUMMYFUNCTION("IFERROR(
  VLOOKUP(
    A112,
    IMPORTRANGE(
      ""1ZHMy3vVUd_0MrSduXTe1etBb1HNpAlGwQr006ljwMiM"",
      ""GSC最新!A:F""
    ),
    3,
    FALSE
  ),
  0
)
"),0.0)</f>
        <v>0</v>
      </c>
      <c r="H112" s="49">
        <f>IFERROR(__xludf.DUMMYFUNCTION("IFERROR(
  VLOOKUP(
    A112,
    IMPORTRANGE(
      ""1ZHMy3vVUd_0MrSduXTe1etBb1HNpAlGwQr006ljwMiM"",
      ""GSC最新!A:F""
    ),
    4,
    FALSE
  ),
  0
)
"),0.0)</f>
        <v>0</v>
      </c>
      <c r="I112" s="49">
        <f>IFERROR(__xludf.DUMMYFUNCTION("IFERROR(
  VLOOKUP(
    A112,
    IMPORTRANGE(
      ""1ZHMy3vVUd_0MrSduXTe1etBb1HNpAlGwQr006ljwMiM"",
      ""GSC最新!A:F""
    ),
    5,
    FALSE
  ),
  0
)
"),0.0)</f>
        <v>0</v>
      </c>
      <c r="J112" s="50" t="str">
        <f t="shared" ref="J112:K112" si="551">IFERROR(F112/H112,"-")</f>
        <v>-</v>
      </c>
      <c r="K112" s="50" t="str">
        <f t="shared" si="551"/>
        <v>-</v>
      </c>
      <c r="L112" s="6">
        <f>IFERROR(__xludf.DUMMYFUNCTION("IFERROR(
  VLOOKUP(
    A112,
    IMPORTRANGE(
      ""1ZHMy3vVUd_0MrSduXTe1etBb1HNpAlGwQr006ljwMiM"",
      ""GSC最新!A:R""
    ),
    7,
    FALSE
  ),
  0
)
"),0.0)</f>
        <v>0</v>
      </c>
      <c r="M112" s="6">
        <f>IFERROR(__xludf.DUMMYFUNCTION("IFERROR(
  VLOOKUP(
    A112,
    IMPORTRANGE(
      ""1ZHMy3vVUd_0MrSduXTe1etBb1HNpAlGwQr006ljwMiM"",
      ""GSC最新!A:R""
    ),
    10,
    FALSE
  ),
  0
)
"),17.0)</f>
        <v>17</v>
      </c>
      <c r="N112" s="6">
        <f>IFERROR(__xludf.DUMMYFUNCTION("IFERROR(
  VLOOKUP(
    A112,
    IMPORTRANGE(
      ""1ZHMy3vVUd_0MrSduXTe1etBb1HNpAlGwQr006ljwMiM"",
      ""GSC最新!A:R""
    ),
    13,
    FALSE
  ),
  0
)
"),0.0)</f>
        <v>0</v>
      </c>
      <c r="O112" s="6">
        <f>IFERROR(__xludf.DUMMYFUNCTION("IFERROR(
  VLOOKUP(
    A112,
    IMPORTRANGE(
      ""1ZHMy3vVUd_0MrSduXTe1etBb1HNpAlGwQr006ljwMiM"",
      ""GSC最新!A:R""
    ),
    16,
    FALSE
  ),
  0
)
"),0.0)</f>
        <v>0</v>
      </c>
      <c r="P112" s="51" t="str">
        <f t="shared" ref="P112:Q112" si="552">IFERROR(L112/N112,"-")</f>
        <v>-</v>
      </c>
      <c r="Q112" s="51" t="str">
        <f t="shared" si="552"/>
        <v>-</v>
      </c>
      <c r="R112" s="9">
        <f>IFERROR(__xludf.DUMMYFUNCTION("IFERROR(
  VLOOKUP(
    A112,
    IMPORTRANGE(
      ""1ZHMy3vVUd_0MrSduXTe1etBb1HNpAlGwQr006ljwMiM"",
      ""GSC最新!A:R""
    ),
    8,
    FALSE
  ),
  0
)
"),0.0)</f>
        <v>0</v>
      </c>
      <c r="S112" s="9">
        <f>IFERROR(__xludf.DUMMYFUNCTION("IFERROR(
  VLOOKUP(
    A112,
    IMPORTRANGE(
      ""1ZHMy3vVUd_0MrSduXTe1etBb1HNpAlGwQr006ljwMiM"",
      ""GSC最新!A:R""
    ),
    11,
    FALSE
  ),
  0
)
"),0.0)</f>
        <v>0</v>
      </c>
      <c r="T112" s="9">
        <f>IFERROR(__xludf.DUMMYFUNCTION("IFERROR(
  VLOOKUP(
    A112,
    IMPORTRANGE(
      ""1ZHMy3vVUd_0MrSduXTe1etBb1HNpAlGwQr006ljwMiM"",
      ""GSC最新!A:R""
    ),
    14,
    FALSE
  ),
  0
)
"),0.0)</f>
        <v>0</v>
      </c>
      <c r="U112" s="9">
        <f>IFERROR(__xludf.DUMMYFUNCTION("IFERROR(
  VLOOKUP(
    A112,
    IMPORTRANGE(
      ""1ZHMy3vVUd_0MrSduXTe1etBb1HNpAlGwQr006ljwMiM"",
      ""GSC最新!A:R""
    ),
    17,
    FALSE
  ),
  0
)
"),0.0)</f>
        <v>0</v>
      </c>
      <c r="V112" s="9">
        <f t="shared" ref="V112:W112" si="553">IFERROR(R112-T112,"-")</f>
        <v>0</v>
      </c>
      <c r="W112" s="9">
        <f t="shared" si="553"/>
        <v>0</v>
      </c>
      <c r="X112" s="65" t="str">
        <f>IFERROR(__xludf.DUMMYFUNCTION("IFERROR(
  VLOOKUP(
    A112,
    IMPORTRANGE(
      ""1ZHMy3vVUd_0MrSduXTe1etBb1HNpAlGwQr006ljwMiM"",
      ""GSC最新!A:R""
    ),
    9,
    FALSE
  ),
  0
)
"),"")</f>
        <v/>
      </c>
      <c r="Y112" s="65">
        <f>IFERROR(__xludf.DUMMYFUNCTION("IFERROR(
  VLOOKUP(
    A112,
    IMPORTRANGE(
      ""1ZHMy3vVUd_0MrSduXTe1etBb1HNpAlGwQr006ljwMiM"",
      ""GSC最新!A:R""
    ),
    12,
    FALSE
  ),
  0
)
"),3.411764705882353)</f>
        <v>3.411764706</v>
      </c>
      <c r="Z112" s="65" t="str">
        <f>IFERROR(__xludf.DUMMYFUNCTION("IFERROR(
  VLOOKUP(
    A112,
    IMPORTRANGE(
      ""1ZHMy3vVUd_0MrSduXTe1etBb1HNpAlGwQr006ljwMiM"",
      ""GSC最新!A:R""
    ),
    15,
    FALSE
  ),
  0
)
"),"")</f>
        <v/>
      </c>
      <c r="AA112" s="65" t="str">
        <f>IFERROR(__xludf.DUMMYFUNCTION("IFERROR(
  VLOOKUP(
    A112,
    IMPORTRANGE(
      ""1ZHMy3vVUd_0MrSduXTe1etBb1HNpAlGwQr006ljwMiM"",
      ""GSC最新!A:R""
    ),
    18,
    FALSE
  ),
  0
)
"),"")</f>
        <v/>
      </c>
      <c r="AB112" s="65">
        <f t="shared" ref="AB112:AC112" si="554">X112-Z112</f>
        <v>0</v>
      </c>
      <c r="AC112" s="65">
        <f t="shared" si="554"/>
        <v>3.411764706</v>
      </c>
      <c r="AD112" s="53">
        <f>IFERROR(__xludf.DUMMYFUNCTION("IFERROR(
  VLOOKUP(
    A112,
    IMPORTRANGE(
      ""1ZHMy3vVUd_0MrSduXTe1etBb1HNpAlGwQr006ljwMiM"",
      ""GSC最新!A:F""
    ),
    6,
    FALSE
  ),
  0
)
"),46081.0)</f>
        <v>46081</v>
      </c>
      <c r="AE112" s="54">
        <f>IFERROR(__xludf.DUMMYFUNCTION("IFERROR(
  VLOOKUP(
    A112,
    IMPORTRANGE(
      ""1SCYQd7_cobOYqT0r_F0IqD4tE4rYn5y8Eup4PJTH8es"",
      ""Snapshot!A:M""
    ),
    5,
    FALSE
  ),
  ""-""
)
"),0.0)</f>
        <v>0</v>
      </c>
      <c r="AF112" s="54">
        <f>IFERROR(__xludf.DUMMYFUNCTION("IFERROR(
  VLOOKUP(
    A112,
    IMPORTRANGE(
      ""1SCYQd7_cobOYqT0r_F0IqD4tE4rYn5y8Eup4PJTH8es"",
      ""Snapshot!A:M""
    ),
    6,
    FALSE
  ),
  0
)
"),0.0)</f>
        <v>0</v>
      </c>
      <c r="AG112" s="54">
        <f>IFERROR(__xludf.DUMMYFUNCTION("IFERROR(
  VLOOKUP(
    A112,
    IMPORTRANGE(
      ""1SCYQd7_cobOYqT0r_F0IqD4tE4rYn5y8Eup4PJTH8es"",
      ""Snapshot!A:M""
    ),
    7,
    FALSE
  ),
  0
)
"),597.0)</f>
        <v>597</v>
      </c>
      <c r="AH112" s="54">
        <f>IFERROR(__xludf.DUMMYFUNCTION("IFERROR(
  VLOOKUP(
    A112,
    IMPORTRANGE(
      ""1SCYQd7_cobOYqT0r_F0IqD4tE4rYn5y8Eup4PJTH8es"",
      ""Snapshot!A:M""
    ),
    8,
    FALSE
  ),
  0
)
"),1.0)</f>
        <v>1</v>
      </c>
      <c r="AI112" s="54">
        <f>IFERROR(__xludf.DUMMYFUNCTION("IFERROR(
  VLOOKUP(
    A112,
    IMPORTRANGE(
      ""1SCYQd7_cobOYqT0r_F0IqD4tE4rYn5y8Eup4PJTH8es"",
      ""Snapshot!A:M""
    ),
    9,
    FALSE
  ),
  0
)
"),0.0)</f>
        <v>0</v>
      </c>
      <c r="AJ112" s="54">
        <f>IFERROR(__xludf.DUMMYFUNCTION("IFERROR(
  VLOOKUP(
    A112,
    IMPORTRANGE(
      ""1SCYQd7_cobOYqT0r_F0IqD4tE4rYn5y8Eup4PJTH8es"",
      ""Snapshot!A:M""
    ),
    13,
    FALSE
  ),
  0
)
"),1.0)</f>
        <v>1</v>
      </c>
      <c r="AK112" s="49">
        <f t="shared" ref="AK112:AL112" si="555">LEN(C112)</f>
        <v>54</v>
      </c>
      <c r="AL112" s="49">
        <f t="shared" si="555"/>
        <v>55</v>
      </c>
    </row>
    <row r="113">
      <c r="A113" s="3" t="s">
        <v>1197</v>
      </c>
      <c r="B113" s="1" t="str">
        <f>IFERROR(__xludf.DUMMYFUNCTION("IFERROR(
  VLOOKUP(
    A113,
    IMPORTRANGE(
      ""1ZygntHC1J6IxzKbTidmOyf5nUyW4GCLurHCjexrLm_o"",
      ""HTMLキャッシュ!A:F""
    ),
    2,
    FALSE
  ),
  0
)
"),"MC")</f>
        <v>MC</v>
      </c>
      <c r="C113" s="1" t="str">
        <f>IFERROR(__xludf.DUMMYFUNCTION("IFERROR(
  VLOOKUP(
    A113,
    IMPORTRANGE(
      ""1ZygntHC1J6IxzKbTidmOyf5nUyW4GCLurHCjexrLm_o"",
      ""HTMLキャッシュ!A:F""
    ),
    5,
    FALSE
  ),
  0
)
"),"前置詞のまとめ【Book1 Lesson19 Scene2】 - 新宿区四谷の英語専門塾「英語教室『サポート』」～英語は別に怖くない！～")</f>
        <v>前置詞のまとめ【Book1 Lesson19 Scene2】 - 新宿区四谷の英語専門塾「英語教室『サポート』」～英語は別に怖くない！～</v>
      </c>
      <c r="D113" s="1" t="str">
        <f>IFERROR(__xludf.DUMMYFUNCTION("IFERROR(
  VLOOKUP(
    A113,
    IMPORTRANGE(
      ""1ZygntHC1J6IxzKbTidmOyf5nUyW4GCLurHCjexrLm_o        "",
      ""HTMLキャッシュ!A:F""
    ),
    6,
    FALSE
  ),
  0
)
"),"英語教室「サポート」の『過去問演習講座』：完璧な分析と対策を！ 詳細を見る ﻿今回は、Book1 Lesson")</f>
        <v>英語教室「サポート」の『過去問演習講座』：完璧な分析と対策を！ 詳細を見る ﻿今回は、Book1 Lesson</v>
      </c>
      <c r="E113" s="32">
        <f>IFERROR(__xludf.DUMMYFUNCTION("IFERROR(
  VLOOKUP(
    A113,
    IMPORTRANGE(
      ""1ZygntHC1J6IxzKbTidmOyf5nUyW4GCLurHCjexrLm_o        "",
      ""HTMLキャッシュ!A:F""
    ),
    3,
    FALSE
  ),
  0
)
"),46043.74050925926)</f>
        <v>46043.74051</v>
      </c>
      <c r="F113" s="49">
        <f>IFERROR(__xludf.DUMMYFUNCTION("IFERROR(
  VLOOKUP(
    A113,
    IMPORTRANGE(
      ""1ZHMy3vVUd_0MrSduXTe1etBb1HNpAlGwQr006ljwMiM"",
      ""GSC最新!A:F""
    ),
    2,
    FALSE
  ),
  0
)
"),0.0)</f>
        <v>0</v>
      </c>
      <c r="G113" s="49">
        <f>IFERROR(__xludf.DUMMYFUNCTION("IFERROR(
  VLOOKUP(
    A113,
    IMPORTRANGE(
      ""1ZHMy3vVUd_0MrSduXTe1etBb1HNpAlGwQr006ljwMiM"",
      ""GSC最新!A:F""
    ),
    3,
    FALSE
  ),
  0
)
"),0.0)</f>
        <v>0</v>
      </c>
      <c r="H113" s="49">
        <f>IFERROR(__xludf.DUMMYFUNCTION("IFERROR(
  VLOOKUP(
    A113,
    IMPORTRANGE(
      ""1ZHMy3vVUd_0MrSduXTe1etBb1HNpAlGwQr006ljwMiM"",
      ""GSC最新!A:F""
    ),
    4,
    FALSE
  ),
  0
)
"),0.0)</f>
        <v>0</v>
      </c>
      <c r="I113" s="49">
        <f>IFERROR(__xludf.DUMMYFUNCTION("IFERROR(
  VLOOKUP(
    A113,
    IMPORTRANGE(
      ""1ZHMy3vVUd_0MrSduXTe1etBb1HNpAlGwQr006ljwMiM"",
      ""GSC最新!A:F""
    ),
    5,
    FALSE
  ),
  0
)
"),0.0)</f>
        <v>0</v>
      </c>
      <c r="J113" s="50" t="str">
        <f t="shared" ref="J113:K113" si="556">IFERROR(F113/H113,"-")</f>
        <v>-</v>
      </c>
      <c r="K113" s="50" t="str">
        <f t="shared" si="556"/>
        <v>-</v>
      </c>
      <c r="L113" s="6">
        <f>IFERROR(__xludf.DUMMYFUNCTION("IFERROR(
  VLOOKUP(
    A113,
    IMPORTRANGE(
      ""1ZHMy3vVUd_0MrSduXTe1etBb1HNpAlGwQr006ljwMiM"",
      ""GSC最新!A:R""
    ),
    7,
    FALSE
  ),
  0
)
"),4.0)</f>
        <v>4</v>
      </c>
      <c r="M113" s="6">
        <f>IFERROR(__xludf.DUMMYFUNCTION("IFERROR(
  VLOOKUP(
    A113,
    IMPORTRANGE(
      ""1ZHMy3vVUd_0MrSduXTe1etBb1HNpAlGwQr006ljwMiM"",
      ""GSC最新!A:R""
    ),
    10,
    FALSE
  ),
  0
)
"),18.0)</f>
        <v>18</v>
      </c>
      <c r="N113" s="6">
        <f>IFERROR(__xludf.DUMMYFUNCTION("IFERROR(
  VLOOKUP(
    A113,
    IMPORTRANGE(
      ""1ZHMy3vVUd_0MrSduXTe1etBb1HNpAlGwQr006ljwMiM"",
      ""GSC最新!A:R""
    ),
    13,
    FALSE
  ),
  0
)
"),25.0)</f>
        <v>25</v>
      </c>
      <c r="O113" s="6">
        <f>IFERROR(__xludf.DUMMYFUNCTION("IFERROR(
  VLOOKUP(
    A113,
    IMPORTRANGE(
      ""1ZHMy3vVUd_0MrSduXTe1etBb1HNpAlGwQr006ljwMiM"",
      ""GSC最新!A:R""
    ),
    16,
    FALSE
  ),
  0
)
"),72.0)</f>
        <v>72</v>
      </c>
      <c r="P113" s="51">
        <f t="shared" ref="P113:Q113" si="557">IFERROR(L113/N113,"-")</f>
        <v>0.16</v>
      </c>
      <c r="Q113" s="51">
        <f t="shared" si="557"/>
        <v>0.25</v>
      </c>
      <c r="R113" s="9">
        <f>IFERROR(__xludf.DUMMYFUNCTION("IFERROR(
  VLOOKUP(
    A113,
    IMPORTRANGE(
      ""1ZHMy3vVUd_0MrSduXTe1etBb1HNpAlGwQr006ljwMiM"",
      ""GSC最新!A:R""
    ),
    8,
    FALSE
  ),
  0
)
"),0.0)</f>
        <v>0</v>
      </c>
      <c r="S113" s="9">
        <f>IFERROR(__xludf.DUMMYFUNCTION("IFERROR(
  VLOOKUP(
    A113,
    IMPORTRANGE(
      ""1ZHMy3vVUd_0MrSduXTe1etBb1HNpAlGwQr006ljwMiM"",
      ""GSC最新!A:R""
    ),
    11,
    FALSE
  ),
  0
)
"),0.0)</f>
        <v>0</v>
      </c>
      <c r="T113" s="9">
        <f>IFERROR(__xludf.DUMMYFUNCTION("IFERROR(
  VLOOKUP(
    A113,
    IMPORTRANGE(
      ""1ZHMy3vVUd_0MrSduXTe1etBb1HNpAlGwQr006ljwMiM"",
      ""GSC最新!A:R""
    ),
    14,
    FALSE
  ),
  0
)
"),0.0)</f>
        <v>0</v>
      </c>
      <c r="U113" s="9">
        <f>IFERROR(__xludf.DUMMYFUNCTION("IFERROR(
  VLOOKUP(
    A113,
    IMPORTRANGE(
      ""1ZHMy3vVUd_0MrSduXTe1etBb1HNpAlGwQr006ljwMiM"",
      ""GSC最新!A:R""
    ),
    17,
    FALSE
  ),
  0
)
"),0.0)</f>
        <v>0</v>
      </c>
      <c r="V113" s="9">
        <f t="shared" ref="V113:W113" si="558">IFERROR(R113-T113,"-")</f>
        <v>0</v>
      </c>
      <c r="W113" s="9">
        <f t="shared" si="558"/>
        <v>0</v>
      </c>
      <c r="X113" s="65">
        <f>IFERROR(__xludf.DUMMYFUNCTION("IFERROR(
  VLOOKUP(
    A113,
    IMPORTRANGE(
      ""1ZHMy3vVUd_0MrSduXTe1etBb1HNpAlGwQr006ljwMiM"",
      ""GSC最新!A:R""
    ),
    9,
    FALSE
  ),
  0
)
"),6.0)</f>
        <v>6</v>
      </c>
      <c r="Y113" s="65">
        <f>IFERROR(__xludf.DUMMYFUNCTION("IFERROR(
  VLOOKUP(
    A113,
    IMPORTRANGE(
      ""1ZHMy3vVUd_0MrSduXTe1etBb1HNpAlGwQr006ljwMiM"",
      ""GSC最新!A:R""
    ),
    12,
    FALSE
  ),
  0
)
"),6.166666666666667)</f>
        <v>6.166666667</v>
      </c>
      <c r="Z113" s="65">
        <f>IFERROR(__xludf.DUMMYFUNCTION("IFERROR(
  VLOOKUP(
    A113,
    IMPORTRANGE(
      ""1ZHMy3vVUd_0MrSduXTe1etBb1HNpAlGwQr006ljwMiM"",
      ""GSC最新!A:R""
    ),
    15,
    FALSE
  ),
  0
)
"),9.0)</f>
        <v>9</v>
      </c>
      <c r="AA113" s="65">
        <f>IFERROR(__xludf.DUMMYFUNCTION("IFERROR(
  VLOOKUP(
    A113,
    IMPORTRANGE(
      ""1ZHMy3vVUd_0MrSduXTe1etBb1HNpAlGwQr006ljwMiM"",
      ""GSC最新!A:R""
    ),
    18,
    FALSE
  ),
  0
)
"),10.458333333333334)</f>
        <v>10.45833333</v>
      </c>
      <c r="AB113" s="65">
        <f t="shared" ref="AB113:AC113" si="559">X113-Z113</f>
        <v>-3</v>
      </c>
      <c r="AC113" s="65">
        <f t="shared" si="559"/>
        <v>-4.291666667</v>
      </c>
      <c r="AD113" s="53">
        <f>IFERROR(__xludf.DUMMYFUNCTION("IFERROR(
  VLOOKUP(
    A113,
    IMPORTRANGE(
      ""1ZHMy3vVUd_0MrSduXTe1etBb1HNpAlGwQr006ljwMiM"",
      ""GSC最新!A:F""
    ),
    6,
    FALSE
  ),
  0
)
"),46081.0)</f>
        <v>46081</v>
      </c>
      <c r="AE113" s="54">
        <f>IFERROR(__xludf.DUMMYFUNCTION("IFERROR(
  VLOOKUP(
    A113,
    IMPORTRANGE(
      ""1SCYQd7_cobOYqT0r_F0IqD4tE4rYn5y8Eup4PJTH8es"",
      ""Snapshot!A:M""
    ),
    5,
    FALSE
  ),
  ""-""
)
"),4.0)</f>
        <v>4</v>
      </c>
      <c r="AF113" s="54">
        <f>IFERROR(__xludf.DUMMYFUNCTION("IFERROR(
  VLOOKUP(
    A113,
    IMPORTRANGE(
      ""1SCYQd7_cobOYqT0r_F0IqD4tE4rYn5y8Eup4PJTH8es"",
      ""Snapshot!A:M""
    ),
    6,
    FALSE
  ),
  0
)
"),0.0)</f>
        <v>0</v>
      </c>
      <c r="AG113" s="54">
        <f>IFERROR(__xludf.DUMMYFUNCTION("IFERROR(
  VLOOKUP(
    A113,
    IMPORTRANGE(
      ""1SCYQd7_cobOYqT0r_F0IqD4tE4rYn5y8Eup4PJTH8es"",
      ""Snapshot!A:M""
    ),
    7,
    FALSE
  ),
  0
)
"),1938.0)</f>
        <v>1938</v>
      </c>
      <c r="AH113" s="54">
        <f>IFERROR(__xludf.DUMMYFUNCTION("IFERROR(
  VLOOKUP(
    A113,
    IMPORTRANGE(
      ""1SCYQd7_cobOYqT0r_F0IqD4tE4rYn5y8Eup4PJTH8es"",
      ""Snapshot!A:M""
    ),
    8,
    FALSE
  ),
  0
)
"),1.0)</f>
        <v>1</v>
      </c>
      <c r="AI113" s="54">
        <f>IFERROR(__xludf.DUMMYFUNCTION("IFERROR(
  VLOOKUP(
    A113,
    IMPORTRANGE(
      ""1SCYQd7_cobOYqT0r_F0IqD4tE4rYn5y8Eup4PJTH8es"",
      ""Snapshot!A:M""
    ),
    9,
    FALSE
  ),
  0
)
"),4.0)</f>
        <v>4</v>
      </c>
      <c r="AJ113" s="54">
        <f>IFERROR(__xludf.DUMMYFUNCTION("IFERROR(
  VLOOKUP(
    A113,
    IMPORTRANGE(
      ""1SCYQd7_cobOYqT0r_F0IqD4tE4rYn5y8Eup4PJTH8es"",
      ""Snapshot!A:M""
    ),
    13,
    FALSE
  ),
  0
)
"),1.0)</f>
        <v>1</v>
      </c>
      <c r="AK113" s="49">
        <f t="shared" ref="AK113:AL113" si="560">LEN(C113)</f>
        <v>68</v>
      </c>
      <c r="AL113" s="49">
        <f t="shared" si="560"/>
        <v>55</v>
      </c>
    </row>
    <row r="114">
      <c r="A114" s="3" t="s">
        <v>1198</v>
      </c>
      <c r="B114" s="1" t="str">
        <f>IFERROR(__xludf.DUMMYFUNCTION("IFERROR(
  VLOOKUP(
    A114,
    IMPORTRANGE(
      ""1ZygntHC1J6IxzKbTidmOyf5nUyW4GCLurHCjexrLm_o"",
      ""HTMLキャッシュ!A:F""
    ),
    2,
    FALSE
  ),
  0
)
"),"MC")</f>
        <v>MC</v>
      </c>
      <c r="C114" s="1" t="str">
        <f>IFERROR(__xludf.DUMMYFUNCTION("IFERROR(
  VLOOKUP(
    A114,
    IMPORTRANGE(
      ""1ZygntHC1J6IxzKbTidmOyf5nUyW4GCLurHCjexrLm_o"",
      ""HTMLキャッシュ!A:F""
    ),
    5,
    FALSE
  ),
  0
)
"),"不定詞（動詞の目的語）【Progress Book1 Lesson20-2】 - 新宿区四谷の英語専門塾「英語教室『サポート』」～英語は別に怖くない！～")</f>
        <v>不定詞（動詞の目的語）【Progress Book1 Lesson20-2】 - 新宿区四谷の英語専門塾「英語教室『サポート』」～英語は別に怖くない！～</v>
      </c>
      <c r="D114" s="1" t="str">
        <f>IFERROR(__xludf.DUMMYFUNCTION("IFERROR(
  VLOOKUP(
    A114,
    IMPORTRANGE(
      ""1ZygntHC1J6IxzKbTidmOyf5nUyW4GCLurHCjexrLm_o        "",
      ""HTMLキャッシュ!A:F""
    ),
    6,
    FALSE
  ),
  0
)
"),"今回は、Book1 Lesson20シーン2の不定詞と動詞の目的語についてお話しします。 不定詞は英語の勉強の")</f>
        <v>今回は、Book1 Lesson20シーン2の不定詞と動詞の目的語についてお話しします。 不定詞は英語の勉強の</v>
      </c>
      <c r="E114" s="32">
        <f>IFERROR(__xludf.DUMMYFUNCTION("IFERROR(
  VLOOKUP(
    A114,
    IMPORTRANGE(
      ""1ZygntHC1J6IxzKbTidmOyf5nUyW4GCLurHCjexrLm_o        "",
      ""HTMLキャッシュ!A:F""
    ),
    3,
    FALSE
  ),
  0
)
"),46043.77773148148)</f>
        <v>46043.77773</v>
      </c>
      <c r="F114" s="49">
        <f>IFERROR(__xludf.DUMMYFUNCTION("IFERROR(
  VLOOKUP(
    A114,
    IMPORTRANGE(
      ""1ZHMy3vVUd_0MrSduXTe1etBb1HNpAlGwQr006ljwMiM"",
      ""GSC最新!A:F""
    ),
    2,
    FALSE
  ),
  0
)
"),0.0)</f>
        <v>0</v>
      </c>
      <c r="G114" s="49">
        <f>IFERROR(__xludf.DUMMYFUNCTION("IFERROR(
  VLOOKUP(
    A114,
    IMPORTRANGE(
      ""1ZHMy3vVUd_0MrSduXTe1etBb1HNpAlGwQr006ljwMiM"",
      ""GSC最新!A:F""
    ),
    3,
    FALSE
  ),
  0
)
"),0.0)</f>
        <v>0</v>
      </c>
      <c r="H114" s="49">
        <f>IFERROR(__xludf.DUMMYFUNCTION("IFERROR(
  VLOOKUP(
    A114,
    IMPORTRANGE(
      ""1ZHMy3vVUd_0MrSduXTe1etBb1HNpAlGwQr006ljwMiM"",
      ""GSC最新!A:F""
    ),
    4,
    FALSE
  ),
  0
)
"),0.0)</f>
        <v>0</v>
      </c>
      <c r="I114" s="49">
        <f>IFERROR(__xludf.DUMMYFUNCTION("IFERROR(
  VLOOKUP(
    A114,
    IMPORTRANGE(
      ""1ZHMy3vVUd_0MrSduXTe1etBb1HNpAlGwQr006ljwMiM"",
      ""GSC最新!A:F""
    ),
    5,
    FALSE
  ),
  0
)
"),0.0)</f>
        <v>0</v>
      </c>
      <c r="J114" s="50" t="str">
        <f t="shared" ref="J114:K114" si="561">IFERROR(F114/H114,"-")</f>
        <v>-</v>
      </c>
      <c r="K114" s="50" t="str">
        <f t="shared" si="561"/>
        <v>-</v>
      </c>
      <c r="L114" s="6">
        <f>IFERROR(__xludf.DUMMYFUNCTION("IFERROR(
  VLOOKUP(
    A114,
    IMPORTRANGE(
      ""1ZHMy3vVUd_0MrSduXTe1etBb1HNpAlGwQr006ljwMiM"",
      ""GSC最新!A:R""
    ),
    7,
    FALSE
  ),
  0
)
"),0.0)</f>
        <v>0</v>
      </c>
      <c r="M114" s="6">
        <f>IFERROR(__xludf.DUMMYFUNCTION("IFERROR(
  VLOOKUP(
    A114,
    IMPORTRANGE(
      ""1ZHMy3vVUd_0MrSduXTe1etBb1HNpAlGwQr006ljwMiM"",
      ""GSC最新!A:R""
    ),
    10,
    FALSE
  ),
  0
)
"),14.0)</f>
        <v>14</v>
      </c>
      <c r="N114" s="6">
        <f>IFERROR(__xludf.DUMMYFUNCTION("IFERROR(
  VLOOKUP(
    A114,
    IMPORTRANGE(
      ""1ZHMy3vVUd_0MrSduXTe1etBb1HNpAlGwQr006ljwMiM"",
      ""GSC最新!A:R""
    ),
    13,
    FALSE
  ),
  0
)
"),0.0)</f>
        <v>0</v>
      </c>
      <c r="O114" s="6">
        <f>IFERROR(__xludf.DUMMYFUNCTION("IFERROR(
  VLOOKUP(
    A114,
    IMPORTRANGE(
      ""1ZHMy3vVUd_0MrSduXTe1etBb1HNpAlGwQr006ljwMiM"",
      ""GSC最新!A:R""
    ),
    16,
    FALSE
  ),
  0
)
"),2.0)</f>
        <v>2</v>
      </c>
      <c r="P114" s="51" t="str">
        <f t="shared" ref="P114:Q114" si="562">IFERROR(L114/N114,"-")</f>
        <v>-</v>
      </c>
      <c r="Q114" s="51">
        <f t="shared" si="562"/>
        <v>7</v>
      </c>
      <c r="R114" s="9">
        <f>IFERROR(__xludf.DUMMYFUNCTION("IFERROR(
  VLOOKUP(
    A114,
    IMPORTRANGE(
      ""1ZHMy3vVUd_0MrSduXTe1etBb1HNpAlGwQr006ljwMiM"",
      ""GSC最新!A:R""
    ),
    8,
    FALSE
  ),
  0
)
"),0.0)</f>
        <v>0</v>
      </c>
      <c r="S114" s="9">
        <f>IFERROR(__xludf.DUMMYFUNCTION("IFERROR(
  VLOOKUP(
    A114,
    IMPORTRANGE(
      ""1ZHMy3vVUd_0MrSduXTe1etBb1HNpAlGwQr006ljwMiM"",
      ""GSC最新!A:R""
    ),
    11,
    FALSE
  ),
  0
)
"),0.0)</f>
        <v>0</v>
      </c>
      <c r="T114" s="9">
        <f>IFERROR(__xludf.DUMMYFUNCTION("IFERROR(
  VLOOKUP(
    A114,
    IMPORTRANGE(
      ""1ZHMy3vVUd_0MrSduXTe1etBb1HNpAlGwQr006ljwMiM"",
      ""GSC最新!A:R""
    ),
    14,
    FALSE
  ),
  0
)
"),0.0)</f>
        <v>0</v>
      </c>
      <c r="U114" s="9">
        <f>IFERROR(__xludf.DUMMYFUNCTION("IFERROR(
  VLOOKUP(
    A114,
    IMPORTRANGE(
      ""1ZHMy3vVUd_0MrSduXTe1etBb1HNpAlGwQr006ljwMiM"",
      ""GSC最新!A:R""
    ),
    17,
    FALSE
  ),
  0
)
"),0.0)</f>
        <v>0</v>
      </c>
      <c r="V114" s="9">
        <f t="shared" ref="V114:W114" si="563">IFERROR(R114-T114,"-")</f>
        <v>0</v>
      </c>
      <c r="W114" s="9">
        <f t="shared" si="563"/>
        <v>0</v>
      </c>
      <c r="X114" s="65" t="str">
        <f>IFERROR(__xludf.DUMMYFUNCTION("IFERROR(
  VLOOKUP(
    A114,
    IMPORTRANGE(
      ""1ZHMy3vVUd_0MrSduXTe1etBb1HNpAlGwQr006ljwMiM"",
      ""GSC最新!A:R""
    ),
    9,
    FALSE
  ),
  0
)
"),"")</f>
        <v/>
      </c>
      <c r="Y114" s="65">
        <f>IFERROR(__xludf.DUMMYFUNCTION("IFERROR(
  VLOOKUP(
    A114,
    IMPORTRANGE(
      ""1ZHMy3vVUd_0MrSduXTe1etBb1HNpAlGwQr006ljwMiM"",
      ""GSC最新!A:R""
    ),
    12,
    FALSE
  ),
  0
)
"),10.142857142857142)</f>
        <v>10.14285714</v>
      </c>
      <c r="Z114" s="65" t="str">
        <f>IFERROR(__xludf.DUMMYFUNCTION("IFERROR(
  VLOOKUP(
    A114,
    IMPORTRANGE(
      ""1ZHMy3vVUd_0MrSduXTe1etBb1HNpAlGwQr006ljwMiM"",
      ""GSC最新!A:R""
    ),
    15,
    FALSE
  ),
  0
)
"),"")</f>
        <v/>
      </c>
      <c r="AA114" s="65">
        <f>IFERROR(__xludf.DUMMYFUNCTION("IFERROR(
  VLOOKUP(
    A114,
    IMPORTRANGE(
      ""1ZHMy3vVUd_0MrSduXTe1etBb1HNpAlGwQr006ljwMiM"",
      ""GSC最新!A:R""
    ),
    18,
    FALSE
  ),
  0
)
"),9.5)</f>
        <v>9.5</v>
      </c>
      <c r="AB114" s="65">
        <f t="shared" ref="AB114:AC114" si="564">X114-Z114</f>
        <v>0</v>
      </c>
      <c r="AC114" s="65">
        <f t="shared" si="564"/>
        <v>0.6428571429</v>
      </c>
      <c r="AD114" s="53">
        <f>IFERROR(__xludf.DUMMYFUNCTION("IFERROR(
  VLOOKUP(
    A114,
    IMPORTRANGE(
      ""1ZHMy3vVUd_0MrSduXTe1etBb1HNpAlGwQr006ljwMiM"",
      ""GSC最新!A:F""
    ),
    6,
    FALSE
  ),
  0
)
"),46081.0)</f>
        <v>46081</v>
      </c>
      <c r="AE114" s="54">
        <f>IFERROR(__xludf.DUMMYFUNCTION("IFERROR(
  VLOOKUP(
    A114,
    IMPORTRANGE(
      ""1SCYQd7_cobOYqT0r_F0IqD4tE4rYn5y8Eup4PJTH8es"",
      ""Snapshot!A:M""
    ),
    5,
    FALSE
  ),
  ""-""
)
"),0.0)</f>
        <v>0</v>
      </c>
      <c r="AF114" s="54">
        <f>IFERROR(__xludf.DUMMYFUNCTION("IFERROR(
  VLOOKUP(
    A114,
    IMPORTRANGE(
      ""1SCYQd7_cobOYqT0r_F0IqD4tE4rYn5y8Eup4PJTH8es"",
      ""Snapshot!A:M""
    ),
    6,
    FALSE
  ),
  0
)
"),5.0)</f>
        <v>5</v>
      </c>
      <c r="AG114" s="54">
        <f>IFERROR(__xludf.DUMMYFUNCTION("IFERROR(
  VLOOKUP(
    A114,
    IMPORTRANGE(
      ""1SCYQd7_cobOYqT0r_F0IqD4tE4rYn5y8Eup4PJTH8es"",
      ""Snapshot!A:M""
    ),
    7,
    FALSE
  ),
  0
)
"),2092.0)</f>
        <v>2092</v>
      </c>
      <c r="AH114" s="54">
        <f>IFERROR(__xludf.DUMMYFUNCTION("IFERROR(
  VLOOKUP(
    A114,
    IMPORTRANGE(
      ""1SCYQd7_cobOYqT0r_F0IqD4tE4rYn5y8Eup4PJTH8es"",
      ""Snapshot!A:M""
    ),
    8,
    FALSE
  ),
  0
)
"),1.0)</f>
        <v>1</v>
      </c>
      <c r="AI114" s="54">
        <f>IFERROR(__xludf.DUMMYFUNCTION("IFERROR(
  VLOOKUP(
    A114,
    IMPORTRANGE(
      ""1SCYQd7_cobOYqT0r_F0IqD4tE4rYn5y8Eup4PJTH8es"",
      ""Snapshot!A:M""
    ),
    9,
    FALSE
  ),
  0
)
"),4.0)</f>
        <v>4</v>
      </c>
      <c r="AJ114" s="54">
        <f>IFERROR(__xludf.DUMMYFUNCTION("IFERROR(
  VLOOKUP(
    A114,
    IMPORTRANGE(
      ""1SCYQd7_cobOYqT0r_F0IqD4tE4rYn5y8Eup4PJTH8es"",
      ""Snapshot!A:M""
    ),
    13,
    FALSE
  ),
  0
)
"),1.0)</f>
        <v>1</v>
      </c>
      <c r="AK114" s="49">
        <f t="shared" ref="AK114:AL114" si="565">LEN(C114)</f>
        <v>76</v>
      </c>
      <c r="AL114" s="49">
        <f t="shared" si="565"/>
        <v>55</v>
      </c>
    </row>
    <row r="115">
      <c r="A115" s="3" t="s">
        <v>1199</v>
      </c>
      <c r="B115" s="1" t="str">
        <f>IFERROR(__xludf.DUMMYFUNCTION("IFERROR(
  VLOOKUP(
    A115,
    IMPORTRANGE(
      ""1ZygntHC1J6IxzKbTidmOyf5nUyW4GCLurHCjexrLm_o"",
      ""HTMLキャッシュ!A:F""
    ),
    2,
    FALSE
  ),
  0
)
"),"MC")</f>
        <v>MC</v>
      </c>
      <c r="C115" s="1" t="str">
        <f>IFERROR(__xludf.DUMMYFUNCTION("IFERROR(
  VLOOKUP(
    A115,
    IMPORTRANGE(
      ""1ZygntHC1J6IxzKbTidmOyf5nUyW4GCLurHCjexrLm_o"",
      ""HTMLキャッシュ!A:F""
    ),
    5,
    FALSE
  ),
  0
)
"),"SVOO文型【Progress Book1 Lesson20-1】 - 新宿区四谷の英語専門塾「英語教室『サポート』」～英語は別に怖くない！～")</f>
        <v>SVOO文型【Progress Book1 Lesson20-1】 - 新宿区四谷の英語専門塾「英語教室『サポート』」～英語は別に怖くない！～</v>
      </c>
      <c r="D115" s="1" t="str">
        <f>IFERROR(__xludf.DUMMYFUNCTION("IFERROR(
  VLOOKUP(
    A115,
    IMPORTRANGE(
      ""1ZygntHC1J6IxzKbTidmOyf5nUyW4GCLurHCjexrLm_o        "",
      ""HTMLキャッシュ!A:F""
    ),
    6,
    FALSE
  ),
  0
)
"),"今回は、Book1 Lesson20シーン1の「SVOO」文型についてお話しします。 この文型は初めて見る人に")</f>
        <v>今回は、Book1 Lesson20シーン1の「SVOO」文型についてお話しします。 この文型は初めて見る人に</v>
      </c>
      <c r="E115" s="32">
        <f>IFERROR(__xludf.DUMMYFUNCTION("IFERROR(
  VLOOKUP(
    A115,
    IMPORTRANGE(
      ""1ZygntHC1J6IxzKbTidmOyf5nUyW4GCLurHCjexrLm_o        "",
      ""HTMLキャッシュ!A:F""
    ),
    3,
    FALSE
  ),
  0
)
"),46059.594502314816)</f>
        <v>46059.5945</v>
      </c>
      <c r="F115" s="49">
        <f>IFERROR(__xludf.DUMMYFUNCTION("IFERROR(
  VLOOKUP(
    A115,
    IMPORTRANGE(
      ""1ZHMy3vVUd_0MrSduXTe1etBb1HNpAlGwQr006ljwMiM"",
      ""GSC最新!A:F""
    ),
    2,
    FALSE
  ),
  0
)
"),0.0)</f>
        <v>0</v>
      </c>
      <c r="G115" s="49">
        <f>IFERROR(__xludf.DUMMYFUNCTION("IFERROR(
  VLOOKUP(
    A115,
    IMPORTRANGE(
      ""1ZHMy3vVUd_0MrSduXTe1etBb1HNpAlGwQr006ljwMiM"",
      ""GSC最新!A:F""
    ),
    3,
    FALSE
  ),
  0
)
"),0.0)</f>
        <v>0</v>
      </c>
      <c r="H115" s="49">
        <f>IFERROR(__xludf.DUMMYFUNCTION("IFERROR(
  VLOOKUP(
    A115,
    IMPORTRANGE(
      ""1ZHMy3vVUd_0MrSduXTe1etBb1HNpAlGwQr006ljwMiM"",
      ""GSC最新!A:F""
    ),
    4,
    FALSE
  ),
  0
)
"),0.0)</f>
        <v>0</v>
      </c>
      <c r="I115" s="49">
        <f>IFERROR(__xludf.DUMMYFUNCTION("IFERROR(
  VLOOKUP(
    A115,
    IMPORTRANGE(
      ""1ZHMy3vVUd_0MrSduXTe1etBb1HNpAlGwQr006ljwMiM"",
      ""GSC最新!A:F""
    ),
    5,
    FALSE
  ),
  0
)
"),0.0)</f>
        <v>0</v>
      </c>
      <c r="J115" s="50" t="str">
        <f t="shared" ref="J115:K115" si="566">IFERROR(F115/H115,"-")</f>
        <v>-</v>
      </c>
      <c r="K115" s="50" t="str">
        <f t="shared" si="566"/>
        <v>-</v>
      </c>
      <c r="L115" s="6">
        <f>IFERROR(__xludf.DUMMYFUNCTION("IFERROR(
  VLOOKUP(
    A115,
    IMPORTRANGE(
      ""1ZHMy3vVUd_0MrSduXTe1etBb1HNpAlGwQr006ljwMiM"",
      ""GSC最新!A:R""
    ),
    7,
    FALSE
  ),
  0
)
"),3.0)</f>
        <v>3</v>
      </c>
      <c r="M115" s="6">
        <f>IFERROR(__xludf.DUMMYFUNCTION("IFERROR(
  VLOOKUP(
    A115,
    IMPORTRANGE(
      ""1ZHMy3vVUd_0MrSduXTe1etBb1HNpAlGwQr006ljwMiM"",
      ""GSC最新!A:R""
    ),
    10,
    FALSE
  ),
  0
)
"),12.0)</f>
        <v>12</v>
      </c>
      <c r="N115" s="6">
        <f>IFERROR(__xludf.DUMMYFUNCTION("IFERROR(
  VLOOKUP(
    A115,
    IMPORTRANGE(
      ""1ZHMy3vVUd_0MrSduXTe1etBb1HNpAlGwQr006ljwMiM"",
      ""GSC最新!A:R""
    ),
    13,
    FALSE
  ),
  0
)
"),2.0)</f>
        <v>2</v>
      </c>
      <c r="O115" s="6">
        <f>IFERROR(__xludf.DUMMYFUNCTION("IFERROR(
  VLOOKUP(
    A115,
    IMPORTRANGE(
      ""1ZHMy3vVUd_0MrSduXTe1etBb1HNpAlGwQr006ljwMiM"",
      ""GSC最新!A:R""
    ),
    16,
    FALSE
  ),
  0
)
"),4.0)</f>
        <v>4</v>
      </c>
      <c r="P115" s="51">
        <f t="shared" ref="P115:Q115" si="567">IFERROR(L115/N115,"-")</f>
        <v>1.5</v>
      </c>
      <c r="Q115" s="51">
        <f t="shared" si="567"/>
        <v>3</v>
      </c>
      <c r="R115" s="9">
        <f>IFERROR(__xludf.DUMMYFUNCTION("IFERROR(
  VLOOKUP(
    A115,
    IMPORTRANGE(
      ""1ZHMy3vVUd_0MrSduXTe1etBb1HNpAlGwQr006ljwMiM"",
      ""GSC最新!A:R""
    ),
    8,
    FALSE
  ),
  0
)
"),0.0)</f>
        <v>0</v>
      </c>
      <c r="S115" s="9">
        <f>IFERROR(__xludf.DUMMYFUNCTION("IFERROR(
  VLOOKUP(
    A115,
    IMPORTRANGE(
      ""1ZHMy3vVUd_0MrSduXTe1etBb1HNpAlGwQr006ljwMiM"",
      ""GSC最新!A:R""
    ),
    11,
    FALSE
  ),
  0
)
"),0.0)</f>
        <v>0</v>
      </c>
      <c r="T115" s="9">
        <f>IFERROR(__xludf.DUMMYFUNCTION("IFERROR(
  VLOOKUP(
    A115,
    IMPORTRANGE(
      ""1ZHMy3vVUd_0MrSduXTe1etBb1HNpAlGwQr006ljwMiM"",
      ""GSC最新!A:R""
    ),
    14,
    FALSE
  ),
  0
)
"),0.0)</f>
        <v>0</v>
      </c>
      <c r="U115" s="9">
        <f>IFERROR(__xludf.DUMMYFUNCTION("IFERROR(
  VLOOKUP(
    A115,
    IMPORTRANGE(
      ""1ZHMy3vVUd_0MrSduXTe1etBb1HNpAlGwQr006ljwMiM"",
      ""GSC最新!A:R""
    ),
    17,
    FALSE
  ),
  0
)
"),0.0)</f>
        <v>0</v>
      </c>
      <c r="V115" s="9">
        <f t="shared" ref="V115:W115" si="568">IFERROR(R115-T115,"-")</f>
        <v>0</v>
      </c>
      <c r="W115" s="9">
        <f t="shared" si="568"/>
        <v>0</v>
      </c>
      <c r="X115" s="65">
        <f>IFERROR(__xludf.DUMMYFUNCTION("IFERROR(
  VLOOKUP(
    A115,
    IMPORTRANGE(
      ""1ZHMy3vVUd_0MrSduXTe1etBb1HNpAlGwQr006ljwMiM"",
      ""GSC最新!A:R""
    ),
    9,
    FALSE
  ),
  0
)
"),1.0)</f>
        <v>1</v>
      </c>
      <c r="Y115" s="65">
        <f>IFERROR(__xludf.DUMMYFUNCTION("IFERROR(
  VLOOKUP(
    A115,
    IMPORTRANGE(
      ""1ZHMy3vVUd_0MrSduXTe1etBb1HNpAlGwQr006ljwMiM"",
      ""GSC最新!A:R""
    ),
    12,
    FALSE
  ),
  0
)
"),5.333333333333333)</f>
        <v>5.333333333</v>
      </c>
      <c r="Z115" s="65">
        <f>IFERROR(__xludf.DUMMYFUNCTION("IFERROR(
  VLOOKUP(
    A115,
    IMPORTRANGE(
      ""1ZHMy3vVUd_0MrSduXTe1etBb1HNpAlGwQr006ljwMiM"",
      ""GSC最新!A:R""
    ),
    15,
    FALSE
  ),
  0
)
"),4.5)</f>
        <v>4.5</v>
      </c>
      <c r="AA115" s="65">
        <f>IFERROR(__xludf.DUMMYFUNCTION("IFERROR(
  VLOOKUP(
    A115,
    IMPORTRANGE(
      ""1ZHMy3vVUd_0MrSduXTe1etBb1HNpAlGwQr006ljwMiM"",
      ""GSC最新!A:R""
    ),
    18,
    FALSE
  ),
  0
)
"),6.0)</f>
        <v>6</v>
      </c>
      <c r="AB115" s="65">
        <f t="shared" ref="AB115:AC115" si="569">X115-Z115</f>
        <v>-3.5</v>
      </c>
      <c r="AC115" s="65">
        <f t="shared" si="569"/>
        <v>-0.6666666667</v>
      </c>
      <c r="AD115" s="53">
        <f>IFERROR(__xludf.DUMMYFUNCTION("IFERROR(
  VLOOKUP(
    A115,
    IMPORTRANGE(
      ""1ZHMy3vVUd_0MrSduXTe1etBb1HNpAlGwQr006ljwMiM"",
      ""GSC最新!A:F""
    ),
    6,
    FALSE
  ),
  0
)
"),46081.0)</f>
        <v>46081</v>
      </c>
      <c r="AE115" s="54">
        <f>IFERROR(__xludf.DUMMYFUNCTION("IFERROR(
  VLOOKUP(
    A115,
    IMPORTRANGE(
      ""1SCYQd7_cobOYqT0r_F0IqD4tE4rYn5y8Eup4PJTH8es"",
      ""Snapshot!A:M""
    ),
    5,
    FALSE
  ),
  ""-""
)
"),0.0)</f>
        <v>0</v>
      </c>
      <c r="AF115" s="54">
        <f>IFERROR(__xludf.DUMMYFUNCTION("IFERROR(
  VLOOKUP(
    A115,
    IMPORTRANGE(
      ""1SCYQd7_cobOYqT0r_F0IqD4tE4rYn5y8Eup4PJTH8es"",
      ""Snapshot!A:M""
    ),
    6,
    FALSE
  ),
  0
)
"),7.0)</f>
        <v>7</v>
      </c>
      <c r="AG115" s="54">
        <f>IFERROR(__xludf.DUMMYFUNCTION("IFERROR(
  VLOOKUP(
    A115,
    IMPORTRANGE(
      ""1SCYQd7_cobOYqT0r_F0IqD4tE4rYn5y8Eup4PJTH8es"",
      ""Snapshot!A:M""
    ),
    7,
    FALSE
  ),
  0
)
"),3957.0)</f>
        <v>3957</v>
      </c>
      <c r="AH115" s="54">
        <f>IFERROR(__xludf.DUMMYFUNCTION("IFERROR(
  VLOOKUP(
    A115,
    IMPORTRANGE(
      ""1SCYQd7_cobOYqT0r_F0IqD4tE4rYn5y8Eup4PJTH8es"",
      ""Snapshot!A:M""
    ),
    8,
    FALSE
  ),
  0
)
"),2.0)</f>
        <v>2</v>
      </c>
      <c r="AI115" s="54">
        <f>IFERROR(__xludf.DUMMYFUNCTION("IFERROR(
  VLOOKUP(
    A115,
    IMPORTRANGE(
      ""1SCYQd7_cobOYqT0r_F0IqD4tE4rYn5y8Eup4PJTH8es"",
      ""Snapshot!A:M""
    ),
    9,
    FALSE
  ),
  0
)
"),6.0)</f>
        <v>6</v>
      </c>
      <c r="AJ115" s="54">
        <f>IFERROR(__xludf.DUMMYFUNCTION("IFERROR(
  VLOOKUP(
    A115,
    IMPORTRANGE(
      ""1SCYQd7_cobOYqT0r_F0IqD4tE4rYn5y8Eup4PJTH8es"",
      ""Snapshot!A:M""
    ),
    13,
    FALSE
  ),
  0
)
"),1.0)</f>
        <v>1</v>
      </c>
      <c r="AK115" s="49">
        <f t="shared" ref="AK115:AL115" si="570">LEN(C115)</f>
        <v>71</v>
      </c>
      <c r="AL115" s="49">
        <f t="shared" si="570"/>
        <v>55</v>
      </c>
    </row>
    <row r="116">
      <c r="A116" s="1" t="s">
        <v>1200</v>
      </c>
      <c r="B116" s="1" t="str">
        <f>IFERROR(__xludf.DUMMYFUNCTION("IFERROR(
  VLOOKUP(
    A116,
    IMPORTRANGE(
      ""1ZygntHC1J6IxzKbTidmOyf5nUyW4GCLurHCjexrLm_o"",
      ""HTMLキャッシュ!A:F""
    ),
    2,
    FALSE
  ),
  0
)
"),"NW")</f>
        <v>NW</v>
      </c>
      <c r="C116" s="1" t="str">
        <f>IFERROR(__xludf.DUMMYFUNCTION("IFERROR(
  VLOOKUP(
    A116,
    IMPORTRANGE(
      ""1ZygntHC1J6IxzKbTidmOyf5nUyW4GCLurHCjexrLm_o"",
      ""HTMLキャッシュ!A:F""
    ),
    5,
    FALSE
  ),
  0
)
"),"2025年度冬期講習会のお知らせ - 新宿区四谷の英語専門塾「英語教室『サポート』」～英語は別に怖くない！～")</f>
        <v>2025年度冬期講習会のお知らせ - 新宿区四谷の英語専門塾「英語教室『サポート』」～英語は別に怖くない！～</v>
      </c>
      <c r="D116" s="1" t="str">
        <f>IFERROR(__xludf.DUMMYFUNCTION("IFERROR(
  VLOOKUP(
    A116,
    IMPORTRANGE(
      ""1ZygntHC1J6IxzKbTidmOyf5nUyW4GCLurHCjexrLm_o        "",
      ""HTMLキャッシュ!A:F""
    ),
    6,
    FALSE
  ),
  0
)
"),"2025年度 冬期講習会のご案内 当塾「サポート」では、冬期講習会を実施いたします。現在通塾中の生徒の皆さんは")</f>
        <v>2025年度 冬期講習会のご案内 当塾「サポート」では、冬期講習会を実施いたします。現在通塾中の生徒の皆さんは</v>
      </c>
      <c r="E116" s="32">
        <f>IFERROR(__xludf.DUMMYFUNCTION("IFERROR(
  VLOOKUP(
    A116,
    IMPORTRANGE(
      ""1ZygntHC1J6IxzKbTidmOyf5nUyW4GCLurHCjexrLm_o        "",
      ""HTMLキャッシュ!A:F""
    ),
    3,
    FALSE
  ),
  0
)
"),46015.735451388886)</f>
        <v>46015.73545</v>
      </c>
      <c r="F116" s="49">
        <f>IFERROR(__xludf.DUMMYFUNCTION("IFERROR(
  VLOOKUP(
    A116,
    IMPORTRANGE(
      ""1ZHMy3vVUd_0MrSduXTe1etBb1HNpAlGwQr006ljwMiM"",
      ""GSC最新!A:F""
    ),
    2,
    FALSE
  ),
  0
)
"),0.0)</f>
        <v>0</v>
      </c>
      <c r="G116" s="49">
        <f>IFERROR(__xludf.DUMMYFUNCTION("IFERROR(
  VLOOKUP(
    A116,
    IMPORTRANGE(
      ""1ZHMy3vVUd_0MrSduXTe1etBb1HNpAlGwQr006ljwMiM"",
      ""GSC最新!A:F""
    ),
    3,
    FALSE
  ),
  0
)
"),0.0)</f>
        <v>0</v>
      </c>
      <c r="H116" s="49">
        <f>IFERROR(__xludf.DUMMYFUNCTION("IFERROR(
  VLOOKUP(
    A116,
    IMPORTRANGE(
      ""1ZHMy3vVUd_0MrSduXTe1etBb1HNpAlGwQr006ljwMiM"",
      ""GSC最新!A:F""
    ),
    4,
    FALSE
  ),
  0
)
"),0.0)</f>
        <v>0</v>
      </c>
      <c r="I116" s="49">
        <f>IFERROR(__xludf.DUMMYFUNCTION("IFERROR(
  VLOOKUP(
    A116,
    IMPORTRANGE(
      ""1ZHMy3vVUd_0MrSduXTe1etBb1HNpAlGwQr006ljwMiM"",
      ""GSC最新!A:F""
    ),
    5,
    FALSE
  ),
  0
)
"),0.0)</f>
        <v>0</v>
      </c>
      <c r="J116" s="50" t="str">
        <f t="shared" ref="J116:K116" si="571">IFERROR(F116/H116,"-")</f>
        <v>-</v>
      </c>
      <c r="K116" s="50" t="str">
        <f t="shared" si="571"/>
        <v>-</v>
      </c>
      <c r="L116" s="6">
        <f>IFERROR(__xludf.DUMMYFUNCTION("IFERROR(
  VLOOKUP(
    A116,
    IMPORTRANGE(
      ""1ZHMy3vVUd_0MrSduXTe1etBb1HNpAlGwQr006ljwMiM"",
      ""GSC最新!A:R""
    ),
    7,
    FALSE
  ),
  0
)
"),0.0)</f>
        <v>0</v>
      </c>
      <c r="M116" s="6">
        <f>IFERROR(__xludf.DUMMYFUNCTION("IFERROR(
  VLOOKUP(
    A116,
    IMPORTRANGE(
      ""1ZHMy3vVUd_0MrSduXTe1etBb1HNpAlGwQr006ljwMiM"",
      ""GSC最新!A:R""
    ),
    10,
    FALSE
  ),
  0
)
"),10.0)</f>
        <v>10</v>
      </c>
      <c r="N116" s="6">
        <f>IFERROR(__xludf.DUMMYFUNCTION("IFERROR(
  VLOOKUP(
    A116,
    IMPORTRANGE(
      ""1ZHMy3vVUd_0MrSduXTe1etBb1HNpAlGwQr006ljwMiM"",
      ""GSC最新!A:R""
    ),
    13,
    FALSE
  ),
  0
)
"),0.0)</f>
        <v>0</v>
      </c>
      <c r="O116" s="6">
        <f>IFERROR(__xludf.DUMMYFUNCTION("IFERROR(
  VLOOKUP(
    A116,
    IMPORTRANGE(
      ""1ZHMy3vVUd_0MrSduXTe1etBb1HNpAlGwQr006ljwMiM"",
      ""GSC最新!A:R""
    ),
    16,
    FALSE
  ),
  0
)
"),0.0)</f>
        <v>0</v>
      </c>
      <c r="P116" s="51" t="str">
        <f t="shared" ref="P116:Q116" si="572">IFERROR(L116/N116,"-")</f>
        <v>-</v>
      </c>
      <c r="Q116" s="51" t="str">
        <f t="shared" si="572"/>
        <v>-</v>
      </c>
      <c r="R116" s="9">
        <f>IFERROR(__xludf.DUMMYFUNCTION("IFERROR(
  VLOOKUP(
    A116,
    IMPORTRANGE(
      ""1ZHMy3vVUd_0MrSduXTe1etBb1HNpAlGwQr006ljwMiM"",
      ""GSC最新!A:R""
    ),
    8,
    FALSE
  ),
  0
)
"),0.0)</f>
        <v>0</v>
      </c>
      <c r="S116" s="9">
        <f>IFERROR(__xludf.DUMMYFUNCTION("IFERROR(
  VLOOKUP(
    A116,
    IMPORTRANGE(
      ""1ZHMy3vVUd_0MrSduXTe1etBb1HNpAlGwQr006ljwMiM"",
      ""GSC最新!A:R""
    ),
    11,
    FALSE
  ),
  0
)
"),0.0)</f>
        <v>0</v>
      </c>
      <c r="T116" s="9">
        <f>IFERROR(__xludf.DUMMYFUNCTION("IFERROR(
  VLOOKUP(
    A116,
    IMPORTRANGE(
      ""1ZHMy3vVUd_0MrSduXTe1etBb1HNpAlGwQr006ljwMiM"",
      ""GSC最新!A:R""
    ),
    14,
    FALSE
  ),
  0
)
"),0.0)</f>
        <v>0</v>
      </c>
      <c r="U116" s="9">
        <f>IFERROR(__xludf.DUMMYFUNCTION("IFERROR(
  VLOOKUP(
    A116,
    IMPORTRANGE(
      ""1ZHMy3vVUd_0MrSduXTe1etBb1HNpAlGwQr006ljwMiM"",
      ""GSC最新!A:R""
    ),
    17,
    FALSE
  ),
  0
)
"),0.0)</f>
        <v>0</v>
      </c>
      <c r="V116" s="9">
        <f t="shared" ref="V116:W116" si="573">IFERROR(R116-T116,"-")</f>
        <v>0</v>
      </c>
      <c r="W116" s="9">
        <f t="shared" si="573"/>
        <v>0</v>
      </c>
      <c r="X116" s="65" t="str">
        <f>IFERROR(__xludf.DUMMYFUNCTION("IFERROR(
  VLOOKUP(
    A116,
    IMPORTRANGE(
      ""1ZHMy3vVUd_0MrSduXTe1etBb1HNpAlGwQr006ljwMiM"",
      ""GSC最新!A:R""
    ),
    9,
    FALSE
  ),
  0
)
"),"")</f>
        <v/>
      </c>
      <c r="Y116" s="65">
        <f>IFERROR(__xludf.DUMMYFUNCTION("IFERROR(
  VLOOKUP(
    A116,
    IMPORTRANGE(
      ""1ZHMy3vVUd_0MrSduXTe1etBb1HNpAlGwQr006ljwMiM"",
      ""GSC最新!A:R""
    ),
    12,
    FALSE
  ),
  0
)
"),6.3)</f>
        <v>6.3</v>
      </c>
      <c r="Z116" s="65" t="str">
        <f>IFERROR(__xludf.DUMMYFUNCTION("IFERROR(
  VLOOKUP(
    A116,
    IMPORTRANGE(
      ""1ZHMy3vVUd_0MrSduXTe1etBb1HNpAlGwQr006ljwMiM"",
      ""GSC最新!A:R""
    ),
    15,
    FALSE
  ),
  0
)
"),"")</f>
        <v/>
      </c>
      <c r="AA116" s="65" t="str">
        <f>IFERROR(__xludf.DUMMYFUNCTION("IFERROR(
  VLOOKUP(
    A116,
    IMPORTRANGE(
      ""1ZHMy3vVUd_0MrSduXTe1etBb1HNpAlGwQr006ljwMiM"",
      ""GSC最新!A:R""
    ),
    18,
    FALSE
  ),
  0
)
"),"")</f>
        <v/>
      </c>
      <c r="AB116" s="65">
        <f t="shared" ref="AB116:AC116" si="574">X116-Z116</f>
        <v>0</v>
      </c>
      <c r="AC116" s="65">
        <f t="shared" si="574"/>
        <v>6.3</v>
      </c>
      <c r="AD116" s="53">
        <f>IFERROR(__xludf.DUMMYFUNCTION("IFERROR(
  VLOOKUP(
    A116,
    IMPORTRANGE(
      ""1ZHMy3vVUd_0MrSduXTe1etBb1HNpAlGwQr006ljwMiM"",
      ""GSC最新!A:F""
    ),
    6,
    FALSE
  ),
  0
)
"),46081.0)</f>
        <v>46081</v>
      </c>
      <c r="AE116" s="54">
        <f>IFERROR(__xludf.DUMMYFUNCTION("IFERROR(
  VLOOKUP(
    A116,
    IMPORTRANGE(
      ""1SCYQd7_cobOYqT0r_F0IqD4tE4rYn5y8Eup4PJTH8es"",
      ""Snapshot!A:M""
    ),
    5,
    FALSE
  ),
  ""-""
)
"),0.0)</f>
        <v>0</v>
      </c>
      <c r="AF116" s="54">
        <f>IFERROR(__xludf.DUMMYFUNCTION("IFERROR(
  VLOOKUP(
    A116,
    IMPORTRANGE(
      ""1SCYQd7_cobOYqT0r_F0IqD4tE4rYn5y8Eup4PJTH8es"",
      ""Snapshot!A:M""
    ),
    6,
    FALSE
  ),
  0
)
"),0.0)</f>
        <v>0</v>
      </c>
      <c r="AG116" s="54">
        <f>IFERROR(__xludf.DUMMYFUNCTION("IFERROR(
  VLOOKUP(
    A116,
    IMPORTRANGE(
      ""1SCYQd7_cobOYqT0r_F0IqD4tE4rYn5y8Eup4PJTH8es"",
      ""Snapshot!A:M""
    ),
    7,
    FALSE
  ),
  0
)
"),468.0)</f>
        <v>468</v>
      </c>
      <c r="AH116" s="54">
        <f>IFERROR(__xludf.DUMMYFUNCTION("IFERROR(
  VLOOKUP(
    A116,
    IMPORTRANGE(
      ""1SCYQd7_cobOYqT0r_F0IqD4tE4rYn5y8Eup4PJTH8es"",
      ""Snapshot!A:M""
    ),
    8,
    FALSE
  ),
  0
)
"),2.0)</f>
        <v>2</v>
      </c>
      <c r="AI116" s="54">
        <f>IFERROR(__xludf.DUMMYFUNCTION("IFERROR(
  VLOOKUP(
    A116,
    IMPORTRANGE(
      ""1SCYQd7_cobOYqT0r_F0IqD4tE4rYn5y8Eup4PJTH8es"",
      ""Snapshot!A:M""
    ),
    9,
    FALSE
  ),
  0
)
"),0.0)</f>
        <v>0</v>
      </c>
      <c r="AJ116" s="54">
        <f>IFERROR(__xludf.DUMMYFUNCTION("IFERROR(
  VLOOKUP(
    A116,
    IMPORTRANGE(
      ""1SCYQd7_cobOYqT0r_F0IqD4tE4rYn5y8Eup4PJTH8es"",
      ""Snapshot!A:M""
    ),
    13,
    FALSE
  ),
  0
)
"),1.0)</f>
        <v>1</v>
      </c>
      <c r="AK116" s="49">
        <f t="shared" ref="AK116:AL116" si="575">LEN(C116)</f>
        <v>54</v>
      </c>
      <c r="AL116" s="49">
        <f t="shared" si="575"/>
        <v>55</v>
      </c>
    </row>
    <row r="117">
      <c r="A117" s="3" t="s">
        <v>1201</v>
      </c>
      <c r="B117" s="1" t="str">
        <f>IFERROR(__xludf.DUMMYFUNCTION("IFERROR(
  VLOOKUP(
    A117,
    IMPORTRANGE(
      ""1ZygntHC1J6IxzKbTidmOyf5nUyW4GCLurHCjexrLm_o"",
      ""HTMLキャッシュ!A:F""
    ),
    2,
    FALSE
  ),
  0
)
"),"MC")</f>
        <v>MC</v>
      </c>
      <c r="C117" s="1" t="str">
        <f>IFERROR(__xludf.DUMMYFUNCTION("IFERROR(
  VLOOKUP(
    A117,
    IMPORTRANGE(
      ""1ZygntHC1J6IxzKbTidmOyf5nUyW4GCLurHCjexrLm_o"",
      ""HTMLキャッシュ!A:F""
    ),
    5,
    FALSE
  ),
  0
)
"),"助動詞 will/wont【Book2 Lesson1 Scene3 】 - 新宿区四谷の英語専門塾「英語教室『サポート』」～英語は別に怖くない！～")</f>
        <v>助動詞 will/wont【Book2 Lesson1 Scene3 】 - 新宿区四谷の英語専門塾「英語教室『サポート』」～英語は別に怖くない！～</v>
      </c>
      <c r="D117" s="1" t="str">
        <f>IFERROR(__xludf.DUMMYFUNCTION("IFERROR(
  VLOOKUP(
    A117,
    IMPORTRANGE(
      ""1ZygntHC1J6IxzKbTidmOyf5nUyW4GCLurHCjexrLm_o        "",
      ""HTMLキャッシュ!A:F""
    ),
    6,
    FALSE
  ),
  0
)
"),"今回は、Book2 Lesson1シーン3という事で、新しい助動詞が登場しました。助動詞&amp;quot;will&amp;quot;と&amp;quot;wan")</f>
        <v>今回は、Book2 Lesson1シーン3という事で、新しい助動詞が登場しました。助動詞&amp;quot;will&amp;quot;と&amp;quot;wan</v>
      </c>
      <c r="E117" s="32">
        <f>IFERROR(__xludf.DUMMYFUNCTION("IFERROR(
  VLOOKUP(
    A117,
    IMPORTRANGE(
      ""1ZygntHC1J6IxzKbTidmOyf5nUyW4GCLurHCjexrLm_o        "",
      ""HTMLキャッシュ!A:F""
    ),
    3,
    FALSE
  ),
  0
)
"),46043.68803240741)</f>
        <v>46043.68803</v>
      </c>
      <c r="F117" s="49">
        <f>IFERROR(__xludf.DUMMYFUNCTION("IFERROR(
  VLOOKUP(
    A117,
    IMPORTRANGE(
      ""1ZHMy3vVUd_0MrSduXTe1etBb1HNpAlGwQr006ljwMiM"",
      ""GSC最新!A:F""
    ),
    2,
    FALSE
  ),
  0
)
"),0.0)</f>
        <v>0</v>
      </c>
      <c r="G117" s="49">
        <f>IFERROR(__xludf.DUMMYFUNCTION("IFERROR(
  VLOOKUP(
    A117,
    IMPORTRANGE(
      ""1ZHMy3vVUd_0MrSduXTe1etBb1HNpAlGwQr006ljwMiM"",
      ""GSC最新!A:F""
    ),
    3,
    FALSE
  ),
  0
)
"),0.0)</f>
        <v>0</v>
      </c>
      <c r="H117" s="49">
        <f>IFERROR(__xludf.DUMMYFUNCTION("IFERROR(
  VLOOKUP(
    A117,
    IMPORTRANGE(
      ""1ZHMy3vVUd_0MrSduXTe1etBb1HNpAlGwQr006ljwMiM"",
      ""GSC最新!A:F""
    ),
    4,
    FALSE
  ),
  0
)
"),0.0)</f>
        <v>0</v>
      </c>
      <c r="I117" s="49">
        <f>IFERROR(__xludf.DUMMYFUNCTION("IFERROR(
  VLOOKUP(
    A117,
    IMPORTRANGE(
      ""1ZHMy3vVUd_0MrSduXTe1etBb1HNpAlGwQr006ljwMiM"",
      ""GSC最新!A:F""
    ),
    5,
    FALSE
  ),
  0
)
"),0.0)</f>
        <v>0</v>
      </c>
      <c r="J117" s="50" t="str">
        <f t="shared" ref="J117:K117" si="576">IFERROR(F117/H117,"-")</f>
        <v>-</v>
      </c>
      <c r="K117" s="50" t="str">
        <f t="shared" si="576"/>
        <v>-</v>
      </c>
      <c r="L117" s="6">
        <f>IFERROR(__xludf.DUMMYFUNCTION("IFERROR(
  VLOOKUP(
    A117,
    IMPORTRANGE(
      ""1ZHMy3vVUd_0MrSduXTe1etBb1HNpAlGwQr006ljwMiM"",
      ""GSC最新!A:R""
    ),
    7,
    FALSE
  ),
  0
)
"),1.0)</f>
        <v>1</v>
      </c>
      <c r="M117" s="6">
        <f>IFERROR(__xludf.DUMMYFUNCTION("IFERROR(
  VLOOKUP(
    A117,
    IMPORTRANGE(
      ""1ZHMy3vVUd_0MrSduXTe1etBb1HNpAlGwQr006ljwMiM"",
      ""GSC最新!A:R""
    ),
    10,
    FALSE
  ),
  0
)
"),10.0)</f>
        <v>10</v>
      </c>
      <c r="N117" s="6">
        <f>IFERROR(__xludf.DUMMYFUNCTION("IFERROR(
  VLOOKUP(
    A117,
    IMPORTRANGE(
      ""1ZHMy3vVUd_0MrSduXTe1etBb1HNpAlGwQr006ljwMiM"",
      ""GSC最新!A:R""
    ),
    13,
    FALSE
  ),
  0
)
"),3.0)</f>
        <v>3</v>
      </c>
      <c r="O117" s="6">
        <f>IFERROR(__xludf.DUMMYFUNCTION("IFERROR(
  VLOOKUP(
    A117,
    IMPORTRANGE(
      ""1ZHMy3vVUd_0MrSduXTe1etBb1HNpAlGwQr006ljwMiM"",
      ""GSC最新!A:R""
    ),
    16,
    FALSE
  ),
  0
)
"),57.0)</f>
        <v>57</v>
      </c>
      <c r="P117" s="51">
        <f t="shared" ref="P117:Q117" si="577">IFERROR(L117/N117,"-")</f>
        <v>0.3333333333</v>
      </c>
      <c r="Q117" s="51">
        <f t="shared" si="577"/>
        <v>0.1754385965</v>
      </c>
      <c r="R117" s="9">
        <f>IFERROR(__xludf.DUMMYFUNCTION("IFERROR(
  VLOOKUP(
    A117,
    IMPORTRANGE(
      ""1ZHMy3vVUd_0MrSduXTe1etBb1HNpAlGwQr006ljwMiM"",
      ""GSC最新!A:R""
    ),
    8,
    FALSE
  ),
  0
)
"),0.0)</f>
        <v>0</v>
      </c>
      <c r="S117" s="9">
        <f>IFERROR(__xludf.DUMMYFUNCTION("IFERROR(
  VLOOKUP(
    A117,
    IMPORTRANGE(
      ""1ZHMy3vVUd_0MrSduXTe1etBb1HNpAlGwQr006ljwMiM"",
      ""GSC最新!A:R""
    ),
    11,
    FALSE
  ),
  0
)
"),0.0)</f>
        <v>0</v>
      </c>
      <c r="T117" s="9">
        <f>IFERROR(__xludf.DUMMYFUNCTION("IFERROR(
  VLOOKUP(
    A117,
    IMPORTRANGE(
      ""1ZHMy3vVUd_0MrSduXTe1etBb1HNpAlGwQr006ljwMiM"",
      ""GSC最新!A:R""
    ),
    14,
    FALSE
  ),
  0
)
"),0.0)</f>
        <v>0</v>
      </c>
      <c r="U117" s="9">
        <f>IFERROR(__xludf.DUMMYFUNCTION("IFERROR(
  VLOOKUP(
    A117,
    IMPORTRANGE(
      ""1ZHMy3vVUd_0MrSduXTe1etBb1HNpAlGwQr006ljwMiM"",
      ""GSC最新!A:R""
    ),
    17,
    FALSE
  ),
  0
)
"),0.0)</f>
        <v>0</v>
      </c>
      <c r="V117" s="9">
        <f t="shared" ref="V117:W117" si="578">IFERROR(R117-T117,"-")</f>
        <v>0</v>
      </c>
      <c r="W117" s="9">
        <f t="shared" si="578"/>
        <v>0</v>
      </c>
      <c r="X117" s="65">
        <f>IFERROR(__xludf.DUMMYFUNCTION("IFERROR(
  VLOOKUP(
    A117,
    IMPORTRANGE(
      ""1ZHMy3vVUd_0MrSduXTe1etBb1HNpAlGwQr006ljwMiM"",
      ""GSC最新!A:R""
    ),
    9,
    FALSE
  ),
  0
)
"),1.0)</f>
        <v>1</v>
      </c>
      <c r="Y117" s="65">
        <f>IFERROR(__xludf.DUMMYFUNCTION("IFERROR(
  VLOOKUP(
    A117,
    IMPORTRANGE(
      ""1ZHMy3vVUd_0MrSduXTe1etBb1HNpAlGwQr006ljwMiM"",
      ""GSC最新!A:R""
    ),
    12,
    FALSE
  ),
  0
)
"),4.7)</f>
        <v>4.7</v>
      </c>
      <c r="Z117" s="65">
        <f>IFERROR(__xludf.DUMMYFUNCTION("IFERROR(
  VLOOKUP(
    A117,
    IMPORTRANGE(
      ""1ZHMy3vVUd_0MrSduXTe1etBb1HNpAlGwQr006ljwMiM"",
      ""GSC最新!A:R""
    ),
    15,
    FALSE
  ),
  0
)
"),6.666666666666667)</f>
        <v>6.666666667</v>
      </c>
      <c r="AA117" s="65">
        <f>IFERROR(__xludf.DUMMYFUNCTION("IFERROR(
  VLOOKUP(
    A117,
    IMPORTRANGE(
      ""1ZHMy3vVUd_0MrSduXTe1etBb1HNpAlGwQr006ljwMiM"",
      ""GSC最新!A:R""
    ),
    18,
    FALSE
  ),
  0
)
"),34.26315789473684)</f>
        <v>34.26315789</v>
      </c>
      <c r="AB117" s="65">
        <f t="shared" ref="AB117:AC117" si="579">X117-Z117</f>
        <v>-5.666666667</v>
      </c>
      <c r="AC117" s="65">
        <f t="shared" si="579"/>
        <v>-29.56315789</v>
      </c>
      <c r="AD117" s="53">
        <f>IFERROR(__xludf.DUMMYFUNCTION("IFERROR(
  VLOOKUP(
    A117,
    IMPORTRANGE(
      ""1ZHMy3vVUd_0MrSduXTe1etBb1HNpAlGwQr006ljwMiM"",
      ""GSC最新!A:F""
    ),
    6,
    FALSE
  ),
  0
)
"),46081.0)</f>
        <v>46081</v>
      </c>
      <c r="AE117" s="54">
        <f>IFERROR(__xludf.DUMMYFUNCTION("IFERROR(
  VLOOKUP(
    A117,
    IMPORTRANGE(
      ""1SCYQd7_cobOYqT0r_F0IqD4tE4rYn5y8Eup4PJTH8es"",
      ""Snapshot!A:M""
    ),
    5,
    FALSE
  ),
  ""-""
)
"),0.0)</f>
        <v>0</v>
      </c>
      <c r="AF117" s="54">
        <f>IFERROR(__xludf.DUMMYFUNCTION("IFERROR(
  VLOOKUP(
    A117,
    IMPORTRANGE(
      ""1SCYQd7_cobOYqT0r_F0IqD4tE4rYn5y8Eup4PJTH8es"",
      ""Snapshot!A:M""
    ),
    6,
    FALSE
  ),
  0
)
"),12.0)</f>
        <v>12</v>
      </c>
      <c r="AG117" s="54">
        <f>IFERROR(__xludf.DUMMYFUNCTION("IFERROR(
  VLOOKUP(
    A117,
    IMPORTRANGE(
      ""1SCYQd7_cobOYqT0r_F0IqD4tE4rYn5y8Eup4PJTH8es"",
      ""Snapshot!A:M""
    ),
    7,
    FALSE
  ),
  0
)
"),2955.0)</f>
        <v>2955</v>
      </c>
      <c r="AH117" s="54">
        <f>IFERROR(__xludf.DUMMYFUNCTION("IFERROR(
  VLOOKUP(
    A117,
    IMPORTRANGE(
      ""1SCYQd7_cobOYqT0r_F0IqD4tE4rYn5y8Eup4PJTH8es"",
      ""Snapshot!A:M""
    ),
    8,
    FALSE
  ),
  0
)
"),1.0)</f>
        <v>1</v>
      </c>
      <c r="AI117" s="54">
        <f>IFERROR(__xludf.DUMMYFUNCTION("IFERROR(
  VLOOKUP(
    A117,
    IMPORTRANGE(
      ""1SCYQd7_cobOYqT0r_F0IqD4tE4rYn5y8Eup4PJTH8es"",
      ""Snapshot!A:M""
    ),
    9,
    FALSE
  ),
  0
)
"),4.0)</f>
        <v>4</v>
      </c>
      <c r="AJ117" s="54">
        <f>IFERROR(__xludf.DUMMYFUNCTION("IFERROR(
  VLOOKUP(
    A117,
    IMPORTRANGE(
      ""1SCYQd7_cobOYqT0r_F0IqD4tE4rYn5y8Eup4PJTH8es"",
      ""Snapshot!A:M""
    ),
    13,
    FALSE
  ),
  0
)
"),1.0)</f>
        <v>1</v>
      </c>
      <c r="AK117" s="49">
        <f t="shared" ref="AK117:AL117" si="580">LEN(C117)</f>
        <v>74</v>
      </c>
      <c r="AL117" s="49">
        <f t="shared" si="580"/>
        <v>70</v>
      </c>
    </row>
    <row r="118">
      <c r="A118" s="3" t="s">
        <v>1202</v>
      </c>
      <c r="B118" s="1" t="str">
        <f>IFERROR(__xludf.DUMMYFUNCTION("IFERROR(
  VLOOKUP(
    A118,
    IMPORTRANGE(
      ""1ZygntHC1J6IxzKbTidmOyf5nUyW4GCLurHCjexrLm_o"",
      ""HTMLキャッシュ!A:F""
    ),
    2,
    FALSE
  ),
  0
)
"),"MC")</f>
        <v>MC</v>
      </c>
      <c r="C118" s="1" t="str">
        <f>IFERROR(__xludf.DUMMYFUNCTION("IFERROR(
  VLOOKUP(
    A118,
    IMPORTRANGE(
      ""1ZygntHC1J6IxzKbTidmOyf5nUyW4GCLurHCjexrLm_o"",
      ""HTMLキャッシュ!A:F""
    ),
    5,
    FALSE
  ),
  0
)
"),"be going to～【Progress Book1 Lesson13-1】 - 新宿区四谷の英語専門塾「英語教室『サポート』」～英語は別に怖くない！～")</f>
        <v>be going to～【Progress Book1 Lesson13-1】 - 新宿区四谷の英語専門塾「英語教室『サポート』」～英語は別に怖くない！～</v>
      </c>
      <c r="D118" s="1" t="str">
        <f>IFERROR(__xludf.DUMMYFUNCTION("IFERROR(
  VLOOKUP(
    A118,
    IMPORTRANGE(
      ""1ZygntHC1J6IxzKbTidmOyf5nUyW4GCLurHCjexrLm_o        "",
      ""HTMLキャッシュ!A:F""
    ),
    6,
    FALSE
  ),
  0
)
"),"「be going to」による未来の表現 今回の記事では、Book1 Lesson13シーン1で学ぶ「be")</f>
        <v>「be going to」による未来の表現 今回の記事では、Book1 Lesson13シーン1で学ぶ「be</v>
      </c>
      <c r="E118" s="32">
        <f>IFERROR(__xludf.DUMMYFUNCTION("IFERROR(
  VLOOKUP(
    A118,
    IMPORTRANGE(
      ""1ZygntHC1J6IxzKbTidmOyf5nUyW4GCLurHCjexrLm_o        "",
      ""HTMLキャッシュ!A:F""
    ),
    3,
    FALSE
  ),
  0
)
"),46043.656168981484)</f>
        <v>46043.65617</v>
      </c>
      <c r="F118" s="49">
        <f>IFERROR(__xludf.DUMMYFUNCTION("IFERROR(
  VLOOKUP(
    A118,
    IMPORTRANGE(
      ""1ZHMy3vVUd_0MrSduXTe1etBb1HNpAlGwQr006ljwMiM"",
      ""GSC最新!A:F""
    ),
    2,
    FALSE
  ),
  0
)
"),0.0)</f>
        <v>0</v>
      </c>
      <c r="G118" s="49">
        <f>IFERROR(__xludf.DUMMYFUNCTION("IFERROR(
  VLOOKUP(
    A118,
    IMPORTRANGE(
      ""1ZHMy3vVUd_0MrSduXTe1etBb1HNpAlGwQr006ljwMiM"",
      ""GSC最新!A:F""
    ),
    3,
    FALSE
  ),
  0
)
"),0.0)</f>
        <v>0</v>
      </c>
      <c r="H118" s="49">
        <f>IFERROR(__xludf.DUMMYFUNCTION("IFERROR(
  VLOOKUP(
    A118,
    IMPORTRANGE(
      ""1ZHMy3vVUd_0MrSduXTe1etBb1HNpAlGwQr006ljwMiM"",
      ""GSC最新!A:F""
    ),
    4,
    FALSE
  ),
  0
)
"),0.0)</f>
        <v>0</v>
      </c>
      <c r="I118" s="49">
        <f>IFERROR(__xludf.DUMMYFUNCTION("IFERROR(
  VLOOKUP(
    A118,
    IMPORTRANGE(
      ""1ZHMy3vVUd_0MrSduXTe1etBb1HNpAlGwQr006ljwMiM"",
      ""GSC最新!A:F""
    ),
    5,
    FALSE
  ),
  0
)
"),0.0)</f>
        <v>0</v>
      </c>
      <c r="J118" s="50" t="str">
        <f t="shared" ref="J118:K118" si="581">IFERROR(F118/H118,"-")</f>
        <v>-</v>
      </c>
      <c r="K118" s="50" t="str">
        <f t="shared" si="581"/>
        <v>-</v>
      </c>
      <c r="L118" s="6">
        <f>IFERROR(__xludf.DUMMYFUNCTION("IFERROR(
  VLOOKUP(
    A118,
    IMPORTRANGE(
      ""1ZHMy3vVUd_0MrSduXTe1etBb1HNpAlGwQr006ljwMiM"",
      ""GSC最新!A:R""
    ),
    7,
    FALSE
  ),
  0
)
"),5.0)</f>
        <v>5</v>
      </c>
      <c r="M118" s="6">
        <f>IFERROR(__xludf.DUMMYFUNCTION("IFERROR(
  VLOOKUP(
    A118,
    IMPORTRANGE(
      ""1ZHMy3vVUd_0MrSduXTe1etBb1HNpAlGwQr006ljwMiM"",
      ""GSC最新!A:R""
    ),
    10,
    FALSE
  ),
  0
)
"),9.0)</f>
        <v>9</v>
      </c>
      <c r="N118" s="6">
        <f>IFERROR(__xludf.DUMMYFUNCTION("IFERROR(
  VLOOKUP(
    A118,
    IMPORTRANGE(
      ""1ZHMy3vVUd_0MrSduXTe1etBb1HNpAlGwQr006ljwMiM"",
      ""GSC最新!A:R""
    ),
    13,
    FALSE
  ),
  0
)
"),1.0)</f>
        <v>1</v>
      </c>
      <c r="O118" s="6">
        <f>IFERROR(__xludf.DUMMYFUNCTION("IFERROR(
  VLOOKUP(
    A118,
    IMPORTRANGE(
      ""1ZHMy3vVUd_0MrSduXTe1etBb1HNpAlGwQr006ljwMiM"",
      ""GSC最新!A:R""
    ),
    16,
    FALSE
  ),
  0
)
"),3.0)</f>
        <v>3</v>
      </c>
      <c r="P118" s="51">
        <f t="shared" ref="P118:Q118" si="582">IFERROR(L118/N118,"-")</f>
        <v>5</v>
      </c>
      <c r="Q118" s="51">
        <f t="shared" si="582"/>
        <v>3</v>
      </c>
      <c r="R118" s="9">
        <f>IFERROR(__xludf.DUMMYFUNCTION("IFERROR(
  VLOOKUP(
    A118,
    IMPORTRANGE(
      ""1ZHMy3vVUd_0MrSduXTe1etBb1HNpAlGwQr006ljwMiM"",
      ""GSC最新!A:R""
    ),
    8,
    FALSE
  ),
  0
)
"),0.0)</f>
        <v>0</v>
      </c>
      <c r="S118" s="9">
        <f>IFERROR(__xludf.DUMMYFUNCTION("IFERROR(
  VLOOKUP(
    A118,
    IMPORTRANGE(
      ""1ZHMy3vVUd_0MrSduXTe1etBb1HNpAlGwQr006ljwMiM"",
      ""GSC最新!A:R""
    ),
    11,
    FALSE
  ),
  0
)
"),0.0)</f>
        <v>0</v>
      </c>
      <c r="T118" s="9">
        <f>IFERROR(__xludf.DUMMYFUNCTION("IFERROR(
  VLOOKUP(
    A118,
    IMPORTRANGE(
      ""1ZHMy3vVUd_0MrSduXTe1etBb1HNpAlGwQr006ljwMiM"",
      ""GSC最新!A:R""
    ),
    14,
    FALSE
  ),
  0
)
"),0.0)</f>
        <v>0</v>
      </c>
      <c r="U118" s="9">
        <f>IFERROR(__xludf.DUMMYFUNCTION("IFERROR(
  VLOOKUP(
    A118,
    IMPORTRANGE(
      ""1ZHMy3vVUd_0MrSduXTe1etBb1HNpAlGwQr006ljwMiM"",
      ""GSC最新!A:R""
    ),
    17,
    FALSE
  ),
  0
)
"),0.0)</f>
        <v>0</v>
      </c>
      <c r="V118" s="9">
        <f t="shared" ref="V118:W118" si="583">IFERROR(R118-T118,"-")</f>
        <v>0</v>
      </c>
      <c r="W118" s="9">
        <f t="shared" si="583"/>
        <v>0</v>
      </c>
      <c r="X118" s="65">
        <f>IFERROR(__xludf.DUMMYFUNCTION("IFERROR(
  VLOOKUP(
    A118,
    IMPORTRANGE(
      ""1ZHMy3vVUd_0MrSduXTe1etBb1HNpAlGwQr006ljwMiM"",
      ""GSC最新!A:R""
    ),
    9,
    FALSE
  ),
  0
)
"),6.2)</f>
        <v>6.2</v>
      </c>
      <c r="Y118" s="65">
        <f>IFERROR(__xludf.DUMMYFUNCTION("IFERROR(
  VLOOKUP(
    A118,
    IMPORTRANGE(
      ""1ZHMy3vVUd_0MrSduXTe1etBb1HNpAlGwQr006ljwMiM"",
      ""GSC最新!A:R""
    ),
    12,
    FALSE
  ),
  0
)
"),5.888888888888889)</f>
        <v>5.888888889</v>
      </c>
      <c r="Z118" s="65">
        <f>IFERROR(__xludf.DUMMYFUNCTION("IFERROR(
  VLOOKUP(
    A118,
    IMPORTRANGE(
      ""1ZHMy3vVUd_0MrSduXTe1etBb1HNpAlGwQr006ljwMiM"",
      ""GSC最新!A:R""
    ),
    15,
    FALSE
  ),
  0
)
"),10.0)</f>
        <v>10</v>
      </c>
      <c r="AA118" s="65">
        <f>IFERROR(__xludf.DUMMYFUNCTION("IFERROR(
  VLOOKUP(
    A118,
    IMPORTRANGE(
      ""1ZHMy3vVUd_0MrSduXTe1etBb1HNpAlGwQr006ljwMiM"",
      ""GSC最新!A:R""
    ),
    18,
    FALSE
  ),
  0
)
"),10.333333333333334)</f>
        <v>10.33333333</v>
      </c>
      <c r="AB118" s="65">
        <f t="shared" ref="AB118:AC118" si="584">X118-Z118</f>
        <v>-3.8</v>
      </c>
      <c r="AC118" s="65">
        <f t="shared" si="584"/>
        <v>-4.444444444</v>
      </c>
      <c r="AD118" s="53">
        <f>IFERROR(__xludf.DUMMYFUNCTION("IFERROR(
  VLOOKUP(
    A118,
    IMPORTRANGE(
      ""1ZHMy3vVUd_0MrSduXTe1etBb1HNpAlGwQr006ljwMiM"",
      ""GSC最新!A:F""
    ),
    6,
    FALSE
  ),
  0
)
"),46081.0)</f>
        <v>46081</v>
      </c>
      <c r="AE118" s="54">
        <f>IFERROR(__xludf.DUMMYFUNCTION("IFERROR(
  VLOOKUP(
    A118,
    IMPORTRANGE(
      ""1SCYQd7_cobOYqT0r_F0IqD4tE4rYn5y8Eup4PJTH8es"",
      ""Snapshot!A:M""
    ),
    5,
    FALSE
  ),
  ""-""
)
"),0.0)</f>
        <v>0</v>
      </c>
      <c r="AF118" s="54">
        <f>IFERROR(__xludf.DUMMYFUNCTION("IFERROR(
  VLOOKUP(
    A118,
    IMPORTRANGE(
      ""1SCYQd7_cobOYqT0r_F0IqD4tE4rYn5y8Eup4PJTH8es"",
      ""Snapshot!A:M""
    ),
    6,
    FALSE
  ),
  0
)
"),10.0)</f>
        <v>10</v>
      </c>
      <c r="AG118" s="54">
        <f>IFERROR(__xludf.DUMMYFUNCTION("IFERROR(
  VLOOKUP(
    A118,
    IMPORTRANGE(
      ""1SCYQd7_cobOYqT0r_F0IqD4tE4rYn5y8Eup4PJTH8es"",
      ""Snapshot!A:M""
    ),
    7,
    FALSE
  ),
  0
)
"),2772.0)</f>
        <v>2772</v>
      </c>
      <c r="AH118" s="54">
        <f>IFERROR(__xludf.DUMMYFUNCTION("IFERROR(
  VLOOKUP(
    A118,
    IMPORTRANGE(
      ""1SCYQd7_cobOYqT0r_F0IqD4tE4rYn5y8Eup4PJTH8es"",
      ""Snapshot!A:M""
    ),
    8,
    FALSE
  ),
  0
)
"),0.0)</f>
        <v>0</v>
      </c>
      <c r="AI118" s="54">
        <f>IFERROR(__xludf.DUMMYFUNCTION("IFERROR(
  VLOOKUP(
    A118,
    IMPORTRANGE(
      ""1SCYQd7_cobOYqT0r_F0IqD4tE4rYn5y8Eup4PJTH8es"",
      ""Snapshot!A:M""
    ),
    9,
    FALSE
  ),
  0
)
"),1.0)</f>
        <v>1</v>
      </c>
      <c r="AJ118" s="54">
        <f>IFERROR(__xludf.DUMMYFUNCTION("IFERROR(
  VLOOKUP(
    A118,
    IMPORTRANGE(
      ""1SCYQd7_cobOYqT0r_F0IqD4tE4rYn5y8Eup4PJTH8es"",
      ""Snapshot!A:M""
    ),
    13,
    FALSE
  ),
  0
)
"),1.0)</f>
        <v>1</v>
      </c>
      <c r="AK118" s="49">
        <f t="shared" ref="AK118:AL118" si="585">LEN(C118)</f>
        <v>77</v>
      </c>
      <c r="AL118" s="49">
        <f t="shared" si="585"/>
        <v>54</v>
      </c>
    </row>
    <row r="119">
      <c r="A119" s="1" t="s">
        <v>1203</v>
      </c>
      <c r="B119" s="1" t="str">
        <f>IFERROR(__xludf.DUMMYFUNCTION("IFERROR(
  VLOOKUP(
    A119,
    IMPORTRANGE(
      ""1ZygntHC1J6IxzKbTidmOyf5nUyW4GCLurHCjexrLm_o"",
      ""HTMLキャッシュ!A:F""
    ),
    2,
    FALSE
  ),
  0
)
"),"NW")</f>
        <v>NW</v>
      </c>
      <c r="C119" s="1" t="str">
        <f>IFERROR(__xludf.DUMMYFUNCTION("IFERROR(
  VLOOKUP(
    A119,
    IMPORTRANGE(
      ""1ZygntHC1J6IxzKbTidmOyf5nUyW4GCLurHCjexrLm_o"",
      ""HTMLキャッシュ!A:F""
    ),
    5,
    FALSE
  ),
  0
)
"),"2023年度夏期講習開催のお知らせ - 新宿区四谷の英語専門塾「英語教室『サポート』」～英語は別に怖くない！～")</f>
        <v>2023年度夏期講習開催のお知らせ - 新宿区四谷の英語専門塾「英語教室『サポート』」～英語は別に怖くない！～</v>
      </c>
      <c r="D119" s="1" t="str">
        <f>IFERROR(__xludf.DUMMYFUNCTION("IFERROR(
  VLOOKUP(
    A119,
    IMPORTRANGE(
      ""1ZygntHC1J6IxzKbTidmOyf5nUyW4GCLurHCjexrLm_o        "",
      ""HTMLキャッシュ!A:F""
    ),
    6,
    FALSE
  ),
  0
)
"),"夏休みは、受験生にとってまさに天王山であり、受験を１年以上先に控えているお子様にとっても、普段忙しくて取り組め")</f>
        <v>夏休みは、受験生にとってまさに天王山であり、受験を１年以上先に控えているお子様にとっても、普段忙しくて取り組め</v>
      </c>
      <c r="E119" s="32">
        <f>IFERROR(__xludf.DUMMYFUNCTION("IFERROR(
  VLOOKUP(
    A119,
    IMPORTRANGE(
      ""1ZygntHC1J6IxzKbTidmOyf5nUyW4GCLurHCjexrLm_o        "",
      ""HTMLキャッシュ!A:F""
    ),
    3,
    FALSE
  ),
  0
)
"),46015.73034722222)</f>
        <v>46015.73035</v>
      </c>
      <c r="F119" s="49">
        <f>IFERROR(__xludf.DUMMYFUNCTION("IFERROR(
  VLOOKUP(
    A119,
    IMPORTRANGE(
      ""1ZHMy3vVUd_0MrSduXTe1etBb1HNpAlGwQr006ljwMiM"",
      ""GSC最新!A:F""
    ),
    2,
    FALSE
  ),
  0
)
"),0.0)</f>
        <v>0</v>
      </c>
      <c r="G119" s="49">
        <f>IFERROR(__xludf.DUMMYFUNCTION("IFERROR(
  VLOOKUP(
    A119,
    IMPORTRANGE(
      ""1ZHMy3vVUd_0MrSduXTe1etBb1HNpAlGwQr006ljwMiM"",
      ""GSC最新!A:F""
    ),
    3,
    FALSE
  ),
  0
)
"),0.0)</f>
        <v>0</v>
      </c>
      <c r="H119" s="49">
        <f>IFERROR(__xludf.DUMMYFUNCTION("IFERROR(
  VLOOKUP(
    A119,
    IMPORTRANGE(
      ""1ZHMy3vVUd_0MrSduXTe1etBb1HNpAlGwQr006ljwMiM"",
      ""GSC最新!A:F""
    ),
    4,
    FALSE
  ),
  0
)
"),0.0)</f>
        <v>0</v>
      </c>
      <c r="I119" s="49">
        <f>IFERROR(__xludf.DUMMYFUNCTION("IFERROR(
  VLOOKUP(
    A119,
    IMPORTRANGE(
      ""1ZHMy3vVUd_0MrSduXTe1etBb1HNpAlGwQr006ljwMiM"",
      ""GSC最新!A:F""
    ),
    5,
    FALSE
  ),
  0
)
"),0.0)</f>
        <v>0</v>
      </c>
      <c r="J119" s="50" t="str">
        <f t="shared" ref="J119:K119" si="586">IFERROR(F119/H119,"-")</f>
        <v>-</v>
      </c>
      <c r="K119" s="50" t="str">
        <f t="shared" si="586"/>
        <v>-</v>
      </c>
      <c r="L119" s="6">
        <f>IFERROR(__xludf.DUMMYFUNCTION("IFERROR(
  VLOOKUP(
    A119,
    IMPORTRANGE(
      ""1ZHMy3vVUd_0MrSduXTe1etBb1HNpAlGwQr006ljwMiM"",
      ""GSC最新!A:R""
    ),
    7,
    FALSE
  ),
  0
)
"),0.0)</f>
        <v>0</v>
      </c>
      <c r="M119" s="6">
        <f>IFERROR(__xludf.DUMMYFUNCTION("IFERROR(
  VLOOKUP(
    A119,
    IMPORTRANGE(
      ""1ZHMy3vVUd_0MrSduXTe1etBb1HNpAlGwQr006ljwMiM"",
      ""GSC最新!A:R""
    ),
    10,
    FALSE
  ),
  0
)
"),5.0)</f>
        <v>5</v>
      </c>
      <c r="N119" s="6">
        <f>IFERROR(__xludf.DUMMYFUNCTION("IFERROR(
  VLOOKUP(
    A119,
    IMPORTRANGE(
      ""1ZHMy3vVUd_0MrSduXTe1etBb1HNpAlGwQr006ljwMiM"",
      ""GSC最新!A:R""
    ),
    13,
    FALSE
  ),
  0
)
"),0.0)</f>
        <v>0</v>
      </c>
      <c r="O119" s="6">
        <f>IFERROR(__xludf.DUMMYFUNCTION("IFERROR(
  VLOOKUP(
    A119,
    IMPORTRANGE(
      ""1ZHMy3vVUd_0MrSduXTe1etBb1HNpAlGwQr006ljwMiM"",
      ""GSC最新!A:R""
    ),
    16,
    FALSE
  ),
  0
)
"),12.0)</f>
        <v>12</v>
      </c>
      <c r="P119" s="51" t="str">
        <f t="shared" ref="P119:Q119" si="587">IFERROR(L119/N119,"-")</f>
        <v>-</v>
      </c>
      <c r="Q119" s="51">
        <f t="shared" si="587"/>
        <v>0.4166666667</v>
      </c>
      <c r="R119" s="9">
        <f>IFERROR(__xludf.DUMMYFUNCTION("IFERROR(
  VLOOKUP(
    A119,
    IMPORTRANGE(
      ""1ZHMy3vVUd_0MrSduXTe1etBb1HNpAlGwQr006ljwMiM"",
      ""GSC最新!A:R""
    ),
    8,
    FALSE
  ),
  0
)
"),0.0)</f>
        <v>0</v>
      </c>
      <c r="S119" s="9">
        <f>IFERROR(__xludf.DUMMYFUNCTION("IFERROR(
  VLOOKUP(
    A119,
    IMPORTRANGE(
      ""1ZHMy3vVUd_0MrSduXTe1etBb1HNpAlGwQr006ljwMiM"",
      ""GSC最新!A:R""
    ),
    11,
    FALSE
  ),
  0
)
"),0.0)</f>
        <v>0</v>
      </c>
      <c r="T119" s="9">
        <f>IFERROR(__xludf.DUMMYFUNCTION("IFERROR(
  VLOOKUP(
    A119,
    IMPORTRANGE(
      ""1ZHMy3vVUd_0MrSduXTe1etBb1HNpAlGwQr006ljwMiM"",
      ""GSC最新!A:R""
    ),
    14,
    FALSE
  ),
  0
)
"),0.0)</f>
        <v>0</v>
      </c>
      <c r="U119" s="9">
        <f>IFERROR(__xludf.DUMMYFUNCTION("IFERROR(
  VLOOKUP(
    A119,
    IMPORTRANGE(
      ""1ZHMy3vVUd_0MrSduXTe1etBb1HNpAlGwQr006ljwMiM"",
      ""GSC最新!A:R""
    ),
    17,
    FALSE
  ),
  0
)
"),0.0)</f>
        <v>0</v>
      </c>
      <c r="V119" s="9">
        <f t="shared" ref="V119:W119" si="588">IFERROR(R119-T119,"-")</f>
        <v>0</v>
      </c>
      <c r="W119" s="9">
        <f t="shared" si="588"/>
        <v>0</v>
      </c>
      <c r="X119" s="65" t="str">
        <f>IFERROR(__xludf.DUMMYFUNCTION("IFERROR(
  VLOOKUP(
    A119,
    IMPORTRANGE(
      ""1ZHMy3vVUd_0MrSduXTe1etBb1HNpAlGwQr006ljwMiM"",
      ""GSC最新!A:R""
    ),
    9,
    FALSE
  ),
  0
)
"),"")</f>
        <v/>
      </c>
      <c r="Y119" s="65">
        <f>IFERROR(__xludf.DUMMYFUNCTION("IFERROR(
  VLOOKUP(
    A119,
    IMPORTRANGE(
      ""1ZHMy3vVUd_0MrSduXTe1etBb1HNpAlGwQr006ljwMiM"",
      ""GSC最新!A:R""
    ),
    12,
    FALSE
  ),
  0
)
"),8.0)</f>
        <v>8</v>
      </c>
      <c r="Z119" s="65" t="str">
        <f>IFERROR(__xludf.DUMMYFUNCTION("IFERROR(
  VLOOKUP(
    A119,
    IMPORTRANGE(
      ""1ZHMy3vVUd_0MrSduXTe1etBb1HNpAlGwQr006ljwMiM"",
      ""GSC最新!A:R""
    ),
    15,
    FALSE
  ),
  0
)
"),"")</f>
        <v/>
      </c>
      <c r="AA119" s="65">
        <f>IFERROR(__xludf.DUMMYFUNCTION("IFERROR(
  VLOOKUP(
    A119,
    IMPORTRANGE(
      ""1ZHMy3vVUd_0MrSduXTe1etBb1HNpAlGwQr006ljwMiM"",
      ""GSC最新!A:R""
    ),
    18,
    FALSE
  ),
  0
)
"),14.0)</f>
        <v>14</v>
      </c>
      <c r="AB119" s="65">
        <f t="shared" ref="AB119:AC119" si="589">X119-Z119</f>
        <v>0</v>
      </c>
      <c r="AC119" s="65">
        <f t="shared" si="589"/>
        <v>-6</v>
      </c>
      <c r="AD119" s="53">
        <f>IFERROR(__xludf.DUMMYFUNCTION("IFERROR(
  VLOOKUP(
    A119,
    IMPORTRANGE(
      ""1ZHMy3vVUd_0MrSduXTe1etBb1HNpAlGwQr006ljwMiM"",
      ""GSC最新!A:F""
    ),
    6,
    FALSE
  ),
  0
)
"),46081.0)</f>
        <v>46081</v>
      </c>
      <c r="AE119" s="54">
        <f>IFERROR(__xludf.DUMMYFUNCTION("IFERROR(
  VLOOKUP(
    A119,
    IMPORTRANGE(
      ""1SCYQd7_cobOYqT0r_F0IqD4tE4rYn5y8Eup4PJTH8es"",
      ""Snapshot!A:M""
    ),
    5,
    FALSE
  ),
  ""-""
)
"),0.0)</f>
        <v>0</v>
      </c>
      <c r="AF119" s="54">
        <f>IFERROR(__xludf.DUMMYFUNCTION("IFERROR(
  VLOOKUP(
    A119,
    IMPORTRANGE(
      ""1SCYQd7_cobOYqT0r_F0IqD4tE4rYn5y8Eup4PJTH8es"",
      ""Snapshot!A:M""
    ),
    6,
    FALSE
  ),
  0
)
"),0.0)</f>
        <v>0</v>
      </c>
      <c r="AG119" s="54">
        <f>IFERROR(__xludf.DUMMYFUNCTION("IFERROR(
  VLOOKUP(
    A119,
    IMPORTRANGE(
      ""1SCYQd7_cobOYqT0r_F0IqD4tE4rYn5y8Eup4PJTH8es"",
      ""Snapshot!A:M""
    ),
    7,
    FALSE
  ),
  0
)
"),617.0)</f>
        <v>617</v>
      </c>
      <c r="AH119" s="54">
        <f>IFERROR(__xludf.DUMMYFUNCTION("IFERROR(
  VLOOKUP(
    A119,
    IMPORTRANGE(
      ""1SCYQd7_cobOYqT0r_F0IqD4tE4rYn5y8Eup4PJTH8es"",
      ""Snapshot!A:M""
    ),
    8,
    FALSE
  ),
  0
)
"),1.0)</f>
        <v>1</v>
      </c>
      <c r="AI119" s="54">
        <f>IFERROR(__xludf.DUMMYFUNCTION("IFERROR(
  VLOOKUP(
    A119,
    IMPORTRANGE(
      ""1SCYQd7_cobOYqT0r_F0IqD4tE4rYn5y8Eup4PJTH8es"",
      ""Snapshot!A:M""
    ),
    9,
    FALSE
  ),
  0
)
"),0.0)</f>
        <v>0</v>
      </c>
      <c r="AJ119" s="54">
        <f>IFERROR(__xludf.DUMMYFUNCTION("IFERROR(
  VLOOKUP(
    A119,
    IMPORTRANGE(
      ""1SCYQd7_cobOYqT0r_F0IqD4tE4rYn5y8Eup4PJTH8es"",
      ""Snapshot!A:M""
    ),
    13,
    FALSE
  ),
  0
)
"),1.0)</f>
        <v>1</v>
      </c>
      <c r="AK119" s="49">
        <f t="shared" ref="AK119:AL119" si="590">LEN(C119)</f>
        <v>55</v>
      </c>
      <c r="AL119" s="49">
        <f t="shared" si="590"/>
        <v>55</v>
      </c>
    </row>
    <row r="120">
      <c r="A120" s="3" t="s">
        <v>1204</v>
      </c>
      <c r="B120" s="1" t="str">
        <f>IFERROR(__xludf.DUMMYFUNCTION("IFERROR(
  VLOOKUP(
    A120,
    IMPORTRANGE(
      ""1ZygntHC1J6IxzKbTidmOyf5nUyW4GCLurHCjexrLm_o"",
      ""HTMLキャッシュ!A:F""
    ),
    2,
    FALSE
  ),
  0
)
"),"MC")</f>
        <v>MC</v>
      </c>
      <c r="C120" s="1" t="str">
        <f>IFERROR(__xludf.DUMMYFUNCTION("IFERROR(
  VLOOKUP(
    A120,
    IMPORTRANGE(
      ""1ZygntHC1J6IxzKbTidmOyf5nUyW4GCLurHCjexrLm_o"",
      ""HTMLキャッシュ!A:F""
    ),
    5,
    FALSE
  ),
  0
)
"),"未来を表す疑問文【Progress Book1 Lesson13-3】 - 新宿区四谷の英語専門塾「英語教室『サポート』」～英語は別に怖くない！～")</f>
        <v>未来を表す疑問文【Progress Book1 Lesson13-3】 - 新宿区四谷の英語専門塾「英語教室『サポート』」～英語は別に怖くない！～</v>
      </c>
      <c r="D120" s="1" t="str">
        <f>IFERROR(__xludf.DUMMYFUNCTION("IFERROR(
  VLOOKUP(
    A120,
    IMPORTRANGE(
      ""1ZygntHC1J6IxzKbTidmOyf5nUyW4GCLurHCjexrLm_o        "",
      ""HTMLキャッシュ!A:F""
    ),
    6,
    FALSE
  ),
  0
)
"),"今回はBook1 Lesson13シーン3の内容を取り上げます。今度は未来を表す疑問文についてです。引き続きご")</f>
        <v>今回はBook1 Lesson13シーン3の内容を取り上げます。今度は未来を表す疑問文についてです。引き続きご</v>
      </c>
      <c r="E120" s="32">
        <f>IFERROR(__xludf.DUMMYFUNCTION("IFERROR(
  VLOOKUP(
    A120,
    IMPORTRANGE(
      ""1ZygntHC1J6IxzKbTidmOyf5nUyW4GCLurHCjexrLm_o        "",
      ""HTMLキャッシュ!A:F""
    ),
    3,
    FALSE
  ),
  0
)
"),46043.70537037037)</f>
        <v>46043.70537</v>
      </c>
      <c r="F120" s="49">
        <f>IFERROR(__xludf.DUMMYFUNCTION("IFERROR(
  VLOOKUP(
    A120,
    IMPORTRANGE(
      ""1ZHMy3vVUd_0MrSduXTe1etBb1HNpAlGwQr006ljwMiM"",
      ""GSC最新!A:F""
    ),
    2,
    FALSE
  ),
  0
)
"),0.0)</f>
        <v>0</v>
      </c>
      <c r="G120" s="49">
        <f>IFERROR(__xludf.DUMMYFUNCTION("IFERROR(
  VLOOKUP(
    A120,
    IMPORTRANGE(
      ""1ZHMy3vVUd_0MrSduXTe1etBb1HNpAlGwQr006ljwMiM"",
      ""GSC最新!A:F""
    ),
    3,
    FALSE
  ),
  0
)
"),0.0)</f>
        <v>0</v>
      </c>
      <c r="H120" s="49">
        <f>IFERROR(__xludf.DUMMYFUNCTION("IFERROR(
  VLOOKUP(
    A120,
    IMPORTRANGE(
      ""1ZHMy3vVUd_0MrSduXTe1etBb1HNpAlGwQr006ljwMiM"",
      ""GSC最新!A:F""
    ),
    4,
    FALSE
  ),
  0
)
"),0.0)</f>
        <v>0</v>
      </c>
      <c r="I120" s="49">
        <f>IFERROR(__xludf.DUMMYFUNCTION("IFERROR(
  VLOOKUP(
    A120,
    IMPORTRANGE(
      ""1ZHMy3vVUd_0MrSduXTe1etBb1HNpAlGwQr006ljwMiM"",
      ""GSC最新!A:F""
    ),
    5,
    FALSE
  ),
  0
)
"),0.0)</f>
        <v>0</v>
      </c>
      <c r="J120" s="50" t="str">
        <f t="shared" ref="J120:K120" si="591">IFERROR(F120/H120,"-")</f>
        <v>-</v>
      </c>
      <c r="K120" s="50" t="str">
        <f t="shared" si="591"/>
        <v>-</v>
      </c>
      <c r="L120" s="6">
        <f>IFERROR(__xludf.DUMMYFUNCTION("IFERROR(
  VLOOKUP(
    A120,
    IMPORTRANGE(
      ""1ZHMy3vVUd_0MrSduXTe1etBb1HNpAlGwQr006ljwMiM"",
      ""GSC最新!A:R""
    ),
    7,
    FALSE
  ),
  0
)
"),1.0)</f>
        <v>1</v>
      </c>
      <c r="M120" s="6">
        <f>IFERROR(__xludf.DUMMYFUNCTION("IFERROR(
  VLOOKUP(
    A120,
    IMPORTRANGE(
      ""1ZHMy3vVUd_0MrSduXTe1etBb1HNpAlGwQr006ljwMiM"",
      ""GSC最新!A:R""
    ),
    10,
    FALSE
  ),
  0
)
"),5.0)</f>
        <v>5</v>
      </c>
      <c r="N120" s="6">
        <f>IFERROR(__xludf.DUMMYFUNCTION("IFERROR(
  VLOOKUP(
    A120,
    IMPORTRANGE(
      ""1ZHMy3vVUd_0MrSduXTe1etBb1HNpAlGwQr006ljwMiM"",
      ""GSC最新!A:R""
    ),
    13,
    FALSE
  ),
  0
)
"),0.0)</f>
        <v>0</v>
      </c>
      <c r="O120" s="6">
        <f>IFERROR(__xludf.DUMMYFUNCTION("IFERROR(
  VLOOKUP(
    A120,
    IMPORTRANGE(
      ""1ZHMy3vVUd_0MrSduXTe1etBb1HNpAlGwQr006ljwMiM"",
      ""GSC最新!A:R""
    ),
    16,
    FALSE
  ),
  0
)
"),0.0)</f>
        <v>0</v>
      </c>
      <c r="P120" s="51" t="str">
        <f t="shared" ref="P120:Q120" si="592">IFERROR(L120/N120,"-")</f>
        <v>-</v>
      </c>
      <c r="Q120" s="51" t="str">
        <f t="shared" si="592"/>
        <v>-</v>
      </c>
      <c r="R120" s="9">
        <f>IFERROR(__xludf.DUMMYFUNCTION("IFERROR(
  VLOOKUP(
    A120,
    IMPORTRANGE(
      ""1ZHMy3vVUd_0MrSduXTe1etBb1HNpAlGwQr006ljwMiM"",
      ""GSC最新!A:R""
    ),
    8,
    FALSE
  ),
  0
)
"),0.0)</f>
        <v>0</v>
      </c>
      <c r="S120" s="9">
        <f>IFERROR(__xludf.DUMMYFUNCTION("IFERROR(
  VLOOKUP(
    A120,
    IMPORTRANGE(
      ""1ZHMy3vVUd_0MrSduXTe1etBb1HNpAlGwQr006ljwMiM"",
      ""GSC最新!A:R""
    ),
    11,
    FALSE
  ),
  0
)
"),0.0)</f>
        <v>0</v>
      </c>
      <c r="T120" s="9">
        <f>IFERROR(__xludf.DUMMYFUNCTION("IFERROR(
  VLOOKUP(
    A120,
    IMPORTRANGE(
      ""1ZHMy3vVUd_0MrSduXTe1etBb1HNpAlGwQr006ljwMiM"",
      ""GSC最新!A:R""
    ),
    14,
    FALSE
  ),
  0
)
"),0.0)</f>
        <v>0</v>
      </c>
      <c r="U120" s="9">
        <f>IFERROR(__xludf.DUMMYFUNCTION("IFERROR(
  VLOOKUP(
    A120,
    IMPORTRANGE(
      ""1ZHMy3vVUd_0MrSduXTe1etBb1HNpAlGwQr006ljwMiM"",
      ""GSC最新!A:R""
    ),
    17,
    FALSE
  ),
  0
)
"),0.0)</f>
        <v>0</v>
      </c>
      <c r="V120" s="9">
        <f t="shared" ref="V120:W120" si="593">IFERROR(R120-T120,"-")</f>
        <v>0</v>
      </c>
      <c r="W120" s="9">
        <f t="shared" si="593"/>
        <v>0</v>
      </c>
      <c r="X120" s="65">
        <f>IFERROR(__xludf.DUMMYFUNCTION("IFERROR(
  VLOOKUP(
    A120,
    IMPORTRANGE(
      ""1ZHMy3vVUd_0MrSduXTe1etBb1HNpAlGwQr006ljwMiM"",
      ""GSC最新!A:R""
    ),
    9,
    FALSE
  ),
  0
)
"),1.0)</f>
        <v>1</v>
      </c>
      <c r="Y120" s="65">
        <f>IFERROR(__xludf.DUMMYFUNCTION("IFERROR(
  VLOOKUP(
    A120,
    IMPORTRANGE(
      ""1ZHMy3vVUd_0MrSduXTe1etBb1HNpAlGwQr006ljwMiM"",
      ""GSC最新!A:R""
    ),
    12,
    FALSE
  ),
  0
)
"),4.6)</f>
        <v>4.6</v>
      </c>
      <c r="Z120" s="65" t="str">
        <f>IFERROR(__xludf.DUMMYFUNCTION("IFERROR(
  VLOOKUP(
    A120,
    IMPORTRANGE(
      ""1ZHMy3vVUd_0MrSduXTe1etBb1HNpAlGwQr006ljwMiM"",
      ""GSC最新!A:R""
    ),
    15,
    FALSE
  ),
  0
)
"),"")</f>
        <v/>
      </c>
      <c r="AA120" s="65" t="str">
        <f>IFERROR(__xludf.DUMMYFUNCTION("IFERROR(
  VLOOKUP(
    A120,
    IMPORTRANGE(
      ""1ZHMy3vVUd_0MrSduXTe1etBb1HNpAlGwQr006ljwMiM"",
      ""GSC最新!A:R""
    ),
    18,
    FALSE
  ),
  0
)
"),"")</f>
        <v/>
      </c>
      <c r="AB120" s="65">
        <f t="shared" ref="AB120:AC120" si="594">X120-Z120</f>
        <v>1</v>
      </c>
      <c r="AC120" s="65">
        <f t="shared" si="594"/>
        <v>4.6</v>
      </c>
      <c r="AD120" s="53">
        <f>IFERROR(__xludf.DUMMYFUNCTION("IFERROR(
  VLOOKUP(
    A120,
    IMPORTRANGE(
      ""1ZHMy3vVUd_0MrSduXTe1etBb1HNpAlGwQr006ljwMiM"",
      ""GSC最新!A:F""
    ),
    6,
    FALSE
  ),
  0
)
"),46081.0)</f>
        <v>46081</v>
      </c>
      <c r="AE120" s="54">
        <f>IFERROR(__xludf.DUMMYFUNCTION("IFERROR(
  VLOOKUP(
    A120,
    IMPORTRANGE(
      ""1SCYQd7_cobOYqT0r_F0IqD4tE4rYn5y8Eup4PJTH8es"",
      ""Snapshot!A:M""
    ),
    5,
    FALSE
  ),
  ""-""
)
"),0.0)</f>
        <v>0</v>
      </c>
      <c r="AF120" s="54">
        <f>IFERROR(__xludf.DUMMYFUNCTION("IFERROR(
  VLOOKUP(
    A120,
    IMPORTRANGE(
      ""1SCYQd7_cobOYqT0r_F0IqD4tE4rYn5y8Eup4PJTH8es"",
      ""Snapshot!A:M""
    ),
    6,
    FALSE
  ),
  0
)
"),7.0)</f>
        <v>7</v>
      </c>
      <c r="AG120" s="54">
        <f>IFERROR(__xludf.DUMMYFUNCTION("IFERROR(
  VLOOKUP(
    A120,
    IMPORTRANGE(
      ""1SCYQd7_cobOYqT0r_F0IqD4tE4rYn5y8Eup4PJTH8es"",
      ""Snapshot!A:M""
    ),
    7,
    FALSE
  ),
  0
)
"),2501.0)</f>
        <v>2501</v>
      </c>
      <c r="AH120" s="54">
        <f>IFERROR(__xludf.DUMMYFUNCTION("IFERROR(
  VLOOKUP(
    A120,
    IMPORTRANGE(
      ""1SCYQd7_cobOYqT0r_F0IqD4tE4rYn5y8Eup4PJTH8es"",
      ""Snapshot!A:M""
    ),
    8,
    FALSE
  ),
  0
)
"),0.0)</f>
        <v>0</v>
      </c>
      <c r="AI120" s="54">
        <f>IFERROR(__xludf.DUMMYFUNCTION("IFERROR(
  VLOOKUP(
    A120,
    IMPORTRANGE(
      ""1SCYQd7_cobOYqT0r_F0IqD4tE4rYn5y8Eup4PJTH8es"",
      ""Snapshot!A:M""
    ),
    9,
    FALSE
  ),
  0
)
"),1.0)</f>
        <v>1</v>
      </c>
      <c r="AJ120" s="54">
        <f>IFERROR(__xludf.DUMMYFUNCTION("IFERROR(
  VLOOKUP(
    A120,
    IMPORTRANGE(
      ""1SCYQd7_cobOYqT0r_F0IqD4tE4rYn5y8Eup4PJTH8es"",
      ""Snapshot!A:M""
    ),
    13,
    FALSE
  ),
  0
)
"),1.0)</f>
        <v>1</v>
      </c>
      <c r="AK120" s="49">
        <f t="shared" ref="AK120:AL120" si="595">LEN(C120)</f>
        <v>73</v>
      </c>
      <c r="AL120" s="49">
        <f t="shared" si="595"/>
        <v>55</v>
      </c>
    </row>
    <row r="121">
      <c r="A121" s="3" t="s">
        <v>1205</v>
      </c>
      <c r="B121" s="1" t="str">
        <f>IFERROR(__xludf.DUMMYFUNCTION("IFERROR(
  VLOOKUP(
    A121,
    IMPORTRANGE(
      ""1ZygntHC1J6IxzKbTidmOyf5nUyW4GCLurHCjexrLm_o"",
      ""HTMLキャッシュ!A:F""
    ),
    2,
    FALSE
  ),
  0
)
"),"MC")</f>
        <v>MC</v>
      </c>
      <c r="C121" s="1" t="str">
        <f>IFERROR(__xludf.DUMMYFUNCTION("IFERROR(
  VLOOKUP(
    A121,
    IMPORTRANGE(
      ""1ZygntHC1J6IxzKbTidmOyf5nUyW4GCLurHCjexrLm_o"",
      ""HTMLキャッシュ!A:F""
    ),
    5,
    FALSE
  ),
  0
)
"),"疑問文【Progress Book1 1-3】 - 新宿区四谷の英語専門塾「英語教室『サポート』」～英語は別に怖くない！～")</f>
        <v>疑問文【Progress Book1 1-3】 - 新宿区四谷の英語専門塾「英語教室『サポート』」～英語は別に怖くない！～</v>
      </c>
      <c r="D121" s="1" t="str">
        <f>IFERROR(__xludf.DUMMYFUNCTION("IFERROR(
  VLOOKUP(
    A121,
    IMPORTRANGE(
      ""1ZygntHC1J6IxzKbTidmOyf5nUyW4GCLurHCjexrLm_o        "",
      ""HTMLキャッシュ!A:F""
    ),
    6,
    FALSE
  ),
  0
)
"),"英語基礎レッスン 本日はBook1 Lesson1 シーン3についてお話しします。このレッスンに関しては、注意")</f>
        <v>英語基礎レッスン 本日はBook1 Lesson1 シーン3についてお話しします。このレッスンに関しては、注意</v>
      </c>
      <c r="E121" s="32">
        <f>IFERROR(__xludf.DUMMYFUNCTION("IFERROR(
  VLOOKUP(
    A121,
    IMPORTRANGE(
      ""1ZygntHC1J6IxzKbTidmOyf5nUyW4GCLurHCjexrLm_o        "",
      ""HTMLキャッシュ!A:F""
    ),
    3,
    FALSE
  ),
  0
)
"),46043.74133101852)</f>
        <v>46043.74133</v>
      </c>
      <c r="F121" s="49">
        <f>IFERROR(__xludf.DUMMYFUNCTION("IFERROR(
  VLOOKUP(
    A121,
    IMPORTRANGE(
      ""1ZHMy3vVUd_0MrSduXTe1etBb1HNpAlGwQr006ljwMiM"",
      ""GSC最新!A:F""
    ),
    2,
    FALSE
  ),
  0
)
"),0.0)</f>
        <v>0</v>
      </c>
      <c r="G121" s="49">
        <f>IFERROR(__xludf.DUMMYFUNCTION("IFERROR(
  VLOOKUP(
    A121,
    IMPORTRANGE(
      ""1ZHMy3vVUd_0MrSduXTe1etBb1HNpAlGwQr006ljwMiM"",
      ""GSC最新!A:F""
    ),
    3,
    FALSE
  ),
  0
)
"),0.0)</f>
        <v>0</v>
      </c>
      <c r="H121" s="49">
        <f>IFERROR(__xludf.DUMMYFUNCTION("IFERROR(
  VLOOKUP(
    A121,
    IMPORTRANGE(
      ""1ZHMy3vVUd_0MrSduXTe1etBb1HNpAlGwQr006ljwMiM"",
      ""GSC最新!A:F""
    ),
    4,
    FALSE
  ),
  0
)
"),0.0)</f>
        <v>0</v>
      </c>
      <c r="I121" s="49">
        <f>IFERROR(__xludf.DUMMYFUNCTION("IFERROR(
  VLOOKUP(
    A121,
    IMPORTRANGE(
      ""1ZHMy3vVUd_0MrSduXTe1etBb1HNpAlGwQr006ljwMiM"",
      ""GSC最新!A:F""
    ),
    5,
    FALSE
  ),
  0
)
"),0.0)</f>
        <v>0</v>
      </c>
      <c r="J121" s="50" t="str">
        <f t="shared" ref="J121:K121" si="596">IFERROR(F121/H121,"-")</f>
        <v>-</v>
      </c>
      <c r="K121" s="50" t="str">
        <f t="shared" si="596"/>
        <v>-</v>
      </c>
      <c r="L121" s="6">
        <f>IFERROR(__xludf.DUMMYFUNCTION("IFERROR(
  VLOOKUP(
    A121,
    IMPORTRANGE(
      ""1ZHMy3vVUd_0MrSduXTe1etBb1HNpAlGwQr006ljwMiM"",
      ""GSC最新!A:R""
    ),
    7,
    FALSE
  ),
  0
)
"),3.0)</f>
        <v>3</v>
      </c>
      <c r="M121" s="6">
        <f>IFERROR(__xludf.DUMMYFUNCTION("IFERROR(
  VLOOKUP(
    A121,
    IMPORTRANGE(
      ""1ZHMy3vVUd_0MrSduXTe1etBb1HNpAlGwQr006ljwMiM"",
      ""GSC最新!A:R""
    ),
    10,
    FALSE
  ),
  0
)
"),4.0)</f>
        <v>4</v>
      </c>
      <c r="N121" s="6">
        <f>IFERROR(__xludf.DUMMYFUNCTION("IFERROR(
  VLOOKUP(
    A121,
    IMPORTRANGE(
      ""1ZHMy3vVUd_0MrSduXTe1etBb1HNpAlGwQr006ljwMiM"",
      ""GSC最新!A:R""
    ),
    13,
    FALSE
  ),
  0
)
"),0.0)</f>
        <v>0</v>
      </c>
      <c r="O121" s="6">
        <f>IFERROR(__xludf.DUMMYFUNCTION("IFERROR(
  VLOOKUP(
    A121,
    IMPORTRANGE(
      ""1ZHMy3vVUd_0MrSduXTe1etBb1HNpAlGwQr006ljwMiM"",
      ""GSC最新!A:R""
    ),
    16,
    FALSE
  ),
  0
)
"),1.0)</f>
        <v>1</v>
      </c>
      <c r="P121" s="51" t="str">
        <f t="shared" ref="P121:Q121" si="597">IFERROR(L121/N121,"-")</f>
        <v>-</v>
      </c>
      <c r="Q121" s="51">
        <f t="shared" si="597"/>
        <v>4</v>
      </c>
      <c r="R121" s="9">
        <f>IFERROR(__xludf.DUMMYFUNCTION("IFERROR(
  VLOOKUP(
    A121,
    IMPORTRANGE(
      ""1ZHMy3vVUd_0MrSduXTe1etBb1HNpAlGwQr006ljwMiM"",
      ""GSC最新!A:R""
    ),
    8,
    FALSE
  ),
  0
)
"),0.0)</f>
        <v>0</v>
      </c>
      <c r="S121" s="9">
        <f>IFERROR(__xludf.DUMMYFUNCTION("IFERROR(
  VLOOKUP(
    A121,
    IMPORTRANGE(
      ""1ZHMy3vVUd_0MrSduXTe1etBb1HNpAlGwQr006ljwMiM"",
      ""GSC最新!A:R""
    ),
    11,
    FALSE
  ),
  0
)
"),0.0)</f>
        <v>0</v>
      </c>
      <c r="T121" s="9">
        <f>IFERROR(__xludf.DUMMYFUNCTION("IFERROR(
  VLOOKUP(
    A121,
    IMPORTRANGE(
      ""1ZHMy3vVUd_0MrSduXTe1etBb1HNpAlGwQr006ljwMiM"",
      ""GSC最新!A:R""
    ),
    14,
    FALSE
  ),
  0
)
"),0.0)</f>
        <v>0</v>
      </c>
      <c r="U121" s="9">
        <f>IFERROR(__xludf.DUMMYFUNCTION("IFERROR(
  VLOOKUP(
    A121,
    IMPORTRANGE(
      ""1ZHMy3vVUd_0MrSduXTe1etBb1HNpAlGwQr006ljwMiM"",
      ""GSC最新!A:R""
    ),
    17,
    FALSE
  ),
  0
)
"),0.0)</f>
        <v>0</v>
      </c>
      <c r="V121" s="9">
        <f t="shared" ref="V121:W121" si="598">IFERROR(R121-T121,"-")</f>
        <v>0</v>
      </c>
      <c r="W121" s="9">
        <f t="shared" si="598"/>
        <v>0</v>
      </c>
      <c r="X121" s="65">
        <f>IFERROR(__xludf.DUMMYFUNCTION("IFERROR(
  VLOOKUP(
    A121,
    IMPORTRANGE(
      ""1ZHMy3vVUd_0MrSduXTe1etBb1HNpAlGwQr006ljwMiM"",
      ""GSC最新!A:R""
    ),
    9,
    FALSE
  ),
  0
)
"),3.3333333333333335)</f>
        <v>3.333333333</v>
      </c>
      <c r="Y121" s="65">
        <f>IFERROR(__xludf.DUMMYFUNCTION("IFERROR(
  VLOOKUP(
    A121,
    IMPORTRANGE(
      ""1ZHMy3vVUd_0MrSduXTe1etBb1HNpAlGwQr006ljwMiM"",
      ""GSC最新!A:R""
    ),
    12,
    FALSE
  ),
  0
)
"),4.0)</f>
        <v>4</v>
      </c>
      <c r="Z121" s="65" t="str">
        <f>IFERROR(__xludf.DUMMYFUNCTION("IFERROR(
  VLOOKUP(
    A121,
    IMPORTRANGE(
      ""1ZHMy3vVUd_0MrSduXTe1etBb1HNpAlGwQr006ljwMiM"",
      ""GSC最新!A:R""
    ),
    15,
    FALSE
  ),
  0
)
"),"")</f>
        <v/>
      </c>
      <c r="AA121" s="65">
        <f>IFERROR(__xludf.DUMMYFUNCTION("IFERROR(
  VLOOKUP(
    A121,
    IMPORTRANGE(
      ""1ZHMy3vVUd_0MrSduXTe1etBb1HNpAlGwQr006ljwMiM"",
      ""GSC最新!A:R""
    ),
    18,
    FALSE
  ),
  0
)
"),27.0)</f>
        <v>27</v>
      </c>
      <c r="AB121" s="65">
        <f t="shared" ref="AB121:AC121" si="599">X121-Z121</f>
        <v>3.333333333</v>
      </c>
      <c r="AC121" s="65">
        <f t="shared" si="599"/>
        <v>-23</v>
      </c>
      <c r="AD121" s="53">
        <f>IFERROR(__xludf.DUMMYFUNCTION("IFERROR(
  VLOOKUP(
    A121,
    IMPORTRANGE(
      ""1ZHMy3vVUd_0MrSduXTe1etBb1HNpAlGwQr006ljwMiM"",
      ""GSC最新!A:F""
    ),
    6,
    FALSE
  ),
  0
)
"),46081.0)</f>
        <v>46081</v>
      </c>
      <c r="AE121" s="54">
        <f>IFERROR(__xludf.DUMMYFUNCTION("IFERROR(
  VLOOKUP(
    A121,
    IMPORTRANGE(
      ""1SCYQd7_cobOYqT0r_F0IqD4tE4rYn5y8Eup4PJTH8es"",
      ""Snapshot!A:M""
    ),
    5,
    FALSE
  ),
  ""-""
)
"),5.0)</f>
        <v>5</v>
      </c>
      <c r="AF121" s="54">
        <f>IFERROR(__xludf.DUMMYFUNCTION("IFERROR(
  VLOOKUP(
    A121,
    IMPORTRANGE(
      ""1SCYQd7_cobOYqT0r_F0IqD4tE4rYn5y8Eup4PJTH8es"",
      ""Snapshot!A:M""
    ),
    6,
    FALSE
  ),
  0
)
"),3.0)</f>
        <v>3</v>
      </c>
      <c r="AG121" s="54">
        <f>IFERROR(__xludf.DUMMYFUNCTION("IFERROR(
  VLOOKUP(
    A121,
    IMPORTRANGE(
      ""1SCYQd7_cobOYqT0r_F0IqD4tE4rYn5y8Eup4PJTH8es"",
      ""Snapshot!A:M""
    ),
    7,
    FALSE
  ),
  0
)
"),1906.0)</f>
        <v>1906</v>
      </c>
      <c r="AH121" s="54">
        <f>IFERROR(__xludf.DUMMYFUNCTION("IFERROR(
  VLOOKUP(
    A121,
    IMPORTRANGE(
      ""1SCYQd7_cobOYqT0r_F0IqD4tE4rYn5y8Eup4PJTH8es"",
      ""Snapshot!A:M""
    ),
    8,
    FALSE
  ),
  0
)
"),1.0)</f>
        <v>1</v>
      </c>
      <c r="AI121" s="54">
        <f>IFERROR(__xludf.DUMMYFUNCTION("IFERROR(
  VLOOKUP(
    A121,
    IMPORTRANGE(
      ""1SCYQd7_cobOYqT0r_F0IqD4tE4rYn5y8Eup4PJTH8es"",
      ""Snapshot!A:M""
    ),
    9,
    FALSE
  ),
  0
)
"),4.0)</f>
        <v>4</v>
      </c>
      <c r="AJ121" s="54">
        <f>IFERROR(__xludf.DUMMYFUNCTION("IFERROR(
  VLOOKUP(
    A121,
    IMPORTRANGE(
      ""1SCYQd7_cobOYqT0r_F0IqD4tE4rYn5y8Eup4PJTH8es"",
      ""Snapshot!A:M""
    ),
    13,
    FALSE
  ),
  0
)
"),1.0)</f>
        <v>1</v>
      </c>
      <c r="AK121" s="49">
        <f t="shared" ref="AK121:AL121" si="600">LEN(C121)</f>
        <v>61</v>
      </c>
      <c r="AL121" s="49">
        <f t="shared" si="600"/>
        <v>55</v>
      </c>
    </row>
    <row r="122">
      <c r="A122" s="3" t="s">
        <v>1206</v>
      </c>
      <c r="B122" s="1" t="str">
        <f>IFERROR(__xludf.DUMMYFUNCTION("IFERROR(
  VLOOKUP(
    A122,
    IMPORTRANGE(
      ""1ZygntHC1J6IxzKbTidmOyf5nUyW4GCLurHCjexrLm_o"",
      ""HTMLキャッシュ!A:F""
    ),
    2,
    FALSE
  ),
  0
)
"),"NW")</f>
        <v>NW</v>
      </c>
      <c r="C122" s="1" t="str">
        <f>IFERROR(__xludf.DUMMYFUNCTION("IFERROR(
  VLOOKUP(
    A122,
    IMPORTRANGE(
      ""1ZygntHC1J6IxzKbTidmOyf5nUyW4GCLurHCjexrLm_o"",
      ""HTMLキャッシュ!A:F""
    ),
    5,
    FALSE
  ),
  0
)
"),"「英語教室サポート」開校いたします！ - 新宿区四谷の英語専門塾「英語教室『サポート』」～英語は別に怖くない！～")</f>
        <v>「英語教室サポート」開校いたします！ - 新宿区四谷の英語専門塾「英語教室『サポート』」～英語は別に怖くない！～</v>
      </c>
      <c r="D122" s="1" t="str">
        <f>IFERROR(__xludf.DUMMYFUNCTION("IFERROR(
  VLOOKUP(
    A122,
    IMPORTRANGE(
      ""1ZygntHC1J6IxzKbTidmOyf5nUyW4GCLurHCjexrLm_o        "",
      ""HTMLキャッシュ!A:F""
    ),
    6,
    FALSE
  ),
  0
)
"),"この度、「英語教室サポート」を開校いたします。 正確な英文法の知識を身につけ、それを論理的に当てはめて英文を読")</f>
        <v>この度、「英語教室サポート」を開校いたします。 正確な英文法の知識を身につけ、それを論理的に当てはめて英文を読</v>
      </c>
      <c r="E122" s="32">
        <f>IFERROR(__xludf.DUMMYFUNCTION("IFERROR(
  VLOOKUP(
    A122,
    IMPORTRANGE(
      ""1ZygntHC1J6IxzKbTidmOyf5nUyW4GCLurHCjexrLm_o        "",
      ""HTMLキャッシュ!A:F""
    ),
    3,
    FALSE
  ),
  0
)
"),44292.451157407406)</f>
        <v>44292.45116</v>
      </c>
      <c r="F122" s="49">
        <f>IFERROR(__xludf.DUMMYFUNCTION("IFERROR(
  VLOOKUP(
    A122,
    IMPORTRANGE(
      ""1ZHMy3vVUd_0MrSduXTe1etBb1HNpAlGwQr006ljwMiM"",
      ""GSC最新!A:F""
    ),
    2,
    FALSE
  ),
  0
)
"),0.0)</f>
        <v>0</v>
      </c>
      <c r="G122" s="49">
        <f>IFERROR(__xludf.DUMMYFUNCTION("IFERROR(
  VLOOKUP(
    A122,
    IMPORTRANGE(
      ""1ZHMy3vVUd_0MrSduXTe1etBb1HNpAlGwQr006ljwMiM"",
      ""GSC最新!A:F""
    ),
    3,
    FALSE
  ),
  0
)
"),0.0)</f>
        <v>0</v>
      </c>
      <c r="H122" s="49">
        <f>IFERROR(__xludf.DUMMYFUNCTION("IFERROR(
  VLOOKUP(
    A122,
    IMPORTRANGE(
      ""1ZHMy3vVUd_0MrSduXTe1etBb1HNpAlGwQr006ljwMiM"",
      ""GSC最新!A:F""
    ),
    4,
    FALSE
  ),
  0
)
"),0.0)</f>
        <v>0</v>
      </c>
      <c r="I122" s="49">
        <f>IFERROR(__xludf.DUMMYFUNCTION("IFERROR(
  VLOOKUP(
    A122,
    IMPORTRANGE(
      ""1ZHMy3vVUd_0MrSduXTe1etBb1HNpAlGwQr006ljwMiM"",
      ""GSC最新!A:F""
    ),
    5,
    FALSE
  ),
  0
)
"),0.0)</f>
        <v>0</v>
      </c>
      <c r="J122" s="50" t="str">
        <f t="shared" ref="J122:K122" si="601">IFERROR(F122/H122,"-")</f>
        <v>-</v>
      </c>
      <c r="K122" s="50" t="str">
        <f t="shared" si="601"/>
        <v>-</v>
      </c>
      <c r="L122" s="6">
        <f>IFERROR(__xludf.DUMMYFUNCTION("IFERROR(
  VLOOKUP(
    A122,
    IMPORTRANGE(
      ""1ZHMy3vVUd_0MrSduXTe1etBb1HNpAlGwQr006ljwMiM"",
      ""GSC最新!A:R""
    ),
    7,
    FALSE
  ),
  0
)
"),0.0)</f>
        <v>0</v>
      </c>
      <c r="M122" s="6">
        <f>IFERROR(__xludf.DUMMYFUNCTION("IFERROR(
  VLOOKUP(
    A122,
    IMPORTRANGE(
      ""1ZHMy3vVUd_0MrSduXTe1etBb1HNpAlGwQr006ljwMiM"",
      ""GSC最新!A:R""
    ),
    10,
    FALSE
  ),
  0
)
"),2.0)</f>
        <v>2</v>
      </c>
      <c r="N122" s="6">
        <f>IFERROR(__xludf.DUMMYFUNCTION("IFERROR(
  VLOOKUP(
    A122,
    IMPORTRANGE(
      ""1ZHMy3vVUd_0MrSduXTe1etBb1HNpAlGwQr006ljwMiM"",
      ""GSC最新!A:R""
    ),
    13,
    FALSE
  ),
  0
)
"),0.0)</f>
        <v>0</v>
      </c>
      <c r="O122" s="6">
        <f>IFERROR(__xludf.DUMMYFUNCTION("IFERROR(
  VLOOKUP(
    A122,
    IMPORTRANGE(
      ""1ZHMy3vVUd_0MrSduXTe1etBb1HNpAlGwQr006ljwMiM"",
      ""GSC最新!A:R""
    ),
    16,
    FALSE
  ),
  0
)
"),0.0)</f>
        <v>0</v>
      </c>
      <c r="P122" s="51" t="str">
        <f t="shared" ref="P122:Q122" si="602">IFERROR(L122/N122,"-")</f>
        <v>-</v>
      </c>
      <c r="Q122" s="51" t="str">
        <f t="shared" si="602"/>
        <v>-</v>
      </c>
      <c r="R122" s="9">
        <f>IFERROR(__xludf.DUMMYFUNCTION("IFERROR(
  VLOOKUP(
    A122,
    IMPORTRANGE(
      ""1ZHMy3vVUd_0MrSduXTe1etBb1HNpAlGwQr006ljwMiM"",
      ""GSC最新!A:R""
    ),
    8,
    FALSE
  ),
  0
)
"),0.0)</f>
        <v>0</v>
      </c>
      <c r="S122" s="9">
        <f>IFERROR(__xludf.DUMMYFUNCTION("IFERROR(
  VLOOKUP(
    A122,
    IMPORTRANGE(
      ""1ZHMy3vVUd_0MrSduXTe1etBb1HNpAlGwQr006ljwMiM"",
      ""GSC最新!A:R""
    ),
    11,
    FALSE
  ),
  0
)
"),0.0)</f>
        <v>0</v>
      </c>
      <c r="T122" s="9">
        <f>IFERROR(__xludf.DUMMYFUNCTION("IFERROR(
  VLOOKUP(
    A122,
    IMPORTRANGE(
      ""1ZHMy3vVUd_0MrSduXTe1etBb1HNpAlGwQr006ljwMiM"",
      ""GSC最新!A:R""
    ),
    14,
    FALSE
  ),
  0
)
"),0.0)</f>
        <v>0</v>
      </c>
      <c r="U122" s="9">
        <f>IFERROR(__xludf.DUMMYFUNCTION("IFERROR(
  VLOOKUP(
    A122,
    IMPORTRANGE(
      ""1ZHMy3vVUd_0MrSduXTe1etBb1HNpAlGwQr006ljwMiM"",
      ""GSC最新!A:R""
    ),
    17,
    FALSE
  ),
  0
)
"),0.0)</f>
        <v>0</v>
      </c>
      <c r="V122" s="9">
        <f t="shared" ref="V122:W122" si="603">IFERROR(R122-T122,"-")</f>
        <v>0</v>
      </c>
      <c r="W122" s="9">
        <f t="shared" si="603"/>
        <v>0</v>
      </c>
      <c r="X122" s="65" t="str">
        <f>IFERROR(__xludf.DUMMYFUNCTION("IFERROR(
  VLOOKUP(
    A122,
    IMPORTRANGE(
      ""1ZHMy3vVUd_0MrSduXTe1etBb1HNpAlGwQr006ljwMiM"",
      ""GSC最新!A:R""
    ),
    9,
    FALSE
  ),
  0
)
"),"")</f>
        <v/>
      </c>
      <c r="Y122" s="65">
        <f>IFERROR(__xludf.DUMMYFUNCTION("IFERROR(
  VLOOKUP(
    A122,
    IMPORTRANGE(
      ""1ZHMy3vVUd_0MrSduXTe1etBb1HNpAlGwQr006ljwMiM"",
      ""GSC最新!A:R""
    ),
    12,
    FALSE
  ),
  0
)
"),9.5)</f>
        <v>9.5</v>
      </c>
      <c r="Z122" s="65" t="str">
        <f>IFERROR(__xludf.DUMMYFUNCTION("IFERROR(
  VLOOKUP(
    A122,
    IMPORTRANGE(
      ""1ZHMy3vVUd_0MrSduXTe1etBb1HNpAlGwQr006ljwMiM"",
      ""GSC最新!A:R""
    ),
    15,
    FALSE
  ),
  0
)
"),"")</f>
        <v/>
      </c>
      <c r="AA122" s="65" t="str">
        <f>IFERROR(__xludf.DUMMYFUNCTION("IFERROR(
  VLOOKUP(
    A122,
    IMPORTRANGE(
      ""1ZHMy3vVUd_0MrSduXTe1etBb1HNpAlGwQr006ljwMiM"",
      ""GSC最新!A:R""
    ),
    18,
    FALSE
  ),
  0
)
"),"")</f>
        <v/>
      </c>
      <c r="AB122" s="65">
        <f t="shared" ref="AB122:AC122" si="604">X122-Z122</f>
        <v>0</v>
      </c>
      <c r="AC122" s="65">
        <f t="shared" si="604"/>
        <v>9.5</v>
      </c>
      <c r="AD122" s="53">
        <f>IFERROR(__xludf.DUMMYFUNCTION("IFERROR(
  VLOOKUP(
    A122,
    IMPORTRANGE(
      ""1ZHMy3vVUd_0MrSduXTe1etBb1HNpAlGwQr006ljwMiM"",
      ""GSC最新!A:F""
    ),
    6,
    FALSE
  ),
  0
)
"),46081.0)</f>
        <v>46081</v>
      </c>
      <c r="AE122" s="54">
        <f>IFERROR(__xludf.DUMMYFUNCTION("IFERROR(
  VLOOKUP(
    A122,
    IMPORTRANGE(
      ""1SCYQd7_cobOYqT0r_F0IqD4tE4rYn5y8Eup4PJTH8es"",
      ""Snapshot!A:M""
    ),
    5,
    FALSE
  ),
  ""-""
)
"),0.0)</f>
        <v>0</v>
      </c>
      <c r="AF122" s="54">
        <f>IFERROR(__xludf.DUMMYFUNCTION("IFERROR(
  VLOOKUP(
    A122,
    IMPORTRANGE(
      ""1SCYQd7_cobOYqT0r_F0IqD4tE4rYn5y8Eup4PJTH8es"",
      ""Snapshot!A:M""
    ),
    6,
    FALSE
  ),
  0
)
"),0.0)</f>
        <v>0</v>
      </c>
      <c r="AG122" s="54">
        <f>IFERROR(__xludf.DUMMYFUNCTION("IFERROR(
  VLOOKUP(
    A122,
    IMPORTRANGE(
      ""1SCYQd7_cobOYqT0r_F0IqD4tE4rYn5y8Eup4PJTH8es"",
      ""Snapshot!A:M""
    ),
    7,
    FALSE
  ),
  0
)
"),131.0)</f>
        <v>131</v>
      </c>
      <c r="AH122" s="54">
        <f>IFERROR(__xludf.DUMMYFUNCTION("IFERROR(
  VLOOKUP(
    A122,
    IMPORTRANGE(
      ""1SCYQd7_cobOYqT0r_F0IqD4tE4rYn5y8Eup4PJTH8es"",
      ""Snapshot!A:M""
    ),
    8,
    FALSE
  ),
  0
)
"),0.0)</f>
        <v>0</v>
      </c>
      <c r="AI122" s="54">
        <f>IFERROR(__xludf.DUMMYFUNCTION("IFERROR(
  VLOOKUP(
    A122,
    IMPORTRANGE(
      ""1SCYQd7_cobOYqT0r_F0IqD4tE4rYn5y8Eup4PJTH8es"",
      ""Snapshot!A:M""
    ),
    9,
    FALSE
  ),
  0
)
"),0.0)</f>
        <v>0</v>
      </c>
      <c r="AJ122" s="54">
        <f>IFERROR(__xludf.DUMMYFUNCTION("IFERROR(
  VLOOKUP(
    A122,
    IMPORTRANGE(
      ""1SCYQd7_cobOYqT0r_F0IqD4tE4rYn5y8Eup4PJTH8es"",
      ""Snapshot!A:M""
    ),
    13,
    FALSE
  ),
  0
)
"),1.0)</f>
        <v>1</v>
      </c>
      <c r="AK122" s="49">
        <f t="shared" ref="AK122:AL122" si="605">LEN(C122)</f>
        <v>56</v>
      </c>
      <c r="AL122" s="49">
        <f t="shared" si="605"/>
        <v>55</v>
      </c>
    </row>
    <row r="123">
      <c r="A123" s="1" t="s">
        <v>229</v>
      </c>
      <c r="B123" s="1" t="str">
        <f>IFERROR(__xludf.DUMMYFUNCTION("IFERROR(
  VLOOKUP(
    A123,
    IMPORTRANGE(
      ""1ZygntHC1J6IxzKbTidmOyf5nUyW4GCLurHCjexrLm_o"",
      ""HTMLキャッシュ!A:F""
    ),
    2,
    FALSE
  ),
  0
)
"),"-")</f>
        <v>-</v>
      </c>
      <c r="C123" s="1" t="str">
        <f>IFERROR(__xludf.DUMMYFUNCTION("IFERROR(
  VLOOKUP(
    A123,
    IMPORTRANGE(
      ""1ZygntHC1J6IxzKbTidmOyf5nUyW4GCLurHCjexrLm_o"",
      ""HTMLキャッシュ!A:F""
    ),
    5,
    FALSE
  ),
  0
)
"),"今さら聞けない？英語の基礎 - 新宿区四谷の英語専門塾「英語教室『サポート』」～英語は別に怖くない！～")</f>
        <v>今さら聞けない？英語の基礎 - 新宿区四谷の英語専門塾「英語教室『サポート』」～英語は別に怖くない！～</v>
      </c>
      <c r="D123" s="1" t="str">
        <f>IFERROR(__xludf.DUMMYFUNCTION("IFERROR(
  VLOOKUP(
    A123,
    IMPORTRANGE(
      ""1ZygntHC1J6IxzKbTidmOyf5nUyW4GCLurHCjexrLm_o        "",
      ""HTMLキャッシュ!A:F""
    ),
    6,
    FALSE
  ),
  0
)
"),"今さら聞けない？英語の基礎 について 新宿区四谷の英語専門塾「英語教室『サポート』」～英語は別に怖くない！～ 完全１対１の個別指導で生徒さんのニーズに応じて、適切な授業をご提案いたします。")</f>
        <v>今さら聞けない？英語の基礎 について 新宿区四谷の英語専門塾「英語教室『サポート』」～英語は別に怖くない！～ 完全１対１の個別指導で生徒さんのニーズに応じて、適切な授業をご提案いたします。</v>
      </c>
      <c r="E123" s="32">
        <f>IFERROR(__xludf.DUMMYFUNCTION("IFERROR(
  VLOOKUP(
    A123,
    IMPORTRANGE(
      ""1ZygntHC1J6IxzKbTidmOyf5nUyW4GCLurHCjexrLm_o        "",
      ""HTMLキャッシュ!A:F""
    ),
    3,
    FALSE
  ),
  0
)
"),25569.375)</f>
        <v>25569.375</v>
      </c>
      <c r="F123" s="49">
        <f>IFERROR(__xludf.DUMMYFUNCTION("IFERROR(
  VLOOKUP(
    A123,
    IMPORTRANGE(
      ""1ZHMy3vVUd_0MrSduXTe1etBb1HNpAlGwQr006ljwMiM"",
      ""GSC最新!A:F""
    ),
    2,
    FALSE
  ),
  0
)
"),0.0)</f>
        <v>0</v>
      </c>
      <c r="G123" s="49">
        <f>IFERROR(__xludf.DUMMYFUNCTION("IFERROR(
  VLOOKUP(
    A123,
    IMPORTRANGE(
      ""1ZHMy3vVUd_0MrSduXTe1etBb1HNpAlGwQr006ljwMiM"",
      ""GSC最新!A:F""
    ),
    3,
    FALSE
  ),
  0
)
"),0.0)</f>
        <v>0</v>
      </c>
      <c r="H123" s="49">
        <f>IFERROR(__xludf.DUMMYFUNCTION("IFERROR(
  VLOOKUP(
    A123,
    IMPORTRANGE(
      ""1ZHMy3vVUd_0MrSduXTe1etBb1HNpAlGwQr006ljwMiM"",
      ""GSC最新!A:F""
    ),
    4,
    FALSE
  ),
  0
)
"),0.0)</f>
        <v>0</v>
      </c>
      <c r="I123" s="49">
        <f>IFERROR(__xludf.DUMMYFUNCTION("IFERROR(
  VLOOKUP(
    A123,
    IMPORTRANGE(
      ""1ZHMy3vVUd_0MrSduXTe1etBb1HNpAlGwQr006ljwMiM"",
      ""GSC最新!A:F""
    ),
    5,
    FALSE
  ),
  0
)
"),0.0)</f>
        <v>0</v>
      </c>
      <c r="J123" s="50" t="str">
        <f t="shared" ref="J123:K123" si="606">IFERROR(F123/H123,"-")</f>
        <v>-</v>
      </c>
      <c r="K123" s="50" t="str">
        <f t="shared" si="606"/>
        <v>-</v>
      </c>
      <c r="L123" s="6">
        <f>IFERROR(__xludf.DUMMYFUNCTION("IFERROR(
  VLOOKUP(
    A123,
    IMPORTRANGE(
      ""1ZHMy3vVUd_0MrSduXTe1etBb1HNpAlGwQr006ljwMiM"",
      ""GSC最新!A:R""
    ),
    7,
    FALSE
  ),
  0
)
"),0.0)</f>
        <v>0</v>
      </c>
      <c r="M123" s="6">
        <f>IFERROR(__xludf.DUMMYFUNCTION("IFERROR(
  VLOOKUP(
    A123,
    IMPORTRANGE(
      ""1ZHMy3vVUd_0MrSduXTe1etBb1HNpAlGwQr006ljwMiM"",
      ""GSC最新!A:R""
    ),
    10,
    FALSE
  ),
  0
)
"),1.0)</f>
        <v>1</v>
      </c>
      <c r="N123" s="6">
        <f>IFERROR(__xludf.DUMMYFUNCTION("IFERROR(
  VLOOKUP(
    A123,
    IMPORTRANGE(
      ""1ZHMy3vVUd_0MrSduXTe1etBb1HNpAlGwQr006ljwMiM"",
      ""GSC最新!A:R""
    ),
    13,
    FALSE
  ),
  0
)
"),0.0)</f>
        <v>0</v>
      </c>
      <c r="O123" s="6">
        <f>IFERROR(__xludf.DUMMYFUNCTION("IFERROR(
  VLOOKUP(
    A123,
    IMPORTRANGE(
      ""1ZHMy3vVUd_0MrSduXTe1etBb1HNpAlGwQr006ljwMiM"",
      ""GSC最新!A:R""
    ),
    16,
    FALSE
  ),
  0
)
"),13.0)</f>
        <v>13</v>
      </c>
      <c r="P123" s="51" t="str">
        <f t="shared" ref="P123:Q123" si="607">IFERROR(L123/N123,"-")</f>
        <v>-</v>
      </c>
      <c r="Q123" s="51">
        <f t="shared" si="607"/>
        <v>0.07692307692</v>
      </c>
      <c r="R123" s="9">
        <f>IFERROR(__xludf.DUMMYFUNCTION("IFERROR(
  VLOOKUP(
    A123,
    IMPORTRANGE(
      ""1ZHMy3vVUd_0MrSduXTe1etBb1HNpAlGwQr006ljwMiM"",
      ""GSC最新!A:R""
    ),
    8,
    FALSE
  ),
  0
)
"),0.0)</f>
        <v>0</v>
      </c>
      <c r="S123" s="9">
        <f>IFERROR(__xludf.DUMMYFUNCTION("IFERROR(
  VLOOKUP(
    A123,
    IMPORTRANGE(
      ""1ZHMy3vVUd_0MrSduXTe1etBb1HNpAlGwQr006ljwMiM"",
      ""GSC最新!A:R""
    ),
    11,
    FALSE
  ),
  0
)
"),0.0)</f>
        <v>0</v>
      </c>
      <c r="T123" s="9">
        <f>IFERROR(__xludf.DUMMYFUNCTION("IFERROR(
  VLOOKUP(
    A123,
    IMPORTRANGE(
      ""1ZHMy3vVUd_0MrSduXTe1etBb1HNpAlGwQr006ljwMiM"",
      ""GSC最新!A:R""
    ),
    14,
    FALSE
  ),
  0
)
"),0.0)</f>
        <v>0</v>
      </c>
      <c r="U123" s="9">
        <f>IFERROR(__xludf.DUMMYFUNCTION("IFERROR(
  VLOOKUP(
    A123,
    IMPORTRANGE(
      ""1ZHMy3vVUd_0MrSduXTe1etBb1HNpAlGwQr006ljwMiM"",
      ""GSC最新!A:R""
    ),
    17,
    FALSE
  ),
  0
)
"),0.0)</f>
        <v>0</v>
      </c>
      <c r="V123" s="9">
        <f t="shared" ref="V123:W123" si="608">IFERROR(R123-T123,"-")</f>
        <v>0</v>
      </c>
      <c r="W123" s="9">
        <f t="shared" si="608"/>
        <v>0</v>
      </c>
      <c r="X123" s="65" t="str">
        <f>IFERROR(__xludf.DUMMYFUNCTION("IFERROR(
  VLOOKUP(
    A123,
    IMPORTRANGE(
      ""1ZHMy3vVUd_0MrSduXTe1etBb1HNpAlGwQr006ljwMiM"",
      ""GSC最新!A:R""
    ),
    9,
    FALSE
  ),
  0
)
"),"")</f>
        <v/>
      </c>
      <c r="Y123" s="65">
        <f>IFERROR(__xludf.DUMMYFUNCTION("IFERROR(
  VLOOKUP(
    A123,
    IMPORTRANGE(
      ""1ZHMy3vVUd_0MrSduXTe1etBb1HNpAlGwQr006ljwMiM"",
      ""GSC最新!A:R""
    ),
    12,
    FALSE
  ),
  0
)
"),1.0)</f>
        <v>1</v>
      </c>
      <c r="Z123" s="65" t="str">
        <f>IFERROR(__xludf.DUMMYFUNCTION("IFERROR(
  VLOOKUP(
    A123,
    IMPORTRANGE(
      ""1ZHMy3vVUd_0MrSduXTe1etBb1HNpAlGwQr006ljwMiM"",
      ""GSC最新!A:R""
    ),
    15,
    FALSE
  ),
  0
)
"),"")</f>
        <v/>
      </c>
      <c r="AA123" s="65">
        <f>IFERROR(__xludf.DUMMYFUNCTION("IFERROR(
  VLOOKUP(
    A123,
    IMPORTRANGE(
      ""1ZHMy3vVUd_0MrSduXTe1etBb1HNpAlGwQr006ljwMiM"",
      ""GSC最新!A:R""
    ),
    18,
    FALSE
  ),
  0
)
"),19.846153846153847)</f>
        <v>19.84615385</v>
      </c>
      <c r="AB123" s="65">
        <f t="shared" ref="AB123:AC123" si="609">X123-Z123</f>
        <v>0</v>
      </c>
      <c r="AC123" s="65">
        <f t="shared" si="609"/>
        <v>-18.84615385</v>
      </c>
      <c r="AD123" s="53">
        <f>IFERROR(__xludf.DUMMYFUNCTION("IFERROR(
  VLOOKUP(
    A123,
    IMPORTRANGE(
      ""1ZHMy3vVUd_0MrSduXTe1etBb1HNpAlGwQr006ljwMiM"",
      ""GSC最新!A:F""
    ),
    6,
    FALSE
  ),
  0
)
"),46081.0)</f>
        <v>46081</v>
      </c>
      <c r="AE123" s="54">
        <f>IFERROR(__xludf.DUMMYFUNCTION("IFERROR(
  VLOOKUP(
    A123,
    IMPORTRANGE(
      ""1SCYQd7_cobOYqT0r_F0IqD4tE4rYn5y8Eup4PJTH8es"",
      ""Snapshot!A:M""
    ),
    5,
    FALSE
  ),
  ""-""
)
"),0.0)</f>
        <v>0</v>
      </c>
      <c r="AF123" s="54">
        <f>IFERROR(__xludf.DUMMYFUNCTION("IFERROR(
  VLOOKUP(
    A123,
    IMPORTRANGE(
      ""1SCYQd7_cobOYqT0r_F0IqD4tE4rYn5y8Eup4PJTH8es"",
      ""Snapshot!A:M""
    ),
    6,
    FALSE
  ),
  0
)
"),0.0)</f>
        <v>0</v>
      </c>
      <c r="AG123" s="54">
        <f>IFERROR(__xludf.DUMMYFUNCTION("IFERROR(
  VLOOKUP(
    A123,
    IMPORTRANGE(
      ""1SCYQd7_cobOYqT0r_F0IqD4tE4rYn5y8Eup4PJTH8es"",
      ""Snapshot!A:M""
    ),
    7,
    FALSE
  ),
  0
)
"),0.0)</f>
        <v>0</v>
      </c>
      <c r="AH123" s="54">
        <f>IFERROR(__xludf.DUMMYFUNCTION("IFERROR(
  VLOOKUP(
    A123,
    IMPORTRANGE(
      ""1SCYQd7_cobOYqT0r_F0IqD4tE4rYn5y8Eup4PJTH8es"",
      ""Snapshot!A:M""
    ),
    8,
    FALSE
  ),
  0
)
"),0.0)</f>
        <v>0</v>
      </c>
      <c r="AI123" s="54">
        <f>IFERROR(__xludf.DUMMYFUNCTION("IFERROR(
  VLOOKUP(
    A123,
    IMPORTRANGE(
      ""1SCYQd7_cobOYqT0r_F0IqD4tE4rYn5y8Eup4PJTH8es"",
      ""Snapshot!A:M""
    ),
    9,
    FALSE
  ),
  0
)
"),0.0)</f>
        <v>0</v>
      </c>
      <c r="AJ123" s="54">
        <f>IFERROR(__xludf.DUMMYFUNCTION("IFERROR(
  VLOOKUP(
    A123,
    IMPORTRANGE(
      ""1SCYQd7_cobOYqT0r_F0IqD4tE4rYn5y8Eup4PJTH8es"",
      ""Snapshot!A:M""
    ),
    13,
    FALSE
  ),
  0
)
"),1.0)</f>
        <v>1</v>
      </c>
      <c r="AK123" s="49">
        <f t="shared" ref="AK123:AL123" si="610">LEN(C123)</f>
        <v>51</v>
      </c>
      <c r="AL123" s="49">
        <f t="shared" si="610"/>
        <v>94</v>
      </c>
    </row>
    <row r="124">
      <c r="A124" s="1" t="s">
        <v>1207</v>
      </c>
      <c r="B124" s="1" t="str">
        <f>IFERROR(__xludf.DUMMYFUNCTION("IFERROR(
  VLOOKUP(
    A124,
    IMPORTRANGE(
      ""1ZygntHC1J6IxzKbTidmOyf5nUyW4GCLurHCjexrLm_o"",
      ""HTMLキャッシュ!A:F""
    ),
    2,
    FALSE
  ),
  0
)
"),"NW")</f>
        <v>NW</v>
      </c>
      <c r="C124" s="1" t="str">
        <f>IFERROR(__xludf.DUMMYFUNCTION("IFERROR(
  VLOOKUP(
    A124,
    IMPORTRANGE(
      ""1ZygntHC1J6IxzKbTidmOyf5nUyW4GCLurHCjexrLm_o"",
      ""HTMLキャッシュ!A:F""
    ),
    5,
    FALSE
  ),
  0
)
"),"2023年度春期講習開催のお知らせ - 新宿区四谷の英語専門塾「英語教室『サポート』」～英語は別に怖くない！～")</f>
        <v>2023年度春期講習開催のお知らせ - 新宿区四谷の英語専門塾「英語教室『サポート』」～英語は別に怖くない！～</v>
      </c>
      <c r="D124" s="1" t="str">
        <f>IFERROR(__xludf.DUMMYFUNCTION("IFERROR(
  VLOOKUP(
    A124,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24" s="32">
        <f>IFERROR(__xludf.DUMMYFUNCTION("IFERROR(
  VLOOKUP(
    A124,
    IMPORTRANGE(
      ""1ZygntHC1J6IxzKbTidmOyf5nUyW4GCLurHCjexrLm_o        "",
      ""HTMLキャッシュ!A:F""
    ),
    3,
    FALSE
  ),
  0
)
"),46015.73069444444)</f>
        <v>46015.73069</v>
      </c>
      <c r="F124" s="49">
        <f>IFERROR(__xludf.DUMMYFUNCTION("IFERROR(
  VLOOKUP(
    A124,
    IMPORTRANGE(
      ""1ZHMy3vVUd_0MrSduXTe1etBb1HNpAlGwQr006ljwMiM"",
      ""GSC最新!A:F""
    ),
    2,
    FALSE
  ),
  0
)
"),0.0)</f>
        <v>0</v>
      </c>
      <c r="G124" s="49">
        <f>IFERROR(__xludf.DUMMYFUNCTION("IFERROR(
  VLOOKUP(
    A124,
    IMPORTRANGE(
      ""1ZHMy3vVUd_0MrSduXTe1etBb1HNpAlGwQr006ljwMiM"",
      ""GSC最新!A:F""
    ),
    3,
    FALSE
  ),
  0
)
"),0.0)</f>
        <v>0</v>
      </c>
      <c r="H124" s="49">
        <f>IFERROR(__xludf.DUMMYFUNCTION("IFERROR(
  VLOOKUP(
    A124,
    IMPORTRANGE(
      ""1ZHMy3vVUd_0MrSduXTe1etBb1HNpAlGwQr006ljwMiM"",
      ""GSC最新!A:F""
    ),
    4,
    FALSE
  ),
  0
)
"),0.0)</f>
        <v>0</v>
      </c>
      <c r="I124" s="49">
        <f>IFERROR(__xludf.DUMMYFUNCTION("IFERROR(
  VLOOKUP(
    A124,
    IMPORTRANGE(
      ""1ZHMy3vVUd_0MrSduXTe1etBb1HNpAlGwQr006ljwMiM"",
      ""GSC最新!A:F""
    ),
    5,
    FALSE
  ),
  0
)
"),0.0)</f>
        <v>0</v>
      </c>
      <c r="J124" s="50" t="str">
        <f t="shared" ref="J124:K124" si="611">IFERROR(F124/H124,"-")</f>
        <v>-</v>
      </c>
      <c r="K124" s="50" t="str">
        <f t="shared" si="611"/>
        <v>-</v>
      </c>
      <c r="L124" s="6">
        <f>IFERROR(__xludf.DUMMYFUNCTION("IFERROR(
  VLOOKUP(
    A124,
    IMPORTRANGE(
      ""1ZHMy3vVUd_0MrSduXTe1etBb1HNpAlGwQr006ljwMiM"",
      ""GSC最新!A:R""
    ),
    7,
    FALSE
  ),
  0
)
"),0.0)</f>
        <v>0</v>
      </c>
      <c r="M124" s="6">
        <f>IFERROR(__xludf.DUMMYFUNCTION("IFERROR(
  VLOOKUP(
    A124,
    IMPORTRANGE(
      ""1ZHMy3vVUd_0MrSduXTe1etBb1HNpAlGwQr006ljwMiM"",
      ""GSC最新!A:R""
    ),
    10,
    FALSE
  ),
  0
)
"),1.0)</f>
        <v>1</v>
      </c>
      <c r="N124" s="6">
        <f>IFERROR(__xludf.DUMMYFUNCTION("IFERROR(
  VLOOKUP(
    A124,
    IMPORTRANGE(
      ""1ZHMy3vVUd_0MrSduXTe1etBb1HNpAlGwQr006ljwMiM"",
      ""GSC最新!A:R""
    ),
    13,
    FALSE
  ),
  0
)
"),2.0)</f>
        <v>2</v>
      </c>
      <c r="O124" s="6">
        <f>IFERROR(__xludf.DUMMYFUNCTION("IFERROR(
  VLOOKUP(
    A124,
    IMPORTRANGE(
      ""1ZHMy3vVUd_0MrSduXTe1etBb1HNpAlGwQr006ljwMiM"",
      ""GSC最新!A:R""
    ),
    16,
    FALSE
  ),
  0
)
"),12.0)</f>
        <v>12</v>
      </c>
      <c r="P124" s="51">
        <f t="shared" ref="P124:Q124" si="612">IFERROR(L124/N124,"-")</f>
        <v>0</v>
      </c>
      <c r="Q124" s="51">
        <f t="shared" si="612"/>
        <v>0.08333333333</v>
      </c>
      <c r="R124" s="9">
        <f>IFERROR(__xludf.DUMMYFUNCTION("IFERROR(
  VLOOKUP(
    A124,
    IMPORTRANGE(
      ""1ZHMy3vVUd_0MrSduXTe1etBb1HNpAlGwQr006ljwMiM"",
      ""GSC最新!A:R""
    ),
    8,
    FALSE
  ),
  0
)
"),0.0)</f>
        <v>0</v>
      </c>
      <c r="S124" s="9">
        <f>IFERROR(__xludf.DUMMYFUNCTION("IFERROR(
  VLOOKUP(
    A124,
    IMPORTRANGE(
      ""1ZHMy3vVUd_0MrSduXTe1etBb1HNpAlGwQr006ljwMiM"",
      ""GSC最新!A:R""
    ),
    11,
    FALSE
  ),
  0
)
"),0.0)</f>
        <v>0</v>
      </c>
      <c r="T124" s="9">
        <f>IFERROR(__xludf.DUMMYFUNCTION("IFERROR(
  VLOOKUP(
    A124,
    IMPORTRANGE(
      ""1ZHMy3vVUd_0MrSduXTe1etBb1HNpAlGwQr006ljwMiM"",
      ""GSC最新!A:R""
    ),
    14,
    FALSE
  ),
  0
)
"),0.0)</f>
        <v>0</v>
      </c>
      <c r="U124" s="9">
        <f>IFERROR(__xludf.DUMMYFUNCTION("IFERROR(
  VLOOKUP(
    A124,
    IMPORTRANGE(
      ""1ZHMy3vVUd_0MrSduXTe1etBb1HNpAlGwQr006ljwMiM"",
      ""GSC最新!A:R""
    ),
    17,
    FALSE
  ),
  0
)
"),0.0)</f>
        <v>0</v>
      </c>
      <c r="V124" s="9">
        <f t="shared" ref="V124:W124" si="613">IFERROR(R124-T124,"-")</f>
        <v>0</v>
      </c>
      <c r="W124" s="9">
        <f t="shared" si="613"/>
        <v>0</v>
      </c>
      <c r="X124" s="65" t="str">
        <f>IFERROR(__xludf.DUMMYFUNCTION("IFERROR(
  VLOOKUP(
    A124,
    IMPORTRANGE(
      ""1ZHMy3vVUd_0MrSduXTe1etBb1HNpAlGwQr006ljwMiM"",
      ""GSC最新!A:R""
    ),
    9,
    FALSE
  ),
  0
)
"),"")</f>
        <v/>
      </c>
      <c r="Y124" s="65">
        <f>IFERROR(__xludf.DUMMYFUNCTION("IFERROR(
  VLOOKUP(
    A124,
    IMPORTRANGE(
      ""1ZHMy3vVUd_0MrSduXTe1etBb1HNpAlGwQr006ljwMiM"",
      ""GSC最新!A:R""
    ),
    12,
    FALSE
  ),
  0
)
"),5.0)</f>
        <v>5</v>
      </c>
      <c r="Z124" s="65">
        <f>IFERROR(__xludf.DUMMYFUNCTION("IFERROR(
  VLOOKUP(
    A124,
    IMPORTRANGE(
      ""1ZHMy3vVUd_0MrSduXTe1etBb1HNpAlGwQr006ljwMiM"",
      ""GSC最新!A:R""
    ),
    15,
    FALSE
  ),
  0
)
"),9.0)</f>
        <v>9</v>
      </c>
      <c r="AA124" s="65">
        <f>IFERROR(__xludf.DUMMYFUNCTION("IFERROR(
  VLOOKUP(
    A124,
    IMPORTRANGE(
      ""1ZHMy3vVUd_0MrSduXTe1etBb1HNpAlGwQr006ljwMiM"",
      ""GSC最新!A:R""
    ),
    18,
    FALSE
  ),
  0
)
"),36.916666666666664)</f>
        <v>36.91666667</v>
      </c>
      <c r="AB124" s="65">
        <f t="shared" ref="AB124:AC124" si="614">X124-Z124</f>
        <v>-9</v>
      </c>
      <c r="AC124" s="65">
        <f t="shared" si="614"/>
        <v>-31.91666667</v>
      </c>
      <c r="AD124" s="53">
        <f>IFERROR(__xludf.DUMMYFUNCTION("IFERROR(
  VLOOKUP(
    A124,
    IMPORTRANGE(
      ""1ZHMy3vVUd_0MrSduXTe1etBb1HNpAlGwQr006ljwMiM"",
      ""GSC最新!A:F""
    ),
    6,
    FALSE
  ),
  0
)
"),46081.0)</f>
        <v>46081</v>
      </c>
      <c r="AE124" s="54">
        <f>IFERROR(__xludf.DUMMYFUNCTION("IFERROR(
  VLOOKUP(
    A124,
    IMPORTRANGE(
      ""1SCYQd7_cobOYqT0r_F0IqD4tE4rYn5y8Eup4PJTH8es"",
      ""Snapshot!A:M""
    ),
    5,
    FALSE
  ),
  ""-""
)
"),0.0)</f>
        <v>0</v>
      </c>
      <c r="AF124" s="54">
        <f>IFERROR(__xludf.DUMMYFUNCTION("IFERROR(
  VLOOKUP(
    A124,
    IMPORTRANGE(
      ""1SCYQd7_cobOYqT0r_F0IqD4tE4rYn5y8Eup4PJTH8es"",
      ""Snapshot!A:M""
    ),
    6,
    FALSE
  ),
  0
)
"),0.0)</f>
        <v>0</v>
      </c>
      <c r="AG124" s="54">
        <f>IFERROR(__xludf.DUMMYFUNCTION("IFERROR(
  VLOOKUP(
    A124,
    IMPORTRANGE(
      ""1SCYQd7_cobOYqT0r_F0IqD4tE4rYn5y8Eup4PJTH8es"",
      ""Snapshot!A:M""
    ),
    7,
    FALSE
  ),
  0
)
"),499.0)</f>
        <v>499</v>
      </c>
      <c r="AH124" s="54">
        <f>IFERROR(__xludf.DUMMYFUNCTION("IFERROR(
  VLOOKUP(
    A124,
    IMPORTRANGE(
      ""1SCYQd7_cobOYqT0r_F0IqD4tE4rYn5y8Eup4PJTH8es"",
      ""Snapshot!A:M""
    ),
    8,
    FALSE
  ),
  0
)
"),2.0)</f>
        <v>2</v>
      </c>
      <c r="AI124" s="54">
        <f>IFERROR(__xludf.DUMMYFUNCTION("IFERROR(
  VLOOKUP(
    A124,
    IMPORTRANGE(
      ""1SCYQd7_cobOYqT0r_F0IqD4tE4rYn5y8Eup4PJTH8es"",
      ""Snapshot!A:M""
    ),
    9,
    FALSE
  ),
  0
)
"),0.0)</f>
        <v>0</v>
      </c>
      <c r="AJ124" s="54">
        <f>IFERROR(__xludf.DUMMYFUNCTION("IFERROR(
  VLOOKUP(
    A124,
    IMPORTRANGE(
      ""1SCYQd7_cobOYqT0r_F0IqD4tE4rYn5y8Eup4PJTH8es"",
      ""Snapshot!A:M""
    ),
    13,
    FALSE
  ),
  0
)
"),1.0)</f>
        <v>1</v>
      </c>
      <c r="AK124" s="49">
        <f t="shared" ref="AK124:AL124" si="615">LEN(C124)</f>
        <v>55</v>
      </c>
      <c r="AL124" s="49">
        <f t="shared" si="615"/>
        <v>55</v>
      </c>
    </row>
    <row r="125">
      <c r="A125" s="1" t="s">
        <v>1208</v>
      </c>
      <c r="B125" s="1" t="str">
        <f>IFERROR(__xludf.DUMMYFUNCTION("IFERROR(
  VLOOKUP(
    A125,
    IMPORTRANGE(
      ""1ZygntHC1J6IxzKbTidmOyf5nUyW4GCLurHCjexrLm_o"",
      ""HTMLキャッシュ!A:F""
    ),
    2,
    FALSE
  ),
  0
)
"),"NW")</f>
        <v>NW</v>
      </c>
      <c r="C125" s="1" t="str">
        <f>IFERROR(__xludf.DUMMYFUNCTION("IFERROR(
  VLOOKUP(
    A125,
    IMPORTRANGE(
      ""1ZygntHC1J6IxzKbTidmOyf5nUyW4GCLurHCjexrLm_o"",
      ""HTMLキャッシュ!A:F""
    ),
    5,
    FALSE
  ),
  0
)
"),"2022年度春期講習開催のお知らせ - 新宿区四谷の英語専門塾「英語教室『サポート』」～英語は別に怖くない！～")</f>
        <v>2022年度春期講習開催のお知らせ - 新宿区四谷の英語専門塾「英語教室『サポート』」～英語は別に怖くない！～</v>
      </c>
      <c r="D125" s="1" t="str">
        <f>IFERROR(__xludf.DUMMYFUNCTION("IFERROR(
  VLOOKUP(
    A125,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25" s="32">
        <f>IFERROR(__xludf.DUMMYFUNCTION("IFERROR(
  VLOOKUP(
    A125,
    IMPORTRANGE(
      ""1ZygntHC1J6IxzKbTidmOyf5nUyW4GCLurHCjexrLm_o        "",
      ""HTMLキャッシュ!A:F""
    ),
    3,
    FALSE
  ),
  0
)
"),46015.72518518518)</f>
        <v>46015.72519</v>
      </c>
      <c r="F125" s="49">
        <f>IFERROR(__xludf.DUMMYFUNCTION("IFERROR(
  VLOOKUP(
    A125,
    IMPORTRANGE(
      ""1ZHMy3vVUd_0MrSduXTe1etBb1HNpAlGwQr006ljwMiM"",
      ""GSC最新!A:F""
    ),
    2,
    FALSE
  ),
  0
)
"),0.0)</f>
        <v>0</v>
      </c>
      <c r="G125" s="49">
        <f>IFERROR(__xludf.DUMMYFUNCTION("IFERROR(
  VLOOKUP(
    A125,
    IMPORTRANGE(
      ""1ZHMy3vVUd_0MrSduXTe1etBb1HNpAlGwQr006ljwMiM"",
      ""GSC最新!A:F""
    ),
    3,
    FALSE
  ),
  0
)
"),0.0)</f>
        <v>0</v>
      </c>
      <c r="H125" s="49">
        <f>IFERROR(__xludf.DUMMYFUNCTION("IFERROR(
  VLOOKUP(
    A125,
    IMPORTRANGE(
      ""1ZHMy3vVUd_0MrSduXTe1etBb1HNpAlGwQr006ljwMiM"",
      ""GSC最新!A:F""
    ),
    4,
    FALSE
  ),
  0
)
"),0.0)</f>
        <v>0</v>
      </c>
      <c r="I125" s="49">
        <f>IFERROR(__xludf.DUMMYFUNCTION("IFERROR(
  VLOOKUP(
    A125,
    IMPORTRANGE(
      ""1ZHMy3vVUd_0MrSduXTe1etBb1HNpAlGwQr006ljwMiM"",
      ""GSC最新!A:F""
    ),
    5,
    FALSE
  ),
  0
)
"),0.0)</f>
        <v>0</v>
      </c>
      <c r="J125" s="50" t="str">
        <f t="shared" ref="J125:K125" si="616">IFERROR(F125/H125,"-")</f>
        <v>-</v>
      </c>
      <c r="K125" s="50" t="str">
        <f t="shared" si="616"/>
        <v>-</v>
      </c>
      <c r="L125" s="6">
        <f>IFERROR(__xludf.DUMMYFUNCTION("IFERROR(
  VLOOKUP(
    A125,
    IMPORTRANGE(
      ""1ZHMy3vVUd_0MrSduXTe1etBb1HNpAlGwQr006ljwMiM"",
      ""GSC最新!A:R""
    ),
    7,
    FALSE
  ),
  0
)
"),0.0)</f>
        <v>0</v>
      </c>
      <c r="M125" s="6">
        <f>IFERROR(__xludf.DUMMYFUNCTION("IFERROR(
  VLOOKUP(
    A125,
    IMPORTRANGE(
      ""1ZHMy3vVUd_0MrSduXTe1etBb1HNpAlGwQr006ljwMiM"",
      ""GSC最新!A:R""
    ),
    10,
    FALSE
  ),
  0
)
"),1.0)</f>
        <v>1</v>
      </c>
      <c r="N125" s="6">
        <f>IFERROR(__xludf.DUMMYFUNCTION("IFERROR(
  VLOOKUP(
    A125,
    IMPORTRANGE(
      ""1ZHMy3vVUd_0MrSduXTe1etBb1HNpAlGwQr006ljwMiM"",
      ""GSC最新!A:R""
    ),
    13,
    FALSE
  ),
  0
)
"),1.0)</f>
        <v>1</v>
      </c>
      <c r="O125" s="6">
        <f>IFERROR(__xludf.DUMMYFUNCTION("IFERROR(
  VLOOKUP(
    A125,
    IMPORTRANGE(
      ""1ZHMy3vVUd_0MrSduXTe1etBb1HNpAlGwQr006ljwMiM"",
      ""GSC最新!A:R""
    ),
    16,
    FALSE
  ),
  0
)
"),3.0)</f>
        <v>3</v>
      </c>
      <c r="P125" s="51">
        <f t="shared" ref="P125:Q125" si="617">IFERROR(L125/N125,"-")</f>
        <v>0</v>
      </c>
      <c r="Q125" s="51">
        <f t="shared" si="617"/>
        <v>0.3333333333</v>
      </c>
      <c r="R125" s="9">
        <f>IFERROR(__xludf.DUMMYFUNCTION("IFERROR(
  VLOOKUP(
    A125,
    IMPORTRANGE(
      ""1ZHMy3vVUd_0MrSduXTe1etBb1HNpAlGwQr006ljwMiM"",
      ""GSC最新!A:R""
    ),
    8,
    FALSE
  ),
  0
)
"),0.0)</f>
        <v>0</v>
      </c>
      <c r="S125" s="9">
        <f>IFERROR(__xludf.DUMMYFUNCTION("IFERROR(
  VLOOKUP(
    A125,
    IMPORTRANGE(
      ""1ZHMy3vVUd_0MrSduXTe1etBb1HNpAlGwQr006ljwMiM"",
      ""GSC最新!A:R""
    ),
    11,
    FALSE
  ),
  0
)
"),0.0)</f>
        <v>0</v>
      </c>
      <c r="T125" s="9">
        <f>IFERROR(__xludf.DUMMYFUNCTION("IFERROR(
  VLOOKUP(
    A125,
    IMPORTRANGE(
      ""1ZHMy3vVUd_0MrSduXTe1etBb1HNpAlGwQr006ljwMiM"",
      ""GSC最新!A:R""
    ),
    14,
    FALSE
  ),
  0
)
"),0.0)</f>
        <v>0</v>
      </c>
      <c r="U125" s="9">
        <f>IFERROR(__xludf.DUMMYFUNCTION("IFERROR(
  VLOOKUP(
    A125,
    IMPORTRANGE(
      ""1ZHMy3vVUd_0MrSduXTe1etBb1HNpAlGwQr006ljwMiM"",
      ""GSC最新!A:R""
    ),
    17,
    FALSE
  ),
  0
)
"),0.0)</f>
        <v>0</v>
      </c>
      <c r="V125" s="9">
        <f t="shared" ref="V125:W125" si="618">IFERROR(R125-T125,"-")</f>
        <v>0</v>
      </c>
      <c r="W125" s="9">
        <f t="shared" si="618"/>
        <v>0</v>
      </c>
      <c r="X125" s="65" t="str">
        <f>IFERROR(__xludf.DUMMYFUNCTION("IFERROR(
  VLOOKUP(
    A125,
    IMPORTRANGE(
      ""1ZHMy3vVUd_0MrSduXTe1etBb1HNpAlGwQr006ljwMiM"",
      ""GSC最新!A:R""
    ),
    9,
    FALSE
  ),
  0
)
"),"")</f>
        <v/>
      </c>
      <c r="Y125" s="65">
        <f>IFERROR(__xludf.DUMMYFUNCTION("IFERROR(
  VLOOKUP(
    A125,
    IMPORTRANGE(
      ""1ZHMy3vVUd_0MrSduXTe1etBb1HNpAlGwQr006ljwMiM"",
      ""GSC最新!A:R""
    ),
    12,
    FALSE
  ),
  0
)
"),6.0)</f>
        <v>6</v>
      </c>
      <c r="Z125" s="65">
        <f>IFERROR(__xludf.DUMMYFUNCTION("IFERROR(
  VLOOKUP(
    A125,
    IMPORTRANGE(
      ""1ZHMy3vVUd_0MrSduXTe1etBb1HNpAlGwQr006ljwMiM"",
      ""GSC最新!A:R""
    ),
    15,
    FALSE
  ),
  0
)
"),14.0)</f>
        <v>14</v>
      </c>
      <c r="AA125" s="65">
        <f>IFERROR(__xludf.DUMMYFUNCTION("IFERROR(
  VLOOKUP(
    A125,
    IMPORTRANGE(
      ""1ZHMy3vVUd_0MrSduXTe1etBb1HNpAlGwQr006ljwMiM"",
      ""GSC最新!A:R""
    ),
    18,
    FALSE
  ),
  0
)
"),17.666666666666668)</f>
        <v>17.66666667</v>
      </c>
      <c r="AB125" s="65">
        <f t="shared" ref="AB125:AC125" si="619">X125-Z125</f>
        <v>-14</v>
      </c>
      <c r="AC125" s="65">
        <f t="shared" si="619"/>
        <v>-11.66666667</v>
      </c>
      <c r="AD125" s="53">
        <f>IFERROR(__xludf.DUMMYFUNCTION("IFERROR(
  VLOOKUP(
    A125,
    IMPORTRANGE(
      ""1ZHMy3vVUd_0MrSduXTe1etBb1HNpAlGwQr006ljwMiM"",
      ""GSC最新!A:F""
    ),
    6,
    FALSE
  ),
  0
)
"),46081.0)</f>
        <v>46081</v>
      </c>
      <c r="AE125" s="54">
        <f>IFERROR(__xludf.DUMMYFUNCTION("IFERROR(
  VLOOKUP(
    A125,
    IMPORTRANGE(
      ""1SCYQd7_cobOYqT0r_F0IqD4tE4rYn5y8Eup4PJTH8es"",
      ""Snapshot!A:M""
    ),
    5,
    FALSE
  ),
  ""-""
)
"),0.0)</f>
        <v>0</v>
      </c>
      <c r="AF125" s="54">
        <f>IFERROR(__xludf.DUMMYFUNCTION("IFERROR(
  VLOOKUP(
    A125,
    IMPORTRANGE(
      ""1SCYQd7_cobOYqT0r_F0IqD4tE4rYn5y8Eup4PJTH8es"",
      ""Snapshot!A:M""
    ),
    6,
    FALSE
  ),
  0
)
"),0.0)</f>
        <v>0</v>
      </c>
      <c r="AG125" s="54">
        <f>IFERROR(__xludf.DUMMYFUNCTION("IFERROR(
  VLOOKUP(
    A125,
    IMPORTRANGE(
      ""1SCYQd7_cobOYqT0r_F0IqD4tE4rYn5y8Eup4PJTH8es"",
      ""Snapshot!A:M""
    ),
    7,
    FALSE
  ),
  0
)
"),525.0)</f>
        <v>525</v>
      </c>
      <c r="AH125" s="54">
        <f>IFERROR(__xludf.DUMMYFUNCTION("IFERROR(
  VLOOKUP(
    A125,
    IMPORTRANGE(
      ""1SCYQd7_cobOYqT0r_F0IqD4tE4rYn5y8Eup4PJTH8es"",
      ""Snapshot!A:M""
    ),
    8,
    FALSE
  ),
  0
)
"),2.0)</f>
        <v>2</v>
      </c>
      <c r="AI125" s="54">
        <f>IFERROR(__xludf.DUMMYFUNCTION("IFERROR(
  VLOOKUP(
    A125,
    IMPORTRANGE(
      ""1SCYQd7_cobOYqT0r_F0IqD4tE4rYn5y8Eup4PJTH8es"",
      ""Snapshot!A:M""
    ),
    9,
    FALSE
  ),
  0
)
"),0.0)</f>
        <v>0</v>
      </c>
      <c r="AJ125" s="54">
        <f>IFERROR(__xludf.DUMMYFUNCTION("IFERROR(
  VLOOKUP(
    A125,
    IMPORTRANGE(
      ""1SCYQd7_cobOYqT0r_F0IqD4tE4rYn5y8Eup4PJTH8es"",
      ""Snapshot!A:M""
    ),
    13,
    FALSE
  ),
  0
)
"),1.0)</f>
        <v>1</v>
      </c>
      <c r="AK125" s="49">
        <f t="shared" ref="AK125:AL125" si="620">LEN(C125)</f>
        <v>55</v>
      </c>
      <c r="AL125" s="49">
        <f t="shared" si="620"/>
        <v>55</v>
      </c>
    </row>
    <row r="126">
      <c r="A126" s="3" t="s">
        <v>231</v>
      </c>
      <c r="B126" s="1" t="str">
        <f>IFERROR(__xludf.DUMMYFUNCTION("IFERROR(
  VLOOKUP(
    A126,
    IMPORTRANGE(
      ""1ZygntHC1J6IxzKbTidmOyf5nUyW4GCLurHCjexrLm_o"",
      ""HTMLキャッシュ!A:F""
    ),
    2,
    FALSE
  ),
  0
)
"),"-")</f>
        <v>-</v>
      </c>
      <c r="C126" s="1" t="str">
        <f>IFERROR(__xludf.DUMMYFUNCTION("IFERROR(
  VLOOKUP(
    A126,
    IMPORTRANGE(
      ""1ZygntHC1J6IxzKbTidmOyf5nUyW4GCLurHCjexrLm_o"",
      ""HTMLキャッシュ!A:F""
    ),
    5,
    FALSE
  ),
  0
)
"),"お知らせ - 新宿区四谷の英語専門塾「英語教室『サポート』」～英語は別に怖くない！～")</f>
        <v>お知らせ - 新宿区四谷の英語専門塾「英語教室『サポート』」～英語は別に怖くない！～</v>
      </c>
      <c r="D126" s="1" t="str">
        <f>IFERROR(__xludf.DUMMYFUNCTION("IFERROR(
  VLOOKUP(
    A126,
    IMPORTRANGE(
      ""1ZygntHC1J6IxzKbTidmOyf5nUyW4GCLurHCjexrLm_o        "",
      ""HTMLキャッシュ!A:F""
    ),
    6,
    FALSE
  ),
  0
)
"),"[1ページ目] お知らせ の記事 新宿区四谷の英語専門塾「英語教室『サポート』」～英語は別に怖くない！～ 完全１対１の個別指導で生徒さんのニーズに応じて、適切な授業をご提案いたします。")</f>
        <v>[1ページ目] お知らせ の記事 新宿区四谷の英語専門塾「英語教室『サポート』」～英語は別に怖くない！～ 完全１対１の個別指導で生徒さんのニーズに応じて、適切な授業をご提案いたします。</v>
      </c>
      <c r="E126" s="32">
        <f>IFERROR(__xludf.DUMMYFUNCTION("IFERROR(
  VLOOKUP(
    A126,
    IMPORTRANGE(
      ""1ZygntHC1J6IxzKbTidmOyf5nUyW4GCLurHCjexrLm_o        "",
      ""HTMLキャッシュ!A:F""
    ),
    3,
    FALSE
  ),
  0
)
"),46015.735451388886)</f>
        <v>46015.73545</v>
      </c>
      <c r="F126" s="49">
        <f>IFERROR(__xludf.DUMMYFUNCTION("IFERROR(
  VLOOKUP(
    A126,
    IMPORTRANGE(
      ""1ZHMy3vVUd_0MrSduXTe1etBb1HNpAlGwQr006ljwMiM"",
      ""GSC最新!A:F""
    ),
    2,
    FALSE
  ),
  0
)
"),0.0)</f>
        <v>0</v>
      </c>
      <c r="G126" s="49">
        <f>IFERROR(__xludf.DUMMYFUNCTION("IFERROR(
  VLOOKUP(
    A126,
    IMPORTRANGE(
      ""1ZHMy3vVUd_0MrSduXTe1etBb1HNpAlGwQr006ljwMiM"",
      ""GSC最新!A:F""
    ),
    3,
    FALSE
  ),
  0
)
"),0.0)</f>
        <v>0</v>
      </c>
      <c r="H126" s="49">
        <f>IFERROR(__xludf.DUMMYFUNCTION("IFERROR(
  VLOOKUP(
    A126,
    IMPORTRANGE(
      ""1ZHMy3vVUd_0MrSduXTe1etBb1HNpAlGwQr006ljwMiM"",
      ""GSC最新!A:F""
    ),
    4,
    FALSE
  ),
  0
)
"),0.0)</f>
        <v>0</v>
      </c>
      <c r="I126" s="49">
        <f>IFERROR(__xludf.DUMMYFUNCTION("IFERROR(
  VLOOKUP(
    A126,
    IMPORTRANGE(
      ""1ZHMy3vVUd_0MrSduXTe1etBb1HNpAlGwQr006ljwMiM"",
      ""GSC最新!A:F""
    ),
    5,
    FALSE
  ),
  0
)
"),0.0)</f>
        <v>0</v>
      </c>
      <c r="J126" s="50" t="str">
        <f t="shared" ref="J126:K126" si="621">IFERROR(F126/H126,"-")</f>
        <v>-</v>
      </c>
      <c r="K126" s="50" t="str">
        <f t="shared" si="621"/>
        <v>-</v>
      </c>
      <c r="L126" s="6">
        <f>IFERROR(__xludf.DUMMYFUNCTION("IFERROR(
  VLOOKUP(
    A126,
    IMPORTRANGE(
      ""1ZHMy3vVUd_0MrSduXTe1etBb1HNpAlGwQr006ljwMiM"",
      ""GSC最新!A:R""
    ),
    7,
    FALSE
  ),
  0
)
"),0.0)</f>
        <v>0</v>
      </c>
      <c r="M126" s="6">
        <f>IFERROR(__xludf.DUMMYFUNCTION("IFERROR(
  VLOOKUP(
    A126,
    IMPORTRANGE(
      ""1ZHMy3vVUd_0MrSduXTe1etBb1HNpAlGwQr006ljwMiM"",
      ""GSC最新!A:R""
    ),
    10,
    FALSE
  ),
  0
)
"),0.0)</f>
        <v>0</v>
      </c>
      <c r="N126" s="6">
        <f>IFERROR(__xludf.DUMMYFUNCTION("IFERROR(
  VLOOKUP(
    A126,
    IMPORTRANGE(
      ""1ZHMy3vVUd_0MrSduXTe1etBb1HNpAlGwQr006ljwMiM"",
      ""GSC最新!A:R""
    ),
    13,
    FALSE
  ),
  0
)
"),0.0)</f>
        <v>0</v>
      </c>
      <c r="O126" s="6">
        <f>IFERROR(__xludf.DUMMYFUNCTION("IFERROR(
  VLOOKUP(
    A126,
    IMPORTRANGE(
      ""1ZHMy3vVUd_0MrSduXTe1etBb1HNpAlGwQr006ljwMiM"",
      ""GSC最新!A:R""
    ),
    16,
    FALSE
  ),
  0
)
"),0.0)</f>
        <v>0</v>
      </c>
      <c r="P126" s="51" t="str">
        <f t="shared" ref="P126:Q126" si="622">IFERROR(L126/N126,"-")</f>
        <v>-</v>
      </c>
      <c r="Q126" s="51" t="str">
        <f t="shared" si="622"/>
        <v>-</v>
      </c>
      <c r="R126" s="9">
        <f>IFERROR(__xludf.DUMMYFUNCTION("IFERROR(
  VLOOKUP(
    A126,
    IMPORTRANGE(
      ""1ZHMy3vVUd_0MrSduXTe1etBb1HNpAlGwQr006ljwMiM"",
      ""GSC最新!A:R""
    ),
    8,
    FALSE
  ),
  0
)
"),0.0)</f>
        <v>0</v>
      </c>
      <c r="S126" s="9">
        <f>IFERROR(__xludf.DUMMYFUNCTION("IFERROR(
  VLOOKUP(
    A126,
    IMPORTRANGE(
      ""1ZHMy3vVUd_0MrSduXTe1etBb1HNpAlGwQr006ljwMiM"",
      ""GSC最新!A:R""
    ),
    11,
    FALSE
  ),
  0
)
"),0.0)</f>
        <v>0</v>
      </c>
      <c r="T126" s="9">
        <f>IFERROR(__xludf.DUMMYFUNCTION("IFERROR(
  VLOOKUP(
    A126,
    IMPORTRANGE(
      ""1ZHMy3vVUd_0MrSduXTe1etBb1HNpAlGwQr006ljwMiM"",
      ""GSC最新!A:R""
    ),
    14,
    FALSE
  ),
  0
)
"),0.0)</f>
        <v>0</v>
      </c>
      <c r="U126" s="9">
        <f>IFERROR(__xludf.DUMMYFUNCTION("IFERROR(
  VLOOKUP(
    A126,
    IMPORTRANGE(
      ""1ZHMy3vVUd_0MrSduXTe1etBb1HNpAlGwQr006ljwMiM"",
      ""GSC最新!A:R""
    ),
    17,
    FALSE
  ),
  0
)
"),0.0)</f>
        <v>0</v>
      </c>
      <c r="V126" s="9">
        <f t="shared" ref="V126:W126" si="623">IFERROR(R126-T126,"-")</f>
        <v>0</v>
      </c>
      <c r="W126" s="9">
        <f t="shared" si="623"/>
        <v>0</v>
      </c>
      <c r="X126" s="65" t="str">
        <f>IFERROR(__xludf.DUMMYFUNCTION("IFERROR(
  VLOOKUP(
    A126,
    IMPORTRANGE(
      ""1ZHMy3vVUd_0MrSduXTe1etBb1HNpAlGwQr006ljwMiM"",
      ""GSC最新!A:R""
    ),
    9,
    FALSE
  ),
  0
)
"),"")</f>
        <v/>
      </c>
      <c r="Y126" s="65" t="str">
        <f>IFERROR(__xludf.DUMMYFUNCTION("IFERROR(
  VLOOKUP(
    A126,
    IMPORTRANGE(
      ""1ZHMy3vVUd_0MrSduXTe1etBb1HNpAlGwQr006ljwMiM"",
      ""GSC最新!A:R""
    ),
    12,
    FALSE
  ),
  0
)
"),"")</f>
        <v/>
      </c>
      <c r="Z126" s="65" t="str">
        <f>IFERROR(__xludf.DUMMYFUNCTION("IFERROR(
  VLOOKUP(
    A126,
    IMPORTRANGE(
      ""1ZHMy3vVUd_0MrSduXTe1etBb1HNpAlGwQr006ljwMiM"",
      ""GSC最新!A:R""
    ),
    15,
    FALSE
  ),
  0
)
"),"")</f>
        <v/>
      </c>
      <c r="AA126" s="65" t="str">
        <f>IFERROR(__xludf.DUMMYFUNCTION("IFERROR(
  VLOOKUP(
    A126,
    IMPORTRANGE(
      ""1ZHMy3vVUd_0MrSduXTe1etBb1HNpAlGwQr006ljwMiM"",
      ""GSC最新!A:R""
    ),
    18,
    FALSE
  ),
  0
)
"),"")</f>
        <v/>
      </c>
      <c r="AB126" s="65">
        <f t="shared" ref="AB126:AC126" si="624">X126-Z126</f>
        <v>0</v>
      </c>
      <c r="AC126" s="65">
        <f t="shared" si="624"/>
        <v>0</v>
      </c>
      <c r="AD126" s="53">
        <f>IFERROR(__xludf.DUMMYFUNCTION("IFERROR(
  VLOOKUP(
    A126,
    IMPORTRANGE(
      ""1ZHMy3vVUd_0MrSduXTe1etBb1HNpAlGwQr006ljwMiM"",
      ""GSC最新!A:F""
    ),
    6,
    FALSE
  ),
  0
)
"),46081.0)</f>
        <v>46081</v>
      </c>
      <c r="AE126" s="54">
        <f>IFERROR(__xludf.DUMMYFUNCTION("IFERROR(
  VLOOKUP(
    A126,
    IMPORTRANGE(
      ""1SCYQd7_cobOYqT0r_F0IqD4tE4rYn5y8Eup4PJTH8es"",
      ""Snapshot!A:M""
    ),
    5,
    FALSE
  ),
  ""-""
)
"),0.0)</f>
        <v>0</v>
      </c>
      <c r="AF126" s="54">
        <f>IFERROR(__xludf.DUMMYFUNCTION("IFERROR(
  VLOOKUP(
    A126,
    IMPORTRANGE(
      ""1SCYQd7_cobOYqT0r_F0IqD4tE4rYn5y8Eup4PJTH8es"",
      ""Snapshot!A:M""
    ),
    6,
    FALSE
  ),
  0
)
"),0.0)</f>
        <v>0</v>
      </c>
      <c r="AG126" s="54">
        <f>IFERROR(__xludf.DUMMYFUNCTION("IFERROR(
  VLOOKUP(
    A126,
    IMPORTRANGE(
      ""1SCYQd7_cobOYqT0r_F0IqD4tE4rYn5y8Eup4PJTH8es"",
      ""Snapshot!A:M""
    ),
    7,
    FALSE
  ),
  0
)
"),0.0)</f>
        <v>0</v>
      </c>
      <c r="AH126" s="54">
        <f>IFERROR(__xludf.DUMMYFUNCTION("IFERROR(
  VLOOKUP(
    A126,
    IMPORTRANGE(
      ""1SCYQd7_cobOYqT0r_F0IqD4tE4rYn5y8Eup4PJTH8es"",
      ""Snapshot!A:M""
    ),
    8,
    FALSE
  ),
  0
)
"),0.0)</f>
        <v>0</v>
      </c>
      <c r="AI126" s="54">
        <f>IFERROR(__xludf.DUMMYFUNCTION("IFERROR(
  VLOOKUP(
    A126,
    IMPORTRANGE(
      ""1SCYQd7_cobOYqT0r_F0IqD4tE4rYn5y8Eup4PJTH8es"",
      ""Snapshot!A:M""
    ),
    9,
    FALSE
  ),
  0
)
"),0.0)</f>
        <v>0</v>
      </c>
      <c r="AJ126" s="54">
        <f>IFERROR(__xludf.DUMMYFUNCTION("IFERROR(
  VLOOKUP(
    A126,
    IMPORTRANGE(
      ""1SCYQd7_cobOYqT0r_F0IqD4tE4rYn5y8Eup4PJTH8es"",
      ""Snapshot!A:M""
    ),
    13,
    FALSE
  ),
  0
)
"),1.0)</f>
        <v>1</v>
      </c>
      <c r="AK126" s="49">
        <f t="shared" ref="AK126:AL126" si="625">LEN(C126)</f>
        <v>42</v>
      </c>
      <c r="AL126" s="49">
        <f t="shared" si="625"/>
        <v>92</v>
      </c>
    </row>
    <row r="127">
      <c r="A127" s="3" t="s">
        <v>1209</v>
      </c>
      <c r="B127" s="1" t="str">
        <f>IFERROR(__xludf.DUMMYFUNCTION("IFERROR(
  VLOOKUP(
    A127,
    IMPORTRANGE(
      ""1ZygntHC1J6IxzKbTidmOyf5nUyW4GCLurHCjexrLm_o"",
      ""HTMLキャッシュ!A:F""
    ),
    2,
    FALSE
  ),
  0
)
"),"NW")</f>
        <v>NW</v>
      </c>
      <c r="C127" s="1" t="str">
        <f>IFERROR(__xludf.DUMMYFUNCTION("IFERROR(
  VLOOKUP(
    A127,
    IMPORTRANGE(
      ""1ZygntHC1J6IxzKbTidmOyf5nUyW4GCLurHCjexrLm_o"",
      ""HTMLキャッシュ!A:F""
    ),
    5,
    FALSE
  ),
  0
)
"),"受験理科専門塾「しゅん吉クエスト」開校のお知らせ - 新宿区四谷の英語専門塾「英語教室『サポート』」～英語は別に怖くない！～")</f>
        <v>受験理科専門塾「しゅん吉クエスト」開校のお知らせ - 新宿区四谷の英語専門塾「英語教室『サポート』」～英語は別に怖くない！～</v>
      </c>
      <c r="D127" s="1" t="str">
        <f>IFERROR(__xludf.DUMMYFUNCTION("IFERROR(
  VLOOKUP(
    A127,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127" s="32">
        <f>IFERROR(__xludf.DUMMYFUNCTION("IFERROR(
  VLOOKUP(
    A127,
    IMPORTRANGE(
      ""1ZygntHC1J6IxzKbTidmOyf5nUyW4GCLurHCjexrLm_o        "",
      ""HTMLキャッシュ!A:F""
    ),
    3,
    FALSE
  ),
  0
)
"),44400.681759259256)</f>
        <v>44400.68176</v>
      </c>
      <c r="F127" s="49">
        <f>IFERROR(__xludf.DUMMYFUNCTION("IFERROR(
  VLOOKUP(
    A127,
    IMPORTRANGE(
      ""1ZHMy3vVUd_0MrSduXTe1etBb1HNpAlGwQr006ljwMiM"",
      ""GSC最新!A:F""
    ),
    2,
    FALSE
  ),
  0
)
"),0.0)</f>
        <v>0</v>
      </c>
      <c r="G127" s="49">
        <f>IFERROR(__xludf.DUMMYFUNCTION("IFERROR(
  VLOOKUP(
    A127,
    IMPORTRANGE(
      ""1ZHMy3vVUd_0MrSduXTe1etBb1HNpAlGwQr006ljwMiM"",
      ""GSC最新!A:F""
    ),
    3,
    FALSE
  ),
  0
)
"),0.0)</f>
        <v>0</v>
      </c>
      <c r="H127" s="49">
        <f>IFERROR(__xludf.DUMMYFUNCTION("IFERROR(
  VLOOKUP(
    A127,
    IMPORTRANGE(
      ""1ZHMy3vVUd_0MrSduXTe1etBb1HNpAlGwQr006ljwMiM"",
      ""GSC最新!A:F""
    ),
    4,
    FALSE
  ),
  0
)
"),0.0)</f>
        <v>0</v>
      </c>
      <c r="I127" s="49">
        <f>IFERROR(__xludf.DUMMYFUNCTION("IFERROR(
  VLOOKUP(
    A127,
    IMPORTRANGE(
      ""1ZHMy3vVUd_0MrSduXTe1etBb1HNpAlGwQr006ljwMiM"",
      ""GSC最新!A:F""
    ),
    5,
    FALSE
  ),
  0
)
"),0.0)</f>
        <v>0</v>
      </c>
      <c r="J127" s="50" t="str">
        <f t="shared" ref="J127:K127" si="626">IFERROR(F127/H127,"-")</f>
        <v>-</v>
      </c>
      <c r="K127" s="50" t="str">
        <f t="shared" si="626"/>
        <v>-</v>
      </c>
      <c r="L127" s="6">
        <f>IFERROR(__xludf.DUMMYFUNCTION("IFERROR(
  VLOOKUP(
    A127,
    IMPORTRANGE(
      ""1ZHMy3vVUd_0MrSduXTe1etBb1HNpAlGwQr006ljwMiM"",
      ""GSC最新!A:R""
    ),
    7,
    FALSE
  ),
  0
)
"),0.0)</f>
        <v>0</v>
      </c>
      <c r="M127" s="6">
        <f>IFERROR(__xludf.DUMMYFUNCTION("IFERROR(
  VLOOKUP(
    A127,
    IMPORTRANGE(
      ""1ZHMy3vVUd_0MrSduXTe1etBb1HNpAlGwQr006ljwMiM"",
      ""GSC最新!A:R""
    ),
    10,
    FALSE
  ),
  0
)
"),0.0)</f>
        <v>0</v>
      </c>
      <c r="N127" s="6">
        <f>IFERROR(__xludf.DUMMYFUNCTION("IFERROR(
  VLOOKUP(
    A127,
    IMPORTRANGE(
      ""1ZHMy3vVUd_0MrSduXTe1etBb1HNpAlGwQr006ljwMiM"",
      ""GSC最新!A:R""
    ),
    13,
    FALSE
  ),
  0
)
"),0.0)</f>
        <v>0</v>
      </c>
      <c r="O127" s="6">
        <f>IFERROR(__xludf.DUMMYFUNCTION("IFERROR(
  VLOOKUP(
    A127,
    IMPORTRANGE(
      ""1ZHMy3vVUd_0MrSduXTe1etBb1HNpAlGwQr006ljwMiM"",
      ""GSC最新!A:R""
    ),
    16,
    FALSE
  ),
  0
)
"),0.0)</f>
        <v>0</v>
      </c>
      <c r="P127" s="51" t="str">
        <f t="shared" ref="P127:Q127" si="627">IFERROR(L127/N127,"-")</f>
        <v>-</v>
      </c>
      <c r="Q127" s="51" t="str">
        <f t="shared" si="627"/>
        <v>-</v>
      </c>
      <c r="R127" s="9">
        <f>IFERROR(__xludf.DUMMYFUNCTION("IFERROR(
  VLOOKUP(
    A127,
    IMPORTRANGE(
      ""1ZHMy3vVUd_0MrSduXTe1etBb1HNpAlGwQr006ljwMiM"",
      ""GSC最新!A:R""
    ),
    8,
    FALSE
  ),
  0
)
"),0.0)</f>
        <v>0</v>
      </c>
      <c r="S127" s="9">
        <f>IFERROR(__xludf.DUMMYFUNCTION("IFERROR(
  VLOOKUP(
    A127,
    IMPORTRANGE(
      ""1ZHMy3vVUd_0MrSduXTe1etBb1HNpAlGwQr006ljwMiM"",
      ""GSC最新!A:R""
    ),
    11,
    FALSE
  ),
  0
)
"),0.0)</f>
        <v>0</v>
      </c>
      <c r="T127" s="9">
        <f>IFERROR(__xludf.DUMMYFUNCTION("IFERROR(
  VLOOKUP(
    A127,
    IMPORTRANGE(
      ""1ZHMy3vVUd_0MrSduXTe1etBb1HNpAlGwQr006ljwMiM"",
      ""GSC最新!A:R""
    ),
    14,
    FALSE
  ),
  0
)
"),0.0)</f>
        <v>0</v>
      </c>
      <c r="U127" s="9">
        <f>IFERROR(__xludf.DUMMYFUNCTION("IFERROR(
  VLOOKUP(
    A127,
    IMPORTRANGE(
      ""1ZHMy3vVUd_0MrSduXTe1etBb1HNpAlGwQr006ljwMiM"",
      ""GSC最新!A:R""
    ),
    17,
    FALSE
  ),
  0
)
"),0.0)</f>
        <v>0</v>
      </c>
      <c r="V127" s="9">
        <f t="shared" ref="V127:W127" si="628">IFERROR(R127-T127,"-")</f>
        <v>0</v>
      </c>
      <c r="W127" s="9">
        <f t="shared" si="628"/>
        <v>0</v>
      </c>
      <c r="X127" s="65" t="str">
        <f>IFERROR(__xludf.DUMMYFUNCTION("IFERROR(
  VLOOKUP(
    A127,
    IMPORTRANGE(
      ""1ZHMy3vVUd_0MrSduXTe1etBb1HNpAlGwQr006ljwMiM"",
      ""GSC最新!A:R""
    ),
    9,
    FALSE
  ),
  0
)
"),"")</f>
        <v/>
      </c>
      <c r="Y127" s="65" t="str">
        <f>IFERROR(__xludf.DUMMYFUNCTION("IFERROR(
  VLOOKUP(
    A127,
    IMPORTRANGE(
      ""1ZHMy3vVUd_0MrSduXTe1etBb1HNpAlGwQr006ljwMiM"",
      ""GSC最新!A:R""
    ),
    12,
    FALSE
  ),
  0
)
"),"")</f>
        <v/>
      </c>
      <c r="Z127" s="65" t="str">
        <f>IFERROR(__xludf.DUMMYFUNCTION("IFERROR(
  VLOOKUP(
    A127,
    IMPORTRANGE(
      ""1ZHMy3vVUd_0MrSduXTe1etBb1HNpAlGwQr006ljwMiM"",
      ""GSC最新!A:R""
    ),
    15,
    FALSE
  ),
  0
)
"),"")</f>
        <v/>
      </c>
      <c r="AA127" s="65" t="str">
        <f>IFERROR(__xludf.DUMMYFUNCTION("IFERROR(
  VLOOKUP(
    A127,
    IMPORTRANGE(
      ""1ZHMy3vVUd_0MrSduXTe1etBb1HNpAlGwQr006ljwMiM"",
      ""GSC最新!A:R""
    ),
    18,
    FALSE
  ),
  0
)
"),"")</f>
        <v/>
      </c>
      <c r="AB127" s="65">
        <f t="shared" ref="AB127:AC127" si="629">X127-Z127</f>
        <v>0</v>
      </c>
      <c r="AC127" s="65">
        <f t="shared" si="629"/>
        <v>0</v>
      </c>
      <c r="AD127" s="53">
        <f>IFERROR(__xludf.DUMMYFUNCTION("IFERROR(
  VLOOKUP(
    A127,
    IMPORTRANGE(
      ""1ZHMy3vVUd_0MrSduXTe1etBb1HNpAlGwQr006ljwMiM"",
      ""GSC最新!A:F""
    ),
    6,
    FALSE
  ),
  0
)
"),46081.0)</f>
        <v>46081</v>
      </c>
      <c r="AE127" s="54">
        <f>IFERROR(__xludf.DUMMYFUNCTION("IFERROR(
  VLOOKUP(
    A127,
    IMPORTRANGE(
      ""1SCYQd7_cobOYqT0r_F0IqD4tE4rYn5y8Eup4PJTH8es"",
      ""Snapshot!A:M""
    ),
    5,
    FALSE
  ),
  ""-""
)
"),0.0)</f>
        <v>0</v>
      </c>
      <c r="AF127" s="54">
        <f>IFERROR(__xludf.DUMMYFUNCTION("IFERROR(
  VLOOKUP(
    A127,
    IMPORTRANGE(
      ""1SCYQd7_cobOYqT0r_F0IqD4tE4rYn5y8Eup4PJTH8es"",
      ""Snapshot!A:M""
    ),
    6,
    FALSE
  ),
  0
)
"),0.0)</f>
        <v>0</v>
      </c>
      <c r="AG127" s="54">
        <f>IFERROR(__xludf.DUMMYFUNCTION("IFERROR(
  VLOOKUP(
    A127,
    IMPORTRANGE(
      ""1SCYQd7_cobOYqT0r_F0IqD4tE4rYn5y8Eup4PJTH8es"",
      ""Snapshot!A:M""
    ),
    7,
    FALSE
  ),
  0
)
"),127.0)</f>
        <v>127</v>
      </c>
      <c r="AH127" s="54">
        <f>IFERROR(__xludf.DUMMYFUNCTION("IFERROR(
  VLOOKUP(
    A127,
    IMPORTRANGE(
      ""1SCYQd7_cobOYqT0r_F0IqD4tE4rYn5y8Eup4PJTH8es"",
      ""Snapshot!A:M""
    ),
    8,
    FALSE
  ),
  0
)
"),0.0)</f>
        <v>0</v>
      </c>
      <c r="AI127" s="54">
        <f>IFERROR(__xludf.DUMMYFUNCTION("IFERROR(
  VLOOKUP(
    A127,
    IMPORTRANGE(
      ""1SCYQd7_cobOYqT0r_F0IqD4tE4rYn5y8Eup4PJTH8es"",
      ""Snapshot!A:M""
    ),
    9,
    FALSE
  ),
  0
)
"),0.0)</f>
        <v>0</v>
      </c>
      <c r="AJ127" s="54">
        <f>IFERROR(__xludf.DUMMYFUNCTION("IFERROR(
  VLOOKUP(
    A127,
    IMPORTRANGE(
      ""1SCYQd7_cobOYqT0r_F0IqD4tE4rYn5y8Eup4PJTH8es"",
      ""Snapshot!A:M""
    ),
    13,
    FALSE
  ),
  0
)
"),1.0)</f>
        <v>1</v>
      </c>
      <c r="AK127" s="49">
        <f t="shared" ref="AK127:AL127" si="630">LEN(C127)</f>
        <v>62</v>
      </c>
      <c r="AL127" s="49">
        <f t="shared" si="630"/>
        <v>55</v>
      </c>
    </row>
    <row r="128">
      <c r="A128" s="1" t="s">
        <v>1210</v>
      </c>
      <c r="B128" s="1" t="str">
        <f>IFERROR(__xludf.DUMMYFUNCTION("IFERROR(
  VLOOKUP(
    A128,
    IMPORTRANGE(
      ""1ZygntHC1J6IxzKbTidmOyf5nUyW4GCLurHCjexrLm_o"",
      ""HTMLキャッシュ!A:F""
    ),
    2,
    FALSE
  ),
  0
)
"),"NW")</f>
        <v>NW</v>
      </c>
      <c r="C128" s="1" t="str">
        <f>IFERROR(__xludf.DUMMYFUNCTION("IFERROR(
  VLOOKUP(
    A128,
    IMPORTRANGE(
      ""1ZygntHC1J6IxzKbTidmOyf5nUyW4GCLurHCjexrLm_o"",
      ""HTMLキャッシュ!A:F""
    ),
    5,
    FALSE
  ),
  0
)
"),"2023年度生徒募集のお知らせ【個別】 - 新宿区四谷の英語専門塾「英語教室『サポート』」～英語は別に怖くない！～")</f>
        <v>2023年度生徒募集のお知らせ【個別】 - 新宿区四谷の英語専門塾「英語教室『サポート』」～英語は別に怖くない！～</v>
      </c>
      <c r="D128" s="1" t="str">
        <f>IFERROR(__xludf.DUMMYFUNCTION("IFERROR(
  VLOOKUP(
    A128,
    IMPORTRANGE(
      ""1ZygntHC1J6IxzKbTidmOyf5nUyW4GCLurHCjexrLm_o        "",
      ""HTMLキャッシュ!A:F""
    ),
    6,
    FALSE
  ),
  0
)
"),"本日より、2023年度、「完全１対１」の個別指導の生徒募集を開始いたします。 詳細については、下記をご覧くださ")</f>
        <v>本日より、2023年度、「完全１対１」の個別指導の生徒募集を開始いたします。 詳細については、下記をご覧くださ</v>
      </c>
      <c r="E128" s="32">
        <f>IFERROR(__xludf.DUMMYFUNCTION("IFERROR(
  VLOOKUP(
    A128,
    IMPORTRANGE(
      ""1ZygntHC1J6IxzKbTidmOyf5nUyW4GCLurHCjexrLm_o        "",
      ""HTMLキャッシュ!A:F""
    ),
    3,
    FALSE
  ),
  0
)
"),46015.73096064815)</f>
        <v>46015.73096</v>
      </c>
      <c r="F128" s="49">
        <f>IFERROR(__xludf.DUMMYFUNCTION("IFERROR(
  VLOOKUP(
    A128,
    IMPORTRANGE(
      ""1ZHMy3vVUd_0MrSduXTe1etBb1HNpAlGwQr006ljwMiM"",
      ""GSC最新!A:F""
    ),
    2,
    FALSE
  ),
  0
)
"),0.0)</f>
        <v>0</v>
      </c>
      <c r="G128" s="49">
        <f>IFERROR(__xludf.DUMMYFUNCTION("IFERROR(
  VLOOKUP(
    A128,
    IMPORTRANGE(
      ""1ZHMy3vVUd_0MrSduXTe1etBb1HNpAlGwQr006ljwMiM"",
      ""GSC最新!A:F""
    ),
    3,
    FALSE
  ),
  0
)
"),0.0)</f>
        <v>0</v>
      </c>
      <c r="H128" s="49">
        <f>IFERROR(__xludf.DUMMYFUNCTION("IFERROR(
  VLOOKUP(
    A128,
    IMPORTRANGE(
      ""1ZHMy3vVUd_0MrSduXTe1etBb1HNpAlGwQr006ljwMiM"",
      ""GSC最新!A:F""
    ),
    4,
    FALSE
  ),
  0
)
"),0.0)</f>
        <v>0</v>
      </c>
      <c r="I128" s="49">
        <f>IFERROR(__xludf.DUMMYFUNCTION("IFERROR(
  VLOOKUP(
    A128,
    IMPORTRANGE(
      ""1ZHMy3vVUd_0MrSduXTe1etBb1HNpAlGwQr006ljwMiM"",
      ""GSC最新!A:F""
    ),
    5,
    FALSE
  ),
  0
)
"),0.0)</f>
        <v>0</v>
      </c>
      <c r="J128" s="50" t="str">
        <f t="shared" ref="J128:K128" si="631">IFERROR(F128/H128,"-")</f>
        <v>-</v>
      </c>
      <c r="K128" s="50" t="str">
        <f t="shared" si="631"/>
        <v>-</v>
      </c>
      <c r="L128" s="6">
        <f>IFERROR(__xludf.DUMMYFUNCTION("IFERROR(
  VLOOKUP(
    A128,
    IMPORTRANGE(
      ""1ZHMy3vVUd_0MrSduXTe1etBb1HNpAlGwQr006ljwMiM"",
      ""GSC最新!A:R""
    ),
    7,
    FALSE
  ),
  0
)
"),0.0)</f>
        <v>0</v>
      </c>
      <c r="M128" s="6">
        <f>IFERROR(__xludf.DUMMYFUNCTION("IFERROR(
  VLOOKUP(
    A128,
    IMPORTRANGE(
      ""1ZHMy3vVUd_0MrSduXTe1etBb1HNpAlGwQr006ljwMiM"",
      ""GSC最新!A:R""
    ),
    10,
    FALSE
  ),
  0
)
"),0.0)</f>
        <v>0</v>
      </c>
      <c r="N128" s="6">
        <f>IFERROR(__xludf.DUMMYFUNCTION("IFERROR(
  VLOOKUP(
    A128,
    IMPORTRANGE(
      ""1ZHMy3vVUd_0MrSduXTe1etBb1HNpAlGwQr006ljwMiM"",
      ""GSC最新!A:R""
    ),
    13,
    FALSE
  ),
  0
)
"),0.0)</f>
        <v>0</v>
      </c>
      <c r="O128" s="6">
        <f>IFERROR(__xludf.DUMMYFUNCTION("IFERROR(
  VLOOKUP(
    A128,
    IMPORTRANGE(
      ""1ZHMy3vVUd_0MrSduXTe1etBb1HNpAlGwQr006ljwMiM"",
      ""GSC最新!A:R""
    ),
    16,
    FALSE
  ),
  0
)
"),0.0)</f>
        <v>0</v>
      </c>
      <c r="P128" s="51" t="str">
        <f t="shared" ref="P128:Q128" si="632">IFERROR(L128/N128,"-")</f>
        <v>-</v>
      </c>
      <c r="Q128" s="51" t="str">
        <f t="shared" si="632"/>
        <v>-</v>
      </c>
      <c r="R128" s="9">
        <f>IFERROR(__xludf.DUMMYFUNCTION("IFERROR(
  VLOOKUP(
    A128,
    IMPORTRANGE(
      ""1ZHMy3vVUd_0MrSduXTe1etBb1HNpAlGwQr006ljwMiM"",
      ""GSC最新!A:R""
    ),
    8,
    FALSE
  ),
  0
)
"),0.0)</f>
        <v>0</v>
      </c>
      <c r="S128" s="9">
        <f>IFERROR(__xludf.DUMMYFUNCTION("IFERROR(
  VLOOKUP(
    A128,
    IMPORTRANGE(
      ""1ZHMy3vVUd_0MrSduXTe1etBb1HNpAlGwQr006ljwMiM"",
      ""GSC最新!A:R""
    ),
    11,
    FALSE
  ),
  0
)
"),0.0)</f>
        <v>0</v>
      </c>
      <c r="T128" s="9">
        <f>IFERROR(__xludf.DUMMYFUNCTION("IFERROR(
  VLOOKUP(
    A128,
    IMPORTRANGE(
      ""1ZHMy3vVUd_0MrSduXTe1etBb1HNpAlGwQr006ljwMiM"",
      ""GSC最新!A:R""
    ),
    14,
    FALSE
  ),
  0
)
"),0.0)</f>
        <v>0</v>
      </c>
      <c r="U128" s="9">
        <f>IFERROR(__xludf.DUMMYFUNCTION("IFERROR(
  VLOOKUP(
    A128,
    IMPORTRANGE(
      ""1ZHMy3vVUd_0MrSduXTe1etBb1HNpAlGwQr006ljwMiM"",
      ""GSC最新!A:R""
    ),
    17,
    FALSE
  ),
  0
)
"),0.0)</f>
        <v>0</v>
      </c>
      <c r="V128" s="9">
        <f t="shared" ref="V128:W128" si="633">IFERROR(R128-T128,"-")</f>
        <v>0</v>
      </c>
      <c r="W128" s="9">
        <f t="shared" si="633"/>
        <v>0</v>
      </c>
      <c r="X128" s="65" t="str">
        <f>IFERROR(__xludf.DUMMYFUNCTION("IFERROR(
  VLOOKUP(
    A128,
    IMPORTRANGE(
      ""1ZHMy3vVUd_0MrSduXTe1etBb1HNpAlGwQr006ljwMiM"",
      ""GSC最新!A:R""
    ),
    9,
    FALSE
  ),
  0
)
"),"")</f>
        <v/>
      </c>
      <c r="Y128" s="65" t="str">
        <f>IFERROR(__xludf.DUMMYFUNCTION("IFERROR(
  VLOOKUP(
    A128,
    IMPORTRANGE(
      ""1ZHMy3vVUd_0MrSduXTe1etBb1HNpAlGwQr006ljwMiM"",
      ""GSC最新!A:R""
    ),
    12,
    FALSE
  ),
  0
)
"),"")</f>
        <v/>
      </c>
      <c r="Z128" s="65" t="str">
        <f>IFERROR(__xludf.DUMMYFUNCTION("IFERROR(
  VLOOKUP(
    A128,
    IMPORTRANGE(
      ""1ZHMy3vVUd_0MrSduXTe1etBb1HNpAlGwQr006ljwMiM"",
      ""GSC最新!A:R""
    ),
    15,
    FALSE
  ),
  0
)
"),"")</f>
        <v/>
      </c>
      <c r="AA128" s="65" t="str">
        <f>IFERROR(__xludf.DUMMYFUNCTION("IFERROR(
  VLOOKUP(
    A128,
    IMPORTRANGE(
      ""1ZHMy3vVUd_0MrSduXTe1etBb1HNpAlGwQr006ljwMiM"",
      ""GSC最新!A:R""
    ),
    18,
    FALSE
  ),
  0
)
"),"")</f>
        <v/>
      </c>
      <c r="AB128" s="65">
        <f t="shared" ref="AB128:AC128" si="634">X128-Z128</f>
        <v>0</v>
      </c>
      <c r="AC128" s="65">
        <f t="shared" si="634"/>
        <v>0</v>
      </c>
      <c r="AD128" s="53">
        <f>IFERROR(__xludf.DUMMYFUNCTION("IFERROR(
  VLOOKUP(
    A128,
    IMPORTRANGE(
      ""1ZHMy3vVUd_0MrSduXTe1etBb1HNpAlGwQr006ljwMiM"",
      ""GSC最新!A:F""
    ),
    6,
    FALSE
  ),
  0
)
"),46081.0)</f>
        <v>46081</v>
      </c>
      <c r="AE128" s="54">
        <f>IFERROR(__xludf.DUMMYFUNCTION("IFERROR(
  VLOOKUP(
    A128,
    IMPORTRANGE(
      ""1SCYQd7_cobOYqT0r_F0IqD4tE4rYn5y8Eup4PJTH8es"",
      ""Snapshot!A:M""
    ),
    5,
    FALSE
  ),
  ""-""
)
"),0.0)</f>
        <v>0</v>
      </c>
      <c r="AF128" s="54">
        <f>IFERROR(__xludf.DUMMYFUNCTION("IFERROR(
  VLOOKUP(
    A128,
    IMPORTRANGE(
      ""1SCYQd7_cobOYqT0r_F0IqD4tE4rYn5y8Eup4PJTH8es"",
      ""Snapshot!A:M""
    ),
    6,
    FALSE
  ),
  0
)
"),0.0)</f>
        <v>0</v>
      </c>
      <c r="AG128" s="54">
        <f>IFERROR(__xludf.DUMMYFUNCTION("IFERROR(
  VLOOKUP(
    A128,
    IMPORTRANGE(
      ""1SCYQd7_cobOYqT0r_F0IqD4tE4rYn5y8Eup4PJTH8es"",
      ""Snapshot!A:M""
    ),
    7,
    FALSE
  ),
  0
)
"),352.0)</f>
        <v>352</v>
      </c>
      <c r="AH128" s="54">
        <f>IFERROR(__xludf.DUMMYFUNCTION("IFERROR(
  VLOOKUP(
    A128,
    IMPORTRANGE(
      ""1SCYQd7_cobOYqT0r_F0IqD4tE4rYn5y8Eup4PJTH8es"",
      ""Snapshot!A:M""
    ),
    8,
    FALSE
  ),
  0
)
"),2.0)</f>
        <v>2</v>
      </c>
      <c r="AI128" s="54">
        <f>IFERROR(__xludf.DUMMYFUNCTION("IFERROR(
  VLOOKUP(
    A128,
    IMPORTRANGE(
      ""1SCYQd7_cobOYqT0r_F0IqD4tE4rYn5y8Eup4PJTH8es"",
      ""Snapshot!A:M""
    ),
    9,
    FALSE
  ),
  0
)
"),0.0)</f>
        <v>0</v>
      </c>
      <c r="AJ128" s="54">
        <f>IFERROR(__xludf.DUMMYFUNCTION("IFERROR(
  VLOOKUP(
    A128,
    IMPORTRANGE(
      ""1SCYQd7_cobOYqT0r_F0IqD4tE4rYn5y8Eup4PJTH8es"",
      ""Snapshot!A:M""
    ),
    13,
    FALSE
  ),
  0
)
"),1.0)</f>
        <v>1</v>
      </c>
      <c r="AK128" s="49">
        <f t="shared" ref="AK128:AL128" si="635">LEN(C128)</f>
        <v>57</v>
      </c>
      <c r="AL128" s="49">
        <f t="shared" si="635"/>
        <v>55</v>
      </c>
    </row>
    <row r="129">
      <c r="A129" s="1" t="s">
        <v>1211</v>
      </c>
      <c r="B129" s="1" t="str">
        <f>IFERROR(__xludf.DUMMYFUNCTION("IFERROR(
  VLOOKUP(
    A129,
    IMPORTRANGE(
      ""1ZygntHC1J6IxzKbTidmOyf5nUyW4GCLurHCjexrLm_o"",
      ""HTMLキャッシュ!A:F""
    ),
    2,
    FALSE
  ),
  0
)
"),"NW")</f>
        <v>NW</v>
      </c>
      <c r="C129" s="1" t="str">
        <f>IFERROR(__xludf.DUMMYFUNCTION("IFERROR(
  VLOOKUP(
    A129,
    IMPORTRANGE(
      ""1ZygntHC1J6IxzKbTidmOyf5nUyW4GCLurHCjexrLm_o"",
      ""HTMLキャッシュ!A:F""
    ),
    5,
    FALSE
  ),
  0
)
"),"2022年度生徒募集のお知らせ【個別】 - 新宿区四谷の英語専門塾「英語教室『サポート』」～英語は別に怖くない！～")</f>
        <v>2022年度生徒募集のお知らせ【個別】 - 新宿区四谷の英語専門塾「英語教室『サポート』」～英語は別に怖くない！～</v>
      </c>
      <c r="D129" s="1" t="str">
        <f>IFERROR(__xludf.DUMMYFUNCTION("IFERROR(
  VLOOKUP(
    A129,
    IMPORTRANGE(
      ""1ZygntHC1J6IxzKbTidmOyf5nUyW4GCLurHCjexrLm_o        "",
      ""HTMLキャッシュ!A:F""
    ),
    6,
    FALSE
  ),
  0
)
"),"本日より、2022年度、「完全１対１」の個別指導の生徒募集を開始致します。 詳細については、下記をご覧下さいま")</f>
        <v>本日より、2022年度、「完全１対１」の個別指導の生徒募集を開始致します。 詳細については、下記をご覧下さいま</v>
      </c>
      <c r="E129" s="32">
        <f>IFERROR(__xludf.DUMMYFUNCTION("IFERROR(
  VLOOKUP(
    A129,
    IMPORTRANGE(
      ""1ZygntHC1J6IxzKbTidmOyf5nUyW4GCLurHCjexrLm_o        "",
      ""HTMLキャッシュ!A:F""
    ),
    3,
    FALSE
  ),
  0
)
"),46015.602997685186)</f>
        <v>46015.603</v>
      </c>
      <c r="F129" s="49">
        <f>IFERROR(__xludf.DUMMYFUNCTION("IFERROR(
  VLOOKUP(
    A129,
    IMPORTRANGE(
      ""1ZHMy3vVUd_0MrSduXTe1etBb1HNpAlGwQr006ljwMiM"",
      ""GSC最新!A:F""
    ),
    2,
    FALSE
  ),
  0
)
"),0.0)</f>
        <v>0</v>
      </c>
      <c r="G129" s="49">
        <f>IFERROR(__xludf.DUMMYFUNCTION("IFERROR(
  VLOOKUP(
    A129,
    IMPORTRANGE(
      ""1ZHMy3vVUd_0MrSduXTe1etBb1HNpAlGwQr006ljwMiM"",
      ""GSC最新!A:F""
    ),
    3,
    FALSE
  ),
  0
)
"),0.0)</f>
        <v>0</v>
      </c>
      <c r="H129" s="49">
        <f>IFERROR(__xludf.DUMMYFUNCTION("IFERROR(
  VLOOKUP(
    A129,
    IMPORTRANGE(
      ""1ZHMy3vVUd_0MrSduXTe1etBb1HNpAlGwQr006ljwMiM"",
      ""GSC最新!A:F""
    ),
    4,
    FALSE
  ),
  0
)
"),0.0)</f>
        <v>0</v>
      </c>
      <c r="I129" s="49">
        <f>IFERROR(__xludf.DUMMYFUNCTION("IFERROR(
  VLOOKUP(
    A129,
    IMPORTRANGE(
      ""1ZHMy3vVUd_0MrSduXTe1etBb1HNpAlGwQr006ljwMiM"",
      ""GSC最新!A:F""
    ),
    5,
    FALSE
  ),
  0
)
"),0.0)</f>
        <v>0</v>
      </c>
      <c r="J129" s="50" t="str">
        <f t="shared" ref="J129:K129" si="636">IFERROR(F129/H129,"-")</f>
        <v>-</v>
      </c>
      <c r="K129" s="50" t="str">
        <f t="shared" si="636"/>
        <v>-</v>
      </c>
      <c r="L129" s="6">
        <f>IFERROR(__xludf.DUMMYFUNCTION("IFERROR(
  VLOOKUP(
    A129,
    IMPORTRANGE(
      ""1ZHMy3vVUd_0MrSduXTe1etBb1HNpAlGwQr006ljwMiM"",
      ""GSC最新!A:R""
    ),
    7,
    FALSE
  ),
  0
)
"),0.0)</f>
        <v>0</v>
      </c>
      <c r="M129" s="6">
        <f>IFERROR(__xludf.DUMMYFUNCTION("IFERROR(
  VLOOKUP(
    A129,
    IMPORTRANGE(
      ""1ZHMy3vVUd_0MrSduXTe1etBb1HNpAlGwQr006ljwMiM"",
      ""GSC最新!A:R""
    ),
    10,
    FALSE
  ),
  0
)
"),0.0)</f>
        <v>0</v>
      </c>
      <c r="N129" s="6">
        <f>IFERROR(__xludf.DUMMYFUNCTION("IFERROR(
  VLOOKUP(
    A129,
    IMPORTRANGE(
      ""1ZHMy3vVUd_0MrSduXTe1etBb1HNpAlGwQr006ljwMiM"",
      ""GSC最新!A:R""
    ),
    13,
    FALSE
  ),
  0
)
"),0.0)</f>
        <v>0</v>
      </c>
      <c r="O129" s="6">
        <f>IFERROR(__xludf.DUMMYFUNCTION("IFERROR(
  VLOOKUP(
    A129,
    IMPORTRANGE(
      ""1ZHMy3vVUd_0MrSduXTe1etBb1HNpAlGwQr006ljwMiM"",
      ""GSC最新!A:R""
    ),
    16,
    FALSE
  ),
  0
)
"),0.0)</f>
        <v>0</v>
      </c>
      <c r="P129" s="51" t="str">
        <f t="shared" ref="P129:Q129" si="637">IFERROR(L129/N129,"-")</f>
        <v>-</v>
      </c>
      <c r="Q129" s="51" t="str">
        <f t="shared" si="637"/>
        <v>-</v>
      </c>
      <c r="R129" s="9">
        <f>IFERROR(__xludf.DUMMYFUNCTION("IFERROR(
  VLOOKUP(
    A129,
    IMPORTRANGE(
      ""1ZHMy3vVUd_0MrSduXTe1etBb1HNpAlGwQr006ljwMiM"",
      ""GSC最新!A:R""
    ),
    8,
    FALSE
  ),
  0
)
"),0.0)</f>
        <v>0</v>
      </c>
      <c r="S129" s="9">
        <f>IFERROR(__xludf.DUMMYFUNCTION("IFERROR(
  VLOOKUP(
    A129,
    IMPORTRANGE(
      ""1ZHMy3vVUd_0MrSduXTe1etBb1HNpAlGwQr006ljwMiM"",
      ""GSC最新!A:R""
    ),
    11,
    FALSE
  ),
  0
)
"),0.0)</f>
        <v>0</v>
      </c>
      <c r="T129" s="9">
        <f>IFERROR(__xludf.DUMMYFUNCTION("IFERROR(
  VLOOKUP(
    A129,
    IMPORTRANGE(
      ""1ZHMy3vVUd_0MrSduXTe1etBb1HNpAlGwQr006ljwMiM"",
      ""GSC最新!A:R""
    ),
    14,
    FALSE
  ),
  0
)
"),0.0)</f>
        <v>0</v>
      </c>
      <c r="U129" s="9">
        <f>IFERROR(__xludf.DUMMYFUNCTION("IFERROR(
  VLOOKUP(
    A129,
    IMPORTRANGE(
      ""1ZHMy3vVUd_0MrSduXTe1etBb1HNpAlGwQr006ljwMiM"",
      ""GSC最新!A:R""
    ),
    17,
    FALSE
  ),
  0
)
"),0.0)</f>
        <v>0</v>
      </c>
      <c r="V129" s="9">
        <f t="shared" ref="V129:W129" si="638">IFERROR(R129-T129,"-")</f>
        <v>0</v>
      </c>
      <c r="W129" s="9">
        <f t="shared" si="638"/>
        <v>0</v>
      </c>
      <c r="X129" s="65" t="str">
        <f>IFERROR(__xludf.DUMMYFUNCTION("IFERROR(
  VLOOKUP(
    A129,
    IMPORTRANGE(
      ""1ZHMy3vVUd_0MrSduXTe1etBb1HNpAlGwQr006ljwMiM"",
      ""GSC最新!A:R""
    ),
    9,
    FALSE
  ),
  0
)
"),"")</f>
        <v/>
      </c>
      <c r="Y129" s="65" t="str">
        <f>IFERROR(__xludf.DUMMYFUNCTION("IFERROR(
  VLOOKUP(
    A129,
    IMPORTRANGE(
      ""1ZHMy3vVUd_0MrSduXTe1etBb1HNpAlGwQr006ljwMiM"",
      ""GSC最新!A:R""
    ),
    12,
    FALSE
  ),
  0
)
"),"")</f>
        <v/>
      </c>
      <c r="Z129" s="65" t="str">
        <f>IFERROR(__xludf.DUMMYFUNCTION("IFERROR(
  VLOOKUP(
    A129,
    IMPORTRANGE(
      ""1ZHMy3vVUd_0MrSduXTe1etBb1HNpAlGwQr006ljwMiM"",
      ""GSC最新!A:R""
    ),
    15,
    FALSE
  ),
  0
)
"),"")</f>
        <v/>
      </c>
      <c r="AA129" s="65" t="str">
        <f>IFERROR(__xludf.DUMMYFUNCTION("IFERROR(
  VLOOKUP(
    A129,
    IMPORTRANGE(
      ""1ZHMy3vVUd_0MrSduXTe1etBb1HNpAlGwQr006ljwMiM"",
      ""GSC最新!A:R""
    ),
    18,
    FALSE
  ),
  0
)
"),"")</f>
        <v/>
      </c>
      <c r="AB129" s="65">
        <f t="shared" ref="AB129:AC129" si="639">X129-Z129</f>
        <v>0</v>
      </c>
      <c r="AC129" s="65">
        <f t="shared" si="639"/>
        <v>0</v>
      </c>
      <c r="AD129" s="53">
        <f>IFERROR(__xludf.DUMMYFUNCTION("IFERROR(
  VLOOKUP(
    A129,
    IMPORTRANGE(
      ""1ZHMy3vVUd_0MrSduXTe1etBb1HNpAlGwQr006ljwMiM"",
      ""GSC最新!A:F""
    ),
    6,
    FALSE
  ),
  0
)
"),46081.0)</f>
        <v>46081</v>
      </c>
      <c r="AE129" s="54">
        <f>IFERROR(__xludf.DUMMYFUNCTION("IFERROR(
  VLOOKUP(
    A129,
    IMPORTRANGE(
      ""1SCYQd7_cobOYqT0r_F0IqD4tE4rYn5y8Eup4PJTH8es"",
      ""Snapshot!A:M""
    ),
    5,
    FALSE
  ),
  ""-""
)
"),0.0)</f>
        <v>0</v>
      </c>
      <c r="AF129" s="54">
        <f>IFERROR(__xludf.DUMMYFUNCTION("IFERROR(
  VLOOKUP(
    A129,
    IMPORTRANGE(
      ""1SCYQd7_cobOYqT0r_F0IqD4tE4rYn5y8Eup4PJTH8es"",
      ""Snapshot!A:M""
    ),
    6,
    FALSE
  ),
  0
)
"),0.0)</f>
        <v>0</v>
      </c>
      <c r="AG129" s="54">
        <f>IFERROR(__xludf.DUMMYFUNCTION("IFERROR(
  VLOOKUP(
    A129,
    IMPORTRANGE(
      ""1SCYQd7_cobOYqT0r_F0IqD4tE4rYn5y8Eup4PJTH8es"",
      ""Snapshot!A:M""
    ),
    7,
    FALSE
  ),
  0
)
"),369.0)</f>
        <v>369</v>
      </c>
      <c r="AH129" s="54">
        <f>IFERROR(__xludf.DUMMYFUNCTION("IFERROR(
  VLOOKUP(
    A129,
    IMPORTRANGE(
      ""1SCYQd7_cobOYqT0r_F0IqD4tE4rYn5y8Eup4PJTH8es"",
      ""Snapshot!A:M""
    ),
    8,
    FALSE
  ),
  0
)
"),2.0)</f>
        <v>2</v>
      </c>
      <c r="AI129" s="54">
        <f>IFERROR(__xludf.DUMMYFUNCTION("IFERROR(
  VLOOKUP(
    A129,
    IMPORTRANGE(
      ""1SCYQd7_cobOYqT0r_F0IqD4tE4rYn5y8Eup4PJTH8es"",
      ""Snapshot!A:M""
    ),
    9,
    FALSE
  ),
  0
)
"),0.0)</f>
        <v>0</v>
      </c>
      <c r="AJ129" s="54">
        <f>IFERROR(__xludf.DUMMYFUNCTION("IFERROR(
  VLOOKUP(
    A129,
    IMPORTRANGE(
      ""1SCYQd7_cobOYqT0r_F0IqD4tE4rYn5y8Eup4PJTH8es"",
      ""Snapshot!A:M""
    ),
    13,
    FALSE
  ),
  0
)
"),1.0)</f>
        <v>1</v>
      </c>
      <c r="AK129" s="49">
        <f t="shared" ref="AK129:AL129" si="640">LEN(C129)</f>
        <v>57</v>
      </c>
      <c r="AL129" s="49">
        <f t="shared" si="640"/>
        <v>55</v>
      </c>
    </row>
    <row r="130">
      <c r="A130" s="1" t="s">
        <v>1212</v>
      </c>
      <c r="B130" s="1" t="str">
        <f>IFERROR(__xludf.DUMMYFUNCTION("IFERROR(
  VLOOKUP(
    A130,
    IMPORTRANGE(
      ""1ZygntHC1J6IxzKbTidmOyf5nUyW4GCLurHCjexrLm_o"",
      ""HTMLキャッシュ!A:F""
    ),
    2,
    FALSE
  ),
  0
)
"),"NW")</f>
        <v>NW</v>
      </c>
      <c r="C130" s="1" t="str">
        <f>IFERROR(__xludf.DUMMYFUNCTION("IFERROR(
  VLOOKUP(
    A130,
    IMPORTRANGE(
      ""1ZygntHC1J6IxzKbTidmOyf5nUyW4GCLurHCjexrLm_o"",
      ""HTMLキャッシュ!A:F""
    ),
    5,
    FALSE
  ),
  0
)
"),"2021年度冬期講習開催のお知らせ - 新宿区四谷の英語専門塾「英語教室『サポート』」～英語は別に怖くない！～")</f>
        <v>2021年度冬期講習開催のお知らせ - 新宿区四谷の英語専門塾「英語教室『サポート』」～英語は別に怖くない！～</v>
      </c>
      <c r="D130" s="1" t="str">
        <f>IFERROR(__xludf.DUMMYFUNCTION("IFERROR(
  VLOOKUP(
    A130,
    IMPORTRANGE(
      ""1ZygntHC1J6IxzKbTidmOyf5nUyW4GCLurHCjexrLm_o        "",
      ""HTMLキャッシュ!A:F""
    ),
    6,
    FALSE
  ),
  0
)
"),"2021年度 冬期講習会のご案内 当塾「サポート」では、冬期講習会を実施いたします。現在通塾中の生徒の皆さんは")</f>
        <v>2021年度 冬期講習会のご案内 当塾「サポート」では、冬期講習会を実施いたします。現在通塾中の生徒の皆さんは</v>
      </c>
      <c r="E130" s="32">
        <f>IFERROR(__xludf.DUMMYFUNCTION("IFERROR(
  VLOOKUP(
    A130,
    IMPORTRANGE(
      ""1ZygntHC1J6IxzKbTidmOyf5nUyW4GCLurHCjexrLm_o        "",
      ""HTMLキャッシュ!A:F""
    ),
    3,
    FALSE
  ),
  0
)
"),46015.71729166667)</f>
        <v>46015.71729</v>
      </c>
      <c r="F130" s="49">
        <f>IFERROR(__xludf.DUMMYFUNCTION("IFERROR(
  VLOOKUP(
    A130,
    IMPORTRANGE(
      ""1ZHMy3vVUd_0MrSduXTe1etBb1HNpAlGwQr006ljwMiM"",
      ""GSC最新!A:F""
    ),
    2,
    FALSE
  ),
  0
)
"),0.0)</f>
        <v>0</v>
      </c>
      <c r="G130" s="49">
        <f>IFERROR(__xludf.DUMMYFUNCTION("IFERROR(
  VLOOKUP(
    A130,
    IMPORTRANGE(
      ""1ZHMy3vVUd_0MrSduXTe1etBb1HNpAlGwQr006ljwMiM"",
      ""GSC最新!A:F""
    ),
    3,
    FALSE
  ),
  0
)
"),0.0)</f>
        <v>0</v>
      </c>
      <c r="H130" s="49">
        <f>IFERROR(__xludf.DUMMYFUNCTION("IFERROR(
  VLOOKUP(
    A130,
    IMPORTRANGE(
      ""1ZHMy3vVUd_0MrSduXTe1etBb1HNpAlGwQr006ljwMiM"",
      ""GSC最新!A:F""
    ),
    4,
    FALSE
  ),
  0
)
"),0.0)</f>
        <v>0</v>
      </c>
      <c r="I130" s="49">
        <f>IFERROR(__xludf.DUMMYFUNCTION("IFERROR(
  VLOOKUP(
    A130,
    IMPORTRANGE(
      ""1ZHMy3vVUd_0MrSduXTe1etBb1HNpAlGwQr006ljwMiM"",
      ""GSC最新!A:F""
    ),
    5,
    FALSE
  ),
  0
)
"),0.0)</f>
        <v>0</v>
      </c>
      <c r="J130" s="50" t="str">
        <f t="shared" ref="J130:K130" si="641">IFERROR(F130/H130,"-")</f>
        <v>-</v>
      </c>
      <c r="K130" s="50" t="str">
        <f t="shared" si="641"/>
        <v>-</v>
      </c>
      <c r="L130" s="6">
        <f>IFERROR(__xludf.DUMMYFUNCTION("IFERROR(
  VLOOKUP(
    A130,
    IMPORTRANGE(
      ""1ZHMy3vVUd_0MrSduXTe1etBb1HNpAlGwQr006ljwMiM"",
      ""GSC最新!A:R""
    ),
    7,
    FALSE
  ),
  0
)
"),0.0)</f>
        <v>0</v>
      </c>
      <c r="M130" s="6">
        <f>IFERROR(__xludf.DUMMYFUNCTION("IFERROR(
  VLOOKUP(
    A130,
    IMPORTRANGE(
      ""1ZHMy3vVUd_0MrSduXTe1etBb1HNpAlGwQr006ljwMiM"",
      ""GSC最新!A:R""
    ),
    10,
    FALSE
  ),
  0
)
"),0.0)</f>
        <v>0</v>
      </c>
      <c r="N130" s="6">
        <f>IFERROR(__xludf.DUMMYFUNCTION("IFERROR(
  VLOOKUP(
    A130,
    IMPORTRANGE(
      ""1ZHMy3vVUd_0MrSduXTe1etBb1HNpAlGwQr006ljwMiM"",
      ""GSC最新!A:R""
    ),
    13,
    FALSE
  ),
  0
)
"),0.0)</f>
        <v>0</v>
      </c>
      <c r="O130" s="6">
        <f>IFERROR(__xludf.DUMMYFUNCTION("IFERROR(
  VLOOKUP(
    A130,
    IMPORTRANGE(
      ""1ZHMy3vVUd_0MrSduXTe1etBb1HNpAlGwQr006ljwMiM"",
      ""GSC最新!A:R""
    ),
    16,
    FALSE
  ),
  0
)
"),0.0)</f>
        <v>0</v>
      </c>
      <c r="P130" s="51" t="str">
        <f t="shared" ref="P130:Q130" si="642">IFERROR(L130/N130,"-")</f>
        <v>-</v>
      </c>
      <c r="Q130" s="51" t="str">
        <f t="shared" si="642"/>
        <v>-</v>
      </c>
      <c r="R130" s="9">
        <f>IFERROR(__xludf.DUMMYFUNCTION("IFERROR(
  VLOOKUP(
    A130,
    IMPORTRANGE(
      ""1ZHMy3vVUd_0MrSduXTe1etBb1HNpAlGwQr006ljwMiM"",
      ""GSC最新!A:R""
    ),
    8,
    FALSE
  ),
  0
)
"),0.0)</f>
        <v>0</v>
      </c>
      <c r="S130" s="9">
        <f>IFERROR(__xludf.DUMMYFUNCTION("IFERROR(
  VLOOKUP(
    A130,
    IMPORTRANGE(
      ""1ZHMy3vVUd_0MrSduXTe1etBb1HNpAlGwQr006ljwMiM"",
      ""GSC最新!A:R""
    ),
    11,
    FALSE
  ),
  0
)
"),0.0)</f>
        <v>0</v>
      </c>
      <c r="T130" s="9">
        <f>IFERROR(__xludf.DUMMYFUNCTION("IFERROR(
  VLOOKUP(
    A130,
    IMPORTRANGE(
      ""1ZHMy3vVUd_0MrSduXTe1etBb1HNpAlGwQr006ljwMiM"",
      ""GSC最新!A:R""
    ),
    14,
    FALSE
  ),
  0
)
"),0.0)</f>
        <v>0</v>
      </c>
      <c r="U130" s="9">
        <f>IFERROR(__xludf.DUMMYFUNCTION("IFERROR(
  VLOOKUP(
    A130,
    IMPORTRANGE(
      ""1ZHMy3vVUd_0MrSduXTe1etBb1HNpAlGwQr006ljwMiM"",
      ""GSC最新!A:R""
    ),
    17,
    FALSE
  ),
  0
)
"),0.0)</f>
        <v>0</v>
      </c>
      <c r="V130" s="9">
        <f t="shared" ref="V130:W130" si="643">IFERROR(R130-T130,"-")</f>
        <v>0</v>
      </c>
      <c r="W130" s="9">
        <f t="shared" si="643"/>
        <v>0</v>
      </c>
      <c r="X130" s="65" t="str">
        <f>IFERROR(__xludf.DUMMYFUNCTION("IFERROR(
  VLOOKUP(
    A130,
    IMPORTRANGE(
      ""1ZHMy3vVUd_0MrSduXTe1etBb1HNpAlGwQr006ljwMiM"",
      ""GSC最新!A:R""
    ),
    9,
    FALSE
  ),
  0
)
"),"")</f>
        <v/>
      </c>
      <c r="Y130" s="65" t="str">
        <f>IFERROR(__xludf.DUMMYFUNCTION("IFERROR(
  VLOOKUP(
    A130,
    IMPORTRANGE(
      ""1ZHMy3vVUd_0MrSduXTe1etBb1HNpAlGwQr006ljwMiM"",
      ""GSC最新!A:R""
    ),
    12,
    FALSE
  ),
  0
)
"),"")</f>
        <v/>
      </c>
      <c r="Z130" s="65" t="str">
        <f>IFERROR(__xludf.DUMMYFUNCTION("IFERROR(
  VLOOKUP(
    A130,
    IMPORTRANGE(
      ""1ZHMy3vVUd_0MrSduXTe1etBb1HNpAlGwQr006ljwMiM"",
      ""GSC最新!A:R""
    ),
    15,
    FALSE
  ),
  0
)
"),"")</f>
        <v/>
      </c>
      <c r="AA130" s="65" t="str">
        <f>IFERROR(__xludf.DUMMYFUNCTION("IFERROR(
  VLOOKUP(
    A130,
    IMPORTRANGE(
      ""1ZHMy3vVUd_0MrSduXTe1etBb1HNpAlGwQr006ljwMiM"",
      ""GSC最新!A:R""
    ),
    18,
    FALSE
  ),
  0
)
"),"")</f>
        <v/>
      </c>
      <c r="AB130" s="65">
        <f t="shared" ref="AB130:AC130" si="644">X130-Z130</f>
        <v>0</v>
      </c>
      <c r="AC130" s="65">
        <f t="shared" si="644"/>
        <v>0</v>
      </c>
      <c r="AD130" s="53">
        <f>IFERROR(__xludf.DUMMYFUNCTION("IFERROR(
  VLOOKUP(
    A130,
    IMPORTRANGE(
      ""1ZHMy3vVUd_0MrSduXTe1etBb1HNpAlGwQr006ljwMiM"",
      ""GSC最新!A:F""
    ),
    6,
    FALSE
  ),
  0
)
"),46081.0)</f>
        <v>46081</v>
      </c>
      <c r="AE130" s="54">
        <f>IFERROR(__xludf.DUMMYFUNCTION("IFERROR(
  VLOOKUP(
    A130,
    IMPORTRANGE(
      ""1SCYQd7_cobOYqT0r_F0IqD4tE4rYn5y8Eup4PJTH8es"",
      ""Snapshot!A:M""
    ),
    5,
    FALSE
  ),
  ""-""
)
"),0.0)</f>
        <v>0</v>
      </c>
      <c r="AF130" s="54">
        <f>IFERROR(__xludf.DUMMYFUNCTION("IFERROR(
  VLOOKUP(
    A130,
    IMPORTRANGE(
      ""1SCYQd7_cobOYqT0r_F0IqD4tE4rYn5y8Eup4PJTH8es"",
      ""Snapshot!A:M""
    ),
    6,
    FALSE
  ),
  0
)
"),0.0)</f>
        <v>0</v>
      </c>
      <c r="AG130" s="54">
        <f>IFERROR(__xludf.DUMMYFUNCTION("IFERROR(
  VLOOKUP(
    A130,
    IMPORTRANGE(
      ""1SCYQd7_cobOYqT0r_F0IqD4tE4rYn5y8Eup4PJTH8es"",
      ""Snapshot!A:M""
    ),
    7,
    FALSE
  ),
  0
)
"),459.0)</f>
        <v>459</v>
      </c>
      <c r="AH130" s="54">
        <f>IFERROR(__xludf.DUMMYFUNCTION("IFERROR(
  VLOOKUP(
    A130,
    IMPORTRANGE(
      ""1SCYQd7_cobOYqT0r_F0IqD4tE4rYn5y8Eup4PJTH8es"",
      ""Snapshot!A:M""
    ),
    8,
    FALSE
  ),
  0
)
"),1.0)</f>
        <v>1</v>
      </c>
      <c r="AI130" s="54">
        <f>IFERROR(__xludf.DUMMYFUNCTION("IFERROR(
  VLOOKUP(
    A130,
    IMPORTRANGE(
      ""1SCYQd7_cobOYqT0r_F0IqD4tE4rYn5y8Eup4PJTH8es"",
      ""Snapshot!A:M""
    ),
    9,
    FALSE
  ),
  0
)
"),0.0)</f>
        <v>0</v>
      </c>
      <c r="AJ130" s="54">
        <f>IFERROR(__xludf.DUMMYFUNCTION("IFERROR(
  VLOOKUP(
    A130,
    IMPORTRANGE(
      ""1SCYQd7_cobOYqT0r_F0IqD4tE4rYn5y8Eup4PJTH8es"",
      ""Snapshot!A:M""
    ),
    13,
    FALSE
  ),
  0
)
"),1.0)</f>
        <v>1</v>
      </c>
      <c r="AK130" s="49">
        <f t="shared" ref="AK130:AL130" si="645">LEN(C130)</f>
        <v>55</v>
      </c>
      <c r="AL130" s="49">
        <f t="shared" si="645"/>
        <v>55</v>
      </c>
    </row>
    <row r="131">
      <c r="A131" s="1" t="s">
        <v>1213</v>
      </c>
      <c r="B131" s="1" t="str">
        <f>IFERROR(__xludf.DUMMYFUNCTION("IFERROR(
  VLOOKUP(
    A131,
    IMPORTRANGE(
      ""1ZygntHC1J6IxzKbTidmOyf5nUyW4GCLurHCjexrLm_o"",
      ""HTMLキャッシュ!A:F""
    ),
    2,
    FALSE
  ),
  0
)
"),"NW")</f>
        <v>NW</v>
      </c>
      <c r="C131" s="1" t="str">
        <f>IFERROR(__xludf.DUMMYFUNCTION("IFERROR(
  VLOOKUP(
    A131,
    IMPORTRANGE(
      ""1ZygntHC1J6IxzKbTidmOyf5nUyW4GCLurHCjexrLm_o"",
      ""HTMLキャッシュ!A:F""
    ),
    5,
    FALSE
  ),
  0
)
"),"2022年度冬期講習開催のお知らせ - 新宿区四谷の英語専門塾「英語教室『サポート』」～英語は別に怖くない！～")</f>
        <v>2022年度冬期講習開催のお知らせ - 新宿区四谷の英語専門塾「英語教室『サポート』」～英語は別に怖くない！～</v>
      </c>
      <c r="D131" s="1" t="str">
        <f>IFERROR(__xludf.DUMMYFUNCTION("IFERROR(
  VLOOKUP(
    A131,
    IMPORTRANGE(
      ""1ZygntHC1J6IxzKbTidmOyf5nUyW4GCLurHCjexrLm_o        "",
      ""HTMLキャッシュ!A:F""
    ),
    6,
    FALSE
  ),
  0
)
"),"2022年度 冬期講習会のご案内 当塾「サポート」では、冬期講習会を実施いたします。現在通塾中の生徒の皆さんは")</f>
        <v>2022年度 冬期講習会のご案内 当塾「サポート」では、冬期講習会を実施いたします。現在通塾中の生徒の皆さんは</v>
      </c>
      <c r="E131" s="32">
        <f>IFERROR(__xludf.DUMMYFUNCTION("IFERROR(
  VLOOKUP(
    A131,
    IMPORTRANGE(
      ""1ZygntHC1J6IxzKbTidmOyf5nUyW4GCLurHCjexrLm_o        "",
      ""HTMLキャッシュ!A:F""
    ),
    3,
    FALSE
  ),
  0
)
"),46015.726111111115)</f>
        <v>46015.72611</v>
      </c>
      <c r="F131" s="49">
        <f>IFERROR(__xludf.DUMMYFUNCTION("IFERROR(
  VLOOKUP(
    A131,
    IMPORTRANGE(
      ""1ZHMy3vVUd_0MrSduXTe1etBb1HNpAlGwQr006ljwMiM"",
      ""GSC最新!A:F""
    ),
    2,
    FALSE
  ),
  0
)
"),0.0)</f>
        <v>0</v>
      </c>
      <c r="G131" s="49">
        <f>IFERROR(__xludf.DUMMYFUNCTION("IFERROR(
  VLOOKUP(
    A131,
    IMPORTRANGE(
      ""1ZHMy3vVUd_0MrSduXTe1etBb1HNpAlGwQr006ljwMiM"",
      ""GSC最新!A:F""
    ),
    3,
    FALSE
  ),
  0
)
"),0.0)</f>
        <v>0</v>
      </c>
      <c r="H131" s="49">
        <f>IFERROR(__xludf.DUMMYFUNCTION("IFERROR(
  VLOOKUP(
    A131,
    IMPORTRANGE(
      ""1ZHMy3vVUd_0MrSduXTe1etBb1HNpAlGwQr006ljwMiM"",
      ""GSC最新!A:F""
    ),
    4,
    FALSE
  ),
  0
)
"),0.0)</f>
        <v>0</v>
      </c>
      <c r="I131" s="49">
        <f>IFERROR(__xludf.DUMMYFUNCTION("IFERROR(
  VLOOKUP(
    A131,
    IMPORTRANGE(
      ""1ZHMy3vVUd_0MrSduXTe1etBb1HNpAlGwQr006ljwMiM"",
      ""GSC最新!A:F""
    ),
    5,
    FALSE
  ),
  0
)
"),0.0)</f>
        <v>0</v>
      </c>
      <c r="J131" s="50" t="str">
        <f t="shared" ref="J131:K131" si="646">IFERROR(F131/H131,"-")</f>
        <v>-</v>
      </c>
      <c r="K131" s="50" t="str">
        <f t="shared" si="646"/>
        <v>-</v>
      </c>
      <c r="L131" s="6">
        <f>IFERROR(__xludf.DUMMYFUNCTION("IFERROR(
  VLOOKUP(
    A131,
    IMPORTRANGE(
      ""1ZHMy3vVUd_0MrSduXTe1etBb1HNpAlGwQr006ljwMiM"",
      ""GSC最新!A:R""
    ),
    7,
    FALSE
  ),
  0
)
"),0.0)</f>
        <v>0</v>
      </c>
      <c r="M131" s="6">
        <f>IFERROR(__xludf.DUMMYFUNCTION("IFERROR(
  VLOOKUP(
    A131,
    IMPORTRANGE(
      ""1ZHMy3vVUd_0MrSduXTe1etBb1HNpAlGwQr006ljwMiM"",
      ""GSC最新!A:R""
    ),
    10,
    FALSE
  ),
  0
)
"),0.0)</f>
        <v>0</v>
      </c>
      <c r="N131" s="6">
        <f>IFERROR(__xludf.DUMMYFUNCTION("IFERROR(
  VLOOKUP(
    A131,
    IMPORTRANGE(
      ""1ZHMy3vVUd_0MrSduXTe1etBb1HNpAlGwQr006ljwMiM"",
      ""GSC最新!A:R""
    ),
    13,
    FALSE
  ),
  0
)
"),0.0)</f>
        <v>0</v>
      </c>
      <c r="O131" s="6">
        <f>IFERROR(__xludf.DUMMYFUNCTION("IFERROR(
  VLOOKUP(
    A131,
    IMPORTRANGE(
      ""1ZHMy3vVUd_0MrSduXTe1etBb1HNpAlGwQr006ljwMiM"",
      ""GSC最新!A:R""
    ),
    16,
    FALSE
  ),
  0
)
"),0.0)</f>
        <v>0</v>
      </c>
      <c r="P131" s="51" t="str">
        <f t="shared" ref="P131:Q131" si="647">IFERROR(L131/N131,"-")</f>
        <v>-</v>
      </c>
      <c r="Q131" s="51" t="str">
        <f t="shared" si="647"/>
        <v>-</v>
      </c>
      <c r="R131" s="9">
        <f>IFERROR(__xludf.DUMMYFUNCTION("IFERROR(
  VLOOKUP(
    A131,
    IMPORTRANGE(
      ""1ZHMy3vVUd_0MrSduXTe1etBb1HNpAlGwQr006ljwMiM"",
      ""GSC最新!A:R""
    ),
    8,
    FALSE
  ),
  0
)
"),0.0)</f>
        <v>0</v>
      </c>
      <c r="S131" s="9">
        <f>IFERROR(__xludf.DUMMYFUNCTION("IFERROR(
  VLOOKUP(
    A131,
    IMPORTRANGE(
      ""1ZHMy3vVUd_0MrSduXTe1etBb1HNpAlGwQr006ljwMiM"",
      ""GSC最新!A:R""
    ),
    11,
    FALSE
  ),
  0
)
"),0.0)</f>
        <v>0</v>
      </c>
      <c r="T131" s="9">
        <f>IFERROR(__xludf.DUMMYFUNCTION("IFERROR(
  VLOOKUP(
    A131,
    IMPORTRANGE(
      ""1ZHMy3vVUd_0MrSduXTe1etBb1HNpAlGwQr006ljwMiM"",
      ""GSC最新!A:R""
    ),
    14,
    FALSE
  ),
  0
)
"),0.0)</f>
        <v>0</v>
      </c>
      <c r="U131" s="9">
        <f>IFERROR(__xludf.DUMMYFUNCTION("IFERROR(
  VLOOKUP(
    A131,
    IMPORTRANGE(
      ""1ZHMy3vVUd_0MrSduXTe1etBb1HNpAlGwQr006ljwMiM"",
      ""GSC最新!A:R""
    ),
    17,
    FALSE
  ),
  0
)
"),0.0)</f>
        <v>0</v>
      </c>
      <c r="V131" s="9">
        <f t="shared" ref="V131:W131" si="648">IFERROR(R131-T131,"-")</f>
        <v>0</v>
      </c>
      <c r="W131" s="9">
        <f t="shared" si="648"/>
        <v>0</v>
      </c>
      <c r="X131" s="65" t="str">
        <f>IFERROR(__xludf.DUMMYFUNCTION("IFERROR(
  VLOOKUP(
    A131,
    IMPORTRANGE(
      ""1ZHMy3vVUd_0MrSduXTe1etBb1HNpAlGwQr006ljwMiM"",
      ""GSC最新!A:R""
    ),
    9,
    FALSE
  ),
  0
)
"),"")</f>
        <v/>
      </c>
      <c r="Y131" s="65" t="str">
        <f>IFERROR(__xludf.DUMMYFUNCTION("IFERROR(
  VLOOKUP(
    A131,
    IMPORTRANGE(
      ""1ZHMy3vVUd_0MrSduXTe1etBb1HNpAlGwQr006ljwMiM"",
      ""GSC最新!A:R""
    ),
    12,
    FALSE
  ),
  0
)
"),"")</f>
        <v/>
      </c>
      <c r="Z131" s="65" t="str">
        <f>IFERROR(__xludf.DUMMYFUNCTION("IFERROR(
  VLOOKUP(
    A131,
    IMPORTRANGE(
      ""1ZHMy3vVUd_0MrSduXTe1etBb1HNpAlGwQr006ljwMiM"",
      ""GSC最新!A:R""
    ),
    15,
    FALSE
  ),
  0
)
"),"")</f>
        <v/>
      </c>
      <c r="AA131" s="65" t="str">
        <f>IFERROR(__xludf.DUMMYFUNCTION("IFERROR(
  VLOOKUP(
    A131,
    IMPORTRANGE(
      ""1ZHMy3vVUd_0MrSduXTe1etBb1HNpAlGwQr006ljwMiM"",
      ""GSC最新!A:R""
    ),
    18,
    FALSE
  ),
  0
)
"),"")</f>
        <v/>
      </c>
      <c r="AB131" s="65">
        <f t="shared" ref="AB131:AC131" si="649">X131-Z131</f>
        <v>0</v>
      </c>
      <c r="AC131" s="65">
        <f t="shared" si="649"/>
        <v>0</v>
      </c>
      <c r="AD131" s="53">
        <f>IFERROR(__xludf.DUMMYFUNCTION("IFERROR(
  VLOOKUP(
    A131,
    IMPORTRANGE(
      ""1ZHMy3vVUd_0MrSduXTe1etBb1HNpAlGwQr006ljwMiM"",
      ""GSC最新!A:F""
    ),
    6,
    FALSE
  ),
  0
)
"),46081.0)</f>
        <v>46081</v>
      </c>
      <c r="AE131" s="54">
        <f>IFERROR(__xludf.DUMMYFUNCTION("IFERROR(
  VLOOKUP(
    A131,
    IMPORTRANGE(
      ""1SCYQd7_cobOYqT0r_F0IqD4tE4rYn5y8Eup4PJTH8es"",
      ""Snapshot!A:M""
    ),
    5,
    FALSE
  ),
  ""-""
)
"),0.0)</f>
        <v>0</v>
      </c>
      <c r="AF131" s="54">
        <f>IFERROR(__xludf.DUMMYFUNCTION("IFERROR(
  VLOOKUP(
    A131,
    IMPORTRANGE(
      ""1SCYQd7_cobOYqT0r_F0IqD4tE4rYn5y8Eup4PJTH8es"",
      ""Snapshot!A:M""
    ),
    6,
    FALSE
  ),
  0
)
"),0.0)</f>
        <v>0</v>
      </c>
      <c r="AG131" s="54">
        <f>IFERROR(__xludf.DUMMYFUNCTION("IFERROR(
  VLOOKUP(
    A131,
    IMPORTRANGE(
      ""1SCYQd7_cobOYqT0r_F0IqD4tE4rYn5y8Eup4PJTH8es"",
      ""Snapshot!A:M""
    ),
    7,
    FALSE
  ),
  0
)
"),463.0)</f>
        <v>463</v>
      </c>
      <c r="AH131" s="54">
        <f>IFERROR(__xludf.DUMMYFUNCTION("IFERROR(
  VLOOKUP(
    A131,
    IMPORTRANGE(
      ""1SCYQd7_cobOYqT0r_F0IqD4tE4rYn5y8Eup4PJTH8es"",
      ""Snapshot!A:M""
    ),
    8,
    FALSE
  ),
  0
)
"),2.0)</f>
        <v>2</v>
      </c>
      <c r="AI131" s="54">
        <f>IFERROR(__xludf.DUMMYFUNCTION("IFERROR(
  VLOOKUP(
    A131,
    IMPORTRANGE(
      ""1SCYQd7_cobOYqT0r_F0IqD4tE4rYn5y8Eup4PJTH8es"",
      ""Snapshot!A:M""
    ),
    9,
    FALSE
  ),
  0
)
"),0.0)</f>
        <v>0</v>
      </c>
      <c r="AJ131" s="54">
        <f>IFERROR(__xludf.DUMMYFUNCTION("IFERROR(
  VLOOKUP(
    A131,
    IMPORTRANGE(
      ""1SCYQd7_cobOYqT0r_F0IqD4tE4rYn5y8Eup4PJTH8es"",
      ""Snapshot!A:M""
    ),
    13,
    FALSE
  ),
  0
)
"),1.0)</f>
        <v>1</v>
      </c>
      <c r="AK131" s="49">
        <f t="shared" ref="AK131:AL131" si="650">LEN(C131)</f>
        <v>55</v>
      </c>
      <c r="AL131" s="49">
        <f t="shared" si="650"/>
        <v>55</v>
      </c>
    </row>
    <row r="132">
      <c r="A132" s="1" t="s">
        <v>1214</v>
      </c>
      <c r="B132" s="1" t="str">
        <f>IFERROR(__xludf.DUMMYFUNCTION("IFERROR(
  VLOOKUP(
    A132,
    IMPORTRANGE(
      ""1ZygntHC1J6IxzKbTidmOyf5nUyW4GCLurHCjexrLm_o"",
      ""HTMLキャッシュ!A:F""
    ),
    2,
    FALSE
  ),
  0
)
"),"NW")</f>
        <v>NW</v>
      </c>
      <c r="C132" s="1" t="str">
        <f>IFERROR(__xludf.DUMMYFUNCTION("IFERROR(
  VLOOKUP(
    A132,
    IMPORTRANGE(
      ""1ZygntHC1J6IxzKbTidmOyf5nUyW4GCLurHCjexrLm_o"",
      ""HTMLキャッシュ!A:F""
    ),
    5,
    FALSE
  ),
  0
)
"),"2023年度冬期講習開催のお知らせ - 新宿区四谷の英語専門塾「英語教室『サポート』」～英語は別に怖くない！～")</f>
        <v>2023年度冬期講習開催のお知らせ - 新宿区四谷の英語専門塾「英語教室『サポート』」～英語は別に怖くない！～</v>
      </c>
      <c r="D132" s="1" t="str">
        <f>IFERROR(__xludf.DUMMYFUNCTION("IFERROR(
  VLOOKUP(
    A132,
    IMPORTRANGE(
      ""1ZygntHC1J6IxzKbTidmOyf5nUyW4GCLurHCjexrLm_o        "",
      ""HTMLキャッシュ!A:F""
    ),
    6,
    FALSE
  ),
  0
)
"),"2023年度 冬期講習会のご案内 当塾「サポート」では、冬期講習会を実施いたします。現在通塾中の生徒の皆さんは")</f>
        <v>2023年度 冬期講習会のご案内 当塾「サポート」では、冬期講習会を実施いたします。現在通塾中の生徒の皆さんは</v>
      </c>
      <c r="E132" s="32">
        <f>IFERROR(__xludf.DUMMYFUNCTION("IFERROR(
  VLOOKUP(
    A132,
    IMPORTRANGE(
      ""1ZygntHC1J6IxzKbTidmOyf5nUyW4GCLurHCjexrLm_o        "",
      ""HTMLキャッシュ!A:F""
    ),
    3,
    FALSE
  ),
  0
)
"),46015.731307870374)</f>
        <v>46015.73131</v>
      </c>
      <c r="F132" s="49">
        <f>IFERROR(__xludf.DUMMYFUNCTION("IFERROR(
  VLOOKUP(
    A132,
    IMPORTRANGE(
      ""1ZHMy3vVUd_0MrSduXTe1etBb1HNpAlGwQr006ljwMiM"",
      ""GSC最新!A:F""
    ),
    2,
    FALSE
  ),
  0
)
"),0.0)</f>
        <v>0</v>
      </c>
      <c r="G132" s="49">
        <f>IFERROR(__xludf.DUMMYFUNCTION("IFERROR(
  VLOOKUP(
    A132,
    IMPORTRANGE(
      ""1ZHMy3vVUd_0MrSduXTe1etBb1HNpAlGwQr006ljwMiM"",
      ""GSC最新!A:F""
    ),
    3,
    FALSE
  ),
  0
)
"),0.0)</f>
        <v>0</v>
      </c>
      <c r="H132" s="49">
        <f>IFERROR(__xludf.DUMMYFUNCTION("IFERROR(
  VLOOKUP(
    A132,
    IMPORTRANGE(
      ""1ZHMy3vVUd_0MrSduXTe1etBb1HNpAlGwQr006ljwMiM"",
      ""GSC最新!A:F""
    ),
    4,
    FALSE
  ),
  0
)
"),0.0)</f>
        <v>0</v>
      </c>
      <c r="I132" s="49">
        <f>IFERROR(__xludf.DUMMYFUNCTION("IFERROR(
  VLOOKUP(
    A132,
    IMPORTRANGE(
      ""1ZHMy3vVUd_0MrSduXTe1etBb1HNpAlGwQr006ljwMiM"",
      ""GSC最新!A:F""
    ),
    5,
    FALSE
  ),
  0
)
"),0.0)</f>
        <v>0</v>
      </c>
      <c r="J132" s="50" t="str">
        <f t="shared" ref="J132:K132" si="651">IFERROR(F132/H132,"-")</f>
        <v>-</v>
      </c>
      <c r="K132" s="50" t="str">
        <f t="shared" si="651"/>
        <v>-</v>
      </c>
      <c r="L132" s="6">
        <f>IFERROR(__xludf.DUMMYFUNCTION("IFERROR(
  VLOOKUP(
    A132,
    IMPORTRANGE(
      ""1ZHMy3vVUd_0MrSduXTe1etBb1HNpAlGwQr006ljwMiM"",
      ""GSC最新!A:R""
    ),
    7,
    FALSE
  ),
  0
)
"),0.0)</f>
        <v>0</v>
      </c>
      <c r="M132" s="6">
        <f>IFERROR(__xludf.DUMMYFUNCTION("IFERROR(
  VLOOKUP(
    A132,
    IMPORTRANGE(
      ""1ZHMy3vVUd_0MrSduXTe1etBb1HNpAlGwQr006ljwMiM"",
      ""GSC最新!A:R""
    ),
    10,
    FALSE
  ),
  0
)
"),0.0)</f>
        <v>0</v>
      </c>
      <c r="N132" s="6">
        <f>IFERROR(__xludf.DUMMYFUNCTION("IFERROR(
  VLOOKUP(
    A132,
    IMPORTRANGE(
      ""1ZHMy3vVUd_0MrSduXTe1etBb1HNpAlGwQr006ljwMiM"",
      ""GSC最新!A:R""
    ),
    13,
    FALSE
  ),
  0
)
"),0.0)</f>
        <v>0</v>
      </c>
      <c r="O132" s="6">
        <f>IFERROR(__xludf.DUMMYFUNCTION("IFERROR(
  VLOOKUP(
    A132,
    IMPORTRANGE(
      ""1ZHMy3vVUd_0MrSduXTe1etBb1HNpAlGwQr006ljwMiM"",
      ""GSC最新!A:R""
    ),
    16,
    FALSE
  ),
  0
)
"),0.0)</f>
        <v>0</v>
      </c>
      <c r="P132" s="51" t="str">
        <f t="shared" ref="P132:Q132" si="652">IFERROR(L132/N132,"-")</f>
        <v>-</v>
      </c>
      <c r="Q132" s="51" t="str">
        <f t="shared" si="652"/>
        <v>-</v>
      </c>
      <c r="R132" s="9">
        <f>IFERROR(__xludf.DUMMYFUNCTION("IFERROR(
  VLOOKUP(
    A132,
    IMPORTRANGE(
      ""1ZHMy3vVUd_0MrSduXTe1etBb1HNpAlGwQr006ljwMiM"",
      ""GSC最新!A:R""
    ),
    8,
    FALSE
  ),
  0
)
"),0.0)</f>
        <v>0</v>
      </c>
      <c r="S132" s="9">
        <f>IFERROR(__xludf.DUMMYFUNCTION("IFERROR(
  VLOOKUP(
    A132,
    IMPORTRANGE(
      ""1ZHMy3vVUd_0MrSduXTe1etBb1HNpAlGwQr006ljwMiM"",
      ""GSC最新!A:R""
    ),
    11,
    FALSE
  ),
  0
)
"),0.0)</f>
        <v>0</v>
      </c>
      <c r="T132" s="9">
        <f>IFERROR(__xludf.DUMMYFUNCTION("IFERROR(
  VLOOKUP(
    A132,
    IMPORTRANGE(
      ""1ZHMy3vVUd_0MrSduXTe1etBb1HNpAlGwQr006ljwMiM"",
      ""GSC最新!A:R""
    ),
    14,
    FALSE
  ),
  0
)
"),0.0)</f>
        <v>0</v>
      </c>
      <c r="U132" s="9">
        <f>IFERROR(__xludf.DUMMYFUNCTION("IFERROR(
  VLOOKUP(
    A132,
    IMPORTRANGE(
      ""1ZHMy3vVUd_0MrSduXTe1etBb1HNpAlGwQr006ljwMiM"",
      ""GSC最新!A:R""
    ),
    17,
    FALSE
  ),
  0
)
"),0.0)</f>
        <v>0</v>
      </c>
      <c r="V132" s="9">
        <f t="shared" ref="V132:W132" si="653">IFERROR(R132-T132,"-")</f>
        <v>0</v>
      </c>
      <c r="W132" s="9">
        <f t="shared" si="653"/>
        <v>0</v>
      </c>
      <c r="X132" s="65" t="str">
        <f>IFERROR(__xludf.DUMMYFUNCTION("IFERROR(
  VLOOKUP(
    A132,
    IMPORTRANGE(
      ""1ZHMy3vVUd_0MrSduXTe1etBb1HNpAlGwQr006ljwMiM"",
      ""GSC最新!A:R""
    ),
    9,
    FALSE
  ),
  0
)
"),"")</f>
        <v/>
      </c>
      <c r="Y132" s="65" t="str">
        <f>IFERROR(__xludf.DUMMYFUNCTION("IFERROR(
  VLOOKUP(
    A132,
    IMPORTRANGE(
      ""1ZHMy3vVUd_0MrSduXTe1etBb1HNpAlGwQr006ljwMiM"",
      ""GSC最新!A:R""
    ),
    12,
    FALSE
  ),
  0
)
"),"")</f>
        <v/>
      </c>
      <c r="Z132" s="65" t="str">
        <f>IFERROR(__xludf.DUMMYFUNCTION("IFERROR(
  VLOOKUP(
    A132,
    IMPORTRANGE(
      ""1ZHMy3vVUd_0MrSduXTe1etBb1HNpAlGwQr006ljwMiM"",
      ""GSC最新!A:R""
    ),
    15,
    FALSE
  ),
  0
)
"),"")</f>
        <v/>
      </c>
      <c r="AA132" s="65" t="str">
        <f>IFERROR(__xludf.DUMMYFUNCTION("IFERROR(
  VLOOKUP(
    A132,
    IMPORTRANGE(
      ""1ZHMy3vVUd_0MrSduXTe1etBb1HNpAlGwQr006ljwMiM"",
      ""GSC最新!A:R""
    ),
    18,
    FALSE
  ),
  0
)
"),"")</f>
        <v/>
      </c>
      <c r="AB132" s="65">
        <f t="shared" ref="AB132:AC132" si="654">X132-Z132</f>
        <v>0</v>
      </c>
      <c r="AC132" s="65">
        <f t="shared" si="654"/>
        <v>0</v>
      </c>
      <c r="AD132" s="53">
        <f>IFERROR(__xludf.DUMMYFUNCTION("IFERROR(
  VLOOKUP(
    A132,
    IMPORTRANGE(
      ""1ZHMy3vVUd_0MrSduXTe1etBb1HNpAlGwQr006ljwMiM"",
      ""GSC最新!A:F""
    ),
    6,
    FALSE
  ),
  0
)
"),46081.0)</f>
        <v>46081</v>
      </c>
      <c r="AE132" s="54">
        <f>IFERROR(__xludf.DUMMYFUNCTION("IFERROR(
  VLOOKUP(
    A132,
    IMPORTRANGE(
      ""1SCYQd7_cobOYqT0r_F0IqD4tE4rYn5y8Eup4PJTH8es"",
      ""Snapshot!A:M""
    ),
    5,
    FALSE
  ),
  ""-""
)
"),0.0)</f>
        <v>0</v>
      </c>
      <c r="AF132" s="54">
        <f>IFERROR(__xludf.DUMMYFUNCTION("IFERROR(
  VLOOKUP(
    A132,
    IMPORTRANGE(
      ""1SCYQd7_cobOYqT0r_F0IqD4tE4rYn5y8Eup4PJTH8es"",
      ""Snapshot!A:M""
    ),
    6,
    FALSE
  ),
  0
)
"),0.0)</f>
        <v>0</v>
      </c>
      <c r="AG132" s="54">
        <f>IFERROR(__xludf.DUMMYFUNCTION("IFERROR(
  VLOOKUP(
    A132,
    IMPORTRANGE(
      ""1SCYQd7_cobOYqT0r_F0IqD4tE4rYn5y8Eup4PJTH8es"",
      ""Snapshot!A:M""
    ),
    7,
    FALSE
  ),
  0
)
"),463.0)</f>
        <v>463</v>
      </c>
      <c r="AH132" s="54">
        <f>IFERROR(__xludf.DUMMYFUNCTION("IFERROR(
  VLOOKUP(
    A132,
    IMPORTRANGE(
      ""1SCYQd7_cobOYqT0r_F0IqD4tE4rYn5y8Eup4PJTH8es"",
      ""Snapshot!A:M""
    ),
    8,
    FALSE
  ),
  0
)
"),2.0)</f>
        <v>2</v>
      </c>
      <c r="AI132" s="54">
        <f>IFERROR(__xludf.DUMMYFUNCTION("IFERROR(
  VLOOKUP(
    A132,
    IMPORTRANGE(
      ""1SCYQd7_cobOYqT0r_F0IqD4tE4rYn5y8Eup4PJTH8es"",
      ""Snapshot!A:M""
    ),
    9,
    FALSE
  ),
  0
)
"),0.0)</f>
        <v>0</v>
      </c>
      <c r="AJ132" s="54">
        <f>IFERROR(__xludf.DUMMYFUNCTION("IFERROR(
  VLOOKUP(
    A132,
    IMPORTRANGE(
      ""1SCYQd7_cobOYqT0r_F0IqD4tE4rYn5y8Eup4PJTH8es"",
      ""Snapshot!A:M""
    ),
    13,
    FALSE
  ),
  0
)
"),1.0)</f>
        <v>1</v>
      </c>
      <c r="AK132" s="49">
        <f t="shared" ref="AK132:AL132" si="655">LEN(C132)</f>
        <v>55</v>
      </c>
      <c r="AL132" s="49">
        <f t="shared" si="655"/>
        <v>55</v>
      </c>
    </row>
    <row r="133">
      <c r="A133" s="1" t="s">
        <v>1215</v>
      </c>
      <c r="B133" s="1" t="str">
        <f>IFERROR(__xludf.DUMMYFUNCTION("IFERROR(
  VLOOKUP(
    A133,
    IMPORTRANGE(
      ""1ZygntHC1J6IxzKbTidmOyf5nUyW4GCLurHCjexrLm_o"",
      ""HTMLキャッシュ!A:F""
    ),
    2,
    FALSE
  ),
  0
)
"),"NW")</f>
        <v>NW</v>
      </c>
      <c r="C133" s="1" t="str">
        <f>IFERROR(__xludf.DUMMYFUNCTION("IFERROR(
  VLOOKUP(
    A133,
    IMPORTRANGE(
      ""1ZygntHC1J6IxzKbTidmOyf5nUyW4GCLurHCjexrLm_o"",
      ""HTMLキャッシュ!A:F""
    ),
    5,
    FALSE
  ),
  0
)
"),"2024年度冬期講習会のお知らせ - 新宿区四谷の英語専門塾「英語教室『サポート』」～英語は別に怖くない！～")</f>
        <v>2024年度冬期講習会のお知らせ - 新宿区四谷の英語専門塾「英語教室『サポート』」～英語は別に怖くない！～</v>
      </c>
      <c r="D133" s="1" t="str">
        <f>IFERROR(__xludf.DUMMYFUNCTION("IFERROR(
  VLOOKUP(
    A133,
    IMPORTRANGE(
      ""1ZygntHC1J6IxzKbTidmOyf5nUyW4GCLurHCjexrLm_o        "",
      ""HTMLキャッシュ!A:F""
    ),
    6,
    FALSE
  ),
  0
)
"),"2024年度 冬期講習会のご案内 当塾「サポート」では、冬期講習会を実施いたします。現在通塾中の生徒の皆さんは")</f>
        <v>2024年度 冬期講習会のご案内 当塾「サポート」では、冬期講習会を実施いたします。現在通塾中の生徒の皆さんは</v>
      </c>
      <c r="E133" s="32">
        <f>IFERROR(__xludf.DUMMYFUNCTION("IFERROR(
  VLOOKUP(
    A133,
    IMPORTRANGE(
      ""1ZygntHC1J6IxzKbTidmOyf5nUyW4GCLurHCjexrLm_o        "",
      ""HTMLキャッシュ!A:F""
    ),
    3,
    FALSE
  ),
  0
)
"),46015.73244212963)</f>
        <v>46015.73244</v>
      </c>
      <c r="F133" s="49">
        <f>IFERROR(__xludf.DUMMYFUNCTION("IFERROR(
  VLOOKUP(
    A133,
    IMPORTRANGE(
      ""1ZHMy3vVUd_0MrSduXTe1etBb1HNpAlGwQr006ljwMiM"",
      ""GSC最新!A:F""
    ),
    2,
    FALSE
  ),
  0
)
"),0.0)</f>
        <v>0</v>
      </c>
      <c r="G133" s="49">
        <f>IFERROR(__xludf.DUMMYFUNCTION("IFERROR(
  VLOOKUP(
    A133,
    IMPORTRANGE(
      ""1ZHMy3vVUd_0MrSduXTe1etBb1HNpAlGwQr006ljwMiM"",
      ""GSC最新!A:F""
    ),
    3,
    FALSE
  ),
  0
)
"),0.0)</f>
        <v>0</v>
      </c>
      <c r="H133" s="49">
        <f>IFERROR(__xludf.DUMMYFUNCTION("IFERROR(
  VLOOKUP(
    A133,
    IMPORTRANGE(
      ""1ZHMy3vVUd_0MrSduXTe1etBb1HNpAlGwQr006ljwMiM"",
      ""GSC最新!A:F""
    ),
    4,
    FALSE
  ),
  0
)
"),0.0)</f>
        <v>0</v>
      </c>
      <c r="I133" s="49">
        <f>IFERROR(__xludf.DUMMYFUNCTION("IFERROR(
  VLOOKUP(
    A133,
    IMPORTRANGE(
      ""1ZHMy3vVUd_0MrSduXTe1etBb1HNpAlGwQr006ljwMiM"",
      ""GSC最新!A:F""
    ),
    5,
    FALSE
  ),
  0
)
"),0.0)</f>
        <v>0</v>
      </c>
      <c r="J133" s="50" t="str">
        <f t="shared" ref="J133:K133" si="656">IFERROR(F133/H133,"-")</f>
        <v>-</v>
      </c>
      <c r="K133" s="50" t="str">
        <f t="shared" si="656"/>
        <v>-</v>
      </c>
      <c r="L133" s="6">
        <f>IFERROR(__xludf.DUMMYFUNCTION("IFERROR(
  VLOOKUP(
    A133,
    IMPORTRANGE(
      ""1ZHMy3vVUd_0MrSduXTe1etBb1HNpAlGwQr006ljwMiM"",
      ""GSC最新!A:R""
    ),
    7,
    FALSE
  ),
  0
)
"),0.0)</f>
        <v>0</v>
      </c>
      <c r="M133" s="6">
        <f>IFERROR(__xludf.DUMMYFUNCTION("IFERROR(
  VLOOKUP(
    A133,
    IMPORTRANGE(
      ""1ZHMy3vVUd_0MrSduXTe1etBb1HNpAlGwQr006ljwMiM"",
      ""GSC最新!A:R""
    ),
    10,
    FALSE
  ),
  0
)
"),0.0)</f>
        <v>0</v>
      </c>
      <c r="N133" s="6">
        <f>IFERROR(__xludf.DUMMYFUNCTION("IFERROR(
  VLOOKUP(
    A133,
    IMPORTRANGE(
      ""1ZHMy3vVUd_0MrSduXTe1etBb1HNpAlGwQr006ljwMiM"",
      ""GSC最新!A:R""
    ),
    13,
    FALSE
  ),
  0
)
"),0.0)</f>
        <v>0</v>
      </c>
      <c r="O133" s="6">
        <f>IFERROR(__xludf.DUMMYFUNCTION("IFERROR(
  VLOOKUP(
    A133,
    IMPORTRANGE(
      ""1ZHMy3vVUd_0MrSduXTe1etBb1HNpAlGwQr006ljwMiM"",
      ""GSC最新!A:R""
    ),
    16,
    FALSE
  ),
  0
)
"),0.0)</f>
        <v>0</v>
      </c>
      <c r="P133" s="51" t="str">
        <f t="shared" ref="P133:Q133" si="657">IFERROR(L133/N133,"-")</f>
        <v>-</v>
      </c>
      <c r="Q133" s="51" t="str">
        <f t="shared" si="657"/>
        <v>-</v>
      </c>
      <c r="R133" s="9">
        <f>IFERROR(__xludf.DUMMYFUNCTION("IFERROR(
  VLOOKUP(
    A133,
    IMPORTRANGE(
      ""1ZHMy3vVUd_0MrSduXTe1etBb1HNpAlGwQr006ljwMiM"",
      ""GSC最新!A:R""
    ),
    8,
    FALSE
  ),
  0
)
"),0.0)</f>
        <v>0</v>
      </c>
      <c r="S133" s="9">
        <f>IFERROR(__xludf.DUMMYFUNCTION("IFERROR(
  VLOOKUP(
    A133,
    IMPORTRANGE(
      ""1ZHMy3vVUd_0MrSduXTe1etBb1HNpAlGwQr006ljwMiM"",
      ""GSC最新!A:R""
    ),
    11,
    FALSE
  ),
  0
)
"),0.0)</f>
        <v>0</v>
      </c>
      <c r="T133" s="9">
        <f>IFERROR(__xludf.DUMMYFUNCTION("IFERROR(
  VLOOKUP(
    A133,
    IMPORTRANGE(
      ""1ZHMy3vVUd_0MrSduXTe1etBb1HNpAlGwQr006ljwMiM"",
      ""GSC最新!A:R""
    ),
    14,
    FALSE
  ),
  0
)
"),0.0)</f>
        <v>0</v>
      </c>
      <c r="U133" s="9">
        <f>IFERROR(__xludf.DUMMYFUNCTION("IFERROR(
  VLOOKUP(
    A133,
    IMPORTRANGE(
      ""1ZHMy3vVUd_0MrSduXTe1etBb1HNpAlGwQr006ljwMiM"",
      ""GSC最新!A:R""
    ),
    17,
    FALSE
  ),
  0
)
"),0.0)</f>
        <v>0</v>
      </c>
      <c r="V133" s="9">
        <f t="shared" ref="V133:W133" si="658">IFERROR(R133-T133,"-")</f>
        <v>0</v>
      </c>
      <c r="W133" s="9">
        <f t="shared" si="658"/>
        <v>0</v>
      </c>
      <c r="X133" s="65" t="str">
        <f>IFERROR(__xludf.DUMMYFUNCTION("IFERROR(
  VLOOKUP(
    A133,
    IMPORTRANGE(
      ""1ZHMy3vVUd_0MrSduXTe1etBb1HNpAlGwQr006ljwMiM"",
      ""GSC最新!A:R""
    ),
    9,
    FALSE
  ),
  0
)
"),"")</f>
        <v/>
      </c>
      <c r="Y133" s="65" t="str">
        <f>IFERROR(__xludf.DUMMYFUNCTION("IFERROR(
  VLOOKUP(
    A133,
    IMPORTRANGE(
      ""1ZHMy3vVUd_0MrSduXTe1etBb1HNpAlGwQr006ljwMiM"",
      ""GSC最新!A:R""
    ),
    12,
    FALSE
  ),
  0
)
"),"")</f>
        <v/>
      </c>
      <c r="Z133" s="65" t="str">
        <f>IFERROR(__xludf.DUMMYFUNCTION("IFERROR(
  VLOOKUP(
    A133,
    IMPORTRANGE(
      ""1ZHMy3vVUd_0MrSduXTe1etBb1HNpAlGwQr006ljwMiM"",
      ""GSC最新!A:R""
    ),
    15,
    FALSE
  ),
  0
)
"),"")</f>
        <v/>
      </c>
      <c r="AA133" s="65" t="str">
        <f>IFERROR(__xludf.DUMMYFUNCTION("IFERROR(
  VLOOKUP(
    A133,
    IMPORTRANGE(
      ""1ZHMy3vVUd_0MrSduXTe1etBb1HNpAlGwQr006ljwMiM"",
      ""GSC最新!A:R""
    ),
    18,
    FALSE
  ),
  0
)
"),"")</f>
        <v/>
      </c>
      <c r="AB133" s="65">
        <f t="shared" ref="AB133:AC133" si="659">X133-Z133</f>
        <v>0</v>
      </c>
      <c r="AC133" s="65">
        <f t="shared" si="659"/>
        <v>0</v>
      </c>
      <c r="AD133" s="53">
        <f>IFERROR(__xludf.DUMMYFUNCTION("IFERROR(
  VLOOKUP(
    A133,
    IMPORTRANGE(
      ""1ZHMy3vVUd_0MrSduXTe1etBb1HNpAlGwQr006ljwMiM"",
      ""GSC最新!A:F""
    ),
    6,
    FALSE
  ),
  0
)
"),46081.0)</f>
        <v>46081</v>
      </c>
      <c r="AE133" s="54">
        <f>IFERROR(__xludf.DUMMYFUNCTION("IFERROR(
  VLOOKUP(
    A133,
    IMPORTRANGE(
      ""1SCYQd7_cobOYqT0r_F0IqD4tE4rYn5y8Eup4PJTH8es"",
      ""Snapshot!A:M""
    ),
    5,
    FALSE
  ),
  ""-""
)
"),0.0)</f>
        <v>0</v>
      </c>
      <c r="AF133" s="54">
        <f>IFERROR(__xludf.DUMMYFUNCTION("IFERROR(
  VLOOKUP(
    A133,
    IMPORTRANGE(
      ""1SCYQd7_cobOYqT0r_F0IqD4tE4rYn5y8Eup4PJTH8es"",
      ""Snapshot!A:M""
    ),
    6,
    FALSE
  ),
  0
)
"),0.0)</f>
        <v>0</v>
      </c>
      <c r="AG133" s="54">
        <f>IFERROR(__xludf.DUMMYFUNCTION("IFERROR(
  VLOOKUP(
    A133,
    IMPORTRANGE(
      ""1SCYQd7_cobOYqT0r_F0IqD4tE4rYn5y8Eup4PJTH8es"",
      ""Snapshot!A:M""
    ),
    7,
    FALSE
  ),
  0
)
"),469.0)</f>
        <v>469</v>
      </c>
      <c r="AH133" s="54">
        <f>IFERROR(__xludf.DUMMYFUNCTION("IFERROR(
  VLOOKUP(
    A133,
    IMPORTRANGE(
      ""1SCYQd7_cobOYqT0r_F0IqD4tE4rYn5y8Eup4PJTH8es"",
      ""Snapshot!A:M""
    ),
    8,
    FALSE
  ),
  0
)
"),2.0)</f>
        <v>2</v>
      </c>
      <c r="AI133" s="54">
        <f>IFERROR(__xludf.DUMMYFUNCTION("IFERROR(
  VLOOKUP(
    A133,
    IMPORTRANGE(
      ""1SCYQd7_cobOYqT0r_F0IqD4tE4rYn5y8Eup4PJTH8es"",
      ""Snapshot!A:M""
    ),
    9,
    FALSE
  ),
  0
)
"),0.0)</f>
        <v>0</v>
      </c>
      <c r="AJ133" s="54">
        <f>IFERROR(__xludf.DUMMYFUNCTION("IFERROR(
  VLOOKUP(
    A133,
    IMPORTRANGE(
      ""1SCYQd7_cobOYqT0r_F0IqD4tE4rYn5y8Eup4PJTH8es"",
      ""Snapshot!A:M""
    ),
    13,
    FALSE
  ),
  0
)
"),1.0)</f>
        <v>1</v>
      </c>
      <c r="AK133" s="49">
        <f t="shared" ref="AK133:AL133" si="660">LEN(C133)</f>
        <v>54</v>
      </c>
      <c r="AL133" s="49">
        <f t="shared" si="660"/>
        <v>55</v>
      </c>
    </row>
    <row r="134">
      <c r="A134" s="1" t="s">
        <v>1216</v>
      </c>
      <c r="B134" s="1" t="str">
        <f>IFERROR(__xludf.DUMMYFUNCTION("IFERROR(
  VLOOKUP(
    A134,
    IMPORTRANGE(
      ""1ZygntHC1J6IxzKbTidmOyf5nUyW4GCLurHCjexrLm_o"",
      ""HTMLキャッシュ!A:F""
    ),
    2,
    FALSE
  ),
  0
)
"),"NW")</f>
        <v>NW</v>
      </c>
      <c r="C134" s="1" t="str">
        <f>IFERROR(__xludf.DUMMYFUNCTION("IFERROR(
  VLOOKUP(
    A134,
    IMPORTRANGE(
      ""1ZygntHC1J6IxzKbTidmOyf5nUyW4GCLurHCjexrLm_o"",
      ""HTMLキャッシュ!A:F""
    ),
    5,
    FALSE
  ),
  0
)
"),"2024年度夏期講習開催のお知らせ - 新宿区四谷の英語専門塾「英語教室『サポート』」～英語は別に怖くない！～")</f>
        <v>2024年度夏期講習開催のお知らせ - 新宿区四谷の英語専門塾「英語教室『サポート』」～英語は別に怖くない！～</v>
      </c>
      <c r="D134" s="1" t="str">
        <f>IFERROR(__xludf.DUMMYFUNCTION("IFERROR(
  VLOOKUP(
    A134,
    IMPORTRANGE(
      ""1ZygntHC1J6IxzKbTidmOyf5nUyW4GCLurHCjexrLm_o        "",
      ""HTMLキャッシュ!A:F""
    ),
    6,
    FALSE
  ),
  0
)
"),"夏休みは、受験生にとってまさに天王山であり、受験を１年以上先に控えているお子様にとっても、普段忙しくて取り組め")</f>
        <v>夏休みは、受験生にとってまさに天王山であり、受験を１年以上先に控えているお子様にとっても、普段忙しくて取り組め</v>
      </c>
      <c r="E134" s="32">
        <f>IFERROR(__xludf.DUMMYFUNCTION("IFERROR(
  VLOOKUP(
    A134,
    IMPORTRANGE(
      ""1ZygntHC1J6IxzKbTidmOyf5nUyW4GCLurHCjexrLm_o        "",
      ""HTMLキャッシュ!A:F""
    ),
    3,
    FALSE
  ),
  0
)
"),46015.73171296297)</f>
        <v>46015.73171</v>
      </c>
      <c r="F134" s="49">
        <f>IFERROR(__xludf.DUMMYFUNCTION("IFERROR(
  VLOOKUP(
    A134,
    IMPORTRANGE(
      ""1ZHMy3vVUd_0MrSduXTe1etBb1HNpAlGwQr006ljwMiM"",
      ""GSC最新!A:F""
    ),
    2,
    FALSE
  ),
  0
)
"),0.0)</f>
        <v>0</v>
      </c>
      <c r="G134" s="49">
        <f>IFERROR(__xludf.DUMMYFUNCTION("IFERROR(
  VLOOKUP(
    A134,
    IMPORTRANGE(
      ""1ZHMy3vVUd_0MrSduXTe1etBb1HNpAlGwQr006ljwMiM"",
      ""GSC最新!A:F""
    ),
    3,
    FALSE
  ),
  0
)
"),0.0)</f>
        <v>0</v>
      </c>
      <c r="H134" s="49">
        <f>IFERROR(__xludf.DUMMYFUNCTION("IFERROR(
  VLOOKUP(
    A134,
    IMPORTRANGE(
      ""1ZHMy3vVUd_0MrSduXTe1etBb1HNpAlGwQr006ljwMiM"",
      ""GSC最新!A:F""
    ),
    4,
    FALSE
  ),
  0
)
"),0.0)</f>
        <v>0</v>
      </c>
      <c r="I134" s="49">
        <f>IFERROR(__xludf.DUMMYFUNCTION("IFERROR(
  VLOOKUP(
    A134,
    IMPORTRANGE(
      ""1ZHMy3vVUd_0MrSduXTe1etBb1HNpAlGwQr006ljwMiM"",
      ""GSC最新!A:F""
    ),
    5,
    FALSE
  ),
  0
)
"),0.0)</f>
        <v>0</v>
      </c>
      <c r="J134" s="50" t="str">
        <f t="shared" ref="J134:K134" si="661">IFERROR(F134/H134,"-")</f>
        <v>-</v>
      </c>
      <c r="K134" s="50" t="str">
        <f t="shared" si="661"/>
        <v>-</v>
      </c>
      <c r="L134" s="6">
        <f>IFERROR(__xludf.DUMMYFUNCTION("IFERROR(
  VLOOKUP(
    A134,
    IMPORTRANGE(
      ""1ZHMy3vVUd_0MrSduXTe1etBb1HNpAlGwQr006ljwMiM"",
      ""GSC最新!A:R""
    ),
    7,
    FALSE
  ),
  0
)
"),0.0)</f>
        <v>0</v>
      </c>
      <c r="M134" s="6">
        <f>IFERROR(__xludf.DUMMYFUNCTION("IFERROR(
  VLOOKUP(
    A134,
    IMPORTRANGE(
      ""1ZHMy3vVUd_0MrSduXTe1etBb1HNpAlGwQr006ljwMiM"",
      ""GSC最新!A:R""
    ),
    10,
    FALSE
  ),
  0
)
"),0.0)</f>
        <v>0</v>
      </c>
      <c r="N134" s="6">
        <f>IFERROR(__xludf.DUMMYFUNCTION("IFERROR(
  VLOOKUP(
    A134,
    IMPORTRANGE(
      ""1ZHMy3vVUd_0MrSduXTe1etBb1HNpAlGwQr006ljwMiM"",
      ""GSC最新!A:R""
    ),
    13,
    FALSE
  ),
  0
)
"),0.0)</f>
        <v>0</v>
      </c>
      <c r="O134" s="6">
        <f>IFERROR(__xludf.DUMMYFUNCTION("IFERROR(
  VLOOKUP(
    A134,
    IMPORTRANGE(
      ""1ZHMy3vVUd_0MrSduXTe1etBb1HNpAlGwQr006ljwMiM"",
      ""GSC最新!A:R""
    ),
    16,
    FALSE
  ),
  0
)
"),0.0)</f>
        <v>0</v>
      </c>
      <c r="P134" s="51" t="str">
        <f t="shared" ref="P134:Q134" si="662">IFERROR(L134/N134,"-")</f>
        <v>-</v>
      </c>
      <c r="Q134" s="51" t="str">
        <f t="shared" si="662"/>
        <v>-</v>
      </c>
      <c r="R134" s="9">
        <f>IFERROR(__xludf.DUMMYFUNCTION("IFERROR(
  VLOOKUP(
    A134,
    IMPORTRANGE(
      ""1ZHMy3vVUd_0MrSduXTe1etBb1HNpAlGwQr006ljwMiM"",
      ""GSC最新!A:R""
    ),
    8,
    FALSE
  ),
  0
)
"),0.0)</f>
        <v>0</v>
      </c>
      <c r="S134" s="9">
        <f>IFERROR(__xludf.DUMMYFUNCTION("IFERROR(
  VLOOKUP(
    A134,
    IMPORTRANGE(
      ""1ZHMy3vVUd_0MrSduXTe1etBb1HNpAlGwQr006ljwMiM"",
      ""GSC最新!A:R""
    ),
    11,
    FALSE
  ),
  0
)
"),0.0)</f>
        <v>0</v>
      </c>
      <c r="T134" s="9">
        <f>IFERROR(__xludf.DUMMYFUNCTION("IFERROR(
  VLOOKUP(
    A134,
    IMPORTRANGE(
      ""1ZHMy3vVUd_0MrSduXTe1etBb1HNpAlGwQr006ljwMiM"",
      ""GSC最新!A:R""
    ),
    14,
    FALSE
  ),
  0
)
"),0.0)</f>
        <v>0</v>
      </c>
      <c r="U134" s="9">
        <f>IFERROR(__xludf.DUMMYFUNCTION("IFERROR(
  VLOOKUP(
    A134,
    IMPORTRANGE(
      ""1ZHMy3vVUd_0MrSduXTe1etBb1HNpAlGwQr006ljwMiM"",
      ""GSC最新!A:R""
    ),
    17,
    FALSE
  ),
  0
)
"),0.0)</f>
        <v>0</v>
      </c>
      <c r="V134" s="9">
        <f t="shared" ref="V134:W134" si="663">IFERROR(R134-T134,"-")</f>
        <v>0</v>
      </c>
      <c r="W134" s="9">
        <f t="shared" si="663"/>
        <v>0</v>
      </c>
      <c r="X134" s="65" t="str">
        <f>IFERROR(__xludf.DUMMYFUNCTION("IFERROR(
  VLOOKUP(
    A134,
    IMPORTRANGE(
      ""1ZHMy3vVUd_0MrSduXTe1etBb1HNpAlGwQr006ljwMiM"",
      ""GSC最新!A:R""
    ),
    9,
    FALSE
  ),
  0
)
"),"")</f>
        <v/>
      </c>
      <c r="Y134" s="65" t="str">
        <f>IFERROR(__xludf.DUMMYFUNCTION("IFERROR(
  VLOOKUP(
    A134,
    IMPORTRANGE(
      ""1ZHMy3vVUd_0MrSduXTe1etBb1HNpAlGwQr006ljwMiM"",
      ""GSC最新!A:R""
    ),
    12,
    FALSE
  ),
  0
)
"),"")</f>
        <v/>
      </c>
      <c r="Z134" s="65" t="str">
        <f>IFERROR(__xludf.DUMMYFUNCTION("IFERROR(
  VLOOKUP(
    A134,
    IMPORTRANGE(
      ""1ZHMy3vVUd_0MrSduXTe1etBb1HNpAlGwQr006ljwMiM"",
      ""GSC最新!A:R""
    ),
    15,
    FALSE
  ),
  0
)
"),"")</f>
        <v/>
      </c>
      <c r="AA134" s="65" t="str">
        <f>IFERROR(__xludf.DUMMYFUNCTION("IFERROR(
  VLOOKUP(
    A134,
    IMPORTRANGE(
      ""1ZHMy3vVUd_0MrSduXTe1etBb1HNpAlGwQr006ljwMiM"",
      ""GSC最新!A:R""
    ),
    18,
    FALSE
  ),
  0
)
"),"")</f>
        <v/>
      </c>
      <c r="AB134" s="65">
        <f t="shared" ref="AB134:AC134" si="664">X134-Z134</f>
        <v>0</v>
      </c>
      <c r="AC134" s="65">
        <f t="shared" si="664"/>
        <v>0</v>
      </c>
      <c r="AD134" s="53">
        <f>IFERROR(__xludf.DUMMYFUNCTION("IFERROR(
  VLOOKUP(
    A134,
    IMPORTRANGE(
      ""1ZHMy3vVUd_0MrSduXTe1etBb1HNpAlGwQr006ljwMiM"",
      ""GSC最新!A:F""
    ),
    6,
    FALSE
  ),
  0
)
"),46081.0)</f>
        <v>46081</v>
      </c>
      <c r="AE134" s="54">
        <f>IFERROR(__xludf.DUMMYFUNCTION("IFERROR(
  VLOOKUP(
    A134,
    IMPORTRANGE(
      ""1SCYQd7_cobOYqT0r_F0IqD4tE4rYn5y8Eup4PJTH8es"",
      ""Snapshot!A:M""
    ),
    5,
    FALSE
  ),
  ""-""
)
"),0.0)</f>
        <v>0</v>
      </c>
      <c r="AF134" s="54">
        <f>IFERROR(__xludf.DUMMYFUNCTION("IFERROR(
  VLOOKUP(
    A134,
    IMPORTRANGE(
      ""1SCYQd7_cobOYqT0r_F0IqD4tE4rYn5y8Eup4PJTH8es"",
      ""Snapshot!A:M""
    ),
    6,
    FALSE
  ),
  0
)
"),0.0)</f>
        <v>0</v>
      </c>
      <c r="AG134" s="54">
        <f>IFERROR(__xludf.DUMMYFUNCTION("IFERROR(
  VLOOKUP(
    A134,
    IMPORTRANGE(
      ""1SCYQd7_cobOYqT0r_F0IqD4tE4rYn5y8Eup4PJTH8es"",
      ""Snapshot!A:M""
    ),
    7,
    FALSE
  ),
  0
)
"),617.0)</f>
        <v>617</v>
      </c>
      <c r="AH134" s="54">
        <f>IFERROR(__xludf.DUMMYFUNCTION("IFERROR(
  VLOOKUP(
    A134,
    IMPORTRANGE(
      ""1SCYQd7_cobOYqT0r_F0IqD4tE4rYn5y8Eup4PJTH8es"",
      ""Snapshot!A:M""
    ),
    8,
    FALSE
  ),
  0
)
"),1.0)</f>
        <v>1</v>
      </c>
      <c r="AI134" s="54">
        <f>IFERROR(__xludf.DUMMYFUNCTION("IFERROR(
  VLOOKUP(
    A134,
    IMPORTRANGE(
      ""1SCYQd7_cobOYqT0r_F0IqD4tE4rYn5y8Eup4PJTH8es"",
      ""Snapshot!A:M""
    ),
    9,
    FALSE
  ),
  0
)
"),0.0)</f>
        <v>0</v>
      </c>
      <c r="AJ134" s="54">
        <f>IFERROR(__xludf.DUMMYFUNCTION("IFERROR(
  VLOOKUP(
    A134,
    IMPORTRANGE(
      ""1SCYQd7_cobOYqT0r_F0IqD4tE4rYn5y8Eup4PJTH8es"",
      ""Snapshot!A:M""
    ),
    13,
    FALSE
  ),
  0
)
"),1.0)</f>
        <v>1</v>
      </c>
      <c r="AK134" s="49">
        <f t="shared" ref="AK134:AL134" si="665">LEN(C134)</f>
        <v>55</v>
      </c>
      <c r="AL134" s="49">
        <f t="shared" si="665"/>
        <v>55</v>
      </c>
    </row>
    <row r="135">
      <c r="A135" s="1" t="s">
        <v>1217</v>
      </c>
      <c r="B135" s="1" t="str">
        <f>IFERROR(__xludf.DUMMYFUNCTION("IFERROR(
  VLOOKUP(
    A135,
    IMPORTRANGE(
      ""1ZygntHC1J6IxzKbTidmOyf5nUyW4GCLurHCjexrLm_o"",
      ""HTMLキャッシュ!A:F""
    ),
    2,
    FALSE
  ),
  0
)
"),"NW")</f>
        <v>NW</v>
      </c>
      <c r="C135" s="1" t="str">
        <f>IFERROR(__xludf.DUMMYFUNCTION("IFERROR(
  VLOOKUP(
    A135,
    IMPORTRANGE(
      ""1ZygntHC1J6IxzKbTidmOyf5nUyW4GCLurHCjexrLm_o"",
      ""HTMLキャッシュ!A:F""
    ),
    5,
    FALSE
  ),
  0
)
"),"2022年度夏期講習開催のお知らせ - 新宿区四谷の英語専門塾「英語教室『サポート』」～英語は別に怖くない！～")</f>
        <v>2022年度夏期講習開催のお知らせ - 新宿区四谷の英語専門塾「英語教室『サポート』」～英語は別に怖くない！～</v>
      </c>
      <c r="D135" s="1" t="str">
        <f>IFERROR(__xludf.DUMMYFUNCTION("IFERROR(
  VLOOKUP(
    A135,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135" s="32">
        <f>IFERROR(__xludf.DUMMYFUNCTION("IFERROR(
  VLOOKUP(
    A135,
    IMPORTRANGE(
      ""1ZygntHC1J6IxzKbTidmOyf5nUyW4GCLurHCjexrLm_o        "",
      ""HTMLキャッシュ!A:F""
    ),
    3,
    FALSE
  ),
  0
)
"),46015.72053240741)</f>
        <v>46015.72053</v>
      </c>
      <c r="F135" s="49">
        <f>IFERROR(__xludf.DUMMYFUNCTION("IFERROR(
  VLOOKUP(
    A135,
    IMPORTRANGE(
      ""1ZHMy3vVUd_0MrSduXTe1etBb1HNpAlGwQr006ljwMiM"",
      ""GSC最新!A:F""
    ),
    2,
    FALSE
  ),
  0
)
"),0.0)</f>
        <v>0</v>
      </c>
      <c r="G135" s="49">
        <f>IFERROR(__xludf.DUMMYFUNCTION("IFERROR(
  VLOOKUP(
    A135,
    IMPORTRANGE(
      ""1ZHMy3vVUd_0MrSduXTe1etBb1HNpAlGwQr006ljwMiM"",
      ""GSC最新!A:F""
    ),
    3,
    FALSE
  ),
  0
)
"),0.0)</f>
        <v>0</v>
      </c>
      <c r="H135" s="49">
        <f>IFERROR(__xludf.DUMMYFUNCTION("IFERROR(
  VLOOKUP(
    A135,
    IMPORTRANGE(
      ""1ZHMy3vVUd_0MrSduXTe1etBb1HNpAlGwQr006ljwMiM"",
      ""GSC最新!A:F""
    ),
    4,
    FALSE
  ),
  0
)
"),0.0)</f>
        <v>0</v>
      </c>
      <c r="I135" s="49">
        <f>IFERROR(__xludf.DUMMYFUNCTION("IFERROR(
  VLOOKUP(
    A135,
    IMPORTRANGE(
      ""1ZHMy3vVUd_0MrSduXTe1etBb1HNpAlGwQr006ljwMiM"",
      ""GSC最新!A:F""
    ),
    5,
    FALSE
  ),
  0
)
"),0.0)</f>
        <v>0</v>
      </c>
      <c r="J135" s="50" t="str">
        <f t="shared" ref="J135:K135" si="666">IFERROR(F135/H135,"-")</f>
        <v>-</v>
      </c>
      <c r="K135" s="50" t="str">
        <f t="shared" si="666"/>
        <v>-</v>
      </c>
      <c r="L135" s="6">
        <f>IFERROR(__xludf.DUMMYFUNCTION("IFERROR(
  VLOOKUP(
    A135,
    IMPORTRANGE(
      ""1ZHMy3vVUd_0MrSduXTe1etBb1HNpAlGwQr006ljwMiM"",
      ""GSC最新!A:R""
    ),
    7,
    FALSE
  ),
  0
)
"),0.0)</f>
        <v>0</v>
      </c>
      <c r="M135" s="6">
        <f>IFERROR(__xludf.DUMMYFUNCTION("IFERROR(
  VLOOKUP(
    A135,
    IMPORTRANGE(
      ""1ZHMy3vVUd_0MrSduXTe1etBb1HNpAlGwQr006ljwMiM"",
      ""GSC最新!A:R""
    ),
    10,
    FALSE
  ),
  0
)
"),0.0)</f>
        <v>0</v>
      </c>
      <c r="N135" s="6">
        <f>IFERROR(__xludf.DUMMYFUNCTION("IFERROR(
  VLOOKUP(
    A135,
    IMPORTRANGE(
      ""1ZHMy3vVUd_0MrSduXTe1etBb1HNpAlGwQr006ljwMiM"",
      ""GSC最新!A:R""
    ),
    13,
    FALSE
  ),
  0
)
"),0.0)</f>
        <v>0</v>
      </c>
      <c r="O135" s="6">
        <f>IFERROR(__xludf.DUMMYFUNCTION("IFERROR(
  VLOOKUP(
    A135,
    IMPORTRANGE(
      ""1ZHMy3vVUd_0MrSduXTe1etBb1HNpAlGwQr006ljwMiM"",
      ""GSC最新!A:R""
    ),
    16,
    FALSE
  ),
  0
)
"),3.0)</f>
        <v>3</v>
      </c>
      <c r="P135" s="51" t="str">
        <f t="shared" ref="P135:Q135" si="667">IFERROR(L135/N135,"-")</f>
        <v>-</v>
      </c>
      <c r="Q135" s="51">
        <f t="shared" si="667"/>
        <v>0</v>
      </c>
      <c r="R135" s="9">
        <f>IFERROR(__xludf.DUMMYFUNCTION("IFERROR(
  VLOOKUP(
    A135,
    IMPORTRANGE(
      ""1ZHMy3vVUd_0MrSduXTe1etBb1HNpAlGwQr006ljwMiM"",
      ""GSC最新!A:R""
    ),
    8,
    FALSE
  ),
  0
)
"),0.0)</f>
        <v>0</v>
      </c>
      <c r="S135" s="9">
        <f>IFERROR(__xludf.DUMMYFUNCTION("IFERROR(
  VLOOKUP(
    A135,
    IMPORTRANGE(
      ""1ZHMy3vVUd_0MrSduXTe1etBb1HNpAlGwQr006ljwMiM"",
      ""GSC最新!A:R""
    ),
    11,
    FALSE
  ),
  0
)
"),0.0)</f>
        <v>0</v>
      </c>
      <c r="T135" s="9">
        <f>IFERROR(__xludf.DUMMYFUNCTION("IFERROR(
  VLOOKUP(
    A135,
    IMPORTRANGE(
      ""1ZHMy3vVUd_0MrSduXTe1etBb1HNpAlGwQr006ljwMiM"",
      ""GSC最新!A:R""
    ),
    14,
    FALSE
  ),
  0
)
"),0.0)</f>
        <v>0</v>
      </c>
      <c r="U135" s="9">
        <f>IFERROR(__xludf.DUMMYFUNCTION("IFERROR(
  VLOOKUP(
    A135,
    IMPORTRANGE(
      ""1ZHMy3vVUd_0MrSduXTe1etBb1HNpAlGwQr006ljwMiM"",
      ""GSC最新!A:R""
    ),
    17,
    FALSE
  ),
  0
)
"),0.0)</f>
        <v>0</v>
      </c>
      <c r="V135" s="9">
        <f t="shared" ref="V135:W135" si="668">IFERROR(R135-T135,"-")</f>
        <v>0</v>
      </c>
      <c r="W135" s="9">
        <f t="shared" si="668"/>
        <v>0</v>
      </c>
      <c r="X135" s="65" t="str">
        <f>IFERROR(__xludf.DUMMYFUNCTION("IFERROR(
  VLOOKUP(
    A135,
    IMPORTRANGE(
      ""1ZHMy3vVUd_0MrSduXTe1etBb1HNpAlGwQr006ljwMiM"",
      ""GSC最新!A:R""
    ),
    9,
    FALSE
  ),
  0
)
"),"")</f>
        <v/>
      </c>
      <c r="Y135" s="65" t="str">
        <f>IFERROR(__xludf.DUMMYFUNCTION("IFERROR(
  VLOOKUP(
    A135,
    IMPORTRANGE(
      ""1ZHMy3vVUd_0MrSduXTe1etBb1HNpAlGwQr006ljwMiM"",
      ""GSC最新!A:R""
    ),
    12,
    FALSE
  ),
  0
)
"),"")</f>
        <v/>
      </c>
      <c r="Z135" s="65" t="str">
        <f>IFERROR(__xludf.DUMMYFUNCTION("IFERROR(
  VLOOKUP(
    A135,
    IMPORTRANGE(
      ""1ZHMy3vVUd_0MrSduXTe1etBb1HNpAlGwQr006ljwMiM"",
      ""GSC最新!A:R""
    ),
    15,
    FALSE
  ),
  0
)
"),"")</f>
        <v/>
      </c>
      <c r="AA135" s="65">
        <f>IFERROR(__xludf.DUMMYFUNCTION("IFERROR(
  VLOOKUP(
    A135,
    IMPORTRANGE(
      ""1ZHMy3vVUd_0MrSduXTe1etBb1HNpAlGwQr006ljwMiM"",
      ""GSC最新!A:R""
    ),
    18,
    FALSE
  ),
  0
)
"),13.0)</f>
        <v>13</v>
      </c>
      <c r="AB135" s="65">
        <f t="shared" ref="AB135:AC135" si="669">X135-Z135</f>
        <v>0</v>
      </c>
      <c r="AC135" s="65">
        <f t="shared" si="669"/>
        <v>-13</v>
      </c>
      <c r="AD135" s="53">
        <f>IFERROR(__xludf.DUMMYFUNCTION("IFERROR(
  VLOOKUP(
    A135,
    IMPORTRANGE(
      ""1ZHMy3vVUd_0MrSduXTe1etBb1HNpAlGwQr006ljwMiM"",
      ""GSC最新!A:F""
    ),
    6,
    FALSE
  ),
  0
)
"),46081.0)</f>
        <v>46081</v>
      </c>
      <c r="AE135" s="54">
        <f>IFERROR(__xludf.DUMMYFUNCTION("IFERROR(
  VLOOKUP(
    A135,
    IMPORTRANGE(
      ""1SCYQd7_cobOYqT0r_F0IqD4tE4rYn5y8Eup4PJTH8es"",
      ""Snapshot!A:M""
    ),
    5,
    FALSE
  ),
  ""-""
)
"),0.0)</f>
        <v>0</v>
      </c>
      <c r="AF135" s="54">
        <f>IFERROR(__xludf.DUMMYFUNCTION("IFERROR(
  VLOOKUP(
    A135,
    IMPORTRANGE(
      ""1SCYQd7_cobOYqT0r_F0IqD4tE4rYn5y8Eup4PJTH8es"",
      ""Snapshot!A:M""
    ),
    6,
    FALSE
  ),
  0
)
"),0.0)</f>
        <v>0</v>
      </c>
      <c r="AG135" s="54">
        <f>IFERROR(__xludf.DUMMYFUNCTION("IFERROR(
  VLOOKUP(
    A135,
    IMPORTRANGE(
      ""1SCYQd7_cobOYqT0r_F0IqD4tE4rYn5y8Eup4PJTH8es"",
      ""Snapshot!A:M""
    ),
    7,
    FALSE
  ),
  0
)
"),628.0)</f>
        <v>628</v>
      </c>
      <c r="AH135" s="54">
        <f>IFERROR(__xludf.DUMMYFUNCTION("IFERROR(
  VLOOKUP(
    A135,
    IMPORTRANGE(
      ""1SCYQd7_cobOYqT0r_F0IqD4tE4rYn5y8Eup4PJTH8es"",
      ""Snapshot!A:M""
    ),
    8,
    FALSE
  ),
  0
)
"),1.0)</f>
        <v>1</v>
      </c>
      <c r="AI135" s="54">
        <f>IFERROR(__xludf.DUMMYFUNCTION("IFERROR(
  VLOOKUP(
    A135,
    IMPORTRANGE(
      ""1SCYQd7_cobOYqT0r_F0IqD4tE4rYn5y8Eup4PJTH8es"",
      ""Snapshot!A:M""
    ),
    9,
    FALSE
  ),
  0
)
"),0.0)</f>
        <v>0</v>
      </c>
      <c r="AJ135" s="54">
        <f>IFERROR(__xludf.DUMMYFUNCTION("IFERROR(
  VLOOKUP(
    A135,
    IMPORTRANGE(
      ""1SCYQd7_cobOYqT0r_F0IqD4tE4rYn5y8Eup4PJTH8es"",
      ""Snapshot!A:M""
    ),
    13,
    FALSE
  ),
  0
)
"),1.0)</f>
        <v>1</v>
      </c>
      <c r="AK135" s="49">
        <f t="shared" ref="AK135:AL135" si="670">LEN(C135)</f>
        <v>55</v>
      </c>
      <c r="AL135" s="49">
        <f t="shared" si="670"/>
        <v>55</v>
      </c>
    </row>
    <row r="136">
      <c r="A136" s="3" t="s">
        <v>1218</v>
      </c>
      <c r="B136" s="1" t="str">
        <f>IFERROR(__xludf.DUMMYFUNCTION("IFERROR(
  VLOOKUP(
    A136,
    IMPORTRANGE(
      ""1ZygntHC1J6IxzKbTidmOyf5nUyW4GCLurHCjexrLm_o"",
      ""HTMLキャッシュ!A:F""
    ),
    2,
    FALSE
  ),
  0
)
"),"NW")</f>
        <v>NW</v>
      </c>
      <c r="C136" s="1" t="str">
        <f>IFERROR(__xludf.DUMMYFUNCTION("IFERROR(
  VLOOKUP(
    A136,
    IMPORTRANGE(
      ""1ZygntHC1J6IxzKbTidmOyf5nUyW4GCLurHCjexrLm_o"",
      ""HTMLキャッシュ!A:F""
    ),
    5,
    FALSE
  ),
  0
)
"),"2021年度夏期講習開催のお知らせ - 新宿区四谷の英語専門塾「英語教室『サポート』」～英語は別に怖くない！～")</f>
        <v>2021年度夏期講習開催のお知らせ - 新宿区四谷の英語専門塾「英語教室『サポート』」～英語は別に怖くない！～</v>
      </c>
      <c r="D136" s="1" t="str">
        <f>IFERROR(__xludf.DUMMYFUNCTION("IFERROR(
  VLOOKUP(
    A136,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36" s="32">
        <f>IFERROR(__xludf.DUMMYFUNCTION("IFERROR(
  VLOOKUP(
    A136,
    IMPORTRANGE(
      ""1ZygntHC1J6IxzKbTidmOyf5nUyW4GCLurHCjexrLm_o        "",
      ""HTMLキャッシュ!A:F""
    ),
    3,
    FALSE
  ),
  0
)
"),46015.714895833335)</f>
        <v>46015.7149</v>
      </c>
      <c r="F136" s="49">
        <f>IFERROR(__xludf.DUMMYFUNCTION("IFERROR(
  VLOOKUP(
    A136,
    IMPORTRANGE(
      ""1ZHMy3vVUd_0MrSduXTe1etBb1HNpAlGwQr006ljwMiM"",
      ""GSC最新!A:F""
    ),
    2,
    FALSE
  ),
  0
)
"),0.0)</f>
        <v>0</v>
      </c>
      <c r="G136" s="49">
        <f>IFERROR(__xludf.DUMMYFUNCTION("IFERROR(
  VLOOKUP(
    A136,
    IMPORTRANGE(
      ""1ZHMy3vVUd_0MrSduXTe1etBb1HNpAlGwQr006ljwMiM"",
      ""GSC最新!A:F""
    ),
    3,
    FALSE
  ),
  0
)
"),0.0)</f>
        <v>0</v>
      </c>
      <c r="H136" s="49">
        <f>IFERROR(__xludf.DUMMYFUNCTION("IFERROR(
  VLOOKUP(
    A136,
    IMPORTRANGE(
      ""1ZHMy3vVUd_0MrSduXTe1etBb1HNpAlGwQr006ljwMiM"",
      ""GSC最新!A:F""
    ),
    4,
    FALSE
  ),
  0
)
"),0.0)</f>
        <v>0</v>
      </c>
      <c r="I136" s="49">
        <f>IFERROR(__xludf.DUMMYFUNCTION("IFERROR(
  VLOOKUP(
    A136,
    IMPORTRANGE(
      ""1ZHMy3vVUd_0MrSduXTe1etBb1HNpAlGwQr006ljwMiM"",
      ""GSC最新!A:F""
    ),
    5,
    FALSE
  ),
  0
)
"),0.0)</f>
        <v>0</v>
      </c>
      <c r="J136" s="50" t="str">
        <f t="shared" ref="J136:K136" si="671">IFERROR(F136/H136,"-")</f>
        <v>-</v>
      </c>
      <c r="K136" s="50" t="str">
        <f t="shared" si="671"/>
        <v>-</v>
      </c>
      <c r="L136" s="6">
        <f>IFERROR(__xludf.DUMMYFUNCTION("IFERROR(
  VLOOKUP(
    A136,
    IMPORTRANGE(
      ""1ZHMy3vVUd_0MrSduXTe1etBb1HNpAlGwQr006ljwMiM"",
      ""GSC最新!A:R""
    ),
    7,
    FALSE
  ),
  0
)
"),0.0)</f>
        <v>0</v>
      </c>
      <c r="M136" s="6">
        <f>IFERROR(__xludf.DUMMYFUNCTION("IFERROR(
  VLOOKUP(
    A136,
    IMPORTRANGE(
      ""1ZHMy3vVUd_0MrSduXTe1etBb1HNpAlGwQr006ljwMiM"",
      ""GSC最新!A:R""
    ),
    10,
    FALSE
  ),
  0
)
"),0.0)</f>
        <v>0</v>
      </c>
      <c r="N136" s="6">
        <f>IFERROR(__xludf.DUMMYFUNCTION("IFERROR(
  VLOOKUP(
    A136,
    IMPORTRANGE(
      ""1ZHMy3vVUd_0MrSduXTe1etBb1HNpAlGwQr006ljwMiM"",
      ""GSC最新!A:R""
    ),
    13,
    FALSE
  ),
  0
)
"),0.0)</f>
        <v>0</v>
      </c>
      <c r="O136" s="6">
        <f>IFERROR(__xludf.DUMMYFUNCTION("IFERROR(
  VLOOKUP(
    A136,
    IMPORTRANGE(
      ""1ZHMy3vVUd_0MrSduXTe1etBb1HNpAlGwQr006ljwMiM"",
      ""GSC最新!A:R""
    ),
    16,
    FALSE
  ),
  0
)
"),0.0)</f>
        <v>0</v>
      </c>
      <c r="P136" s="51" t="str">
        <f t="shared" ref="P136:Q136" si="672">IFERROR(L136/N136,"-")</f>
        <v>-</v>
      </c>
      <c r="Q136" s="51" t="str">
        <f t="shared" si="672"/>
        <v>-</v>
      </c>
      <c r="R136" s="9">
        <f>IFERROR(__xludf.DUMMYFUNCTION("IFERROR(
  VLOOKUP(
    A136,
    IMPORTRANGE(
      ""1ZHMy3vVUd_0MrSduXTe1etBb1HNpAlGwQr006ljwMiM"",
      ""GSC最新!A:R""
    ),
    8,
    FALSE
  ),
  0
)
"),0.0)</f>
        <v>0</v>
      </c>
      <c r="S136" s="9">
        <f>IFERROR(__xludf.DUMMYFUNCTION("IFERROR(
  VLOOKUP(
    A136,
    IMPORTRANGE(
      ""1ZHMy3vVUd_0MrSduXTe1etBb1HNpAlGwQr006ljwMiM"",
      ""GSC最新!A:R""
    ),
    11,
    FALSE
  ),
  0
)
"),0.0)</f>
        <v>0</v>
      </c>
      <c r="T136" s="9">
        <f>IFERROR(__xludf.DUMMYFUNCTION("IFERROR(
  VLOOKUP(
    A136,
    IMPORTRANGE(
      ""1ZHMy3vVUd_0MrSduXTe1etBb1HNpAlGwQr006ljwMiM"",
      ""GSC最新!A:R""
    ),
    14,
    FALSE
  ),
  0
)
"),0.0)</f>
        <v>0</v>
      </c>
      <c r="U136" s="9">
        <f>IFERROR(__xludf.DUMMYFUNCTION("IFERROR(
  VLOOKUP(
    A136,
    IMPORTRANGE(
      ""1ZHMy3vVUd_0MrSduXTe1etBb1HNpAlGwQr006ljwMiM"",
      ""GSC最新!A:R""
    ),
    17,
    FALSE
  ),
  0
)
"),0.0)</f>
        <v>0</v>
      </c>
      <c r="V136" s="9">
        <f t="shared" ref="V136:W136" si="673">IFERROR(R136-T136,"-")</f>
        <v>0</v>
      </c>
      <c r="W136" s="9">
        <f t="shared" si="673"/>
        <v>0</v>
      </c>
      <c r="X136" s="65" t="str">
        <f>IFERROR(__xludf.DUMMYFUNCTION("IFERROR(
  VLOOKUP(
    A136,
    IMPORTRANGE(
      ""1ZHMy3vVUd_0MrSduXTe1etBb1HNpAlGwQr006ljwMiM"",
      ""GSC最新!A:R""
    ),
    9,
    FALSE
  ),
  0
)
"),"")</f>
        <v/>
      </c>
      <c r="Y136" s="65" t="str">
        <f>IFERROR(__xludf.DUMMYFUNCTION("IFERROR(
  VLOOKUP(
    A136,
    IMPORTRANGE(
      ""1ZHMy3vVUd_0MrSduXTe1etBb1HNpAlGwQr006ljwMiM"",
      ""GSC最新!A:R""
    ),
    12,
    FALSE
  ),
  0
)
"),"")</f>
        <v/>
      </c>
      <c r="Z136" s="65" t="str">
        <f>IFERROR(__xludf.DUMMYFUNCTION("IFERROR(
  VLOOKUP(
    A136,
    IMPORTRANGE(
      ""1ZHMy3vVUd_0MrSduXTe1etBb1HNpAlGwQr006ljwMiM"",
      ""GSC最新!A:R""
    ),
    15,
    FALSE
  ),
  0
)
"),"")</f>
        <v/>
      </c>
      <c r="AA136" s="65" t="str">
        <f>IFERROR(__xludf.DUMMYFUNCTION("IFERROR(
  VLOOKUP(
    A136,
    IMPORTRANGE(
      ""1ZHMy3vVUd_0MrSduXTe1etBb1HNpAlGwQr006ljwMiM"",
      ""GSC最新!A:R""
    ),
    18,
    FALSE
  ),
  0
)
"),"")</f>
        <v/>
      </c>
      <c r="AB136" s="65">
        <f t="shared" ref="AB136:AC136" si="674">X136-Z136</f>
        <v>0</v>
      </c>
      <c r="AC136" s="65">
        <f t="shared" si="674"/>
        <v>0</v>
      </c>
      <c r="AD136" s="53">
        <f>IFERROR(__xludf.DUMMYFUNCTION("IFERROR(
  VLOOKUP(
    A136,
    IMPORTRANGE(
      ""1ZHMy3vVUd_0MrSduXTe1etBb1HNpAlGwQr006ljwMiM"",
      ""GSC最新!A:F""
    ),
    6,
    FALSE
  ),
  0
)
"),46081.0)</f>
        <v>46081</v>
      </c>
      <c r="AE136" s="54">
        <f>IFERROR(__xludf.DUMMYFUNCTION("IFERROR(
  VLOOKUP(
    A136,
    IMPORTRANGE(
      ""1SCYQd7_cobOYqT0r_F0IqD4tE4rYn5y8Eup4PJTH8es"",
      ""Snapshot!A:M""
    ),
    5,
    FALSE
  ),
  ""-""
)
"),0.0)</f>
        <v>0</v>
      </c>
      <c r="AF136" s="54">
        <f>IFERROR(__xludf.DUMMYFUNCTION("IFERROR(
  VLOOKUP(
    A136,
    IMPORTRANGE(
      ""1SCYQd7_cobOYqT0r_F0IqD4tE4rYn5y8Eup4PJTH8es"",
      ""Snapshot!A:M""
    ),
    6,
    FALSE
  ),
  0
)
"),0.0)</f>
        <v>0</v>
      </c>
      <c r="AG136" s="54">
        <f>IFERROR(__xludf.DUMMYFUNCTION("IFERROR(
  VLOOKUP(
    A136,
    IMPORTRANGE(
      ""1SCYQd7_cobOYqT0r_F0IqD4tE4rYn5y8Eup4PJTH8es"",
      ""Snapshot!A:M""
    ),
    7,
    FALSE
  ),
  0
)
"),800.0)</f>
        <v>800</v>
      </c>
      <c r="AH136" s="54">
        <f>IFERROR(__xludf.DUMMYFUNCTION("IFERROR(
  VLOOKUP(
    A136,
    IMPORTRANGE(
      ""1SCYQd7_cobOYqT0r_F0IqD4tE4rYn5y8Eup4PJTH8es"",
      ""Snapshot!A:M""
    ),
    8,
    FALSE
  ),
  0
)
"),1.0)</f>
        <v>1</v>
      </c>
      <c r="AI136" s="54">
        <f>IFERROR(__xludf.DUMMYFUNCTION("IFERROR(
  VLOOKUP(
    A136,
    IMPORTRANGE(
      ""1SCYQd7_cobOYqT0r_F0IqD4tE4rYn5y8Eup4PJTH8es"",
      ""Snapshot!A:M""
    ),
    9,
    FALSE
  ),
  0
)
"),0.0)</f>
        <v>0</v>
      </c>
      <c r="AJ136" s="54">
        <f>IFERROR(__xludf.DUMMYFUNCTION("IFERROR(
  VLOOKUP(
    A136,
    IMPORTRANGE(
      ""1SCYQd7_cobOYqT0r_F0IqD4tE4rYn5y8Eup4PJTH8es"",
      ""Snapshot!A:M""
    ),
    13,
    FALSE
  ),
  0
)
"),1.0)</f>
        <v>1</v>
      </c>
      <c r="AK136" s="49">
        <f t="shared" ref="AK136:AL136" si="675">LEN(C136)</f>
        <v>55</v>
      </c>
      <c r="AL136" s="49">
        <f t="shared" si="675"/>
        <v>55</v>
      </c>
    </row>
    <row r="137">
      <c r="A137" s="3" t="s">
        <v>1219</v>
      </c>
      <c r="B137" s="1" t="str">
        <f>IFERROR(__xludf.DUMMYFUNCTION("IFERROR(
  VLOOKUP(
    A137,
    IMPORTRANGE(
      ""1ZygntHC1J6IxzKbTidmOyf5nUyW4GCLurHCjexrLm_o"",
      ""HTMLキャッシュ!A:F""
    ),
    2,
    FALSE
  ),
  0
)
"),"MC")</f>
        <v>MC</v>
      </c>
      <c r="C137" s="1" t="str">
        <f>IFERROR(__xludf.DUMMYFUNCTION("IFERROR(
  VLOOKUP(
    A137,
    IMPORTRANGE(
      ""1ZygntHC1J6IxzKbTidmOyf5nUyW4GCLurHCjexrLm_o"",
      ""HTMLキャッシュ!A:F""
    ),
    5,
    FALSE
  ),
  0
)
"),"現在完了進行形：継続【Book2 Lesson7 Scene3】 - 新宿区四谷の英語専門塾「英語教室『サポート』」～英語は別に怖くない！～")</f>
        <v>現在完了進行形：継続【Book2 Lesson7 Scene3】 - 新宿区四谷の英語専門塾「英語教室『サポート』」～英語は別に怖くない！～</v>
      </c>
      <c r="D137" s="1" t="str">
        <f>IFERROR(__xludf.DUMMYFUNCTION("IFERROR(
  VLOOKUP(
    A137,
    IMPORTRANGE(
      ""1ZygntHC1J6IxzKbTidmOyf5nUyW4GCLurHCjexrLm_o        "",
      ""HTMLキャッシュ!A:F""
    ),
    6,
    FALSE
  ),
  0
)
"),"英文法 現在完了進行形 have been -ing を「継続」で使い切る 現在完了進行形は、いままで続いてき")</f>
        <v>英文法 現在完了進行形 have been -ing を「継続」で使い切る 現在完了進行形は、いままで続いてき</v>
      </c>
      <c r="E137" s="32">
        <f>IFERROR(__xludf.DUMMYFUNCTION("IFERROR(
  VLOOKUP(
    A137,
    IMPORTRANGE(
      ""1ZygntHC1J6IxzKbTidmOyf5nUyW4GCLurHCjexrLm_o        "",
      ""HTMLキャッシュ!A:F""
    ),
    3,
    FALSE
  ),
  0
)
"),46084.5708912037)</f>
        <v>46084.57089</v>
      </c>
      <c r="F137" s="49">
        <f>IFERROR(__xludf.DUMMYFUNCTION("IFERROR(
  VLOOKUP(
    A137,
    IMPORTRANGE(
      ""1ZHMy3vVUd_0MrSduXTe1etBb1HNpAlGwQr006ljwMiM"",
      ""GSC最新!A:F""
    ),
    2,
    FALSE
  ),
  0
)
"),0.0)</f>
        <v>0</v>
      </c>
      <c r="G137" s="49">
        <f>IFERROR(__xludf.DUMMYFUNCTION("IFERROR(
  VLOOKUP(
    A137,
    IMPORTRANGE(
      ""1ZHMy3vVUd_0MrSduXTe1etBb1HNpAlGwQr006ljwMiM"",
      ""GSC最新!A:F""
    ),
    3,
    FALSE
  ),
  0
)
"),0.0)</f>
        <v>0</v>
      </c>
      <c r="H137" s="49">
        <f>IFERROR(__xludf.DUMMYFUNCTION("IFERROR(
  VLOOKUP(
    A137,
    IMPORTRANGE(
      ""1ZHMy3vVUd_0MrSduXTe1etBb1HNpAlGwQr006ljwMiM"",
      ""GSC最新!A:F""
    ),
    4,
    FALSE
  ),
  0
)
"),0.0)</f>
        <v>0</v>
      </c>
      <c r="I137" s="49">
        <f>IFERROR(__xludf.DUMMYFUNCTION("IFERROR(
  VLOOKUP(
    A137,
    IMPORTRANGE(
      ""1ZHMy3vVUd_0MrSduXTe1etBb1HNpAlGwQr006ljwMiM"",
      ""GSC最新!A:F""
    ),
    5,
    FALSE
  ),
  0
)
"),0.0)</f>
        <v>0</v>
      </c>
      <c r="J137" s="50" t="str">
        <f t="shared" ref="J137:K137" si="676">IFERROR(F137/H137,"-")</f>
        <v>-</v>
      </c>
      <c r="K137" s="50" t="str">
        <f t="shared" si="676"/>
        <v>-</v>
      </c>
      <c r="L137" s="6">
        <f>IFERROR(__xludf.DUMMYFUNCTION("IFERROR(
  VLOOKUP(
    A137,
    IMPORTRANGE(
      ""1ZHMy3vVUd_0MrSduXTe1etBb1HNpAlGwQr006ljwMiM"",
      ""GSC最新!A:R""
    ),
    7,
    FALSE
  ),
  0
)
"),0.0)</f>
        <v>0</v>
      </c>
      <c r="M137" s="6">
        <f>IFERROR(__xludf.DUMMYFUNCTION("IFERROR(
  VLOOKUP(
    A137,
    IMPORTRANGE(
      ""1ZHMy3vVUd_0MrSduXTe1etBb1HNpAlGwQr006ljwMiM"",
      ""GSC最新!A:R""
    ),
    10,
    FALSE
  ),
  0
)
"),0.0)</f>
        <v>0</v>
      </c>
      <c r="N137" s="6">
        <f>IFERROR(__xludf.DUMMYFUNCTION("IFERROR(
  VLOOKUP(
    A137,
    IMPORTRANGE(
      ""1ZHMy3vVUd_0MrSduXTe1etBb1HNpAlGwQr006ljwMiM"",
      ""GSC最新!A:R""
    ),
    13,
    FALSE
  ),
  0
)
"),0.0)</f>
        <v>0</v>
      </c>
      <c r="O137" s="6">
        <f>IFERROR(__xludf.DUMMYFUNCTION("IFERROR(
  VLOOKUP(
    A137,
    IMPORTRANGE(
      ""1ZHMy3vVUd_0MrSduXTe1etBb1HNpAlGwQr006ljwMiM"",
      ""GSC最新!A:R""
    ),
    16,
    FALSE
  ),
  0
)
"),0.0)</f>
        <v>0</v>
      </c>
      <c r="P137" s="51" t="str">
        <f t="shared" ref="P137:Q137" si="677">IFERROR(L137/N137,"-")</f>
        <v>-</v>
      </c>
      <c r="Q137" s="51" t="str">
        <f t="shared" si="677"/>
        <v>-</v>
      </c>
      <c r="R137" s="9">
        <f>IFERROR(__xludf.DUMMYFUNCTION("IFERROR(
  VLOOKUP(
    A137,
    IMPORTRANGE(
      ""1ZHMy3vVUd_0MrSduXTe1etBb1HNpAlGwQr006ljwMiM"",
      ""GSC最新!A:R""
    ),
    8,
    FALSE
  ),
  0
)
"),0.0)</f>
        <v>0</v>
      </c>
      <c r="S137" s="9">
        <f>IFERROR(__xludf.DUMMYFUNCTION("IFERROR(
  VLOOKUP(
    A137,
    IMPORTRANGE(
      ""1ZHMy3vVUd_0MrSduXTe1etBb1HNpAlGwQr006ljwMiM"",
      ""GSC最新!A:R""
    ),
    11,
    FALSE
  ),
  0
)
"),0.0)</f>
        <v>0</v>
      </c>
      <c r="T137" s="9">
        <f>IFERROR(__xludf.DUMMYFUNCTION("IFERROR(
  VLOOKUP(
    A137,
    IMPORTRANGE(
      ""1ZHMy3vVUd_0MrSduXTe1etBb1HNpAlGwQr006ljwMiM"",
      ""GSC最新!A:R""
    ),
    14,
    FALSE
  ),
  0
)
"),0.0)</f>
        <v>0</v>
      </c>
      <c r="U137" s="9">
        <f>IFERROR(__xludf.DUMMYFUNCTION("IFERROR(
  VLOOKUP(
    A137,
    IMPORTRANGE(
      ""1ZHMy3vVUd_0MrSduXTe1etBb1HNpAlGwQr006ljwMiM"",
      ""GSC最新!A:R""
    ),
    17,
    FALSE
  ),
  0
)
"),0.0)</f>
        <v>0</v>
      </c>
      <c r="V137" s="9">
        <f t="shared" ref="V137:W137" si="678">IFERROR(R137-T137,"-")</f>
        <v>0</v>
      </c>
      <c r="W137" s="9">
        <f t="shared" si="678"/>
        <v>0</v>
      </c>
      <c r="X137" s="65" t="str">
        <f>IFERROR(__xludf.DUMMYFUNCTION("IFERROR(
  VLOOKUP(
    A137,
    IMPORTRANGE(
      ""1ZHMy3vVUd_0MrSduXTe1etBb1HNpAlGwQr006ljwMiM"",
      ""GSC最新!A:R""
    ),
    9,
    FALSE
  ),
  0
)
"),"")</f>
        <v/>
      </c>
      <c r="Y137" s="65" t="str">
        <f>IFERROR(__xludf.DUMMYFUNCTION("IFERROR(
  VLOOKUP(
    A137,
    IMPORTRANGE(
      ""1ZHMy3vVUd_0MrSduXTe1etBb1HNpAlGwQr006ljwMiM"",
      ""GSC最新!A:R""
    ),
    12,
    FALSE
  ),
  0
)
"),"")</f>
        <v/>
      </c>
      <c r="Z137" s="65" t="str">
        <f>IFERROR(__xludf.DUMMYFUNCTION("IFERROR(
  VLOOKUP(
    A137,
    IMPORTRANGE(
      ""1ZHMy3vVUd_0MrSduXTe1etBb1HNpAlGwQr006ljwMiM"",
      ""GSC最新!A:R""
    ),
    15,
    FALSE
  ),
  0
)
"),"")</f>
        <v/>
      </c>
      <c r="AA137" s="65" t="str">
        <f>IFERROR(__xludf.DUMMYFUNCTION("IFERROR(
  VLOOKUP(
    A137,
    IMPORTRANGE(
      ""1ZHMy3vVUd_0MrSduXTe1etBb1HNpAlGwQr006ljwMiM"",
      ""GSC最新!A:R""
    ),
    18,
    FALSE
  ),
  0
)
"),"")</f>
        <v/>
      </c>
      <c r="AB137" s="65">
        <f t="shared" ref="AB137:AC137" si="679">X137-Z137</f>
        <v>0</v>
      </c>
      <c r="AC137" s="65">
        <f t="shared" si="679"/>
        <v>0</v>
      </c>
      <c r="AD137" s="53">
        <f>IFERROR(__xludf.DUMMYFUNCTION("IFERROR(
  VLOOKUP(
    A137,
    IMPORTRANGE(
      ""1ZHMy3vVUd_0MrSduXTe1etBb1HNpAlGwQr006ljwMiM"",
      ""GSC最新!A:F""
    ),
    6,
    FALSE
  ),
  0
)
"),46081.0)</f>
        <v>46081</v>
      </c>
      <c r="AE137" s="54">
        <f>IFERROR(__xludf.DUMMYFUNCTION("IFERROR(
  VLOOKUP(
    A137,
    IMPORTRANGE(
      ""1SCYQd7_cobOYqT0r_F0IqD4tE4rYn5y8Eup4PJTH8es"",
      ""Snapshot!A:M""
    ),
    5,
    FALSE
  ),
  ""-""
)
"),0.0)</f>
        <v>0</v>
      </c>
      <c r="AF137" s="54">
        <f>IFERROR(__xludf.DUMMYFUNCTION("IFERROR(
  VLOOKUP(
    A137,
    IMPORTRANGE(
      ""1SCYQd7_cobOYqT0r_F0IqD4tE4rYn5y8Eup4PJTH8es"",
      ""Snapshot!A:M""
    ),
    6,
    FALSE
  ),
  0
)
"),1.0)</f>
        <v>1</v>
      </c>
      <c r="AG137" s="54">
        <f>IFERROR(__xludf.DUMMYFUNCTION("IFERROR(
  VLOOKUP(
    A137,
    IMPORTRANGE(
      ""1SCYQd7_cobOYqT0r_F0IqD4tE4rYn5y8Eup4PJTH8es"",
      ""Snapshot!A:M""
    ),
    7,
    FALSE
  ),
  0
)
"),740.0)</f>
        <v>740</v>
      </c>
      <c r="AH137" s="54">
        <f>IFERROR(__xludf.DUMMYFUNCTION("IFERROR(
  VLOOKUP(
    A137,
    IMPORTRANGE(
      ""1SCYQd7_cobOYqT0r_F0IqD4tE4rYn5y8Eup4PJTH8es"",
      ""Snapshot!A:M""
    ),
    8,
    FALSE
  ),
  0
)
"),1.0)</f>
        <v>1</v>
      </c>
      <c r="AI137" s="54">
        <f>IFERROR(__xludf.DUMMYFUNCTION("IFERROR(
  VLOOKUP(
    A137,
    IMPORTRANGE(
      ""1SCYQd7_cobOYqT0r_F0IqD4tE4rYn5y8Eup4PJTH8es"",
      ""Snapshot!A:M""
    ),
    9,
    FALSE
  ),
  0
)
"),4.0)</f>
        <v>4</v>
      </c>
      <c r="AJ137" s="54">
        <f>IFERROR(__xludf.DUMMYFUNCTION("IFERROR(
  VLOOKUP(
    A137,
    IMPORTRANGE(
      ""1SCYQd7_cobOYqT0r_F0IqD4tE4rYn5y8Eup4PJTH8es"",
      ""Snapshot!A:M""
    ),
    13,
    FALSE
  ),
  0
)
"),1.0)</f>
        <v>1</v>
      </c>
      <c r="AK137" s="49">
        <f t="shared" ref="AK137:AL137" si="680">LEN(C137)</f>
        <v>70</v>
      </c>
      <c r="AL137" s="49">
        <f t="shared" si="680"/>
        <v>55</v>
      </c>
    </row>
    <row r="138">
      <c r="A138" s="3" t="s">
        <v>1220</v>
      </c>
      <c r="B138" s="1" t="str">
        <f>IFERROR(__xludf.DUMMYFUNCTION("IFERROR(
  VLOOKUP(
    A138,
    IMPORTRANGE(
      ""1ZygntHC1J6IxzKbTidmOyf5nUyW4GCLurHCjexrLm_o"",
      ""HTMLキャッシュ!A:F""
    ),
    2,
    FALSE
  ),
  0
)
"),"MC")</f>
        <v>MC</v>
      </c>
      <c r="C138" s="1" t="str">
        <f>IFERROR(__xludf.DUMMYFUNCTION("IFERROR(
  VLOOKUP(
    A138,
    IMPORTRANGE(
      ""1ZygntHC1J6IxzKbTidmOyf5nUyW4GCLurHCjexrLm_o"",
      ""HTMLキャッシュ!A:F""
    ),
    5,
    FALSE
  ),
  0
)
"),"比較(比較級)【Book2 Lesson3 Scene1】 - 新宿区四谷の英語専門塾「英語教室『サポート』」～英語は別に怖くない！～")</f>
        <v>比較(比較級)【Book2 Lesson3 Scene1】 - 新宿区四谷の英語専門塾「英語教室『サポート』」～英語は別に怖くない！～</v>
      </c>
      <c r="D138" s="1" t="str">
        <f>IFERROR(__xludf.DUMMYFUNCTION("IFERROR(
  VLOOKUP(
    A138,
    IMPORTRANGE(
      ""1ZygntHC1J6IxzKbTidmOyf5nUyW4GCLurHCjexrLm_o        "",
      ""HTMLキャッシュ!A:F""
    ),
    6,
    FALSE
  ),
  0
)
"),"英文法 比較級（1） deeper / more で「比べる英語」を固める 比較級は、英文法の中でも「形のルー")</f>
        <v>英文法 比較級（1） deeper / more で「比べる英語」を固める 比較級は、英文法の中でも「形のルー</v>
      </c>
      <c r="E138" s="32">
        <f>IFERROR(__xludf.DUMMYFUNCTION("IFERROR(
  VLOOKUP(
    A138,
    IMPORTRANGE(
      ""1ZygntHC1J6IxzKbTidmOyf5nUyW4GCLurHCjexrLm_o        "",
      ""HTMLキャッシュ!A:F""
    ),
    3,
    FALSE
  ),
  0
)
"),46084.57834490741)</f>
        <v>46084.57834</v>
      </c>
      <c r="F138" s="49">
        <f>IFERROR(__xludf.DUMMYFUNCTION("IFERROR(
  VLOOKUP(
    A138,
    IMPORTRANGE(
      ""1ZHMy3vVUd_0MrSduXTe1etBb1HNpAlGwQr006ljwMiM"",
      ""GSC最新!A:F""
    ),
    2,
    FALSE
  ),
  0
)
"),0.0)</f>
        <v>0</v>
      </c>
      <c r="G138" s="49">
        <f>IFERROR(__xludf.DUMMYFUNCTION("IFERROR(
  VLOOKUP(
    A138,
    IMPORTRANGE(
      ""1ZHMy3vVUd_0MrSduXTe1etBb1HNpAlGwQr006ljwMiM"",
      ""GSC最新!A:F""
    ),
    3,
    FALSE
  ),
  0
)
"),0.0)</f>
        <v>0</v>
      </c>
      <c r="H138" s="49">
        <f>IFERROR(__xludf.DUMMYFUNCTION("IFERROR(
  VLOOKUP(
    A138,
    IMPORTRANGE(
      ""1ZHMy3vVUd_0MrSduXTe1etBb1HNpAlGwQr006ljwMiM"",
      ""GSC最新!A:F""
    ),
    4,
    FALSE
  ),
  0
)
"),0.0)</f>
        <v>0</v>
      </c>
      <c r="I138" s="49">
        <f>IFERROR(__xludf.DUMMYFUNCTION("IFERROR(
  VLOOKUP(
    A138,
    IMPORTRANGE(
      ""1ZHMy3vVUd_0MrSduXTe1etBb1HNpAlGwQr006ljwMiM"",
      ""GSC最新!A:F""
    ),
    5,
    FALSE
  ),
  0
)
"),0.0)</f>
        <v>0</v>
      </c>
      <c r="J138" s="50" t="str">
        <f t="shared" ref="J138:K138" si="681">IFERROR(F138/H138,"-")</f>
        <v>-</v>
      </c>
      <c r="K138" s="50" t="str">
        <f t="shared" si="681"/>
        <v>-</v>
      </c>
      <c r="L138" s="6">
        <f>IFERROR(__xludf.DUMMYFUNCTION("IFERROR(
  VLOOKUP(
    A138,
    IMPORTRANGE(
      ""1ZHMy3vVUd_0MrSduXTe1etBb1HNpAlGwQr006ljwMiM"",
      ""GSC最新!A:R""
    ),
    7,
    FALSE
  ),
  0
)
"),0.0)</f>
        <v>0</v>
      </c>
      <c r="M138" s="6">
        <f>IFERROR(__xludf.DUMMYFUNCTION("IFERROR(
  VLOOKUP(
    A138,
    IMPORTRANGE(
      ""1ZHMy3vVUd_0MrSduXTe1etBb1HNpAlGwQr006ljwMiM"",
      ""GSC最新!A:R""
    ),
    10,
    FALSE
  ),
  0
)
"),0.0)</f>
        <v>0</v>
      </c>
      <c r="N138" s="6">
        <f>IFERROR(__xludf.DUMMYFUNCTION("IFERROR(
  VLOOKUP(
    A138,
    IMPORTRANGE(
      ""1ZHMy3vVUd_0MrSduXTe1etBb1HNpAlGwQr006ljwMiM"",
      ""GSC最新!A:R""
    ),
    13,
    FALSE
  ),
  0
)
"),0.0)</f>
        <v>0</v>
      </c>
      <c r="O138" s="6">
        <f>IFERROR(__xludf.DUMMYFUNCTION("IFERROR(
  VLOOKUP(
    A138,
    IMPORTRANGE(
      ""1ZHMy3vVUd_0MrSduXTe1etBb1HNpAlGwQr006ljwMiM"",
      ""GSC最新!A:R""
    ),
    16,
    FALSE
  ),
  0
)
"),3.0)</f>
        <v>3</v>
      </c>
      <c r="P138" s="51" t="str">
        <f t="shared" ref="P138:Q138" si="682">IFERROR(L138/N138,"-")</f>
        <v>-</v>
      </c>
      <c r="Q138" s="51">
        <f t="shared" si="682"/>
        <v>0</v>
      </c>
      <c r="R138" s="9">
        <f>IFERROR(__xludf.DUMMYFUNCTION("IFERROR(
  VLOOKUP(
    A138,
    IMPORTRANGE(
      ""1ZHMy3vVUd_0MrSduXTe1etBb1HNpAlGwQr006ljwMiM"",
      ""GSC最新!A:R""
    ),
    8,
    FALSE
  ),
  0
)
"),0.0)</f>
        <v>0</v>
      </c>
      <c r="S138" s="9">
        <f>IFERROR(__xludf.DUMMYFUNCTION("IFERROR(
  VLOOKUP(
    A138,
    IMPORTRANGE(
      ""1ZHMy3vVUd_0MrSduXTe1etBb1HNpAlGwQr006ljwMiM"",
      ""GSC最新!A:R""
    ),
    11,
    FALSE
  ),
  0
)
"),0.0)</f>
        <v>0</v>
      </c>
      <c r="T138" s="9">
        <f>IFERROR(__xludf.DUMMYFUNCTION("IFERROR(
  VLOOKUP(
    A138,
    IMPORTRANGE(
      ""1ZHMy3vVUd_0MrSduXTe1etBb1HNpAlGwQr006ljwMiM"",
      ""GSC最新!A:R""
    ),
    14,
    FALSE
  ),
  0
)
"),0.0)</f>
        <v>0</v>
      </c>
      <c r="U138" s="9">
        <f>IFERROR(__xludf.DUMMYFUNCTION("IFERROR(
  VLOOKUP(
    A138,
    IMPORTRANGE(
      ""1ZHMy3vVUd_0MrSduXTe1etBb1HNpAlGwQr006ljwMiM"",
      ""GSC最新!A:R""
    ),
    17,
    FALSE
  ),
  0
)
"),0.0)</f>
        <v>0</v>
      </c>
      <c r="V138" s="9">
        <f t="shared" ref="V138:W138" si="683">IFERROR(R138-T138,"-")</f>
        <v>0</v>
      </c>
      <c r="W138" s="9">
        <f t="shared" si="683"/>
        <v>0</v>
      </c>
      <c r="X138" s="65" t="str">
        <f>IFERROR(__xludf.DUMMYFUNCTION("IFERROR(
  VLOOKUP(
    A138,
    IMPORTRANGE(
      ""1ZHMy3vVUd_0MrSduXTe1etBb1HNpAlGwQr006ljwMiM"",
      ""GSC最新!A:R""
    ),
    9,
    FALSE
  ),
  0
)
"),"")</f>
        <v/>
      </c>
      <c r="Y138" s="65" t="str">
        <f>IFERROR(__xludf.DUMMYFUNCTION("IFERROR(
  VLOOKUP(
    A138,
    IMPORTRANGE(
      ""1ZHMy3vVUd_0MrSduXTe1etBb1HNpAlGwQr006ljwMiM"",
      ""GSC最新!A:R""
    ),
    12,
    FALSE
  ),
  0
)
"),"")</f>
        <v/>
      </c>
      <c r="Z138" s="65" t="str">
        <f>IFERROR(__xludf.DUMMYFUNCTION("IFERROR(
  VLOOKUP(
    A138,
    IMPORTRANGE(
      ""1ZHMy3vVUd_0MrSduXTe1etBb1HNpAlGwQr006ljwMiM"",
      ""GSC最新!A:R""
    ),
    15,
    FALSE
  ),
  0
)
"),"")</f>
        <v/>
      </c>
      <c r="AA138" s="65">
        <f>IFERROR(__xludf.DUMMYFUNCTION("IFERROR(
  VLOOKUP(
    A138,
    IMPORTRANGE(
      ""1ZHMy3vVUd_0MrSduXTe1etBb1HNpAlGwQr006ljwMiM"",
      ""GSC最新!A:R""
    ),
    18,
    FALSE
  ),
  0
)
"),8.666666666666668)</f>
        <v>8.666666667</v>
      </c>
      <c r="AB138" s="65">
        <f t="shared" ref="AB138:AC138" si="684">X138-Z138</f>
        <v>0</v>
      </c>
      <c r="AC138" s="65">
        <f t="shared" si="684"/>
        <v>-8.666666667</v>
      </c>
      <c r="AD138" s="53">
        <f>IFERROR(__xludf.DUMMYFUNCTION("IFERROR(
  VLOOKUP(
    A138,
    IMPORTRANGE(
      ""1ZHMy3vVUd_0MrSduXTe1etBb1HNpAlGwQr006ljwMiM"",
      ""GSC最新!A:F""
    ),
    6,
    FALSE
  ),
  0
)
"),46081.0)</f>
        <v>46081</v>
      </c>
      <c r="AE138" s="54">
        <f>IFERROR(__xludf.DUMMYFUNCTION("IFERROR(
  VLOOKUP(
    A138,
    IMPORTRANGE(
      ""1SCYQd7_cobOYqT0r_F0IqD4tE4rYn5y8Eup4PJTH8es"",
      ""Snapshot!A:M""
    ),
    5,
    FALSE
  ),
  ""-""
)
"),0.0)</f>
        <v>0</v>
      </c>
      <c r="AF138" s="54">
        <f>IFERROR(__xludf.DUMMYFUNCTION("IFERROR(
  VLOOKUP(
    A138,
    IMPORTRANGE(
      ""1SCYQd7_cobOYqT0r_F0IqD4tE4rYn5y8Eup4PJTH8es"",
      ""Snapshot!A:M""
    ),
    6,
    FALSE
  ),
  0
)
"),8.0)</f>
        <v>8</v>
      </c>
      <c r="AG138" s="54">
        <f>IFERROR(__xludf.DUMMYFUNCTION("IFERROR(
  VLOOKUP(
    A138,
    IMPORTRANGE(
      ""1SCYQd7_cobOYqT0r_F0IqD4tE4rYn5y8Eup4PJTH8es"",
      ""Snapshot!A:M""
    ),
    7,
    FALSE
  ),
  0
)
"),3855.0)</f>
        <v>3855</v>
      </c>
      <c r="AH138" s="54">
        <f>IFERROR(__xludf.DUMMYFUNCTION("IFERROR(
  VLOOKUP(
    A138,
    IMPORTRANGE(
      ""1SCYQd7_cobOYqT0r_F0IqD4tE4rYn5y8Eup4PJTH8es"",
      ""Snapshot!A:M""
    ),
    8,
    FALSE
  ),
  0
)
"),1.0)</f>
        <v>1</v>
      </c>
      <c r="AI138" s="54">
        <f>IFERROR(__xludf.DUMMYFUNCTION("IFERROR(
  VLOOKUP(
    A138,
    IMPORTRANGE(
      ""1SCYQd7_cobOYqT0r_F0IqD4tE4rYn5y8Eup4PJTH8es"",
      ""Snapshot!A:M""
    ),
    9,
    FALSE
  ),
  0
)
"),4.0)</f>
        <v>4</v>
      </c>
      <c r="AJ138" s="54">
        <f>IFERROR(__xludf.DUMMYFUNCTION("IFERROR(
  VLOOKUP(
    A138,
    IMPORTRANGE(
      ""1SCYQd7_cobOYqT0r_F0IqD4tE4rYn5y8Eup4PJTH8es"",
      ""Snapshot!A:M""
    ),
    13,
    FALSE
  ),
  0
)
"),1.0)</f>
        <v>1</v>
      </c>
      <c r="AK138" s="49">
        <f t="shared" ref="AK138:AL138" si="685">LEN(C138)</f>
        <v>67</v>
      </c>
      <c r="AL138" s="49">
        <f t="shared" si="685"/>
        <v>55</v>
      </c>
    </row>
    <row r="139">
      <c r="A139" s="3" t="s">
        <v>1221</v>
      </c>
      <c r="B139" s="1" t="str">
        <f>IFERROR(__xludf.DUMMYFUNCTION("IFERROR(
  VLOOKUP(
    A139,
    IMPORTRANGE(
      ""1ZygntHC1J6IxzKbTidmOyf5nUyW4GCLurHCjexrLm_o"",
      ""HTMLキャッシュ!A:F""
    ),
    2,
    FALSE
  ),
  0
)
"),"MC")</f>
        <v>MC</v>
      </c>
      <c r="C139" s="1" t="str">
        <f>IFERROR(__xludf.DUMMYFUNCTION("IFERROR(
  VLOOKUP(
    A139,
    IMPORTRANGE(
      ""1ZygntHC1J6IxzKbTidmOyf5nUyW4GCLurHCjexrLm_o"",
      ""HTMLキャッシュ!A:F""
    ),
    5,
    FALSE
  ),
  0
)
"),"受動態の疑問文【Book2 Lesson9 Scene2】 - 新宿区四谷の英語専門塾「英語教室『サポート』」～英語は別に怖くない！～")</f>
        <v>受動態の疑問文【Book2 Lesson9 Scene2】 - 新宿区四谷の英語専門塾「英語教室『サポート』」～英語は別に怖くない！～</v>
      </c>
      <c r="D139" s="1" t="str">
        <f>IFERROR(__xludf.DUMMYFUNCTION("IFERROR(
  VLOOKUP(
    A139,
    IMPORTRANGE(
      ""1ZygntHC1J6IxzKbTidmOyf5nUyW4GCLurHCjexrLm_o        "",
      ""HTMLキャッシュ!A:F""
    ),
    6,
    FALSE
  ),
  0
)
"),"英文法 受動態 疑問文 受動態は「語順」が9割：疑問文と現在完了受動態まで一気に整理 受動態は「be動詞＋過去")</f>
        <v>英文法 受動態 疑問文 受動態は「語順」が9割：疑問文と現在完了受動態まで一気に整理 受動態は「be動詞＋過去</v>
      </c>
      <c r="E139" s="32">
        <f>IFERROR(__xludf.DUMMYFUNCTION("IFERROR(
  VLOOKUP(
    A139,
    IMPORTRANGE(
      ""1ZygntHC1J6IxzKbTidmOyf5nUyW4GCLurHCjexrLm_o        "",
      ""HTMLキャッシュ!A:F""
    ),
    3,
    FALSE
  ),
  0
)
"),46084.63170138889)</f>
        <v>46084.6317</v>
      </c>
      <c r="F139" s="49">
        <f>IFERROR(__xludf.DUMMYFUNCTION("IFERROR(
  VLOOKUP(
    A139,
    IMPORTRANGE(
      ""1ZHMy3vVUd_0MrSduXTe1etBb1HNpAlGwQr006ljwMiM"",
      ""GSC最新!A:F""
    ),
    2,
    FALSE
  ),
  0
)
"),0.0)</f>
        <v>0</v>
      </c>
      <c r="G139" s="49">
        <f>IFERROR(__xludf.DUMMYFUNCTION("IFERROR(
  VLOOKUP(
    A139,
    IMPORTRANGE(
      ""1ZHMy3vVUd_0MrSduXTe1etBb1HNpAlGwQr006ljwMiM"",
      ""GSC最新!A:F""
    ),
    3,
    FALSE
  ),
  0
)
"),0.0)</f>
        <v>0</v>
      </c>
      <c r="H139" s="49">
        <f>IFERROR(__xludf.DUMMYFUNCTION("IFERROR(
  VLOOKUP(
    A139,
    IMPORTRANGE(
      ""1ZHMy3vVUd_0MrSduXTe1etBb1HNpAlGwQr006ljwMiM"",
      ""GSC最新!A:F""
    ),
    4,
    FALSE
  ),
  0
)
"),0.0)</f>
        <v>0</v>
      </c>
      <c r="I139" s="49">
        <f>IFERROR(__xludf.DUMMYFUNCTION("IFERROR(
  VLOOKUP(
    A139,
    IMPORTRANGE(
      ""1ZHMy3vVUd_0MrSduXTe1etBb1HNpAlGwQr006ljwMiM"",
      ""GSC最新!A:F""
    ),
    5,
    FALSE
  ),
  0
)
"),0.0)</f>
        <v>0</v>
      </c>
      <c r="J139" s="50" t="str">
        <f t="shared" ref="J139:K139" si="686">IFERROR(F139/H139,"-")</f>
        <v>-</v>
      </c>
      <c r="K139" s="50" t="str">
        <f t="shared" si="686"/>
        <v>-</v>
      </c>
      <c r="L139" s="6">
        <f>IFERROR(__xludf.DUMMYFUNCTION("IFERROR(
  VLOOKUP(
    A139,
    IMPORTRANGE(
      ""1ZHMy3vVUd_0MrSduXTe1etBb1HNpAlGwQr006ljwMiM"",
      ""GSC最新!A:R""
    ),
    7,
    FALSE
  ),
  0
)
"),0.0)</f>
        <v>0</v>
      </c>
      <c r="M139" s="6">
        <f>IFERROR(__xludf.DUMMYFUNCTION("IFERROR(
  VLOOKUP(
    A139,
    IMPORTRANGE(
      ""1ZHMy3vVUd_0MrSduXTe1etBb1HNpAlGwQr006ljwMiM"",
      ""GSC最新!A:R""
    ),
    10,
    FALSE
  ),
  0
)
"),0.0)</f>
        <v>0</v>
      </c>
      <c r="N139" s="6">
        <f>IFERROR(__xludf.DUMMYFUNCTION("IFERROR(
  VLOOKUP(
    A139,
    IMPORTRANGE(
      ""1ZHMy3vVUd_0MrSduXTe1etBb1HNpAlGwQr006ljwMiM"",
      ""GSC最新!A:R""
    ),
    13,
    FALSE
  ),
  0
)
"),0.0)</f>
        <v>0</v>
      </c>
      <c r="O139" s="6">
        <f>IFERROR(__xludf.DUMMYFUNCTION("IFERROR(
  VLOOKUP(
    A139,
    IMPORTRANGE(
      ""1ZHMy3vVUd_0MrSduXTe1etBb1HNpAlGwQr006ljwMiM"",
      ""GSC最新!A:R""
    ),
    16,
    FALSE
  ),
  0
)
"),0.0)</f>
        <v>0</v>
      </c>
      <c r="P139" s="51" t="str">
        <f t="shared" ref="P139:Q139" si="687">IFERROR(L139/N139,"-")</f>
        <v>-</v>
      </c>
      <c r="Q139" s="51" t="str">
        <f t="shared" si="687"/>
        <v>-</v>
      </c>
      <c r="R139" s="9">
        <f>IFERROR(__xludf.DUMMYFUNCTION("IFERROR(
  VLOOKUP(
    A139,
    IMPORTRANGE(
      ""1ZHMy3vVUd_0MrSduXTe1etBb1HNpAlGwQr006ljwMiM"",
      ""GSC最新!A:R""
    ),
    8,
    FALSE
  ),
  0
)
"),0.0)</f>
        <v>0</v>
      </c>
      <c r="S139" s="9">
        <f>IFERROR(__xludf.DUMMYFUNCTION("IFERROR(
  VLOOKUP(
    A139,
    IMPORTRANGE(
      ""1ZHMy3vVUd_0MrSduXTe1etBb1HNpAlGwQr006ljwMiM"",
      ""GSC最新!A:R""
    ),
    11,
    FALSE
  ),
  0
)
"),0.0)</f>
        <v>0</v>
      </c>
      <c r="T139" s="9">
        <f>IFERROR(__xludf.DUMMYFUNCTION("IFERROR(
  VLOOKUP(
    A139,
    IMPORTRANGE(
      ""1ZHMy3vVUd_0MrSduXTe1etBb1HNpAlGwQr006ljwMiM"",
      ""GSC最新!A:R""
    ),
    14,
    FALSE
  ),
  0
)
"),0.0)</f>
        <v>0</v>
      </c>
      <c r="U139" s="9">
        <f>IFERROR(__xludf.DUMMYFUNCTION("IFERROR(
  VLOOKUP(
    A139,
    IMPORTRANGE(
      ""1ZHMy3vVUd_0MrSduXTe1etBb1HNpAlGwQr006ljwMiM"",
      ""GSC最新!A:R""
    ),
    17,
    FALSE
  ),
  0
)
"),0.0)</f>
        <v>0</v>
      </c>
      <c r="V139" s="9">
        <f t="shared" ref="V139:W139" si="688">IFERROR(R139-T139,"-")</f>
        <v>0</v>
      </c>
      <c r="W139" s="9">
        <f t="shared" si="688"/>
        <v>0</v>
      </c>
      <c r="X139" s="65" t="str">
        <f>IFERROR(__xludf.DUMMYFUNCTION("IFERROR(
  VLOOKUP(
    A139,
    IMPORTRANGE(
      ""1ZHMy3vVUd_0MrSduXTe1etBb1HNpAlGwQr006ljwMiM"",
      ""GSC最新!A:R""
    ),
    9,
    FALSE
  ),
  0
)
"),"")</f>
        <v/>
      </c>
      <c r="Y139" s="65" t="str">
        <f>IFERROR(__xludf.DUMMYFUNCTION("IFERROR(
  VLOOKUP(
    A139,
    IMPORTRANGE(
      ""1ZHMy3vVUd_0MrSduXTe1etBb1HNpAlGwQr006ljwMiM"",
      ""GSC最新!A:R""
    ),
    12,
    FALSE
  ),
  0
)
"),"")</f>
        <v/>
      </c>
      <c r="Z139" s="65" t="str">
        <f>IFERROR(__xludf.DUMMYFUNCTION("IFERROR(
  VLOOKUP(
    A139,
    IMPORTRANGE(
      ""1ZHMy3vVUd_0MrSduXTe1etBb1HNpAlGwQr006ljwMiM"",
      ""GSC最新!A:R""
    ),
    15,
    FALSE
  ),
  0
)
"),"")</f>
        <v/>
      </c>
      <c r="AA139" s="65" t="str">
        <f>IFERROR(__xludf.DUMMYFUNCTION("IFERROR(
  VLOOKUP(
    A139,
    IMPORTRANGE(
      ""1ZHMy3vVUd_0MrSduXTe1etBb1HNpAlGwQr006ljwMiM"",
      ""GSC最新!A:R""
    ),
    18,
    FALSE
  ),
  0
)
"),"")</f>
        <v/>
      </c>
      <c r="AB139" s="65">
        <f t="shared" ref="AB139:AC139" si="689">X139-Z139</f>
        <v>0</v>
      </c>
      <c r="AC139" s="65">
        <f t="shared" si="689"/>
        <v>0</v>
      </c>
      <c r="AD139" s="53">
        <f>IFERROR(__xludf.DUMMYFUNCTION("IFERROR(
  VLOOKUP(
    A139,
    IMPORTRANGE(
      ""1ZHMy3vVUd_0MrSduXTe1etBb1HNpAlGwQr006ljwMiM"",
      ""GSC最新!A:F""
    ),
    6,
    FALSE
  ),
  0
)
"),46081.0)</f>
        <v>46081</v>
      </c>
      <c r="AE139" s="54">
        <f>IFERROR(__xludf.DUMMYFUNCTION("IFERROR(
  VLOOKUP(
    A139,
    IMPORTRANGE(
      ""1SCYQd7_cobOYqT0r_F0IqD4tE4rYn5y8Eup4PJTH8es"",
      ""Snapshot!A:M""
    ),
    5,
    FALSE
  ),
  ""-""
)
"),0.0)</f>
        <v>0</v>
      </c>
      <c r="AF139" s="54">
        <f>IFERROR(__xludf.DUMMYFUNCTION("IFERROR(
  VLOOKUP(
    A139,
    IMPORTRANGE(
      ""1SCYQd7_cobOYqT0r_F0IqD4tE4rYn5y8Eup4PJTH8es"",
      ""Snapshot!A:M""
    ),
    6,
    FALSE
  ),
  0
)
"),8.0)</f>
        <v>8</v>
      </c>
      <c r="AG139" s="54">
        <f>IFERROR(__xludf.DUMMYFUNCTION("IFERROR(
  VLOOKUP(
    A139,
    IMPORTRANGE(
      ""1SCYQd7_cobOYqT0r_F0IqD4tE4rYn5y8Eup4PJTH8es"",
      ""Snapshot!A:M""
    ),
    7,
    FALSE
  ),
  0
)
"),3534.0)</f>
        <v>3534</v>
      </c>
      <c r="AH139" s="54">
        <f>IFERROR(__xludf.DUMMYFUNCTION("IFERROR(
  VLOOKUP(
    A139,
    IMPORTRANGE(
      ""1SCYQd7_cobOYqT0r_F0IqD4tE4rYn5y8Eup4PJTH8es"",
      ""Snapshot!A:M""
    ),
    8,
    FALSE
  ),
  0
)
"),1.0)</f>
        <v>1</v>
      </c>
      <c r="AI139" s="54">
        <f>IFERROR(__xludf.DUMMYFUNCTION("IFERROR(
  VLOOKUP(
    A139,
    IMPORTRANGE(
      ""1SCYQd7_cobOYqT0r_F0IqD4tE4rYn5y8Eup4PJTH8es"",
      ""Snapshot!A:M""
    ),
    9,
    FALSE
  ),
  0
)
"),6.0)</f>
        <v>6</v>
      </c>
      <c r="AJ139" s="54">
        <f>IFERROR(__xludf.DUMMYFUNCTION("IFERROR(
  VLOOKUP(
    A139,
    IMPORTRANGE(
      ""1SCYQd7_cobOYqT0r_F0IqD4tE4rYn5y8Eup4PJTH8es"",
      ""Snapshot!A:M""
    ),
    13,
    FALSE
  ),
  0
)
"),1.0)</f>
        <v>1</v>
      </c>
      <c r="AK139" s="49">
        <f t="shared" ref="AK139:AL139" si="690">LEN(C139)</f>
        <v>67</v>
      </c>
      <c r="AL139" s="49">
        <f t="shared" si="690"/>
        <v>55</v>
      </c>
    </row>
    <row r="140">
      <c r="A140" s="3" t="s">
        <v>1222</v>
      </c>
      <c r="B140" s="1" t="str">
        <f>IFERROR(__xludf.DUMMYFUNCTION("IFERROR(
  VLOOKUP(
    A140,
    IMPORTRANGE(
      ""1ZygntHC1J6IxzKbTidmOyf5nUyW4GCLurHCjexrLm_o"",
      ""HTMLキャッシュ!A:F""
    ),
    2,
    FALSE
  ),
  0
)
"),"MC")</f>
        <v>MC</v>
      </c>
      <c r="C140" s="1" t="str">
        <f>IFERROR(__xludf.DUMMYFUNCTION("IFERROR(
  VLOOKUP(
    A140,
    IMPORTRANGE(
      ""1ZygntHC1J6IxzKbTidmOyf5nUyW4GCLurHCjexrLm_o"",
      ""HTMLキャッシュ!A:F""
    ),
    5,
    FALSE
  ),
  0
)
"),"過去完了:進行形【Book2 Lesson8 Scene3】 - 新宿区四谷の英語専門塾「英語教室『サポート』」～英語は別に怖くない！～")</f>
        <v>過去完了:進行形【Book2 Lesson8 Scene3】 - 新宿区四谷の英語専門塾「英語教室『サポート』」～英語は別に怖くない！～</v>
      </c>
      <c r="D140" s="1" t="str">
        <f>IFERROR(__xludf.DUMMYFUNCTION("IFERROR(
  VLOOKUP(
    A140,
    IMPORTRANGE(
      ""1ZygntHC1J6IxzKbTidmOyf5nUyW4GCLurHCjexrLm_o        "",
      ""HTMLキャッシュ!A:F""
    ),
    6,
    FALSE
  ),
  0
)
"),"PROGRESS対応 不定詞 副詞的用法 不定詞は「形容詞の後ろ」が勝負：感情と難易を分ける 不定詞は以前から")</f>
        <v>PROGRESS対応 不定詞 副詞的用法 不定詞は「形容詞の後ろ」が勝負：感情と難易を分ける 不定詞は以前から</v>
      </c>
      <c r="E140" s="32">
        <f>IFERROR(__xludf.DUMMYFUNCTION("IFERROR(
  VLOOKUP(
    A140,
    IMPORTRANGE(
      ""1ZygntHC1J6IxzKbTidmOyf5nUyW4GCLurHCjexrLm_o        "",
      ""HTMLキャッシュ!A:F""
    ),
    3,
    FALSE
  ),
  0
)
"),46083.68099537037)</f>
        <v>46083.681</v>
      </c>
      <c r="F140" s="49">
        <f>IFERROR(__xludf.DUMMYFUNCTION("IFERROR(
  VLOOKUP(
    A140,
    IMPORTRANGE(
      ""1ZHMy3vVUd_0MrSduXTe1etBb1HNpAlGwQr006ljwMiM"",
      ""GSC最新!A:F""
    ),
    2,
    FALSE
  ),
  0
)
"),0.0)</f>
        <v>0</v>
      </c>
      <c r="G140" s="49">
        <f>IFERROR(__xludf.DUMMYFUNCTION("IFERROR(
  VLOOKUP(
    A140,
    IMPORTRANGE(
      ""1ZHMy3vVUd_0MrSduXTe1etBb1HNpAlGwQr006ljwMiM"",
      ""GSC最新!A:F""
    ),
    3,
    FALSE
  ),
  0
)
"),0.0)</f>
        <v>0</v>
      </c>
      <c r="H140" s="49">
        <f>IFERROR(__xludf.DUMMYFUNCTION("IFERROR(
  VLOOKUP(
    A140,
    IMPORTRANGE(
      ""1ZHMy3vVUd_0MrSduXTe1etBb1HNpAlGwQr006ljwMiM"",
      ""GSC最新!A:F""
    ),
    4,
    FALSE
  ),
  0
)
"),0.0)</f>
        <v>0</v>
      </c>
      <c r="I140" s="49">
        <f>IFERROR(__xludf.DUMMYFUNCTION("IFERROR(
  VLOOKUP(
    A140,
    IMPORTRANGE(
      ""1ZHMy3vVUd_0MrSduXTe1etBb1HNpAlGwQr006ljwMiM"",
      ""GSC最新!A:F""
    ),
    5,
    FALSE
  ),
  0
)
"),0.0)</f>
        <v>0</v>
      </c>
      <c r="J140" s="50" t="str">
        <f t="shared" ref="J140:K140" si="691">IFERROR(F140/H140,"-")</f>
        <v>-</v>
      </c>
      <c r="K140" s="50" t="str">
        <f t="shared" si="691"/>
        <v>-</v>
      </c>
      <c r="L140" s="6">
        <f>IFERROR(__xludf.DUMMYFUNCTION("IFERROR(
  VLOOKUP(
    A140,
    IMPORTRANGE(
      ""1ZHMy3vVUd_0MrSduXTe1etBb1HNpAlGwQr006ljwMiM"",
      ""GSC最新!A:R""
    ),
    7,
    FALSE
  ),
  0
)
"),0.0)</f>
        <v>0</v>
      </c>
      <c r="M140" s="6">
        <f>IFERROR(__xludf.DUMMYFUNCTION("IFERROR(
  VLOOKUP(
    A140,
    IMPORTRANGE(
      ""1ZHMy3vVUd_0MrSduXTe1etBb1HNpAlGwQr006ljwMiM"",
      ""GSC最新!A:R""
    ),
    10,
    FALSE
  ),
  0
)
"),0.0)</f>
        <v>0</v>
      </c>
      <c r="N140" s="6">
        <f>IFERROR(__xludf.DUMMYFUNCTION("IFERROR(
  VLOOKUP(
    A140,
    IMPORTRANGE(
      ""1ZHMy3vVUd_0MrSduXTe1etBb1HNpAlGwQr006ljwMiM"",
      ""GSC最新!A:R""
    ),
    13,
    FALSE
  ),
  0
)
"),6.0)</f>
        <v>6</v>
      </c>
      <c r="O140" s="6">
        <f>IFERROR(__xludf.DUMMYFUNCTION("IFERROR(
  VLOOKUP(
    A140,
    IMPORTRANGE(
      ""1ZHMy3vVUd_0MrSduXTe1etBb1HNpAlGwQr006ljwMiM"",
      ""GSC最新!A:R""
    ),
    16,
    FALSE
  ),
  0
)
"),22.0)</f>
        <v>22</v>
      </c>
      <c r="P140" s="51">
        <f t="shared" ref="P140:Q140" si="692">IFERROR(L140/N140,"-")</f>
        <v>0</v>
      </c>
      <c r="Q140" s="51">
        <f t="shared" si="692"/>
        <v>0</v>
      </c>
      <c r="R140" s="9">
        <f>IFERROR(__xludf.DUMMYFUNCTION("IFERROR(
  VLOOKUP(
    A140,
    IMPORTRANGE(
      ""1ZHMy3vVUd_0MrSduXTe1etBb1HNpAlGwQr006ljwMiM"",
      ""GSC最新!A:R""
    ),
    8,
    FALSE
  ),
  0
)
"),0.0)</f>
        <v>0</v>
      </c>
      <c r="S140" s="9">
        <f>IFERROR(__xludf.DUMMYFUNCTION("IFERROR(
  VLOOKUP(
    A140,
    IMPORTRANGE(
      ""1ZHMy3vVUd_0MrSduXTe1etBb1HNpAlGwQr006ljwMiM"",
      ""GSC最新!A:R""
    ),
    11,
    FALSE
  ),
  0
)
"),0.0)</f>
        <v>0</v>
      </c>
      <c r="T140" s="9">
        <f>IFERROR(__xludf.DUMMYFUNCTION("IFERROR(
  VLOOKUP(
    A140,
    IMPORTRANGE(
      ""1ZHMy3vVUd_0MrSduXTe1etBb1HNpAlGwQr006ljwMiM"",
      ""GSC最新!A:R""
    ),
    14,
    FALSE
  ),
  0
)
"),0.0)</f>
        <v>0</v>
      </c>
      <c r="U140" s="9">
        <f>IFERROR(__xludf.DUMMYFUNCTION("IFERROR(
  VLOOKUP(
    A140,
    IMPORTRANGE(
      ""1ZHMy3vVUd_0MrSduXTe1etBb1HNpAlGwQr006ljwMiM"",
      ""GSC最新!A:R""
    ),
    17,
    FALSE
  ),
  0
)
"),0.0)</f>
        <v>0</v>
      </c>
      <c r="V140" s="9">
        <f t="shared" ref="V140:W140" si="693">IFERROR(R140-T140,"-")</f>
        <v>0</v>
      </c>
      <c r="W140" s="9">
        <f t="shared" si="693"/>
        <v>0</v>
      </c>
      <c r="X140" s="65" t="str">
        <f>IFERROR(__xludf.DUMMYFUNCTION("IFERROR(
  VLOOKUP(
    A140,
    IMPORTRANGE(
      ""1ZHMy3vVUd_0MrSduXTe1etBb1HNpAlGwQr006ljwMiM"",
      ""GSC最新!A:R""
    ),
    9,
    FALSE
  ),
  0
)
"),"")</f>
        <v/>
      </c>
      <c r="Y140" s="65" t="str">
        <f>IFERROR(__xludf.DUMMYFUNCTION("IFERROR(
  VLOOKUP(
    A140,
    IMPORTRANGE(
      ""1ZHMy3vVUd_0MrSduXTe1etBb1HNpAlGwQr006ljwMiM"",
      ""GSC最新!A:R""
    ),
    12,
    FALSE
  ),
  0
)
"),"")</f>
        <v/>
      </c>
      <c r="Z140" s="65">
        <f>IFERROR(__xludf.DUMMYFUNCTION("IFERROR(
  VLOOKUP(
    A140,
    IMPORTRANGE(
      ""1ZHMy3vVUd_0MrSduXTe1etBb1HNpAlGwQr006ljwMiM"",
      ""GSC最新!A:R""
    ),
    15,
    FALSE
  ),
  0
)
"),7.5)</f>
        <v>7.5</v>
      </c>
      <c r="AA140" s="65">
        <f>IFERROR(__xludf.DUMMYFUNCTION("IFERROR(
  VLOOKUP(
    A140,
    IMPORTRANGE(
      ""1ZHMy3vVUd_0MrSduXTe1etBb1HNpAlGwQr006ljwMiM"",
      ""GSC最新!A:R""
    ),
    18,
    FALSE
  ),
  0
)
"),22.09090909090909)</f>
        <v>22.09090909</v>
      </c>
      <c r="AB140" s="65">
        <f t="shared" ref="AB140:AC140" si="694">X140-Z140</f>
        <v>-7.5</v>
      </c>
      <c r="AC140" s="65">
        <f t="shared" si="694"/>
        <v>-22.09090909</v>
      </c>
      <c r="AD140" s="53">
        <f>IFERROR(__xludf.DUMMYFUNCTION("IFERROR(
  VLOOKUP(
    A140,
    IMPORTRANGE(
      ""1ZHMy3vVUd_0MrSduXTe1etBb1HNpAlGwQr006ljwMiM"",
      ""GSC最新!A:F""
    ),
    6,
    FALSE
  ),
  0
)
"),46081.0)</f>
        <v>46081</v>
      </c>
      <c r="AE140" s="54">
        <f>IFERROR(__xludf.DUMMYFUNCTION("IFERROR(
  VLOOKUP(
    A140,
    IMPORTRANGE(
      ""1SCYQd7_cobOYqT0r_F0IqD4tE4rYn5y8Eup4PJTH8es"",
      ""Snapshot!A:M""
    ),
    5,
    FALSE
  ),
  ""-""
)
"),0.0)</f>
        <v>0</v>
      </c>
      <c r="AF140" s="54">
        <f>IFERROR(__xludf.DUMMYFUNCTION("IFERROR(
  VLOOKUP(
    A140,
    IMPORTRANGE(
      ""1SCYQd7_cobOYqT0r_F0IqD4tE4rYn5y8Eup4PJTH8es"",
      ""Snapshot!A:M""
    ),
    6,
    FALSE
  ),
  0
)
"),4.0)</f>
        <v>4</v>
      </c>
      <c r="AG140" s="54">
        <f>IFERROR(__xludf.DUMMYFUNCTION("IFERROR(
  VLOOKUP(
    A140,
    IMPORTRANGE(
      ""1SCYQd7_cobOYqT0r_F0IqD4tE4rYn5y8Eup4PJTH8es"",
      ""Snapshot!A:M""
    ),
    7,
    FALSE
  ),
  0
)
"),3568.0)</f>
        <v>3568</v>
      </c>
      <c r="AH140" s="54">
        <f>IFERROR(__xludf.DUMMYFUNCTION("IFERROR(
  VLOOKUP(
    A140,
    IMPORTRANGE(
      ""1SCYQd7_cobOYqT0r_F0IqD4tE4rYn5y8Eup4PJTH8es"",
      ""Snapshot!A:M""
    ),
    8,
    FALSE
  ),
  0
)
"),1.0)</f>
        <v>1</v>
      </c>
      <c r="AI140" s="54">
        <f>IFERROR(__xludf.DUMMYFUNCTION("IFERROR(
  VLOOKUP(
    A140,
    IMPORTRANGE(
      ""1SCYQd7_cobOYqT0r_F0IqD4tE4rYn5y8Eup4PJTH8es"",
      ""Snapshot!A:M""
    ),
    9,
    FALSE
  ),
  0
)
"),4.0)</f>
        <v>4</v>
      </c>
      <c r="AJ140" s="54">
        <f>IFERROR(__xludf.DUMMYFUNCTION("IFERROR(
  VLOOKUP(
    A140,
    IMPORTRANGE(
      ""1SCYQd7_cobOYqT0r_F0IqD4tE4rYn5y8Eup4PJTH8es"",
      ""Snapshot!A:M""
    ),
    13,
    FALSE
  ),
  0
)
"),1.0)</f>
        <v>1</v>
      </c>
      <c r="AK140" s="49">
        <f t="shared" ref="AK140:AL140" si="695">LEN(C140)</f>
        <v>68</v>
      </c>
      <c r="AL140" s="49">
        <f t="shared" si="695"/>
        <v>55</v>
      </c>
    </row>
    <row r="141">
      <c r="A141" s="3" t="s">
        <v>1223</v>
      </c>
      <c r="B141" s="1" t="str">
        <f>IFERROR(__xludf.DUMMYFUNCTION("IFERROR(
  VLOOKUP(
    A141,
    IMPORTRANGE(
      ""1ZygntHC1J6IxzKbTidmOyf5nUyW4GCLurHCjexrLm_o"",
      ""HTMLキャッシュ!A:F""
    ),
    2,
    FALSE
  ),
  0
)
"),"MC")</f>
        <v>MC</v>
      </c>
      <c r="C141" s="1" t="str">
        <f>IFERROR(__xludf.DUMMYFUNCTION("IFERROR(
  VLOOKUP(
    A141,
    IMPORTRANGE(
      ""1ZygntHC1J6IxzKbTidmOyf5nUyW4GCLurHCjexrLm_o"",
      ""HTMLキャッシュ!A:F""
    ),
    5,
    FALSE
  ),
  0
)
"),"比較：原級【Book2 Lesson3 Scene3】 - 新宿区四谷の英語専門塾「英語教室『サポート』」～英語は別に怖くない！～")</f>
        <v>比較：原級【Book2 Lesson3 Scene3】 - 新宿区四谷の英語専門塾「英語教室『サポート』」～英語は別に怖くない！～</v>
      </c>
      <c r="D141" s="1" t="str">
        <f>IFERROR(__xludf.DUMMYFUNCTION("IFERROR(
  VLOOKUP(
    A141,
    IMPORTRANGE(
      ""1ZygntHC1J6IxzKbTidmOyf5nUyW4GCLurHCjexrLm_o        "",
      ""HTMLキャッシュ!A:F""
    ),
    6,
    FALSE
  ),
  0
)
"),"PROGRESS Book2 Lesson3 Scene3 比較の原級「as … as」：同じくらい／〜ほど…")</f>
        <v>PROGRESS Book2 Lesson3 Scene3 比較の原級「as … as」：同じくらい／〜ほど…</v>
      </c>
      <c r="E141" s="32">
        <f>IFERROR(__xludf.DUMMYFUNCTION("IFERROR(
  VLOOKUP(
    A141,
    IMPORTRANGE(
      ""1ZygntHC1J6IxzKbTidmOyf5nUyW4GCLurHCjexrLm_o        "",
      ""HTMLキャッシュ!A:F""
    ),
    3,
    FALSE
  ),
  0
)
"),46083.685578703706)</f>
        <v>46083.68558</v>
      </c>
      <c r="F141" s="49">
        <f>IFERROR(__xludf.DUMMYFUNCTION("IFERROR(
  VLOOKUP(
    A141,
    IMPORTRANGE(
      ""1ZHMy3vVUd_0MrSduXTe1etBb1HNpAlGwQr006ljwMiM"",
      ""GSC最新!A:F""
    ),
    2,
    FALSE
  ),
  0
)
"),0.0)</f>
        <v>0</v>
      </c>
      <c r="G141" s="49">
        <f>IFERROR(__xludf.DUMMYFUNCTION("IFERROR(
  VLOOKUP(
    A141,
    IMPORTRANGE(
      ""1ZHMy3vVUd_0MrSduXTe1etBb1HNpAlGwQr006ljwMiM"",
      ""GSC最新!A:F""
    ),
    3,
    FALSE
  ),
  0
)
"),0.0)</f>
        <v>0</v>
      </c>
      <c r="H141" s="49">
        <f>IFERROR(__xludf.DUMMYFUNCTION("IFERROR(
  VLOOKUP(
    A141,
    IMPORTRANGE(
      ""1ZHMy3vVUd_0MrSduXTe1etBb1HNpAlGwQr006ljwMiM"",
      ""GSC最新!A:F""
    ),
    4,
    FALSE
  ),
  0
)
"),0.0)</f>
        <v>0</v>
      </c>
      <c r="I141" s="49">
        <f>IFERROR(__xludf.DUMMYFUNCTION("IFERROR(
  VLOOKUP(
    A141,
    IMPORTRANGE(
      ""1ZHMy3vVUd_0MrSduXTe1etBb1HNpAlGwQr006ljwMiM"",
      ""GSC最新!A:F""
    ),
    5,
    FALSE
  ),
  0
)
"),0.0)</f>
        <v>0</v>
      </c>
      <c r="J141" s="50" t="str">
        <f t="shared" ref="J141:K141" si="696">IFERROR(F141/H141,"-")</f>
        <v>-</v>
      </c>
      <c r="K141" s="50" t="str">
        <f t="shared" si="696"/>
        <v>-</v>
      </c>
      <c r="L141" s="6">
        <f>IFERROR(__xludf.DUMMYFUNCTION("IFERROR(
  VLOOKUP(
    A141,
    IMPORTRANGE(
      ""1ZHMy3vVUd_0MrSduXTe1etBb1HNpAlGwQr006ljwMiM"",
      ""GSC最新!A:R""
    ),
    7,
    FALSE
  ),
  0
)
"),0.0)</f>
        <v>0</v>
      </c>
      <c r="M141" s="6">
        <f>IFERROR(__xludf.DUMMYFUNCTION("IFERROR(
  VLOOKUP(
    A141,
    IMPORTRANGE(
      ""1ZHMy3vVUd_0MrSduXTe1etBb1HNpAlGwQr006ljwMiM"",
      ""GSC最新!A:R""
    ),
    10,
    FALSE
  ),
  0
)
"),0.0)</f>
        <v>0</v>
      </c>
      <c r="N141" s="6">
        <f>IFERROR(__xludf.DUMMYFUNCTION("IFERROR(
  VLOOKUP(
    A141,
    IMPORTRANGE(
      ""1ZHMy3vVUd_0MrSduXTe1etBb1HNpAlGwQr006ljwMiM"",
      ""GSC最新!A:R""
    ),
    13,
    FALSE
  ),
  0
)
"),0.0)</f>
        <v>0</v>
      </c>
      <c r="O141" s="6">
        <f>IFERROR(__xludf.DUMMYFUNCTION("IFERROR(
  VLOOKUP(
    A141,
    IMPORTRANGE(
      ""1ZHMy3vVUd_0MrSduXTe1etBb1HNpAlGwQr006ljwMiM"",
      ""GSC最新!A:R""
    ),
    16,
    FALSE
  ),
  0
)
"),0.0)</f>
        <v>0</v>
      </c>
      <c r="P141" s="51" t="str">
        <f t="shared" ref="P141:Q141" si="697">IFERROR(L141/N141,"-")</f>
        <v>-</v>
      </c>
      <c r="Q141" s="51" t="str">
        <f t="shared" si="697"/>
        <v>-</v>
      </c>
      <c r="R141" s="9">
        <f>IFERROR(__xludf.DUMMYFUNCTION("IFERROR(
  VLOOKUP(
    A141,
    IMPORTRANGE(
      ""1ZHMy3vVUd_0MrSduXTe1etBb1HNpAlGwQr006ljwMiM"",
      ""GSC最新!A:R""
    ),
    8,
    FALSE
  ),
  0
)
"),0.0)</f>
        <v>0</v>
      </c>
      <c r="S141" s="9">
        <f>IFERROR(__xludf.DUMMYFUNCTION("IFERROR(
  VLOOKUP(
    A141,
    IMPORTRANGE(
      ""1ZHMy3vVUd_0MrSduXTe1etBb1HNpAlGwQr006ljwMiM"",
      ""GSC最新!A:R""
    ),
    11,
    FALSE
  ),
  0
)
"),0.0)</f>
        <v>0</v>
      </c>
      <c r="T141" s="9">
        <f>IFERROR(__xludf.DUMMYFUNCTION("IFERROR(
  VLOOKUP(
    A141,
    IMPORTRANGE(
      ""1ZHMy3vVUd_0MrSduXTe1etBb1HNpAlGwQr006ljwMiM"",
      ""GSC最新!A:R""
    ),
    14,
    FALSE
  ),
  0
)
"),0.0)</f>
        <v>0</v>
      </c>
      <c r="U141" s="9">
        <f>IFERROR(__xludf.DUMMYFUNCTION("IFERROR(
  VLOOKUP(
    A141,
    IMPORTRANGE(
      ""1ZHMy3vVUd_0MrSduXTe1etBb1HNpAlGwQr006ljwMiM"",
      ""GSC最新!A:R""
    ),
    17,
    FALSE
  ),
  0
)
"),0.0)</f>
        <v>0</v>
      </c>
      <c r="V141" s="9">
        <f t="shared" ref="V141:W141" si="698">IFERROR(R141-T141,"-")</f>
        <v>0</v>
      </c>
      <c r="W141" s="9">
        <f t="shared" si="698"/>
        <v>0</v>
      </c>
      <c r="X141" s="65" t="str">
        <f>IFERROR(__xludf.DUMMYFUNCTION("IFERROR(
  VLOOKUP(
    A141,
    IMPORTRANGE(
      ""1ZHMy3vVUd_0MrSduXTe1etBb1HNpAlGwQr006ljwMiM"",
      ""GSC最新!A:R""
    ),
    9,
    FALSE
  ),
  0
)
"),"")</f>
        <v/>
      </c>
      <c r="Y141" s="65" t="str">
        <f>IFERROR(__xludf.DUMMYFUNCTION("IFERROR(
  VLOOKUP(
    A141,
    IMPORTRANGE(
      ""1ZHMy3vVUd_0MrSduXTe1etBb1HNpAlGwQr006ljwMiM"",
      ""GSC最新!A:R""
    ),
    12,
    FALSE
  ),
  0
)
"),"")</f>
        <v/>
      </c>
      <c r="Z141" s="65" t="str">
        <f>IFERROR(__xludf.DUMMYFUNCTION("IFERROR(
  VLOOKUP(
    A141,
    IMPORTRANGE(
      ""1ZHMy3vVUd_0MrSduXTe1etBb1HNpAlGwQr006ljwMiM"",
      ""GSC最新!A:R""
    ),
    15,
    FALSE
  ),
  0
)
"),"")</f>
        <v/>
      </c>
      <c r="AA141" s="65" t="str">
        <f>IFERROR(__xludf.DUMMYFUNCTION("IFERROR(
  VLOOKUP(
    A141,
    IMPORTRANGE(
      ""1ZHMy3vVUd_0MrSduXTe1etBb1HNpAlGwQr006ljwMiM"",
      ""GSC最新!A:R""
    ),
    18,
    FALSE
  ),
  0
)
"),"")</f>
        <v/>
      </c>
      <c r="AB141" s="65">
        <f t="shared" ref="AB141:AC141" si="699">X141-Z141</f>
        <v>0</v>
      </c>
      <c r="AC141" s="65">
        <f t="shared" si="699"/>
        <v>0</v>
      </c>
      <c r="AD141" s="53">
        <f>IFERROR(__xludf.DUMMYFUNCTION("IFERROR(
  VLOOKUP(
    A141,
    IMPORTRANGE(
      ""1ZHMy3vVUd_0MrSduXTe1etBb1HNpAlGwQr006ljwMiM"",
      ""GSC最新!A:F""
    ),
    6,
    FALSE
  ),
  0
)
"),46081.0)</f>
        <v>46081</v>
      </c>
      <c r="AE141" s="54">
        <f>IFERROR(__xludf.DUMMYFUNCTION("IFERROR(
  VLOOKUP(
    A141,
    IMPORTRANGE(
      ""1SCYQd7_cobOYqT0r_F0IqD4tE4rYn5y8Eup4PJTH8es"",
      ""Snapshot!A:M""
    ),
    5,
    FALSE
  ),
  ""-""
)
"),0.0)</f>
        <v>0</v>
      </c>
      <c r="AF141" s="54">
        <f>IFERROR(__xludf.DUMMYFUNCTION("IFERROR(
  VLOOKUP(
    A141,
    IMPORTRANGE(
      ""1SCYQd7_cobOYqT0r_F0IqD4tE4rYn5y8Eup4PJTH8es"",
      ""Snapshot!A:M""
    ),
    6,
    FALSE
  ),
  0
)
"),5.0)</f>
        <v>5</v>
      </c>
      <c r="AG141" s="54">
        <f>IFERROR(__xludf.DUMMYFUNCTION("IFERROR(
  VLOOKUP(
    A141,
    IMPORTRANGE(
      ""1SCYQd7_cobOYqT0r_F0IqD4tE4rYn5y8Eup4PJTH8es"",
      ""Snapshot!A:M""
    ),
    7,
    FALSE
  ),
  0
)
"),3728.0)</f>
        <v>3728</v>
      </c>
      <c r="AH141" s="54">
        <f>IFERROR(__xludf.DUMMYFUNCTION("IFERROR(
  VLOOKUP(
    A141,
    IMPORTRANGE(
      ""1SCYQd7_cobOYqT0r_F0IqD4tE4rYn5y8Eup4PJTH8es"",
      ""Snapshot!A:M""
    ),
    8,
    FALSE
  ),
  0
)
"),1.0)</f>
        <v>1</v>
      </c>
      <c r="AI141" s="54">
        <f>IFERROR(__xludf.DUMMYFUNCTION("IFERROR(
  VLOOKUP(
    A141,
    IMPORTRANGE(
      ""1SCYQd7_cobOYqT0r_F0IqD4tE4rYn5y8Eup4PJTH8es"",
      ""Snapshot!A:M""
    ),
    9,
    FALSE
  ),
  0
)
"),5.0)</f>
        <v>5</v>
      </c>
      <c r="AJ141" s="54">
        <f>IFERROR(__xludf.DUMMYFUNCTION("IFERROR(
  VLOOKUP(
    A141,
    IMPORTRANGE(
      ""1SCYQd7_cobOYqT0r_F0IqD4tE4rYn5y8Eup4PJTH8es"",
      ""Snapshot!A:M""
    ),
    13,
    FALSE
  ),
  0
)
"),1.0)</f>
        <v>1</v>
      </c>
      <c r="AK141" s="49">
        <f t="shared" ref="AK141:AL141" si="700">LEN(C141)</f>
        <v>65</v>
      </c>
      <c r="AL141" s="49">
        <f t="shared" si="700"/>
        <v>55</v>
      </c>
    </row>
    <row r="142">
      <c r="A142" s="3" t="s">
        <v>1224</v>
      </c>
      <c r="B142" s="1" t="str">
        <f>IFERROR(__xludf.DUMMYFUNCTION("IFERROR(
  VLOOKUP(
    A142,
    IMPORTRANGE(
      ""1ZygntHC1J6IxzKbTidmOyf5nUyW4GCLurHCjexrLm_o"",
      ""HTMLキャッシュ!A:F""
    ),
    2,
    FALSE
  ),
  0
)
"),"MC")</f>
        <v>MC</v>
      </c>
      <c r="C142" s="1" t="str">
        <f>IFERROR(__xludf.DUMMYFUNCTION("IFERROR(
  VLOOKUP(
    A142,
    IMPORTRANGE(
      ""1ZygntHC1J6IxzKbTidmOyf5nUyW4GCLurHCjexrLm_o"",
      ""HTMLキャッシュ!A:F""
    ),
    5,
    FALSE
  ),
  0
)
"),"不定詞の名詞用法｜補語と it構文のルール徹底解説")</f>
        <v>不定詞の名詞用法｜補語と it構文のルール徹底解説</v>
      </c>
      <c r="D142" s="1" t="str">
        <f>IFERROR(__xludf.DUMMYFUNCTION("IFERROR(
  VLOOKUP(
    A142,
    IMPORTRANGE(
      ""1ZygntHC1J6IxzKbTidmOyf5nUyW4GCLurHCjexrLm_o        "",
      ""HTMLキャッシュ!A:F""
    ),
    6,
    FALSE
  ),
  0
)
"),"不定詞補語を例文で整理。it構文（It is important to～）／天候it／seem(to be)／to be raining／否定位置まで確認。PROGRESS Book2対応。")</f>
        <v>不定詞補語を例文で整理。it構文（It is important to～）／天候it／seem(to be)／to be raining／否定位置まで確認。PROGRESS Book2対応。</v>
      </c>
      <c r="E142" s="32">
        <f>IFERROR(__xludf.DUMMYFUNCTION("IFERROR(
  VLOOKUP(
    A142,
    IMPORTRANGE(
      ""1ZygntHC1J6IxzKbTidmOyf5nUyW4GCLurHCjexrLm_o        "",
      ""HTMLキャッシュ!A:F""
    ),
    3,
    FALSE
  ),
  0
)
"),46074.54771990741)</f>
        <v>46074.54772</v>
      </c>
      <c r="F142" s="49">
        <f>IFERROR(__xludf.DUMMYFUNCTION("IFERROR(
  VLOOKUP(
    A142,
    IMPORTRANGE(
      ""1ZHMy3vVUd_0MrSduXTe1etBb1HNpAlGwQr006ljwMiM"",
      ""GSC最新!A:F""
    ),
    2,
    FALSE
  ),
  0
)
"),0.0)</f>
        <v>0</v>
      </c>
      <c r="G142" s="49">
        <f>IFERROR(__xludf.DUMMYFUNCTION("IFERROR(
  VLOOKUP(
    A142,
    IMPORTRANGE(
      ""1ZHMy3vVUd_0MrSduXTe1etBb1HNpAlGwQr006ljwMiM"",
      ""GSC最新!A:F""
    ),
    3,
    FALSE
  ),
  0
)
"),0.0)</f>
        <v>0</v>
      </c>
      <c r="H142" s="49">
        <f>IFERROR(__xludf.DUMMYFUNCTION("IFERROR(
  VLOOKUP(
    A142,
    IMPORTRANGE(
      ""1ZHMy3vVUd_0MrSduXTe1etBb1HNpAlGwQr006ljwMiM"",
      ""GSC最新!A:F""
    ),
    4,
    FALSE
  ),
  0
)
"),0.0)</f>
        <v>0</v>
      </c>
      <c r="I142" s="49">
        <f>IFERROR(__xludf.DUMMYFUNCTION("IFERROR(
  VLOOKUP(
    A142,
    IMPORTRANGE(
      ""1ZHMy3vVUd_0MrSduXTe1etBb1HNpAlGwQr006ljwMiM"",
      ""GSC最新!A:F""
    ),
    5,
    FALSE
  ),
  0
)
"),0.0)</f>
        <v>0</v>
      </c>
      <c r="J142" s="50" t="str">
        <f t="shared" ref="J142:K142" si="701">IFERROR(F142/H142,"-")</f>
        <v>-</v>
      </c>
      <c r="K142" s="50" t="str">
        <f t="shared" si="701"/>
        <v>-</v>
      </c>
      <c r="L142" s="6">
        <f>IFERROR(__xludf.DUMMYFUNCTION("IFERROR(
  VLOOKUP(
    A142,
    IMPORTRANGE(
      ""1ZHMy3vVUd_0MrSduXTe1etBb1HNpAlGwQr006ljwMiM"",
      ""GSC最新!A:R""
    ),
    7,
    FALSE
  ),
  0
)
"),0.0)</f>
        <v>0</v>
      </c>
      <c r="M142" s="6">
        <f>IFERROR(__xludf.DUMMYFUNCTION("IFERROR(
  VLOOKUP(
    A142,
    IMPORTRANGE(
      ""1ZHMy3vVUd_0MrSduXTe1etBb1HNpAlGwQr006ljwMiM"",
      ""GSC最新!A:R""
    ),
    10,
    FALSE
  ),
  0
)
"),0.0)</f>
        <v>0</v>
      </c>
      <c r="N142" s="6">
        <f>IFERROR(__xludf.DUMMYFUNCTION("IFERROR(
  VLOOKUP(
    A142,
    IMPORTRANGE(
      ""1ZHMy3vVUd_0MrSduXTe1etBb1HNpAlGwQr006ljwMiM"",
      ""GSC最新!A:R""
    ),
    13,
    FALSE
  ),
  0
)
"),14.0)</f>
        <v>14</v>
      </c>
      <c r="O142" s="6">
        <f>IFERROR(__xludf.DUMMYFUNCTION("IFERROR(
  VLOOKUP(
    A142,
    IMPORTRANGE(
      ""1ZHMy3vVUd_0MrSduXTe1etBb1HNpAlGwQr006ljwMiM"",
      ""GSC最新!A:R""
    ),
    16,
    FALSE
  ),
  0
)
"),21.0)</f>
        <v>21</v>
      </c>
      <c r="P142" s="51">
        <f t="shared" ref="P142:Q142" si="702">IFERROR(L142/N142,"-")</f>
        <v>0</v>
      </c>
      <c r="Q142" s="51">
        <f t="shared" si="702"/>
        <v>0</v>
      </c>
      <c r="R142" s="9">
        <f>IFERROR(__xludf.DUMMYFUNCTION("IFERROR(
  VLOOKUP(
    A142,
    IMPORTRANGE(
      ""1ZHMy3vVUd_0MrSduXTe1etBb1HNpAlGwQr006ljwMiM"",
      ""GSC最新!A:R""
    ),
    8,
    FALSE
  ),
  0
)
"),0.0)</f>
        <v>0</v>
      </c>
      <c r="S142" s="9">
        <f>IFERROR(__xludf.DUMMYFUNCTION("IFERROR(
  VLOOKUP(
    A142,
    IMPORTRANGE(
      ""1ZHMy3vVUd_0MrSduXTe1etBb1HNpAlGwQr006ljwMiM"",
      ""GSC最新!A:R""
    ),
    11,
    FALSE
  ),
  0
)
"),0.0)</f>
        <v>0</v>
      </c>
      <c r="T142" s="9">
        <f>IFERROR(__xludf.DUMMYFUNCTION("IFERROR(
  VLOOKUP(
    A142,
    IMPORTRANGE(
      ""1ZHMy3vVUd_0MrSduXTe1etBb1HNpAlGwQr006ljwMiM"",
      ""GSC最新!A:R""
    ),
    14,
    FALSE
  ),
  0
)
"),0.0)</f>
        <v>0</v>
      </c>
      <c r="U142" s="9">
        <f>IFERROR(__xludf.DUMMYFUNCTION("IFERROR(
  VLOOKUP(
    A142,
    IMPORTRANGE(
      ""1ZHMy3vVUd_0MrSduXTe1etBb1HNpAlGwQr006ljwMiM"",
      ""GSC最新!A:R""
    ),
    17,
    FALSE
  ),
  0
)
"),0.0)</f>
        <v>0</v>
      </c>
      <c r="V142" s="9">
        <f t="shared" ref="V142:W142" si="703">IFERROR(R142-T142,"-")</f>
        <v>0</v>
      </c>
      <c r="W142" s="9">
        <f t="shared" si="703"/>
        <v>0</v>
      </c>
      <c r="X142" s="65" t="str">
        <f>IFERROR(__xludf.DUMMYFUNCTION("IFERROR(
  VLOOKUP(
    A142,
    IMPORTRANGE(
      ""1ZHMy3vVUd_0MrSduXTe1etBb1HNpAlGwQr006ljwMiM"",
      ""GSC最新!A:R""
    ),
    9,
    FALSE
  ),
  0
)
"),"")</f>
        <v/>
      </c>
      <c r="Y142" s="65" t="str">
        <f>IFERROR(__xludf.DUMMYFUNCTION("IFERROR(
  VLOOKUP(
    A142,
    IMPORTRANGE(
      ""1ZHMy3vVUd_0MrSduXTe1etBb1HNpAlGwQr006ljwMiM"",
      ""GSC最新!A:R""
    ),
    12,
    FALSE
  ),
  0
)
"),"")</f>
        <v/>
      </c>
      <c r="Z142" s="65">
        <f>IFERROR(__xludf.DUMMYFUNCTION("IFERROR(
  VLOOKUP(
    A142,
    IMPORTRANGE(
      ""1ZHMy3vVUd_0MrSduXTe1etBb1HNpAlGwQr006ljwMiM"",
      ""GSC最新!A:R""
    ),
    15,
    FALSE
  ),
  0
)
"),10.428571428571429)</f>
        <v>10.42857143</v>
      </c>
      <c r="AA142" s="65">
        <f>IFERROR(__xludf.DUMMYFUNCTION("IFERROR(
  VLOOKUP(
    A142,
    IMPORTRANGE(
      ""1ZHMy3vVUd_0MrSduXTe1etBb1HNpAlGwQr006ljwMiM"",
      ""GSC最新!A:R""
    ),
    18,
    FALSE
  ),
  0
)
"),9.904761904761905)</f>
        <v>9.904761905</v>
      </c>
      <c r="AB142" s="65">
        <f t="shared" ref="AB142:AC142" si="704">X142-Z142</f>
        <v>-10.42857143</v>
      </c>
      <c r="AC142" s="65">
        <f t="shared" si="704"/>
        <v>-9.904761905</v>
      </c>
      <c r="AD142" s="53">
        <f>IFERROR(__xludf.DUMMYFUNCTION("IFERROR(
  VLOOKUP(
    A142,
    IMPORTRANGE(
      ""1ZHMy3vVUd_0MrSduXTe1etBb1HNpAlGwQr006ljwMiM"",
      ""GSC最新!A:F""
    ),
    6,
    FALSE
  ),
  0
)
"),46081.0)</f>
        <v>46081</v>
      </c>
      <c r="AE142" s="54">
        <f>IFERROR(__xludf.DUMMYFUNCTION("IFERROR(
  VLOOKUP(
    A142,
    IMPORTRANGE(
      ""1SCYQd7_cobOYqT0r_F0IqD4tE4rYn5y8Eup4PJTH8es"",
      ""Snapshot!A:M""
    ),
    5,
    FALSE
  ),
  ""-""
)
"),0.0)</f>
        <v>0</v>
      </c>
      <c r="AF142" s="54">
        <f>IFERROR(__xludf.DUMMYFUNCTION("IFERROR(
  VLOOKUP(
    A142,
    IMPORTRANGE(
      ""1SCYQd7_cobOYqT0r_F0IqD4tE4rYn5y8Eup4PJTH8es"",
      ""Snapshot!A:M""
    ),
    6,
    FALSE
  ),
  0
)
"),17.0)</f>
        <v>17</v>
      </c>
      <c r="AG142" s="54">
        <f>IFERROR(__xludf.DUMMYFUNCTION("IFERROR(
  VLOOKUP(
    A142,
    IMPORTRANGE(
      ""1SCYQd7_cobOYqT0r_F0IqD4tE4rYn5y8Eup4PJTH8es"",
      ""Snapshot!A:M""
    ),
    7,
    FALSE
  ),
  0
)
"),4282.0)</f>
        <v>4282</v>
      </c>
      <c r="AH142" s="54">
        <f>IFERROR(__xludf.DUMMYFUNCTION("IFERROR(
  VLOOKUP(
    A142,
    IMPORTRANGE(
      ""1SCYQd7_cobOYqT0r_F0IqD4tE4rYn5y8Eup4PJTH8es"",
      ""Snapshot!A:M""
    ),
    8,
    FALSE
  ),
  0
)
"),1.0)</f>
        <v>1</v>
      </c>
      <c r="AI142" s="54">
        <f>IFERROR(__xludf.DUMMYFUNCTION("IFERROR(
  VLOOKUP(
    A142,
    IMPORTRANGE(
      ""1SCYQd7_cobOYqT0r_F0IqD4tE4rYn5y8Eup4PJTH8es"",
      ""Snapshot!A:M""
    ),
    9,
    FALSE
  ),
  0
)
"),4.0)</f>
        <v>4</v>
      </c>
      <c r="AJ142" s="54">
        <f>IFERROR(__xludf.DUMMYFUNCTION("IFERROR(
  VLOOKUP(
    A142,
    IMPORTRANGE(
      ""1SCYQd7_cobOYqT0r_F0IqD4tE4rYn5y8Eup4PJTH8es"",
      ""Snapshot!A:M""
    ),
    13,
    FALSE
  ),
  0
)
"),1.0)</f>
        <v>1</v>
      </c>
      <c r="AK142" s="49">
        <f t="shared" ref="AK142:AL142" si="705">LEN(C142)</f>
        <v>25</v>
      </c>
      <c r="AL142" s="49">
        <f t="shared" si="705"/>
        <v>95</v>
      </c>
    </row>
    <row r="143">
      <c r="A143" s="3" t="s">
        <v>1225</v>
      </c>
      <c r="B143" s="1" t="str">
        <f>IFERROR(__xludf.DUMMYFUNCTION("IFERROR(
  VLOOKUP(
    A143,
    IMPORTRANGE(
      ""1ZygntHC1J6IxzKbTidmOyf5nUyW4GCLurHCjexrLm_o"",
      ""HTMLキャッシュ!A:F""
    ),
    2,
    FALSE
  ),
  0
)
"),"MC")</f>
        <v>MC</v>
      </c>
      <c r="C143" s="1" t="str">
        <f>IFERROR(__xludf.DUMMYFUNCTION("IFERROR(
  VLOOKUP(
    A143,
    IMPORTRANGE(
      ""1ZygntHC1J6IxzKbTidmOyf5nUyW4GCLurHCjexrLm_o"",
      ""HTMLキャッシュ!A:F""
    ),
    5,
    FALSE
  ),
  0
)
"),"動名詞の動詞、前置詞、目的語【Book2 Lesson13 Scene2】 - 新宿区四谷の英語専門塾「英語教室『サポート』」～英語は別に怖くない！～")</f>
        <v>動名詞の動詞、前置詞、目的語【Book2 Lesson13 Scene2】 - 新宿区四谷の英語専門塾「英語教室『サポート』」～英語は別に怖くない！～</v>
      </c>
      <c r="D143" s="1" t="str">
        <f>IFERROR(__xludf.DUMMYFUNCTION("IFERROR(
  VLOOKUP(
    A143,
    IMPORTRANGE(
      ""1ZygntHC1J6IxzKbTidmOyf5nUyW4GCLurHCjexrLm_o        "",
      ""HTMLキャッシュ!A:F""
    ),
    6,
    FALSE
  ),
  0
)
"),"動名詞の基礎 今回は、Book2 Lesson13シーン2における動名詞の動詞や前置詞の目的語について学び")</f>
        <v>動名詞の基礎 今回は、Book2 Lesson13シーン2における動名詞の動詞や前置詞の目的語について学び</v>
      </c>
      <c r="E143" s="32">
        <f>IFERROR(__xludf.DUMMYFUNCTION("IFERROR(
  VLOOKUP(
    A143,
    IMPORTRANGE(
      ""1ZygntHC1J6IxzKbTidmOyf5nUyW4GCLurHCjexrLm_o        "",
      ""HTMLキャッシュ!A:F""
    ),
    3,
    FALSE
  ),
  0
)
"),45972.69380787037)</f>
        <v>45972.69381</v>
      </c>
      <c r="F143" s="49">
        <f>IFERROR(__xludf.DUMMYFUNCTION("IFERROR(
  VLOOKUP(
    A143,
    IMPORTRANGE(
      ""1ZHMy3vVUd_0MrSduXTe1etBb1HNpAlGwQr006ljwMiM"",
      ""GSC最新!A:F""
    ),
    2,
    FALSE
  ),
  0
)
"),0.0)</f>
        <v>0</v>
      </c>
      <c r="G143" s="49">
        <f>IFERROR(__xludf.DUMMYFUNCTION("IFERROR(
  VLOOKUP(
    A143,
    IMPORTRANGE(
      ""1ZHMy3vVUd_0MrSduXTe1etBb1HNpAlGwQr006ljwMiM"",
      ""GSC最新!A:F""
    ),
    3,
    FALSE
  ),
  0
)
"),0.0)</f>
        <v>0</v>
      </c>
      <c r="H143" s="49">
        <f>IFERROR(__xludf.DUMMYFUNCTION("IFERROR(
  VLOOKUP(
    A143,
    IMPORTRANGE(
      ""1ZHMy3vVUd_0MrSduXTe1etBb1HNpAlGwQr006ljwMiM"",
      ""GSC最新!A:F""
    ),
    4,
    FALSE
  ),
  0
)
"),1.0)</f>
        <v>1</v>
      </c>
      <c r="I143" s="49">
        <f>IFERROR(__xludf.DUMMYFUNCTION("IFERROR(
  VLOOKUP(
    A143,
    IMPORTRANGE(
      ""1ZHMy3vVUd_0MrSduXTe1etBb1HNpAlGwQr006ljwMiM"",
      ""GSC最新!A:F""
    ),
    5,
    FALSE
  ),
  0
)
"),3.0)</f>
        <v>3</v>
      </c>
      <c r="J143" s="50">
        <f t="shared" ref="J143:K143" si="706">IFERROR(F143/H143,"-")</f>
        <v>0</v>
      </c>
      <c r="K143" s="50">
        <f t="shared" si="706"/>
        <v>0</v>
      </c>
      <c r="L143" s="6">
        <f>IFERROR(__xludf.DUMMYFUNCTION("IFERROR(
  VLOOKUP(
    A143,
    IMPORTRANGE(
      ""1ZHMy3vVUd_0MrSduXTe1etBb1HNpAlGwQr006ljwMiM"",
      ""GSC最新!A:R""
    ),
    7,
    FALSE
  ),
  0
)
"),0.0)</f>
        <v>0</v>
      </c>
      <c r="M143" s="6">
        <f>IFERROR(__xludf.DUMMYFUNCTION("IFERROR(
  VLOOKUP(
    A143,
    IMPORTRANGE(
      ""1ZHMy3vVUd_0MrSduXTe1etBb1HNpAlGwQr006ljwMiM"",
      ""GSC最新!A:R""
    ),
    10,
    FALSE
  ),
  0
)
"),0.0)</f>
        <v>0</v>
      </c>
      <c r="N143" s="6">
        <f>IFERROR(__xludf.DUMMYFUNCTION("IFERROR(
  VLOOKUP(
    A143,
    IMPORTRANGE(
      ""1ZHMy3vVUd_0MrSduXTe1etBb1HNpAlGwQr006ljwMiM"",
      ""GSC最新!A:R""
    ),
    13,
    FALSE
  ),
  0
)
"),31.0)</f>
        <v>31</v>
      </c>
      <c r="O143" s="6">
        <f>IFERROR(__xludf.DUMMYFUNCTION("IFERROR(
  VLOOKUP(
    A143,
    IMPORTRANGE(
      ""1ZHMy3vVUd_0MrSduXTe1etBb1HNpAlGwQr006ljwMiM"",
      ""GSC最新!A:R""
    ),
    16,
    FALSE
  ),
  0
)
"),82.0)</f>
        <v>82</v>
      </c>
      <c r="P143" s="51">
        <f t="shared" ref="P143:Q143" si="707">IFERROR(L143/N143,"-")</f>
        <v>0</v>
      </c>
      <c r="Q143" s="51">
        <f t="shared" si="707"/>
        <v>0</v>
      </c>
      <c r="R143" s="9">
        <f>IFERROR(__xludf.DUMMYFUNCTION("IFERROR(
  VLOOKUP(
    A143,
    IMPORTRANGE(
      ""1ZHMy3vVUd_0MrSduXTe1etBb1HNpAlGwQr006ljwMiM"",
      ""GSC最新!A:R""
    ),
    8,
    FALSE
  ),
  0
)
"),0.0)</f>
        <v>0</v>
      </c>
      <c r="S143" s="9">
        <f>IFERROR(__xludf.DUMMYFUNCTION("IFERROR(
  VLOOKUP(
    A143,
    IMPORTRANGE(
      ""1ZHMy3vVUd_0MrSduXTe1etBb1HNpAlGwQr006ljwMiM"",
      ""GSC最新!A:R""
    ),
    11,
    FALSE
  ),
  0
)
"),0.0)</f>
        <v>0</v>
      </c>
      <c r="T143" s="9">
        <f>IFERROR(__xludf.DUMMYFUNCTION("IFERROR(
  VLOOKUP(
    A143,
    IMPORTRANGE(
      ""1ZHMy3vVUd_0MrSduXTe1etBb1HNpAlGwQr006ljwMiM"",
      ""GSC最新!A:R""
    ),
    14,
    FALSE
  ),
  0
)
"),0.03225806451612903)</f>
        <v>0.03225806452</v>
      </c>
      <c r="U143" s="9">
        <f>IFERROR(__xludf.DUMMYFUNCTION("IFERROR(
  VLOOKUP(
    A143,
    IMPORTRANGE(
      ""1ZHMy3vVUd_0MrSduXTe1etBb1HNpAlGwQr006ljwMiM"",
      ""GSC最新!A:R""
    ),
    17,
    FALSE
  ),
  0
)
"),0.036585365853658534)</f>
        <v>0.03658536585</v>
      </c>
      <c r="V143" s="9">
        <f t="shared" ref="V143:W143" si="708">IFERROR(R143-T143,"-")</f>
        <v>-0.03225806452</v>
      </c>
      <c r="W143" s="9">
        <f t="shared" si="708"/>
        <v>-0.03658536585</v>
      </c>
      <c r="X143" s="65" t="str">
        <f>IFERROR(__xludf.DUMMYFUNCTION("IFERROR(
  VLOOKUP(
    A143,
    IMPORTRANGE(
      ""1ZHMy3vVUd_0MrSduXTe1etBb1HNpAlGwQr006ljwMiM"",
      ""GSC最新!A:R""
    ),
    9,
    FALSE
  ),
  0
)
"),"")</f>
        <v/>
      </c>
      <c r="Y143" s="65" t="str">
        <f>IFERROR(__xludf.DUMMYFUNCTION("IFERROR(
  VLOOKUP(
    A143,
    IMPORTRANGE(
      ""1ZHMy3vVUd_0MrSduXTe1etBb1HNpAlGwQr006ljwMiM"",
      ""GSC最新!A:R""
    ),
    12,
    FALSE
  ),
  0
)
"),"")</f>
        <v/>
      </c>
      <c r="Z143" s="65">
        <f>IFERROR(__xludf.DUMMYFUNCTION("IFERROR(
  VLOOKUP(
    A143,
    IMPORTRANGE(
      ""1ZHMy3vVUd_0MrSduXTe1etBb1HNpAlGwQr006ljwMiM"",
      ""GSC最新!A:R""
    ),
    15,
    FALSE
  ),
  0
)
"),13.935483870967742)</f>
        <v>13.93548387</v>
      </c>
      <c r="AA143" s="65">
        <f>IFERROR(__xludf.DUMMYFUNCTION("IFERROR(
  VLOOKUP(
    A143,
    IMPORTRANGE(
      ""1ZHMy3vVUd_0MrSduXTe1etBb1HNpAlGwQr006ljwMiM"",
      ""GSC最新!A:R""
    ),
    18,
    FALSE
  ),
  0
)
"),9.695121951219512)</f>
        <v>9.695121951</v>
      </c>
      <c r="AB143" s="65">
        <f t="shared" ref="AB143:AC143" si="709">X143-Z143</f>
        <v>-13.93548387</v>
      </c>
      <c r="AC143" s="65">
        <f t="shared" si="709"/>
        <v>-9.695121951</v>
      </c>
      <c r="AD143" s="53">
        <f>IFERROR(__xludf.DUMMYFUNCTION("IFERROR(
  VLOOKUP(
    A143,
    IMPORTRANGE(
      ""1ZHMy3vVUd_0MrSduXTe1etBb1HNpAlGwQr006ljwMiM"",
      ""GSC最新!A:F""
    ),
    6,
    FALSE
  ),
  0
)
"),46081.0)</f>
        <v>46081</v>
      </c>
      <c r="AE143" s="54">
        <f>IFERROR(__xludf.DUMMYFUNCTION("IFERROR(
  VLOOKUP(
    A143,
    IMPORTRANGE(
      ""1SCYQd7_cobOYqT0r_F0IqD4tE4rYn5y8Eup4PJTH8es"",
      ""Snapshot!A:M""
    ),
    5,
    FALSE
  ),
  ""-""
)
"),0.0)</f>
        <v>0</v>
      </c>
      <c r="AF143" s="54">
        <f>IFERROR(__xludf.DUMMYFUNCTION("IFERROR(
  VLOOKUP(
    A143,
    IMPORTRANGE(
      ""1SCYQd7_cobOYqT0r_F0IqD4tE4rYn5y8Eup4PJTH8es"",
      ""Snapshot!A:M""
    ),
    6,
    FALSE
  ),
  0
)
"),36.0)</f>
        <v>36</v>
      </c>
      <c r="AG143" s="54">
        <f>IFERROR(__xludf.DUMMYFUNCTION("IFERROR(
  VLOOKUP(
    A143,
    IMPORTRANGE(
      ""1SCYQd7_cobOYqT0r_F0IqD4tE4rYn5y8Eup4PJTH8es"",
      ""Snapshot!A:M""
    ),
    7,
    FALSE
  ),
  0
)
"),8514.0)</f>
        <v>8514</v>
      </c>
      <c r="AH143" s="54">
        <f>IFERROR(__xludf.DUMMYFUNCTION("IFERROR(
  VLOOKUP(
    A143,
    IMPORTRANGE(
      ""1SCYQd7_cobOYqT0r_F0IqD4tE4rYn5y8Eup4PJTH8es"",
      ""Snapshot!A:M""
    ),
    8,
    FALSE
  ),
  0
)
"),1.0)</f>
        <v>1</v>
      </c>
      <c r="AI143" s="54">
        <f>IFERROR(__xludf.DUMMYFUNCTION("IFERROR(
  VLOOKUP(
    A143,
    IMPORTRANGE(
      ""1SCYQd7_cobOYqT0r_F0IqD4tE4rYn5y8Eup4PJTH8es"",
      ""Snapshot!A:M""
    ),
    9,
    FALSE
  ),
  0
)
"),4.0)</f>
        <v>4</v>
      </c>
      <c r="AJ143" s="54">
        <f>IFERROR(__xludf.DUMMYFUNCTION("IFERROR(
  VLOOKUP(
    A143,
    IMPORTRANGE(
      ""1SCYQd7_cobOYqT0r_F0IqD4tE4rYn5y8Eup4PJTH8es"",
      ""Snapshot!A:M""
    ),
    13,
    FALSE
  ),
  0
)
"),1.0)</f>
        <v>1</v>
      </c>
      <c r="AK143" s="49">
        <f t="shared" ref="AK143:AL143" si="710">LEN(C143)</f>
        <v>75</v>
      </c>
      <c r="AL143" s="49">
        <f t="shared" si="710"/>
        <v>53</v>
      </c>
    </row>
    <row r="144">
      <c r="I144" s="53"/>
      <c r="J144" s="51"/>
      <c r="K144" s="51"/>
    </row>
    <row r="145">
      <c r="I145" s="53"/>
      <c r="J145" s="51"/>
      <c r="K145" s="51"/>
    </row>
    <row r="146">
      <c r="I146" s="53"/>
      <c r="J146" s="51"/>
      <c r="K146" s="51"/>
    </row>
    <row r="147">
      <c r="I147" s="53"/>
      <c r="J147" s="51"/>
      <c r="K147" s="51"/>
    </row>
    <row r="148">
      <c r="I148" s="53"/>
      <c r="J148" s="51"/>
      <c r="K148" s="51"/>
    </row>
    <row r="149">
      <c r="I149" s="53"/>
      <c r="J149" s="51"/>
      <c r="K149" s="51"/>
    </row>
    <row r="150">
      <c r="I150" s="53"/>
      <c r="J150" s="51"/>
      <c r="K150" s="51"/>
    </row>
    <row r="151">
      <c r="I151" s="53"/>
      <c r="J151" s="51"/>
      <c r="K151" s="51"/>
    </row>
    <row r="152">
      <c r="I152" s="53"/>
      <c r="J152" s="51"/>
      <c r="K152" s="51"/>
    </row>
    <row r="153">
      <c r="I153" s="53"/>
      <c r="J153" s="51"/>
      <c r="K153" s="51"/>
    </row>
    <row r="154">
      <c r="I154" s="53"/>
      <c r="J154" s="51"/>
      <c r="K154" s="51"/>
    </row>
    <row r="155">
      <c r="I155" s="53"/>
      <c r="J155" s="51"/>
      <c r="K155" s="51"/>
    </row>
    <row r="156">
      <c r="I156" s="53"/>
      <c r="J156" s="51"/>
      <c r="K156" s="51"/>
    </row>
    <row r="157">
      <c r="I157" s="53"/>
      <c r="J157" s="51"/>
      <c r="K157" s="51"/>
    </row>
    <row r="158">
      <c r="I158" s="53"/>
      <c r="J158" s="51"/>
      <c r="K158" s="51"/>
    </row>
    <row r="159">
      <c r="I159" s="53"/>
      <c r="J159" s="51"/>
      <c r="K159" s="51"/>
    </row>
    <row r="160">
      <c r="I160" s="53"/>
      <c r="J160" s="51"/>
      <c r="K160" s="51"/>
    </row>
    <row r="161">
      <c r="I161" s="53"/>
      <c r="J161" s="51"/>
      <c r="K161" s="51"/>
    </row>
    <row r="162">
      <c r="I162" s="53"/>
      <c r="J162" s="51"/>
      <c r="K162" s="51"/>
    </row>
    <row r="163">
      <c r="I163" s="53"/>
      <c r="J163" s="51"/>
      <c r="K163" s="51"/>
    </row>
    <row r="164">
      <c r="I164" s="53"/>
      <c r="J164" s="51"/>
      <c r="K164" s="51"/>
    </row>
    <row r="165">
      <c r="I165" s="53"/>
      <c r="J165" s="51"/>
      <c r="K165" s="51"/>
    </row>
    <row r="166">
      <c r="I166" s="53"/>
      <c r="J166" s="51"/>
      <c r="K166" s="51"/>
    </row>
    <row r="167">
      <c r="I167" s="53"/>
      <c r="J167" s="51"/>
      <c r="K167" s="51"/>
    </row>
    <row r="168">
      <c r="I168" s="53"/>
      <c r="J168" s="51"/>
      <c r="K168" s="51"/>
    </row>
    <row r="169">
      <c r="I169" s="53"/>
      <c r="J169" s="51"/>
      <c r="K169" s="51"/>
    </row>
    <row r="170">
      <c r="I170" s="53"/>
      <c r="J170" s="51"/>
      <c r="K170" s="51"/>
    </row>
    <row r="171">
      <c r="I171" s="53"/>
      <c r="J171" s="51"/>
      <c r="K171" s="51"/>
    </row>
    <row r="172">
      <c r="I172" s="53"/>
      <c r="J172" s="51"/>
      <c r="K172" s="51"/>
    </row>
    <row r="173">
      <c r="I173" s="53"/>
      <c r="J173" s="51"/>
      <c r="K173" s="51"/>
    </row>
    <row r="174">
      <c r="I174" s="53"/>
      <c r="J174" s="51"/>
      <c r="K174" s="51"/>
    </row>
    <row r="175">
      <c r="I175" s="53"/>
      <c r="J175" s="51"/>
      <c r="K175" s="51"/>
    </row>
    <row r="176">
      <c r="I176" s="53"/>
      <c r="J176" s="51"/>
      <c r="K176" s="51"/>
    </row>
    <row r="177">
      <c r="I177" s="53"/>
      <c r="J177" s="51"/>
      <c r="K177" s="51"/>
    </row>
    <row r="178">
      <c r="I178" s="53"/>
      <c r="J178" s="51"/>
      <c r="K178" s="51"/>
    </row>
    <row r="179">
      <c r="I179" s="53"/>
      <c r="J179" s="51"/>
      <c r="K179" s="51"/>
    </row>
    <row r="180">
      <c r="I180" s="53"/>
      <c r="J180" s="51"/>
      <c r="K180" s="51"/>
    </row>
    <row r="181">
      <c r="I181" s="53"/>
      <c r="J181" s="51"/>
      <c r="K181" s="51"/>
    </row>
    <row r="182">
      <c r="I182" s="53"/>
      <c r="J182" s="51"/>
      <c r="K182" s="51"/>
    </row>
    <row r="183">
      <c r="I183" s="53"/>
      <c r="J183" s="51"/>
      <c r="K183" s="51"/>
    </row>
    <row r="184">
      <c r="I184" s="53"/>
      <c r="J184" s="51"/>
      <c r="K184" s="51"/>
    </row>
    <row r="185">
      <c r="I185" s="53"/>
      <c r="J185" s="51"/>
      <c r="K185" s="51"/>
    </row>
    <row r="186">
      <c r="I186" s="53"/>
      <c r="J186" s="51"/>
      <c r="K186" s="51"/>
    </row>
    <row r="187">
      <c r="I187" s="53"/>
      <c r="J187" s="51"/>
      <c r="K187" s="51"/>
    </row>
    <row r="188">
      <c r="I188" s="53"/>
      <c r="J188" s="51"/>
      <c r="K188" s="51"/>
    </row>
    <row r="189">
      <c r="I189" s="53"/>
      <c r="J189" s="51"/>
      <c r="K189" s="51"/>
    </row>
    <row r="190">
      <c r="I190" s="53"/>
      <c r="J190" s="51"/>
      <c r="K190" s="51"/>
    </row>
    <row r="191">
      <c r="I191" s="53"/>
      <c r="J191" s="51"/>
      <c r="K191" s="51"/>
    </row>
    <row r="192">
      <c r="I192" s="53"/>
      <c r="J192" s="51"/>
      <c r="K192" s="51"/>
    </row>
    <row r="193">
      <c r="I193" s="53"/>
      <c r="J193" s="51"/>
      <c r="K193" s="51"/>
    </row>
    <row r="194">
      <c r="I194" s="53"/>
      <c r="J194" s="51"/>
      <c r="K194" s="51"/>
    </row>
    <row r="195">
      <c r="I195" s="53"/>
      <c r="J195" s="51"/>
      <c r="K195" s="51"/>
    </row>
    <row r="196">
      <c r="I196" s="53"/>
      <c r="J196" s="51"/>
      <c r="K196" s="51"/>
    </row>
    <row r="197">
      <c r="I197" s="53"/>
      <c r="J197" s="51"/>
      <c r="K197" s="51"/>
    </row>
    <row r="198">
      <c r="I198" s="53"/>
      <c r="J198" s="51"/>
      <c r="K198" s="51"/>
    </row>
    <row r="199">
      <c r="I199" s="53"/>
      <c r="J199" s="51"/>
      <c r="K199" s="51"/>
    </row>
    <row r="200">
      <c r="I200" s="53"/>
      <c r="J200" s="51"/>
      <c r="K200" s="51"/>
    </row>
    <row r="201">
      <c r="I201" s="53"/>
      <c r="J201" s="51"/>
      <c r="K201" s="51"/>
    </row>
    <row r="202">
      <c r="I202" s="53"/>
      <c r="J202" s="51"/>
      <c r="K202" s="51"/>
    </row>
    <row r="203">
      <c r="I203" s="53"/>
      <c r="J203" s="51"/>
      <c r="K203" s="51"/>
    </row>
    <row r="204">
      <c r="I204" s="53"/>
      <c r="J204" s="51"/>
      <c r="K204" s="51"/>
    </row>
    <row r="205">
      <c r="I205" s="53"/>
      <c r="J205" s="51"/>
      <c r="K205" s="51"/>
    </row>
    <row r="206">
      <c r="I206" s="53"/>
      <c r="J206" s="51"/>
      <c r="K206" s="51"/>
    </row>
    <row r="207">
      <c r="I207" s="53"/>
      <c r="J207" s="51"/>
      <c r="K207" s="51"/>
    </row>
    <row r="208">
      <c r="I208" s="53"/>
      <c r="J208" s="51"/>
      <c r="K208" s="51"/>
    </row>
    <row r="209">
      <c r="I209" s="53"/>
      <c r="J209" s="51"/>
      <c r="K209" s="51"/>
    </row>
    <row r="210">
      <c r="I210" s="53"/>
      <c r="J210" s="51"/>
      <c r="K210" s="51"/>
    </row>
    <row r="211">
      <c r="I211" s="53"/>
      <c r="J211" s="51"/>
      <c r="K211" s="51"/>
    </row>
    <row r="212">
      <c r="I212" s="53"/>
      <c r="J212" s="51"/>
      <c r="K212" s="51"/>
    </row>
    <row r="213">
      <c r="I213" s="53"/>
      <c r="J213" s="51"/>
      <c r="K213" s="51"/>
    </row>
    <row r="214">
      <c r="I214" s="53"/>
      <c r="J214" s="51"/>
      <c r="K214" s="51"/>
    </row>
    <row r="215">
      <c r="I215" s="53"/>
      <c r="J215" s="51"/>
      <c r="K215" s="51"/>
    </row>
    <row r="216">
      <c r="I216" s="53"/>
      <c r="J216" s="51"/>
      <c r="K216" s="51"/>
    </row>
    <row r="217">
      <c r="I217" s="53"/>
      <c r="J217" s="51"/>
      <c r="K217" s="51"/>
    </row>
    <row r="218">
      <c r="I218" s="53"/>
      <c r="J218" s="51"/>
      <c r="K218" s="51"/>
    </row>
    <row r="219">
      <c r="I219" s="53"/>
      <c r="J219" s="51"/>
      <c r="K219" s="51"/>
    </row>
    <row r="220">
      <c r="I220" s="53"/>
      <c r="J220" s="51"/>
      <c r="K220" s="51"/>
    </row>
    <row r="221">
      <c r="I221" s="53"/>
      <c r="J221" s="51"/>
      <c r="K221" s="51"/>
    </row>
    <row r="222">
      <c r="I222" s="53"/>
      <c r="J222" s="51"/>
      <c r="K222" s="51"/>
    </row>
    <row r="223">
      <c r="I223" s="53"/>
      <c r="J223" s="51"/>
      <c r="K223" s="51"/>
    </row>
    <row r="224">
      <c r="I224" s="53"/>
      <c r="J224" s="51"/>
      <c r="K224" s="51"/>
    </row>
    <row r="225">
      <c r="I225" s="53"/>
      <c r="J225" s="51"/>
      <c r="K225" s="51"/>
    </row>
    <row r="226">
      <c r="I226" s="53"/>
      <c r="J226" s="51"/>
      <c r="K226" s="51"/>
    </row>
    <row r="227">
      <c r="I227" s="53"/>
      <c r="J227" s="51"/>
      <c r="K227" s="51"/>
    </row>
    <row r="228">
      <c r="I228" s="53"/>
      <c r="J228" s="51"/>
      <c r="K228" s="51"/>
    </row>
    <row r="229">
      <c r="I229" s="53"/>
      <c r="J229" s="51"/>
      <c r="K229" s="51"/>
    </row>
    <row r="230">
      <c r="I230" s="53"/>
      <c r="J230" s="51"/>
      <c r="K230" s="51"/>
    </row>
    <row r="231">
      <c r="I231" s="53"/>
      <c r="J231" s="51"/>
      <c r="K231" s="51"/>
    </row>
    <row r="232">
      <c r="I232" s="53"/>
      <c r="J232" s="51"/>
      <c r="K232" s="51"/>
    </row>
    <row r="233">
      <c r="I233" s="53"/>
      <c r="J233" s="51"/>
      <c r="K233" s="51"/>
    </row>
    <row r="234">
      <c r="I234" s="53"/>
      <c r="J234" s="51"/>
      <c r="K234" s="51"/>
    </row>
    <row r="235">
      <c r="I235" s="53"/>
      <c r="J235" s="51"/>
      <c r="K235" s="51"/>
    </row>
    <row r="236">
      <c r="I236" s="53"/>
      <c r="J236" s="51"/>
      <c r="K236" s="51"/>
    </row>
    <row r="237">
      <c r="I237" s="53"/>
      <c r="J237" s="51"/>
      <c r="K237" s="51"/>
    </row>
    <row r="238">
      <c r="I238" s="53"/>
      <c r="J238" s="51"/>
      <c r="K238" s="51"/>
    </row>
    <row r="239">
      <c r="I239" s="53"/>
      <c r="J239" s="51"/>
      <c r="K239" s="51"/>
    </row>
    <row r="240">
      <c r="I240" s="53"/>
      <c r="J240" s="51"/>
      <c r="K240" s="51"/>
    </row>
    <row r="241">
      <c r="I241" s="53"/>
      <c r="J241" s="51"/>
      <c r="K241" s="51"/>
    </row>
    <row r="242">
      <c r="I242" s="53"/>
      <c r="J242" s="51"/>
      <c r="K242" s="51"/>
    </row>
    <row r="243">
      <c r="I243" s="53"/>
      <c r="J243" s="51"/>
      <c r="K243" s="51"/>
    </row>
    <row r="244">
      <c r="I244" s="53"/>
      <c r="J244" s="51"/>
      <c r="K244" s="51"/>
    </row>
    <row r="245">
      <c r="I245" s="53"/>
      <c r="J245" s="51"/>
      <c r="K245" s="51"/>
    </row>
    <row r="246">
      <c r="I246" s="53"/>
      <c r="J246" s="51"/>
      <c r="K246" s="51"/>
    </row>
    <row r="247">
      <c r="I247" s="53"/>
      <c r="J247" s="51"/>
      <c r="K247" s="51"/>
    </row>
    <row r="248">
      <c r="I248" s="53"/>
      <c r="J248" s="51"/>
      <c r="K248" s="51"/>
    </row>
    <row r="249">
      <c r="I249" s="53"/>
      <c r="J249" s="51"/>
      <c r="K249" s="51"/>
    </row>
    <row r="250">
      <c r="I250" s="53"/>
      <c r="J250" s="51"/>
      <c r="K250" s="51"/>
    </row>
    <row r="251">
      <c r="I251" s="53"/>
      <c r="J251" s="51"/>
      <c r="K251" s="51"/>
    </row>
    <row r="252">
      <c r="I252" s="53"/>
      <c r="J252" s="51"/>
      <c r="K252" s="51"/>
    </row>
    <row r="253">
      <c r="I253" s="53"/>
      <c r="J253" s="51"/>
      <c r="K253" s="51"/>
    </row>
    <row r="254">
      <c r="I254" s="53"/>
      <c r="J254" s="51"/>
      <c r="K254" s="51"/>
    </row>
    <row r="255">
      <c r="I255" s="53"/>
      <c r="J255" s="51"/>
      <c r="K255" s="51"/>
    </row>
    <row r="256">
      <c r="I256" s="53"/>
      <c r="J256" s="51"/>
      <c r="K256" s="51"/>
    </row>
    <row r="257">
      <c r="I257" s="53"/>
      <c r="J257" s="51"/>
      <c r="K257" s="51"/>
    </row>
    <row r="258">
      <c r="I258" s="53"/>
      <c r="J258" s="51"/>
      <c r="K258" s="51"/>
    </row>
    <row r="259">
      <c r="I259" s="53"/>
      <c r="J259" s="51"/>
      <c r="K259" s="51"/>
    </row>
    <row r="260">
      <c r="I260" s="53"/>
      <c r="J260" s="51"/>
      <c r="K260" s="51"/>
    </row>
    <row r="261">
      <c r="I261" s="53"/>
      <c r="J261" s="51"/>
      <c r="K261" s="51"/>
    </row>
    <row r="262">
      <c r="I262" s="53"/>
      <c r="J262" s="51"/>
      <c r="K262" s="51"/>
    </row>
    <row r="263">
      <c r="I263" s="53"/>
      <c r="J263" s="51"/>
      <c r="K263" s="51"/>
    </row>
    <row r="264">
      <c r="I264" s="53"/>
      <c r="J264" s="51"/>
      <c r="K264" s="51"/>
    </row>
    <row r="265">
      <c r="I265" s="53"/>
      <c r="J265" s="51"/>
      <c r="K265" s="51"/>
    </row>
    <row r="266">
      <c r="I266" s="53"/>
      <c r="J266" s="51"/>
      <c r="K266" s="51"/>
    </row>
    <row r="267">
      <c r="I267" s="53"/>
      <c r="J267" s="51"/>
      <c r="K267" s="51"/>
    </row>
    <row r="268">
      <c r="I268" s="53"/>
      <c r="J268" s="51"/>
      <c r="K268" s="51"/>
    </row>
    <row r="269">
      <c r="I269" s="53"/>
      <c r="J269" s="51"/>
      <c r="K269" s="51"/>
    </row>
    <row r="270">
      <c r="I270" s="53"/>
      <c r="J270" s="51"/>
      <c r="K270" s="51"/>
    </row>
    <row r="271">
      <c r="I271" s="53"/>
      <c r="J271" s="51"/>
      <c r="K271" s="51"/>
    </row>
    <row r="272">
      <c r="I272" s="53"/>
      <c r="J272" s="51"/>
      <c r="K272" s="51"/>
    </row>
    <row r="273">
      <c r="I273" s="53"/>
      <c r="J273" s="51"/>
      <c r="K273" s="51"/>
    </row>
    <row r="274">
      <c r="I274" s="53"/>
      <c r="J274" s="51"/>
      <c r="K274" s="51"/>
    </row>
    <row r="275">
      <c r="I275" s="53"/>
      <c r="J275" s="51"/>
      <c r="K275" s="51"/>
    </row>
    <row r="276">
      <c r="I276" s="53"/>
      <c r="J276" s="51"/>
      <c r="K276" s="51"/>
    </row>
    <row r="277">
      <c r="I277" s="53"/>
      <c r="J277" s="51"/>
      <c r="K277" s="51"/>
    </row>
    <row r="278">
      <c r="I278" s="53"/>
      <c r="J278" s="51"/>
      <c r="K278" s="51"/>
    </row>
    <row r="279">
      <c r="I279" s="53"/>
      <c r="J279" s="51"/>
      <c r="K279" s="51"/>
    </row>
    <row r="280">
      <c r="I280" s="53"/>
      <c r="J280" s="51"/>
      <c r="K280" s="51"/>
    </row>
    <row r="281">
      <c r="I281" s="53"/>
      <c r="J281" s="51"/>
      <c r="K281" s="51"/>
    </row>
    <row r="282">
      <c r="I282" s="53"/>
      <c r="J282" s="51"/>
      <c r="K282" s="51"/>
    </row>
    <row r="283">
      <c r="I283" s="53"/>
      <c r="J283" s="51"/>
      <c r="K283" s="51"/>
    </row>
    <row r="284">
      <c r="I284" s="53"/>
      <c r="J284" s="51"/>
      <c r="K284" s="51"/>
    </row>
    <row r="285">
      <c r="I285" s="53"/>
      <c r="J285" s="51"/>
      <c r="K285" s="51"/>
    </row>
    <row r="286">
      <c r="I286" s="53"/>
      <c r="J286" s="51"/>
      <c r="K286" s="51"/>
    </row>
    <row r="287">
      <c r="I287" s="53"/>
      <c r="J287" s="51"/>
      <c r="K287" s="51"/>
    </row>
    <row r="288">
      <c r="I288" s="53"/>
      <c r="J288" s="51"/>
      <c r="K288" s="51"/>
    </row>
    <row r="289">
      <c r="I289" s="53"/>
      <c r="J289" s="51"/>
      <c r="K289" s="51"/>
    </row>
    <row r="290">
      <c r="I290" s="53"/>
      <c r="J290" s="51"/>
      <c r="K290" s="51"/>
    </row>
    <row r="291">
      <c r="I291" s="53"/>
      <c r="J291" s="51"/>
      <c r="K291" s="51"/>
    </row>
    <row r="292">
      <c r="I292" s="53"/>
      <c r="J292" s="51"/>
      <c r="K292" s="51"/>
    </row>
    <row r="293">
      <c r="I293" s="53"/>
      <c r="J293" s="51"/>
      <c r="K293" s="51"/>
    </row>
    <row r="294">
      <c r="I294" s="53"/>
      <c r="J294" s="51"/>
      <c r="K294" s="51"/>
    </row>
    <row r="295">
      <c r="I295" s="53"/>
      <c r="J295" s="51"/>
      <c r="K295" s="51"/>
    </row>
    <row r="296">
      <c r="I296" s="53"/>
      <c r="J296" s="51"/>
      <c r="K296" s="51"/>
    </row>
    <row r="297">
      <c r="I297" s="53"/>
      <c r="J297" s="51"/>
      <c r="K297" s="51"/>
    </row>
    <row r="298">
      <c r="I298" s="53"/>
      <c r="J298" s="51"/>
      <c r="K298" s="51"/>
    </row>
    <row r="299">
      <c r="I299" s="53"/>
      <c r="J299" s="51"/>
      <c r="K299" s="51"/>
    </row>
    <row r="300">
      <c r="I300" s="53"/>
      <c r="J300" s="51"/>
      <c r="K300" s="51"/>
    </row>
    <row r="301">
      <c r="I301" s="53"/>
      <c r="J301" s="51"/>
      <c r="K301" s="51"/>
    </row>
    <row r="302">
      <c r="I302" s="53"/>
      <c r="J302" s="51"/>
      <c r="K302" s="51"/>
    </row>
    <row r="303">
      <c r="I303" s="53"/>
      <c r="J303" s="51"/>
      <c r="K303" s="51"/>
    </row>
    <row r="304">
      <c r="I304" s="53"/>
      <c r="J304" s="51"/>
      <c r="K304" s="51"/>
    </row>
    <row r="305">
      <c r="I305" s="53"/>
      <c r="J305" s="51"/>
      <c r="K305" s="51"/>
    </row>
    <row r="306">
      <c r="I306" s="53"/>
      <c r="J306" s="51"/>
      <c r="K306" s="51"/>
    </row>
    <row r="307">
      <c r="I307" s="53"/>
      <c r="J307" s="51"/>
      <c r="K307" s="51"/>
    </row>
    <row r="308">
      <c r="I308" s="53"/>
      <c r="J308" s="51"/>
      <c r="K308" s="51"/>
    </row>
    <row r="309">
      <c r="I309" s="53"/>
      <c r="J309" s="51"/>
      <c r="K309" s="51"/>
    </row>
    <row r="310">
      <c r="I310" s="53"/>
      <c r="J310" s="51"/>
      <c r="K310" s="51"/>
    </row>
    <row r="311">
      <c r="I311" s="53"/>
      <c r="J311" s="51"/>
      <c r="K311" s="51"/>
    </row>
    <row r="312">
      <c r="I312" s="53"/>
      <c r="J312" s="51"/>
      <c r="K312" s="51"/>
    </row>
    <row r="313">
      <c r="I313" s="53"/>
      <c r="J313" s="51"/>
      <c r="K313" s="51"/>
    </row>
    <row r="314">
      <c r="I314" s="53"/>
      <c r="J314" s="51"/>
      <c r="K314" s="51"/>
    </row>
    <row r="315">
      <c r="I315" s="53"/>
      <c r="J315" s="51"/>
      <c r="K315" s="51"/>
    </row>
    <row r="316">
      <c r="I316" s="53"/>
      <c r="J316" s="51"/>
      <c r="K316" s="51"/>
    </row>
    <row r="317">
      <c r="I317" s="53"/>
      <c r="J317" s="51"/>
      <c r="K317" s="51"/>
    </row>
    <row r="318">
      <c r="I318" s="53"/>
      <c r="J318" s="51"/>
      <c r="K318" s="51"/>
    </row>
    <row r="319">
      <c r="I319" s="53"/>
      <c r="J319" s="51"/>
      <c r="K319" s="51"/>
    </row>
    <row r="320">
      <c r="I320" s="53"/>
      <c r="J320" s="51"/>
      <c r="K320" s="51"/>
    </row>
    <row r="321">
      <c r="I321" s="53"/>
      <c r="J321" s="51"/>
      <c r="K321" s="51"/>
    </row>
    <row r="322">
      <c r="I322" s="53"/>
      <c r="J322" s="51"/>
      <c r="K322" s="51"/>
    </row>
    <row r="323">
      <c r="I323" s="53"/>
      <c r="J323" s="51"/>
      <c r="K323" s="51"/>
    </row>
    <row r="324">
      <c r="I324" s="53"/>
      <c r="J324" s="51"/>
      <c r="K324" s="51"/>
    </row>
    <row r="325">
      <c r="I325" s="53"/>
      <c r="J325" s="51"/>
      <c r="K325" s="51"/>
    </row>
    <row r="326">
      <c r="I326" s="53"/>
      <c r="J326" s="51"/>
      <c r="K326" s="51"/>
    </row>
    <row r="327">
      <c r="I327" s="53"/>
      <c r="J327" s="51"/>
      <c r="K327" s="51"/>
    </row>
    <row r="328">
      <c r="I328" s="53"/>
      <c r="J328" s="51"/>
      <c r="K328" s="51"/>
    </row>
    <row r="329">
      <c r="I329" s="53"/>
      <c r="J329" s="51"/>
      <c r="K329" s="51"/>
    </row>
    <row r="330">
      <c r="I330" s="53"/>
      <c r="J330" s="51"/>
      <c r="K330" s="51"/>
    </row>
    <row r="331">
      <c r="I331" s="53"/>
      <c r="J331" s="51"/>
      <c r="K331" s="51"/>
    </row>
    <row r="332">
      <c r="I332" s="53"/>
      <c r="J332" s="51"/>
      <c r="K332" s="51"/>
    </row>
    <row r="333">
      <c r="I333" s="53"/>
      <c r="J333" s="51"/>
      <c r="K333" s="51"/>
    </row>
    <row r="334">
      <c r="I334" s="53"/>
      <c r="J334" s="51"/>
      <c r="K334" s="51"/>
    </row>
    <row r="335">
      <c r="I335" s="53"/>
      <c r="J335" s="51"/>
      <c r="K335" s="51"/>
    </row>
    <row r="336">
      <c r="I336" s="53"/>
      <c r="J336" s="51"/>
      <c r="K336" s="51"/>
    </row>
    <row r="337">
      <c r="I337" s="53"/>
      <c r="J337" s="51"/>
      <c r="K337" s="51"/>
    </row>
    <row r="338">
      <c r="I338" s="53"/>
      <c r="J338" s="51"/>
      <c r="K338" s="51"/>
    </row>
    <row r="339">
      <c r="I339" s="53"/>
      <c r="J339" s="51"/>
      <c r="K339" s="51"/>
    </row>
    <row r="340">
      <c r="I340" s="53"/>
      <c r="J340" s="51"/>
      <c r="K340" s="51"/>
    </row>
    <row r="341">
      <c r="I341" s="53"/>
      <c r="J341" s="51"/>
      <c r="K341" s="51"/>
    </row>
    <row r="342">
      <c r="I342" s="53"/>
      <c r="J342" s="51"/>
      <c r="K342" s="51"/>
    </row>
    <row r="343">
      <c r="I343" s="53"/>
      <c r="J343" s="51"/>
      <c r="K343" s="51"/>
    </row>
    <row r="344">
      <c r="I344" s="53"/>
      <c r="J344" s="51"/>
      <c r="K344" s="51"/>
    </row>
    <row r="345">
      <c r="I345" s="53"/>
      <c r="J345" s="51"/>
      <c r="K345" s="51"/>
    </row>
    <row r="346">
      <c r="I346" s="53"/>
      <c r="J346" s="51"/>
      <c r="K346" s="51"/>
    </row>
    <row r="347">
      <c r="I347" s="53"/>
      <c r="J347" s="51"/>
      <c r="K347" s="51"/>
    </row>
    <row r="348">
      <c r="I348" s="53"/>
      <c r="J348" s="51"/>
      <c r="K348" s="51"/>
    </row>
    <row r="349">
      <c r="I349" s="53"/>
      <c r="J349" s="51"/>
      <c r="K349" s="51"/>
    </row>
    <row r="350">
      <c r="I350" s="53"/>
      <c r="J350" s="51"/>
      <c r="K350" s="51"/>
    </row>
    <row r="351">
      <c r="I351" s="53"/>
      <c r="J351" s="51"/>
      <c r="K351" s="51"/>
    </row>
    <row r="352">
      <c r="I352" s="53"/>
      <c r="J352" s="51"/>
      <c r="K352" s="51"/>
    </row>
    <row r="353">
      <c r="I353" s="53"/>
      <c r="J353" s="51"/>
      <c r="K353" s="51"/>
    </row>
    <row r="354">
      <c r="I354" s="53"/>
      <c r="J354" s="51"/>
      <c r="K354" s="51"/>
    </row>
    <row r="355">
      <c r="I355" s="53"/>
      <c r="J355" s="51"/>
      <c r="K355" s="51"/>
    </row>
    <row r="356">
      <c r="I356" s="53"/>
      <c r="J356" s="51"/>
      <c r="K356" s="51"/>
    </row>
    <row r="357">
      <c r="I357" s="53"/>
      <c r="J357" s="51"/>
      <c r="K357" s="51"/>
    </row>
    <row r="358">
      <c r="I358" s="53"/>
      <c r="J358" s="51"/>
      <c r="K358" s="51"/>
    </row>
    <row r="359">
      <c r="I359" s="53"/>
      <c r="J359" s="51"/>
      <c r="K359" s="51"/>
    </row>
    <row r="360">
      <c r="I360" s="53"/>
      <c r="J360" s="51"/>
      <c r="K360" s="51"/>
    </row>
    <row r="361">
      <c r="I361" s="53"/>
      <c r="J361" s="51"/>
      <c r="K361" s="51"/>
    </row>
    <row r="362">
      <c r="I362" s="53"/>
      <c r="J362" s="51"/>
      <c r="K362" s="51"/>
    </row>
    <row r="363">
      <c r="I363" s="53"/>
      <c r="J363" s="51"/>
      <c r="K363" s="51"/>
    </row>
    <row r="364">
      <c r="I364" s="53"/>
      <c r="J364" s="51"/>
      <c r="K364" s="51"/>
    </row>
    <row r="365">
      <c r="I365" s="53"/>
      <c r="J365" s="51"/>
      <c r="K365" s="51"/>
    </row>
    <row r="366">
      <c r="I366" s="53"/>
      <c r="J366" s="51"/>
      <c r="K366" s="51"/>
    </row>
    <row r="367">
      <c r="I367" s="53"/>
      <c r="J367" s="51"/>
      <c r="K367" s="51"/>
    </row>
    <row r="368">
      <c r="I368" s="53"/>
      <c r="J368" s="51"/>
      <c r="K368" s="51"/>
    </row>
    <row r="369">
      <c r="I369" s="53"/>
      <c r="J369" s="51"/>
      <c r="K369" s="51"/>
    </row>
    <row r="370">
      <c r="I370" s="53"/>
      <c r="J370" s="51"/>
      <c r="K370" s="51"/>
    </row>
    <row r="371">
      <c r="I371" s="53"/>
      <c r="J371" s="51"/>
      <c r="K371" s="51"/>
    </row>
    <row r="372">
      <c r="I372" s="53"/>
      <c r="J372" s="51"/>
      <c r="K372" s="51"/>
    </row>
    <row r="373">
      <c r="I373" s="53"/>
      <c r="J373" s="51"/>
      <c r="K373" s="51"/>
    </row>
    <row r="374">
      <c r="I374" s="53"/>
      <c r="J374" s="51"/>
      <c r="K374" s="51"/>
    </row>
    <row r="375">
      <c r="I375" s="53"/>
      <c r="J375" s="51"/>
      <c r="K375" s="51"/>
    </row>
    <row r="376">
      <c r="I376" s="53"/>
      <c r="J376" s="51"/>
      <c r="K376" s="51"/>
    </row>
    <row r="377">
      <c r="I377" s="53"/>
      <c r="J377" s="51"/>
      <c r="K377" s="51"/>
    </row>
    <row r="378">
      <c r="I378" s="53"/>
      <c r="J378" s="51"/>
      <c r="K378" s="51"/>
    </row>
    <row r="379">
      <c r="I379" s="53"/>
      <c r="J379" s="51"/>
      <c r="K379" s="51"/>
    </row>
    <row r="380">
      <c r="I380" s="53"/>
      <c r="J380" s="51"/>
      <c r="K380" s="51"/>
    </row>
    <row r="381">
      <c r="I381" s="53"/>
      <c r="J381" s="51"/>
      <c r="K381" s="51"/>
    </row>
    <row r="382">
      <c r="I382" s="53"/>
      <c r="J382" s="51"/>
      <c r="K382" s="51"/>
    </row>
    <row r="383">
      <c r="I383" s="53"/>
      <c r="J383" s="51"/>
      <c r="K383" s="51"/>
    </row>
    <row r="384">
      <c r="I384" s="53"/>
      <c r="J384" s="51"/>
      <c r="K384" s="51"/>
    </row>
    <row r="385">
      <c r="I385" s="53"/>
      <c r="J385" s="51"/>
      <c r="K385" s="51"/>
    </row>
    <row r="386">
      <c r="I386" s="53"/>
      <c r="J386" s="51"/>
      <c r="K386" s="51"/>
    </row>
    <row r="387">
      <c r="I387" s="53"/>
      <c r="J387" s="51"/>
      <c r="K387" s="51"/>
    </row>
    <row r="388">
      <c r="I388" s="53"/>
      <c r="J388" s="51"/>
      <c r="K388" s="51"/>
    </row>
    <row r="389">
      <c r="I389" s="53"/>
      <c r="J389" s="51"/>
      <c r="K389" s="51"/>
    </row>
    <row r="390">
      <c r="I390" s="53"/>
      <c r="J390" s="51"/>
      <c r="K390" s="51"/>
    </row>
    <row r="391">
      <c r="I391" s="53"/>
      <c r="J391" s="51"/>
      <c r="K391" s="51"/>
    </row>
    <row r="392">
      <c r="I392" s="53"/>
      <c r="J392" s="51"/>
      <c r="K392" s="51"/>
    </row>
    <row r="393">
      <c r="I393" s="53"/>
      <c r="J393" s="51"/>
      <c r="K393" s="51"/>
    </row>
    <row r="394">
      <c r="I394" s="53"/>
      <c r="J394" s="51"/>
      <c r="K394" s="51"/>
    </row>
    <row r="395">
      <c r="I395" s="53"/>
      <c r="J395" s="51"/>
      <c r="K395" s="51"/>
    </row>
    <row r="396">
      <c r="I396" s="53"/>
      <c r="J396" s="51"/>
      <c r="K396" s="51"/>
    </row>
    <row r="397">
      <c r="I397" s="53"/>
      <c r="J397" s="51"/>
      <c r="K397" s="51"/>
    </row>
    <row r="398">
      <c r="I398" s="53"/>
      <c r="J398" s="51"/>
      <c r="K398" s="51"/>
    </row>
    <row r="399">
      <c r="I399" s="53"/>
      <c r="J399" s="51"/>
      <c r="K399" s="51"/>
    </row>
    <row r="400">
      <c r="I400" s="53"/>
      <c r="J400" s="51"/>
      <c r="K400" s="51"/>
    </row>
    <row r="401">
      <c r="I401" s="53"/>
      <c r="J401" s="51"/>
      <c r="K401" s="51"/>
    </row>
    <row r="402">
      <c r="I402" s="53"/>
      <c r="J402" s="51"/>
      <c r="K402" s="51"/>
    </row>
    <row r="403">
      <c r="I403" s="53"/>
      <c r="J403" s="51"/>
      <c r="K403" s="51"/>
    </row>
    <row r="404">
      <c r="I404" s="53"/>
      <c r="J404" s="51"/>
      <c r="K404" s="51"/>
    </row>
    <row r="405">
      <c r="I405" s="53"/>
      <c r="J405" s="51"/>
      <c r="K405" s="51"/>
    </row>
    <row r="406">
      <c r="I406" s="53"/>
      <c r="J406" s="51"/>
      <c r="K406" s="51"/>
    </row>
    <row r="407">
      <c r="I407" s="53"/>
      <c r="J407" s="51"/>
      <c r="K407" s="51"/>
    </row>
    <row r="408">
      <c r="I408" s="53"/>
      <c r="J408" s="51"/>
      <c r="K408" s="51"/>
    </row>
    <row r="409">
      <c r="I409" s="53"/>
      <c r="J409" s="51"/>
      <c r="K409" s="51"/>
    </row>
    <row r="410">
      <c r="I410" s="53"/>
      <c r="J410" s="51"/>
      <c r="K410" s="51"/>
    </row>
    <row r="411">
      <c r="I411" s="53"/>
      <c r="J411" s="51"/>
      <c r="K411" s="51"/>
    </row>
    <row r="412">
      <c r="I412" s="53"/>
      <c r="J412" s="51"/>
      <c r="K412" s="51"/>
    </row>
    <row r="413">
      <c r="I413" s="53"/>
      <c r="J413" s="51"/>
      <c r="K413" s="51"/>
    </row>
    <row r="414">
      <c r="I414" s="53"/>
      <c r="J414" s="51"/>
      <c r="K414" s="51"/>
    </row>
    <row r="415">
      <c r="I415" s="53"/>
      <c r="J415" s="51"/>
      <c r="K415" s="51"/>
    </row>
    <row r="416">
      <c r="I416" s="53"/>
      <c r="J416" s="51"/>
      <c r="K416" s="51"/>
    </row>
    <row r="417">
      <c r="I417" s="53"/>
      <c r="J417" s="51"/>
      <c r="K417" s="51"/>
    </row>
    <row r="418">
      <c r="I418" s="53"/>
      <c r="J418" s="51"/>
      <c r="K418" s="51"/>
    </row>
    <row r="419">
      <c r="I419" s="53"/>
      <c r="J419" s="51"/>
      <c r="K419" s="51"/>
    </row>
    <row r="420">
      <c r="I420" s="53"/>
      <c r="J420" s="51"/>
      <c r="K420" s="51"/>
    </row>
    <row r="421">
      <c r="I421" s="53"/>
      <c r="J421" s="51"/>
      <c r="K421" s="51"/>
    </row>
    <row r="422">
      <c r="I422" s="53"/>
      <c r="J422" s="51"/>
      <c r="K422" s="51"/>
    </row>
    <row r="423">
      <c r="I423" s="53"/>
      <c r="J423" s="51"/>
      <c r="K423" s="51"/>
    </row>
    <row r="424">
      <c r="I424" s="53"/>
      <c r="J424" s="51"/>
      <c r="K424" s="51"/>
    </row>
    <row r="425">
      <c r="I425" s="53"/>
      <c r="J425" s="51"/>
      <c r="K425" s="51"/>
    </row>
    <row r="426">
      <c r="I426" s="53"/>
      <c r="J426" s="51"/>
      <c r="K426" s="51"/>
    </row>
    <row r="427">
      <c r="I427" s="53"/>
      <c r="J427" s="51"/>
      <c r="K427" s="51"/>
    </row>
    <row r="428">
      <c r="I428" s="53"/>
      <c r="J428" s="51"/>
      <c r="K428" s="51"/>
    </row>
    <row r="429">
      <c r="I429" s="53"/>
      <c r="J429" s="51"/>
      <c r="K429" s="51"/>
    </row>
    <row r="430">
      <c r="I430" s="53"/>
      <c r="J430" s="51"/>
      <c r="K430" s="51"/>
    </row>
    <row r="431">
      <c r="I431" s="53"/>
      <c r="J431" s="51"/>
      <c r="K431" s="51"/>
    </row>
    <row r="432">
      <c r="I432" s="53"/>
      <c r="J432" s="51"/>
      <c r="K432" s="51"/>
    </row>
    <row r="433">
      <c r="I433" s="53"/>
      <c r="J433" s="51"/>
      <c r="K433" s="51"/>
    </row>
    <row r="434">
      <c r="I434" s="53"/>
      <c r="J434" s="51"/>
      <c r="K434" s="51"/>
    </row>
    <row r="435">
      <c r="I435" s="53"/>
      <c r="J435" s="51"/>
      <c r="K435" s="51"/>
    </row>
    <row r="436">
      <c r="I436" s="53"/>
      <c r="J436" s="51"/>
      <c r="K436" s="51"/>
    </row>
    <row r="437">
      <c r="I437" s="53"/>
      <c r="J437" s="51"/>
      <c r="K437" s="51"/>
    </row>
    <row r="438">
      <c r="I438" s="53"/>
      <c r="J438" s="51"/>
      <c r="K438" s="51"/>
    </row>
    <row r="439">
      <c r="I439" s="53"/>
      <c r="J439" s="51"/>
      <c r="K439" s="51"/>
    </row>
    <row r="440">
      <c r="I440" s="53"/>
      <c r="J440" s="51"/>
      <c r="K440" s="51"/>
    </row>
    <row r="441">
      <c r="I441" s="53"/>
      <c r="J441" s="51"/>
      <c r="K441" s="51"/>
    </row>
    <row r="442">
      <c r="I442" s="53"/>
      <c r="J442" s="51"/>
      <c r="K442" s="51"/>
    </row>
    <row r="443">
      <c r="I443" s="53"/>
      <c r="J443" s="51"/>
      <c r="K443" s="51"/>
    </row>
    <row r="444">
      <c r="I444" s="53"/>
      <c r="J444" s="51"/>
      <c r="K444" s="51"/>
    </row>
    <row r="445">
      <c r="I445" s="53"/>
      <c r="J445" s="51"/>
      <c r="K445" s="51"/>
    </row>
    <row r="446">
      <c r="I446" s="53"/>
      <c r="J446" s="51"/>
      <c r="K446" s="51"/>
    </row>
    <row r="447">
      <c r="I447" s="53"/>
      <c r="J447" s="51"/>
      <c r="K447" s="51"/>
    </row>
    <row r="448">
      <c r="I448" s="53"/>
      <c r="J448" s="51"/>
      <c r="K448" s="51"/>
    </row>
    <row r="449">
      <c r="I449" s="53"/>
      <c r="J449" s="51"/>
      <c r="K449" s="51"/>
    </row>
    <row r="450">
      <c r="I450" s="53"/>
      <c r="J450" s="51"/>
      <c r="K450" s="51"/>
    </row>
    <row r="451">
      <c r="I451" s="53"/>
      <c r="J451" s="51"/>
      <c r="K451" s="51"/>
    </row>
    <row r="452">
      <c r="I452" s="53"/>
      <c r="J452" s="51"/>
      <c r="K452" s="51"/>
    </row>
    <row r="453">
      <c r="I453" s="53"/>
      <c r="J453" s="51"/>
      <c r="K453" s="51"/>
    </row>
    <row r="454">
      <c r="I454" s="53"/>
      <c r="J454" s="51"/>
      <c r="K454" s="51"/>
    </row>
    <row r="455">
      <c r="I455" s="53"/>
      <c r="J455" s="51"/>
      <c r="K455" s="51"/>
    </row>
    <row r="456">
      <c r="I456" s="53"/>
      <c r="J456" s="51"/>
      <c r="K456" s="51"/>
    </row>
    <row r="457">
      <c r="I457" s="53"/>
      <c r="J457" s="51"/>
      <c r="K457" s="51"/>
    </row>
    <row r="458">
      <c r="I458" s="53"/>
      <c r="J458" s="51"/>
      <c r="K458" s="51"/>
    </row>
    <row r="459">
      <c r="I459" s="53"/>
      <c r="J459" s="51"/>
      <c r="K459" s="51"/>
    </row>
    <row r="460">
      <c r="I460" s="53"/>
      <c r="J460" s="51"/>
      <c r="K460" s="51"/>
    </row>
    <row r="461">
      <c r="I461" s="53"/>
      <c r="J461" s="51"/>
      <c r="K461" s="51"/>
    </row>
    <row r="462">
      <c r="I462" s="53"/>
      <c r="J462" s="51"/>
      <c r="K462" s="51"/>
    </row>
    <row r="463">
      <c r="I463" s="53"/>
      <c r="J463" s="51"/>
      <c r="K463" s="51"/>
    </row>
    <row r="464">
      <c r="I464" s="53"/>
      <c r="J464" s="51"/>
      <c r="K464" s="51"/>
    </row>
    <row r="465">
      <c r="I465" s="53"/>
      <c r="J465" s="51"/>
      <c r="K465" s="51"/>
    </row>
    <row r="466">
      <c r="I466" s="53"/>
      <c r="J466" s="51"/>
      <c r="K466" s="51"/>
    </row>
    <row r="467">
      <c r="I467" s="53"/>
      <c r="J467" s="51"/>
      <c r="K467" s="51"/>
    </row>
    <row r="468">
      <c r="I468" s="53"/>
      <c r="J468" s="51"/>
      <c r="K468" s="51"/>
    </row>
    <row r="469">
      <c r="I469" s="53"/>
      <c r="J469" s="51"/>
      <c r="K469" s="51"/>
    </row>
    <row r="470">
      <c r="I470" s="53"/>
      <c r="J470" s="51"/>
      <c r="K470" s="51"/>
    </row>
    <row r="471">
      <c r="I471" s="53"/>
      <c r="J471" s="51"/>
      <c r="K471" s="51"/>
    </row>
    <row r="472">
      <c r="I472" s="53"/>
      <c r="J472" s="51"/>
      <c r="K472" s="51"/>
    </row>
    <row r="473">
      <c r="I473" s="53"/>
      <c r="J473" s="51"/>
      <c r="K473" s="51"/>
    </row>
    <row r="474">
      <c r="I474" s="53"/>
      <c r="J474" s="51"/>
      <c r="K474" s="51"/>
    </row>
    <row r="475">
      <c r="I475" s="53"/>
      <c r="J475" s="51"/>
      <c r="K475" s="51"/>
    </row>
    <row r="476">
      <c r="I476" s="53"/>
      <c r="J476" s="51"/>
      <c r="K476" s="51"/>
    </row>
    <row r="477">
      <c r="I477" s="53"/>
      <c r="J477" s="51"/>
      <c r="K477" s="51"/>
    </row>
    <row r="478">
      <c r="I478" s="53"/>
      <c r="J478" s="51"/>
      <c r="K478" s="51"/>
    </row>
    <row r="479">
      <c r="I479" s="53"/>
      <c r="J479" s="51"/>
      <c r="K479" s="51"/>
    </row>
    <row r="480">
      <c r="I480" s="53"/>
      <c r="J480" s="51"/>
      <c r="K480" s="51"/>
    </row>
    <row r="481">
      <c r="I481" s="53"/>
      <c r="J481" s="51"/>
      <c r="K481" s="51"/>
    </row>
    <row r="482">
      <c r="I482" s="53"/>
      <c r="J482" s="51"/>
      <c r="K482" s="51"/>
    </row>
    <row r="483">
      <c r="I483" s="53"/>
      <c r="J483" s="51"/>
      <c r="K483" s="51"/>
    </row>
    <row r="484">
      <c r="I484" s="53"/>
      <c r="J484" s="51"/>
      <c r="K484" s="51"/>
    </row>
    <row r="485">
      <c r="I485" s="53"/>
      <c r="J485" s="51"/>
      <c r="K485" s="51"/>
    </row>
    <row r="486">
      <c r="I486" s="53"/>
      <c r="J486" s="51"/>
      <c r="K486" s="51"/>
    </row>
    <row r="487">
      <c r="I487" s="53"/>
      <c r="J487" s="51"/>
      <c r="K487" s="51"/>
    </row>
    <row r="488">
      <c r="I488" s="53"/>
      <c r="J488" s="51"/>
      <c r="K488" s="51"/>
    </row>
    <row r="489">
      <c r="I489" s="53"/>
      <c r="J489" s="51"/>
      <c r="K489" s="51"/>
    </row>
    <row r="490">
      <c r="I490" s="53"/>
      <c r="J490" s="51"/>
      <c r="K490" s="51"/>
    </row>
    <row r="491">
      <c r="I491" s="53"/>
      <c r="J491" s="51"/>
      <c r="K491" s="51"/>
    </row>
    <row r="492">
      <c r="I492" s="53"/>
      <c r="J492" s="51"/>
      <c r="K492" s="51"/>
    </row>
    <row r="493">
      <c r="I493" s="53"/>
      <c r="J493" s="51"/>
      <c r="K493" s="51"/>
    </row>
    <row r="494">
      <c r="I494" s="53"/>
      <c r="J494" s="51"/>
      <c r="K494" s="51"/>
    </row>
    <row r="495">
      <c r="I495" s="53"/>
      <c r="J495" s="51"/>
      <c r="K495" s="51"/>
    </row>
    <row r="496">
      <c r="I496" s="53"/>
      <c r="J496" s="51"/>
      <c r="K496" s="51"/>
    </row>
    <row r="497">
      <c r="I497" s="53"/>
      <c r="J497" s="51"/>
      <c r="K497" s="51"/>
    </row>
    <row r="498">
      <c r="I498" s="53"/>
      <c r="J498" s="51"/>
      <c r="K498" s="51"/>
    </row>
    <row r="499">
      <c r="I499" s="53"/>
      <c r="J499" s="51"/>
      <c r="K499" s="51"/>
    </row>
    <row r="500">
      <c r="I500" s="53"/>
      <c r="J500" s="51"/>
      <c r="K500" s="51"/>
    </row>
    <row r="501">
      <c r="I501" s="53"/>
      <c r="J501" s="51"/>
      <c r="K501" s="51"/>
    </row>
    <row r="502">
      <c r="I502" s="53"/>
      <c r="J502" s="51"/>
      <c r="K502" s="51"/>
    </row>
    <row r="503">
      <c r="I503" s="53"/>
      <c r="J503" s="51"/>
      <c r="K503" s="51"/>
    </row>
    <row r="504">
      <c r="I504" s="53"/>
      <c r="J504" s="51"/>
      <c r="K504" s="51"/>
    </row>
    <row r="505">
      <c r="I505" s="53"/>
      <c r="J505" s="51"/>
      <c r="K505" s="51"/>
    </row>
    <row r="506">
      <c r="I506" s="53"/>
      <c r="J506" s="51"/>
      <c r="K506" s="51"/>
    </row>
    <row r="507">
      <c r="I507" s="53"/>
      <c r="J507" s="51"/>
      <c r="K507" s="51"/>
    </row>
    <row r="508">
      <c r="I508" s="53"/>
      <c r="J508" s="51"/>
      <c r="K508" s="51"/>
    </row>
    <row r="509">
      <c r="I509" s="53"/>
      <c r="J509" s="51"/>
      <c r="K509" s="51"/>
    </row>
    <row r="510">
      <c r="I510" s="53"/>
      <c r="J510" s="51"/>
      <c r="K510" s="51"/>
    </row>
    <row r="511">
      <c r="I511" s="53"/>
      <c r="J511" s="51"/>
      <c r="K511" s="51"/>
    </row>
    <row r="512">
      <c r="I512" s="53"/>
      <c r="J512" s="51"/>
      <c r="K512" s="51"/>
    </row>
    <row r="513">
      <c r="I513" s="53"/>
      <c r="J513" s="51"/>
      <c r="K513" s="51"/>
    </row>
    <row r="514">
      <c r="I514" s="53"/>
      <c r="J514" s="51"/>
      <c r="K514" s="51"/>
    </row>
    <row r="515">
      <c r="I515" s="53"/>
      <c r="J515" s="51"/>
      <c r="K515" s="51"/>
    </row>
    <row r="516">
      <c r="I516" s="53"/>
      <c r="J516" s="51"/>
      <c r="K516" s="51"/>
    </row>
    <row r="517">
      <c r="I517" s="53"/>
      <c r="J517" s="51"/>
      <c r="K517" s="51"/>
    </row>
    <row r="518">
      <c r="I518" s="53"/>
      <c r="J518" s="51"/>
      <c r="K518" s="51"/>
    </row>
    <row r="519">
      <c r="I519" s="53"/>
      <c r="J519" s="51"/>
      <c r="K519" s="51"/>
    </row>
    <row r="520">
      <c r="I520" s="53"/>
      <c r="J520" s="51"/>
      <c r="K520" s="51"/>
    </row>
    <row r="521">
      <c r="I521" s="53"/>
      <c r="J521" s="51"/>
      <c r="K521" s="51"/>
    </row>
    <row r="522">
      <c r="I522" s="53"/>
      <c r="J522" s="51"/>
      <c r="K522" s="51"/>
    </row>
    <row r="523">
      <c r="I523" s="53"/>
      <c r="J523" s="51"/>
      <c r="K523" s="51"/>
    </row>
    <row r="524">
      <c r="I524" s="53"/>
      <c r="J524" s="51"/>
      <c r="K524" s="51"/>
    </row>
    <row r="525">
      <c r="I525" s="53"/>
      <c r="J525" s="51"/>
      <c r="K525" s="51"/>
    </row>
    <row r="526">
      <c r="I526" s="53"/>
      <c r="J526" s="51"/>
      <c r="K526" s="51"/>
    </row>
    <row r="527">
      <c r="I527" s="53"/>
      <c r="J527" s="51"/>
      <c r="K527" s="51"/>
    </row>
    <row r="528">
      <c r="I528" s="53"/>
      <c r="J528" s="51"/>
      <c r="K528" s="51"/>
    </row>
    <row r="529">
      <c r="I529" s="53"/>
      <c r="J529" s="51"/>
      <c r="K529" s="51"/>
    </row>
    <row r="530">
      <c r="I530" s="53"/>
      <c r="J530" s="51"/>
      <c r="K530" s="51"/>
    </row>
    <row r="531">
      <c r="I531" s="53"/>
      <c r="J531" s="51"/>
      <c r="K531" s="51"/>
    </row>
    <row r="532">
      <c r="I532" s="53"/>
      <c r="J532" s="51"/>
      <c r="K532" s="51"/>
    </row>
    <row r="533">
      <c r="I533" s="53"/>
      <c r="J533" s="51"/>
      <c r="K533" s="51"/>
    </row>
    <row r="534">
      <c r="I534" s="53"/>
      <c r="J534" s="51"/>
      <c r="K534" s="51"/>
    </row>
    <row r="535">
      <c r="I535" s="53"/>
      <c r="J535" s="51"/>
      <c r="K535" s="51"/>
    </row>
    <row r="536">
      <c r="I536" s="53"/>
      <c r="J536" s="51"/>
      <c r="K536" s="51"/>
    </row>
    <row r="537">
      <c r="I537" s="53"/>
      <c r="J537" s="51"/>
      <c r="K537" s="51"/>
    </row>
    <row r="538">
      <c r="I538" s="53"/>
      <c r="J538" s="51"/>
      <c r="K538" s="51"/>
    </row>
    <row r="539">
      <c r="I539" s="53"/>
      <c r="J539" s="51"/>
      <c r="K539" s="51"/>
    </row>
    <row r="540">
      <c r="I540" s="53"/>
      <c r="J540" s="51"/>
      <c r="K540" s="51"/>
    </row>
    <row r="541">
      <c r="I541" s="53"/>
      <c r="J541" s="51"/>
      <c r="K541" s="51"/>
    </row>
    <row r="542">
      <c r="I542" s="53"/>
      <c r="J542" s="51"/>
      <c r="K542" s="51"/>
    </row>
    <row r="543">
      <c r="I543" s="53"/>
      <c r="J543" s="51"/>
      <c r="K543" s="51"/>
    </row>
    <row r="544">
      <c r="I544" s="53"/>
      <c r="J544" s="51"/>
      <c r="K544" s="51"/>
    </row>
    <row r="545">
      <c r="I545" s="53"/>
      <c r="J545" s="51"/>
      <c r="K545" s="51"/>
    </row>
    <row r="546">
      <c r="I546" s="53"/>
      <c r="J546" s="51"/>
      <c r="K546" s="51"/>
    </row>
    <row r="547">
      <c r="I547" s="53"/>
      <c r="J547" s="51"/>
      <c r="K547" s="51"/>
    </row>
    <row r="548">
      <c r="I548" s="53"/>
      <c r="J548" s="51"/>
      <c r="K548" s="51"/>
    </row>
    <row r="549">
      <c r="I549" s="53"/>
      <c r="J549" s="51"/>
      <c r="K549" s="51"/>
    </row>
    <row r="550">
      <c r="I550" s="53"/>
      <c r="J550" s="51"/>
      <c r="K550" s="51"/>
    </row>
    <row r="551">
      <c r="I551" s="53"/>
      <c r="J551" s="51"/>
      <c r="K551" s="51"/>
    </row>
    <row r="552">
      <c r="I552" s="53"/>
      <c r="J552" s="51"/>
      <c r="K552" s="51"/>
    </row>
    <row r="553">
      <c r="I553" s="53"/>
      <c r="J553" s="51"/>
      <c r="K553" s="51"/>
    </row>
    <row r="554">
      <c r="I554" s="53"/>
      <c r="J554" s="51"/>
      <c r="K554" s="51"/>
    </row>
    <row r="555">
      <c r="I555" s="53"/>
      <c r="J555" s="51"/>
      <c r="K555" s="51"/>
    </row>
    <row r="556">
      <c r="I556" s="53"/>
      <c r="J556" s="51"/>
      <c r="K556" s="51"/>
    </row>
    <row r="557">
      <c r="I557" s="53"/>
      <c r="J557" s="51"/>
      <c r="K557" s="51"/>
    </row>
    <row r="558">
      <c r="I558" s="53"/>
      <c r="J558" s="51"/>
      <c r="K558" s="51"/>
    </row>
    <row r="559">
      <c r="I559" s="53"/>
      <c r="J559" s="51"/>
      <c r="K559" s="51"/>
    </row>
    <row r="560">
      <c r="I560" s="53"/>
      <c r="J560" s="51"/>
      <c r="K560" s="51"/>
    </row>
    <row r="561">
      <c r="I561" s="53"/>
      <c r="J561" s="51"/>
      <c r="K561" s="51"/>
    </row>
    <row r="562">
      <c r="I562" s="53"/>
      <c r="J562" s="51"/>
      <c r="K562" s="51"/>
    </row>
    <row r="563">
      <c r="I563" s="53"/>
      <c r="J563" s="51"/>
      <c r="K563" s="51"/>
    </row>
    <row r="564">
      <c r="I564" s="53"/>
      <c r="J564" s="51"/>
      <c r="K564" s="51"/>
    </row>
    <row r="565">
      <c r="I565" s="53"/>
      <c r="J565" s="51"/>
      <c r="K565" s="51"/>
    </row>
    <row r="566">
      <c r="I566" s="53"/>
      <c r="J566" s="51"/>
      <c r="K566" s="51"/>
    </row>
    <row r="567">
      <c r="I567" s="53"/>
      <c r="J567" s="51"/>
      <c r="K567" s="51"/>
    </row>
    <row r="568">
      <c r="I568" s="53"/>
      <c r="J568" s="51"/>
      <c r="K568" s="51"/>
    </row>
    <row r="569">
      <c r="I569" s="53"/>
      <c r="J569" s="51"/>
      <c r="K569" s="51"/>
    </row>
    <row r="570">
      <c r="I570" s="53"/>
      <c r="J570" s="51"/>
      <c r="K570" s="51"/>
    </row>
    <row r="571">
      <c r="I571" s="53"/>
      <c r="J571" s="51"/>
      <c r="K571" s="51"/>
    </row>
    <row r="572">
      <c r="I572" s="53"/>
      <c r="J572" s="51"/>
      <c r="K572" s="51"/>
    </row>
    <row r="573">
      <c r="I573" s="53"/>
      <c r="J573" s="51"/>
      <c r="K573" s="51"/>
    </row>
    <row r="574">
      <c r="I574" s="53"/>
      <c r="J574" s="51"/>
      <c r="K574" s="51"/>
    </row>
    <row r="575">
      <c r="I575" s="53"/>
      <c r="J575" s="51"/>
      <c r="K575" s="51"/>
    </row>
    <row r="576">
      <c r="I576" s="53"/>
      <c r="J576" s="51"/>
      <c r="K576" s="51"/>
    </row>
    <row r="577">
      <c r="I577" s="53"/>
      <c r="J577" s="51"/>
      <c r="K577" s="51"/>
    </row>
    <row r="578">
      <c r="I578" s="53"/>
      <c r="J578" s="51"/>
      <c r="K578" s="51"/>
    </row>
    <row r="579">
      <c r="I579" s="53"/>
      <c r="J579" s="51"/>
      <c r="K579" s="51"/>
    </row>
    <row r="580">
      <c r="I580" s="53"/>
      <c r="J580" s="51"/>
      <c r="K580" s="51"/>
    </row>
    <row r="581">
      <c r="I581" s="53"/>
      <c r="J581" s="51"/>
      <c r="K581" s="51"/>
    </row>
    <row r="582">
      <c r="I582" s="53"/>
      <c r="J582" s="51"/>
      <c r="K582" s="51"/>
    </row>
    <row r="583">
      <c r="I583" s="53"/>
      <c r="J583" s="51"/>
      <c r="K583" s="51"/>
    </row>
    <row r="584">
      <c r="I584" s="53"/>
      <c r="J584" s="51"/>
      <c r="K584" s="51"/>
    </row>
    <row r="585">
      <c r="I585" s="53"/>
      <c r="J585" s="51"/>
      <c r="K585" s="51"/>
    </row>
    <row r="586">
      <c r="I586" s="53"/>
      <c r="J586" s="51"/>
      <c r="K586" s="51"/>
    </row>
    <row r="587">
      <c r="I587" s="53"/>
      <c r="J587" s="51"/>
      <c r="K587" s="51"/>
    </row>
    <row r="588">
      <c r="I588" s="53"/>
      <c r="J588" s="51"/>
      <c r="K588" s="51"/>
    </row>
    <row r="589">
      <c r="I589" s="53"/>
      <c r="J589" s="51"/>
      <c r="K589" s="51"/>
    </row>
    <row r="590">
      <c r="I590" s="53"/>
      <c r="J590" s="51"/>
      <c r="K590" s="51"/>
    </row>
    <row r="591">
      <c r="I591" s="53"/>
      <c r="J591" s="51"/>
      <c r="K591" s="51"/>
    </row>
    <row r="592">
      <c r="I592" s="53"/>
      <c r="J592" s="51"/>
      <c r="K592" s="51"/>
    </row>
    <row r="593">
      <c r="I593" s="53"/>
      <c r="J593" s="51"/>
      <c r="K593" s="51"/>
    </row>
    <row r="594">
      <c r="I594" s="53"/>
      <c r="J594" s="51"/>
      <c r="K594" s="51"/>
    </row>
    <row r="595">
      <c r="I595" s="53"/>
      <c r="J595" s="51"/>
      <c r="K595" s="51"/>
    </row>
    <row r="596">
      <c r="I596" s="53"/>
      <c r="J596" s="51"/>
      <c r="K596" s="51"/>
    </row>
    <row r="597">
      <c r="I597" s="53"/>
      <c r="J597" s="51"/>
      <c r="K597" s="51"/>
    </row>
    <row r="598">
      <c r="I598" s="53"/>
      <c r="J598" s="51"/>
      <c r="K598" s="51"/>
    </row>
    <row r="599">
      <c r="I599" s="53"/>
      <c r="J599" s="51"/>
      <c r="K599" s="51"/>
    </row>
    <row r="600">
      <c r="I600" s="53"/>
      <c r="J600" s="51"/>
      <c r="K600" s="51"/>
    </row>
    <row r="601">
      <c r="I601" s="53"/>
      <c r="J601" s="51"/>
      <c r="K601" s="51"/>
    </row>
    <row r="602">
      <c r="I602" s="53"/>
      <c r="J602" s="51"/>
      <c r="K602" s="51"/>
    </row>
    <row r="603">
      <c r="I603" s="53"/>
      <c r="J603" s="51"/>
      <c r="K603" s="51"/>
    </row>
    <row r="604">
      <c r="I604" s="53"/>
      <c r="J604" s="51"/>
      <c r="K604" s="51"/>
    </row>
    <row r="605">
      <c r="I605" s="53"/>
      <c r="J605" s="51"/>
      <c r="K605" s="51"/>
    </row>
    <row r="606">
      <c r="I606" s="53"/>
      <c r="J606" s="51"/>
      <c r="K606" s="51"/>
    </row>
    <row r="607">
      <c r="I607" s="53"/>
      <c r="J607" s="51"/>
      <c r="K607" s="51"/>
    </row>
    <row r="608">
      <c r="I608" s="53"/>
      <c r="J608" s="51"/>
      <c r="K608" s="51"/>
    </row>
    <row r="609">
      <c r="I609" s="53"/>
      <c r="J609" s="51"/>
      <c r="K609" s="51"/>
    </row>
    <row r="610">
      <c r="I610" s="53"/>
      <c r="J610" s="51"/>
      <c r="K610" s="51"/>
    </row>
    <row r="611">
      <c r="I611" s="53"/>
      <c r="J611" s="51"/>
      <c r="K611" s="51"/>
    </row>
    <row r="612">
      <c r="I612" s="53"/>
      <c r="J612" s="51"/>
      <c r="K612" s="51"/>
    </row>
    <row r="613">
      <c r="I613" s="53"/>
      <c r="J613" s="51"/>
      <c r="K613" s="51"/>
    </row>
    <row r="614">
      <c r="I614" s="53"/>
      <c r="J614" s="51"/>
      <c r="K614" s="51"/>
    </row>
    <row r="615">
      <c r="I615" s="53"/>
      <c r="J615" s="51"/>
      <c r="K615" s="51"/>
    </row>
    <row r="616">
      <c r="I616" s="53"/>
      <c r="J616" s="51"/>
      <c r="K616" s="51"/>
    </row>
    <row r="617">
      <c r="I617" s="53"/>
      <c r="J617" s="51"/>
      <c r="K617" s="51"/>
    </row>
    <row r="618">
      <c r="I618" s="53"/>
      <c r="J618" s="51"/>
      <c r="K618" s="51"/>
    </row>
    <row r="619">
      <c r="I619" s="53"/>
      <c r="J619" s="51"/>
      <c r="K619" s="51"/>
    </row>
    <row r="620">
      <c r="I620" s="53"/>
      <c r="J620" s="51"/>
      <c r="K620" s="51"/>
    </row>
    <row r="621">
      <c r="I621" s="53"/>
      <c r="J621" s="51"/>
      <c r="K621" s="51"/>
    </row>
    <row r="622">
      <c r="I622" s="53"/>
      <c r="J622" s="51"/>
      <c r="K622" s="51"/>
    </row>
    <row r="623">
      <c r="I623" s="53"/>
      <c r="J623" s="51"/>
      <c r="K623" s="51"/>
    </row>
    <row r="624">
      <c r="I624" s="53"/>
      <c r="J624" s="51"/>
      <c r="K624" s="51"/>
    </row>
    <row r="625">
      <c r="I625" s="53"/>
      <c r="J625" s="51"/>
      <c r="K625" s="51"/>
    </row>
    <row r="626">
      <c r="I626" s="53"/>
      <c r="J626" s="51"/>
      <c r="K626" s="51"/>
    </row>
    <row r="627">
      <c r="I627" s="53"/>
      <c r="J627" s="51"/>
      <c r="K627" s="51"/>
    </row>
    <row r="628">
      <c r="I628" s="53"/>
      <c r="J628" s="51"/>
      <c r="K628" s="51"/>
    </row>
    <row r="629">
      <c r="I629" s="53"/>
      <c r="J629" s="51"/>
      <c r="K629" s="51"/>
    </row>
    <row r="630">
      <c r="I630" s="53"/>
      <c r="J630" s="51"/>
      <c r="K630" s="51"/>
    </row>
    <row r="631">
      <c r="I631" s="53"/>
      <c r="J631" s="51"/>
      <c r="K631" s="51"/>
    </row>
    <row r="632">
      <c r="I632" s="53"/>
      <c r="J632" s="51"/>
      <c r="K632" s="51"/>
    </row>
    <row r="633">
      <c r="I633" s="53"/>
      <c r="J633" s="51"/>
      <c r="K633" s="51"/>
    </row>
    <row r="634">
      <c r="I634" s="53"/>
      <c r="J634" s="51"/>
      <c r="K634" s="51"/>
    </row>
    <row r="635">
      <c r="I635" s="53"/>
      <c r="J635" s="51"/>
      <c r="K635" s="51"/>
    </row>
    <row r="636">
      <c r="I636" s="53"/>
      <c r="J636" s="51"/>
      <c r="K636" s="51"/>
    </row>
    <row r="637">
      <c r="I637" s="53"/>
      <c r="J637" s="51"/>
      <c r="K637" s="51"/>
    </row>
    <row r="638">
      <c r="I638" s="53"/>
      <c r="J638" s="51"/>
      <c r="K638" s="51"/>
    </row>
    <row r="639">
      <c r="I639" s="53"/>
      <c r="J639" s="51"/>
      <c r="K639" s="51"/>
    </row>
    <row r="640">
      <c r="I640" s="53"/>
      <c r="J640" s="51"/>
      <c r="K640" s="51"/>
    </row>
    <row r="641">
      <c r="I641" s="53"/>
      <c r="J641" s="51"/>
      <c r="K641" s="51"/>
    </row>
    <row r="642">
      <c r="I642" s="53"/>
      <c r="J642" s="51"/>
      <c r="K642" s="51"/>
    </row>
    <row r="643">
      <c r="I643" s="53"/>
      <c r="J643" s="51"/>
      <c r="K643" s="51"/>
    </row>
    <row r="644">
      <c r="I644" s="53"/>
      <c r="J644" s="51"/>
      <c r="K644" s="51"/>
    </row>
    <row r="645">
      <c r="I645" s="53"/>
      <c r="J645" s="51"/>
      <c r="K645" s="51"/>
    </row>
    <row r="646">
      <c r="I646" s="53"/>
      <c r="J646" s="51"/>
      <c r="K646" s="51"/>
    </row>
    <row r="647">
      <c r="I647" s="53"/>
      <c r="J647" s="51"/>
      <c r="K647" s="51"/>
    </row>
    <row r="648">
      <c r="I648" s="53"/>
      <c r="J648" s="51"/>
      <c r="K648" s="51"/>
    </row>
    <row r="649">
      <c r="I649" s="53"/>
      <c r="J649" s="51"/>
      <c r="K649" s="51"/>
    </row>
    <row r="650">
      <c r="I650" s="53"/>
      <c r="J650" s="51"/>
      <c r="K650" s="51"/>
    </row>
    <row r="651">
      <c r="I651" s="53"/>
      <c r="J651" s="51"/>
      <c r="K651" s="51"/>
    </row>
    <row r="652">
      <c r="I652" s="53"/>
      <c r="J652" s="51"/>
      <c r="K652" s="51"/>
    </row>
    <row r="653">
      <c r="I653" s="53"/>
      <c r="J653" s="51"/>
      <c r="K653" s="51"/>
    </row>
    <row r="654">
      <c r="I654" s="53"/>
      <c r="J654" s="51"/>
      <c r="K654" s="51"/>
    </row>
    <row r="655">
      <c r="I655" s="53"/>
      <c r="J655" s="51"/>
      <c r="K655" s="51"/>
    </row>
    <row r="656">
      <c r="I656" s="53"/>
      <c r="J656" s="51"/>
      <c r="K656" s="51"/>
    </row>
    <row r="657">
      <c r="I657" s="53"/>
      <c r="J657" s="51"/>
      <c r="K657" s="51"/>
    </row>
    <row r="658">
      <c r="I658" s="53"/>
      <c r="J658" s="51"/>
      <c r="K658" s="51"/>
    </row>
    <row r="659">
      <c r="I659" s="53"/>
      <c r="J659" s="51"/>
      <c r="K659" s="51"/>
    </row>
    <row r="660">
      <c r="I660" s="53"/>
      <c r="J660" s="51"/>
      <c r="K660" s="51"/>
    </row>
    <row r="661">
      <c r="I661" s="53"/>
      <c r="J661" s="51"/>
      <c r="K661" s="51"/>
    </row>
    <row r="662">
      <c r="I662" s="53"/>
      <c r="J662" s="51"/>
      <c r="K662" s="51"/>
    </row>
    <row r="663">
      <c r="I663" s="53"/>
      <c r="J663" s="51"/>
      <c r="K663" s="51"/>
    </row>
    <row r="664">
      <c r="I664" s="53"/>
      <c r="J664" s="51"/>
      <c r="K664" s="51"/>
    </row>
    <row r="665">
      <c r="I665" s="53"/>
      <c r="J665" s="51"/>
      <c r="K665" s="51"/>
    </row>
    <row r="666">
      <c r="I666" s="53"/>
      <c r="J666" s="51"/>
      <c r="K666" s="51"/>
    </row>
    <row r="667">
      <c r="I667" s="53"/>
      <c r="J667" s="51"/>
      <c r="K667" s="51"/>
    </row>
    <row r="668">
      <c r="I668" s="53"/>
      <c r="J668" s="51"/>
      <c r="K668" s="51"/>
    </row>
    <row r="669">
      <c r="I669" s="53"/>
      <c r="J669" s="51"/>
      <c r="K669" s="51"/>
    </row>
    <row r="670">
      <c r="I670" s="53"/>
      <c r="J670" s="51"/>
      <c r="K670" s="51"/>
    </row>
    <row r="671">
      <c r="I671" s="53"/>
      <c r="J671" s="51"/>
      <c r="K671" s="51"/>
    </row>
    <row r="672">
      <c r="I672" s="53"/>
      <c r="J672" s="51"/>
      <c r="K672" s="51"/>
    </row>
    <row r="673">
      <c r="I673" s="53"/>
      <c r="J673" s="51"/>
      <c r="K673" s="51"/>
    </row>
    <row r="674">
      <c r="I674" s="53"/>
      <c r="J674" s="51"/>
      <c r="K674" s="51"/>
    </row>
    <row r="675">
      <c r="I675" s="53"/>
      <c r="J675" s="51"/>
      <c r="K675" s="51"/>
    </row>
    <row r="676">
      <c r="I676" s="53"/>
      <c r="J676" s="51"/>
      <c r="K676" s="51"/>
    </row>
    <row r="677">
      <c r="I677" s="53"/>
      <c r="J677" s="51"/>
      <c r="K677" s="51"/>
    </row>
    <row r="678">
      <c r="I678" s="53"/>
      <c r="J678" s="51"/>
      <c r="K678" s="51"/>
    </row>
    <row r="679">
      <c r="I679" s="53"/>
      <c r="J679" s="51"/>
      <c r="K679" s="51"/>
    </row>
    <row r="680">
      <c r="I680" s="53"/>
      <c r="J680" s="51"/>
      <c r="K680" s="51"/>
    </row>
    <row r="681">
      <c r="I681" s="53"/>
      <c r="J681" s="51"/>
      <c r="K681" s="51"/>
    </row>
    <row r="682">
      <c r="I682" s="53"/>
      <c r="J682" s="51"/>
      <c r="K682" s="51"/>
    </row>
    <row r="683">
      <c r="I683" s="53"/>
      <c r="J683" s="51"/>
      <c r="K683" s="51"/>
    </row>
    <row r="684">
      <c r="I684" s="53"/>
      <c r="J684" s="51"/>
      <c r="K684" s="51"/>
    </row>
    <row r="685">
      <c r="I685" s="53"/>
      <c r="J685" s="51"/>
      <c r="K685" s="51"/>
    </row>
    <row r="686">
      <c r="I686" s="53"/>
      <c r="J686" s="51"/>
      <c r="K686" s="51"/>
    </row>
    <row r="687">
      <c r="I687" s="53"/>
      <c r="J687" s="51"/>
      <c r="K687" s="51"/>
    </row>
    <row r="688">
      <c r="I688" s="53"/>
      <c r="J688" s="51"/>
      <c r="K688" s="51"/>
    </row>
    <row r="689">
      <c r="I689" s="53"/>
      <c r="J689" s="51"/>
      <c r="K689" s="51"/>
    </row>
    <row r="690">
      <c r="I690" s="53"/>
      <c r="J690" s="51"/>
      <c r="K690" s="51"/>
    </row>
    <row r="691">
      <c r="I691" s="53"/>
      <c r="J691" s="51"/>
      <c r="K691" s="51"/>
    </row>
    <row r="692">
      <c r="I692" s="53"/>
      <c r="J692" s="51"/>
      <c r="K692" s="51"/>
    </row>
    <row r="693">
      <c r="I693" s="53"/>
      <c r="J693" s="51"/>
      <c r="K693" s="51"/>
    </row>
    <row r="694">
      <c r="I694" s="53"/>
      <c r="J694" s="51"/>
      <c r="K694" s="51"/>
    </row>
    <row r="695">
      <c r="I695" s="53"/>
      <c r="J695" s="51"/>
      <c r="K695" s="51"/>
    </row>
    <row r="696">
      <c r="I696" s="53"/>
      <c r="J696" s="51"/>
      <c r="K696" s="51"/>
    </row>
    <row r="697">
      <c r="I697" s="53"/>
      <c r="J697" s="51"/>
      <c r="K697" s="51"/>
    </row>
    <row r="698">
      <c r="I698" s="53"/>
      <c r="J698" s="51"/>
      <c r="K698" s="51"/>
    </row>
    <row r="699">
      <c r="I699" s="53"/>
      <c r="J699" s="51"/>
      <c r="K699" s="51"/>
    </row>
    <row r="700">
      <c r="I700" s="53"/>
      <c r="J700" s="51"/>
      <c r="K700" s="51"/>
    </row>
    <row r="701">
      <c r="I701" s="53"/>
      <c r="J701" s="51"/>
      <c r="K701" s="51"/>
    </row>
    <row r="702">
      <c r="I702" s="53"/>
      <c r="J702" s="51"/>
      <c r="K702" s="51"/>
    </row>
    <row r="703">
      <c r="I703" s="53"/>
      <c r="J703" s="51"/>
      <c r="K703" s="51"/>
    </row>
    <row r="704">
      <c r="I704" s="53"/>
      <c r="J704" s="51"/>
      <c r="K704" s="51"/>
    </row>
    <row r="705">
      <c r="I705" s="53"/>
      <c r="J705" s="51"/>
      <c r="K705" s="51"/>
    </row>
    <row r="706">
      <c r="I706" s="53"/>
      <c r="J706" s="51"/>
      <c r="K706" s="51"/>
    </row>
    <row r="707">
      <c r="I707" s="53"/>
      <c r="J707" s="51"/>
      <c r="K707" s="51"/>
    </row>
    <row r="708">
      <c r="I708" s="53"/>
      <c r="J708" s="51"/>
      <c r="K708" s="51"/>
    </row>
    <row r="709">
      <c r="I709" s="53"/>
      <c r="J709" s="51"/>
      <c r="K709" s="51"/>
    </row>
    <row r="710">
      <c r="I710" s="53"/>
      <c r="J710" s="51"/>
      <c r="K710" s="51"/>
    </row>
    <row r="711">
      <c r="I711" s="53"/>
      <c r="J711" s="51"/>
      <c r="K711" s="51"/>
    </row>
    <row r="712">
      <c r="I712" s="53"/>
      <c r="J712" s="51"/>
      <c r="K712" s="51"/>
    </row>
    <row r="713">
      <c r="I713" s="53"/>
      <c r="J713" s="51"/>
      <c r="K713" s="51"/>
    </row>
    <row r="714">
      <c r="I714" s="53"/>
      <c r="J714" s="51"/>
      <c r="K714" s="51"/>
    </row>
    <row r="715">
      <c r="I715" s="53"/>
      <c r="J715" s="51"/>
      <c r="K715" s="51"/>
    </row>
    <row r="716">
      <c r="I716" s="53"/>
      <c r="J716" s="51"/>
      <c r="K716" s="51"/>
    </row>
    <row r="717">
      <c r="I717" s="53"/>
      <c r="J717" s="51"/>
      <c r="K717" s="51"/>
    </row>
    <row r="718">
      <c r="I718" s="53"/>
      <c r="J718" s="51"/>
      <c r="K718" s="51"/>
    </row>
    <row r="719">
      <c r="I719" s="53"/>
      <c r="J719" s="51"/>
      <c r="K719" s="51"/>
    </row>
    <row r="720">
      <c r="I720" s="53"/>
      <c r="J720" s="51"/>
      <c r="K720" s="51"/>
    </row>
    <row r="721">
      <c r="I721" s="53"/>
      <c r="J721" s="51"/>
      <c r="K721" s="51"/>
    </row>
    <row r="722">
      <c r="I722" s="53"/>
      <c r="J722" s="51"/>
      <c r="K722" s="51"/>
    </row>
    <row r="723">
      <c r="I723" s="53"/>
      <c r="J723" s="51"/>
      <c r="K723" s="51"/>
    </row>
    <row r="724">
      <c r="I724" s="53"/>
      <c r="J724" s="51"/>
      <c r="K724" s="51"/>
    </row>
    <row r="725">
      <c r="I725" s="53"/>
      <c r="J725" s="51"/>
      <c r="K725" s="51"/>
    </row>
    <row r="726">
      <c r="I726" s="53"/>
      <c r="J726" s="51"/>
      <c r="K726" s="51"/>
    </row>
    <row r="727">
      <c r="I727" s="53"/>
      <c r="J727" s="51"/>
      <c r="K727" s="51"/>
    </row>
    <row r="728">
      <c r="I728" s="53"/>
      <c r="J728" s="51"/>
      <c r="K728" s="51"/>
    </row>
    <row r="729">
      <c r="I729" s="53"/>
      <c r="J729" s="51"/>
      <c r="K729" s="51"/>
    </row>
    <row r="730">
      <c r="I730" s="53"/>
      <c r="J730" s="51"/>
      <c r="K730" s="51"/>
    </row>
    <row r="731">
      <c r="I731" s="53"/>
      <c r="J731" s="51"/>
      <c r="K731" s="51"/>
    </row>
    <row r="732">
      <c r="I732" s="53"/>
      <c r="J732" s="51"/>
      <c r="K732" s="51"/>
    </row>
    <row r="733">
      <c r="I733" s="53"/>
      <c r="J733" s="51"/>
      <c r="K733" s="51"/>
    </row>
    <row r="734">
      <c r="I734" s="53"/>
      <c r="J734" s="51"/>
      <c r="K734" s="51"/>
    </row>
    <row r="735">
      <c r="I735" s="53"/>
      <c r="J735" s="51"/>
      <c r="K735" s="51"/>
    </row>
    <row r="736">
      <c r="I736" s="53"/>
      <c r="J736" s="51"/>
      <c r="K736" s="51"/>
    </row>
    <row r="737">
      <c r="I737" s="53"/>
      <c r="J737" s="51"/>
      <c r="K737" s="51"/>
    </row>
    <row r="738">
      <c r="I738" s="53"/>
      <c r="J738" s="51"/>
      <c r="K738" s="51"/>
    </row>
    <row r="739">
      <c r="I739" s="53"/>
      <c r="J739" s="51"/>
      <c r="K739" s="51"/>
    </row>
    <row r="740">
      <c r="I740" s="53"/>
      <c r="J740" s="51"/>
      <c r="K740" s="51"/>
    </row>
    <row r="741">
      <c r="I741" s="53"/>
      <c r="J741" s="51"/>
      <c r="K741" s="51"/>
    </row>
    <row r="742">
      <c r="I742" s="53"/>
      <c r="J742" s="51"/>
      <c r="K742" s="51"/>
    </row>
    <row r="743">
      <c r="I743" s="53"/>
      <c r="J743" s="51"/>
      <c r="K743" s="51"/>
    </row>
    <row r="744">
      <c r="I744" s="53"/>
      <c r="J744" s="51"/>
      <c r="K744" s="51"/>
    </row>
    <row r="745">
      <c r="I745" s="53"/>
      <c r="J745" s="51"/>
      <c r="K745" s="51"/>
    </row>
    <row r="746">
      <c r="I746" s="53"/>
      <c r="J746" s="51"/>
      <c r="K746" s="51"/>
    </row>
    <row r="747">
      <c r="I747" s="53"/>
      <c r="J747" s="51"/>
      <c r="K747" s="51"/>
    </row>
    <row r="748">
      <c r="I748" s="53"/>
      <c r="J748" s="51"/>
      <c r="K748" s="51"/>
    </row>
    <row r="749">
      <c r="I749" s="53"/>
      <c r="J749" s="51"/>
      <c r="K749" s="51"/>
    </row>
    <row r="750">
      <c r="I750" s="53"/>
      <c r="J750" s="51"/>
      <c r="K750" s="51"/>
    </row>
    <row r="751">
      <c r="I751" s="53"/>
      <c r="J751" s="51"/>
      <c r="K751" s="51"/>
    </row>
    <row r="752">
      <c r="I752" s="53"/>
      <c r="J752" s="51"/>
      <c r="K752" s="51"/>
    </row>
    <row r="753">
      <c r="I753" s="53"/>
      <c r="J753" s="51"/>
      <c r="K753" s="51"/>
    </row>
    <row r="754">
      <c r="I754" s="53"/>
      <c r="J754" s="51"/>
      <c r="K754" s="51"/>
    </row>
    <row r="755">
      <c r="I755" s="53"/>
      <c r="J755" s="51"/>
      <c r="K755" s="51"/>
    </row>
    <row r="756">
      <c r="I756" s="53"/>
      <c r="J756" s="51"/>
      <c r="K756" s="51"/>
    </row>
    <row r="757">
      <c r="I757" s="53"/>
      <c r="J757" s="51"/>
      <c r="K757" s="51"/>
    </row>
    <row r="758">
      <c r="I758" s="53"/>
      <c r="J758" s="51"/>
      <c r="K758" s="51"/>
    </row>
    <row r="759">
      <c r="I759" s="53"/>
      <c r="J759" s="51"/>
      <c r="K759" s="51"/>
    </row>
    <row r="760">
      <c r="I760" s="53"/>
      <c r="J760" s="51"/>
      <c r="K760" s="51"/>
    </row>
    <row r="761">
      <c r="I761" s="53"/>
      <c r="J761" s="51"/>
      <c r="K761" s="51"/>
    </row>
    <row r="762">
      <c r="I762" s="53"/>
      <c r="J762" s="51"/>
      <c r="K762" s="51"/>
    </row>
    <row r="763">
      <c r="I763" s="53"/>
      <c r="J763" s="51"/>
      <c r="K763" s="51"/>
    </row>
    <row r="764">
      <c r="I764" s="53"/>
      <c r="J764" s="51"/>
      <c r="K764" s="51"/>
    </row>
    <row r="765">
      <c r="I765" s="53"/>
      <c r="J765" s="51"/>
      <c r="K765" s="51"/>
    </row>
    <row r="766">
      <c r="I766" s="53"/>
      <c r="J766" s="51"/>
      <c r="K766" s="51"/>
    </row>
    <row r="767">
      <c r="I767" s="53"/>
      <c r="J767" s="51"/>
      <c r="K767" s="51"/>
    </row>
    <row r="768">
      <c r="I768" s="53"/>
      <c r="J768" s="51"/>
      <c r="K768" s="51"/>
    </row>
    <row r="769">
      <c r="I769" s="53"/>
      <c r="J769" s="51"/>
      <c r="K769" s="51"/>
    </row>
    <row r="770">
      <c r="I770" s="53"/>
      <c r="J770" s="51"/>
      <c r="K770" s="51"/>
    </row>
    <row r="771">
      <c r="I771" s="53"/>
      <c r="J771" s="51"/>
      <c r="K771" s="51"/>
    </row>
    <row r="772">
      <c r="I772" s="53"/>
      <c r="J772" s="51"/>
      <c r="K772" s="51"/>
    </row>
    <row r="773">
      <c r="I773" s="53"/>
      <c r="J773" s="51"/>
      <c r="K773" s="51"/>
    </row>
    <row r="774">
      <c r="I774" s="53"/>
      <c r="J774" s="51"/>
      <c r="K774" s="51"/>
    </row>
    <row r="775">
      <c r="I775" s="53"/>
      <c r="J775" s="51"/>
      <c r="K775" s="51"/>
    </row>
    <row r="776">
      <c r="I776" s="53"/>
      <c r="J776" s="51"/>
      <c r="K776" s="51"/>
    </row>
    <row r="777">
      <c r="I777" s="53"/>
      <c r="J777" s="51"/>
      <c r="K777" s="51"/>
    </row>
    <row r="778">
      <c r="I778" s="53"/>
      <c r="J778" s="51"/>
      <c r="K778" s="51"/>
    </row>
    <row r="779">
      <c r="I779" s="53"/>
      <c r="J779" s="51"/>
      <c r="K779" s="51"/>
    </row>
    <row r="780">
      <c r="I780" s="53"/>
      <c r="J780" s="51"/>
      <c r="K780" s="51"/>
    </row>
    <row r="781">
      <c r="I781" s="53"/>
      <c r="J781" s="51"/>
      <c r="K781" s="51"/>
    </row>
    <row r="782">
      <c r="I782" s="53"/>
      <c r="J782" s="51"/>
      <c r="K782" s="51"/>
    </row>
    <row r="783">
      <c r="I783" s="53"/>
      <c r="J783" s="51"/>
      <c r="K783" s="51"/>
    </row>
    <row r="784">
      <c r="I784" s="53"/>
      <c r="J784" s="51"/>
      <c r="K784" s="51"/>
    </row>
    <row r="785">
      <c r="I785" s="53"/>
      <c r="J785" s="51"/>
      <c r="K785" s="51"/>
    </row>
    <row r="786">
      <c r="I786" s="53"/>
      <c r="J786" s="51"/>
      <c r="K786" s="51"/>
    </row>
    <row r="787">
      <c r="I787" s="53"/>
      <c r="J787" s="51"/>
      <c r="K787" s="51"/>
    </row>
    <row r="788">
      <c r="I788" s="53"/>
      <c r="J788" s="51"/>
      <c r="K788" s="51"/>
    </row>
    <row r="789">
      <c r="I789" s="53"/>
      <c r="J789" s="51"/>
      <c r="K789" s="51"/>
    </row>
    <row r="790">
      <c r="I790" s="53"/>
      <c r="J790" s="51"/>
      <c r="K790" s="51"/>
    </row>
    <row r="791">
      <c r="I791" s="53"/>
      <c r="J791" s="51"/>
      <c r="K791" s="51"/>
    </row>
    <row r="792">
      <c r="I792" s="53"/>
      <c r="J792" s="51"/>
      <c r="K792" s="51"/>
    </row>
    <row r="793">
      <c r="I793" s="53"/>
      <c r="J793" s="51"/>
      <c r="K793" s="51"/>
    </row>
    <row r="794">
      <c r="I794" s="53"/>
      <c r="J794" s="51"/>
      <c r="K794" s="51"/>
    </row>
    <row r="795">
      <c r="I795" s="53"/>
      <c r="J795" s="51"/>
      <c r="K795" s="51"/>
    </row>
    <row r="796">
      <c r="I796" s="53"/>
      <c r="J796" s="51"/>
      <c r="K796" s="51"/>
    </row>
    <row r="797">
      <c r="I797" s="53"/>
      <c r="J797" s="51"/>
      <c r="K797" s="51"/>
    </row>
    <row r="798">
      <c r="I798" s="53"/>
      <c r="J798" s="51"/>
      <c r="K798" s="51"/>
    </row>
    <row r="799">
      <c r="I799" s="53"/>
      <c r="J799" s="51"/>
      <c r="K799" s="51"/>
    </row>
    <row r="800">
      <c r="I800" s="53"/>
      <c r="J800" s="51"/>
      <c r="K800" s="51"/>
    </row>
    <row r="801">
      <c r="I801" s="53"/>
      <c r="J801" s="51"/>
      <c r="K801" s="51"/>
    </row>
    <row r="802">
      <c r="I802" s="53"/>
      <c r="J802" s="51"/>
      <c r="K802" s="51"/>
    </row>
    <row r="803">
      <c r="I803" s="53"/>
      <c r="J803" s="51"/>
      <c r="K803" s="51"/>
    </row>
    <row r="804">
      <c r="I804" s="53"/>
      <c r="J804" s="51"/>
      <c r="K804" s="51"/>
    </row>
    <row r="805">
      <c r="I805" s="53"/>
      <c r="J805" s="51"/>
      <c r="K805" s="51"/>
    </row>
    <row r="806">
      <c r="I806" s="53"/>
      <c r="J806" s="51"/>
      <c r="K806" s="51"/>
    </row>
    <row r="807">
      <c r="I807" s="53"/>
      <c r="J807" s="51"/>
      <c r="K807" s="51"/>
    </row>
    <row r="808">
      <c r="I808" s="53"/>
      <c r="J808" s="51"/>
      <c r="K808" s="51"/>
    </row>
    <row r="809">
      <c r="I809" s="53"/>
      <c r="J809" s="51"/>
      <c r="K809" s="51"/>
    </row>
    <row r="810">
      <c r="I810" s="53"/>
      <c r="J810" s="51"/>
      <c r="K810" s="51"/>
    </row>
    <row r="811">
      <c r="I811" s="53"/>
      <c r="J811" s="51"/>
      <c r="K811" s="51"/>
    </row>
    <row r="812">
      <c r="I812" s="53"/>
      <c r="J812" s="51"/>
      <c r="K812" s="51"/>
    </row>
    <row r="813">
      <c r="I813" s="53"/>
      <c r="J813" s="51"/>
      <c r="K813" s="51"/>
    </row>
    <row r="814">
      <c r="I814" s="53"/>
      <c r="J814" s="51"/>
      <c r="K814" s="51"/>
    </row>
    <row r="815">
      <c r="I815" s="53"/>
      <c r="J815" s="51"/>
      <c r="K815" s="51"/>
    </row>
    <row r="816">
      <c r="I816" s="53"/>
      <c r="J816" s="51"/>
      <c r="K816" s="51"/>
    </row>
    <row r="817">
      <c r="I817" s="53"/>
      <c r="J817" s="51"/>
      <c r="K817" s="51"/>
    </row>
    <row r="818">
      <c r="I818" s="53"/>
      <c r="J818" s="51"/>
      <c r="K818" s="51"/>
    </row>
    <row r="819">
      <c r="I819" s="53"/>
      <c r="J819" s="51"/>
      <c r="K819" s="51"/>
    </row>
    <row r="820">
      <c r="I820" s="53"/>
      <c r="J820" s="51"/>
      <c r="K820" s="51"/>
    </row>
    <row r="821">
      <c r="I821" s="53"/>
      <c r="J821" s="51"/>
      <c r="K821" s="51"/>
    </row>
    <row r="822">
      <c r="I822" s="53"/>
      <c r="J822" s="51"/>
      <c r="K822" s="51"/>
    </row>
    <row r="823">
      <c r="I823" s="53"/>
      <c r="J823" s="51"/>
      <c r="K823" s="51"/>
    </row>
    <row r="824">
      <c r="I824" s="53"/>
      <c r="J824" s="51"/>
      <c r="K824" s="51"/>
    </row>
    <row r="825">
      <c r="I825" s="53"/>
      <c r="J825" s="51"/>
      <c r="K825" s="51"/>
    </row>
    <row r="826">
      <c r="I826" s="53"/>
      <c r="J826" s="51"/>
      <c r="K826" s="51"/>
    </row>
    <row r="827">
      <c r="I827" s="53"/>
      <c r="J827" s="51"/>
      <c r="K827" s="51"/>
    </row>
    <row r="828">
      <c r="I828" s="53"/>
      <c r="J828" s="51"/>
      <c r="K828" s="51"/>
    </row>
    <row r="829">
      <c r="I829" s="53"/>
      <c r="J829" s="51"/>
      <c r="K829" s="51"/>
    </row>
    <row r="830">
      <c r="I830" s="53"/>
      <c r="J830" s="51"/>
      <c r="K830" s="51"/>
    </row>
    <row r="831">
      <c r="I831" s="53"/>
      <c r="J831" s="51"/>
      <c r="K831" s="51"/>
    </row>
    <row r="832">
      <c r="I832" s="53"/>
      <c r="J832" s="51"/>
      <c r="K832" s="51"/>
    </row>
    <row r="833">
      <c r="I833" s="53"/>
      <c r="J833" s="51"/>
      <c r="K833" s="51"/>
    </row>
    <row r="834">
      <c r="I834" s="53"/>
      <c r="J834" s="51"/>
      <c r="K834" s="51"/>
    </row>
    <row r="835">
      <c r="I835" s="53"/>
      <c r="J835" s="51"/>
      <c r="K835" s="51"/>
    </row>
    <row r="836">
      <c r="I836" s="53"/>
      <c r="J836" s="51"/>
      <c r="K836" s="51"/>
    </row>
    <row r="837">
      <c r="I837" s="53"/>
      <c r="J837" s="51"/>
      <c r="K837" s="51"/>
    </row>
    <row r="838">
      <c r="I838" s="53"/>
      <c r="J838" s="51"/>
      <c r="K838" s="51"/>
    </row>
    <row r="839">
      <c r="I839" s="53"/>
      <c r="J839" s="51"/>
      <c r="K839" s="51"/>
    </row>
    <row r="840">
      <c r="I840" s="53"/>
      <c r="J840" s="51"/>
      <c r="K840" s="51"/>
    </row>
    <row r="841">
      <c r="I841" s="53"/>
      <c r="J841" s="51"/>
      <c r="K841" s="51"/>
    </row>
    <row r="842">
      <c r="I842" s="53"/>
      <c r="J842" s="51"/>
      <c r="K842" s="51"/>
    </row>
    <row r="843">
      <c r="I843" s="53"/>
      <c r="J843" s="51"/>
      <c r="K843" s="51"/>
    </row>
    <row r="844">
      <c r="I844" s="53"/>
      <c r="J844" s="51"/>
      <c r="K844" s="51"/>
    </row>
    <row r="845">
      <c r="I845" s="53"/>
      <c r="J845" s="51"/>
      <c r="K845" s="51"/>
    </row>
    <row r="846">
      <c r="I846" s="53"/>
      <c r="J846" s="51"/>
      <c r="K846" s="51"/>
    </row>
    <row r="847">
      <c r="I847" s="53"/>
      <c r="J847" s="51"/>
      <c r="K847" s="51"/>
    </row>
    <row r="848">
      <c r="I848" s="53"/>
      <c r="J848" s="51"/>
      <c r="K848" s="51"/>
    </row>
    <row r="849">
      <c r="I849" s="53"/>
      <c r="J849" s="51"/>
      <c r="K849" s="51"/>
    </row>
    <row r="850">
      <c r="I850" s="53"/>
      <c r="J850" s="51"/>
      <c r="K850" s="51"/>
    </row>
    <row r="851">
      <c r="I851" s="53"/>
      <c r="J851" s="51"/>
      <c r="K851" s="51"/>
    </row>
    <row r="852">
      <c r="I852" s="53"/>
      <c r="J852" s="51"/>
      <c r="K852" s="51"/>
    </row>
    <row r="853">
      <c r="I853" s="53"/>
      <c r="J853" s="51"/>
      <c r="K853" s="51"/>
    </row>
    <row r="854">
      <c r="I854" s="53"/>
      <c r="J854" s="51"/>
      <c r="K854" s="51"/>
    </row>
    <row r="855">
      <c r="I855" s="53"/>
      <c r="J855" s="51"/>
      <c r="K855" s="51"/>
    </row>
    <row r="856">
      <c r="I856" s="53"/>
      <c r="J856" s="51"/>
      <c r="K856" s="51"/>
    </row>
    <row r="857">
      <c r="I857" s="53"/>
      <c r="J857" s="51"/>
      <c r="K857" s="51"/>
    </row>
    <row r="858">
      <c r="I858" s="53"/>
      <c r="J858" s="51"/>
      <c r="K858" s="51"/>
    </row>
    <row r="859">
      <c r="I859" s="53"/>
      <c r="J859" s="51"/>
      <c r="K859" s="51"/>
    </row>
    <row r="860">
      <c r="I860" s="53"/>
      <c r="J860" s="51"/>
      <c r="K860" s="51"/>
    </row>
    <row r="861">
      <c r="I861" s="53"/>
      <c r="J861" s="51"/>
      <c r="K861" s="51"/>
    </row>
    <row r="862">
      <c r="I862" s="53"/>
      <c r="J862" s="51"/>
      <c r="K862" s="51"/>
    </row>
    <row r="863">
      <c r="I863" s="53"/>
      <c r="J863" s="51"/>
      <c r="K863" s="51"/>
    </row>
    <row r="864">
      <c r="I864" s="53"/>
      <c r="J864" s="51"/>
      <c r="K864" s="51"/>
    </row>
    <row r="865">
      <c r="I865" s="53"/>
      <c r="J865" s="51"/>
      <c r="K865" s="51"/>
    </row>
    <row r="866">
      <c r="I866" s="53"/>
      <c r="J866" s="51"/>
      <c r="K866" s="51"/>
    </row>
    <row r="867">
      <c r="I867" s="53"/>
      <c r="J867" s="51"/>
      <c r="K867" s="51"/>
    </row>
    <row r="868">
      <c r="I868" s="53"/>
      <c r="J868" s="51"/>
      <c r="K868" s="51"/>
    </row>
    <row r="869">
      <c r="I869" s="53"/>
      <c r="J869" s="51"/>
      <c r="K869" s="51"/>
    </row>
    <row r="870">
      <c r="I870" s="53"/>
      <c r="J870" s="51"/>
      <c r="K870" s="51"/>
    </row>
    <row r="871">
      <c r="I871" s="53"/>
      <c r="J871" s="51"/>
      <c r="K871" s="51"/>
    </row>
    <row r="872">
      <c r="I872" s="53"/>
      <c r="J872" s="51"/>
      <c r="K872" s="51"/>
    </row>
    <row r="873">
      <c r="I873" s="53"/>
      <c r="J873" s="51"/>
      <c r="K873" s="51"/>
    </row>
    <row r="874">
      <c r="I874" s="53"/>
      <c r="J874" s="51"/>
      <c r="K874" s="51"/>
    </row>
    <row r="875">
      <c r="I875" s="53"/>
      <c r="J875" s="51"/>
      <c r="K875" s="51"/>
    </row>
    <row r="876">
      <c r="I876" s="53"/>
      <c r="J876" s="51"/>
      <c r="K876" s="51"/>
    </row>
    <row r="877">
      <c r="I877" s="53"/>
      <c r="J877" s="51"/>
      <c r="K877" s="51"/>
    </row>
    <row r="878">
      <c r="I878" s="53"/>
      <c r="J878" s="51"/>
      <c r="K878" s="51"/>
    </row>
    <row r="879">
      <c r="I879" s="53"/>
      <c r="J879" s="51"/>
      <c r="K879" s="51"/>
    </row>
    <row r="880">
      <c r="I880" s="53"/>
      <c r="J880" s="51"/>
      <c r="K880" s="51"/>
    </row>
    <row r="881">
      <c r="I881" s="53"/>
      <c r="J881" s="51"/>
      <c r="K881" s="51"/>
    </row>
    <row r="882">
      <c r="I882" s="53"/>
      <c r="J882" s="51"/>
      <c r="K882" s="51"/>
    </row>
    <row r="883">
      <c r="I883" s="53"/>
      <c r="J883" s="51"/>
      <c r="K883" s="51"/>
    </row>
    <row r="884">
      <c r="I884" s="53"/>
      <c r="J884" s="51"/>
      <c r="K884" s="51"/>
    </row>
    <row r="885">
      <c r="I885" s="53"/>
      <c r="J885" s="51"/>
      <c r="K885" s="51"/>
    </row>
    <row r="886">
      <c r="I886" s="53"/>
      <c r="J886" s="51"/>
      <c r="K886" s="51"/>
    </row>
    <row r="887">
      <c r="I887" s="53"/>
      <c r="J887" s="51"/>
      <c r="K887" s="51"/>
    </row>
    <row r="888">
      <c r="I888" s="53"/>
      <c r="J888" s="51"/>
      <c r="K888" s="51"/>
    </row>
    <row r="889">
      <c r="I889" s="53"/>
      <c r="J889" s="51"/>
      <c r="K889" s="51"/>
    </row>
    <row r="890">
      <c r="I890" s="53"/>
      <c r="J890" s="51"/>
      <c r="K890" s="51"/>
    </row>
    <row r="891">
      <c r="I891" s="53"/>
      <c r="J891" s="51"/>
      <c r="K891" s="51"/>
    </row>
    <row r="892">
      <c r="I892" s="53"/>
      <c r="J892" s="51"/>
      <c r="K892" s="51"/>
    </row>
    <row r="893">
      <c r="I893" s="53"/>
      <c r="J893" s="51"/>
      <c r="K893" s="51"/>
    </row>
    <row r="894">
      <c r="I894" s="53"/>
      <c r="J894" s="51"/>
      <c r="K894" s="51"/>
    </row>
    <row r="895">
      <c r="I895" s="53"/>
      <c r="J895" s="51"/>
      <c r="K895" s="51"/>
    </row>
    <row r="896">
      <c r="I896" s="53"/>
      <c r="J896" s="51"/>
      <c r="K896" s="51"/>
    </row>
    <row r="897">
      <c r="I897" s="53"/>
      <c r="J897" s="51"/>
      <c r="K897" s="51"/>
    </row>
    <row r="898">
      <c r="I898" s="53"/>
      <c r="J898" s="51"/>
      <c r="K898" s="51"/>
    </row>
    <row r="899">
      <c r="I899" s="53"/>
      <c r="J899" s="51"/>
      <c r="K899" s="51"/>
    </row>
    <row r="900">
      <c r="I900" s="53"/>
      <c r="J900" s="51"/>
      <c r="K900" s="51"/>
    </row>
    <row r="901">
      <c r="I901" s="53"/>
      <c r="J901" s="51"/>
      <c r="K901" s="51"/>
    </row>
    <row r="902">
      <c r="I902" s="53"/>
      <c r="J902" s="51"/>
      <c r="K902" s="51"/>
    </row>
    <row r="903">
      <c r="I903" s="53"/>
      <c r="J903" s="51"/>
      <c r="K903" s="51"/>
    </row>
    <row r="904">
      <c r="I904" s="53"/>
      <c r="J904" s="51"/>
      <c r="K904" s="51"/>
    </row>
    <row r="905">
      <c r="I905" s="53"/>
      <c r="J905" s="51"/>
      <c r="K905" s="51"/>
    </row>
    <row r="906">
      <c r="I906" s="53"/>
      <c r="J906" s="51"/>
      <c r="K906" s="51"/>
    </row>
    <row r="907">
      <c r="I907" s="53"/>
      <c r="J907" s="51"/>
      <c r="K907" s="51"/>
    </row>
    <row r="908">
      <c r="I908" s="53"/>
      <c r="J908" s="51"/>
      <c r="K908" s="51"/>
    </row>
    <row r="909">
      <c r="I909" s="53"/>
      <c r="J909" s="51"/>
      <c r="K909" s="51"/>
    </row>
    <row r="910">
      <c r="I910" s="53"/>
      <c r="J910" s="51"/>
      <c r="K910" s="51"/>
    </row>
    <row r="911">
      <c r="I911" s="53"/>
      <c r="J911" s="51"/>
      <c r="K911" s="51"/>
    </row>
    <row r="912">
      <c r="I912" s="53"/>
      <c r="J912" s="51"/>
      <c r="K912" s="51"/>
    </row>
    <row r="913">
      <c r="I913" s="53"/>
      <c r="J913" s="51"/>
      <c r="K913" s="51"/>
    </row>
    <row r="914">
      <c r="I914" s="53"/>
      <c r="J914" s="51"/>
      <c r="K914" s="51"/>
    </row>
    <row r="915">
      <c r="I915" s="53"/>
      <c r="J915" s="51"/>
      <c r="K915" s="51"/>
    </row>
    <row r="916">
      <c r="I916" s="53"/>
      <c r="J916" s="51"/>
      <c r="K916" s="51"/>
    </row>
    <row r="917">
      <c r="I917" s="53"/>
      <c r="J917" s="51"/>
      <c r="K917" s="51"/>
    </row>
    <row r="918">
      <c r="I918" s="53"/>
      <c r="J918" s="51"/>
      <c r="K918" s="51"/>
    </row>
    <row r="919">
      <c r="I919" s="53"/>
      <c r="J919" s="51"/>
      <c r="K919" s="51"/>
    </row>
    <row r="920">
      <c r="I920" s="53"/>
      <c r="J920" s="51"/>
      <c r="K920" s="51"/>
    </row>
    <row r="921">
      <c r="I921" s="53"/>
      <c r="J921" s="51"/>
      <c r="K921" s="51"/>
    </row>
    <row r="922">
      <c r="I922" s="53"/>
      <c r="J922" s="51"/>
      <c r="K922" s="51"/>
    </row>
    <row r="923">
      <c r="I923" s="53"/>
      <c r="J923" s="51"/>
      <c r="K923" s="51"/>
    </row>
    <row r="924">
      <c r="I924" s="53"/>
      <c r="J924" s="51"/>
      <c r="K924" s="51"/>
    </row>
    <row r="925">
      <c r="I925" s="53"/>
      <c r="J925" s="51"/>
      <c r="K925" s="51"/>
    </row>
    <row r="926">
      <c r="I926" s="53"/>
      <c r="J926" s="51"/>
      <c r="K926" s="51"/>
    </row>
    <row r="927">
      <c r="I927" s="53"/>
      <c r="J927" s="51"/>
      <c r="K927" s="51"/>
    </row>
    <row r="928">
      <c r="I928" s="53"/>
      <c r="J928" s="51"/>
      <c r="K928" s="51"/>
    </row>
    <row r="929">
      <c r="I929" s="53"/>
      <c r="J929" s="51"/>
      <c r="K929" s="51"/>
    </row>
    <row r="930">
      <c r="I930" s="53"/>
      <c r="J930" s="51"/>
      <c r="K930" s="51"/>
    </row>
    <row r="931">
      <c r="I931" s="53"/>
      <c r="J931" s="51"/>
      <c r="K931" s="51"/>
    </row>
    <row r="932">
      <c r="I932" s="53"/>
      <c r="J932" s="51"/>
      <c r="K932" s="51"/>
    </row>
    <row r="933">
      <c r="I933" s="53"/>
      <c r="J933" s="51"/>
      <c r="K933" s="51"/>
    </row>
    <row r="934">
      <c r="I934" s="53"/>
      <c r="J934" s="51"/>
      <c r="K934" s="51"/>
    </row>
    <row r="935">
      <c r="I935" s="53"/>
      <c r="J935" s="51"/>
      <c r="K935" s="51"/>
    </row>
    <row r="936">
      <c r="I936" s="53"/>
      <c r="J936" s="51"/>
      <c r="K936" s="51"/>
    </row>
    <row r="937">
      <c r="I937" s="53"/>
      <c r="J937" s="51"/>
      <c r="K937" s="51"/>
    </row>
    <row r="938">
      <c r="I938" s="53"/>
      <c r="J938" s="51"/>
      <c r="K938" s="51"/>
    </row>
    <row r="939">
      <c r="I939" s="53"/>
      <c r="J939" s="51"/>
      <c r="K939" s="51"/>
    </row>
    <row r="940">
      <c r="I940" s="53"/>
      <c r="J940" s="51"/>
      <c r="K940" s="51"/>
    </row>
    <row r="941">
      <c r="I941" s="53"/>
      <c r="J941" s="51"/>
      <c r="K941" s="51"/>
    </row>
    <row r="942">
      <c r="I942" s="53"/>
      <c r="J942" s="51"/>
      <c r="K942" s="51"/>
    </row>
    <row r="943">
      <c r="I943" s="53"/>
      <c r="J943" s="51"/>
      <c r="K943" s="51"/>
    </row>
    <row r="944">
      <c r="I944" s="53"/>
      <c r="J944" s="51"/>
      <c r="K944" s="51"/>
    </row>
    <row r="945">
      <c r="I945" s="53"/>
      <c r="J945" s="51"/>
      <c r="K945" s="51"/>
    </row>
    <row r="946">
      <c r="I946" s="53"/>
      <c r="J946" s="51"/>
      <c r="K946" s="51"/>
    </row>
    <row r="947">
      <c r="I947" s="53"/>
      <c r="J947" s="51"/>
      <c r="K947" s="51"/>
    </row>
    <row r="948">
      <c r="I948" s="53"/>
      <c r="J948" s="51"/>
      <c r="K948" s="51"/>
    </row>
    <row r="949">
      <c r="I949" s="53"/>
      <c r="J949" s="51"/>
      <c r="K949" s="51"/>
    </row>
    <row r="950">
      <c r="I950" s="53"/>
      <c r="J950" s="51"/>
      <c r="K950" s="51"/>
    </row>
    <row r="951">
      <c r="I951" s="53"/>
      <c r="J951" s="51"/>
      <c r="K951" s="51"/>
    </row>
    <row r="952">
      <c r="I952" s="53"/>
      <c r="J952" s="51"/>
      <c r="K952" s="51"/>
    </row>
    <row r="953">
      <c r="I953" s="53"/>
      <c r="J953" s="51"/>
      <c r="K953" s="51"/>
    </row>
    <row r="954">
      <c r="I954" s="53"/>
      <c r="J954" s="51"/>
      <c r="K954" s="51"/>
    </row>
    <row r="955">
      <c r="I955" s="53"/>
      <c r="J955" s="51"/>
      <c r="K955" s="51"/>
    </row>
    <row r="956">
      <c r="I956" s="53"/>
      <c r="J956" s="51"/>
      <c r="K956" s="51"/>
    </row>
    <row r="957">
      <c r="I957" s="53"/>
      <c r="J957" s="51"/>
      <c r="K957" s="51"/>
    </row>
    <row r="958">
      <c r="I958" s="53"/>
      <c r="J958" s="51"/>
      <c r="K958" s="51"/>
    </row>
    <row r="959">
      <c r="I959" s="53"/>
      <c r="J959" s="51"/>
      <c r="K959" s="51"/>
    </row>
    <row r="960">
      <c r="I960" s="53"/>
      <c r="J960" s="51"/>
      <c r="K960" s="51"/>
    </row>
    <row r="961">
      <c r="I961" s="53"/>
      <c r="J961" s="51"/>
      <c r="K961" s="51"/>
    </row>
    <row r="962">
      <c r="I962" s="53"/>
      <c r="J962" s="51"/>
      <c r="K962" s="51"/>
    </row>
    <row r="963">
      <c r="I963" s="53"/>
      <c r="J963" s="51"/>
      <c r="K963" s="51"/>
    </row>
    <row r="964">
      <c r="I964" s="53"/>
      <c r="J964" s="51"/>
      <c r="K964" s="51"/>
    </row>
    <row r="965">
      <c r="I965" s="53"/>
      <c r="J965" s="51"/>
      <c r="K965" s="51"/>
    </row>
    <row r="966">
      <c r="I966" s="53"/>
      <c r="J966" s="51"/>
      <c r="K966" s="51"/>
    </row>
    <row r="967">
      <c r="I967" s="53"/>
      <c r="J967" s="51"/>
      <c r="K967" s="51"/>
    </row>
    <row r="968">
      <c r="I968" s="53"/>
      <c r="J968" s="51"/>
      <c r="K968" s="51"/>
    </row>
    <row r="969">
      <c r="I969" s="53"/>
      <c r="J969" s="51"/>
      <c r="K969" s="51"/>
    </row>
    <row r="970">
      <c r="I970" s="53"/>
      <c r="J970" s="51"/>
      <c r="K970" s="51"/>
    </row>
    <row r="971">
      <c r="I971" s="53"/>
      <c r="J971" s="51"/>
      <c r="K971" s="51"/>
    </row>
    <row r="972">
      <c r="I972" s="53"/>
      <c r="J972" s="51"/>
      <c r="K972" s="51"/>
    </row>
    <row r="973">
      <c r="I973" s="53"/>
      <c r="J973" s="51"/>
      <c r="K973" s="51"/>
    </row>
    <row r="974">
      <c r="I974" s="53"/>
      <c r="J974" s="51"/>
      <c r="K974" s="51"/>
    </row>
    <row r="975">
      <c r="I975" s="53"/>
      <c r="J975" s="51"/>
      <c r="K975" s="51"/>
    </row>
    <row r="976">
      <c r="I976" s="53"/>
      <c r="J976" s="51"/>
      <c r="K976" s="51"/>
    </row>
    <row r="977">
      <c r="I977" s="53"/>
      <c r="J977" s="51"/>
      <c r="K977" s="51"/>
    </row>
    <row r="978">
      <c r="I978" s="53"/>
      <c r="J978" s="51"/>
      <c r="K978" s="51"/>
    </row>
    <row r="979">
      <c r="I979" s="53"/>
      <c r="J979" s="51"/>
      <c r="K979" s="51"/>
    </row>
    <row r="980">
      <c r="I980" s="53"/>
      <c r="J980" s="51"/>
      <c r="K980" s="51"/>
    </row>
    <row r="981">
      <c r="I981" s="53"/>
      <c r="J981" s="51"/>
      <c r="K981" s="51"/>
    </row>
    <row r="982">
      <c r="I982" s="53"/>
      <c r="J982" s="51"/>
      <c r="K982" s="51"/>
    </row>
    <row r="983">
      <c r="I983" s="53"/>
      <c r="J983" s="51"/>
      <c r="K983" s="51"/>
    </row>
    <row r="984">
      <c r="I984" s="53"/>
      <c r="J984" s="51"/>
      <c r="K984" s="51"/>
    </row>
    <row r="985">
      <c r="I985" s="53"/>
      <c r="J985" s="51"/>
      <c r="K985" s="51"/>
    </row>
    <row r="986">
      <c r="I986" s="53"/>
      <c r="J986" s="51"/>
      <c r="K986" s="51"/>
    </row>
    <row r="987">
      <c r="I987" s="53"/>
      <c r="J987" s="51"/>
      <c r="K987" s="51"/>
    </row>
    <row r="988">
      <c r="I988" s="53"/>
      <c r="J988" s="51"/>
      <c r="K988" s="51"/>
    </row>
    <row r="989">
      <c r="I989" s="53"/>
      <c r="J989" s="51"/>
      <c r="K989" s="51"/>
    </row>
    <row r="990">
      <c r="I990" s="53"/>
      <c r="J990" s="51"/>
      <c r="K990" s="51"/>
    </row>
    <row r="991">
      <c r="I991" s="53"/>
      <c r="J991" s="51"/>
      <c r="K991" s="51"/>
    </row>
    <row r="992">
      <c r="I992" s="53"/>
      <c r="J992" s="51"/>
      <c r="K992" s="51"/>
    </row>
    <row r="993">
      <c r="I993" s="53"/>
      <c r="J993" s="51"/>
      <c r="K993" s="51"/>
    </row>
    <row r="994">
      <c r="I994" s="53"/>
      <c r="J994" s="51"/>
      <c r="K994" s="51"/>
    </row>
    <row r="995">
      <c r="I995" s="53"/>
      <c r="J995" s="51"/>
      <c r="K995" s="51"/>
    </row>
    <row r="996">
      <c r="I996" s="53"/>
      <c r="J996" s="51"/>
      <c r="K996" s="51"/>
    </row>
    <row r="997">
      <c r="I997" s="53"/>
      <c r="J997" s="51"/>
      <c r="K997" s="51"/>
    </row>
    <row r="998">
      <c r="I998" s="53"/>
      <c r="J998" s="51"/>
      <c r="K998" s="51"/>
    </row>
    <row r="999">
      <c r="I999" s="53"/>
      <c r="J999" s="51"/>
      <c r="K999" s="51"/>
    </row>
    <row r="1000">
      <c r="I1000" s="53"/>
      <c r="J1000" s="51"/>
      <c r="K1000" s="51"/>
    </row>
  </sheetData>
  <autoFilter ref="$A$1:$AL$143">
    <sortState ref="A1:AL143">
      <sortCondition descending="1" ref="G1:G143"/>
      <sortCondition descending="1" ref="M1:M143"/>
      <sortCondition descending="1" ref="K1:K143"/>
    </sortState>
  </autoFilter>
  <conditionalFormatting sqref="AB1:AC1">
    <cfRule type="colorScale" priority="1">
      <colorScale>
        <cfvo type="min"/>
        <cfvo type="percentile" val="50"/>
        <cfvo type="max"/>
        <color rgb="FF57BB8A"/>
        <color rgb="FFFFFFFF"/>
        <color rgb="FFE67C73"/>
      </colorScale>
    </cfRule>
  </conditionalFormatting>
  <conditionalFormatting sqref="J1:K143 P1:Q143">
    <cfRule type="colorScale" priority="2">
      <colorScale>
        <cfvo type="formula" val="0"/>
        <cfvo type="formula" val="1"/>
        <cfvo type="formula" val="2"/>
        <color rgb="FFE67C73"/>
        <color rgb="FFFFFFFF"/>
        <color rgb="FF57BB8A"/>
      </colorScale>
    </cfRule>
  </conditionalFormatting>
  <conditionalFormatting sqref="AG1:AG143">
    <cfRule type="colorScale" priority="3">
      <colorScale>
        <cfvo type="min"/>
        <cfvo type="formula" val="3000"/>
        <cfvo type="formula" val="6000"/>
        <color rgb="FFE67C73"/>
        <color rgb="FFFFFFFF"/>
        <color rgb="FF57BB8A"/>
      </colorScale>
    </cfRule>
  </conditionalFormatting>
  <conditionalFormatting sqref="G1:G143 I1:I143">
    <cfRule type="colorScale" priority="4">
      <colorScale>
        <cfvo type="min"/>
        <cfvo type="formula" val="10"/>
        <cfvo type="max"/>
        <color rgb="FFE67C73"/>
        <color rgb="FFFFFFFF"/>
        <color rgb="FF57BB8A"/>
      </colorScale>
    </cfRule>
  </conditionalFormatting>
  <conditionalFormatting sqref="AK1:AK143 AL1">
    <cfRule type="colorScale" priority="5">
      <colorScale>
        <cfvo type="min"/>
        <cfvo type="percentile" val="50"/>
        <cfvo type="max"/>
        <color rgb="FFE67C73"/>
        <color rgb="FFFFFFFF"/>
        <color rgb="FF57BB8A"/>
      </colorScale>
    </cfRule>
  </conditionalFormatting>
  <conditionalFormatting sqref="AL1:AL143">
    <cfRule type="colorScale" priority="6">
      <colorScale>
        <cfvo type="min"/>
        <cfvo type="percentile" val="50"/>
        <cfvo type="max"/>
        <color rgb="FFE67C73"/>
        <color rgb="FFFFFFFF"/>
        <color rgb="FF57BB8A"/>
      </colorScale>
    </cfRule>
  </conditionalFormatting>
  <conditionalFormatting sqref="E1:E143">
    <cfRule type="colorScale" priority="7">
      <colorScale>
        <cfvo type="formula" val="45500"/>
        <cfvo type="percentile" val="50"/>
        <cfvo type="max"/>
        <color rgb="FFE67C73"/>
        <color rgb="FFFFFFFF"/>
        <color rgb="FF57BB8A"/>
      </colorScale>
    </cfRule>
  </conditionalFormatting>
  <conditionalFormatting sqref="V1:W143 AB1:AC1">
    <cfRule type="colorScale" priority="8">
      <colorScale>
        <cfvo type="formula" val="-0.1"/>
        <cfvo type="formula" val="0"/>
        <cfvo type="formula" val="0.1"/>
        <color rgb="FFE67C73"/>
        <color rgb="FFFFFFFF"/>
        <color rgb="FF57BB8A"/>
      </colorScale>
    </cfRule>
  </conditionalFormatting>
  <conditionalFormatting sqref="M1:M143 O1:O143">
    <cfRule type="colorScale" priority="9">
      <colorScale>
        <cfvo type="min"/>
        <cfvo type="percentile" val="80"/>
        <cfvo type="max"/>
        <color rgb="FFE67C73"/>
        <color rgb="FFFFFFFF"/>
        <color rgb="FF57BB8A"/>
      </colorScale>
    </cfRule>
  </conditionalFormatting>
  <conditionalFormatting sqref="AB1:AC143">
    <cfRule type="colorScale" priority="10">
      <colorScale>
        <cfvo type="formula" val="-10"/>
        <cfvo type="formula" val="0"/>
        <cfvo type="formula" val="10"/>
        <color rgb="FF57BB8A"/>
        <color rgb="FFFFFFFF"/>
        <color rgb="FFE67C73"/>
      </colorScale>
    </cfRule>
  </conditionalFormatting>
  <conditionalFormatting sqref="A2:A300">
    <cfRule type="expression" dxfId="0" priority="11">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9"/>
    <hyperlink r:id="rId107" ref="A111"/>
    <hyperlink r:id="rId108" ref="A113"/>
    <hyperlink r:id="rId109" ref="A114"/>
    <hyperlink r:id="rId110" ref="A115"/>
    <hyperlink r:id="rId111" ref="A117"/>
    <hyperlink r:id="rId112" ref="A118"/>
    <hyperlink r:id="rId113" ref="A120"/>
    <hyperlink r:id="rId114" ref="A121"/>
    <hyperlink r:id="rId115" ref="A122"/>
    <hyperlink r:id="rId116" ref="A126"/>
    <hyperlink r:id="rId117" ref="A127"/>
    <hyperlink r:id="rId118" ref="A136"/>
    <hyperlink r:id="rId119" ref="A137"/>
    <hyperlink r:id="rId120" ref="A138"/>
    <hyperlink r:id="rId121" ref="A139"/>
    <hyperlink r:id="rId122" ref="A140"/>
    <hyperlink r:id="rId123" ref="A141"/>
    <hyperlink r:id="rId124" ref="A142"/>
    <hyperlink r:id="rId125" ref="A143"/>
  </hyperlinks>
  <drawing r:id="rId12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8.5"/>
    <col customWidth="1" min="2" max="2" width="6.25"/>
    <col customWidth="1" min="3" max="3" width="12.88"/>
    <col customWidth="1" min="4" max="4" width="9.0"/>
    <col customWidth="1" min="5" max="5" width="14.0"/>
    <col customWidth="1" min="6" max="6" width="5.0"/>
    <col customWidth="1" min="7" max="7" width="3.88"/>
    <col customWidth="1" min="8" max="8" width="6.0"/>
    <col customWidth="1" min="9" max="9" width="7.25"/>
    <col customWidth="1" min="10" max="10" width="6.25"/>
    <col customWidth="1" min="11" max="12" width="6.88"/>
    <col customWidth="1" min="13" max="13" width="6.75"/>
    <col customWidth="1" min="14" max="15" width="4.5"/>
    <col customWidth="1" min="16" max="17" width="5.88"/>
    <col customWidth="1" min="18" max="29" width="4.88"/>
    <col customWidth="1" min="30" max="30" width="8.0"/>
    <col customWidth="1" min="31" max="38" width="4.88"/>
  </cols>
  <sheetData>
    <row r="1">
      <c r="A1" s="1" t="s">
        <v>61</v>
      </c>
      <c r="B1" s="1" t="s">
        <v>29</v>
      </c>
      <c r="C1" s="1" t="s">
        <v>63</v>
      </c>
      <c r="D1" s="1" t="s">
        <v>243</v>
      </c>
      <c r="E1" s="32" t="s">
        <v>246</v>
      </c>
      <c r="F1" s="62" t="s">
        <v>65</v>
      </c>
      <c r="G1" s="62" t="s">
        <v>247</v>
      </c>
      <c r="H1" s="62" t="s">
        <v>248</v>
      </c>
      <c r="I1" s="62" t="s">
        <v>249</v>
      </c>
      <c r="J1" s="63" t="s">
        <v>250</v>
      </c>
      <c r="K1" s="63" t="s">
        <v>251</v>
      </c>
      <c r="L1" s="64" t="s">
        <v>64</v>
      </c>
      <c r="M1" s="62" t="s">
        <v>252</v>
      </c>
      <c r="N1" s="62" t="s">
        <v>253</v>
      </c>
      <c r="O1" s="62" t="s">
        <v>254</v>
      </c>
      <c r="P1" s="63" t="s">
        <v>255</v>
      </c>
      <c r="Q1" s="63" t="s">
        <v>256</v>
      </c>
      <c r="R1" s="64" t="s">
        <v>257</v>
      </c>
      <c r="S1" s="62" t="s">
        <v>258</v>
      </c>
      <c r="T1" s="62" t="s">
        <v>259</v>
      </c>
      <c r="U1" s="62" t="s">
        <v>260</v>
      </c>
      <c r="V1" s="63" t="s">
        <v>261</v>
      </c>
      <c r="W1" s="63" t="s">
        <v>262</v>
      </c>
      <c r="X1" s="64" t="s">
        <v>263</v>
      </c>
      <c r="Y1" s="62" t="s">
        <v>264</v>
      </c>
      <c r="Z1" s="62" t="s">
        <v>265</v>
      </c>
      <c r="AA1" s="62" t="s">
        <v>266</v>
      </c>
      <c r="AB1" s="63" t="s">
        <v>267</v>
      </c>
      <c r="AC1" s="63" t="s">
        <v>268</v>
      </c>
      <c r="AD1" s="46" t="s">
        <v>269</v>
      </c>
      <c r="AE1" s="47" t="s">
        <v>270</v>
      </c>
      <c r="AF1" s="47" t="s">
        <v>271</v>
      </c>
      <c r="AG1" s="47" t="s">
        <v>272</v>
      </c>
      <c r="AH1" s="47" t="s">
        <v>273</v>
      </c>
      <c r="AI1" s="47" t="s">
        <v>274</v>
      </c>
      <c r="AJ1" s="1" t="s">
        <v>275</v>
      </c>
      <c r="AK1" s="1" t="s">
        <v>244</v>
      </c>
      <c r="AL1" s="1" t="s">
        <v>245</v>
      </c>
    </row>
    <row r="2">
      <c r="A2" s="3" t="s">
        <v>1226</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"),"【理科のコツ】太陽と1年の動きと南中高度 - 中学受験 理科の個別指導 | 受験理科専門塾「しゅん吉クエスト」")</f>
        <v>【理科のコツ】太陽と1年の動きと南中高度 - 中学受験 理科の個別指導 | 受験理科専門塾「しゅん吉クエスト」</v>
      </c>
      <c r="D2" s="1" t="str">
        <f>IFERROR(__xludf.DUMMYFUNCTION("IFERROR(
  VLOOKUP(
    A2,
    IMPORTRANGE(
      ""1ZygntHC1J6IxzKbTidmOyf5nUyW4GCLurHCjexrLm_o        "",
      ""HTMLキャッシュ!A:F""
    ),
    6,
    FALSE
  ),
  0
)
"),"「太陽の1年の動きと南中高度を解説！公転や自転の違い、地軸の傾きが四季に与える影響を図でわかりやすく説明します。南中高度の計算方法や夏至・冬至・春分・秋分での違いも詳しく解説し、テスト対策に役立つ知識が身につきます。動画をチェックして自然の仕組みを楽しく学びましょう！」")</f>
        <v>「太陽の1年の動きと南中高度を解説！公転や自転の違い、地軸の傾きが四季に与える影響を図でわかりやすく説明します。南中高度の計算方法や夏至・冬至・春分・秋分での違いも詳しく解説し、テスト対策に役立つ知識が身につきます。動画をチェックして自然の仕組みを楽しく学びましょう！」</v>
      </c>
      <c r="E2" s="32">
        <f>IFERROR(__xludf.DUMMYFUNCTION("IFERROR(
  VLOOKUP(
    A2,
    IMPORTRANGE(
      ""1ZygntHC1J6IxzKbTidmOyf5nUyW4GCLurHCjexrLm_o        "",
      ""HTMLキャッシュ!A:F""
    ),
    3,
    FALSE
  ),
  0
)
"),46069.99914351852)</f>
        <v>46069.99914</v>
      </c>
      <c r="F2" s="49">
        <f>IFERROR(__xludf.DUMMYFUNCTION("IFERROR(
  VLOOKUP(
    A2,
    IMPORTRANGE(
      ""1ZHMy3vVUd_0MrSduXTe1etBb1HNpAlGwQr006ljwMiM"",
      ""GSC最新!A:F""
    ),
    2,
    FALSE
  ),
  0
)
"),376.0)</f>
        <v>376</v>
      </c>
      <c r="G2" s="49">
        <f>IFERROR(__xludf.DUMMYFUNCTION("IFERROR(
  VLOOKUP(
    A2,
    IMPORTRANGE(
      ""1ZHMy3vVUd_0MrSduXTe1etBb1HNpAlGwQr006ljwMiM"",
      ""GSC最新!A:F""
    ),
    3,
    FALSE
  ),
  0
)
"),1110.0)</f>
        <v>1110</v>
      </c>
      <c r="H2" s="49">
        <f>IFERROR(__xludf.DUMMYFUNCTION("IFERROR(
  VLOOKUP(
    A2,
    IMPORTRANGE(
      ""1ZHMy3vVUd_0MrSduXTe1etBb1HNpAlGwQr006ljwMiM"",
      ""GSC最新!A:F""
    ),
    4,
    FALSE
  ),
  0
)
"),11.0)</f>
        <v>11</v>
      </c>
      <c r="I2" s="49">
        <f>IFERROR(__xludf.DUMMYFUNCTION("IFERROR(
  VLOOKUP(
    A2,
    IMPORTRANGE(
      ""1ZHMy3vVUd_0MrSduXTe1etBb1HNpAlGwQr006ljwMiM"",
      ""GSC最新!A:F""
    ),
    5,
    FALSE
  ),
  0
)
"),42.0)</f>
        <v>42</v>
      </c>
      <c r="J2" s="50">
        <f t="shared" ref="J2:K2" si="1">IFERROR(F2/H2,"-")</f>
        <v>34.18181818</v>
      </c>
      <c r="K2" s="50">
        <f t="shared" si="1"/>
        <v>26.42857143</v>
      </c>
      <c r="L2" s="6">
        <f>IFERROR(__xludf.DUMMYFUNCTION("IFERROR(
  VLOOKUP(
    A2,
    IMPORTRANGE(
      ""1ZHMy3vVUd_0MrSduXTe1etBb1HNpAlGwQr006ljwMiM"",
      ""GSC最新!A:R""
    ),
    7,
    FALSE
  ),
  0
)
"),60444.0)</f>
        <v>60444</v>
      </c>
      <c r="M2" s="6">
        <f>IFERROR(__xludf.DUMMYFUNCTION("IFERROR(
  VLOOKUP(
    A2,
    IMPORTRANGE(
      ""1ZHMy3vVUd_0MrSduXTe1etBb1HNpAlGwQr006ljwMiM"",
      ""GSC最新!A:R""
    ),
    10,
    FALSE
  ),
  0
)
"),172848.0)</f>
        <v>172848</v>
      </c>
      <c r="N2" s="6">
        <f>IFERROR(__xludf.DUMMYFUNCTION("IFERROR(
  VLOOKUP(
    A2,
    IMPORTRANGE(
      ""1ZHMy3vVUd_0MrSduXTe1etBb1HNpAlGwQr006ljwMiM"",
      ""GSC最新!A:R""
    ),
    13,
    FALSE
  ),
  0
)
"),2863.0)</f>
        <v>2863</v>
      </c>
      <c r="O2" s="6">
        <f>IFERROR(__xludf.DUMMYFUNCTION("IFERROR(
  VLOOKUP(
    A2,
    IMPORTRANGE(
      ""1ZHMy3vVUd_0MrSduXTe1etBb1HNpAlGwQr006ljwMiM"",
      ""GSC最新!A:R""
    ),
    16,
    FALSE
  ),
  0
)
"),8013.0)</f>
        <v>8013</v>
      </c>
      <c r="P2" s="51">
        <f t="shared" ref="P2:Q2" si="2">IFERROR(L2/N2,"-")</f>
        <v>21.11212015</v>
      </c>
      <c r="Q2" s="51">
        <f t="shared" si="2"/>
        <v>21.57094721</v>
      </c>
      <c r="R2" s="9">
        <f>IFERROR(__xludf.DUMMYFUNCTION("IFERROR(
  VLOOKUP(
    A2,
    IMPORTRANGE(
      ""1ZHMy3vVUd_0MrSduXTe1etBb1HNpAlGwQr006ljwMiM"",
      ""GSC最新!A:R""
    ),
    8,
    FALSE
  ),
  0
)
"),0.006220633975249818)</f>
        <v>0.006220633975</v>
      </c>
      <c r="S2" s="9">
        <f>IFERROR(__xludf.DUMMYFUNCTION("IFERROR(
  VLOOKUP(
    A2,
    IMPORTRANGE(
      ""1ZHMy3vVUd_0MrSduXTe1etBb1HNpAlGwQr006ljwMiM"",
      ""GSC最新!A:R""
    ),
    11,
    FALSE
  ),
  0
)
"),0.006421827270202721)</f>
        <v>0.00642182727</v>
      </c>
      <c r="T2" s="9">
        <f>IFERROR(__xludf.DUMMYFUNCTION("IFERROR(
  VLOOKUP(
    A2,
    IMPORTRANGE(
      ""1ZHMy3vVUd_0MrSduXTe1etBb1HNpAlGwQr006ljwMiM"",
      ""GSC最新!A:R""
    ),
    14,
    FALSE
  ),
  0
)
"),0.0038421236465246244)</f>
        <v>0.003842123647</v>
      </c>
      <c r="U2" s="9">
        <f>IFERROR(__xludf.DUMMYFUNCTION("IFERROR(
  VLOOKUP(
    A2,
    IMPORTRANGE(
      ""1ZHMy3vVUd_0MrSduXTe1etBb1HNpAlGwQr006ljwMiM"",
      ""GSC最新!A:R""
    ),
    17,
    FALSE
  ),
  0
)
"),0.005241482590789966)</f>
        <v>0.005241482591</v>
      </c>
      <c r="V2" s="9">
        <f t="shared" ref="V2:W2" si="3">IFERROR(R2-T2,"-")</f>
        <v>0.002378510329</v>
      </c>
      <c r="W2" s="9">
        <f t="shared" si="3"/>
        <v>0.001180344679</v>
      </c>
      <c r="X2" s="65">
        <f>IFERROR(__xludf.DUMMYFUNCTION("IFERROR(
  VLOOKUP(
    A2,
    IMPORTRANGE(
      ""1ZHMy3vVUd_0MrSduXTe1etBb1HNpAlGwQr006ljwMiM"",
      ""GSC最新!A:R""
    ),
    9,
    FALSE
  ),
  0
)
"),3.7120640592945535)</f>
        <v>3.712064059</v>
      </c>
      <c r="Y2" s="65">
        <f>IFERROR(__xludf.DUMMYFUNCTION("IFERROR(
  VLOOKUP(
    A2,
    IMPORTRANGE(
      ""1ZHMy3vVUd_0MrSduXTe1etBb1HNpAlGwQr006ljwMiM"",
      ""GSC最新!A:R""
    ),
    12,
    FALSE
  ),
  0
)
"),3.8928191243173194)</f>
        <v>3.892819124</v>
      </c>
      <c r="Z2" s="65">
        <f>IFERROR(__xludf.DUMMYFUNCTION("IFERROR(
  VLOOKUP(
    A2,
    IMPORTRANGE(
      ""1ZHMy3vVUd_0MrSduXTe1etBb1HNpAlGwQr006ljwMiM"",
      ""GSC最新!A:R""
    ),
    15,
    FALSE
  ),
  0
)
"),6.939573873559204)</f>
        <v>6.939573874</v>
      </c>
      <c r="AA2" s="65">
        <f>IFERROR(__xludf.DUMMYFUNCTION("IFERROR(
  VLOOKUP(
    A2,
    IMPORTRANGE(
      ""1ZHMy3vVUd_0MrSduXTe1etBb1HNpAlGwQr006ljwMiM"",
      ""GSC最新!A:R""
    ),
    18,
    FALSE
  ),
  0
)
"),6.7517783601647325)</f>
        <v>6.75177836</v>
      </c>
      <c r="AB2" s="65">
        <f t="shared" ref="AB2:AC2" si="4">X2-Z2</f>
        <v>-3.227509814</v>
      </c>
      <c r="AC2" s="65">
        <f t="shared" si="4"/>
        <v>-2.858959236</v>
      </c>
      <c r="AD2" s="53">
        <f>IFERROR(__xludf.DUMMYFUNCTION("IFERROR(
  VLOOKUP(
    A2,
    IMPORTRANGE(
      ""1ZHMy3vVUd_0MrSduXTe1etBb1HNpAlGwQr006ljwMiM"",
      ""GSC最新!A:F""
    ),
    6,
    FALSE
  ),
  0
)
"),46081.0)</f>
        <v>46081</v>
      </c>
      <c r="AE2" s="54">
        <f>IFERROR(__xludf.DUMMYFUNCTION("IFERROR(
  VLOOKUP(
    A2,
    IMPORTRANGE(
      ""1SCYQd7_cobOYqT0r_F0IqD4tE4rYn5y8Eup4PJTH8es"",
      ""Snapshot!A:M""
    ),
    5,
    FALSE
  ),
  ""-""
)
"),8.0)</f>
        <v>8</v>
      </c>
      <c r="AF2" s="54">
        <f>IFERROR(__xludf.DUMMYFUNCTION("IFERROR(
  VLOOKUP(
    A2,
    IMPORTRANGE(
      ""1SCYQd7_cobOYqT0r_F0IqD4tE4rYn5y8Eup4PJTH8es"",
      ""Snapshot!A:M""
    ),
    6,
    FALSE
  ),
  0
)
"),5.0)</f>
        <v>5</v>
      </c>
      <c r="AG2" s="54">
        <f>IFERROR(__xludf.DUMMYFUNCTION("IFERROR(
  VLOOKUP(
    A2,
    IMPORTRANGE(
      ""1SCYQd7_cobOYqT0r_F0IqD4tE4rYn5y8Eup4PJTH8es"",
      ""Snapshot!A:M""
    ),
    7,
    FALSE
  ),
  0
)
"),4023.0)</f>
        <v>4023</v>
      </c>
      <c r="AH2" s="54">
        <f>IFERROR(__xludf.DUMMYFUNCTION("IFERROR(
  VLOOKUP(
    A2,
    IMPORTRANGE(
      ""1SCYQd7_cobOYqT0r_F0IqD4tE4rYn5y8Eup4PJTH8es"",
      ""Snapshot!A:M""
    ),
    8,
    FALSE
  ),
  0
)
"),5.0)</f>
        <v>5</v>
      </c>
      <c r="AI2" s="54">
        <f>IFERROR(__xludf.DUMMYFUNCTION("IFERROR(
  VLOOKUP(
    A2,
    IMPORTRANGE(
      ""1SCYQd7_cobOYqT0r_F0IqD4tE4rYn5y8Eup4PJTH8es"",
      ""Snapshot!A:M""
    ),
    9,
    FALSE
  ),
  0
)
"),5.0)</f>
        <v>5</v>
      </c>
      <c r="AJ2" s="54">
        <f>IFERROR(__xludf.DUMMYFUNCTION("IFERROR(
  VLOOKUP(
    A2,
    IMPORTRANGE(
      ""1SCYQd7_cobOYqT0r_F0IqD4tE4rYn5y8Eup4PJTH8es"",
      ""Snapshot!A:M""
    ),
    13,
    FALSE
  ),
  0
)
"),2.0)</f>
        <v>2</v>
      </c>
      <c r="AK2" s="49">
        <f t="shared" ref="AK2:AL2" si="5">LEN(C2)</f>
        <v>55</v>
      </c>
      <c r="AL2" s="49">
        <f t="shared" si="5"/>
        <v>135</v>
      </c>
    </row>
    <row r="3">
      <c r="A3" s="3" t="s">
        <v>1227</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"),"【理科のコツ】植物の分類 - 中学受験 理科の個別指導 | 受験理科専門塾「しゅん吉クエスト」")</f>
        <v>【理科のコツ】植物の分類 - 中学受験 理科の個別指導 | 受験理科専門塾「しゅん吉クエスト」</v>
      </c>
      <c r="D3" s="1" t="str">
        <f>IFERROR(__xludf.DUMMYFUNCTION("IFERROR(
  VLOOKUP(
    A3,
    IMPORTRANGE(
      ""1ZygntHC1J6IxzKbTidmOyf5nUyW4GCLurHCjexrLm_o        "",
      ""HTMLキャッシュ!A:F""
    ),
    6,
    FALSE
  ),
  0
)
"),"「植物の分類をわかりやすく解説！種子植物と胞子植物の違いや、被子植物の双子葉類と単子葉類、さらに離弁花と合弁花まで、テストに狙われやすいポイントを図表で丁寧に説明します。実体験や観察を通じて楽しく学べる方法も紹介中！詳しくは動画でチェックして植物分類をマスターしましょう！」")</f>
        <v>「植物の分類をわかりやすく解説！種子植物と胞子植物の違いや、被子植物の双子葉類と単子葉類、さらに離弁花と合弁花まで、テストに狙われやすいポイントを図表で丁寧に説明します。実体験や観察を通じて楽しく学べる方法も紹介中！詳しくは動画でチェックして植物分類をマスターしましょう！」</v>
      </c>
      <c r="E3" s="32">
        <f>IFERROR(__xludf.DUMMYFUNCTION("IFERROR(
  VLOOKUP(
    A3,
    IMPORTRANGE(
      ""1ZygntHC1J6IxzKbTidmOyf5nUyW4GCLurHCjexrLm_o        "",
      ""HTMLキャッシュ!A:F""
    ),
    3,
    FALSE
  ),
  0
)
"),46034.08204861111)</f>
        <v>46034.08205</v>
      </c>
      <c r="F3" s="49">
        <f>IFERROR(__xludf.DUMMYFUNCTION("IFERROR(
  VLOOKUP(
    A3,
    IMPORTRANGE(
      ""1ZHMy3vVUd_0MrSduXTe1etBb1HNpAlGwQr006ljwMiM"",
      ""GSC最新!A:F""
    ),
    2,
    FALSE
  ),
  0
)
"),399.0)</f>
        <v>399</v>
      </c>
      <c r="G3" s="49">
        <f>IFERROR(__xludf.DUMMYFUNCTION("IFERROR(
  VLOOKUP(
    A3,
    IMPORTRANGE(
      ""1ZHMy3vVUd_0MrSduXTe1etBb1HNpAlGwQr006ljwMiM"",
      ""GSC最新!A:F""
    ),
    3,
    FALSE
  ),
  0
)
"),942.0)</f>
        <v>942</v>
      </c>
      <c r="H3" s="49">
        <f>IFERROR(__xludf.DUMMYFUNCTION("IFERROR(
  VLOOKUP(
    A3,
    IMPORTRANGE(
      ""1ZHMy3vVUd_0MrSduXTe1etBb1HNpAlGwQr006ljwMiM"",
      ""GSC最新!A:F""
    ),
    4,
    FALSE
  ),
  0
)
"),65.0)</f>
        <v>65</v>
      </c>
      <c r="I3" s="49">
        <f>IFERROR(__xludf.DUMMYFUNCTION("IFERROR(
  VLOOKUP(
    A3,
    IMPORTRANGE(
      ""1ZHMy3vVUd_0MrSduXTe1etBb1HNpAlGwQr006ljwMiM"",
      ""GSC最新!A:F""
    ),
    5,
    FALSE
  ),
  0
)
"),125.0)</f>
        <v>125</v>
      </c>
      <c r="J3" s="50">
        <f t="shared" ref="J3:K3" si="6">IFERROR(F3/H3,"-")</f>
        <v>6.138461538</v>
      </c>
      <c r="K3" s="50">
        <f t="shared" si="6"/>
        <v>7.536</v>
      </c>
      <c r="L3" s="6">
        <f>IFERROR(__xludf.DUMMYFUNCTION("IFERROR(
  VLOOKUP(
    A3,
    IMPORTRANGE(
      ""1ZHMy3vVUd_0MrSduXTe1etBb1HNpAlGwQr006ljwMiM"",
      ""GSC最新!A:R""
    ),
    7,
    FALSE
  ),
  0
)
"),28516.0)</f>
        <v>28516</v>
      </c>
      <c r="M3" s="6">
        <f>IFERROR(__xludf.DUMMYFUNCTION("IFERROR(
  VLOOKUP(
    A3,
    IMPORTRANGE(
      ""1ZHMy3vVUd_0MrSduXTe1etBb1HNpAlGwQr006ljwMiM"",
      ""GSC最新!A:R""
    ),
    10,
    FALSE
  ),
  0
)
"),80370.0)</f>
        <v>80370</v>
      </c>
      <c r="N3" s="6">
        <f>IFERROR(__xludf.DUMMYFUNCTION("IFERROR(
  VLOOKUP(
    A3,
    IMPORTRANGE(
      ""1ZHMy3vVUd_0MrSduXTe1etBb1HNpAlGwQr006ljwMiM"",
      ""GSC最新!A:R""
    ),
    13,
    FALSE
  ),
  0
)
"),9628.0)</f>
        <v>9628</v>
      </c>
      <c r="O3" s="6">
        <f>IFERROR(__xludf.DUMMYFUNCTION("IFERROR(
  VLOOKUP(
    A3,
    IMPORTRANGE(
      ""1ZHMy3vVUd_0MrSduXTe1etBb1HNpAlGwQr006ljwMiM"",
      ""GSC最新!A:R""
    ),
    16,
    FALSE
  ),
  0
)
"),22928.0)</f>
        <v>22928</v>
      </c>
      <c r="P3" s="51">
        <f t="shared" ref="P3:Q3" si="7">IFERROR(L3/N3,"-")</f>
        <v>2.961778147</v>
      </c>
      <c r="Q3" s="51">
        <f t="shared" si="7"/>
        <v>3.505321005</v>
      </c>
      <c r="R3" s="9">
        <f>IFERROR(__xludf.DUMMYFUNCTION("IFERROR(
  VLOOKUP(
    A3,
    IMPORTRANGE(
      ""1ZHMy3vVUd_0MrSduXTe1etBb1HNpAlGwQr006ljwMiM"",
      ""GSC最新!A:R""
    ),
    8,
    FALSE
  ),
  0
)
"),0.013992144760836022)</f>
        <v>0.01399214476</v>
      </c>
      <c r="S3" s="9">
        <f>IFERROR(__xludf.DUMMYFUNCTION("IFERROR(
  VLOOKUP(
    A3,
    IMPORTRANGE(
      ""1ZHMy3vVUd_0MrSduXTe1etBb1HNpAlGwQr006ljwMiM"",
      ""GSC最新!A:R""
    ),
    11,
    FALSE
  ),
  0
)
"),0.011720791340052258)</f>
        <v>0.01172079134</v>
      </c>
      <c r="T3" s="9">
        <f>IFERROR(__xludf.DUMMYFUNCTION("IFERROR(
  VLOOKUP(
    A3,
    IMPORTRANGE(
      ""1ZHMy3vVUd_0MrSduXTe1etBb1HNpAlGwQr006ljwMiM"",
      ""GSC最新!A:R""
    ),
    14,
    FALSE
  ),
  0
)
"),0.006751142501038638)</f>
        <v>0.006751142501</v>
      </c>
      <c r="U3" s="9">
        <f>IFERROR(__xludf.DUMMYFUNCTION("IFERROR(
  VLOOKUP(
    A3,
    IMPORTRANGE(
      ""1ZHMy3vVUd_0MrSduXTe1etBb1HNpAlGwQr006ljwMiM"",
      ""GSC最新!A:R""
    ),
    17,
    FALSE
  ),
  0
)
"),0.005451849267271458)</f>
        <v>0.005451849267</v>
      </c>
      <c r="V3" s="9">
        <f t="shared" ref="V3:W3" si="8">IFERROR(R3-T3,"-")</f>
        <v>0.00724100226</v>
      </c>
      <c r="W3" s="9">
        <f t="shared" si="8"/>
        <v>0.006268942073</v>
      </c>
      <c r="X3" s="65">
        <f>IFERROR(__xludf.DUMMYFUNCTION("IFERROR(
  VLOOKUP(
    A3,
    IMPORTRANGE(
      ""1ZHMy3vVUd_0MrSduXTe1etBb1HNpAlGwQr006ljwMiM"",
      ""GSC最新!A:R""
    ),
    9,
    FALSE
  ),
  0
)
"),3.219596016271567)</f>
        <v>3.219596016</v>
      </c>
      <c r="Y3" s="65">
        <f>IFERROR(__xludf.DUMMYFUNCTION("IFERROR(
  VLOOKUP(
    A3,
    IMPORTRANGE(
      ""1ZHMy3vVUd_0MrSduXTe1etBb1HNpAlGwQr006ljwMiM"",
      ""GSC最新!A:R""
    ),
    12,
    FALSE
  ),
  0
)
"),3.1851188254323755)</f>
        <v>3.185118825</v>
      </c>
      <c r="Z3" s="65">
        <f>IFERROR(__xludf.DUMMYFUNCTION("IFERROR(
  VLOOKUP(
    A3,
    IMPORTRANGE(
      ""1ZHMy3vVUd_0MrSduXTe1etBb1HNpAlGwQr006ljwMiM"",
      ""GSC最新!A:R""
    ),
    15,
    FALSE
  ),
  0
)
"),3.7121936019941835)</f>
        <v>3.712193602</v>
      </c>
      <c r="AA3" s="65">
        <f>IFERROR(__xludf.DUMMYFUNCTION("IFERROR(
  VLOOKUP(
    A3,
    IMPORTRANGE(
      ""1ZHMy3vVUd_0MrSduXTe1etBb1HNpAlGwQr006ljwMiM"",
      ""GSC最新!A:R""
    ),
    18,
    FALSE
  ),
  0
)
"),3.928166434054431)</f>
        <v>3.928166434</v>
      </c>
      <c r="AB3" s="65">
        <f t="shared" ref="AB3:AC3" si="9">X3-Z3</f>
        <v>-0.4925975857</v>
      </c>
      <c r="AC3" s="65">
        <f t="shared" si="9"/>
        <v>-0.7430476086</v>
      </c>
      <c r="AD3" s="53">
        <f>IFERROR(__xludf.DUMMYFUNCTION("IFERROR(
  VLOOKUP(
    A3,
    IMPORTRANGE(
      ""1ZHMy3vVUd_0MrSduXTe1etBb1HNpAlGwQr006ljwMiM"",
      ""GSC最新!A:F""
    ),
    6,
    FALSE
  ),
  0
)
"),46081.0)</f>
        <v>46081</v>
      </c>
      <c r="AE3" s="54">
        <f>IFERROR(__xludf.DUMMYFUNCTION("IFERROR(
  VLOOKUP(
    A3,
    IMPORTRANGE(
      ""1SCYQd7_cobOYqT0r_F0IqD4tE4rYn5y8Eup4PJTH8es"",
      ""Snapshot!A:M""
    ),
    5,
    FALSE
  ),
  ""-""
)
"),13.0)</f>
        <v>13</v>
      </c>
      <c r="AF3" s="54">
        <f>IFERROR(__xludf.DUMMYFUNCTION("IFERROR(
  VLOOKUP(
    A3,
    IMPORTRANGE(
      ""1SCYQd7_cobOYqT0r_F0IqD4tE4rYn5y8Eup4PJTH8es"",
      ""Snapshot!A:M""
    ),
    6,
    FALSE
  ),
  0
)
"),3.0)</f>
        <v>3</v>
      </c>
      <c r="AG3" s="54">
        <f>IFERROR(__xludf.DUMMYFUNCTION("IFERROR(
  VLOOKUP(
    A3,
    IMPORTRANGE(
      ""1SCYQd7_cobOYqT0r_F0IqD4tE4rYn5y8Eup4PJTH8es"",
      ""Snapshot!A:M""
    ),
    7,
    FALSE
  ),
  0
)
"),4919.0)</f>
        <v>4919</v>
      </c>
      <c r="AH3" s="54">
        <f>IFERROR(__xludf.DUMMYFUNCTION("IFERROR(
  VLOOKUP(
    A3,
    IMPORTRANGE(
      ""1SCYQd7_cobOYqT0r_F0IqD4tE4rYn5y8Eup4PJTH8es"",
      ""Snapshot!A:M""
    ),
    8,
    FALSE
  ),
  0
)
"),6.0)</f>
        <v>6</v>
      </c>
      <c r="AI3" s="54">
        <f>IFERROR(__xludf.DUMMYFUNCTION("IFERROR(
  VLOOKUP(
    A3,
    IMPORTRANGE(
      ""1SCYQd7_cobOYqT0r_F0IqD4tE4rYn5y8Eup4PJTH8es"",
      ""Snapshot!A:M""
    ),
    9,
    FALSE
  ),
  0
)
"),4.0)</f>
        <v>4</v>
      </c>
      <c r="AJ3" s="54">
        <f>IFERROR(__xludf.DUMMYFUNCTION("IFERROR(
  VLOOKUP(
    A3,
    IMPORTRANGE(
      ""1SCYQd7_cobOYqT0r_F0IqD4tE4rYn5y8Eup4PJTH8es"",
      ""Snapshot!A:M""
    ),
    13,
    FALSE
  ),
  0
)
"),2.0)</f>
        <v>2</v>
      </c>
      <c r="AK3" s="49">
        <f t="shared" ref="AK3:AL3" si="10">LEN(C3)</f>
        <v>47</v>
      </c>
      <c r="AL3" s="49">
        <f t="shared" si="10"/>
        <v>137</v>
      </c>
    </row>
    <row r="4">
      <c r="A4" s="3" t="s">
        <v>1228</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"),"【理科のコツ】種子のつくり - 中学受験 理科の個別指導 | 受験理科専門塾「しゅん吉クエスト」")</f>
        <v>【理科のコツ】種子のつくり - 中学受験 理科の個別指導 | 受験理科専門塾「しゅん吉クエスト」</v>
      </c>
      <c r="D4" s="1" t="str">
        <f>IFERROR(__xludf.DUMMYFUNCTION("IFERROR(
  VLOOKUP(
    A4,
    IMPORTRANGE(
      ""1ZygntHC1J6IxzKbTidmOyf5nUyW4GCLurHCjexrLm_o        "",
      ""HTMLキャッシュ!A:F""
    ),
    6,
    FALSE
  ),
  0
)
"),"「種子の種類と覚え方を徹底解説！受験理科専門塾『しゅん吉クエスト』の生物攻略講座では、有胚乳種子と無胚乳種子の違いを楽しい例えを交えながら分かりやすく説明。受験対策にも役立つ効率的な学び方を紹介しています。ぜひ動画で詳細をチェックして知識を深めましょう！」")</f>
        <v>「種子の種類と覚え方を徹底解説！受験理科専門塾『しゅん吉クエスト』の生物攻略講座では、有胚乳種子と無胚乳種子の違いを楽しい例えを交えながら分かりやすく説明。受験対策にも役立つ効率的な学び方を紹介しています。ぜひ動画で詳細をチェックして知識を深めましょう！」</v>
      </c>
      <c r="E4" s="32">
        <f>IFERROR(__xludf.DUMMYFUNCTION("IFERROR(
  VLOOKUP(
    A4,
    IMPORTRANGE(
      ""1ZygntHC1J6IxzKbTidmOyf5nUyW4GCLurHCjexrLm_o        "",
      ""HTMLキャッシュ!A:F""
    ),
    3,
    FALSE
  ),
  0
)
"),46035.17223379629)</f>
        <v>46035.17223</v>
      </c>
      <c r="F4" s="49">
        <f>IFERROR(__xludf.DUMMYFUNCTION("IFERROR(
  VLOOKUP(
    A4,
    IMPORTRANGE(
      ""1ZHMy3vVUd_0MrSduXTe1etBb1HNpAlGwQr006ljwMiM"",
      ""GSC最新!A:F""
    ),
    2,
    FALSE
  ),
  0
)
"),371.0)</f>
        <v>371</v>
      </c>
      <c r="G4" s="49">
        <f>IFERROR(__xludf.DUMMYFUNCTION("IFERROR(
  VLOOKUP(
    A4,
    IMPORTRANGE(
      ""1ZHMy3vVUd_0MrSduXTe1etBb1HNpAlGwQr006ljwMiM"",
      ""GSC最新!A:F""
    ),
    3,
    FALSE
  ),
  0
)
"),777.0)</f>
        <v>777</v>
      </c>
      <c r="H4" s="49">
        <f>IFERROR(__xludf.DUMMYFUNCTION("IFERROR(
  VLOOKUP(
    A4,
    IMPORTRANGE(
      ""1ZHMy3vVUd_0MrSduXTe1etBb1HNpAlGwQr006ljwMiM"",
      ""GSC最新!A:F""
    ),
    4,
    FALSE
  ),
  0
)
"),129.0)</f>
        <v>129</v>
      </c>
      <c r="I4" s="49">
        <f>IFERROR(__xludf.DUMMYFUNCTION("IFERROR(
  VLOOKUP(
    A4,
    IMPORTRANGE(
      ""1ZHMy3vVUd_0MrSduXTe1etBb1HNpAlGwQr006ljwMiM"",
      ""GSC最新!A:F""
    ),
    5,
    FALSE
  ),
  0
)
"),293.0)</f>
        <v>293</v>
      </c>
      <c r="J4" s="50">
        <f t="shared" ref="J4:K4" si="11">IFERROR(F4/H4,"-")</f>
        <v>2.875968992</v>
      </c>
      <c r="K4" s="50">
        <f t="shared" si="11"/>
        <v>2.651877133</v>
      </c>
      <c r="L4" s="6">
        <f>IFERROR(__xludf.DUMMYFUNCTION("IFERROR(
  VLOOKUP(
    A4,
    IMPORTRANGE(
      ""1ZHMy3vVUd_0MrSduXTe1etBb1HNpAlGwQr006ljwMiM"",
      ""GSC最新!A:R""
    ),
    7,
    FALSE
  ),
  0
)
"),18073.0)</f>
        <v>18073</v>
      </c>
      <c r="M4" s="6">
        <f>IFERROR(__xludf.DUMMYFUNCTION("IFERROR(
  VLOOKUP(
    A4,
    IMPORTRANGE(
      ""1ZHMy3vVUd_0MrSduXTe1etBb1HNpAlGwQr006ljwMiM"",
      ""GSC最新!A:R""
    ),
    10,
    FALSE
  ),
  0
)
"),44402.0)</f>
        <v>44402</v>
      </c>
      <c r="N4" s="6">
        <f>IFERROR(__xludf.DUMMYFUNCTION("IFERROR(
  VLOOKUP(
    A4,
    IMPORTRANGE(
      ""1ZHMy3vVUd_0MrSduXTe1etBb1HNpAlGwQr006ljwMiM"",
      ""GSC最新!A:R""
    ),
    13,
    FALSE
  ),
  0
)
"),9201.0)</f>
        <v>9201</v>
      </c>
      <c r="O4" s="6">
        <f>IFERROR(__xludf.DUMMYFUNCTION("IFERROR(
  VLOOKUP(
    A4,
    IMPORTRANGE(
      ""1ZHMy3vVUd_0MrSduXTe1etBb1HNpAlGwQr006ljwMiM"",
      ""GSC最新!A:R""
    ),
    16,
    FALSE
  ),
  0
)
"),19854.0)</f>
        <v>19854</v>
      </c>
      <c r="P4" s="51">
        <f t="shared" ref="P4:Q4" si="12">IFERROR(L4/N4,"-")</f>
        <v>1.964243017</v>
      </c>
      <c r="Q4" s="51">
        <f t="shared" si="12"/>
        <v>2.236425909</v>
      </c>
      <c r="R4" s="9">
        <f>IFERROR(__xludf.DUMMYFUNCTION("IFERROR(
  VLOOKUP(
    A4,
    IMPORTRANGE(
      ""1ZHMy3vVUd_0MrSduXTe1etBb1HNpAlGwQr006ljwMiM"",
      ""GSC最新!A:R""
    ),
    8,
    FALSE
  ),
  0
)
"),0.020527859237536656)</f>
        <v>0.02052785924</v>
      </c>
      <c r="S4" s="9">
        <f>IFERROR(__xludf.DUMMYFUNCTION("IFERROR(
  VLOOKUP(
    A4,
    IMPORTRANGE(
      ""1ZHMy3vVUd_0MrSduXTe1etBb1HNpAlGwQr006ljwMiM"",
      ""GSC最新!A:R""
    ),
    11,
    FALSE
  ),
  0
)
"),0.017499211747218593)</f>
        <v>0.01749921175</v>
      </c>
      <c r="T4" s="9">
        <f>IFERROR(__xludf.DUMMYFUNCTION("IFERROR(
  VLOOKUP(
    A4,
    IMPORTRANGE(
      ""1ZHMy3vVUd_0MrSduXTe1etBb1HNpAlGwQr006ljwMiM"",
      ""GSC最新!A:R""
    ),
    14,
    FALSE
  ),
  0
)
"),0.014020215194000651)</f>
        <v>0.01402021519</v>
      </c>
      <c r="U4" s="9">
        <f>IFERROR(__xludf.DUMMYFUNCTION("IFERROR(
  VLOOKUP(
    A4,
    IMPORTRANGE(
      ""1ZHMy3vVUd_0MrSduXTe1etBb1HNpAlGwQr006ljwMiM"",
      ""GSC最新!A:R""
    ),
    17,
    FALSE
  ),
  0
)
"),0.014757731439508412)</f>
        <v>0.01475773144</v>
      </c>
      <c r="V4" s="9">
        <f t="shared" ref="V4:W4" si="13">IFERROR(R4-T4,"-")</f>
        <v>0.006507644044</v>
      </c>
      <c r="W4" s="9">
        <f t="shared" si="13"/>
        <v>0.002741480308</v>
      </c>
      <c r="X4" s="65">
        <f>IFERROR(__xludf.DUMMYFUNCTION("IFERROR(
  VLOOKUP(
    A4,
    IMPORTRANGE(
      ""1ZHMy3vVUd_0MrSduXTe1etBb1HNpAlGwQr006ljwMiM"",
      ""GSC最新!A:R""
    ),
    9,
    FALSE
  ),
  0
)
"),3.4574226747081283)</f>
        <v>3.457422675</v>
      </c>
      <c r="Y4" s="65">
        <f>IFERROR(__xludf.DUMMYFUNCTION("IFERROR(
  VLOOKUP(
    A4,
    IMPORTRANGE(
      ""1ZHMy3vVUd_0MrSduXTe1etBb1HNpAlGwQr006ljwMiM"",
      ""GSC最新!A:R""
    ),
    12,
    FALSE
  ),
  0
)
"),3.5341426061889103)</f>
        <v>3.534142606</v>
      </c>
      <c r="Z4" s="65">
        <f>IFERROR(__xludf.DUMMYFUNCTION("IFERROR(
  VLOOKUP(
    A4,
    IMPORTRANGE(
      ""1ZHMy3vVUd_0MrSduXTe1etBb1HNpAlGwQr006ljwMiM"",
      ""GSC最新!A:R""
    ),
    15,
    FALSE
  ),
  0
)
"),4.809151179219651)</f>
        <v>4.809151179</v>
      </c>
      <c r="AA4" s="65">
        <f>IFERROR(__xludf.DUMMYFUNCTION("IFERROR(
  VLOOKUP(
    A4,
    IMPORTRANGE(
      ""1ZHMy3vVUd_0MrSduXTe1etBb1HNpAlGwQr006ljwMiM"",
      ""GSC最新!A:R""
    ),
    18,
    FALSE
  ),
  0
)
"),4.6649037977233805)</f>
        <v>4.664903798</v>
      </c>
      <c r="AB4" s="65">
        <f t="shared" ref="AB4:AC4" si="14">X4-Z4</f>
        <v>-1.351728505</v>
      </c>
      <c r="AC4" s="65">
        <f t="shared" si="14"/>
        <v>-1.130761192</v>
      </c>
      <c r="AD4" s="53">
        <f>IFERROR(__xludf.DUMMYFUNCTION("IFERROR(
  VLOOKUP(
    A4,
    IMPORTRANGE(
      ""1ZHMy3vVUd_0MrSduXTe1etBb1HNpAlGwQr006ljwMiM"",
      ""GSC最新!A:F""
    ),
    6,
    FALSE
  ),
  0
)
"),46081.0)</f>
        <v>46081</v>
      </c>
      <c r="AE4" s="54">
        <f>IFERROR(__xludf.DUMMYFUNCTION("IFERROR(
  VLOOKUP(
    A4,
    IMPORTRANGE(
      ""1SCYQd7_cobOYqT0r_F0IqD4tE4rYn5y8Eup4PJTH8es"",
      ""Snapshot!A:M""
    ),
    5,
    FALSE
  ),
  ""-""
)
"),10.0)</f>
        <v>10</v>
      </c>
      <c r="AF4" s="54">
        <f>IFERROR(__xludf.DUMMYFUNCTION("IFERROR(
  VLOOKUP(
    A4,
    IMPORTRANGE(
      ""1SCYQd7_cobOYqT0r_F0IqD4tE4rYn5y8Eup4PJTH8es"",
      ""Snapshot!A:M""
    ),
    6,
    FALSE
  ),
  0
)
"),3.0)</f>
        <v>3</v>
      </c>
      <c r="AG4" s="54">
        <f>IFERROR(__xludf.DUMMYFUNCTION("IFERROR(
  VLOOKUP(
    A4,
    IMPORTRANGE(
      ""1SCYQd7_cobOYqT0r_F0IqD4tE4rYn5y8Eup4PJTH8es"",
      ""Snapshot!A:M""
    ),
    7,
    FALSE
  ),
  0
)
"),3309.0)</f>
        <v>3309</v>
      </c>
      <c r="AH4" s="54">
        <f>IFERROR(__xludf.DUMMYFUNCTION("IFERROR(
  VLOOKUP(
    A4,
    IMPORTRANGE(
      ""1SCYQd7_cobOYqT0r_F0IqD4tE4rYn5y8Eup4PJTH8es"",
      ""Snapshot!A:M""
    ),
    8,
    FALSE
  ),
  0
)
"),6.0)</f>
        <v>6</v>
      </c>
      <c r="AI4" s="54">
        <f>IFERROR(__xludf.DUMMYFUNCTION("IFERROR(
  VLOOKUP(
    A4,
    IMPORTRANGE(
      ""1SCYQd7_cobOYqT0r_F0IqD4tE4rYn5y8Eup4PJTH8es"",
      ""Snapshot!A:M""
    ),
    9,
    FALSE
  ),
  0
)
"),4.0)</f>
        <v>4</v>
      </c>
      <c r="AJ4" s="54">
        <f>IFERROR(__xludf.DUMMYFUNCTION("IFERROR(
  VLOOKUP(
    A4,
    IMPORTRANGE(
      ""1SCYQd7_cobOYqT0r_F0IqD4tE4rYn5y8Eup4PJTH8es"",
      ""Snapshot!A:M""
    ),
    13,
    FALSE
  ),
  0
)
"),2.0)</f>
        <v>2</v>
      </c>
      <c r="AK4" s="49">
        <f t="shared" ref="AK4:AL4" si="15">LEN(C4)</f>
        <v>48</v>
      </c>
      <c r="AL4" s="49">
        <f t="shared" si="15"/>
        <v>128</v>
      </c>
    </row>
    <row r="5">
      <c r="A5" s="3" t="s">
        <v>1229</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"),"【理科のコツ】動物の分類 - 中学受験 理科の個別指導 | 受験理科専門塾「しゅん吉クエスト」")</f>
        <v>【理科のコツ】動物の分類 - 中学受験 理科の個別指導 | 受験理科専門塾「しゅん吉クエスト」</v>
      </c>
      <c r="D5" s="1" t="str">
        <f>IFERROR(__xludf.DUMMYFUNCTION("IFERROR(
  VLOOKUP(
    A5,
    IMPORTRANGE(
      ""1ZygntHC1J6IxzKbTidmOyf5nUyW4GCLurHCjexrLm_o        "",
      ""HTMLキャッシュ!A:F""
    ),
    6,
    FALSE
  ),
  0
)
"),"「動物の分類を徹底解説！脊椎動物と無脊椎動物、恒温動物と変温動物の違いや進化の流れをわかりやすく説明します。魚類・両生類・爬虫類・鳥類・哺乳類など、テストに出やすいポイントを押さえて学習を効率化！動画で詳しくチェックして動物分類の理解を深めましょう！」")</f>
        <v>「動物の分類を徹底解説！脊椎動物と無脊椎動物、恒温動物と変温動物の違いや進化の流れをわかりやすく説明します。魚類・両生類・爬虫類・鳥類・哺乳類など、テストに出やすいポイントを押さえて学習を効率化！動画で詳しくチェックして動物分類の理解を深めましょう！」</v>
      </c>
      <c r="E5" s="32">
        <f>IFERROR(__xludf.DUMMYFUNCTION("IFERROR(
  VLOOKUP(
    A5,
    IMPORTRANGE(
      ""1ZygntHC1J6IxzKbTidmOyf5nUyW4GCLurHCjexrLm_o        "",
      ""HTMLキャッシュ!A:F""
    ),
    3,
    FALSE
  ),
  0
)
"),46030.21672453704)</f>
        <v>46030.21672</v>
      </c>
      <c r="F5" s="49">
        <f>IFERROR(__xludf.DUMMYFUNCTION("IFERROR(
  VLOOKUP(
    A5,
    IMPORTRANGE(
      ""1ZHMy3vVUd_0MrSduXTe1etBb1HNpAlGwQr006ljwMiM"",
      ""GSC最新!A:F""
    ),
    2,
    FALSE
  ),
  0
)
"),200.0)</f>
        <v>200</v>
      </c>
      <c r="G5" s="49">
        <f>IFERROR(__xludf.DUMMYFUNCTION("IFERROR(
  VLOOKUP(
    A5,
    IMPORTRANGE(
      ""1ZHMy3vVUd_0MrSduXTe1etBb1HNpAlGwQr006ljwMiM"",
      ""GSC最新!A:F""
    ),
    3,
    FALSE
  ),
  0
)
"),580.0)</f>
        <v>580</v>
      </c>
      <c r="H5" s="49">
        <f>IFERROR(__xludf.DUMMYFUNCTION("IFERROR(
  VLOOKUP(
    A5,
    IMPORTRANGE(
      ""1ZHMy3vVUd_0MrSduXTe1etBb1HNpAlGwQr006ljwMiM"",
      ""GSC最新!A:F""
    ),
    4,
    FALSE
  ),
  0
)
"),18.0)</f>
        <v>18</v>
      </c>
      <c r="I5" s="49">
        <f>IFERROR(__xludf.DUMMYFUNCTION("IFERROR(
  VLOOKUP(
    A5,
    IMPORTRANGE(
      ""1ZHMy3vVUd_0MrSduXTe1etBb1HNpAlGwQr006ljwMiM"",
      ""GSC最新!A:F""
    ),
    5,
    FALSE
  ),
  0
)
"),60.0)</f>
        <v>60</v>
      </c>
      <c r="J5" s="50">
        <f t="shared" ref="J5:K5" si="16">IFERROR(F5/H5,"-")</f>
        <v>11.11111111</v>
      </c>
      <c r="K5" s="50">
        <f t="shared" si="16"/>
        <v>9.666666667</v>
      </c>
      <c r="L5" s="6">
        <f>IFERROR(__xludf.DUMMYFUNCTION("IFERROR(
  VLOOKUP(
    A5,
    IMPORTRANGE(
      ""1ZHMy3vVUd_0MrSduXTe1etBb1HNpAlGwQr006ljwMiM"",
      ""GSC最新!A:R""
    ),
    7,
    FALSE
  ),
  0
)
"),17071.0)</f>
        <v>17071</v>
      </c>
      <c r="M5" s="6">
        <f>IFERROR(__xludf.DUMMYFUNCTION("IFERROR(
  VLOOKUP(
    A5,
    IMPORTRANGE(
      ""1ZHMy3vVUd_0MrSduXTe1etBb1HNpAlGwQr006ljwMiM"",
      ""GSC最新!A:R""
    ),
    10,
    FALSE
  ),
  0
)
"),50732.0)</f>
        <v>50732</v>
      </c>
      <c r="N5" s="6">
        <f>IFERROR(__xludf.DUMMYFUNCTION("IFERROR(
  VLOOKUP(
    A5,
    IMPORTRANGE(
      ""1ZHMy3vVUd_0MrSduXTe1etBb1HNpAlGwQr006ljwMiM"",
      ""GSC最新!A:R""
    ),
    13,
    FALSE
  ),
  0
)
"),5056.0)</f>
        <v>5056</v>
      </c>
      <c r="O5" s="6">
        <f>IFERROR(__xludf.DUMMYFUNCTION("IFERROR(
  VLOOKUP(
    A5,
    IMPORTRANGE(
      ""1ZHMy3vVUd_0MrSduXTe1etBb1HNpAlGwQr006ljwMiM"",
      ""GSC最新!A:R""
    ),
    16,
    FALSE
  ),
  0
)
"),12964.0)</f>
        <v>12964</v>
      </c>
      <c r="P5" s="51">
        <f t="shared" ref="P5:Q5" si="17">IFERROR(L5/N5,"-")</f>
        <v>3.376384494</v>
      </c>
      <c r="Q5" s="51">
        <f t="shared" si="17"/>
        <v>3.913298365</v>
      </c>
      <c r="R5" s="9">
        <f>IFERROR(__xludf.DUMMYFUNCTION("IFERROR(
  VLOOKUP(
    A5,
    IMPORTRANGE(
      ""1ZHMy3vVUd_0MrSduXTe1etBb1HNpAlGwQr006ljwMiM"",
      ""GSC最新!A:R""
    ),
    8,
    FALSE
  ),
  0
)
"),0.011715775291429911)</f>
        <v>0.01171577529</v>
      </c>
      <c r="S5" s="9">
        <f>IFERROR(__xludf.DUMMYFUNCTION("IFERROR(
  VLOOKUP(
    A5,
    IMPORTRANGE(
      ""1ZHMy3vVUd_0MrSduXTe1etBb1HNpAlGwQr006ljwMiM"",
      ""GSC最新!A:R""
    ),
    11,
    FALSE
  ),
  0
)
"),0.011432626350232594)</f>
        <v>0.01143262635</v>
      </c>
      <c r="T5" s="9">
        <f>IFERROR(__xludf.DUMMYFUNCTION("IFERROR(
  VLOOKUP(
    A5,
    IMPORTRANGE(
      ""1ZHMy3vVUd_0MrSduXTe1etBb1HNpAlGwQr006ljwMiM"",
      ""GSC最新!A:R""
    ),
    14,
    FALSE
  ),
  0
)
"),0.003560126582278481)</f>
        <v>0.003560126582</v>
      </c>
      <c r="U5" s="9">
        <f>IFERROR(__xludf.DUMMYFUNCTION("IFERROR(
  VLOOKUP(
    A5,
    IMPORTRANGE(
      ""1ZHMy3vVUd_0MrSduXTe1etBb1HNpAlGwQr006ljwMiM"",
      ""GSC最新!A:R""
    ),
    17,
    FALSE
  ),
  0
)
"),0.0046282011724776305)</f>
        <v>0.004628201172</v>
      </c>
      <c r="V5" s="9">
        <f t="shared" ref="V5:W5" si="18">IFERROR(R5-T5,"-")</f>
        <v>0.008155648709</v>
      </c>
      <c r="W5" s="9">
        <f t="shared" si="18"/>
        <v>0.006804425178</v>
      </c>
      <c r="X5" s="65">
        <f>IFERROR(__xludf.DUMMYFUNCTION("IFERROR(
  VLOOKUP(
    A5,
    IMPORTRANGE(
      ""1ZHMy3vVUd_0MrSduXTe1etBb1HNpAlGwQr006ljwMiM"",
      ""GSC最新!A:R""
    ),
    9,
    FALSE
  ),
  0
)
"),4.773651221369574)</f>
        <v>4.773651221</v>
      </c>
      <c r="Y5" s="65">
        <f>IFERROR(__xludf.DUMMYFUNCTION("IFERROR(
  VLOOKUP(
    A5,
    IMPORTRANGE(
      ""1ZHMy3vVUd_0MrSduXTe1etBb1HNpAlGwQr006ljwMiM"",
      ""GSC最新!A:R""
    ),
    12,
    FALSE
  ),
  0
)
"),4.9267720570842854)</f>
        <v>4.926772057</v>
      </c>
      <c r="Z5" s="65">
        <f>IFERROR(__xludf.DUMMYFUNCTION("IFERROR(
  VLOOKUP(
    A5,
    IMPORTRANGE(
      ""1ZHMy3vVUd_0MrSduXTe1etBb1HNpAlGwQr006ljwMiM"",
      ""GSC最新!A:R""
    ),
    15,
    FALSE
  ),
  0
)
"),6.059533227848101)</f>
        <v>6.059533228</v>
      </c>
      <c r="AA5" s="65">
        <f>IFERROR(__xludf.DUMMYFUNCTION("IFERROR(
  VLOOKUP(
    A5,
    IMPORTRANGE(
      ""1ZHMy3vVUd_0MrSduXTe1etBb1HNpAlGwQr006ljwMiM"",
      ""GSC最新!A:R""
    ),
    18,
    FALSE
  ),
  0
)
"),5.785020055538414)</f>
        <v>5.785020056</v>
      </c>
      <c r="AB5" s="65">
        <f t="shared" ref="AB5:AC5" si="19">X5-Z5</f>
        <v>-1.285882006</v>
      </c>
      <c r="AC5" s="65">
        <f t="shared" si="19"/>
        <v>-0.8582479985</v>
      </c>
      <c r="AD5" s="53">
        <f>IFERROR(__xludf.DUMMYFUNCTION("IFERROR(
  VLOOKUP(
    A5,
    IMPORTRANGE(
      ""1ZHMy3vVUd_0MrSduXTe1etBb1HNpAlGwQr006ljwMiM"",
      ""GSC最新!A:F""
    ),
    6,
    FALSE
  ),
  0
)
"),46081.0)</f>
        <v>46081</v>
      </c>
      <c r="AE5" s="54">
        <f>IFERROR(__xludf.DUMMYFUNCTION("IFERROR(
  VLOOKUP(
    A5,
    IMPORTRANGE(
      ""1SCYQd7_cobOYqT0r_F0IqD4tE4rYn5y8Eup4PJTH8es"",
      ""Snapshot!A:M""
    ),
    5,
    FALSE
  ),
  ""-""
)
"),6.0)</f>
        <v>6</v>
      </c>
      <c r="AF5" s="54">
        <f>IFERROR(__xludf.DUMMYFUNCTION("IFERROR(
  VLOOKUP(
    A5,
    IMPORTRANGE(
      ""1SCYQd7_cobOYqT0r_F0IqD4tE4rYn5y8Eup4PJTH8es"",
      ""Snapshot!A:M""
    ),
    6,
    FALSE
  ),
  0
)
"),3.0)</f>
        <v>3</v>
      </c>
      <c r="AG5" s="54">
        <f>IFERROR(__xludf.DUMMYFUNCTION("IFERROR(
  VLOOKUP(
    A5,
    IMPORTRANGE(
      ""1SCYQd7_cobOYqT0r_F0IqD4tE4rYn5y8Eup4PJTH8es"",
      ""Snapshot!A:M""
    ),
    7,
    FALSE
  ),
  0
)
"),2956.0)</f>
        <v>2956</v>
      </c>
      <c r="AH5" s="54">
        <f>IFERROR(__xludf.DUMMYFUNCTION("IFERROR(
  VLOOKUP(
    A5,
    IMPORTRANGE(
      ""1SCYQd7_cobOYqT0r_F0IqD4tE4rYn5y8Eup4PJTH8es"",
      ""Snapshot!A:M""
    ),
    8,
    FALSE
  ),
  0
)
"),2.0)</f>
        <v>2</v>
      </c>
      <c r="AI5" s="54">
        <f>IFERROR(__xludf.DUMMYFUNCTION("IFERROR(
  VLOOKUP(
    A5,
    IMPORTRANGE(
      ""1SCYQd7_cobOYqT0r_F0IqD4tE4rYn5y8Eup4PJTH8es"",
      ""Snapshot!A:M""
    ),
    9,
    FALSE
  ),
  0
)
"),2.0)</f>
        <v>2</v>
      </c>
      <c r="AJ5" s="54">
        <f>IFERROR(__xludf.DUMMYFUNCTION("IFERROR(
  VLOOKUP(
    A5,
    IMPORTRANGE(
      ""1SCYQd7_cobOYqT0r_F0IqD4tE4rYn5y8Eup4PJTH8es"",
      ""Snapshot!A:M""
    ),
    13,
    FALSE
  ),
  0
)
"),2.0)</f>
        <v>2</v>
      </c>
      <c r="AK5" s="49">
        <f t="shared" ref="AK5:AL5" si="20">LEN(C5)</f>
        <v>47</v>
      </c>
      <c r="AL5" s="49">
        <f t="shared" si="20"/>
        <v>126</v>
      </c>
    </row>
    <row r="6">
      <c r="A6" s="3" t="s">
        <v>1230</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"),"【理科のコツ】地層 - 中学受験 理科の個別指導 | 受験理科専門塾「しゅん吉クエスト」")</f>
        <v>【理科のコツ】地層 - 中学受験 理科の個別指導 | 受験理科専門塾「しゅん吉クエスト」</v>
      </c>
      <c r="D6" s="1" t="str">
        <f>IFERROR(__xludf.DUMMYFUNCTION("IFERROR(
  VLOOKUP(
    A6,
    IMPORTRANGE(
      ""1ZygntHC1J6IxzKbTidmOyf5nUyW4GCLurHCjexrLm_o        "",
      ""HTMLキャッシュ!A:F""
    ),
    6,
    FALSE
  ),
  0
)
"),"地層の仕組みと化石を徹底解説！ボーリング調査から堆積岩の種類、隆起と沈降、断層の形成まで、地層が語る歴史を学ぼう。示相化石と示準化石の違いや環境・時代の特定方法も紹介。地質学の基本を押さえ、自然の記録を読み解く力を身につけよう！")</f>
        <v>地層の仕組みと化石を徹底解説！ボーリング調査から堆積岩の種類、隆起と沈降、断層の形成まで、地層が語る歴史を学ぼう。示相化石と示準化石の違いや環境・時代の特定方法も紹介。地質学の基本を押さえ、自然の記録を読み解く力を身につけよう！</v>
      </c>
      <c r="E6" s="32">
        <f>IFERROR(__xludf.DUMMYFUNCTION("IFERROR(
  VLOOKUP(
    A6,
    IMPORTRANGE(
      ""1ZygntHC1J6IxzKbTidmOyf5nUyW4GCLurHCjexrLm_o        "",
      ""HTMLキャッシュ!A:F""
    ),
    3,
    FALSE
  ),
  0
)
"),46030.227997685186)</f>
        <v>46030.228</v>
      </c>
      <c r="F6" s="49">
        <f>IFERROR(__xludf.DUMMYFUNCTION("IFERROR(
  VLOOKUP(
    A6,
    IMPORTRANGE(
      ""1ZHMy3vVUd_0MrSduXTe1etBb1HNpAlGwQr006ljwMiM"",
      ""GSC最新!A:F""
    ),
    2,
    FALSE
  ),
  0
)
"),177.0)</f>
        <v>177</v>
      </c>
      <c r="G6" s="49">
        <f>IFERROR(__xludf.DUMMYFUNCTION("IFERROR(
  VLOOKUP(
    A6,
    IMPORTRANGE(
      ""1ZHMy3vVUd_0MrSduXTe1etBb1HNpAlGwQr006ljwMiM"",
      ""GSC最新!A:F""
    ),
    3,
    FALSE
  ),
  0
)
"),487.0)</f>
        <v>487</v>
      </c>
      <c r="H6" s="49">
        <f>IFERROR(__xludf.DUMMYFUNCTION("IFERROR(
  VLOOKUP(
    A6,
    IMPORTRANGE(
      ""1ZHMy3vVUd_0MrSduXTe1etBb1HNpAlGwQr006ljwMiM"",
      ""GSC最新!A:F""
    ),
    4,
    FALSE
  ),
  0
)
"),42.0)</f>
        <v>42</v>
      </c>
      <c r="I6" s="49">
        <f>IFERROR(__xludf.DUMMYFUNCTION("IFERROR(
  VLOOKUP(
    A6,
    IMPORTRANGE(
      ""1ZHMy3vVUd_0MrSduXTe1etBb1HNpAlGwQr006ljwMiM"",
      ""GSC最新!A:F""
    ),
    5,
    FALSE
  ),
  0
)
"),66.0)</f>
        <v>66</v>
      </c>
      <c r="J6" s="50">
        <f t="shared" ref="J6:K6" si="21">IFERROR(F6/H6,"-")</f>
        <v>4.214285714</v>
      </c>
      <c r="K6" s="50">
        <f t="shared" si="21"/>
        <v>7.378787879</v>
      </c>
      <c r="L6" s="6">
        <f>IFERROR(__xludf.DUMMYFUNCTION("IFERROR(
  VLOOKUP(
    A6,
    IMPORTRANGE(
      ""1ZHMy3vVUd_0MrSduXTe1etBb1HNpAlGwQr006ljwMiM"",
      ""GSC最新!A:R""
    ),
    7,
    FALSE
  ),
  0
)
"),32465.0)</f>
        <v>32465</v>
      </c>
      <c r="M6" s="6">
        <f>IFERROR(__xludf.DUMMYFUNCTION("IFERROR(
  VLOOKUP(
    A6,
    IMPORTRANGE(
      ""1ZHMy3vVUd_0MrSduXTe1etBb1HNpAlGwQr006ljwMiM"",
      ""GSC最新!A:R""
    ),
    10,
    FALSE
  ),
  0
)
"),73814.0)</f>
        <v>73814</v>
      </c>
      <c r="N6" s="6">
        <f>IFERROR(__xludf.DUMMYFUNCTION("IFERROR(
  VLOOKUP(
    A6,
    IMPORTRANGE(
      ""1ZHMy3vVUd_0MrSduXTe1etBb1HNpAlGwQr006ljwMiM"",
      ""GSC最新!A:R""
    ),
    13,
    FALSE
  ),
  0
)
"),5803.0)</f>
        <v>5803</v>
      </c>
      <c r="O6" s="6">
        <f>IFERROR(__xludf.DUMMYFUNCTION("IFERROR(
  VLOOKUP(
    A6,
    IMPORTRANGE(
      ""1ZHMy3vVUd_0MrSduXTe1etBb1HNpAlGwQr006ljwMiM"",
      ""GSC最新!A:R""
    ),
    16,
    FALSE
  ),
  0
)
"),9806.0)</f>
        <v>9806</v>
      </c>
      <c r="P6" s="51">
        <f t="shared" ref="P6:Q6" si="22">IFERROR(L6/N6,"-")</f>
        <v>5.594520076</v>
      </c>
      <c r="Q6" s="51">
        <f t="shared" si="22"/>
        <v>7.527432184</v>
      </c>
      <c r="R6" s="9">
        <f>IFERROR(__xludf.DUMMYFUNCTION("IFERROR(
  VLOOKUP(
    A6,
    IMPORTRANGE(
      ""1ZHMy3vVUd_0MrSduXTe1etBb1HNpAlGwQr006ljwMiM"",
      ""GSC最新!A:R""
    ),
    8,
    FALSE
  ),
  0
)
"),0.005452025257970122)</f>
        <v>0.005452025258</v>
      </c>
      <c r="S6" s="9">
        <f>IFERROR(__xludf.DUMMYFUNCTION("IFERROR(
  VLOOKUP(
    A6,
    IMPORTRANGE(
      ""1ZHMy3vVUd_0MrSduXTe1etBb1HNpAlGwQr006ljwMiM"",
      ""GSC最新!A:R""
    ),
    11,
    FALSE
  ),
  0
)
"),0.006597664399707373)</f>
        <v>0.0065976644</v>
      </c>
      <c r="T6" s="9">
        <f>IFERROR(__xludf.DUMMYFUNCTION("IFERROR(
  VLOOKUP(
    A6,
    IMPORTRANGE(
      ""1ZHMy3vVUd_0MrSduXTe1etBb1HNpAlGwQr006ljwMiM"",
      ""GSC最新!A:R""
    ),
    14,
    FALSE
  ),
  0
)
"),0.007237635705669481)</f>
        <v>0.007237635706</v>
      </c>
      <c r="U6" s="9">
        <f>IFERROR(__xludf.DUMMYFUNCTION("IFERROR(
  VLOOKUP(
    A6,
    IMPORTRANGE(
      ""1ZHMy3vVUd_0MrSduXTe1etBb1HNpAlGwQr006ljwMiM"",
      ""GSC最新!A:R""
    ),
    17,
    FALSE
  ),
  0
)
"),0.006730573118498878)</f>
        <v>0.006730573118</v>
      </c>
      <c r="V6" s="9">
        <f t="shared" ref="V6:W6" si="23">IFERROR(R6-T6,"-")</f>
        <v>-0.001785610448</v>
      </c>
      <c r="W6" s="9">
        <f t="shared" si="23"/>
        <v>-0.0001329087188</v>
      </c>
      <c r="X6" s="65">
        <f>IFERROR(__xludf.DUMMYFUNCTION("IFERROR(
  VLOOKUP(
    A6,
    IMPORTRANGE(
      ""1ZHMy3vVUd_0MrSduXTe1etBb1HNpAlGwQr006ljwMiM"",
      ""GSC最新!A:R""
    ),
    9,
    FALSE
  ),
  0
)
"),3.5756661019559526)</f>
        <v>3.575666102</v>
      </c>
      <c r="Y6" s="65">
        <f>IFERROR(__xludf.DUMMYFUNCTION("IFERROR(
  VLOOKUP(
    A6,
    IMPORTRANGE(
      ""1ZHMy3vVUd_0MrSduXTe1etBb1HNpAlGwQr006ljwMiM"",
      ""GSC最新!A:R""
    ),
    12,
    FALSE
  ),
  0
)
"),3.552862600590674)</f>
        <v>3.552862601</v>
      </c>
      <c r="Z6" s="65">
        <f>IFERROR(__xludf.DUMMYFUNCTION("IFERROR(
  VLOOKUP(
    A6,
    IMPORTRANGE(
      ""1ZHMy3vVUd_0MrSduXTe1etBb1HNpAlGwQr006ljwMiM"",
      ""GSC最新!A:R""
    ),
    15,
    FALSE
  ),
  0
)
"),5.502671032224711)</f>
        <v>5.502671032</v>
      </c>
      <c r="AA6" s="65">
        <f>IFERROR(__xludf.DUMMYFUNCTION("IFERROR(
  VLOOKUP(
    A6,
    IMPORTRANGE(
      ""1ZHMy3vVUd_0MrSduXTe1etBb1HNpAlGwQr006ljwMiM"",
      ""GSC最新!A:R""
    ),
    18,
    FALSE
  ),
  0
)
"),5.524678768101163)</f>
        <v>5.524678768</v>
      </c>
      <c r="AB6" s="65">
        <f t="shared" ref="AB6:AC6" si="24">X6-Z6</f>
        <v>-1.92700493</v>
      </c>
      <c r="AC6" s="65">
        <f t="shared" si="24"/>
        <v>-1.971816168</v>
      </c>
      <c r="AD6" s="53">
        <f>IFERROR(__xludf.DUMMYFUNCTION("IFERROR(
  VLOOKUP(
    A6,
    IMPORTRANGE(
      ""1ZHMy3vVUd_0MrSduXTe1etBb1HNpAlGwQr006ljwMiM"",
      ""GSC最新!A:F""
    ),
    6,
    FALSE
  ),
  0
)
"),46081.0)</f>
        <v>46081</v>
      </c>
      <c r="AE6" s="54">
        <f>IFERROR(__xludf.DUMMYFUNCTION("IFERROR(
  VLOOKUP(
    A6,
    IMPORTRANGE(
      ""1SCYQd7_cobOYqT0r_F0IqD4tE4rYn5y8Eup4PJTH8es"",
      ""Snapshot!A:M""
    ),
    5,
    FALSE
  ),
  ""-""
)
"),10.0)</f>
        <v>10</v>
      </c>
      <c r="AF6" s="54">
        <f>IFERROR(__xludf.DUMMYFUNCTION("IFERROR(
  VLOOKUP(
    A6,
    IMPORTRANGE(
      ""1SCYQd7_cobOYqT0r_F0IqD4tE4rYn5y8Eup4PJTH8es"",
      ""Snapshot!A:M""
    ),
    6,
    FALSE
  ),
  0
)
"),4.0)</f>
        <v>4</v>
      </c>
      <c r="AG6" s="54">
        <f>IFERROR(__xludf.DUMMYFUNCTION("IFERROR(
  VLOOKUP(
    A6,
    IMPORTRANGE(
      ""1SCYQd7_cobOYqT0r_F0IqD4tE4rYn5y8Eup4PJTH8es"",
      ""Snapshot!A:M""
    ),
    7,
    FALSE
  ),
  0
)
"),4726.0)</f>
        <v>4726</v>
      </c>
      <c r="AH6" s="54">
        <f>IFERROR(__xludf.DUMMYFUNCTION("IFERROR(
  VLOOKUP(
    A6,
    IMPORTRANGE(
      ""1SCYQd7_cobOYqT0r_F0IqD4tE4rYn5y8Eup4PJTH8es"",
      ""Snapshot!A:M""
    ),
    8,
    FALSE
  ),
  0
)
"),4.0)</f>
        <v>4</v>
      </c>
      <c r="AI6" s="54">
        <f>IFERROR(__xludf.DUMMYFUNCTION("IFERROR(
  VLOOKUP(
    A6,
    IMPORTRANGE(
      ""1SCYQd7_cobOYqT0r_F0IqD4tE4rYn5y8Eup4PJTH8es"",
      ""Snapshot!A:M""
    ),
    9,
    FALSE
  ),
  0
)
"),2.0)</f>
        <v>2</v>
      </c>
      <c r="AJ6" s="54">
        <f>IFERROR(__xludf.DUMMYFUNCTION("IFERROR(
  VLOOKUP(
    A6,
    IMPORTRANGE(
      ""1SCYQd7_cobOYqT0r_F0IqD4tE4rYn5y8Eup4PJTH8es"",
      ""Snapshot!A:M""
    ),
    13,
    FALSE
  ),
  0
)
"),2.0)</f>
        <v>2</v>
      </c>
      <c r="AK6" s="49">
        <f t="shared" ref="AK6:AL6" si="25">LEN(C6)</f>
        <v>44</v>
      </c>
      <c r="AL6" s="49">
        <f t="shared" si="25"/>
        <v>114</v>
      </c>
    </row>
    <row r="7">
      <c r="A7" s="3" t="s">
        <v>1231</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"),"【理科のコツ】星の動き - 中学受験 理科の個別指導 | 受験理科専門塾「しゅん吉クエスト」")</f>
        <v>【理科のコツ】星の動き - 中学受験 理科の個別指導 | 受験理科専門塾「しゅん吉クエスト」</v>
      </c>
      <c r="D7" s="1" t="str">
        <f>IFERROR(__xludf.DUMMYFUNCTION("IFERROR(
  VLOOKUP(
    A7,
    IMPORTRANGE(
      ""1ZygntHC1J6IxzKbTidmOyf5nUyW4GCLurHCjexrLm_o        "",
      ""HTMLキャッシュ!A:F""
    ),
    6,
    FALSE
  ),
  0
)
"),"「星の動きと天体の仕組みを徹底解説！地球の自転や公転が星座の見え方にどう影響するのか、図や例を用いて詳しく説明します。北極星を中心とした星の動きや年周運動の仕組みを理解し、1日の動きと1年の動きを区別して理科の学習を深めましょう。詳しくは動画でチェックして、天体の分野を楽しく学びましょう！」")</f>
        <v>「星の動きと天体の仕組みを徹底解説！地球の自転や公転が星座の見え方にどう影響するのか、図や例を用いて詳しく説明します。北極星を中心とした星の動きや年周運動の仕組みを理解し、1日の動きと1年の動きを区別して理科の学習を深めましょう。詳しくは動画でチェックして、天体の分野を楽しく学びましょう！」</v>
      </c>
      <c r="E7" s="32">
        <f>IFERROR(__xludf.DUMMYFUNCTION("IFERROR(
  VLOOKUP(
    A7,
    IMPORTRANGE(
      ""1ZygntHC1J6IxzKbTidmOyf5nUyW4GCLurHCjexrLm_o        "",
      ""HTMLキャッシュ!A:F""
    ),
    3,
    FALSE
  ),
  0
)
"),46030.22405092593)</f>
        <v>46030.22405</v>
      </c>
      <c r="F7" s="49">
        <f>IFERROR(__xludf.DUMMYFUNCTION("IFERROR(
  VLOOKUP(
    A7,
    IMPORTRANGE(
      ""1ZHMy3vVUd_0MrSduXTe1etBb1HNpAlGwQr006ljwMiM"",
      ""GSC最新!A:F""
    ),
    2,
    FALSE
  ),
  0
)
"),123.0)</f>
        <v>123</v>
      </c>
      <c r="G7" s="49">
        <f>IFERROR(__xludf.DUMMYFUNCTION("IFERROR(
  VLOOKUP(
    A7,
    IMPORTRANGE(
      ""1ZHMy3vVUd_0MrSduXTe1etBb1HNpAlGwQr006ljwMiM"",
      ""GSC最新!A:F""
    ),
    3,
    FALSE
  ),
  0
)
"),447.0)</f>
        <v>447</v>
      </c>
      <c r="H7" s="49">
        <f>IFERROR(__xludf.DUMMYFUNCTION("IFERROR(
  VLOOKUP(
    A7,
    IMPORTRANGE(
      ""1ZHMy3vVUd_0MrSduXTe1etBb1HNpAlGwQr006ljwMiM"",
      ""GSC最新!A:F""
    ),
    4,
    FALSE
  ),
  0
)
"),74.0)</f>
        <v>74</v>
      </c>
      <c r="I7" s="49">
        <f>IFERROR(__xludf.DUMMYFUNCTION("IFERROR(
  VLOOKUP(
    A7,
    IMPORTRANGE(
      ""1ZHMy3vVUd_0MrSduXTe1etBb1HNpAlGwQr006ljwMiM"",
      ""GSC最新!A:F""
    ),
    5,
    FALSE
  ),
  0
)
"),177.0)</f>
        <v>177</v>
      </c>
      <c r="J7" s="50">
        <f t="shared" ref="J7:K7" si="26">IFERROR(F7/H7,"-")</f>
        <v>1.662162162</v>
      </c>
      <c r="K7" s="50">
        <f t="shared" si="26"/>
        <v>2.525423729</v>
      </c>
      <c r="L7" s="6">
        <f>IFERROR(__xludf.DUMMYFUNCTION("IFERROR(
  VLOOKUP(
    A7,
    IMPORTRANGE(
      ""1ZHMy3vVUd_0MrSduXTe1etBb1HNpAlGwQr006ljwMiM"",
      ""GSC最新!A:R""
    ),
    7,
    FALSE
  ),
  0
)
"),24610.0)</f>
        <v>24610</v>
      </c>
      <c r="M7" s="6">
        <f>IFERROR(__xludf.DUMMYFUNCTION("IFERROR(
  VLOOKUP(
    A7,
    IMPORTRANGE(
      ""1ZHMy3vVUd_0MrSduXTe1etBb1HNpAlGwQr006ljwMiM"",
      ""GSC最新!A:R""
    ),
    10,
    FALSE
  ),
  0
)
"),78485.0)</f>
        <v>78485</v>
      </c>
      <c r="N7" s="6">
        <f>IFERROR(__xludf.DUMMYFUNCTION("IFERROR(
  VLOOKUP(
    A7,
    IMPORTRANGE(
      ""1ZHMy3vVUd_0MrSduXTe1etBb1HNpAlGwQr006ljwMiM"",
      ""GSC最新!A:R""
    ),
    13,
    FALSE
  ),
  0
)
"),5525.0)</f>
        <v>5525</v>
      </c>
      <c r="O7" s="6">
        <f>IFERROR(__xludf.DUMMYFUNCTION("IFERROR(
  VLOOKUP(
    A7,
    IMPORTRANGE(
      ""1ZHMy3vVUd_0MrSduXTe1etBb1HNpAlGwQr006ljwMiM"",
      ""GSC最新!A:R""
    ),
    16,
    FALSE
  ),
  0
)
"),13814.0)</f>
        <v>13814</v>
      </c>
      <c r="P7" s="51">
        <f t="shared" ref="P7:Q7" si="27">IFERROR(L7/N7,"-")</f>
        <v>4.454298643</v>
      </c>
      <c r="Q7" s="51">
        <f t="shared" si="27"/>
        <v>5.681554944</v>
      </c>
      <c r="R7" s="9">
        <f>IFERROR(__xludf.DUMMYFUNCTION("IFERROR(
  VLOOKUP(
    A7,
    IMPORTRANGE(
      ""1ZHMy3vVUd_0MrSduXTe1etBb1HNpAlGwQr006ljwMiM"",
      ""GSC最新!A:R""
    ),
    8,
    FALSE
  ),
  0
)
"),0.004997968305566843)</f>
        <v>0.004997968306</v>
      </c>
      <c r="S7" s="9">
        <f>IFERROR(__xludf.DUMMYFUNCTION("IFERROR(
  VLOOKUP(
    A7,
    IMPORTRANGE(
      ""1ZHMy3vVUd_0MrSduXTe1etBb1HNpAlGwQr006ljwMiM"",
      ""GSC最新!A:R""
    ),
    11,
    FALSE
  ),
  0
)
"),0.005695355800471428)</f>
        <v>0.0056953558</v>
      </c>
      <c r="T7" s="9">
        <f>IFERROR(__xludf.DUMMYFUNCTION("IFERROR(
  VLOOKUP(
    A7,
    IMPORTRANGE(
      ""1ZHMy3vVUd_0MrSduXTe1etBb1HNpAlGwQr006ljwMiM"",
      ""GSC最新!A:R""
    ),
    14,
    FALSE
  ),
  0
)
"),0.013393665158371041)</f>
        <v>0.01339366516</v>
      </c>
      <c r="U7" s="9">
        <f>IFERROR(__xludf.DUMMYFUNCTION("IFERROR(
  VLOOKUP(
    A7,
    IMPORTRANGE(
      ""1ZHMy3vVUd_0MrSduXTe1etBb1HNpAlGwQr006ljwMiM"",
      ""GSC最新!A:R""
    ),
    17,
    FALSE
  ),
  0
)
"),0.012813088171420298)</f>
        <v>0.01281308817</v>
      </c>
      <c r="V7" s="9">
        <f t="shared" ref="V7:W7" si="28">IFERROR(R7-T7,"-")</f>
        <v>-0.008395696853</v>
      </c>
      <c r="W7" s="9">
        <f t="shared" si="28"/>
        <v>-0.007117732371</v>
      </c>
      <c r="X7" s="65">
        <f>IFERROR(__xludf.DUMMYFUNCTION("IFERROR(
  VLOOKUP(
    A7,
    IMPORTRANGE(
      ""1ZHMy3vVUd_0MrSduXTe1etBb1HNpAlGwQr006ljwMiM"",
      ""GSC最新!A:R""
    ),
    9,
    FALSE
  ),
  0
)
"),4.913978057700122)</f>
        <v>4.913978058</v>
      </c>
      <c r="Y7" s="65">
        <f>IFERROR(__xludf.DUMMYFUNCTION("IFERROR(
  VLOOKUP(
    A7,
    IMPORTRANGE(
      ""1ZHMy3vVUd_0MrSduXTe1etBb1HNpAlGwQr006ljwMiM"",
      ""GSC最新!A:R""
    ),
    12,
    FALSE
  ),
  0
)
"),4.643078295215647)</f>
        <v>4.643078295</v>
      </c>
      <c r="Z7" s="65">
        <f>IFERROR(__xludf.DUMMYFUNCTION("IFERROR(
  VLOOKUP(
    A7,
    IMPORTRANGE(
      ""1ZHMy3vVUd_0MrSduXTe1etBb1HNpAlGwQr006ljwMiM"",
      ""GSC最新!A:R""
    ),
    15,
    FALSE
  ),
  0
)
"),6.872036199095023)</f>
        <v>6.872036199</v>
      </c>
      <c r="AA7" s="65">
        <f>IFERROR(__xludf.DUMMYFUNCTION("IFERROR(
  VLOOKUP(
    A7,
    IMPORTRANGE(
      ""1ZHMy3vVUd_0MrSduXTe1etBb1HNpAlGwQr006ljwMiM"",
      ""GSC最新!A:R""
    ),
    18,
    FALSE
  ),
  0
)
"),7.255175908498624)</f>
        <v>7.255175908</v>
      </c>
      <c r="AB7" s="65">
        <f t="shared" ref="AB7:AC7" si="29">X7-Z7</f>
        <v>-1.958058141</v>
      </c>
      <c r="AC7" s="65">
        <f t="shared" si="29"/>
        <v>-2.612097613</v>
      </c>
      <c r="AD7" s="53">
        <f>IFERROR(__xludf.DUMMYFUNCTION("IFERROR(
  VLOOKUP(
    A7,
    IMPORTRANGE(
      ""1ZHMy3vVUd_0MrSduXTe1etBb1HNpAlGwQr006ljwMiM"",
      ""GSC最新!A:F""
    ),
    6,
    FALSE
  ),
  0
)
"),46081.0)</f>
        <v>46081</v>
      </c>
      <c r="AE7" s="54">
        <f>IFERROR(__xludf.DUMMYFUNCTION("IFERROR(
  VLOOKUP(
    A7,
    IMPORTRANGE(
      ""1SCYQd7_cobOYqT0r_F0IqD4tE4rYn5y8Eup4PJTH8es"",
      ""Snapshot!A:M""
    ),
    5,
    FALSE
  ),
  ""-""
)
"),6.0)</f>
        <v>6</v>
      </c>
      <c r="AF7" s="54">
        <f>IFERROR(__xludf.DUMMYFUNCTION("IFERROR(
  VLOOKUP(
    A7,
    IMPORTRANGE(
      ""1SCYQd7_cobOYqT0r_F0IqD4tE4rYn5y8Eup4PJTH8es"",
      ""Snapshot!A:M""
    ),
    6,
    FALSE
  ),
  0
)
"),0.0)</f>
        <v>0</v>
      </c>
      <c r="AG7" s="54">
        <f>IFERROR(__xludf.DUMMYFUNCTION("IFERROR(
  VLOOKUP(
    A7,
    IMPORTRANGE(
      ""1SCYQd7_cobOYqT0r_F0IqD4tE4rYn5y8Eup4PJTH8es"",
      ""Snapshot!A:M""
    ),
    7,
    FALSE
  ),
  0
)
"),4524.0)</f>
        <v>4524</v>
      </c>
      <c r="AH7" s="54">
        <f>IFERROR(__xludf.DUMMYFUNCTION("IFERROR(
  VLOOKUP(
    A7,
    IMPORTRANGE(
      ""1SCYQd7_cobOYqT0r_F0IqD4tE4rYn5y8Eup4PJTH8es"",
      ""Snapshot!A:M""
    ),
    8,
    FALSE
  ),
  0
)
"),3.0)</f>
        <v>3</v>
      </c>
      <c r="AI7" s="54">
        <f>IFERROR(__xludf.DUMMYFUNCTION("IFERROR(
  VLOOKUP(
    A7,
    IMPORTRANGE(
      ""1SCYQd7_cobOYqT0r_F0IqD4tE4rYn5y8Eup4PJTH8es"",
      ""Snapshot!A:M""
    ),
    9,
    FALSE
  ),
  0
)
"),2.0)</f>
        <v>2</v>
      </c>
      <c r="AJ7" s="54">
        <f>IFERROR(__xludf.DUMMYFUNCTION("IFERROR(
  VLOOKUP(
    A7,
    IMPORTRANGE(
      ""1SCYQd7_cobOYqT0r_F0IqD4tE4rYn5y8Eup4PJTH8es"",
      ""Snapshot!A:M""
    ),
    13,
    FALSE
  ),
  0
)
"),2.0)</f>
        <v>2</v>
      </c>
      <c r="AK7" s="49">
        <f t="shared" ref="AK7:AL7" si="30">LEN(C7)</f>
        <v>46</v>
      </c>
      <c r="AL7" s="49">
        <f t="shared" si="30"/>
        <v>146</v>
      </c>
    </row>
    <row r="8">
      <c r="A8" s="3" t="s">
        <v>1232</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"),"【理科のコツ】水よう液と金属 - 中学受験 理科の個別指導 | 受験理科専門塾「しゅん吉クエスト」")</f>
        <v>【理科のコツ】水よう液と金属 - 中学受験 理科の個別指導 | 受験理科専門塾「しゅん吉クエスト」</v>
      </c>
      <c r="D8" s="1" t="str">
        <f>IFERROR(__xludf.DUMMYFUNCTION("IFERROR(
  VLOOKUP(
    A8,
    IMPORTRANGE(
      ""1ZygntHC1J6IxzKbTidmOyf5nUyW4GCLurHCjexrLm_o        "",
      ""HTMLキャッシュ!A:F""
    ),
    6,
    FALSE
  ),
  0
)
"),"水溶液と金属の反応について詳しく解説！金属に酸をかけると水素が発生する理由や、金銀銅が錆びない特性、アルミの反応など、化学の基本的な知識を学べます。さらに、王水を使った金属の溶解方法や、実験を通じて覚えるコツも紹介。暗記に役立つ情報満載！")</f>
        <v>水溶液と金属の反応について詳しく解説！金属に酸をかけると水素が発生する理由や、金銀銅が錆びない特性、アルミの反応など、化学の基本的な知識を学べます。さらに、王水を使った金属の溶解方法や、実験を通じて覚えるコツも紹介。暗記に役立つ情報満載！</v>
      </c>
      <c r="E8" s="32">
        <f>IFERROR(__xludf.DUMMYFUNCTION("IFERROR(
  VLOOKUP(
    A8,
    IMPORTRANGE(
      ""1ZygntHC1J6IxzKbTidmOyf5nUyW4GCLurHCjexrLm_o        "",
      ""HTMLキャッシュ!A:F""
    ),
    3,
    FALSE
  ),
  0
)
"),46030.21430555556)</f>
        <v>46030.21431</v>
      </c>
      <c r="F8" s="49">
        <f>IFERROR(__xludf.DUMMYFUNCTION("IFERROR(
  VLOOKUP(
    A8,
    IMPORTRANGE(
      ""1ZHMy3vVUd_0MrSduXTe1etBb1HNpAlGwQr006ljwMiM"",
      ""GSC最新!A:F""
    ),
    2,
    FALSE
  ),
  0
)
"),157.0)</f>
        <v>157</v>
      </c>
      <c r="G8" s="49">
        <f>IFERROR(__xludf.DUMMYFUNCTION("IFERROR(
  VLOOKUP(
    A8,
    IMPORTRANGE(
      ""1ZHMy3vVUd_0MrSduXTe1etBb1HNpAlGwQr006ljwMiM"",
      ""GSC最新!A:F""
    ),
    3,
    FALSE
  ),
  0
)
"),411.0)</f>
        <v>411</v>
      </c>
      <c r="H8" s="49">
        <f>IFERROR(__xludf.DUMMYFUNCTION("IFERROR(
  VLOOKUP(
    A8,
    IMPORTRANGE(
      ""1ZHMy3vVUd_0MrSduXTe1etBb1HNpAlGwQr006ljwMiM"",
      ""GSC最新!A:F""
    ),
    4,
    FALSE
  ),
  0
)
"),9.0)</f>
        <v>9</v>
      </c>
      <c r="I8" s="49">
        <f>IFERROR(__xludf.DUMMYFUNCTION("IFERROR(
  VLOOKUP(
    A8,
    IMPORTRANGE(
      ""1ZHMy3vVUd_0MrSduXTe1etBb1HNpAlGwQr006ljwMiM"",
      ""GSC最新!A:F""
    ),
    5,
    FALSE
  ),
  0
)
"),28.0)</f>
        <v>28</v>
      </c>
      <c r="J8" s="50">
        <f t="shared" ref="J8:K8" si="31">IFERROR(F8/H8,"-")</f>
        <v>17.44444444</v>
      </c>
      <c r="K8" s="50">
        <f t="shared" si="31"/>
        <v>14.67857143</v>
      </c>
      <c r="L8" s="6">
        <f>IFERROR(__xludf.DUMMYFUNCTION("IFERROR(
  VLOOKUP(
    A8,
    IMPORTRANGE(
      ""1ZHMy3vVUd_0MrSduXTe1etBb1HNpAlGwQr006ljwMiM"",
      ""GSC最新!A:R""
    ),
    7,
    FALSE
  ),
  0
)
"),16901.0)</f>
        <v>16901</v>
      </c>
      <c r="M8" s="6">
        <f>IFERROR(__xludf.DUMMYFUNCTION("IFERROR(
  VLOOKUP(
    A8,
    IMPORTRANGE(
      ""1ZHMy3vVUd_0MrSduXTe1etBb1HNpAlGwQr006ljwMiM"",
      ""GSC最新!A:R""
    ),
    10,
    FALSE
  ),
  0
)
"),38863.0)</f>
        <v>38863</v>
      </c>
      <c r="N8" s="6">
        <f>IFERROR(__xludf.DUMMYFUNCTION("IFERROR(
  VLOOKUP(
    A8,
    IMPORTRANGE(
      ""1ZHMy3vVUd_0MrSduXTe1etBb1HNpAlGwQr006ljwMiM"",
      ""GSC最新!A:R""
    ),
    13,
    FALSE
  ),
  0
)
"),1770.0)</f>
        <v>1770</v>
      </c>
      <c r="O8" s="6">
        <f>IFERROR(__xludf.DUMMYFUNCTION("IFERROR(
  VLOOKUP(
    A8,
    IMPORTRANGE(
      ""1ZHMy3vVUd_0MrSduXTe1etBb1HNpAlGwQr006ljwMiM"",
      ""GSC最新!A:R""
    ),
    16,
    FALSE
  ),
  0
)
"),3435.0)</f>
        <v>3435</v>
      </c>
      <c r="P8" s="51">
        <f t="shared" ref="P8:Q8" si="32">IFERROR(L8/N8,"-")</f>
        <v>9.548587571</v>
      </c>
      <c r="Q8" s="51">
        <f t="shared" si="32"/>
        <v>11.31382824</v>
      </c>
      <c r="R8" s="9">
        <f>IFERROR(__xludf.DUMMYFUNCTION("IFERROR(
  VLOOKUP(
    A8,
    IMPORTRANGE(
      ""1ZHMy3vVUd_0MrSduXTe1etBb1HNpAlGwQr006ljwMiM"",
      ""GSC最新!A:R""
    ),
    8,
    FALSE
  ),
  0
)
"),0.009289391160286374)</f>
        <v>0.00928939116</v>
      </c>
      <c r="S8" s="9">
        <f>IFERROR(__xludf.DUMMYFUNCTION("IFERROR(
  VLOOKUP(
    A8,
    IMPORTRANGE(
      ""1ZHMy3vVUd_0MrSduXTe1etBb1HNpAlGwQr006ljwMiM"",
      ""GSC最新!A:R""
    ),
    11,
    FALSE
  ),
  0
)
"),0.01057561176440316)</f>
        <v>0.01057561176</v>
      </c>
      <c r="T8" s="9">
        <f>IFERROR(__xludf.DUMMYFUNCTION("IFERROR(
  VLOOKUP(
    A8,
    IMPORTRANGE(
      ""1ZHMy3vVUd_0MrSduXTe1etBb1HNpAlGwQr006ljwMiM"",
      ""GSC最新!A:R""
    ),
    14,
    FALSE
  ),
  0
)
"),0.005084745762711864)</f>
        <v>0.005084745763</v>
      </c>
      <c r="U8" s="9">
        <f>IFERROR(__xludf.DUMMYFUNCTION("IFERROR(
  VLOOKUP(
    A8,
    IMPORTRANGE(
      ""1ZHMy3vVUd_0MrSduXTe1etBb1HNpAlGwQr006ljwMiM"",
      ""GSC最新!A:R""
    ),
    17,
    FALSE
  ),
  0
)
"),0.008151382823871907)</f>
        <v>0.008151382824</v>
      </c>
      <c r="V8" s="9">
        <f t="shared" ref="V8:W8" si="33">IFERROR(R8-T8,"-")</f>
        <v>0.004204645398</v>
      </c>
      <c r="W8" s="9">
        <f t="shared" si="33"/>
        <v>0.002424228941</v>
      </c>
      <c r="X8" s="65">
        <f>IFERROR(__xludf.DUMMYFUNCTION("IFERROR(
  VLOOKUP(
    A8,
    IMPORTRANGE(
      ""1ZHMy3vVUd_0MrSduXTe1etBb1HNpAlGwQr006ljwMiM"",
      ""GSC最新!A:R""
    ),
    9,
    FALSE
  ),
  0
)
"),5.321992781492219)</f>
        <v>5.321992781</v>
      </c>
      <c r="Y8" s="65">
        <f>IFERROR(__xludf.DUMMYFUNCTION("IFERROR(
  VLOOKUP(
    A8,
    IMPORTRANGE(
      ""1ZHMy3vVUd_0MrSduXTe1etBb1HNpAlGwQr006ljwMiM"",
      ""GSC最新!A:R""
    ),
    12,
    FALSE
  ),
  0
)
"),5.226307799192034)</f>
        <v>5.226307799</v>
      </c>
      <c r="Z8" s="65">
        <f>IFERROR(__xludf.DUMMYFUNCTION("IFERROR(
  VLOOKUP(
    A8,
    IMPORTRANGE(
      ""1ZHMy3vVUd_0MrSduXTe1etBb1HNpAlGwQr006ljwMiM"",
      ""GSC最新!A:R""
    ),
    15,
    FALSE
  ),
  0
)
"),6.181920903954802)</f>
        <v>6.181920904</v>
      </c>
      <c r="AA8" s="65">
        <f>IFERROR(__xludf.DUMMYFUNCTION("IFERROR(
  VLOOKUP(
    A8,
    IMPORTRANGE(
      ""1ZHMy3vVUd_0MrSduXTe1etBb1HNpAlGwQr006ljwMiM"",
      ""GSC最新!A:R""
    ),
    18,
    FALSE
  ),
  0
)
"),6.479767103347889)</f>
        <v>6.479767103</v>
      </c>
      <c r="AB8" s="65">
        <f t="shared" ref="AB8:AC8" si="34">X8-Z8</f>
        <v>-0.8599281225</v>
      </c>
      <c r="AC8" s="65">
        <f t="shared" si="34"/>
        <v>-1.253459304</v>
      </c>
      <c r="AD8" s="53">
        <f>IFERROR(__xludf.DUMMYFUNCTION("IFERROR(
  VLOOKUP(
    A8,
    IMPORTRANGE(
      ""1ZHMy3vVUd_0MrSduXTe1etBb1HNpAlGwQr006ljwMiM"",
      ""GSC最新!A:F""
    ),
    6,
    FALSE
  ),
  0
)
"),46081.0)</f>
        <v>46081</v>
      </c>
      <c r="AE8" s="54">
        <f>IFERROR(__xludf.DUMMYFUNCTION("IFERROR(
  VLOOKUP(
    A8,
    IMPORTRANGE(
      ""1SCYQd7_cobOYqT0r_F0IqD4tE4rYn5y8Eup4PJTH8es"",
      ""Snapshot!A:M""
    ),
    5,
    FALSE
  ),
  ""-""
)
"),7.0)</f>
        <v>7</v>
      </c>
      <c r="AF8" s="54">
        <f>IFERROR(__xludf.DUMMYFUNCTION("IFERROR(
  VLOOKUP(
    A8,
    IMPORTRANGE(
      ""1SCYQd7_cobOYqT0r_F0IqD4tE4rYn5y8Eup4PJTH8es"",
      ""Snapshot!A:M""
    ),
    6,
    FALSE
  ),
  0
)
"),5.0)</f>
        <v>5</v>
      </c>
      <c r="AG8" s="54">
        <f>IFERROR(__xludf.DUMMYFUNCTION("IFERROR(
  VLOOKUP(
    A8,
    IMPORTRANGE(
      ""1SCYQd7_cobOYqT0r_F0IqD4tE4rYn5y8Eup4PJTH8es"",
      ""Snapshot!A:M""
    ),
    7,
    FALSE
  ),
  0
)
"),3455.0)</f>
        <v>3455</v>
      </c>
      <c r="AH8" s="54">
        <f>IFERROR(__xludf.DUMMYFUNCTION("IFERROR(
  VLOOKUP(
    A8,
    IMPORTRANGE(
      ""1SCYQd7_cobOYqT0r_F0IqD4tE4rYn5y8Eup4PJTH8es"",
      ""Snapshot!A:M""
    ),
    8,
    FALSE
  ),
  0
)
"),3.0)</f>
        <v>3</v>
      </c>
      <c r="AI8" s="54">
        <f>IFERROR(__xludf.DUMMYFUNCTION("IFERROR(
  VLOOKUP(
    A8,
    IMPORTRANGE(
      ""1SCYQd7_cobOYqT0r_F0IqD4tE4rYn5y8Eup4PJTH8es"",
      ""Snapshot!A:M""
    ),
    9,
    FALSE
  ),
  0
)
"),2.0)</f>
        <v>2</v>
      </c>
      <c r="AJ8" s="54">
        <f>IFERROR(__xludf.DUMMYFUNCTION("IFERROR(
  VLOOKUP(
    A8,
    IMPORTRANGE(
      ""1SCYQd7_cobOYqT0r_F0IqD4tE4rYn5y8Eup4PJTH8es"",
      ""Snapshot!A:M""
    ),
    13,
    FALSE
  ),
  0
)
"),2.0)</f>
        <v>2</v>
      </c>
      <c r="AK8" s="49">
        <f t="shared" ref="AK8:AL8" si="35">LEN(C8)</f>
        <v>49</v>
      </c>
      <c r="AL8" s="49">
        <f t="shared" si="35"/>
        <v>119</v>
      </c>
    </row>
    <row r="9">
      <c r="A9" s="3" t="s">
        <v>1233</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"),"【理科のコツ】いろいろな水溶液の性質 - 中学受験 理科の個別指導 | 受験理科専門塾「しゅん吉クエスト」")</f>
        <v>【理科のコツ】いろいろな水溶液の性質 - 中学受験 理科の個別指導 | 受験理科専門塾「しゅん吉クエスト」</v>
      </c>
      <c r="D9" s="1" t="str">
        <f>IFERROR(__xludf.DUMMYFUNCTION("IFERROR(
  VLOOKUP(
    A9,
    IMPORTRANGE(
      ""1ZygntHC1J6IxzKbTidmOyf5nUyW4GCLurHCjexrLm_o        "",
      ""HTMLキャッシュ!A:F""
    ),
    6,
    FALSE
  ),
  0
)
"),"さまざまな水溶液の性質について詳しく解説！酸性、アルカリ性、中性の特徴や代表的な水溶液（塩酸、水酸化ナトリウム、アンモニア水）の性質を学べます。実験や写真を参考に、視覚的に理解を深めながら暗記を効率よく進めるためのポイントも紹介。")</f>
        <v>さまざまな水溶液の性質について詳しく解説！酸性、アルカリ性、中性の特徴や代表的な水溶液（塩酸、水酸化ナトリウム、アンモニア水）の性質を学べます。実験や写真を参考に、視覚的に理解を深めながら暗記を効率よく進めるためのポイントも紹介。</v>
      </c>
      <c r="E9" s="32">
        <f>IFERROR(__xludf.DUMMYFUNCTION("IFERROR(
  VLOOKUP(
    A9,
    IMPORTRANGE(
      ""1ZygntHC1J6IxzKbTidmOyf5nUyW4GCLurHCjexrLm_o        "",
      ""HTMLキャッシュ!A:F""
    ),
    3,
    FALSE
  ),
  0
)
"),46030.13344907408)</f>
        <v>46030.13345</v>
      </c>
      <c r="F9" s="49">
        <f>IFERROR(__xludf.DUMMYFUNCTION("IFERROR(
  VLOOKUP(
    A9,
    IMPORTRANGE(
      ""1ZHMy3vVUd_0MrSduXTe1etBb1HNpAlGwQr006ljwMiM"",
      ""GSC最新!A:F""
    ),
    2,
    FALSE
  ),
  0
)
"),116.0)</f>
        <v>116</v>
      </c>
      <c r="G9" s="49">
        <f>IFERROR(__xludf.DUMMYFUNCTION("IFERROR(
  VLOOKUP(
    A9,
    IMPORTRANGE(
      ""1ZHMy3vVUd_0MrSduXTe1etBb1HNpAlGwQr006ljwMiM"",
      ""GSC最新!A:F""
    ),
    3,
    FALSE
  ),
  0
)
"),309.0)</f>
        <v>309</v>
      </c>
      <c r="H9" s="49">
        <f>IFERROR(__xludf.DUMMYFUNCTION("IFERROR(
  VLOOKUP(
    A9,
    IMPORTRANGE(
      ""1ZHMy3vVUd_0MrSduXTe1etBb1HNpAlGwQr006ljwMiM"",
      ""GSC最新!A:F""
    ),
    4,
    FALSE
  ),
  0
)
"),2.0)</f>
        <v>2</v>
      </c>
      <c r="I9" s="49">
        <f>IFERROR(__xludf.DUMMYFUNCTION("IFERROR(
  VLOOKUP(
    A9,
    IMPORTRANGE(
      ""1ZHMy3vVUd_0MrSduXTe1etBb1HNpAlGwQr006ljwMiM"",
      ""GSC最新!A:F""
    ),
    5,
    FALSE
  ),
  0
)
"),12.0)</f>
        <v>12</v>
      </c>
      <c r="J9" s="50">
        <f t="shared" ref="J9:K9" si="36">IFERROR(F9/H9,"-")</f>
        <v>58</v>
      </c>
      <c r="K9" s="50">
        <f t="shared" si="36"/>
        <v>25.75</v>
      </c>
      <c r="L9" s="6">
        <f>IFERROR(__xludf.DUMMYFUNCTION("IFERROR(
  VLOOKUP(
    A9,
    IMPORTRANGE(
      ""1ZHMy3vVUd_0MrSduXTe1etBb1HNpAlGwQr006ljwMiM"",
      ""GSC最新!A:R""
    ),
    7,
    FALSE
  ),
  0
)
"),25077.0)</f>
        <v>25077</v>
      </c>
      <c r="M9" s="6">
        <f>IFERROR(__xludf.DUMMYFUNCTION("IFERROR(
  VLOOKUP(
    A9,
    IMPORTRANGE(
      ""1ZHMy3vVUd_0MrSduXTe1etBb1HNpAlGwQr006ljwMiM"",
      ""GSC最新!A:R""
    ),
    10,
    FALSE
  ),
  0
)
"),65654.0)</f>
        <v>65654</v>
      </c>
      <c r="N9" s="6">
        <f>IFERROR(__xludf.DUMMYFUNCTION("IFERROR(
  VLOOKUP(
    A9,
    IMPORTRANGE(
      ""1ZHMy3vVUd_0MrSduXTe1etBb1HNpAlGwQr006ljwMiM"",
      ""GSC最新!A:R""
    ),
    13,
    FALSE
  ),
  0
)
"),1274.0)</f>
        <v>1274</v>
      </c>
      <c r="O9" s="6">
        <f>IFERROR(__xludf.DUMMYFUNCTION("IFERROR(
  VLOOKUP(
    A9,
    IMPORTRANGE(
      ""1ZHMy3vVUd_0MrSduXTe1etBb1HNpAlGwQr006ljwMiM"",
      ""GSC最新!A:R""
    ),
    16,
    FALSE
  ),
  0
)
"),3202.0)</f>
        <v>3202</v>
      </c>
      <c r="P9" s="51">
        <f t="shared" ref="P9:Q9" si="37">IFERROR(L9/N9,"-")</f>
        <v>19.68367347</v>
      </c>
      <c r="Q9" s="51">
        <f t="shared" si="37"/>
        <v>20.50405996</v>
      </c>
      <c r="R9" s="9">
        <f>IFERROR(__xludf.DUMMYFUNCTION("IFERROR(
  VLOOKUP(
    A9,
    IMPORTRANGE(
      ""1ZHMy3vVUd_0MrSduXTe1etBb1HNpAlGwQr006ljwMiM"",
      ""GSC最新!A:R""
    ),
    8,
    FALSE
  ),
  0
)
"),0.00462575268174024)</f>
        <v>0.004625752682</v>
      </c>
      <c r="S9" s="9">
        <f>IFERROR(__xludf.DUMMYFUNCTION("IFERROR(
  VLOOKUP(
    A9,
    IMPORTRANGE(
      ""1ZHMy3vVUd_0MrSduXTe1etBb1HNpAlGwQr006ljwMiM"",
      ""GSC最新!A:R""
    ),
    11,
    FALSE
  ),
  0
)
"),0.004706491607518202)</f>
        <v>0.004706491608</v>
      </c>
      <c r="T9" s="9">
        <f>IFERROR(__xludf.DUMMYFUNCTION("IFERROR(
  VLOOKUP(
    A9,
    IMPORTRANGE(
      ""1ZHMy3vVUd_0MrSduXTe1etBb1HNpAlGwQr006ljwMiM"",
      ""GSC最新!A:R""
    ),
    14,
    FALSE
  ),
  0
)
"),0.0015698587127158557)</f>
        <v>0.001569858713</v>
      </c>
      <c r="U9" s="9">
        <f>IFERROR(__xludf.DUMMYFUNCTION("IFERROR(
  VLOOKUP(
    A9,
    IMPORTRANGE(
      ""1ZHMy3vVUd_0MrSduXTe1etBb1HNpAlGwQr006ljwMiM"",
      ""GSC最新!A:R""
    ),
    17,
    FALSE
  ),
  0
)
"),0.0037476577139287947)</f>
        <v>0.003747657714</v>
      </c>
      <c r="V9" s="9">
        <f t="shared" ref="V9:W9" si="38">IFERROR(R9-T9,"-")</f>
        <v>0.003055893969</v>
      </c>
      <c r="W9" s="9">
        <f t="shared" si="38"/>
        <v>0.0009588338936</v>
      </c>
      <c r="X9" s="65">
        <f>IFERROR(__xludf.DUMMYFUNCTION("IFERROR(
  VLOOKUP(
    A9,
    IMPORTRANGE(
      ""1ZHMy3vVUd_0MrSduXTe1etBb1HNpAlGwQr006ljwMiM"",
      ""GSC最新!A:R""
    ),
    9,
    FALSE
  ),
  0
)
"),3.734976273078917)</f>
        <v>3.734976273</v>
      </c>
      <c r="Y9" s="65">
        <f>IFERROR(__xludf.DUMMYFUNCTION("IFERROR(
  VLOOKUP(
    A9,
    IMPORTRANGE(
      ""1ZHMy3vVUd_0MrSduXTe1etBb1HNpAlGwQr006ljwMiM"",
      ""GSC最新!A:R""
    ),
    12,
    FALSE
  ),
  0
)
"),3.7139245133579064)</f>
        <v>3.713924513</v>
      </c>
      <c r="Z9" s="65">
        <f>IFERROR(__xludf.DUMMYFUNCTION("IFERROR(
  VLOOKUP(
    A9,
    IMPORTRANGE(
      ""1ZHMy3vVUd_0MrSduXTe1etBb1HNpAlGwQr006ljwMiM"",
      ""GSC最新!A:R""
    ),
    15,
    FALSE
  ),
  0
)
"),6.869701726844584)</f>
        <v>6.869701727</v>
      </c>
      <c r="AA9" s="65">
        <f>IFERROR(__xludf.DUMMYFUNCTION("IFERROR(
  VLOOKUP(
    A9,
    IMPORTRANGE(
      ""1ZHMy3vVUd_0MrSduXTe1etBb1HNpAlGwQr006ljwMiM"",
      ""GSC最新!A:R""
    ),
    18,
    FALSE
  ),
  0
)
"),7.474078700811993)</f>
        <v>7.474078701</v>
      </c>
      <c r="AB9" s="65">
        <f t="shared" ref="AB9:AC9" si="39">X9-Z9</f>
        <v>-3.134725454</v>
      </c>
      <c r="AC9" s="65">
        <f t="shared" si="39"/>
        <v>-3.760154187</v>
      </c>
      <c r="AD9" s="53">
        <f>IFERROR(__xludf.DUMMYFUNCTION("IFERROR(
  VLOOKUP(
    A9,
    IMPORTRANGE(
      ""1ZHMy3vVUd_0MrSduXTe1etBb1HNpAlGwQr006ljwMiM"",
      ""GSC最新!A:F""
    ),
    6,
    FALSE
  ),
  0
)
"),46081.0)</f>
        <v>46081</v>
      </c>
      <c r="AE9" s="54">
        <f>IFERROR(__xludf.DUMMYFUNCTION("IFERROR(
  VLOOKUP(
    A9,
    IMPORTRANGE(
      ""1SCYQd7_cobOYqT0r_F0IqD4tE4rYn5y8Eup4PJTH8es"",
      ""Snapshot!A:M""
    ),
    5,
    FALSE
  ),
  ""-""
)
"),9.0)</f>
        <v>9</v>
      </c>
      <c r="AF9" s="54">
        <f>IFERROR(__xludf.DUMMYFUNCTION("IFERROR(
  VLOOKUP(
    A9,
    IMPORTRANGE(
      ""1SCYQd7_cobOYqT0r_F0IqD4tE4rYn5y8Eup4PJTH8es"",
      ""Snapshot!A:M""
    ),
    6,
    FALSE
  ),
  0
)
"),0.0)</f>
        <v>0</v>
      </c>
      <c r="AG9" s="54">
        <f>IFERROR(__xludf.DUMMYFUNCTION("IFERROR(
  VLOOKUP(
    A9,
    IMPORTRANGE(
      ""1SCYQd7_cobOYqT0r_F0IqD4tE4rYn5y8Eup4PJTH8es"",
      ""Snapshot!A:M""
    ),
    7,
    FALSE
  ),
  0
)
"),3258.0)</f>
        <v>3258</v>
      </c>
      <c r="AH9" s="54">
        <f>IFERROR(__xludf.DUMMYFUNCTION("IFERROR(
  VLOOKUP(
    A9,
    IMPORTRANGE(
      ""1SCYQd7_cobOYqT0r_F0IqD4tE4rYn5y8Eup4PJTH8es"",
      ""Snapshot!A:M""
    ),
    8,
    FALSE
  ),
  0
)
"),2.0)</f>
        <v>2</v>
      </c>
      <c r="AI9" s="54">
        <f>IFERROR(__xludf.DUMMYFUNCTION("IFERROR(
  VLOOKUP(
    A9,
    IMPORTRANGE(
      ""1SCYQd7_cobOYqT0r_F0IqD4tE4rYn5y8Eup4PJTH8es"",
      ""Snapshot!A:M""
    ),
    9,
    FALSE
  ),
  0
)
"),2.0)</f>
        <v>2</v>
      </c>
      <c r="AJ9" s="54">
        <f>IFERROR(__xludf.DUMMYFUNCTION("IFERROR(
  VLOOKUP(
    A9,
    IMPORTRANGE(
      ""1SCYQd7_cobOYqT0r_F0IqD4tE4rYn5y8Eup4PJTH8es"",
      ""Snapshot!A:M""
    ),
    13,
    FALSE
  ),
  0
)
"),2.0)</f>
        <v>2</v>
      </c>
      <c r="AK9" s="49">
        <f t="shared" ref="AK9:AL9" si="40">LEN(C9)</f>
        <v>53</v>
      </c>
      <c r="AL9" s="49">
        <f t="shared" si="40"/>
        <v>115</v>
      </c>
    </row>
    <row r="10">
      <c r="A10" s="3" t="s">
        <v>1234</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"),"【理科のコツ】流れる水のはたらき - 中学受験 理科の個別指導 | 受験理科専門塾「しゅん吉クエスト」")</f>
        <v>【理科のコツ】流れる水のはたらき - 中学受験 理科の個別指導 | 受験理科専門塾「しゅん吉クエスト」</v>
      </c>
      <c r="D10" s="1" t="str">
        <f>IFERROR(__xludf.DUMMYFUNCTION("IFERROR(
  VLOOKUP(
    A10,
    IMPORTRANGE(
      ""1ZygntHC1J6IxzKbTidmOyf5nUyW4GCLurHCjexrLm_o        "",
      ""HTMLキャッシュ!A:F""
    ),
    6,
    FALSE
  ),
  0
)
"),"「流れる水のはたらきを徹底解説！侵食・運搬・堆積の基本から、河川の流れによる地形の変化や三角州の形成までをわかりやすく説明。実験や自然体験を通じて、理科の知識を深める方法も紹介しています。バーベキューや釣りを活用した学習のヒントも満載！詳しくは動画でチェックして、学びを楽しく広げましょう！」")</f>
        <v>「流れる水のはたらきを徹底解説！侵食・運搬・堆積の基本から、河川の流れによる地形の変化や三角州の形成までをわかりやすく説明。実験や自然体験を通じて、理科の知識を深める方法も紹介しています。バーベキューや釣りを活用した学習のヒントも満載！詳しくは動画でチェックして、学びを楽しく広げましょう！」</v>
      </c>
      <c r="E10" s="32">
        <f>IFERROR(__xludf.DUMMYFUNCTION("IFERROR(
  VLOOKUP(
    A10,
    IMPORTRANGE(
      ""1ZygntHC1J6IxzKbTidmOyf5nUyW4GCLurHCjexrLm_o        "",
      ""HTMLキャッシュ!A:F""
    ),
    3,
    FALSE
  ),
  0
)
"),46030.95321759259)</f>
        <v>46030.95322</v>
      </c>
      <c r="F10" s="49">
        <f>IFERROR(__xludf.DUMMYFUNCTION("IFERROR(
  VLOOKUP(
    A10,
    IMPORTRANGE(
      ""1ZHMy3vVUd_0MrSduXTe1etBb1HNpAlGwQr006ljwMiM"",
      ""GSC最新!A:F""
    ),
    2,
    FALSE
  ),
  0
)
"),90.0)</f>
        <v>90</v>
      </c>
      <c r="G10" s="49">
        <f>IFERROR(__xludf.DUMMYFUNCTION("IFERROR(
  VLOOKUP(
    A10,
    IMPORTRANGE(
      ""1ZHMy3vVUd_0MrSduXTe1etBb1HNpAlGwQr006ljwMiM"",
      ""GSC最新!A:F""
    ),
    3,
    FALSE
  ),
  0
)
"),273.0)</f>
        <v>273</v>
      </c>
      <c r="H10" s="49">
        <f>IFERROR(__xludf.DUMMYFUNCTION("IFERROR(
  VLOOKUP(
    A10,
    IMPORTRANGE(
      ""1ZHMy3vVUd_0MrSduXTe1etBb1HNpAlGwQr006ljwMiM"",
      ""GSC最新!A:F""
    ),
    4,
    FALSE
  ),
  0
)
"),12.0)</f>
        <v>12</v>
      </c>
      <c r="I10" s="49">
        <f>IFERROR(__xludf.DUMMYFUNCTION("IFERROR(
  VLOOKUP(
    A10,
    IMPORTRANGE(
      ""1ZHMy3vVUd_0MrSduXTe1etBb1HNpAlGwQr006ljwMiM"",
      ""GSC最新!A:F""
    ),
    5,
    FALSE
  ),
  0
)
"),26.0)</f>
        <v>26</v>
      </c>
      <c r="J10" s="50">
        <f t="shared" ref="J10:K10" si="41">IFERROR(F10/H10,"-")</f>
        <v>7.5</v>
      </c>
      <c r="K10" s="50">
        <f t="shared" si="41"/>
        <v>10.5</v>
      </c>
      <c r="L10" s="6">
        <f>IFERROR(__xludf.DUMMYFUNCTION("IFERROR(
  VLOOKUP(
    A10,
    IMPORTRANGE(
      ""1ZHMy3vVUd_0MrSduXTe1etBb1HNpAlGwQr006ljwMiM"",
      ""GSC最新!A:R""
    ),
    7,
    FALSE
  ),
  0
)
"),18903.0)</f>
        <v>18903</v>
      </c>
      <c r="M10" s="6">
        <f>IFERROR(__xludf.DUMMYFUNCTION("IFERROR(
  VLOOKUP(
    A10,
    IMPORTRANGE(
      ""1ZHMy3vVUd_0MrSduXTe1etBb1HNpAlGwQr006ljwMiM"",
      ""GSC最新!A:R""
    ),
    10,
    FALSE
  ),
  0
)
"),51790.0)</f>
        <v>51790</v>
      </c>
      <c r="N10" s="6">
        <f>IFERROR(__xludf.DUMMYFUNCTION("IFERROR(
  VLOOKUP(
    A10,
    IMPORTRANGE(
      ""1ZHMy3vVUd_0MrSduXTe1etBb1HNpAlGwQr006ljwMiM"",
      ""GSC最新!A:R""
    ),
    13,
    FALSE
  ),
  0
)
"),2210.0)</f>
        <v>2210</v>
      </c>
      <c r="O10" s="6">
        <f>IFERROR(__xludf.DUMMYFUNCTION("IFERROR(
  VLOOKUP(
    A10,
    IMPORTRANGE(
      ""1ZHMy3vVUd_0MrSduXTe1etBb1HNpAlGwQr006ljwMiM"",
      ""GSC最新!A:R""
    ),
    16,
    FALSE
  ),
  0
)
"),4252.0)</f>
        <v>4252</v>
      </c>
      <c r="P10" s="51">
        <f t="shared" ref="P10:Q10" si="42">IFERROR(L10/N10,"-")</f>
        <v>8.553393665</v>
      </c>
      <c r="Q10" s="51">
        <f t="shared" si="42"/>
        <v>12.18015052</v>
      </c>
      <c r="R10" s="9">
        <f>IFERROR(__xludf.DUMMYFUNCTION("IFERROR(
  VLOOKUP(
    A10,
    IMPORTRANGE(
      ""1ZHMy3vVUd_0MrSduXTe1etBb1HNpAlGwQr006ljwMiM"",
      ""GSC最新!A:R""
    ),
    8,
    FALSE
  ),
  0
)
"),0.00476114902396445)</f>
        <v>0.004761149024</v>
      </c>
      <c r="S10" s="9">
        <f>IFERROR(__xludf.DUMMYFUNCTION("IFERROR(
  VLOOKUP(
    A10,
    IMPORTRANGE(
      ""1ZHMy3vVUd_0MrSduXTe1etBb1HNpAlGwQr006ljwMiM"",
      ""GSC最新!A:R""
    ),
    11,
    FALSE
  ),
  0
)
"),0.005271287893415718)</f>
        <v>0.005271287893</v>
      </c>
      <c r="T10" s="9">
        <f>IFERROR(__xludf.DUMMYFUNCTION("IFERROR(
  VLOOKUP(
    A10,
    IMPORTRANGE(
      ""1ZHMy3vVUd_0MrSduXTe1etBb1HNpAlGwQr006ljwMiM"",
      ""GSC最新!A:R""
    ),
    14,
    FALSE
  ),
  0
)
"),0.005429864253393665)</f>
        <v>0.005429864253</v>
      </c>
      <c r="U10" s="9">
        <f>IFERROR(__xludf.DUMMYFUNCTION("IFERROR(
  VLOOKUP(
    A10,
    IMPORTRANGE(
      ""1ZHMy3vVUd_0MrSduXTe1etBb1HNpAlGwQr006ljwMiM"",
      ""GSC最新!A:R""
    ),
    17,
    FALSE
  ),
  0
)
"),0.0061147695202257765)</f>
        <v>0.00611476952</v>
      </c>
      <c r="V10" s="9">
        <f t="shared" ref="V10:W10" si="43">IFERROR(R10-T10,"-")</f>
        <v>-0.0006687152294</v>
      </c>
      <c r="W10" s="9">
        <f t="shared" si="43"/>
        <v>-0.0008434816268</v>
      </c>
      <c r="X10" s="65">
        <f>IFERROR(__xludf.DUMMYFUNCTION("IFERROR(
  VLOOKUP(
    A10,
    IMPORTRANGE(
      ""1ZHMy3vVUd_0MrSduXTe1etBb1HNpAlGwQr006ljwMiM"",
      ""GSC最新!A:R""
    ),
    9,
    FALSE
  ),
  0
)
"),4.871343173041316)</f>
        <v>4.871343173</v>
      </c>
      <c r="Y10" s="65">
        <f>IFERROR(__xludf.DUMMYFUNCTION("IFERROR(
  VLOOKUP(
    A10,
    IMPORTRANGE(
      ""1ZHMy3vVUd_0MrSduXTe1etBb1HNpAlGwQr006ljwMiM"",
      ""GSC最新!A:R""
    ),
    12,
    FALSE
  ),
  0
)
"),4.851110252944584)</f>
        <v>4.851110253</v>
      </c>
      <c r="Z10" s="65">
        <f>IFERROR(__xludf.DUMMYFUNCTION("IFERROR(
  VLOOKUP(
    A10,
    IMPORTRANGE(
      ""1ZHMy3vVUd_0MrSduXTe1etBb1HNpAlGwQr006ljwMiM"",
      ""GSC最新!A:R""
    ),
    15,
    FALSE
  ),
  0
)
"),7.237556561085973)</f>
        <v>7.237556561</v>
      </c>
      <c r="AA10" s="65">
        <f>IFERROR(__xludf.DUMMYFUNCTION("IFERROR(
  VLOOKUP(
    A10,
    IMPORTRANGE(
      ""1ZHMy3vVUd_0MrSduXTe1etBb1HNpAlGwQr006ljwMiM"",
      ""GSC最新!A:R""
    ),
    18,
    FALSE
  ),
  0
)
"),6.816792097836312)</f>
        <v>6.816792098</v>
      </c>
      <c r="AB10" s="65">
        <f t="shared" ref="AB10:AC10" si="44">X10-Z10</f>
        <v>-2.366213388</v>
      </c>
      <c r="AC10" s="65">
        <f t="shared" si="44"/>
        <v>-1.965681845</v>
      </c>
      <c r="AD10" s="53">
        <f>IFERROR(__xludf.DUMMYFUNCTION("IFERROR(
  VLOOKUP(
    A10,
    IMPORTRANGE(
      ""1ZHMy3vVUd_0MrSduXTe1etBb1HNpAlGwQr006ljwMiM"",
      ""GSC最新!A:F""
    ),
    6,
    FALSE
  ),
  0
)
"),46081.0)</f>
        <v>46081</v>
      </c>
      <c r="AE10" s="54">
        <f>IFERROR(__xludf.DUMMYFUNCTION("IFERROR(
  VLOOKUP(
    A10,
    IMPORTRANGE(
      ""1SCYQd7_cobOYqT0r_F0IqD4tE4rYn5y8Eup4PJTH8es"",
      ""Snapshot!A:M""
    ),
    5,
    FALSE
  ),
  ""-""
)
"),8.0)</f>
        <v>8</v>
      </c>
      <c r="AF10" s="54">
        <f>IFERROR(__xludf.DUMMYFUNCTION("IFERROR(
  VLOOKUP(
    A10,
    IMPORTRANGE(
      ""1SCYQd7_cobOYqT0r_F0IqD4tE4rYn5y8Eup4PJTH8es"",
      ""Snapshot!A:M""
    ),
    6,
    FALSE
  ),
  0
)
"),4.0)</f>
        <v>4</v>
      </c>
      <c r="AG10" s="54">
        <f>IFERROR(__xludf.DUMMYFUNCTION("IFERROR(
  VLOOKUP(
    A10,
    IMPORTRANGE(
      ""1SCYQd7_cobOYqT0r_F0IqD4tE4rYn5y8Eup4PJTH8es"",
      ""Snapshot!A:M""
    ),
    7,
    FALSE
  ),
  0
)
"),3592.0)</f>
        <v>3592</v>
      </c>
      <c r="AH10" s="54">
        <f>IFERROR(__xludf.DUMMYFUNCTION("IFERROR(
  VLOOKUP(
    A10,
    IMPORTRANGE(
      ""1SCYQd7_cobOYqT0r_F0IqD4tE4rYn5y8Eup4PJTH8es"",
      ""Snapshot!A:M""
    ),
    8,
    FALSE
  ),
  0
)
"),4.0)</f>
        <v>4</v>
      </c>
      <c r="AI10" s="54">
        <f>IFERROR(__xludf.DUMMYFUNCTION("IFERROR(
  VLOOKUP(
    A10,
    IMPORTRANGE(
      ""1SCYQd7_cobOYqT0r_F0IqD4tE4rYn5y8Eup4PJTH8es"",
      ""Snapshot!A:M""
    ),
    9,
    FALSE
  ),
  0
)
"),2.0)</f>
        <v>2</v>
      </c>
      <c r="AJ10" s="54">
        <f>IFERROR(__xludf.DUMMYFUNCTION("IFERROR(
  VLOOKUP(
    A10,
    IMPORTRANGE(
      ""1SCYQd7_cobOYqT0r_F0IqD4tE4rYn5y8Eup4PJTH8es"",
      ""Snapshot!A:M""
    ),
    13,
    FALSE
  ),
  0
)
"),2.0)</f>
        <v>2</v>
      </c>
      <c r="AK10" s="49">
        <f t="shared" ref="AK10:AL10" si="45">LEN(C10)</f>
        <v>51</v>
      </c>
      <c r="AL10" s="49">
        <f t="shared" si="45"/>
        <v>146</v>
      </c>
    </row>
    <row r="11">
      <c r="A11" s="3" t="s">
        <v>1235</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"),"【理科のコツ】浮力 - 中学受験 理科の個別指導 | 受験理科専門塾「しゅん吉クエスト」")</f>
        <v>【理科のコツ】浮力 - 中学受験 理科の個別指導 | 受験理科専門塾「しゅん吉クエスト」</v>
      </c>
      <c r="D11" s="1" t="str">
        <f>IFERROR(__xludf.DUMMYFUNCTION("IFERROR(
  VLOOKUP(
    A11,
    IMPORTRANGE(
      ""1ZygntHC1J6IxzKbTidmOyf5nUyW4GCLurHCjexrLm_o        "",
      ""HTMLキャッシュ!A:F""
    ),
    6,
    FALSE
  ),
  0
)
"),"浮力の原理をアルキメデスの法則から学ぶ内容を解説。浮力の仕組みや体積と密度の関係、液体中で物体が受ける力のバランスを分かりやすく説明します。水中での物体の重さ変化や氷が浮く理由を学び、浮力の実際の応用を理解しましょう。")</f>
        <v>浮力の原理をアルキメデスの法則から学ぶ内容を解説。浮力の仕組みや体積と密度の関係、液体中で物体が受ける力のバランスを分かりやすく説明します。水中での物体の重さ変化や氷が浮く理由を学び、浮力の実際の応用を理解しましょう。</v>
      </c>
      <c r="E11" s="32">
        <f>IFERROR(__xludf.DUMMYFUNCTION("IFERROR(
  VLOOKUP(
    A11,
    IMPORTRANGE(
      ""1ZygntHC1J6IxzKbTidmOyf5nUyW4GCLurHCjexrLm_o        "",
      ""HTMLキャッシュ!A:F""
    ),
    3,
    FALSE
  ),
  0
)
"),46030.14394675926)</f>
        <v>46030.14395</v>
      </c>
      <c r="F11" s="49">
        <f>IFERROR(__xludf.DUMMYFUNCTION("IFERROR(
  VLOOKUP(
    A11,
    IMPORTRANGE(
      ""1ZHMy3vVUd_0MrSduXTe1etBb1HNpAlGwQr006ljwMiM"",
      ""GSC最新!A:F""
    ),
    2,
    FALSE
  ),
  0
)
"),70.0)</f>
        <v>70</v>
      </c>
      <c r="G11" s="49">
        <f>IFERROR(__xludf.DUMMYFUNCTION("IFERROR(
  VLOOKUP(
    A11,
    IMPORTRANGE(
      ""1ZHMy3vVUd_0MrSduXTe1etBb1HNpAlGwQr006ljwMiM"",
      ""GSC最新!A:F""
    ),
    3,
    FALSE
  ),
  0
)
"),221.0)</f>
        <v>221</v>
      </c>
      <c r="H11" s="49">
        <f>IFERROR(__xludf.DUMMYFUNCTION("IFERROR(
  VLOOKUP(
    A11,
    IMPORTRANGE(
      ""1ZHMy3vVUd_0MrSduXTe1etBb1HNpAlGwQr006ljwMiM"",
      ""GSC最新!A:F""
    ),
    4,
    FALSE
  ),
  0
)
"),12.0)</f>
        <v>12</v>
      </c>
      <c r="I11" s="49">
        <f>IFERROR(__xludf.DUMMYFUNCTION("IFERROR(
  VLOOKUP(
    A11,
    IMPORTRANGE(
      ""1ZHMy3vVUd_0MrSduXTe1etBb1HNpAlGwQr006ljwMiM"",
      ""GSC最新!A:F""
    ),
    5,
    FALSE
  ),
  0
)
"),18.0)</f>
        <v>18</v>
      </c>
      <c r="J11" s="50">
        <f t="shared" ref="J11:K11" si="46">IFERROR(F11/H11,"-")</f>
        <v>5.833333333</v>
      </c>
      <c r="K11" s="50">
        <f t="shared" si="46"/>
        <v>12.27777778</v>
      </c>
      <c r="L11" s="6">
        <f>IFERROR(__xludf.DUMMYFUNCTION("IFERROR(
  VLOOKUP(
    A11,
    IMPORTRANGE(
      ""1ZHMy3vVUd_0MrSduXTe1etBb1HNpAlGwQr006ljwMiM"",
      ""GSC最新!A:R""
    ),
    7,
    FALSE
  ),
  0
)
"),14446.0)</f>
        <v>14446</v>
      </c>
      <c r="M11" s="6">
        <f>IFERROR(__xludf.DUMMYFUNCTION("IFERROR(
  VLOOKUP(
    A11,
    IMPORTRANGE(
      ""1ZHMy3vVUd_0MrSduXTe1etBb1HNpAlGwQr006ljwMiM"",
      ""GSC最新!A:R""
    ),
    10,
    FALSE
  ),
  0
)
"),34949.0)</f>
        <v>34949</v>
      </c>
      <c r="N11" s="6">
        <f>IFERROR(__xludf.DUMMYFUNCTION("IFERROR(
  VLOOKUP(
    A11,
    IMPORTRANGE(
      ""1ZHMy3vVUd_0MrSduXTe1etBb1HNpAlGwQr006ljwMiM"",
      ""GSC最新!A:R""
    ),
    13,
    FALSE
  ),
  0
)
"),695.0)</f>
        <v>695</v>
      </c>
      <c r="O11" s="6">
        <f>IFERROR(__xludf.DUMMYFUNCTION("IFERROR(
  VLOOKUP(
    A11,
    IMPORTRANGE(
      ""1ZHMy3vVUd_0MrSduXTe1etBb1HNpAlGwQr006ljwMiM"",
      ""GSC最新!A:R""
    ),
    16,
    FALSE
  ),
  0
)
"),1373.0)</f>
        <v>1373</v>
      </c>
      <c r="P11" s="51">
        <f t="shared" ref="P11:Q11" si="47">IFERROR(L11/N11,"-")</f>
        <v>20.78561151</v>
      </c>
      <c r="Q11" s="51">
        <f t="shared" si="47"/>
        <v>25.45447924</v>
      </c>
      <c r="R11" s="9">
        <f>IFERROR(__xludf.DUMMYFUNCTION("IFERROR(
  VLOOKUP(
    A11,
    IMPORTRANGE(
      ""1ZHMy3vVUd_0MrSduXTe1etBb1HNpAlGwQr006ljwMiM"",
      ""GSC最新!A:R""
    ),
    8,
    FALSE
  ),
  0
)
"),0.004845632008860584)</f>
        <v>0.004845632009</v>
      </c>
      <c r="S11" s="9">
        <f>IFERROR(__xludf.DUMMYFUNCTION("IFERROR(
  VLOOKUP(
    A11,
    IMPORTRANGE(
      ""1ZHMy3vVUd_0MrSduXTe1etBb1HNpAlGwQr006ljwMiM"",
      ""GSC最新!A:R""
    ),
    11,
    FALSE
  ),
  0
)
"),0.006323499957080317)</f>
        <v>0.006323499957</v>
      </c>
      <c r="T11" s="9">
        <f>IFERROR(__xludf.DUMMYFUNCTION("IFERROR(
  VLOOKUP(
    A11,
    IMPORTRANGE(
      ""1ZHMy3vVUd_0MrSduXTe1etBb1HNpAlGwQr006ljwMiM"",
      ""GSC最新!A:R""
    ),
    14,
    FALSE
  ),
  0
)
"),0.017266187050359712)</f>
        <v>0.01726618705</v>
      </c>
      <c r="U11" s="9">
        <f>IFERROR(__xludf.DUMMYFUNCTION("IFERROR(
  VLOOKUP(
    A11,
    IMPORTRANGE(
      ""1ZHMy3vVUd_0MrSduXTe1etBb1HNpAlGwQr006ljwMiM"",
      ""GSC最新!A:R""
    ),
    17,
    FALSE
  ),
  0
)
"),0.013109978150036417)</f>
        <v>0.01310997815</v>
      </c>
      <c r="V11" s="9">
        <f t="shared" ref="V11:W11" si="48">IFERROR(R11-T11,"-")</f>
        <v>-0.01242055504</v>
      </c>
      <c r="W11" s="9">
        <f t="shared" si="48"/>
        <v>-0.006786478193</v>
      </c>
      <c r="X11" s="65">
        <f>IFERROR(__xludf.DUMMYFUNCTION("IFERROR(
  VLOOKUP(
    A11,
    IMPORTRANGE(
      ""1ZHMy3vVUd_0MrSduXTe1etBb1HNpAlGwQr006ljwMiM"",
      ""GSC最新!A:R""
    ),
    9,
    FALSE
  ),
  0
)
"),4.1032811851031425)</f>
        <v>4.103281185</v>
      </c>
      <c r="Y11" s="65">
        <f>IFERROR(__xludf.DUMMYFUNCTION("IFERROR(
  VLOOKUP(
    A11,
    IMPORTRANGE(
      ""1ZHMy3vVUd_0MrSduXTe1etBb1HNpAlGwQr006ljwMiM"",
      ""GSC最新!A:R""
    ),
    12,
    FALSE
  ),
  0
)
"),4.421757417951873)</f>
        <v>4.421757418</v>
      </c>
      <c r="Z11" s="65">
        <f>IFERROR(__xludf.DUMMYFUNCTION("IFERROR(
  VLOOKUP(
    A11,
    IMPORTRANGE(
      ""1ZHMy3vVUd_0MrSduXTe1etBb1HNpAlGwQr006ljwMiM"",
      ""GSC最新!A:R""
    ),
    15,
    FALSE
  ),
  0
)
"),11.361151079136691)</f>
        <v>11.36115108</v>
      </c>
      <c r="AA11" s="65">
        <f>IFERROR(__xludf.DUMMYFUNCTION("IFERROR(
  VLOOKUP(
    A11,
    IMPORTRANGE(
      ""1ZHMy3vVUd_0MrSduXTe1etBb1HNpAlGwQr006ljwMiM"",
      ""GSC最新!A:R""
    ),
    18,
    FALSE
  ),
  0
)
"),10.17334304442826)</f>
        <v>10.17334304</v>
      </c>
      <c r="AB11" s="65">
        <f t="shared" ref="AB11:AC11" si="49">X11-Z11</f>
        <v>-7.257869894</v>
      </c>
      <c r="AC11" s="65">
        <f t="shared" si="49"/>
        <v>-5.751585626</v>
      </c>
      <c r="AD11" s="53">
        <f>IFERROR(__xludf.DUMMYFUNCTION("IFERROR(
  VLOOKUP(
    A11,
    IMPORTRANGE(
      ""1ZHMy3vVUd_0MrSduXTe1etBb1HNpAlGwQr006ljwMiM"",
      ""GSC最新!A:F""
    ),
    6,
    FALSE
  ),
  0
)
"),46081.0)</f>
        <v>46081</v>
      </c>
      <c r="AE11" s="54">
        <f>IFERROR(__xludf.DUMMYFUNCTION("IFERROR(
  VLOOKUP(
    A11,
    IMPORTRANGE(
      ""1SCYQd7_cobOYqT0r_F0IqD4tE4rYn5y8Eup4PJTH8es"",
      ""Snapshot!A:M""
    ),
    5,
    FALSE
  ),
  ""-""
)
"),7.0)</f>
        <v>7</v>
      </c>
      <c r="AF11" s="54">
        <f>IFERROR(__xludf.DUMMYFUNCTION("IFERROR(
  VLOOKUP(
    A11,
    IMPORTRANGE(
      ""1SCYQd7_cobOYqT0r_F0IqD4tE4rYn5y8Eup4PJTH8es"",
      ""Snapshot!A:M""
    ),
    6,
    FALSE
  ),
  0
)
"),1.0)</f>
        <v>1</v>
      </c>
      <c r="AG11" s="54">
        <f>IFERROR(__xludf.DUMMYFUNCTION("IFERROR(
  VLOOKUP(
    A11,
    IMPORTRANGE(
      ""1SCYQd7_cobOYqT0r_F0IqD4tE4rYn5y8Eup4PJTH8es"",
      ""Snapshot!A:M""
    ),
    7,
    FALSE
  ),
  0
)
"),3342.0)</f>
        <v>3342</v>
      </c>
      <c r="AH11" s="54">
        <f>IFERROR(__xludf.DUMMYFUNCTION("IFERROR(
  VLOOKUP(
    A11,
    IMPORTRANGE(
      ""1SCYQd7_cobOYqT0r_F0IqD4tE4rYn5y8Eup4PJTH8es"",
      ""Snapshot!A:M""
    ),
    8,
    FALSE
  ),
  0
)
"),4.0)</f>
        <v>4</v>
      </c>
      <c r="AI11" s="54">
        <f>IFERROR(__xludf.DUMMYFUNCTION("IFERROR(
  VLOOKUP(
    A11,
    IMPORTRANGE(
      ""1SCYQd7_cobOYqT0r_F0IqD4tE4rYn5y8Eup4PJTH8es"",
      ""Snapshot!A:M""
    ),
    9,
    FALSE
  ),
  0
)
"),2.0)</f>
        <v>2</v>
      </c>
      <c r="AJ11" s="54">
        <f>IFERROR(__xludf.DUMMYFUNCTION("IFERROR(
  VLOOKUP(
    A11,
    IMPORTRANGE(
      ""1SCYQd7_cobOYqT0r_F0IqD4tE4rYn5y8Eup4PJTH8es"",
      ""Snapshot!A:M""
    ),
    13,
    FALSE
  ),
  0
)
"),2.0)</f>
        <v>2</v>
      </c>
      <c r="AK11" s="49">
        <f t="shared" ref="AK11:AL11" si="50">LEN(C11)</f>
        <v>44</v>
      </c>
      <c r="AL11" s="49">
        <f t="shared" si="50"/>
        <v>109</v>
      </c>
    </row>
    <row r="12">
      <c r="A12" s="3" t="s">
        <v>1236</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"),"【理科のコツ】月の満ち欠け・日食・月食 - 中学受験 理科の個別指導 | 受験理科専門塾「しゅん吉クエスト」")</f>
        <v>【理科のコツ】月の満ち欠け・日食・月食 - 中学受験 理科の個別指導 | 受験理科専門塾「しゅん吉クエスト」</v>
      </c>
      <c r="D12" s="1" t="str">
        <f>IFERROR(__xludf.DUMMYFUNCTION("IFERROR(
  VLOOKUP(
    A12,
    IMPORTRANGE(
      ""1ZygntHC1J6IxzKbTidmOyf5nUyW4GCLurHCjexrLm_o        "",
      ""HTMLキャッシュ!A:F""
    ),
    6,
    FALSE
  ),
  0
)
"),"「月の満ち欠けと日食・月食を徹底解説！月の自転と公転の関係から満月や新月の仕組み、日食・月食が起こる理由をわかりやすく説明。南中や十五夜などの天体現象も詳しく解説し、テスト対策に役立つ知識を提供します。動画をチェックして天体観測を楽しみながら学びましょう！」")</f>
        <v>「月の満ち欠けと日食・月食を徹底解説！月の自転と公転の関係から満月や新月の仕組み、日食・月食が起こる理由をわかりやすく説明。南中や十五夜などの天体現象も詳しく解説し、テスト対策に役立つ知識を提供します。動画をチェックして天体観測を楽しみながら学びましょう！」</v>
      </c>
      <c r="E12" s="32">
        <f>IFERROR(__xludf.DUMMYFUNCTION("IFERROR(
  VLOOKUP(
    A12,
    IMPORTRANGE(
      ""1ZygntHC1J6IxzKbTidmOyf5nUyW4GCLurHCjexrLm_o        "",
      ""HTMLキャッシュ!A:F""
    ),
    3,
    FALSE
  ),
  0
)
"),46034.08541666667)</f>
        <v>46034.08542</v>
      </c>
      <c r="F12" s="49">
        <f>IFERROR(__xludf.DUMMYFUNCTION("IFERROR(
  VLOOKUP(
    A12,
    IMPORTRANGE(
      ""1ZHMy3vVUd_0MrSduXTe1etBb1HNpAlGwQr006ljwMiM"",
      ""GSC最新!A:F""
    ),
    2,
    FALSE
  ),
  0
)
"),82.0)</f>
        <v>82</v>
      </c>
      <c r="G12" s="49">
        <f>IFERROR(__xludf.DUMMYFUNCTION("IFERROR(
  VLOOKUP(
    A12,
    IMPORTRANGE(
      ""1ZHMy3vVUd_0MrSduXTe1etBb1HNpAlGwQr006ljwMiM"",
      ""GSC最新!A:F""
    ),
    3,
    FALSE
  ),
  0
)
"),217.0)</f>
        <v>217</v>
      </c>
      <c r="H12" s="49">
        <f>IFERROR(__xludf.DUMMYFUNCTION("IFERROR(
  VLOOKUP(
    A12,
    IMPORTRANGE(
      ""1ZHMy3vVUd_0MrSduXTe1etBb1HNpAlGwQr006ljwMiM"",
      ""GSC最新!A:F""
    ),
    4,
    FALSE
  ),
  0
)
"),26.0)</f>
        <v>26</v>
      </c>
      <c r="I12" s="49">
        <f>IFERROR(__xludf.DUMMYFUNCTION("IFERROR(
  VLOOKUP(
    A12,
    IMPORTRANGE(
      ""1ZHMy3vVUd_0MrSduXTe1etBb1HNpAlGwQr006ljwMiM"",
      ""GSC最新!A:F""
    ),
    5,
    FALSE
  ),
  0
)
"),81.0)</f>
        <v>81</v>
      </c>
      <c r="J12" s="50">
        <f t="shared" ref="J12:K12" si="51">IFERROR(F12/H12,"-")</f>
        <v>3.153846154</v>
      </c>
      <c r="K12" s="50">
        <f t="shared" si="51"/>
        <v>2.679012346</v>
      </c>
      <c r="L12" s="6">
        <f>IFERROR(__xludf.DUMMYFUNCTION("IFERROR(
  VLOOKUP(
    A12,
    IMPORTRANGE(
      ""1ZHMy3vVUd_0MrSduXTe1etBb1HNpAlGwQr006ljwMiM"",
      ""GSC最新!A:R""
    ),
    7,
    FALSE
  ),
  0
)
"),6854.0)</f>
        <v>6854</v>
      </c>
      <c r="M12" s="6">
        <f>IFERROR(__xludf.DUMMYFUNCTION("IFERROR(
  VLOOKUP(
    A12,
    IMPORTRANGE(
      ""1ZHMy3vVUd_0MrSduXTe1etBb1HNpAlGwQr006ljwMiM"",
      ""GSC最新!A:R""
    ),
    10,
    FALSE
  ),
  0
)
"),20093.0)</f>
        <v>20093</v>
      </c>
      <c r="N12" s="6">
        <f>IFERROR(__xludf.DUMMYFUNCTION("IFERROR(
  VLOOKUP(
    A12,
    IMPORTRANGE(
      ""1ZHMy3vVUd_0MrSduXTe1etBb1HNpAlGwQr006ljwMiM"",
      ""GSC最新!A:R""
    ),
    13,
    FALSE
  ),
  0
)
"),2266.0)</f>
        <v>2266</v>
      </c>
      <c r="O12" s="6">
        <f>IFERROR(__xludf.DUMMYFUNCTION("IFERROR(
  VLOOKUP(
    A12,
    IMPORTRANGE(
      ""1ZHMy3vVUd_0MrSduXTe1etBb1HNpAlGwQr006ljwMiM"",
      ""GSC最新!A:R""
    ),
    16,
    FALSE
  ),
  0
)
"),5465.0)</f>
        <v>5465</v>
      </c>
      <c r="P12" s="51">
        <f t="shared" ref="P12:Q12" si="52">IFERROR(L12/N12,"-")</f>
        <v>3.024713151</v>
      </c>
      <c r="Q12" s="51">
        <f t="shared" si="52"/>
        <v>3.676669716</v>
      </c>
      <c r="R12" s="9">
        <f>IFERROR(__xludf.DUMMYFUNCTION("IFERROR(
  VLOOKUP(
    A12,
    IMPORTRANGE(
      ""1ZHMy3vVUd_0MrSduXTe1etBb1HNpAlGwQr006ljwMiM"",
      ""GSC最新!A:R""
    ),
    8,
    FALSE
  ),
  0
)
"),0.011963816749343449)</f>
        <v>0.01196381675</v>
      </c>
      <c r="S12" s="9">
        <f>IFERROR(__xludf.DUMMYFUNCTION("IFERROR(
  VLOOKUP(
    A12,
    IMPORTRANGE(
      ""1ZHMy3vVUd_0MrSduXTe1etBb1HNpAlGwQr006ljwMiM"",
      ""GSC最新!A:R""
    ),
    11,
    FALSE
  ),
  0
)
"),0.010799781018265068)</f>
        <v>0.01079978102</v>
      </c>
      <c r="T12" s="9">
        <f>IFERROR(__xludf.DUMMYFUNCTION("IFERROR(
  VLOOKUP(
    A12,
    IMPORTRANGE(
      ""1ZHMy3vVUd_0MrSduXTe1etBb1HNpAlGwQr006ljwMiM"",
      ""GSC最新!A:R""
    ),
    14,
    FALSE
  ),
  0
)
"),0.01147396293027361)</f>
        <v>0.01147396293</v>
      </c>
      <c r="U12" s="9">
        <f>IFERROR(__xludf.DUMMYFUNCTION("IFERROR(
  VLOOKUP(
    A12,
    IMPORTRANGE(
      ""1ZHMy3vVUd_0MrSduXTe1etBb1HNpAlGwQr006ljwMiM"",
      ""GSC最新!A:R""
    ),
    17,
    FALSE
  ),
  0
)
"),0.014821591948764867)</f>
        <v>0.01482159195</v>
      </c>
      <c r="V12" s="9">
        <f t="shared" ref="V12:W12" si="53">IFERROR(R12-T12,"-")</f>
        <v>0.0004898538191</v>
      </c>
      <c r="W12" s="9">
        <f t="shared" si="53"/>
        <v>-0.00402181093</v>
      </c>
      <c r="X12" s="65">
        <f>IFERROR(__xludf.DUMMYFUNCTION("IFERROR(
  VLOOKUP(
    A12,
    IMPORTRANGE(
      ""1ZHMy3vVUd_0MrSduXTe1etBb1HNpAlGwQr006ljwMiM"",
      ""GSC最新!A:R""
    ),
    9,
    FALSE
  ),
  0
)
"),5.149401809162533)</f>
        <v>5.149401809</v>
      </c>
      <c r="Y12" s="65">
        <f>IFERROR(__xludf.DUMMYFUNCTION("IFERROR(
  VLOOKUP(
    A12,
    IMPORTRANGE(
      ""1ZHMy3vVUd_0MrSduXTe1etBb1HNpAlGwQr006ljwMiM"",
      ""GSC最新!A:R""
    ),
    12,
    FALSE
  ),
  0
)
"),5.21783705768178)</f>
        <v>5.217837058</v>
      </c>
      <c r="Z12" s="65">
        <f>IFERROR(__xludf.DUMMYFUNCTION("IFERROR(
  VLOOKUP(
    A12,
    IMPORTRANGE(
      ""1ZHMy3vVUd_0MrSduXTe1etBb1HNpAlGwQr006ljwMiM"",
      ""GSC最新!A:R""
    ),
    15,
    FALSE
  ),
  0
)
"),6.929832303618712)</f>
        <v>6.929832304</v>
      </c>
      <c r="AA12" s="65">
        <f>IFERROR(__xludf.DUMMYFUNCTION("IFERROR(
  VLOOKUP(
    A12,
    IMPORTRANGE(
      ""1ZHMy3vVUd_0MrSduXTe1etBb1HNpAlGwQr006ljwMiM"",
      ""GSC最新!A:R""
    ),
    18,
    FALSE
  ),
  0
)
"),6.839890210430009)</f>
        <v>6.83989021</v>
      </c>
      <c r="AB12" s="65">
        <f t="shared" ref="AB12:AC12" si="54">X12-Z12</f>
        <v>-1.780430494</v>
      </c>
      <c r="AC12" s="65">
        <f t="shared" si="54"/>
        <v>-1.622053153</v>
      </c>
      <c r="AD12" s="53">
        <f>IFERROR(__xludf.DUMMYFUNCTION("IFERROR(
  VLOOKUP(
    A12,
    IMPORTRANGE(
      ""1ZHMy3vVUd_0MrSduXTe1etBb1HNpAlGwQr006ljwMiM"",
      ""GSC最新!A:F""
    ),
    6,
    FALSE
  ),
  0
)
"),46081.0)</f>
        <v>46081</v>
      </c>
      <c r="AE12" s="54">
        <f>IFERROR(__xludf.DUMMYFUNCTION("IFERROR(
  VLOOKUP(
    A12,
    IMPORTRANGE(
      ""1SCYQd7_cobOYqT0r_F0IqD4tE4rYn5y8Eup4PJTH8es"",
      ""Snapshot!A:M""
    ),
    5,
    FALSE
  ),
  ""-""
)
"),7.0)</f>
        <v>7</v>
      </c>
      <c r="AF12" s="54">
        <f>IFERROR(__xludf.DUMMYFUNCTION("IFERROR(
  VLOOKUP(
    A12,
    IMPORTRANGE(
      ""1SCYQd7_cobOYqT0r_F0IqD4tE4rYn5y8Eup4PJTH8es"",
      ""Snapshot!A:M""
    ),
    6,
    FALSE
  ),
  0
)
"),3.0)</f>
        <v>3</v>
      </c>
      <c r="AG12" s="54">
        <f>IFERROR(__xludf.DUMMYFUNCTION("IFERROR(
  VLOOKUP(
    A12,
    IMPORTRANGE(
      ""1SCYQd7_cobOYqT0r_F0IqD4tE4rYn5y8Eup4PJTH8es"",
      ""Snapshot!A:M""
    ),
    7,
    FALSE
  ),
  0
)
"),3457.0)</f>
        <v>3457</v>
      </c>
      <c r="AH12" s="54">
        <f>IFERROR(__xludf.DUMMYFUNCTION("IFERROR(
  VLOOKUP(
    A12,
    IMPORTRANGE(
      ""1SCYQd7_cobOYqT0r_F0IqD4tE4rYn5y8Eup4PJTH8es"",
      ""Snapshot!A:M""
    ),
    8,
    FALSE
  ),
  0
)
"),4.0)</f>
        <v>4</v>
      </c>
      <c r="AI12" s="54">
        <f>IFERROR(__xludf.DUMMYFUNCTION("IFERROR(
  VLOOKUP(
    A12,
    IMPORTRANGE(
      ""1SCYQd7_cobOYqT0r_F0IqD4tE4rYn5y8Eup4PJTH8es"",
      ""Snapshot!A:M""
    ),
    9,
    FALSE
  ),
  0
)
"),2.0)</f>
        <v>2</v>
      </c>
      <c r="AJ12" s="54">
        <f>IFERROR(__xludf.DUMMYFUNCTION("IFERROR(
  VLOOKUP(
    A12,
    IMPORTRANGE(
      ""1SCYQd7_cobOYqT0r_F0IqD4tE4rYn5y8Eup4PJTH8es"",
      ""Snapshot!A:M""
    ),
    13,
    FALSE
  ),
  0
)
"),2.0)</f>
        <v>2</v>
      </c>
      <c r="AK12" s="49">
        <f t="shared" ref="AK12:AL12" si="55">LEN(C12)</f>
        <v>54</v>
      </c>
      <c r="AL12" s="49">
        <f t="shared" si="55"/>
        <v>129</v>
      </c>
    </row>
    <row r="13">
      <c r="A13" s="3" t="s">
        <v>1237</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"),"【理科のコツ】血液の循環 - 中学受験 理科の個別指導 | 受験理科専門塾「しゅん吉クエスト」")</f>
        <v>【理科のコツ】血液の循環 - 中学受験 理科の個別指導 | 受験理科専門塾「しゅん吉クエスト」</v>
      </c>
      <c r="D13" s="1" t="str">
        <f>IFERROR(__xludf.DUMMYFUNCTION("IFERROR(
  VLOOKUP(
    A13,
    IMPORTRANGE(
      ""1ZygntHC1J6IxzKbTidmOyf5nUyW4GCLurHCjexrLm_o        "",
      ""HTMLキャッシュ!A:F""
    ),
    6,
    FALSE
  ),
  0
)
"),"血液の循環と成分を詳しく解説。心臓の仕組みや右心房、左心室などの役割、動脈と静脈の違い、肺循環での血液と血管名の逆転現象も分かりやすく説明します。赤血球や白血球、血小板など血液の成分が体で果たす役割を学び、血液の働きに関する知識を深めることができます。受験やテスト対策にも最適な情報満載。")</f>
        <v>血液の循環と成分を詳しく解説。心臓の仕組みや右心房、左心室などの役割、動脈と静脈の違い、肺循環での血液と血管名の逆転現象も分かりやすく説明します。赤血球や白血球、血小板など血液の成分が体で果たす役割を学び、血液の働きに関する知識を深めることができます。受験やテスト対策にも最適な情報満載。</v>
      </c>
      <c r="E13" s="32">
        <f>IFERROR(__xludf.DUMMYFUNCTION("IFERROR(
  VLOOKUP(
    A13,
    IMPORTRANGE(
      ""1ZygntHC1J6IxzKbTidmOyf5nUyW4GCLurHCjexrLm_o        "",
      ""HTMLキャッシュ!A:F""
    ),
    3,
    FALSE
  ),
  0
)
"),46030.1403587963)</f>
        <v>46030.14036</v>
      </c>
      <c r="F13" s="49">
        <f>IFERROR(__xludf.DUMMYFUNCTION("IFERROR(
  VLOOKUP(
    A13,
    IMPORTRANGE(
      ""1ZHMy3vVUd_0MrSduXTe1etBb1HNpAlGwQr006ljwMiM"",
      ""GSC最新!A:F""
    ),
    2,
    FALSE
  ),
  0
)
"),43.0)</f>
        <v>43</v>
      </c>
      <c r="G13" s="49">
        <f>IFERROR(__xludf.DUMMYFUNCTION("IFERROR(
  VLOOKUP(
    A13,
    IMPORTRANGE(
      ""1ZHMy3vVUd_0MrSduXTe1etBb1HNpAlGwQr006ljwMiM"",
      ""GSC最新!A:F""
    ),
    3,
    FALSE
  ),
  0
)
"),199.0)</f>
        <v>199</v>
      </c>
      <c r="H13" s="49">
        <f>IFERROR(__xludf.DUMMYFUNCTION("IFERROR(
  VLOOKUP(
    A13,
    IMPORTRANGE(
      ""1ZHMy3vVUd_0MrSduXTe1etBb1HNpAlGwQr006ljwMiM"",
      ""GSC最新!A:F""
    ),
    4,
    FALSE
  ),
  0
)
"),3.0)</f>
        <v>3</v>
      </c>
      <c r="I13" s="49">
        <f>IFERROR(__xludf.DUMMYFUNCTION("IFERROR(
  VLOOKUP(
    A13,
    IMPORTRANGE(
      ""1ZHMy3vVUd_0MrSduXTe1etBb1HNpAlGwQr006ljwMiM"",
      ""GSC最新!A:F""
    ),
    5,
    FALSE
  ),
  0
)
"),7.0)</f>
        <v>7</v>
      </c>
      <c r="J13" s="50">
        <f t="shared" ref="J13:K13" si="56">IFERROR(F13/H13,"-")</f>
        <v>14.33333333</v>
      </c>
      <c r="K13" s="50">
        <f t="shared" si="56"/>
        <v>28.42857143</v>
      </c>
      <c r="L13" s="6">
        <f>IFERROR(__xludf.DUMMYFUNCTION("IFERROR(
  VLOOKUP(
    A13,
    IMPORTRANGE(
      ""1ZHMy3vVUd_0MrSduXTe1etBb1HNpAlGwQr006ljwMiM"",
      ""GSC最新!A:R""
    ),
    7,
    FALSE
  ),
  0
)
"),15031.0)</f>
        <v>15031</v>
      </c>
      <c r="M13" s="6">
        <f>IFERROR(__xludf.DUMMYFUNCTION("IFERROR(
  VLOOKUP(
    A13,
    IMPORTRANGE(
      ""1ZHMy3vVUd_0MrSduXTe1etBb1HNpAlGwQr006ljwMiM"",
      ""GSC最新!A:R""
    ),
    10,
    FALSE
  ),
  0
)
"),37597.0)</f>
        <v>37597</v>
      </c>
      <c r="N13" s="6">
        <f>IFERROR(__xludf.DUMMYFUNCTION("IFERROR(
  VLOOKUP(
    A13,
    IMPORTRANGE(
      ""1ZHMy3vVUd_0MrSduXTe1etBb1HNpAlGwQr006ljwMiM"",
      ""GSC最新!A:R""
    ),
    13,
    FALSE
  ),
  0
)
"),2561.0)</f>
        <v>2561</v>
      </c>
      <c r="O13" s="6">
        <f>IFERROR(__xludf.DUMMYFUNCTION("IFERROR(
  VLOOKUP(
    A13,
    IMPORTRANGE(
      ""1ZHMy3vVUd_0MrSduXTe1etBb1HNpAlGwQr006ljwMiM"",
      ""GSC最新!A:R""
    ),
    16,
    FALSE
  ),
  0
)
"),5429.0)</f>
        <v>5429</v>
      </c>
      <c r="P13" s="51">
        <f t="shared" ref="P13:Q13" si="57">IFERROR(L13/N13,"-")</f>
        <v>5.869191722</v>
      </c>
      <c r="Q13" s="51">
        <f t="shared" si="57"/>
        <v>6.92521643</v>
      </c>
      <c r="R13" s="9">
        <f>IFERROR(__xludf.DUMMYFUNCTION("IFERROR(
  VLOOKUP(
    A13,
    IMPORTRANGE(
      ""1ZHMy3vVUd_0MrSduXTe1etBb1HNpAlGwQr006ljwMiM"",
      ""GSC最新!A:R""
    ),
    8,
    FALSE
  ),
  0
)
"),0.0028607544408223006)</f>
        <v>0.002860754441</v>
      </c>
      <c r="S13" s="9">
        <f>IFERROR(__xludf.DUMMYFUNCTION("IFERROR(
  VLOOKUP(
    A13,
    IMPORTRANGE(
      ""1ZHMy3vVUd_0MrSduXTe1etBb1HNpAlGwQr006ljwMiM"",
      ""GSC最新!A:R""
    ),
    11,
    FALSE
  ),
  0
)
"),0.0052929755033646305)</f>
        <v>0.005292975503</v>
      </c>
      <c r="T13" s="9">
        <f>IFERROR(__xludf.DUMMYFUNCTION("IFERROR(
  VLOOKUP(
    A13,
    IMPORTRANGE(
      ""1ZHMy3vVUd_0MrSduXTe1etBb1HNpAlGwQr006ljwMiM"",
      ""GSC最新!A:R""
    ),
    14,
    FALSE
  ),
  0
)
"),0.0011714174150722373)</f>
        <v>0.001171417415</v>
      </c>
      <c r="U13" s="9">
        <f>IFERROR(__xludf.DUMMYFUNCTION("IFERROR(
  VLOOKUP(
    A13,
    IMPORTRANGE(
      ""1ZHMy3vVUd_0MrSduXTe1etBb1HNpAlGwQr006ljwMiM"",
      ""GSC最新!A:R""
    ),
    17,
    FALSE
  ),
  0
)
"),0.0012893718916927612)</f>
        <v>0.001289371892</v>
      </c>
      <c r="V13" s="9">
        <f t="shared" ref="V13:W13" si="58">IFERROR(R13-T13,"-")</f>
        <v>0.001689337026</v>
      </c>
      <c r="W13" s="9">
        <f t="shared" si="58"/>
        <v>0.004003603612</v>
      </c>
      <c r="X13" s="65">
        <f>IFERROR(__xludf.DUMMYFUNCTION("IFERROR(
  VLOOKUP(
    A13,
    IMPORTRANGE(
      ""1ZHMy3vVUd_0MrSduXTe1etBb1HNpAlGwQr006ljwMiM"",
      ""GSC最新!A:R""
    ),
    9,
    FALSE
  ),
  0
)
"),2.7527110638014767)</f>
        <v>2.752711064</v>
      </c>
      <c r="Y13" s="65">
        <f>IFERROR(__xludf.DUMMYFUNCTION("IFERROR(
  VLOOKUP(
    A13,
    IMPORTRANGE(
      ""1ZHMy3vVUd_0MrSduXTe1etBb1HNpAlGwQr006ljwMiM"",
      ""GSC最新!A:R""
    ),
    12,
    FALSE
  ),
  0
)
"),2.9266962789584277)</f>
        <v>2.926696279</v>
      </c>
      <c r="Z13" s="65">
        <f>IFERROR(__xludf.DUMMYFUNCTION("IFERROR(
  VLOOKUP(
    A13,
    IMPORTRANGE(
      ""1ZHMy3vVUd_0MrSduXTe1etBb1HNpAlGwQr006ljwMiM"",
      ""GSC最新!A:R""
    ),
    15,
    FALSE
  ),
  0
)
"),6.6684888715345565)</f>
        <v>6.668488872</v>
      </c>
      <c r="AA13" s="65">
        <f>IFERROR(__xludf.DUMMYFUNCTION("IFERROR(
  VLOOKUP(
    A13,
    IMPORTRANGE(
      ""1ZHMy3vVUd_0MrSduXTe1etBb1HNpAlGwQr006ljwMiM"",
      ""GSC最新!A:R""
    ),
    18,
    FALSE
  ),
  0
)
"),5.122490329710812)</f>
        <v>5.12249033</v>
      </c>
      <c r="AB13" s="65">
        <f t="shared" ref="AB13:AC13" si="59">X13-Z13</f>
        <v>-3.915777808</v>
      </c>
      <c r="AC13" s="65">
        <f t="shared" si="59"/>
        <v>-2.195794051</v>
      </c>
      <c r="AD13" s="53">
        <f>IFERROR(__xludf.DUMMYFUNCTION("IFERROR(
  VLOOKUP(
    A13,
    IMPORTRANGE(
      ""1ZHMy3vVUd_0MrSduXTe1etBb1HNpAlGwQr006ljwMiM"",
      ""GSC最新!A:F""
    ),
    6,
    FALSE
  ),
  0
)
"),46081.0)</f>
        <v>46081</v>
      </c>
      <c r="AE13" s="54">
        <f>IFERROR(__xludf.DUMMYFUNCTION("IFERROR(
  VLOOKUP(
    A13,
    IMPORTRANGE(
      ""1SCYQd7_cobOYqT0r_F0IqD4tE4rYn5y8Eup4PJTH8es"",
      ""Snapshot!A:M""
    ),
    5,
    FALSE
  ),
  ""-""
)
"),9.0)</f>
        <v>9</v>
      </c>
      <c r="AF13" s="54">
        <f>IFERROR(__xludf.DUMMYFUNCTION("IFERROR(
  VLOOKUP(
    A13,
    IMPORTRANGE(
      ""1SCYQd7_cobOYqT0r_F0IqD4tE4rYn5y8Eup4PJTH8es"",
      ""Snapshot!A:M""
    ),
    6,
    FALSE
  ),
  0
)
"),3.0)</f>
        <v>3</v>
      </c>
      <c r="AG13" s="54">
        <f>IFERROR(__xludf.DUMMYFUNCTION("IFERROR(
  VLOOKUP(
    A13,
    IMPORTRANGE(
      ""1SCYQd7_cobOYqT0r_F0IqD4tE4rYn5y8Eup4PJTH8es"",
      ""Snapshot!A:M""
    ),
    7,
    FALSE
  ),
  0
)
"),3641.0)</f>
        <v>3641</v>
      </c>
      <c r="AH13" s="54">
        <f>IFERROR(__xludf.DUMMYFUNCTION("IFERROR(
  VLOOKUP(
    A13,
    IMPORTRANGE(
      ""1SCYQd7_cobOYqT0r_F0IqD4tE4rYn5y8Eup4PJTH8es"",
      ""Snapshot!A:M""
    ),
    8,
    FALSE
  ),
  0
)
"),1.0)</f>
        <v>1</v>
      </c>
      <c r="AI13" s="54">
        <f>IFERROR(__xludf.DUMMYFUNCTION("IFERROR(
  VLOOKUP(
    A13,
    IMPORTRANGE(
      ""1SCYQd7_cobOYqT0r_F0IqD4tE4rYn5y8Eup4PJTH8es"",
      ""Snapshot!A:M""
    ),
    9,
    FALSE
  ),
  0
)
"),2.0)</f>
        <v>2</v>
      </c>
      <c r="AJ13" s="54">
        <f>IFERROR(__xludf.DUMMYFUNCTION("IFERROR(
  VLOOKUP(
    A13,
    IMPORTRANGE(
      ""1SCYQd7_cobOYqT0r_F0IqD4tE4rYn5y8Eup4PJTH8es"",
      ""Snapshot!A:M""
    ),
    13,
    FALSE
  ),
  0
)
"),2.0)</f>
        <v>2</v>
      </c>
      <c r="AK13" s="49">
        <f t="shared" ref="AK13:AL13" si="60">LEN(C13)</f>
        <v>47</v>
      </c>
      <c r="AL13" s="49">
        <f t="shared" si="60"/>
        <v>144</v>
      </c>
    </row>
    <row r="14">
      <c r="A14" s="3" t="s">
        <v>1238</v>
      </c>
      <c r="B14" s="1" t="str">
        <f>IFERROR(__xludf.DUMMYFUNCTION("IFERROR(
  VLOOKUP(
    A14,
    IMPORTRANGE(
      ""1ZygntHC1J6IxzKbTidmOyf5nUyW4GCLurHCjexrLm_o"",
      ""HTMLキャッシュ!A:F""
    ),
    2,
    FALSE
  ),
  0
)
"),"MC")</f>
        <v>MC</v>
      </c>
      <c r="C14" s="1" t="str">
        <f>IFERROR(__xludf.DUMMYFUNCTION("IFERROR(
  VLOOKUP(
    A14,
    IMPORTRANGE(
      ""1ZygntHC1J6IxzKbTidmOyf5nUyW4GCLurHCjexrLm_o"",
      ""HTMLキャッシュ!A:F""
    ),
    5,
    FALSE
  ),
  0
)
"),"【理科のコツ】圧力・水圧・気圧 - 中学受験 理科の個別指導 | 受験理科専門塾「しゅん吉クエスト」")</f>
        <v>【理科のコツ】圧力・水圧・気圧 - 中学受験 理科の個別指導 | 受験理科専門塾「しゅん吉クエスト」</v>
      </c>
      <c r="D14" s="1" t="str">
        <f>IFERROR(__xludf.DUMMYFUNCTION("IFERROR(
  VLOOKUP(
    A14,
    IMPORTRANGE(
      ""1ZygntHC1J6IxzKbTidmOyf5nUyW4GCLurHCjexrLm_o        "",
      ""HTMLキャッシュ!A:F""
    ),
    6,
    FALSE
  ),
  0
)
"),"「圧力・水圧・気圧をわかりやすく解説！力と圧力の違いや公式の使い方を具体例で説明し、大気圧や水圧の仕組みを実感できます。受験理科専門塾『しゅん吉クエスト』の物理攻略講座で感覚的理解を深め、理科の成績アップを目指しましょう。詳しくは動画でチェック！」")</f>
        <v>「圧力・水圧・気圧をわかりやすく解説！力と圧力の違いや公式の使い方を具体例で説明し、大気圧や水圧の仕組みを実感できます。受験理科専門塾『しゅん吉クエスト』の物理攻略講座で感覚的理解を深め、理科の成績アップを目指しましょう。詳しくは動画でチェック！」</v>
      </c>
      <c r="E14" s="32">
        <f>IFERROR(__xludf.DUMMYFUNCTION("IFERROR(
  VLOOKUP(
    A14,
    IMPORTRANGE(
      ""1ZygntHC1J6IxzKbTidmOyf5nUyW4GCLurHCjexrLm_o        "",
      ""HTMLキャッシュ!A:F""
    ),
    3,
    FALSE
  ),
  0
)
"),46034.093506944446)</f>
        <v>46034.09351</v>
      </c>
      <c r="F14" s="49">
        <f>IFERROR(__xludf.DUMMYFUNCTION("IFERROR(
  VLOOKUP(
    A14,
    IMPORTRANGE(
      ""1ZHMy3vVUd_0MrSduXTe1etBb1HNpAlGwQr006ljwMiM"",
      ""GSC最新!A:F""
    ),
    2,
    FALSE
  ),
  0
)
"),86.0)</f>
        <v>86</v>
      </c>
      <c r="G14" s="49">
        <f>IFERROR(__xludf.DUMMYFUNCTION("IFERROR(
  VLOOKUP(
    A14,
    IMPORTRANGE(
      ""1ZHMy3vVUd_0MrSduXTe1etBb1HNpAlGwQr006ljwMiM"",
      ""GSC最新!A:F""
    ),
    3,
    FALSE
  ),
  0
)
"),197.0)</f>
        <v>197</v>
      </c>
      <c r="H14" s="49">
        <f>IFERROR(__xludf.DUMMYFUNCTION("IFERROR(
  VLOOKUP(
    A14,
    IMPORTRANGE(
      ""1ZHMy3vVUd_0MrSduXTe1etBb1HNpAlGwQr006ljwMiM"",
      ""GSC最新!A:F""
    ),
    4,
    FALSE
  ),
  0
)
"),18.0)</f>
        <v>18</v>
      </c>
      <c r="I14" s="49">
        <f>IFERROR(__xludf.DUMMYFUNCTION("IFERROR(
  VLOOKUP(
    A14,
    IMPORTRANGE(
      ""1ZHMy3vVUd_0MrSduXTe1etBb1HNpAlGwQr006ljwMiM"",
      ""GSC最新!A:F""
    ),
    5,
    FALSE
  ),
  0
)
"),37.0)</f>
        <v>37</v>
      </c>
      <c r="J14" s="50">
        <f t="shared" ref="J14:K14" si="61">IFERROR(F14/H14,"-")</f>
        <v>4.777777778</v>
      </c>
      <c r="K14" s="50">
        <f t="shared" si="61"/>
        <v>5.324324324</v>
      </c>
      <c r="L14" s="6">
        <f>IFERROR(__xludf.DUMMYFUNCTION("IFERROR(
  VLOOKUP(
    A14,
    IMPORTRANGE(
      ""1ZHMy3vVUd_0MrSduXTe1etBb1HNpAlGwQr006ljwMiM"",
      ""GSC最新!A:R""
    ),
    7,
    FALSE
  ),
  0
)
"),14036.0)</f>
        <v>14036</v>
      </c>
      <c r="M14" s="6">
        <f>IFERROR(__xludf.DUMMYFUNCTION("IFERROR(
  VLOOKUP(
    A14,
    IMPORTRANGE(
      ""1ZHMy3vVUd_0MrSduXTe1etBb1HNpAlGwQr006ljwMiM"",
      ""GSC最新!A:R""
    ),
    10,
    FALSE
  ),
  0
)
"),29992.0)</f>
        <v>29992</v>
      </c>
      <c r="N14" s="6">
        <f>IFERROR(__xludf.DUMMYFUNCTION("IFERROR(
  VLOOKUP(
    A14,
    IMPORTRANGE(
      ""1ZHMy3vVUd_0MrSduXTe1etBb1HNpAlGwQr006ljwMiM"",
      ""GSC最新!A:R""
    ),
    13,
    FALSE
  ),
  0
)
"),563.0)</f>
        <v>563</v>
      </c>
      <c r="O14" s="6">
        <f>IFERROR(__xludf.DUMMYFUNCTION("IFERROR(
  VLOOKUP(
    A14,
    IMPORTRANGE(
      ""1ZHMy3vVUd_0MrSduXTe1etBb1HNpAlGwQr006ljwMiM"",
      ""GSC最新!A:R""
    ),
    16,
    FALSE
  ),
  0
)
"),1093.0)</f>
        <v>1093</v>
      </c>
      <c r="P14" s="51">
        <f t="shared" ref="P14:Q14" si="62">IFERROR(L14/N14,"-")</f>
        <v>24.93072824</v>
      </c>
      <c r="Q14" s="51">
        <f t="shared" si="62"/>
        <v>27.44007319</v>
      </c>
      <c r="R14" s="9">
        <f>IFERROR(__xludf.DUMMYFUNCTION("IFERROR(
  VLOOKUP(
    A14,
    IMPORTRANGE(
      ""1ZHMy3vVUd_0MrSduXTe1etBb1HNpAlGwQr006ljwMiM"",
      ""GSC最新!A:R""
    ),
    8,
    FALSE
  ),
  0
)
"),0.0061271017383870046)</f>
        <v>0.006127101738</v>
      </c>
      <c r="S14" s="9">
        <f>IFERROR(__xludf.DUMMYFUNCTION("IFERROR(
  VLOOKUP(
    A14,
    IMPORTRANGE(
      ""1ZHMy3vVUd_0MrSduXTe1etBb1HNpAlGwQr006ljwMiM"",
      ""GSC最新!A:R""
    ),
    11,
    FALSE
  ),
  0
)
"),0.006568418244865298)</f>
        <v>0.006568418245</v>
      </c>
      <c r="T14" s="9">
        <f>IFERROR(__xludf.DUMMYFUNCTION("IFERROR(
  VLOOKUP(
    A14,
    IMPORTRANGE(
      ""1ZHMy3vVUd_0MrSduXTe1etBb1HNpAlGwQr006ljwMiM"",
      ""GSC最新!A:R""
    ),
    14,
    FALSE
  ),
  0
)
"),0.03197158081705151)</f>
        <v>0.03197158082</v>
      </c>
      <c r="U14" s="9">
        <f>IFERROR(__xludf.DUMMYFUNCTION("IFERROR(
  VLOOKUP(
    A14,
    IMPORTRANGE(
      ""1ZHMy3vVUd_0MrSduXTe1etBb1HNpAlGwQr006ljwMiM"",
      ""GSC最新!A:R""
    ),
    17,
    FALSE
  ),
  0
)
"),0.03385178408051235)</f>
        <v>0.03385178408</v>
      </c>
      <c r="V14" s="9">
        <f t="shared" ref="V14:W14" si="63">IFERROR(R14-T14,"-")</f>
        <v>-0.02584447908</v>
      </c>
      <c r="W14" s="9">
        <f t="shared" si="63"/>
        <v>-0.02728336584</v>
      </c>
      <c r="X14" s="65">
        <f>IFERROR(__xludf.DUMMYFUNCTION("IFERROR(
  VLOOKUP(
    A14,
    IMPORTRANGE(
      ""1ZHMy3vVUd_0MrSduXTe1etBb1HNpAlGwQr006ljwMiM"",
      ""GSC最新!A:R""
    ),
    9,
    FALSE
  ),
  0
)
"),6.430322029068111)</f>
        <v>6.430322029</v>
      </c>
      <c r="Y14" s="65">
        <f>IFERROR(__xludf.DUMMYFUNCTION("IFERROR(
  VLOOKUP(
    A14,
    IMPORTRANGE(
      ""1ZHMy3vVUd_0MrSduXTe1etBb1HNpAlGwQr006ljwMiM"",
      ""GSC最新!A:R""
    ),
    12,
    FALSE
  ),
  0
)
"),6.383635636169645)</f>
        <v>6.383635636</v>
      </c>
      <c r="Z14" s="65">
        <f>IFERROR(__xludf.DUMMYFUNCTION("IFERROR(
  VLOOKUP(
    A14,
    IMPORTRANGE(
      ""1ZHMy3vVUd_0MrSduXTe1etBb1HNpAlGwQr006ljwMiM"",
      ""GSC最新!A:R""
    ),
    15,
    FALSE
  ),
  0
)
"),9.9449378330373)</f>
        <v>9.944937833</v>
      </c>
      <c r="AA14" s="65">
        <f>IFERROR(__xludf.DUMMYFUNCTION("IFERROR(
  VLOOKUP(
    A14,
    IMPORTRANGE(
      ""1ZHMy3vVUd_0MrSduXTe1etBb1HNpAlGwQr006ljwMiM"",
      ""GSC最新!A:R""
    ),
    18,
    FALSE
  ),
  0
)
"),9.130832570905763)</f>
        <v>9.130832571</v>
      </c>
      <c r="AB14" s="65">
        <f t="shared" ref="AB14:AC14" si="64">X14-Z14</f>
        <v>-3.514615804</v>
      </c>
      <c r="AC14" s="65">
        <f t="shared" si="64"/>
        <v>-2.747196935</v>
      </c>
      <c r="AD14" s="53">
        <f>IFERROR(__xludf.DUMMYFUNCTION("IFERROR(
  VLOOKUP(
    A14,
    IMPORTRANGE(
      ""1ZHMy3vVUd_0MrSduXTe1etBb1HNpAlGwQr006ljwMiM"",
      ""GSC最新!A:F""
    ),
    6,
    FALSE
  ),
  0
)
"),46081.0)</f>
        <v>46081</v>
      </c>
      <c r="AE14" s="54">
        <f>IFERROR(__xludf.DUMMYFUNCTION("IFERROR(
  VLOOKUP(
    A14,
    IMPORTRANGE(
      ""1SCYQd7_cobOYqT0r_F0IqD4tE4rYn5y8Eup4PJTH8es"",
      ""Snapshot!A:M""
    ),
    5,
    FALSE
  ),
  ""-""
)
"),7.0)</f>
        <v>7</v>
      </c>
      <c r="AF14" s="54">
        <f>IFERROR(__xludf.DUMMYFUNCTION("IFERROR(
  VLOOKUP(
    A14,
    IMPORTRANGE(
      ""1SCYQd7_cobOYqT0r_F0IqD4tE4rYn5y8Eup4PJTH8es"",
      ""Snapshot!A:M""
    ),
    6,
    FALSE
  ),
  0
)
"),3.0)</f>
        <v>3</v>
      </c>
      <c r="AG14" s="54">
        <f>IFERROR(__xludf.DUMMYFUNCTION("IFERROR(
  VLOOKUP(
    A14,
    IMPORTRANGE(
      ""1SCYQd7_cobOYqT0r_F0IqD4tE4rYn5y8Eup4PJTH8es"",
      ""Snapshot!A:M""
    ),
    7,
    FALSE
  ),
  0
)
"),2991.0)</f>
        <v>2991</v>
      </c>
      <c r="AH14" s="54">
        <f>IFERROR(__xludf.DUMMYFUNCTION("IFERROR(
  VLOOKUP(
    A14,
    IMPORTRANGE(
      ""1SCYQd7_cobOYqT0r_F0IqD4tE4rYn5y8Eup4PJTH8es"",
      ""Snapshot!A:M""
    ),
    8,
    FALSE
  ),
  0
)
"),2.0)</f>
        <v>2</v>
      </c>
      <c r="AI14" s="54">
        <f>IFERROR(__xludf.DUMMYFUNCTION("IFERROR(
  VLOOKUP(
    A14,
    IMPORTRANGE(
      ""1SCYQd7_cobOYqT0r_F0IqD4tE4rYn5y8Eup4PJTH8es"",
      ""Snapshot!A:M""
    ),
    9,
    FALSE
  ),
  0
)
"),2.0)</f>
        <v>2</v>
      </c>
      <c r="AJ14" s="54">
        <f>IFERROR(__xludf.DUMMYFUNCTION("IFERROR(
  VLOOKUP(
    A14,
    IMPORTRANGE(
      ""1SCYQd7_cobOYqT0r_F0IqD4tE4rYn5y8Eup4PJTH8es"",
      ""Snapshot!A:M""
    ),
    13,
    FALSE
  ),
  0
)
"),2.0)</f>
        <v>2</v>
      </c>
      <c r="AK14" s="49">
        <f t="shared" ref="AK14:AL14" si="65">LEN(C14)</f>
        <v>50</v>
      </c>
      <c r="AL14" s="49">
        <f t="shared" si="65"/>
        <v>124</v>
      </c>
    </row>
    <row r="15">
      <c r="A15" s="3" t="s">
        <v>1239</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"),"【理科のコツ】てこの原理/かっ車と輪軸/ふりこ - 中学受験 理科の個別指導 | 受験理科専門塾「しゅん吉クエスト」")</f>
        <v>【理科のコツ】てこの原理/かっ車と輪軸/ふりこ - 中学受験 理科の個別指導 | 受験理科専門塾「しゅん吉クエスト」</v>
      </c>
      <c r="D15" s="1" t="str">
        <f>IFERROR(__xludf.DUMMYFUNCTION("IFERROR(
  VLOOKUP(
    A15,
    IMPORTRANGE(
      ""1ZygntHC1J6IxzKbTidmOyf5nUyW4GCLurHCjexrLm_o        "",
      ""HTMLキャッシュ!A:F""
    ),
    6,
    FALSE
  ),
  0
)
"),"「てこの原理・かっ車・ふりこの仕組みをわかりやすく解説！受験理科専門塾『しゅん吉クエスト』では、実験を通じて支点・力点・作用点や力の向きの変化、周期の関係などを楽しく学べます。受験に役立つ知識を身につけ、実践力を高めましょう！詳しくは動画をチェック！」")</f>
        <v>「てこの原理・かっ車・ふりこの仕組みをわかりやすく解説！受験理科専門塾『しゅん吉クエスト』では、実験を通じて支点・力点・作用点や力の向きの変化、周期の関係などを楽しく学べます。受験に役立つ知識を身につけ、実践力を高めましょう！詳しくは動画をチェック！」</v>
      </c>
      <c r="E15" s="32">
        <f>IFERROR(__xludf.DUMMYFUNCTION("IFERROR(
  VLOOKUP(
    A15,
    IMPORTRANGE(
      ""1ZygntHC1J6IxzKbTidmOyf5nUyW4GCLurHCjexrLm_o        "",
      ""HTMLキャッシュ!A:F""
    ),
    3,
    FALSE
  ),
  0
)
"),46030.92387731482)</f>
        <v>46030.92388</v>
      </c>
      <c r="F15" s="49">
        <f>IFERROR(__xludf.DUMMYFUNCTION("IFERROR(
  VLOOKUP(
    A15,
    IMPORTRANGE(
      ""1ZHMy3vVUd_0MrSduXTe1etBb1HNpAlGwQr006ljwMiM"",
      ""GSC最新!A:F""
    ),
    2,
    FALSE
  ),
  0
)
"),33.0)</f>
        <v>33</v>
      </c>
      <c r="G15" s="49">
        <f>IFERROR(__xludf.DUMMYFUNCTION("IFERROR(
  VLOOKUP(
    A15,
    IMPORTRANGE(
      ""1ZHMy3vVUd_0MrSduXTe1etBb1HNpAlGwQr006ljwMiM"",
      ""GSC最新!A:F""
    ),
    3,
    FALSE
  ),
  0
)
"),171.0)</f>
        <v>171</v>
      </c>
      <c r="H15" s="49">
        <f>IFERROR(__xludf.DUMMYFUNCTION("IFERROR(
  VLOOKUP(
    A15,
    IMPORTRANGE(
      ""1ZHMy3vVUd_0MrSduXTe1etBb1HNpAlGwQr006ljwMiM"",
      ""GSC最新!A:F""
    ),
    4,
    FALSE
  ),
  0
)
"),15.0)</f>
        <v>15</v>
      </c>
      <c r="I15" s="49">
        <f>IFERROR(__xludf.DUMMYFUNCTION("IFERROR(
  VLOOKUP(
    A15,
    IMPORTRANGE(
      ""1ZHMy3vVUd_0MrSduXTe1etBb1HNpAlGwQr006ljwMiM"",
      ""GSC最新!A:F""
    ),
    5,
    FALSE
  ),
  0
)
"),72.0)</f>
        <v>72</v>
      </c>
      <c r="J15" s="50">
        <f t="shared" ref="J15:K15" si="66">IFERROR(F15/H15,"-")</f>
        <v>2.2</v>
      </c>
      <c r="K15" s="50">
        <f t="shared" si="66"/>
        <v>2.375</v>
      </c>
      <c r="L15" s="6">
        <f>IFERROR(__xludf.DUMMYFUNCTION("IFERROR(
  VLOOKUP(
    A15,
    IMPORTRANGE(
      ""1ZHMy3vVUd_0MrSduXTe1etBb1HNpAlGwQr006ljwMiM"",
      ""GSC最新!A:R""
    ),
    7,
    FALSE
  ),
  0
)
"),8431.0)</f>
        <v>8431</v>
      </c>
      <c r="M15" s="6">
        <f>IFERROR(__xludf.DUMMYFUNCTION("IFERROR(
  VLOOKUP(
    A15,
    IMPORTRANGE(
      ""1ZHMy3vVUd_0MrSduXTe1etBb1HNpAlGwQr006ljwMiM"",
      ""GSC最新!A:R""
    ),
    10,
    FALSE
  ),
  0
)
"),28276.0)</f>
        <v>28276</v>
      </c>
      <c r="N15" s="6">
        <f>IFERROR(__xludf.DUMMYFUNCTION("IFERROR(
  VLOOKUP(
    A15,
    IMPORTRANGE(
      ""1ZHMy3vVUd_0MrSduXTe1etBb1HNpAlGwQr006ljwMiM"",
      ""GSC最新!A:R""
    ),
    13,
    FALSE
  ),
  0
)
"),1081.0)</f>
        <v>1081</v>
      </c>
      <c r="O15" s="6">
        <f>IFERROR(__xludf.DUMMYFUNCTION("IFERROR(
  VLOOKUP(
    A15,
    IMPORTRANGE(
      ""1ZHMy3vVUd_0MrSduXTe1etBb1HNpAlGwQr006ljwMiM"",
      ""GSC最新!A:R""
    ),
    16,
    FALSE
  ),
  0
)
"),3617.0)</f>
        <v>3617</v>
      </c>
      <c r="P15" s="51">
        <f t="shared" ref="P15:Q15" si="67">IFERROR(L15/N15,"-")</f>
        <v>7.799259944</v>
      </c>
      <c r="Q15" s="51">
        <f t="shared" si="67"/>
        <v>7.817528338</v>
      </c>
      <c r="R15" s="9">
        <f>IFERROR(__xludf.DUMMYFUNCTION("IFERROR(
  VLOOKUP(
    A15,
    IMPORTRANGE(
      ""1ZHMy3vVUd_0MrSduXTe1etBb1HNpAlGwQr006ljwMiM"",
      ""GSC最新!A:R""
    ),
    8,
    FALSE
  ),
  0
)
"),0.003914126438144941)</f>
        <v>0.003914126438</v>
      </c>
      <c r="S15" s="9">
        <f>IFERROR(__xludf.DUMMYFUNCTION("IFERROR(
  VLOOKUP(
    A15,
    IMPORTRANGE(
      ""1ZHMy3vVUd_0MrSduXTe1etBb1HNpAlGwQr006ljwMiM"",
      ""GSC最新!A:R""
    ),
    11,
    FALSE
  ),
  0
)
"),0.006047531475456217)</f>
        <v>0.006047531475</v>
      </c>
      <c r="T15" s="9">
        <f>IFERROR(__xludf.DUMMYFUNCTION("IFERROR(
  VLOOKUP(
    A15,
    IMPORTRANGE(
      ""1ZHMy3vVUd_0MrSduXTe1etBb1HNpAlGwQr006ljwMiM"",
      ""GSC最新!A:R""
    ),
    14,
    FALSE
  ),
  0
)
"),0.013876040703052728)</f>
        <v>0.0138760407</v>
      </c>
      <c r="U15" s="9">
        <f>IFERROR(__xludf.DUMMYFUNCTION("IFERROR(
  VLOOKUP(
    A15,
    IMPORTRANGE(
      ""1ZHMy3vVUd_0MrSduXTe1etBb1HNpAlGwQr006ljwMiM"",
      ""GSC最新!A:R""
    ),
    17,
    FALSE
  ),
  0
)
"),0.01990599944705557)</f>
        <v>0.01990599945</v>
      </c>
      <c r="V15" s="9">
        <f t="shared" ref="V15:W15" si="68">IFERROR(R15-T15,"-")</f>
        <v>-0.009961914265</v>
      </c>
      <c r="W15" s="9">
        <f t="shared" si="68"/>
        <v>-0.01385846797</v>
      </c>
      <c r="X15" s="65">
        <f>IFERROR(__xludf.DUMMYFUNCTION("IFERROR(
  VLOOKUP(
    A15,
    IMPORTRANGE(
      ""1ZHMy3vVUd_0MrSduXTe1etBb1HNpAlGwQr006ljwMiM"",
      ""GSC最新!A:R""
    ),
    9,
    FALSE
  ),
  0
)
"),4.621871664096785)</f>
        <v>4.621871664</v>
      </c>
      <c r="Y15" s="65">
        <f>IFERROR(__xludf.DUMMYFUNCTION("IFERROR(
  VLOOKUP(
    A15,
    IMPORTRANGE(
      ""1ZHMy3vVUd_0MrSduXTe1etBb1HNpAlGwQr006ljwMiM"",
      ""GSC最新!A:R""
    ),
    12,
    FALSE
  ),
  0
)
"),5.564966756259725)</f>
        <v>5.564966756</v>
      </c>
      <c r="Z15" s="65">
        <f>IFERROR(__xludf.DUMMYFUNCTION("IFERROR(
  VLOOKUP(
    A15,
    IMPORTRANGE(
      ""1ZHMy3vVUd_0MrSduXTe1etBb1HNpAlGwQr006ljwMiM"",
      ""GSC最新!A:R""
    ),
    15,
    FALSE
  ),
  0
)
"),10.089731729879741)</f>
        <v>10.08973173</v>
      </c>
      <c r="AA15" s="65">
        <f>IFERROR(__xludf.DUMMYFUNCTION("IFERROR(
  VLOOKUP(
    A15,
    IMPORTRANGE(
      ""1ZHMy3vVUd_0MrSduXTe1etBb1HNpAlGwQr006ljwMiM"",
      ""GSC最新!A:R""
    ),
    18,
    FALSE
  ),
  0
)
"),9.711639480232236)</f>
        <v>9.71163948</v>
      </c>
      <c r="AB15" s="65">
        <f t="shared" ref="AB15:AC15" si="69">X15-Z15</f>
        <v>-5.467860066</v>
      </c>
      <c r="AC15" s="65">
        <f t="shared" si="69"/>
        <v>-4.146672724</v>
      </c>
      <c r="AD15" s="53">
        <f>IFERROR(__xludf.DUMMYFUNCTION("IFERROR(
  VLOOKUP(
    A15,
    IMPORTRANGE(
      ""1ZHMy3vVUd_0MrSduXTe1etBb1HNpAlGwQr006ljwMiM"",
      ""GSC最新!A:F""
    ),
    6,
    FALSE
  ),
  0
)
"),46081.0)</f>
        <v>46081</v>
      </c>
      <c r="AE15" s="54">
        <f>IFERROR(__xludf.DUMMYFUNCTION("IFERROR(
  VLOOKUP(
    A15,
    IMPORTRANGE(
      ""1SCYQd7_cobOYqT0r_F0IqD4tE4rYn5y8Eup4PJTH8es"",
      ""Snapshot!A:M""
    ),
    5,
    FALSE
  ),
  ""-""
)
"),7.0)</f>
        <v>7</v>
      </c>
      <c r="AF15" s="54">
        <f>IFERROR(__xludf.DUMMYFUNCTION("IFERROR(
  VLOOKUP(
    A15,
    IMPORTRANGE(
      ""1SCYQd7_cobOYqT0r_F0IqD4tE4rYn5y8Eup4PJTH8es"",
      ""Snapshot!A:M""
    ),
    6,
    FALSE
  ),
  0
)
"),2.0)</f>
        <v>2</v>
      </c>
      <c r="AG15" s="54">
        <f>IFERROR(__xludf.DUMMYFUNCTION("IFERROR(
  VLOOKUP(
    A15,
    IMPORTRANGE(
      ""1SCYQd7_cobOYqT0r_F0IqD4tE4rYn5y8Eup4PJTH8es"",
      ""Snapshot!A:M""
    ),
    7,
    FALSE
  ),
  0
)
"),3578.0)</f>
        <v>3578</v>
      </c>
      <c r="AH15" s="54">
        <f>IFERROR(__xludf.DUMMYFUNCTION("IFERROR(
  VLOOKUP(
    A15,
    IMPORTRANGE(
      ""1SCYQd7_cobOYqT0r_F0IqD4tE4rYn5y8Eup4PJTH8es"",
      ""Snapshot!A:M""
    ),
    8,
    FALSE
  ),
  0
)
"),4.0)</f>
        <v>4</v>
      </c>
      <c r="AI15" s="54">
        <f>IFERROR(__xludf.DUMMYFUNCTION("IFERROR(
  VLOOKUP(
    A15,
    IMPORTRANGE(
      ""1SCYQd7_cobOYqT0r_F0IqD4tE4rYn5y8Eup4PJTH8es"",
      ""Snapshot!A:M""
    ),
    9,
    FALSE
  ),
  0
)
"),2.0)</f>
        <v>2</v>
      </c>
      <c r="AJ15" s="54">
        <f>IFERROR(__xludf.DUMMYFUNCTION("IFERROR(
  VLOOKUP(
    A15,
    IMPORTRANGE(
      ""1SCYQd7_cobOYqT0r_F0IqD4tE4rYn5y8Eup4PJTH8es"",
      ""Snapshot!A:M""
    ),
    13,
    FALSE
  ),
  0
)
"),2.0)</f>
        <v>2</v>
      </c>
      <c r="AK15" s="49">
        <f t="shared" ref="AK15:AL15" si="70">LEN(C15)</f>
        <v>58</v>
      </c>
      <c r="AL15" s="49">
        <f t="shared" si="70"/>
        <v>126</v>
      </c>
    </row>
    <row r="16">
      <c r="A16" s="3" t="s">
        <v>1240</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"),"【理科のコツ】プランクトンの観察 - 中学受験 理科の個別指導 | 受験理科専門塾「しゅん吉クエスト」")</f>
        <v>【理科のコツ】プランクトンの観察 - 中学受験 理科の個別指導 | 受験理科専門塾「しゅん吉クエスト」</v>
      </c>
      <c r="D16" s="1" t="str">
        <f>IFERROR(__xludf.DUMMYFUNCTION("IFERROR(
  VLOOKUP(
    A16,
    IMPORTRANGE(
      ""1ZygntHC1J6IxzKbTidmOyf5nUyW4GCLurHCjexrLm_o        "",
      ""HTMLキャッシュ!A:F""
    ),
    6,
    FALSE
  ),
  0
)
"),"「プランクトンの観察を徹底解説！動物性・植物性プランクトンの違いや、顕微鏡を使った観察方法を詳しく紹介します。ミジンコやアオミドロなど、プランクトン界の有名な生物も登場！顕微鏡の使い方や観察時のポイントも解説し、実験やテスト対策に役立つ内容です。動画をチェックして微生物の世界を楽しみながら学びましょう！」")</f>
        <v>「プランクトンの観察を徹底解説！動物性・植物性プランクトンの違いや、顕微鏡を使った観察方法を詳しく紹介します。ミジンコやアオミドロなど、プランクトン界の有名な生物も登場！顕微鏡の使い方や観察時のポイントも解説し、実験やテスト対策に役立つ内容です。動画をチェックして微生物の世界を楽しみながら学びましょう！」</v>
      </c>
      <c r="E16" s="32">
        <f>IFERROR(__xludf.DUMMYFUNCTION("IFERROR(
  VLOOKUP(
    A16,
    IMPORTRANGE(
      ""1ZygntHC1J6IxzKbTidmOyf5nUyW4GCLurHCjexrLm_o        "",
      ""HTMLキャッシュ!A:F""
    ),
    3,
    FALSE
  ),
  0
)
"),46034.07974537037)</f>
        <v>46034.07975</v>
      </c>
      <c r="F16" s="49">
        <f>IFERROR(__xludf.DUMMYFUNCTION("IFERROR(
  VLOOKUP(
    A16,
    IMPORTRANGE(
      ""1ZHMy3vVUd_0MrSduXTe1etBb1HNpAlGwQr006ljwMiM"",
      ""GSC最新!A:F""
    ),
    2,
    FALSE
  ),
  0
)
"),22.0)</f>
        <v>22</v>
      </c>
      <c r="G16" s="49">
        <f>IFERROR(__xludf.DUMMYFUNCTION("IFERROR(
  VLOOKUP(
    A16,
    IMPORTRANGE(
      ""1ZHMy3vVUd_0MrSduXTe1etBb1HNpAlGwQr006ljwMiM"",
      ""GSC最新!A:F""
    ),
    3,
    FALSE
  ),
  0
)
"),174.0)</f>
        <v>174</v>
      </c>
      <c r="H16" s="49">
        <f>IFERROR(__xludf.DUMMYFUNCTION("IFERROR(
  VLOOKUP(
    A16,
    IMPORTRANGE(
      ""1ZHMy3vVUd_0MrSduXTe1etBb1HNpAlGwQr006ljwMiM"",
      ""GSC最新!A:F""
    ),
    4,
    FALSE
  ),
  0
)
"),16.0)</f>
        <v>16</v>
      </c>
      <c r="I16" s="49">
        <f>IFERROR(__xludf.DUMMYFUNCTION("IFERROR(
  VLOOKUP(
    A16,
    IMPORTRANGE(
      ""1ZHMy3vVUd_0MrSduXTe1etBb1HNpAlGwQr006ljwMiM"",
      ""GSC最新!A:F""
    ),
    5,
    FALSE
  ),
  0
)
"),54.0)</f>
        <v>54</v>
      </c>
      <c r="J16" s="50">
        <f t="shared" ref="J16:K16" si="71">IFERROR(F16/H16,"-")</f>
        <v>1.375</v>
      </c>
      <c r="K16" s="50">
        <f t="shared" si="71"/>
        <v>3.222222222</v>
      </c>
      <c r="L16" s="6">
        <f>IFERROR(__xludf.DUMMYFUNCTION("IFERROR(
  VLOOKUP(
    A16,
    IMPORTRANGE(
      ""1ZHMy3vVUd_0MrSduXTe1etBb1HNpAlGwQr006ljwMiM"",
      ""GSC最新!A:R""
    ),
    7,
    FALSE
  ),
  0
)
"),4139.0)</f>
        <v>4139</v>
      </c>
      <c r="M16" s="6">
        <f>IFERROR(__xludf.DUMMYFUNCTION("IFERROR(
  VLOOKUP(
    A16,
    IMPORTRANGE(
      ""1ZHMy3vVUd_0MrSduXTe1etBb1HNpAlGwQr006ljwMiM"",
      ""GSC最新!A:R""
    ),
    10,
    FALSE
  ),
  0
)
"),12250.0)</f>
        <v>12250</v>
      </c>
      <c r="N16" s="6">
        <f>IFERROR(__xludf.DUMMYFUNCTION("IFERROR(
  VLOOKUP(
    A16,
    IMPORTRANGE(
      ""1ZHMy3vVUd_0MrSduXTe1etBb1HNpAlGwQr006ljwMiM"",
      ""GSC最新!A:R""
    ),
    13,
    FALSE
  ),
  0
)
"),1864.0)</f>
        <v>1864</v>
      </c>
      <c r="O16" s="6">
        <f>IFERROR(__xludf.DUMMYFUNCTION("IFERROR(
  VLOOKUP(
    A16,
    IMPORTRANGE(
      ""1ZHMy3vVUd_0MrSduXTe1etBb1HNpAlGwQr006ljwMiM"",
      ""GSC最新!A:R""
    ),
    16,
    FALSE
  ),
  0
)
"),4054.0)</f>
        <v>4054</v>
      </c>
      <c r="P16" s="51">
        <f t="shared" ref="P16:Q16" si="72">IFERROR(L16/N16,"-")</f>
        <v>2.220493562</v>
      </c>
      <c r="Q16" s="51">
        <f t="shared" si="72"/>
        <v>3.021706956</v>
      </c>
      <c r="R16" s="9">
        <f>IFERROR(__xludf.DUMMYFUNCTION("IFERROR(
  VLOOKUP(
    A16,
    IMPORTRANGE(
      ""1ZHMy3vVUd_0MrSduXTe1etBb1HNpAlGwQr006ljwMiM"",
      ""GSC最新!A:R""
    ),
    8,
    FALSE
  ),
  0
)
"),0.005315293549166465)</f>
        <v>0.005315293549</v>
      </c>
      <c r="S16" s="9">
        <f>IFERROR(__xludf.DUMMYFUNCTION("IFERROR(
  VLOOKUP(
    A16,
    IMPORTRANGE(
      ""1ZHMy3vVUd_0MrSduXTe1etBb1HNpAlGwQr006ljwMiM"",
      ""GSC最新!A:R""
    ),
    11,
    FALSE
  ),
  0
)
"),0.01420408163265306)</f>
        <v>0.01420408163</v>
      </c>
      <c r="T16" s="9">
        <f>IFERROR(__xludf.DUMMYFUNCTION("IFERROR(
  VLOOKUP(
    A16,
    IMPORTRANGE(
      ""1ZHMy3vVUd_0MrSduXTe1etBb1HNpAlGwQr006ljwMiM"",
      ""GSC最新!A:R""
    ),
    14,
    FALSE
  ),
  0
)
"),0.008583690987124463)</f>
        <v>0.008583690987</v>
      </c>
      <c r="U16" s="9">
        <f>IFERROR(__xludf.DUMMYFUNCTION("IFERROR(
  VLOOKUP(
    A16,
    IMPORTRANGE(
      ""1ZHMy3vVUd_0MrSduXTe1etBb1HNpAlGwQr006ljwMiM"",
      ""GSC最新!A:R""
    ),
    17,
    FALSE
  ),
  0
)
"),0.013320177602368031)</f>
        <v>0.0133201776</v>
      </c>
      <c r="V16" s="9">
        <f t="shared" ref="V16:W16" si="73">IFERROR(R16-T16,"-")</f>
        <v>-0.003268397438</v>
      </c>
      <c r="W16" s="9">
        <f t="shared" si="73"/>
        <v>0.0008839040303</v>
      </c>
      <c r="X16" s="65">
        <f>IFERROR(__xludf.DUMMYFUNCTION("IFERROR(
  VLOOKUP(
    A16,
    IMPORTRANGE(
      ""1ZHMy3vVUd_0MrSduXTe1etBb1HNpAlGwQr006ljwMiM"",
      ""GSC最新!A:R""
    ),
    9,
    FALSE
  ),
  0
)
"),4.257791737134573)</f>
        <v>4.257791737</v>
      </c>
      <c r="Y16" s="65">
        <f>IFERROR(__xludf.DUMMYFUNCTION("IFERROR(
  VLOOKUP(
    A16,
    IMPORTRANGE(
      ""1ZHMy3vVUd_0MrSduXTe1etBb1HNpAlGwQr006ljwMiM"",
      ""GSC最新!A:R""
    ),
    12,
    FALSE
  ),
  0
)
"),4.319510204081633)</f>
        <v>4.319510204</v>
      </c>
      <c r="Z16" s="65">
        <f>IFERROR(__xludf.DUMMYFUNCTION("IFERROR(
  VLOOKUP(
    A16,
    IMPORTRANGE(
      ""1ZHMy3vVUd_0MrSduXTe1etBb1HNpAlGwQr006ljwMiM"",
      ""GSC最新!A:R""
    ),
    15,
    FALSE
  ),
  0
)
"),6.510193133047211)</f>
        <v>6.510193133</v>
      </c>
      <c r="AA16" s="65">
        <f>IFERROR(__xludf.DUMMYFUNCTION("IFERROR(
  VLOOKUP(
    A16,
    IMPORTRANGE(
      ""1ZHMy3vVUd_0MrSduXTe1etBb1HNpAlGwQr006ljwMiM"",
      ""GSC最新!A:R""
    ),
    18,
    FALSE
  ),
  0
)
"),5.796743956586088)</f>
        <v>5.796743957</v>
      </c>
      <c r="AB16" s="65">
        <f t="shared" ref="AB16:AC16" si="74">X16-Z16</f>
        <v>-2.252401396</v>
      </c>
      <c r="AC16" s="65">
        <f t="shared" si="74"/>
        <v>-1.477233753</v>
      </c>
      <c r="AD16" s="53">
        <f>IFERROR(__xludf.DUMMYFUNCTION("IFERROR(
  VLOOKUP(
    A16,
    IMPORTRANGE(
      ""1ZHMy3vVUd_0MrSduXTe1etBb1HNpAlGwQr006ljwMiM"",
      ""GSC最新!A:F""
    ),
    6,
    FALSE
  ),
  0
)
"),46081.0)</f>
        <v>46081</v>
      </c>
      <c r="AE16" s="54">
        <f>IFERROR(__xludf.DUMMYFUNCTION("IFERROR(
  VLOOKUP(
    A16,
    IMPORTRANGE(
      ""1SCYQd7_cobOYqT0r_F0IqD4tE4rYn5y8Eup4PJTH8es"",
      ""Snapshot!A:M""
    ),
    5,
    FALSE
  ),
  ""-""
)
"),8.0)</f>
        <v>8</v>
      </c>
      <c r="AF16" s="54">
        <f>IFERROR(__xludf.DUMMYFUNCTION("IFERROR(
  VLOOKUP(
    A16,
    IMPORTRANGE(
      ""1SCYQd7_cobOYqT0r_F0IqD4tE4rYn5y8Eup4PJTH8es"",
      ""Snapshot!A:M""
    ),
    6,
    FALSE
  ),
  0
)
"),1.0)</f>
        <v>1</v>
      </c>
      <c r="AG16" s="54">
        <f>IFERROR(__xludf.DUMMYFUNCTION("IFERROR(
  VLOOKUP(
    A16,
    IMPORTRANGE(
      ""1SCYQd7_cobOYqT0r_F0IqD4tE4rYn5y8Eup4PJTH8es"",
      ""Snapshot!A:M""
    ),
    7,
    FALSE
  ),
  0
)
"),3413.0)</f>
        <v>3413</v>
      </c>
      <c r="AH16" s="54">
        <f>IFERROR(__xludf.DUMMYFUNCTION("IFERROR(
  VLOOKUP(
    A16,
    IMPORTRANGE(
      ""1SCYQd7_cobOYqT0r_F0IqD4tE4rYn5y8Eup4PJTH8es"",
      ""Snapshot!A:M""
    ),
    8,
    FALSE
  ),
  0
)
"),2.0)</f>
        <v>2</v>
      </c>
      <c r="AI16" s="54">
        <f>IFERROR(__xludf.DUMMYFUNCTION("IFERROR(
  VLOOKUP(
    A16,
    IMPORTRANGE(
      ""1SCYQd7_cobOYqT0r_F0IqD4tE4rYn5y8Eup4PJTH8es"",
      ""Snapshot!A:M""
    ),
    9,
    FALSE
  ),
  0
)
"),2.0)</f>
        <v>2</v>
      </c>
      <c r="AJ16" s="54">
        <f>IFERROR(__xludf.DUMMYFUNCTION("IFERROR(
  VLOOKUP(
    A16,
    IMPORTRANGE(
      ""1SCYQd7_cobOYqT0r_F0IqD4tE4rYn5y8Eup4PJTH8es"",
      ""Snapshot!A:M""
    ),
    13,
    FALSE
  ),
  0
)
"),2.0)</f>
        <v>2</v>
      </c>
      <c r="AK16" s="49">
        <f t="shared" ref="AK16:AL16" si="75">LEN(C16)</f>
        <v>51</v>
      </c>
      <c r="AL16" s="49">
        <f t="shared" si="75"/>
        <v>153</v>
      </c>
    </row>
    <row r="17">
      <c r="A17" s="3" t="s">
        <v>1241</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"),"状態変化の名前一覧｜融解・蒸発・凝固・凝縮・昇華と三態")</f>
        <v>状態変化の名前一覧｜融解・蒸発・凝固・凝縮・昇華と三態</v>
      </c>
      <c r="D17" s="1" t="str">
        <f>IFERROR(__xludf.DUMMYFUNCTION("IFERROR(
  VLOOKUP(
    A17,
    IMPORTRANGE(
      ""1ZygntHC1J6IxzKbTidmOyf5nUyW4GCLurHCjexrLm_o        "",
      ""HTMLキャッシュ!A:F""
    ),
    6,
    FALSE
  ),
  0
)
"),"固体・液体・気体の違いを粒子の動きのイメージで整理し、状態変化の名前（融解・蒸発・凝固・凝縮・昇華）をまとめて確認できます。湯気は液体の水粒／水蒸気は目に見えない等、入試で狙われやすいポイントも解説。")</f>
        <v>固体・液体・気体の違いを粒子の動きのイメージで整理し、状態変化の名前（融解・蒸発・凝固・凝縮・昇華）をまとめて確認できます。湯気は液体の水粒／水蒸気は目に見えない等、入試で狙われやすいポイントも解説。</v>
      </c>
      <c r="E17" s="32">
        <f>IFERROR(__xludf.DUMMYFUNCTION("IFERROR(
  VLOOKUP(
    A17,
    IMPORTRANGE(
      ""1ZygntHC1J6IxzKbTidmOyf5nUyW4GCLurHCjexrLm_o        "",
      ""HTMLキャッシュ!A:F""
    ),
    3,
    FALSE
  ),
  0
)
"),46030.93885416666)</f>
        <v>46030.93885</v>
      </c>
      <c r="F17" s="49">
        <f>IFERROR(__xludf.DUMMYFUNCTION("IFERROR(
  VLOOKUP(
    A17,
    IMPORTRANGE(
      ""1ZHMy3vVUd_0MrSduXTe1etBb1HNpAlGwQr006ljwMiM"",
      ""GSC最新!A:F""
    ),
    2,
    FALSE
  ),
  0
)
"),76.0)</f>
        <v>76</v>
      </c>
      <c r="G17" s="49">
        <f>IFERROR(__xludf.DUMMYFUNCTION("IFERROR(
  VLOOKUP(
    A17,
    IMPORTRANGE(
      ""1ZHMy3vVUd_0MrSduXTe1etBb1HNpAlGwQr006ljwMiM"",
      ""GSC最新!A:F""
    ),
    3,
    FALSE
  ),
  0
)
"),173.0)</f>
        <v>173</v>
      </c>
      <c r="H17" s="49">
        <f>IFERROR(__xludf.DUMMYFUNCTION("IFERROR(
  VLOOKUP(
    A17,
    IMPORTRANGE(
      ""1ZHMy3vVUd_0MrSduXTe1etBb1HNpAlGwQr006ljwMiM"",
      ""GSC最新!A:F""
    ),
    4,
    FALSE
  ),
  0
)
"),3.0)</f>
        <v>3</v>
      </c>
      <c r="I17" s="49">
        <f>IFERROR(__xludf.DUMMYFUNCTION("IFERROR(
  VLOOKUP(
    A17,
    IMPORTRANGE(
      ""1ZHMy3vVUd_0MrSduXTe1etBb1HNpAlGwQr006ljwMiM"",
      ""GSC最新!A:F""
    ),
    5,
    FALSE
  ),
  0
)
"),5.0)</f>
        <v>5</v>
      </c>
      <c r="J17" s="50">
        <f t="shared" ref="J17:K17" si="76">IFERROR(F17/H17,"-")</f>
        <v>25.33333333</v>
      </c>
      <c r="K17" s="50">
        <f t="shared" si="76"/>
        <v>34.6</v>
      </c>
      <c r="L17" s="6">
        <f>IFERROR(__xludf.DUMMYFUNCTION("IFERROR(
  VLOOKUP(
    A17,
    IMPORTRANGE(
      ""1ZHMy3vVUd_0MrSduXTe1etBb1HNpAlGwQr006ljwMiM"",
      ""GSC最新!A:R""
    ),
    7,
    FALSE
  ),
  0
)
"),22973.0)</f>
        <v>22973</v>
      </c>
      <c r="M17" s="6">
        <f>IFERROR(__xludf.DUMMYFUNCTION("IFERROR(
  VLOOKUP(
    A17,
    IMPORTRANGE(
      ""1ZHMy3vVUd_0MrSduXTe1etBb1HNpAlGwQr006ljwMiM"",
      ""GSC最新!A:R""
    ),
    10,
    FALSE
  ),
  0
)
"),61730.0)</f>
        <v>61730</v>
      </c>
      <c r="N17" s="6">
        <f>IFERROR(__xludf.DUMMYFUNCTION("IFERROR(
  VLOOKUP(
    A17,
    IMPORTRANGE(
      ""1ZHMy3vVUd_0MrSduXTe1etBb1HNpAlGwQr006ljwMiM"",
      ""GSC最新!A:R""
    ),
    13,
    FALSE
  ),
  0
)
"),426.0)</f>
        <v>426</v>
      </c>
      <c r="O17" s="6">
        <f>IFERROR(__xludf.DUMMYFUNCTION("IFERROR(
  VLOOKUP(
    A17,
    IMPORTRANGE(
      ""1ZHMy3vVUd_0MrSduXTe1etBb1HNpAlGwQr006ljwMiM"",
      ""GSC最新!A:R""
    ),
    16,
    FALSE
  ),
  0
)
"),748.0)</f>
        <v>748</v>
      </c>
      <c r="P17" s="51">
        <f t="shared" ref="P17:Q17" si="77">IFERROR(L17/N17,"-")</f>
        <v>53.92723005</v>
      </c>
      <c r="Q17" s="51">
        <f t="shared" si="77"/>
        <v>82.52673797</v>
      </c>
      <c r="R17" s="9">
        <f>IFERROR(__xludf.DUMMYFUNCTION("IFERROR(
  VLOOKUP(
    A17,
    IMPORTRANGE(
      ""1ZHMy3vVUd_0MrSduXTe1etBb1HNpAlGwQr006ljwMiM"",
      ""GSC最新!A:R""
    ),
    8,
    FALSE
  ),
  0
)
"),0.0033082314020807034)</f>
        <v>0.003308231402</v>
      </c>
      <c r="S17" s="9">
        <f>IFERROR(__xludf.DUMMYFUNCTION("IFERROR(
  VLOOKUP(
    A17,
    IMPORTRANGE(
      ""1ZHMy3vVUd_0MrSduXTe1etBb1HNpAlGwQr006ljwMiM"",
      ""GSC最新!A:R""
    ),
    11,
    FALSE
  ),
  0
)
"),0.002802527134294508)</f>
        <v>0.002802527134</v>
      </c>
      <c r="T17" s="9">
        <f>IFERROR(__xludf.DUMMYFUNCTION("IFERROR(
  VLOOKUP(
    A17,
    IMPORTRANGE(
      ""1ZHMy3vVUd_0MrSduXTe1etBb1HNpAlGwQr006ljwMiM"",
      ""GSC最新!A:R""
    ),
    14,
    FALSE
  ),
  0
)
"),0.007042253521126761)</f>
        <v>0.007042253521</v>
      </c>
      <c r="U17" s="9">
        <f>IFERROR(__xludf.DUMMYFUNCTION("IFERROR(
  VLOOKUP(
    A17,
    IMPORTRANGE(
      ""1ZHMy3vVUd_0MrSduXTe1etBb1HNpAlGwQr006ljwMiM"",
      ""GSC最新!A:R""
    ),
    17,
    FALSE
  ),
  0
)
"),0.0066844919786096255)</f>
        <v>0.006684491979</v>
      </c>
      <c r="V17" s="9">
        <f t="shared" ref="V17:W17" si="78">IFERROR(R17-T17,"-")</f>
        <v>-0.003734022119</v>
      </c>
      <c r="W17" s="9">
        <f t="shared" si="78"/>
        <v>-0.003881964844</v>
      </c>
      <c r="X17" s="65">
        <f>IFERROR(__xludf.DUMMYFUNCTION("IFERROR(
  VLOOKUP(
    A17,
    IMPORTRANGE(
      ""1ZHMy3vVUd_0MrSduXTe1etBb1HNpAlGwQr006ljwMiM"",
      ""GSC最新!A:R""
    ),
    9,
    FALSE
  ),
  0
)
"),4.513907630696905)</f>
        <v>4.513907631</v>
      </c>
      <c r="Y17" s="65">
        <f>IFERROR(__xludf.DUMMYFUNCTION("IFERROR(
  VLOOKUP(
    A17,
    IMPORTRANGE(
      ""1ZHMy3vVUd_0MrSduXTe1etBb1HNpAlGwQr006ljwMiM"",
      ""GSC最新!A:R""
    ),
    12,
    FALSE
  ),
  0
)
"),4.824590960635024)</f>
        <v>4.824590961</v>
      </c>
      <c r="Z17" s="65">
        <f>IFERROR(__xludf.DUMMYFUNCTION("IFERROR(
  VLOOKUP(
    A17,
    IMPORTRANGE(
      ""1ZHMy3vVUd_0MrSduXTe1etBb1HNpAlGwQr006ljwMiM"",
      ""GSC最新!A:R""
    ),
    15,
    FALSE
  ),
  0
)
"),17.63849765258216)</f>
        <v>17.63849765</v>
      </c>
      <c r="AA17" s="65">
        <f>IFERROR(__xludf.DUMMYFUNCTION("IFERROR(
  VLOOKUP(
    A17,
    IMPORTRANGE(
      ""1ZHMy3vVUd_0MrSduXTe1etBb1HNpAlGwQr006ljwMiM"",
      ""GSC最新!A:R""
    ),
    18,
    FALSE
  ),
  0
)
"),21.4572192513369)</f>
        <v>21.45721925</v>
      </c>
      <c r="AB17" s="65">
        <f t="shared" ref="AB17:AC17" si="79">X17-Z17</f>
        <v>-13.12459002</v>
      </c>
      <c r="AC17" s="65">
        <f t="shared" si="79"/>
        <v>-16.63262829</v>
      </c>
      <c r="AD17" s="53">
        <f>IFERROR(__xludf.DUMMYFUNCTION("IFERROR(
  VLOOKUP(
    A17,
    IMPORTRANGE(
      ""1ZHMy3vVUd_0MrSduXTe1etBb1HNpAlGwQr006ljwMiM"",
      ""GSC最新!A:F""
    ),
    6,
    FALSE
  ),
  0
)
"),46081.0)</f>
        <v>46081</v>
      </c>
      <c r="AE17" s="54">
        <f>IFERROR(__xludf.DUMMYFUNCTION("IFERROR(
  VLOOKUP(
    A17,
    IMPORTRANGE(
      ""1SCYQd7_cobOYqT0r_F0IqD4tE4rYn5y8Eup4PJTH8es"",
      ""Snapshot!A:M""
    ),
    5,
    FALSE
  ),
  ""-""
)
"),9.0)</f>
        <v>9</v>
      </c>
      <c r="AF17" s="54">
        <f>IFERROR(__xludf.DUMMYFUNCTION("IFERROR(
  VLOOKUP(
    A17,
    IMPORTRANGE(
      ""1SCYQd7_cobOYqT0r_F0IqD4tE4rYn5y8Eup4PJTH8es"",
      ""Snapshot!A:M""
    ),
    6,
    FALSE
  ),
  0
)
"),4.0)</f>
        <v>4</v>
      </c>
      <c r="AG17" s="54">
        <f>IFERROR(__xludf.DUMMYFUNCTION("IFERROR(
  VLOOKUP(
    A17,
    IMPORTRANGE(
      ""1SCYQd7_cobOYqT0r_F0IqD4tE4rYn5y8Eup4PJTH8es"",
      ""Snapshot!A:M""
    ),
    7,
    FALSE
  ),
  0
)
"),3667.0)</f>
        <v>3667</v>
      </c>
      <c r="AH17" s="54">
        <f>IFERROR(__xludf.DUMMYFUNCTION("IFERROR(
  VLOOKUP(
    A17,
    IMPORTRANGE(
      ""1SCYQd7_cobOYqT0r_F0IqD4tE4rYn5y8Eup4PJTH8es"",
      ""Snapshot!A:M""
    ),
    8,
    FALSE
  ),
  0
)
"),1.0)</f>
        <v>1</v>
      </c>
      <c r="AI17" s="54">
        <f>IFERROR(__xludf.DUMMYFUNCTION("IFERROR(
  VLOOKUP(
    A17,
    IMPORTRANGE(
      ""1SCYQd7_cobOYqT0r_F0IqD4tE4rYn5y8Eup4PJTH8es"",
      ""Snapshot!A:M""
    ),
    9,
    FALSE
  ),
  0
)
"),2.0)</f>
        <v>2</v>
      </c>
      <c r="AJ17" s="54">
        <f>IFERROR(__xludf.DUMMYFUNCTION("IFERROR(
  VLOOKUP(
    A17,
    IMPORTRANGE(
      ""1SCYQd7_cobOYqT0r_F0IqD4tE4rYn5y8Eup4PJTH8es"",
      ""Snapshot!A:M""
    ),
    13,
    FALSE
  ),
  0
)
"),2.0)</f>
        <v>2</v>
      </c>
      <c r="AK17" s="49">
        <f t="shared" ref="AK17:AL17" si="80">LEN(C17)</f>
        <v>27</v>
      </c>
      <c r="AL17" s="49">
        <f t="shared" si="80"/>
        <v>100</v>
      </c>
    </row>
    <row r="18">
      <c r="A18" s="3" t="s">
        <v>1242</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"),"【理科のコツ】川の様子と川がつくる地形 - 中学受験 理科の個別指導 | 受験理科専門塾「しゅん吉クエスト」")</f>
        <v>【理科のコツ】川の様子と川がつくる地形 - 中学受験 理科の個別指導 | 受験理科専門塾「しゅん吉クエスト」</v>
      </c>
      <c r="D18" s="1" t="str">
        <f>IFERROR(__xludf.DUMMYFUNCTION("IFERROR(
  VLOOKUP(
    A18,
    IMPORTRANGE(
      ""1ZygntHC1J6IxzKbTidmOyf5nUyW4GCLurHCjexrLm_o        "",
      ""HTMLキャッシュ!A:F""
    ),
    6,
    FALSE
  ),
  0
)
"),"「川の流れと地形の形成を徹底解説！V字谷、扇状地、三角州、三日月湖など、川がどのように地形を作るかを詳しく紹介。上流から下流にかけて変化する流れの速さや石の形状、土砂の堆積についても分かりやすく説明。社会科にも役立つ知識を身に付け、自然が生み出す地形の魅力を学びましょう！」")</f>
        <v>「川の流れと地形の形成を徹底解説！V字谷、扇状地、三角州、三日月湖など、川がどのように地形を作るかを詳しく紹介。上流から下流にかけて変化する流れの速さや石の形状、土砂の堆積についても分かりやすく説明。社会科にも役立つ知識を身に付け、自然が生み出す地形の魅力を学びましょう！」</v>
      </c>
      <c r="E18" s="32">
        <f>IFERROR(__xludf.DUMMYFUNCTION("IFERROR(
  VLOOKUP(
    A18,
    IMPORTRANGE(
      ""1ZygntHC1J6IxzKbTidmOyf5nUyW4GCLurHCjexrLm_o        "",
      ""HTMLキャッシュ!A:F""
    ),
    3,
    FALSE
  ),
  0
)
"),46030.929756944446)</f>
        <v>46030.92976</v>
      </c>
      <c r="F18" s="49">
        <f>IFERROR(__xludf.DUMMYFUNCTION("IFERROR(
  VLOOKUP(
    A18,
    IMPORTRANGE(
      ""1ZHMy3vVUd_0MrSduXTe1etBb1HNpAlGwQr006ljwMiM"",
      ""GSC最新!A:F""
    ),
    2,
    FALSE
  ),
  0
)
"),37.0)</f>
        <v>37</v>
      </c>
      <c r="G18" s="49">
        <f>IFERROR(__xludf.DUMMYFUNCTION("IFERROR(
  VLOOKUP(
    A18,
    IMPORTRANGE(
      ""1ZHMy3vVUd_0MrSduXTe1etBb1HNpAlGwQr006ljwMiM"",
      ""GSC最新!A:F""
    ),
    3,
    FALSE
  ),
  0
)
"),171.0)</f>
        <v>171</v>
      </c>
      <c r="H18" s="49">
        <f>IFERROR(__xludf.DUMMYFUNCTION("IFERROR(
  VLOOKUP(
    A18,
    IMPORTRANGE(
      ""1ZHMy3vVUd_0MrSduXTe1etBb1HNpAlGwQr006ljwMiM"",
      ""GSC最新!A:F""
    ),
    4,
    FALSE
  ),
  0
)
"),11.0)</f>
        <v>11</v>
      </c>
      <c r="I18" s="49">
        <f>IFERROR(__xludf.DUMMYFUNCTION("IFERROR(
  VLOOKUP(
    A18,
    IMPORTRANGE(
      ""1ZHMy3vVUd_0MrSduXTe1etBb1HNpAlGwQr006ljwMiM"",
      ""GSC最新!A:F""
    ),
    5,
    FALSE
  ),
  0
)
"),19.0)</f>
        <v>19</v>
      </c>
      <c r="J18" s="50">
        <f t="shared" ref="J18:K18" si="81">IFERROR(F18/H18,"-")</f>
        <v>3.363636364</v>
      </c>
      <c r="K18" s="50">
        <f t="shared" si="81"/>
        <v>9</v>
      </c>
      <c r="L18" s="6">
        <f>IFERROR(__xludf.DUMMYFUNCTION("IFERROR(
  VLOOKUP(
    A18,
    IMPORTRANGE(
      ""1ZHMy3vVUd_0MrSduXTe1etBb1HNpAlGwQr006ljwMiM"",
      ""GSC最新!A:R""
    ),
    7,
    FALSE
  ),
  0
)
"),9140.0)</f>
        <v>9140</v>
      </c>
      <c r="M18" s="6">
        <f>IFERROR(__xludf.DUMMYFUNCTION("IFERROR(
  VLOOKUP(
    A18,
    IMPORTRANGE(
      ""1ZHMy3vVUd_0MrSduXTe1etBb1HNpAlGwQr006ljwMiM"",
      ""GSC最新!A:R""
    ),
    10,
    FALSE
  ),
  0
)
"),32095.0)</f>
        <v>32095</v>
      </c>
      <c r="N18" s="6">
        <f>IFERROR(__xludf.DUMMYFUNCTION("IFERROR(
  VLOOKUP(
    A18,
    IMPORTRANGE(
      ""1ZHMy3vVUd_0MrSduXTe1etBb1HNpAlGwQr006ljwMiM"",
      ""GSC最新!A:R""
    ),
    13,
    FALSE
  ),
  0
)
"),529.0)</f>
        <v>529</v>
      </c>
      <c r="O18" s="6">
        <f>IFERROR(__xludf.DUMMYFUNCTION("IFERROR(
  VLOOKUP(
    A18,
    IMPORTRANGE(
      ""1ZHMy3vVUd_0MrSduXTe1etBb1HNpAlGwQr006ljwMiM"",
      ""GSC最新!A:R""
    ),
    16,
    FALSE
  ),
  0
)
"),1081.0)</f>
        <v>1081</v>
      </c>
      <c r="P18" s="51">
        <f t="shared" ref="P18:Q18" si="82">IFERROR(L18/N18,"-")</f>
        <v>17.2778828</v>
      </c>
      <c r="Q18" s="51">
        <f t="shared" si="82"/>
        <v>29.69010176</v>
      </c>
      <c r="R18" s="9">
        <f>IFERROR(__xludf.DUMMYFUNCTION("IFERROR(
  VLOOKUP(
    A18,
    IMPORTRANGE(
      ""1ZHMy3vVUd_0MrSduXTe1etBb1HNpAlGwQr006ljwMiM"",
      ""GSC最新!A:R""
    ),
    8,
    FALSE
  ),
  0
)
"),0.004048140043763676)</f>
        <v>0.004048140044</v>
      </c>
      <c r="S18" s="9">
        <f>IFERROR(__xludf.DUMMYFUNCTION("IFERROR(
  VLOOKUP(
    A18,
    IMPORTRANGE(
      ""1ZHMy3vVUd_0MrSduXTe1etBb1HNpAlGwQr006ljwMiM"",
      ""GSC最新!A:R""
    ),
    11,
    FALSE
  ),
  0
)
"),0.0053279326997974765)</f>
        <v>0.0053279327</v>
      </c>
      <c r="T18" s="9">
        <f>IFERROR(__xludf.DUMMYFUNCTION("IFERROR(
  VLOOKUP(
    A18,
    IMPORTRANGE(
      ""1ZHMy3vVUd_0MrSduXTe1etBb1HNpAlGwQr006ljwMiM"",
      ""GSC最新!A:R""
    ),
    14,
    FALSE
  ),
  0
)
"),0.020793950850661626)</f>
        <v>0.02079395085</v>
      </c>
      <c r="U18" s="9">
        <f>IFERROR(__xludf.DUMMYFUNCTION("IFERROR(
  VLOOKUP(
    A18,
    IMPORTRANGE(
      ""1ZHMy3vVUd_0MrSduXTe1etBb1HNpAlGwQr006ljwMiM"",
      ""GSC最新!A:R""
    ),
    17,
    FALSE
  ),
  0
)
"),0.01757631822386679)</f>
        <v>0.01757631822</v>
      </c>
      <c r="V18" s="9">
        <f t="shared" ref="V18:W18" si="83">IFERROR(R18-T18,"-")</f>
        <v>-0.01674581081</v>
      </c>
      <c r="W18" s="9">
        <f t="shared" si="83"/>
        <v>-0.01224838552</v>
      </c>
      <c r="X18" s="65">
        <f>IFERROR(__xludf.DUMMYFUNCTION("IFERROR(
  VLOOKUP(
    A18,
    IMPORTRANGE(
      ""1ZHMy3vVUd_0MrSduXTe1etBb1HNpAlGwQr006ljwMiM"",
      ""GSC最新!A:R""
    ),
    9,
    FALSE
  ),
  0
)
"),3.476805251641138)</f>
        <v>3.476805252</v>
      </c>
      <c r="Y18" s="65">
        <f>IFERROR(__xludf.DUMMYFUNCTION("IFERROR(
  VLOOKUP(
    A18,
    IMPORTRANGE(
      ""1ZHMy3vVUd_0MrSduXTe1etBb1HNpAlGwQr006ljwMiM"",
      ""GSC最新!A:R""
    ),
    12,
    FALSE
  ),
  0
)
"),3.3324193799657267)</f>
        <v>3.33241938</v>
      </c>
      <c r="Z18" s="65">
        <f>IFERROR(__xludf.DUMMYFUNCTION("IFERROR(
  VLOOKUP(
    A18,
    IMPORTRANGE(
      ""1ZHMy3vVUd_0MrSduXTe1etBb1HNpAlGwQr006ljwMiM"",
      ""GSC最新!A:R""
    ),
    15,
    FALSE
  ),
  0
)
"),10.166351606805293)</f>
        <v>10.16635161</v>
      </c>
      <c r="AA18" s="65">
        <f>IFERROR(__xludf.DUMMYFUNCTION("IFERROR(
  VLOOKUP(
    A18,
    IMPORTRANGE(
      ""1ZHMy3vVUd_0MrSduXTe1etBb1HNpAlGwQr006ljwMiM"",
      ""GSC最新!A:R""
    ),
    18,
    FALSE
  ),
  0
)
"),10.404255319148936)</f>
        <v>10.40425532</v>
      </c>
      <c r="AB18" s="65">
        <f t="shared" ref="AB18:AC18" si="84">X18-Z18</f>
        <v>-6.689546355</v>
      </c>
      <c r="AC18" s="65">
        <f t="shared" si="84"/>
        <v>-7.071835939</v>
      </c>
      <c r="AD18" s="53">
        <f>IFERROR(__xludf.DUMMYFUNCTION("IFERROR(
  VLOOKUP(
    A18,
    IMPORTRANGE(
      ""1ZHMy3vVUd_0MrSduXTe1etBb1HNpAlGwQr006ljwMiM"",
      ""GSC最新!A:F""
    ),
    6,
    FALSE
  ),
  0
)
"),46081.0)</f>
        <v>46081</v>
      </c>
      <c r="AE18" s="54">
        <f>IFERROR(__xludf.DUMMYFUNCTION("IFERROR(
  VLOOKUP(
    A18,
    IMPORTRANGE(
      ""1SCYQd7_cobOYqT0r_F0IqD4tE4rYn5y8Eup4PJTH8es"",
      ""Snapshot!A:M""
    ),
    5,
    FALSE
  ),
  ""-""
)
"),6.0)</f>
        <v>6</v>
      </c>
      <c r="AF18" s="54">
        <f>IFERROR(__xludf.DUMMYFUNCTION("IFERROR(
  VLOOKUP(
    A18,
    IMPORTRANGE(
      ""1SCYQd7_cobOYqT0r_F0IqD4tE4rYn5y8Eup4PJTH8es"",
      ""Snapshot!A:M""
    ),
    6,
    FALSE
  ),
  0
)
"),1.0)</f>
        <v>1</v>
      </c>
      <c r="AG18" s="54">
        <f>IFERROR(__xludf.DUMMYFUNCTION("IFERROR(
  VLOOKUP(
    A18,
    IMPORTRANGE(
      ""1SCYQd7_cobOYqT0r_F0IqD4tE4rYn5y8Eup4PJTH8es"",
      ""Snapshot!A:M""
    ),
    7,
    FALSE
  ),
  0
)
"),2991.0)</f>
        <v>2991</v>
      </c>
      <c r="AH18" s="54">
        <f>IFERROR(__xludf.DUMMYFUNCTION("IFERROR(
  VLOOKUP(
    A18,
    IMPORTRANGE(
      ""1SCYQd7_cobOYqT0r_F0IqD4tE4rYn5y8Eup4PJTH8es"",
      ""Snapshot!A:M""
    ),
    8,
    FALSE
  ),
  0
)
"),4.0)</f>
        <v>4</v>
      </c>
      <c r="AI18" s="54">
        <f>IFERROR(__xludf.DUMMYFUNCTION("IFERROR(
  VLOOKUP(
    A18,
    IMPORTRANGE(
      ""1SCYQd7_cobOYqT0r_F0IqD4tE4rYn5y8Eup4PJTH8es"",
      ""Snapshot!A:M""
    ),
    9,
    FALSE
  ),
  0
)
"),2.0)</f>
        <v>2</v>
      </c>
      <c r="AJ18" s="54">
        <f>IFERROR(__xludf.DUMMYFUNCTION("IFERROR(
  VLOOKUP(
    A18,
    IMPORTRANGE(
      ""1SCYQd7_cobOYqT0r_F0IqD4tE4rYn5y8Eup4PJTH8es"",
      ""Snapshot!A:M""
    ),
    13,
    FALSE
  ),
  0
)
"),2.0)</f>
        <v>2</v>
      </c>
      <c r="AK18" s="49">
        <f t="shared" ref="AK18:AL18" si="85">LEN(C18)</f>
        <v>54</v>
      </c>
      <c r="AL18" s="49">
        <f t="shared" si="85"/>
        <v>137</v>
      </c>
    </row>
    <row r="19">
      <c r="A19" s="3" t="s">
        <v>1243</v>
      </c>
      <c r="B19" s="1" t="str">
        <f>IFERROR(__xludf.DUMMYFUNCTION("IFERROR(
  VLOOKUP(
    A19,
    IMPORTRANGE(
      ""1ZygntHC1J6IxzKbTidmOyf5nUyW4GCLurHCjexrLm_o"",
      ""HTMLキャッシュ!A:F""
    ),
    2,
    FALSE
  ),
  0
)
"),"MC")</f>
        <v>MC</v>
      </c>
      <c r="C19" s="1" t="str">
        <f>IFERROR(__xludf.DUMMYFUNCTION("IFERROR(
  VLOOKUP(
    A19,
    IMPORTRANGE(
      ""1ZygntHC1J6IxzKbTidmOyf5nUyW4GCLurHCjexrLm_o"",
      ""HTMLキャッシュ!A:F""
    ),
    5,
    FALSE
  ),
  0
)
"),"【理科のコツ】ものの溶け方 - 中学受験 理科の個別指導 | 受験理科専門塾「しゅん吉クエスト」")</f>
        <v>【理科のコツ】ものの溶け方 - 中学受験 理科の個別指導 | 受験理科専門塾「しゅん吉クエスト」</v>
      </c>
      <c r="D19" s="1" t="str">
        <f>IFERROR(__xludf.DUMMYFUNCTION("IFERROR(
  VLOOKUP(
    A19,
    IMPORTRANGE(
      ""1ZygntHC1J6IxzKbTidmOyf5nUyW4GCLurHCjexrLm_o        "",
      ""HTMLキャッシュ!A:F""
    ),
    6,
    FALSE
  ),
  0
)
"),"「ものの溶け方や溶解度の基本を徹底解説！溶質・溶媒・溶液の違いや溶解度曲線の読み方を詳しく解説。温度による溶け具合の変化やグラフの活用方法も学べます。比例関係を使った計算問題の解き方もわかりやすく解説し、理科と算数の力を同時に伸ばせる内容です。動画で実践的な知識を身につけましょう！」")</f>
        <v>「ものの溶け方や溶解度の基本を徹底解説！溶質・溶媒・溶液の違いや溶解度曲線の読み方を詳しく解説。温度による溶け具合の変化やグラフの活用方法も学べます。比例関係を使った計算問題の解き方もわかりやすく解説し、理科と算数の力を同時に伸ばせる内容です。動画で実践的な知識を身につけましょう！」</v>
      </c>
      <c r="E19" s="32">
        <f>IFERROR(__xludf.DUMMYFUNCTION("IFERROR(
  VLOOKUP(
    A19,
    IMPORTRANGE(
      ""1ZygntHC1J6IxzKbTidmOyf5nUyW4GCLurHCjexrLm_o        "",
      ""HTMLキャッシュ!A:F""
    ),
    3,
    FALSE
  ),
  0
)
"),46030.179710648146)</f>
        <v>46030.17971</v>
      </c>
      <c r="F19" s="49">
        <f>IFERROR(__xludf.DUMMYFUNCTION("IFERROR(
  VLOOKUP(
    A19,
    IMPORTRANGE(
      ""1ZHMy3vVUd_0MrSduXTe1etBb1HNpAlGwQr006ljwMiM"",
      ""GSC最新!A:F""
    ),
    2,
    FALSE
  ),
  0
)
"),58.0)</f>
        <v>58</v>
      </c>
      <c r="G19" s="49">
        <f>IFERROR(__xludf.DUMMYFUNCTION("IFERROR(
  VLOOKUP(
    A19,
    IMPORTRANGE(
      ""1ZHMy3vVUd_0MrSduXTe1etBb1HNpAlGwQr006ljwMiM"",
      ""GSC最新!A:F""
    ),
    3,
    FALSE
  ),
  0
)
"),163.0)</f>
        <v>163</v>
      </c>
      <c r="H19" s="49">
        <f>IFERROR(__xludf.DUMMYFUNCTION("IFERROR(
  VLOOKUP(
    A19,
    IMPORTRANGE(
      ""1ZHMy3vVUd_0MrSduXTe1etBb1HNpAlGwQr006ljwMiM"",
      ""GSC最新!A:F""
    ),
    4,
    FALSE
  ),
  0
)
"),12.0)</f>
        <v>12</v>
      </c>
      <c r="I19" s="49">
        <f>IFERROR(__xludf.DUMMYFUNCTION("IFERROR(
  VLOOKUP(
    A19,
    IMPORTRANGE(
      ""1ZHMy3vVUd_0MrSduXTe1etBb1HNpAlGwQr006ljwMiM"",
      ""GSC最新!A:F""
    ),
    5,
    FALSE
  ),
  0
)
"),39.0)</f>
        <v>39</v>
      </c>
      <c r="J19" s="50">
        <f t="shared" ref="J19:K19" si="86">IFERROR(F19/H19,"-")</f>
        <v>4.833333333</v>
      </c>
      <c r="K19" s="50">
        <f t="shared" si="86"/>
        <v>4.179487179</v>
      </c>
      <c r="L19" s="6">
        <f>IFERROR(__xludf.DUMMYFUNCTION("IFERROR(
  VLOOKUP(
    A19,
    IMPORTRANGE(
      ""1ZHMy3vVUd_0MrSduXTe1etBb1HNpAlGwQr006ljwMiM"",
      ""GSC最新!A:R""
    ),
    7,
    FALSE
  ),
  0
)
"),10459.0)</f>
        <v>10459</v>
      </c>
      <c r="M19" s="6">
        <f>IFERROR(__xludf.DUMMYFUNCTION("IFERROR(
  VLOOKUP(
    A19,
    IMPORTRANGE(
      ""1ZHMy3vVUd_0MrSduXTe1etBb1HNpAlGwQr006ljwMiM"",
      ""GSC最新!A:R""
    ),
    10,
    FALSE
  ),
  0
)
"),22111.0)</f>
        <v>22111</v>
      </c>
      <c r="N19" s="6">
        <f>IFERROR(__xludf.DUMMYFUNCTION("IFERROR(
  VLOOKUP(
    A19,
    IMPORTRANGE(
      ""1ZHMy3vVUd_0MrSduXTe1etBb1HNpAlGwQr006ljwMiM"",
      ""GSC最新!A:R""
    ),
    13,
    FALSE
  ),
  0
)
"),431.0)</f>
        <v>431</v>
      </c>
      <c r="O19" s="6">
        <f>IFERROR(__xludf.DUMMYFUNCTION("IFERROR(
  VLOOKUP(
    A19,
    IMPORTRANGE(
      ""1ZHMy3vVUd_0MrSduXTe1etBb1HNpAlGwQr006ljwMiM"",
      ""GSC最新!A:R""
    ),
    16,
    FALSE
  ),
  0
)
"),1657.0)</f>
        <v>1657</v>
      </c>
      <c r="P19" s="51">
        <f t="shared" ref="P19:Q19" si="87">IFERROR(L19/N19,"-")</f>
        <v>24.26682135</v>
      </c>
      <c r="Q19" s="51">
        <f t="shared" si="87"/>
        <v>13.34399517</v>
      </c>
      <c r="R19" s="9">
        <f>IFERROR(__xludf.DUMMYFUNCTION("IFERROR(
  VLOOKUP(
    A19,
    IMPORTRANGE(
      ""1ZHMy3vVUd_0MrSduXTe1etBb1HNpAlGwQr006ljwMiM"",
      ""GSC最新!A:R""
    ),
    8,
    FALSE
  ),
  0
)
"),0.005545463237403193)</f>
        <v>0.005545463237</v>
      </c>
      <c r="S19" s="9">
        <f>IFERROR(__xludf.DUMMYFUNCTION("IFERROR(
  VLOOKUP(
    A19,
    IMPORTRANGE(
      ""1ZHMy3vVUd_0MrSduXTe1etBb1HNpAlGwQr006ljwMiM"",
      ""GSC最新!A:R""
    ),
    11,
    FALSE
  ),
  0
)
"),0.007371896341187644)</f>
        <v>0.007371896341</v>
      </c>
      <c r="T19" s="9">
        <f>IFERROR(__xludf.DUMMYFUNCTION("IFERROR(
  VLOOKUP(
    A19,
    IMPORTRANGE(
      ""1ZHMy3vVUd_0MrSduXTe1etBb1HNpAlGwQr006ljwMiM"",
      ""GSC最新!A:R""
    ),
    14,
    FALSE
  ),
  0
)
"),0.027842227378190254)</f>
        <v>0.02784222738</v>
      </c>
      <c r="U19" s="9">
        <f>IFERROR(__xludf.DUMMYFUNCTION("IFERROR(
  VLOOKUP(
    A19,
    IMPORTRANGE(
      ""1ZHMy3vVUd_0MrSduXTe1etBb1HNpAlGwQr006ljwMiM"",
      ""GSC最新!A:R""
    ),
    17,
    FALSE
  ),
  0
)
"),0.023536511768255886)</f>
        <v>0.02353651177</v>
      </c>
      <c r="V19" s="9">
        <f t="shared" ref="V19:W19" si="88">IFERROR(R19-T19,"-")</f>
        <v>-0.02229676414</v>
      </c>
      <c r="W19" s="9">
        <f t="shared" si="88"/>
        <v>-0.01616461543</v>
      </c>
      <c r="X19" s="65">
        <f>IFERROR(__xludf.DUMMYFUNCTION("IFERROR(
  VLOOKUP(
    A19,
    IMPORTRANGE(
      ""1ZHMy3vVUd_0MrSduXTe1etBb1HNpAlGwQr006ljwMiM"",
      ""GSC最新!A:R""
    ),
    9,
    FALSE
  ),
  0
)
"),4.703604551104312)</f>
        <v>4.703604551</v>
      </c>
      <c r="Y19" s="65">
        <f>IFERROR(__xludf.DUMMYFUNCTION("IFERROR(
  VLOOKUP(
    A19,
    IMPORTRANGE(
      ""1ZHMy3vVUd_0MrSduXTe1etBb1HNpAlGwQr006ljwMiM"",
      ""GSC最新!A:R""
    ),
    12,
    FALSE
  ),
  0
)
"),5.018995070326986)</f>
        <v>5.01899507</v>
      </c>
      <c r="Z19" s="65">
        <f>IFERROR(__xludf.DUMMYFUNCTION("IFERROR(
  VLOOKUP(
    A19,
    IMPORTRANGE(
      ""1ZHMy3vVUd_0MrSduXTe1etBb1HNpAlGwQr006ljwMiM"",
      ""GSC最新!A:R""
    ),
    15,
    FALSE
  ),
  0
)
"),7.853828306264501)</f>
        <v>7.853828306</v>
      </c>
      <c r="AA19" s="65">
        <f>IFERROR(__xludf.DUMMYFUNCTION("IFERROR(
  VLOOKUP(
    A19,
    IMPORTRANGE(
      ""1ZHMy3vVUd_0MrSduXTe1etBb1HNpAlGwQr006ljwMiM"",
      ""GSC最新!A:R""
    ),
    18,
    FALSE
  ),
  0
)
"),7.954737477368739)</f>
        <v>7.954737477</v>
      </c>
      <c r="AB19" s="65">
        <f t="shared" ref="AB19:AC19" si="89">X19-Z19</f>
        <v>-3.150223755</v>
      </c>
      <c r="AC19" s="65">
        <f t="shared" si="89"/>
        <v>-2.935742407</v>
      </c>
      <c r="AD19" s="53">
        <f>IFERROR(__xludf.DUMMYFUNCTION("IFERROR(
  VLOOKUP(
    A19,
    IMPORTRANGE(
      ""1ZHMy3vVUd_0MrSduXTe1etBb1HNpAlGwQr006ljwMiM"",
      ""GSC最新!A:F""
    ),
    6,
    FALSE
  ),
  0
)
"),46081.0)</f>
        <v>46081</v>
      </c>
      <c r="AE19" s="54">
        <f>IFERROR(__xludf.DUMMYFUNCTION("IFERROR(
  VLOOKUP(
    A19,
    IMPORTRANGE(
      ""1SCYQd7_cobOYqT0r_F0IqD4tE4rYn5y8Eup4PJTH8es"",
      ""Snapshot!A:M""
    ),
    5,
    FALSE
  ),
  ""-""
)
"),7.0)</f>
        <v>7</v>
      </c>
      <c r="AF19" s="54">
        <f>IFERROR(__xludf.DUMMYFUNCTION("IFERROR(
  VLOOKUP(
    A19,
    IMPORTRANGE(
      ""1SCYQd7_cobOYqT0r_F0IqD4tE4rYn5y8Eup4PJTH8es"",
      ""Snapshot!A:M""
    ),
    6,
    FALSE
  ),
  0
)
"),1.0)</f>
        <v>1</v>
      </c>
      <c r="AG19" s="54">
        <f>IFERROR(__xludf.DUMMYFUNCTION("IFERROR(
  VLOOKUP(
    A19,
    IMPORTRANGE(
      ""1SCYQd7_cobOYqT0r_F0IqD4tE4rYn5y8Eup4PJTH8es"",
      ""Snapshot!A:M""
    ),
    7,
    FALSE
  ),
  0
)
"),3289.0)</f>
        <v>3289</v>
      </c>
      <c r="AH19" s="54">
        <f>IFERROR(__xludf.DUMMYFUNCTION("IFERROR(
  VLOOKUP(
    A19,
    IMPORTRANGE(
      ""1SCYQd7_cobOYqT0r_F0IqD4tE4rYn5y8Eup4PJTH8es"",
      ""Snapshot!A:M""
    ),
    8,
    FALSE
  ),
  0
)
"),4.0)</f>
        <v>4</v>
      </c>
      <c r="AI19" s="54">
        <f>IFERROR(__xludf.DUMMYFUNCTION("IFERROR(
  VLOOKUP(
    A19,
    IMPORTRANGE(
      ""1SCYQd7_cobOYqT0r_F0IqD4tE4rYn5y8Eup4PJTH8es"",
      ""Snapshot!A:M""
    ),
    9,
    FALSE
  ),
  0
)
"),2.0)</f>
        <v>2</v>
      </c>
      <c r="AJ19" s="54">
        <f>IFERROR(__xludf.DUMMYFUNCTION("IFERROR(
  VLOOKUP(
    A19,
    IMPORTRANGE(
      ""1SCYQd7_cobOYqT0r_F0IqD4tE4rYn5y8Eup4PJTH8es"",
      ""Snapshot!A:M""
    ),
    13,
    FALSE
  ),
  0
)
"),2.0)</f>
        <v>2</v>
      </c>
      <c r="AK19" s="49">
        <f t="shared" ref="AK19:AL19" si="90">LEN(C19)</f>
        <v>48</v>
      </c>
      <c r="AL19" s="49">
        <f t="shared" si="90"/>
        <v>142</v>
      </c>
    </row>
    <row r="20">
      <c r="A20" s="3" t="s">
        <v>1244</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"),"太陽の一日の見かけの動き｜東→南→西の理由と南中｜受験理科")</f>
        <v>太陽の一日の見かけの動き｜東→南→西の理由と南中｜受験理科</v>
      </c>
      <c r="D20" s="1" t="str">
        <f>IFERROR(__xludf.DUMMYFUNCTION("IFERROR(
  VLOOKUP(
    A20,
    IMPORTRANGE(
      ""1ZygntHC1J6IxzKbTidmOyf5nUyW4GCLurHCjexrLm_o        "",
      ""HTMLキャッシュ!A:F""
    ),
    6,
    FALSE
  ),
  0
)
"),"太陽の一日の見かけの動きは北半球で東→南→西。地球の自転、南中、１時間１５度、標準時（東経１３５度）を図とクイズで確認。")</f>
        <v>太陽の一日の見かけの動きは北半球で東→南→西。地球の自転、南中、１時間１５度、標準時（東経１３５度）を図とクイズで確認。</v>
      </c>
      <c r="E20" s="32">
        <f>IFERROR(__xludf.DUMMYFUNCTION("IFERROR(
  VLOOKUP(
    A20,
    IMPORTRANGE(
      ""1ZygntHC1J6IxzKbTidmOyf5nUyW4GCLurHCjexrLm_o        "",
      ""HTMLキャッシュ!A:F""
    ),
    3,
    FALSE
  ),
  0
)
"),46079.18711805555)</f>
        <v>46079.18712</v>
      </c>
      <c r="F20" s="49">
        <f>IFERROR(__xludf.DUMMYFUNCTION("IFERROR(
  VLOOKUP(
    A20,
    IMPORTRANGE(
      ""1ZHMy3vVUd_0MrSduXTe1etBb1HNpAlGwQr006ljwMiM"",
      ""GSC最新!A:F""
    ),
    2,
    FALSE
  ),
  0
)
"),28.0)</f>
        <v>28</v>
      </c>
      <c r="G20" s="49">
        <f>IFERROR(__xludf.DUMMYFUNCTION("IFERROR(
  VLOOKUP(
    A20,
    IMPORTRANGE(
      ""1ZHMy3vVUd_0MrSduXTe1etBb1HNpAlGwQr006ljwMiM"",
      ""GSC最新!A:F""
    ),
    3,
    FALSE
  ),
  0
)
"),142.0)</f>
        <v>142</v>
      </c>
      <c r="H20" s="49">
        <f>IFERROR(__xludf.DUMMYFUNCTION("IFERROR(
  VLOOKUP(
    A20,
    IMPORTRANGE(
      ""1ZHMy3vVUd_0MrSduXTe1etBb1HNpAlGwQr006ljwMiM"",
      ""GSC最新!A:F""
    ),
    4,
    FALSE
  ),
  0
)
"),0.0)</f>
        <v>0</v>
      </c>
      <c r="I20" s="49">
        <f>IFERROR(__xludf.DUMMYFUNCTION("IFERROR(
  VLOOKUP(
    A20,
    IMPORTRANGE(
      ""1ZHMy3vVUd_0MrSduXTe1etBb1HNpAlGwQr006ljwMiM"",
      ""GSC最新!A:F""
    ),
    5,
    FALSE
  ),
  0
)
"),1.0)</f>
        <v>1</v>
      </c>
      <c r="J20" s="50" t="str">
        <f t="shared" ref="J20:K20" si="91">IFERROR(F20/H20,"-")</f>
        <v>-</v>
      </c>
      <c r="K20" s="50">
        <f t="shared" si="91"/>
        <v>142</v>
      </c>
      <c r="L20" s="6">
        <f>IFERROR(__xludf.DUMMYFUNCTION("IFERROR(
  VLOOKUP(
    A20,
    IMPORTRANGE(
      ""1ZHMy3vVUd_0MrSduXTe1etBb1HNpAlGwQr006ljwMiM"",
      ""GSC最新!A:R""
    ),
    7,
    FALSE
  ),
  0
)
"),8055.0)</f>
        <v>8055</v>
      </c>
      <c r="M20" s="6">
        <f>IFERROR(__xludf.DUMMYFUNCTION("IFERROR(
  VLOOKUP(
    A20,
    IMPORTRANGE(
      ""1ZHMy3vVUd_0MrSduXTe1etBb1HNpAlGwQr006ljwMiM"",
      ""GSC最新!A:R""
    ),
    10,
    FALSE
  ),
  0
)
"),25219.0)</f>
        <v>25219</v>
      </c>
      <c r="N20" s="6">
        <f>IFERROR(__xludf.DUMMYFUNCTION("IFERROR(
  VLOOKUP(
    A20,
    IMPORTRANGE(
      ""1ZHMy3vVUd_0MrSduXTe1etBb1HNpAlGwQr006ljwMiM"",
      ""GSC最新!A:R""
    ),
    13,
    FALSE
  ),
  0
)
"),4.0)</f>
        <v>4</v>
      </c>
      <c r="O20" s="6">
        <f>IFERROR(__xludf.DUMMYFUNCTION("IFERROR(
  VLOOKUP(
    A20,
    IMPORTRANGE(
      ""1ZHMy3vVUd_0MrSduXTe1etBb1HNpAlGwQr006ljwMiM"",
      ""GSC最新!A:R""
    ),
    16,
    FALSE
  ),
  0
)
"),9.0)</f>
        <v>9</v>
      </c>
      <c r="P20" s="51">
        <f t="shared" ref="P20:Q20" si="92">IFERROR(L20/N20,"-")</f>
        <v>2013.75</v>
      </c>
      <c r="Q20" s="51">
        <f t="shared" si="92"/>
        <v>2802.111111</v>
      </c>
      <c r="R20" s="9">
        <f>IFERROR(__xludf.DUMMYFUNCTION("IFERROR(
  VLOOKUP(
    A20,
    IMPORTRANGE(
      ""1ZHMy3vVUd_0MrSduXTe1etBb1HNpAlGwQr006ljwMiM"",
      ""GSC最新!A:R""
    ),
    8,
    FALSE
  ),
  0
)
"),0.0034761018001241463)</f>
        <v>0.0034761018</v>
      </c>
      <c r="S20" s="9">
        <f>IFERROR(__xludf.DUMMYFUNCTION("IFERROR(
  VLOOKUP(
    A20,
    IMPORTRANGE(
      ""1ZHMy3vVUd_0MrSduXTe1etBb1HNpAlGwQr006ljwMiM"",
      ""GSC最新!A:R""
    ),
    11,
    FALSE
  ),
  0
)
"),0.0056306752845077124)</f>
        <v>0.005630675285</v>
      </c>
      <c r="T20" s="9">
        <f>IFERROR(__xludf.DUMMYFUNCTION("IFERROR(
  VLOOKUP(
    A20,
    IMPORTRANGE(
      ""1ZHMy3vVUd_0MrSduXTe1etBb1HNpAlGwQr006ljwMiM"",
      ""GSC最新!A:R""
    ),
    14,
    FALSE
  ),
  0
)
"),0.0)</f>
        <v>0</v>
      </c>
      <c r="U20" s="9">
        <f>IFERROR(__xludf.DUMMYFUNCTION("IFERROR(
  VLOOKUP(
    A20,
    IMPORTRANGE(
      ""1ZHMy3vVUd_0MrSduXTe1etBb1HNpAlGwQr006ljwMiM"",
      ""GSC最新!A:R""
    ),
    17,
    FALSE
  ),
  0
)
"),0.1111111111111111)</f>
        <v>0.1111111111</v>
      </c>
      <c r="V20" s="9">
        <f t="shared" ref="V20:W20" si="93">IFERROR(R20-T20,"-")</f>
        <v>0.0034761018</v>
      </c>
      <c r="W20" s="9">
        <f t="shared" si="93"/>
        <v>-0.1054804358</v>
      </c>
      <c r="X20" s="65">
        <f>IFERROR(__xludf.DUMMYFUNCTION("IFERROR(
  VLOOKUP(
    A20,
    IMPORTRANGE(
      ""1ZHMy3vVUd_0MrSduXTe1etBb1HNpAlGwQr006ljwMiM"",
      ""GSC最新!A:R""
    ),
    9,
    FALSE
  ),
  0
)
"),5.243575418994413)</f>
        <v>5.243575419</v>
      </c>
      <c r="Y20" s="65">
        <f>IFERROR(__xludf.DUMMYFUNCTION("IFERROR(
  VLOOKUP(
    A20,
    IMPORTRANGE(
      ""1ZHMy3vVUd_0MrSduXTe1etBb1HNpAlGwQr006ljwMiM"",
      ""GSC最新!A:R""
    ),
    12,
    FALSE
  ),
  0
)
"),6.039414726991554)</f>
        <v>6.039414727</v>
      </c>
      <c r="Z20" s="65">
        <f>IFERROR(__xludf.DUMMYFUNCTION("IFERROR(
  VLOOKUP(
    A20,
    IMPORTRANGE(
      ""1ZHMy3vVUd_0MrSduXTe1etBb1HNpAlGwQr006ljwMiM"",
      ""GSC最新!A:R""
    ),
    15,
    FALSE
  ),
  0
)
"),3.5)</f>
        <v>3.5</v>
      </c>
      <c r="AA20" s="65">
        <f>IFERROR(__xludf.DUMMYFUNCTION("IFERROR(
  VLOOKUP(
    A20,
    IMPORTRANGE(
      ""1ZHMy3vVUd_0MrSduXTe1etBb1HNpAlGwQr006ljwMiM"",
      ""GSC最新!A:R""
    ),
    18,
    FALSE
  ),
  0
)
"),4.888888888888889)</f>
        <v>4.888888889</v>
      </c>
      <c r="AB20" s="65">
        <f t="shared" ref="AB20:AC20" si="94">X20-Z20</f>
        <v>1.743575419</v>
      </c>
      <c r="AC20" s="65">
        <f t="shared" si="94"/>
        <v>1.150525838</v>
      </c>
      <c r="AD20" s="53">
        <f>IFERROR(__xludf.DUMMYFUNCTION("IFERROR(
  VLOOKUP(
    A20,
    IMPORTRANGE(
      ""1ZHMy3vVUd_0MrSduXTe1etBb1HNpAlGwQr006ljwMiM"",
      ""GSC最新!A:F""
    ),
    6,
    FALSE
  ),
  0
)
"),46081.0)</f>
        <v>46081</v>
      </c>
      <c r="AE20" s="54">
        <f>IFERROR(__xludf.DUMMYFUNCTION("IFERROR(
  VLOOKUP(
    A20,
    IMPORTRANGE(
      ""1SCYQd7_cobOYqT0r_F0IqD4tE4rYn5y8Eup4PJTH8es"",
      ""Snapshot!A:M""
    ),
    5,
    FALSE
  ),
  ""-""
)
"),9.0)</f>
        <v>9</v>
      </c>
      <c r="AF20" s="54">
        <f>IFERROR(__xludf.DUMMYFUNCTION("IFERROR(
  VLOOKUP(
    A20,
    IMPORTRANGE(
      ""1SCYQd7_cobOYqT0r_F0IqD4tE4rYn5y8Eup4PJTH8es"",
      ""Snapshot!A:M""
    ),
    6,
    FALSE
  ),
  0
)
"),3.0)</f>
        <v>3</v>
      </c>
      <c r="AG20" s="54">
        <f>IFERROR(__xludf.DUMMYFUNCTION("IFERROR(
  VLOOKUP(
    A20,
    IMPORTRANGE(
      ""1SCYQd7_cobOYqT0r_F0IqD4tE4rYn5y8Eup4PJTH8es"",
      ""Snapshot!A:M""
    ),
    7,
    FALSE
  ),
  0
)
"),3526.0)</f>
        <v>3526</v>
      </c>
      <c r="AH20" s="54">
        <f>IFERROR(__xludf.DUMMYFUNCTION("IFERROR(
  VLOOKUP(
    A20,
    IMPORTRANGE(
      ""1SCYQd7_cobOYqT0r_F0IqD4tE4rYn5y8Eup4PJTH8es"",
      ""Snapshot!A:M""
    ),
    8,
    FALSE
  ),
  0
)
"),2.0)</f>
        <v>2</v>
      </c>
      <c r="AI20" s="54">
        <f>IFERROR(__xludf.DUMMYFUNCTION("IFERROR(
  VLOOKUP(
    A20,
    IMPORTRANGE(
      ""1SCYQd7_cobOYqT0r_F0IqD4tE4rYn5y8Eup4PJTH8es"",
      ""Snapshot!A:M""
    ),
    9,
    FALSE
  ),
  0
)
"),2.0)</f>
        <v>2</v>
      </c>
      <c r="AJ20" s="54">
        <f>IFERROR(__xludf.DUMMYFUNCTION("IFERROR(
  VLOOKUP(
    A20,
    IMPORTRANGE(
      ""1SCYQd7_cobOYqT0r_F0IqD4tE4rYn5y8Eup4PJTH8es"",
      ""Snapshot!A:M""
    ),
    13,
    FALSE
  ),
  0
)
"),2.0)</f>
        <v>2</v>
      </c>
      <c r="AK20" s="49">
        <f t="shared" ref="AK20:AL20" si="95">LEN(C20)</f>
        <v>29</v>
      </c>
      <c r="AL20" s="49">
        <f t="shared" si="95"/>
        <v>60</v>
      </c>
    </row>
    <row r="21">
      <c r="A21" s="3" t="s">
        <v>1245</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"),"【理科のコツ】消化と吸収 - 中学受験 理科の個別指導 | 受験理科専門塾「しゅん吉クエスト」")</f>
        <v>【理科のコツ】消化と吸収 - 中学受験 理科の個別指導 | 受験理科専門塾「しゅん吉クエスト」</v>
      </c>
      <c r="D21" s="1" t="str">
        <f>IFERROR(__xludf.DUMMYFUNCTION("IFERROR(
  VLOOKUP(
    A21,
    IMPORTRANGE(
      ""1ZygntHC1J6IxzKbTidmOyf5nUyW4GCLurHCjexrLm_o        "",
      ""HTMLキャッシュ!A:F""
    ),
    6,
    FALSE
  ),
  0
)
"),"中学受験／理科・生物 テーマ：消化と吸収・三大栄養素 消化と吸収──三大栄養素はどこでどう分解・吸収される？")</f>
        <v>中学受験／理科・生物 テーマ：消化と吸収・三大栄養素 消化と吸収──三大栄養素はどこでどう分解・吸収される？</v>
      </c>
      <c r="E21" s="32">
        <f>IFERROR(__xludf.DUMMYFUNCTION("IFERROR(
  VLOOKUP(
    A21,
    IMPORTRANGE(
      ""1ZygntHC1J6IxzKbTidmOyf5nUyW4GCLurHCjexrLm_o        "",
      ""HTMLキャッシュ!A:F""
    ),
    3,
    FALSE
  ),
  0
)
"),46030.17622685185)</f>
        <v>46030.17623</v>
      </c>
      <c r="F21" s="49">
        <f>IFERROR(__xludf.DUMMYFUNCTION("IFERROR(
  VLOOKUP(
    A21,
    IMPORTRANGE(
      ""1ZHMy3vVUd_0MrSduXTe1etBb1HNpAlGwQr006ljwMiM"",
      ""GSC最新!A:F""
    ),
    2,
    FALSE
  ),
  0
)
"),48.0)</f>
        <v>48</v>
      </c>
      <c r="G21" s="49">
        <f>IFERROR(__xludf.DUMMYFUNCTION("IFERROR(
  VLOOKUP(
    A21,
    IMPORTRANGE(
      ""1ZHMy3vVUd_0MrSduXTe1etBb1HNpAlGwQr006ljwMiM"",
      ""GSC最新!A:F""
    ),
    3,
    FALSE
  ),
  0
)
"),142.0)</f>
        <v>142</v>
      </c>
      <c r="H21" s="49">
        <f>IFERROR(__xludf.DUMMYFUNCTION("IFERROR(
  VLOOKUP(
    A21,
    IMPORTRANGE(
      ""1ZHMy3vVUd_0MrSduXTe1etBb1HNpAlGwQr006ljwMiM"",
      ""GSC最新!A:F""
    ),
    4,
    FALSE
  ),
  0
)
"),0.0)</f>
        <v>0</v>
      </c>
      <c r="I21" s="49">
        <f>IFERROR(__xludf.DUMMYFUNCTION("IFERROR(
  VLOOKUP(
    A21,
    IMPORTRANGE(
      ""1ZHMy3vVUd_0MrSduXTe1etBb1HNpAlGwQr006ljwMiM"",
      ""GSC最新!A:F""
    ),
    5,
    FALSE
  ),
  0
)
"),0.0)</f>
        <v>0</v>
      </c>
      <c r="J21" s="50" t="str">
        <f t="shared" ref="J21:K21" si="96">IFERROR(F21/H21,"-")</f>
        <v>-</v>
      </c>
      <c r="K21" s="50" t="str">
        <f t="shared" si="96"/>
        <v>-</v>
      </c>
      <c r="L21" s="6">
        <f>IFERROR(__xludf.DUMMYFUNCTION("IFERROR(
  VLOOKUP(
    A21,
    IMPORTRANGE(
      ""1ZHMy3vVUd_0MrSduXTe1etBb1HNpAlGwQr006ljwMiM"",
      ""GSC最新!A:R""
    ),
    7,
    FALSE
  ),
  0
)
"),8461.0)</f>
        <v>8461</v>
      </c>
      <c r="M21" s="6">
        <f>IFERROR(__xludf.DUMMYFUNCTION("IFERROR(
  VLOOKUP(
    A21,
    IMPORTRANGE(
      ""1ZHMy3vVUd_0MrSduXTe1etBb1HNpAlGwQr006ljwMiM"",
      ""GSC最新!A:R""
    ),
    10,
    FALSE
  ),
  0
)
"),28971.0)</f>
        <v>28971</v>
      </c>
      <c r="N21" s="6">
        <f>IFERROR(__xludf.DUMMYFUNCTION("IFERROR(
  VLOOKUP(
    A21,
    IMPORTRANGE(
      ""1ZHMy3vVUd_0MrSduXTe1etBb1HNpAlGwQr006ljwMiM"",
      ""GSC最新!A:R""
    ),
    13,
    FALSE
  ),
  0
)
"),303.0)</f>
        <v>303</v>
      </c>
      <c r="O21" s="6">
        <f>IFERROR(__xludf.DUMMYFUNCTION("IFERROR(
  VLOOKUP(
    A21,
    IMPORTRANGE(
      ""1ZHMy3vVUd_0MrSduXTe1etBb1HNpAlGwQr006ljwMiM"",
      ""GSC最新!A:R""
    ),
    16,
    FALSE
  ),
  0
)
"),694.0)</f>
        <v>694</v>
      </c>
      <c r="P21" s="51">
        <f t="shared" ref="P21:Q21" si="97">IFERROR(L21/N21,"-")</f>
        <v>27.92409241</v>
      </c>
      <c r="Q21" s="51">
        <f t="shared" si="97"/>
        <v>41.74495677</v>
      </c>
      <c r="R21" s="9">
        <f>IFERROR(__xludf.DUMMYFUNCTION("IFERROR(
  VLOOKUP(
    A21,
    IMPORTRANGE(
      ""1ZHMy3vVUd_0MrSduXTe1etBb1HNpAlGwQr006ljwMiM"",
      ""GSC最新!A:R""
    ),
    8,
    FALSE
  ),
  0
)
"),0.005673088287436473)</f>
        <v>0.005673088287</v>
      </c>
      <c r="S21" s="9">
        <f>IFERROR(__xludf.DUMMYFUNCTION("IFERROR(
  VLOOKUP(
    A21,
    IMPORTRANGE(
      ""1ZHMy3vVUd_0MrSduXTe1etBb1HNpAlGwQr006ljwMiM"",
      ""GSC最新!A:R""
    ),
    11,
    FALSE
  ),
  0
)
"),0.004901453177315246)</f>
        <v>0.004901453177</v>
      </c>
      <c r="T21" s="9">
        <f>IFERROR(__xludf.DUMMYFUNCTION("IFERROR(
  VLOOKUP(
    A21,
    IMPORTRANGE(
      ""1ZHMy3vVUd_0MrSduXTe1etBb1HNpAlGwQr006ljwMiM"",
      ""GSC最新!A:R""
    ),
    14,
    FALSE
  ),
  0
)
"),0.0)</f>
        <v>0</v>
      </c>
      <c r="U21" s="9">
        <f>IFERROR(__xludf.DUMMYFUNCTION("IFERROR(
  VLOOKUP(
    A21,
    IMPORTRANGE(
      ""1ZHMy3vVUd_0MrSduXTe1etBb1HNpAlGwQr006ljwMiM"",
      ""GSC最新!A:R""
    ),
    17,
    FALSE
  ),
  0
)
"),0.0)</f>
        <v>0</v>
      </c>
      <c r="V21" s="9">
        <f t="shared" ref="V21:W21" si="98">IFERROR(R21-T21,"-")</f>
        <v>0.005673088287</v>
      </c>
      <c r="W21" s="9">
        <f t="shared" si="98"/>
        <v>0.004901453177</v>
      </c>
      <c r="X21" s="65">
        <f>IFERROR(__xludf.DUMMYFUNCTION("IFERROR(
  VLOOKUP(
    A21,
    IMPORTRANGE(
      ""1ZHMy3vVUd_0MrSduXTe1etBb1HNpAlGwQr006ljwMiM"",
      ""GSC最新!A:R""
    ),
    9,
    FALSE
  ),
  0
)
"),5.261316629240042)</f>
        <v>5.261316629</v>
      </c>
      <c r="Y21" s="65">
        <f>IFERROR(__xludf.DUMMYFUNCTION("IFERROR(
  VLOOKUP(
    A21,
    IMPORTRANGE(
      ""1ZHMy3vVUd_0MrSduXTe1etBb1HNpAlGwQr006ljwMiM"",
      ""GSC最新!A:R""
    ),
    12,
    FALSE
  ),
  0
)
"),4.27058092575334)</f>
        <v>4.270580926</v>
      </c>
      <c r="Z21" s="65">
        <f>IFERROR(__xludf.DUMMYFUNCTION("IFERROR(
  VLOOKUP(
    A21,
    IMPORTRANGE(
      ""1ZHMy3vVUd_0MrSduXTe1etBb1HNpAlGwQr006ljwMiM"",
      ""GSC最新!A:R""
    ),
    15,
    FALSE
  ),
  0
)
"),4.267326732673267)</f>
        <v>4.267326733</v>
      </c>
      <c r="AA21" s="65">
        <f>IFERROR(__xludf.DUMMYFUNCTION("IFERROR(
  VLOOKUP(
    A21,
    IMPORTRANGE(
      ""1ZHMy3vVUd_0MrSduXTe1etBb1HNpAlGwQr006ljwMiM"",
      ""GSC最新!A:R""
    ),
    18,
    FALSE
  ),
  0
)
"),4.121037463976945)</f>
        <v>4.121037464</v>
      </c>
      <c r="AB21" s="65">
        <f t="shared" ref="AB21:AC21" si="99">X21-Z21</f>
        <v>0.9939898966</v>
      </c>
      <c r="AC21" s="65">
        <f t="shared" si="99"/>
        <v>0.1495434618</v>
      </c>
      <c r="AD21" s="53">
        <f>IFERROR(__xludf.DUMMYFUNCTION("IFERROR(
  VLOOKUP(
    A21,
    IMPORTRANGE(
      ""1ZHMy3vVUd_0MrSduXTe1etBb1HNpAlGwQr006ljwMiM"",
      ""GSC最新!A:F""
    ),
    6,
    FALSE
  ),
  0
)
"),46081.0)</f>
        <v>46081</v>
      </c>
      <c r="AE21" s="54">
        <f>IFERROR(__xludf.DUMMYFUNCTION("IFERROR(
  VLOOKUP(
    A21,
    IMPORTRANGE(
      ""1SCYQd7_cobOYqT0r_F0IqD4tE4rYn5y8Eup4PJTH8es"",
      ""Snapshot!A:M""
    ),
    5,
    FALSE
  ),
  ""-""
)
"),8.0)</f>
        <v>8</v>
      </c>
      <c r="AF21" s="54">
        <f>IFERROR(__xludf.DUMMYFUNCTION("IFERROR(
  VLOOKUP(
    A21,
    IMPORTRANGE(
      ""1SCYQd7_cobOYqT0r_F0IqD4tE4rYn5y8Eup4PJTH8es"",
      ""Snapshot!A:M""
    ),
    6,
    FALSE
  ),
  0
)
"),3.0)</f>
        <v>3</v>
      </c>
      <c r="AG21" s="54">
        <f>IFERROR(__xludf.DUMMYFUNCTION("IFERROR(
  VLOOKUP(
    A21,
    IMPORTRANGE(
      ""1SCYQd7_cobOYqT0r_F0IqD4tE4rYn5y8Eup4PJTH8es"",
      ""Snapshot!A:M""
    ),
    7,
    FALSE
  ),
  0
)
"),3687.0)</f>
        <v>3687</v>
      </c>
      <c r="AH21" s="54">
        <f>IFERROR(__xludf.DUMMYFUNCTION("IFERROR(
  VLOOKUP(
    A21,
    IMPORTRANGE(
      ""1SCYQd7_cobOYqT0r_F0IqD4tE4rYn5y8Eup4PJTH8es"",
      ""Snapshot!A:M""
    ),
    8,
    FALSE
  ),
  0
)
"),1.0)</f>
        <v>1</v>
      </c>
      <c r="AI21" s="54">
        <f>IFERROR(__xludf.DUMMYFUNCTION("IFERROR(
  VLOOKUP(
    A21,
    IMPORTRANGE(
      ""1SCYQd7_cobOYqT0r_F0IqD4tE4rYn5y8Eup4PJTH8es"",
      ""Snapshot!A:M""
    ),
    9,
    FALSE
  ),
  0
)
"),2.0)</f>
        <v>2</v>
      </c>
      <c r="AJ21" s="54">
        <f>IFERROR(__xludf.DUMMYFUNCTION("IFERROR(
  VLOOKUP(
    A21,
    IMPORTRANGE(
      ""1SCYQd7_cobOYqT0r_F0IqD4tE4rYn5y8Eup4PJTH8es"",
      ""Snapshot!A:M""
    ),
    13,
    FALSE
  ),
  0
)
"),2.0)</f>
        <v>2</v>
      </c>
      <c r="AK21" s="49">
        <f t="shared" ref="AK21:AL21" si="100">LEN(C21)</f>
        <v>47</v>
      </c>
      <c r="AL21" s="49">
        <f t="shared" si="100"/>
        <v>54</v>
      </c>
    </row>
    <row r="22">
      <c r="A22" s="3" t="s">
        <v>1246</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"),"【理科のコツ】季節と天気 - 中学受験 理科の個別指導 | 受験理科専門塾「しゅん吉クエスト」")</f>
        <v>【理科のコツ】季節と天気 - 中学受験 理科の個別指導 | 受験理科専門塾「しゅん吉クエスト」</v>
      </c>
      <c r="D22" s="1" t="str">
        <f>IFERROR(__xludf.DUMMYFUNCTION("IFERROR(
  VLOOKUP(
    A22,
    IMPORTRANGE(
      ""1ZygntHC1J6IxzKbTidmOyf5nUyW4GCLurHCjexrLm_o        "",
      ""HTMLキャッシュ!A:F""
    ),
    6,
    FALSE
  ),
  0
)
"),"中学理科／地学分野 テーマ：天気の観測と気団・四季 天気の観測と4つの気団──日本の天気と四季のしくみをまとめ")</f>
        <v>中学理科／地学分野 テーマ：天気の観測と気団・四季 天気の観測と4つの気団──日本の天気と四季のしくみをまとめ</v>
      </c>
      <c r="E22" s="32">
        <f>IFERROR(__xludf.DUMMYFUNCTION("IFERROR(
  VLOOKUP(
    A22,
    IMPORTRANGE(
      ""1ZygntHC1J6IxzKbTidmOyf5nUyW4GCLurHCjexrLm_o        "",
      ""HTMLキャッシュ!A:F""
    ),
    3,
    FALSE
  ),
  0
)
"),46034.088900462964)</f>
        <v>46034.0889</v>
      </c>
      <c r="F22" s="49">
        <f>IFERROR(__xludf.DUMMYFUNCTION("IFERROR(
  VLOOKUP(
    A22,
    IMPORTRANGE(
      ""1ZHMy3vVUd_0MrSduXTe1etBb1HNpAlGwQr006ljwMiM"",
      ""GSC最新!A:F""
    ),
    2,
    FALSE
  ),
  0
)
"),39.0)</f>
        <v>39</v>
      </c>
      <c r="G22" s="49">
        <f>IFERROR(__xludf.DUMMYFUNCTION("IFERROR(
  VLOOKUP(
    A22,
    IMPORTRANGE(
      ""1ZHMy3vVUd_0MrSduXTe1etBb1HNpAlGwQr006ljwMiM"",
      ""GSC最新!A:F""
    ),
    3,
    FALSE
  ),
  0
)
"),136.0)</f>
        <v>136</v>
      </c>
      <c r="H22" s="49">
        <f>IFERROR(__xludf.DUMMYFUNCTION("IFERROR(
  VLOOKUP(
    A22,
    IMPORTRANGE(
      ""1ZHMy3vVUd_0MrSduXTe1etBb1HNpAlGwQr006ljwMiM"",
      ""GSC最新!A:F""
    ),
    4,
    FALSE
  ),
  0
)
"),5.0)</f>
        <v>5</v>
      </c>
      <c r="I22" s="49">
        <f>IFERROR(__xludf.DUMMYFUNCTION("IFERROR(
  VLOOKUP(
    A22,
    IMPORTRANGE(
      ""1ZHMy3vVUd_0MrSduXTe1etBb1HNpAlGwQr006ljwMiM"",
      ""GSC最新!A:F""
    ),
    5,
    FALSE
  ),
  0
)
"),7.0)</f>
        <v>7</v>
      </c>
      <c r="J22" s="50">
        <f t="shared" ref="J22:K22" si="101">IFERROR(F22/H22,"-")</f>
        <v>7.8</v>
      </c>
      <c r="K22" s="50">
        <f t="shared" si="101"/>
        <v>19.42857143</v>
      </c>
      <c r="L22" s="6">
        <f>IFERROR(__xludf.DUMMYFUNCTION("IFERROR(
  VLOOKUP(
    A22,
    IMPORTRANGE(
      ""1ZHMy3vVUd_0MrSduXTe1etBb1HNpAlGwQr006ljwMiM"",
      ""GSC最新!A:R""
    ),
    7,
    FALSE
  ),
  0
)
"),7350.0)</f>
        <v>7350</v>
      </c>
      <c r="M22" s="6">
        <f>IFERROR(__xludf.DUMMYFUNCTION("IFERROR(
  VLOOKUP(
    A22,
    IMPORTRANGE(
      ""1ZHMy3vVUd_0MrSduXTe1etBb1HNpAlGwQr006ljwMiM"",
      ""GSC最新!A:R""
    ),
    10,
    FALSE
  ),
  0
)
"),20793.0)</f>
        <v>20793</v>
      </c>
      <c r="N22" s="6">
        <f>IFERROR(__xludf.DUMMYFUNCTION("IFERROR(
  VLOOKUP(
    A22,
    IMPORTRANGE(
      ""1ZHMy3vVUd_0MrSduXTe1etBb1HNpAlGwQr006ljwMiM"",
      ""GSC最新!A:R""
    ),
    13,
    FALSE
  ),
  0
)
"),871.0)</f>
        <v>871</v>
      </c>
      <c r="O22" s="6">
        <f>IFERROR(__xludf.DUMMYFUNCTION("IFERROR(
  VLOOKUP(
    A22,
    IMPORTRANGE(
      ""1ZHMy3vVUd_0MrSduXTe1etBb1HNpAlGwQr006ljwMiM"",
      ""GSC最新!A:R""
    ),
    16,
    FALSE
  ),
  0
)
"),2317.0)</f>
        <v>2317</v>
      </c>
      <c r="P22" s="51">
        <f t="shared" ref="P22:Q22" si="102">IFERROR(L22/N22,"-")</f>
        <v>8.438576349</v>
      </c>
      <c r="Q22" s="51">
        <f t="shared" si="102"/>
        <v>8.974104445</v>
      </c>
      <c r="R22" s="9">
        <f>IFERROR(__xludf.DUMMYFUNCTION("IFERROR(
  VLOOKUP(
    A22,
    IMPORTRANGE(
      ""1ZHMy3vVUd_0MrSduXTe1etBb1HNpAlGwQr006ljwMiM"",
      ""GSC最新!A:R""
    ),
    8,
    FALSE
  ),
  0
)
"),0.005306122448979592)</f>
        <v>0.005306122449</v>
      </c>
      <c r="S22" s="9">
        <f>IFERROR(__xludf.DUMMYFUNCTION("IFERROR(
  VLOOKUP(
    A22,
    IMPORTRANGE(
      ""1ZHMy3vVUd_0MrSduXTe1etBb1HNpAlGwQr006ljwMiM"",
      ""GSC最新!A:R""
    ),
    11,
    FALSE
  ),
  0
)
"),0.00654066272303179)</f>
        <v>0.006540662723</v>
      </c>
      <c r="T22" s="9">
        <f>IFERROR(__xludf.DUMMYFUNCTION("IFERROR(
  VLOOKUP(
    A22,
    IMPORTRANGE(
      ""1ZHMy3vVUd_0MrSduXTe1etBb1HNpAlGwQr006ljwMiM"",
      ""GSC最新!A:R""
    ),
    14,
    FALSE
  ),
  0
)
"),0.0057405281285878304)</f>
        <v>0.005740528129</v>
      </c>
      <c r="U22" s="9">
        <f>IFERROR(__xludf.DUMMYFUNCTION("IFERROR(
  VLOOKUP(
    A22,
    IMPORTRANGE(
      ""1ZHMy3vVUd_0MrSduXTe1etBb1HNpAlGwQr006ljwMiM"",
      ""GSC最新!A:R""
    ),
    17,
    FALSE
  ),
  0
)
"),0.0030211480362537764)</f>
        <v>0.003021148036</v>
      </c>
      <c r="V22" s="9">
        <f t="shared" ref="V22:W22" si="103">IFERROR(R22-T22,"-")</f>
        <v>-0.0004344056796</v>
      </c>
      <c r="W22" s="9">
        <f t="shared" si="103"/>
        <v>0.003519514687</v>
      </c>
      <c r="X22" s="65">
        <f>IFERROR(__xludf.DUMMYFUNCTION("IFERROR(
  VLOOKUP(
    A22,
    IMPORTRANGE(
      ""1ZHMy3vVUd_0MrSduXTe1etBb1HNpAlGwQr006ljwMiM"",
      ""GSC最新!A:R""
    ),
    9,
    FALSE
  ),
  0
)
"),4.40843537414966)</f>
        <v>4.408435374</v>
      </c>
      <c r="Y22" s="65">
        <f>IFERROR(__xludf.DUMMYFUNCTION("IFERROR(
  VLOOKUP(
    A22,
    IMPORTRANGE(
      ""1ZHMy3vVUd_0MrSduXTe1etBb1HNpAlGwQr006ljwMiM"",
      ""GSC最新!A:R""
    ),
    12,
    FALSE
  ),
  0
)
"),5.0662723031789545)</f>
        <v>5.066272303</v>
      </c>
      <c r="Z22" s="65">
        <f>IFERROR(__xludf.DUMMYFUNCTION("IFERROR(
  VLOOKUP(
    A22,
    IMPORTRANGE(
      ""1ZHMy3vVUd_0MrSduXTe1etBb1HNpAlGwQr006ljwMiM"",
      ""GSC最新!A:R""
    ),
    15,
    FALSE
  ),
  0
)
"),7.2548794489093)</f>
        <v>7.254879449</v>
      </c>
      <c r="AA22" s="65">
        <f>IFERROR(__xludf.DUMMYFUNCTION("IFERROR(
  VLOOKUP(
    A22,
    IMPORTRANGE(
      ""1ZHMy3vVUd_0MrSduXTe1etBb1HNpAlGwQr006ljwMiM"",
      ""GSC最新!A:R""
    ),
    18,
    FALSE
  ),
  0
)
"),7.36685369011653)</f>
        <v>7.36685369</v>
      </c>
      <c r="AB22" s="65">
        <f t="shared" ref="AB22:AC22" si="104">X22-Z22</f>
        <v>-2.846444075</v>
      </c>
      <c r="AC22" s="65">
        <f t="shared" si="104"/>
        <v>-2.300581387</v>
      </c>
      <c r="AD22" s="53">
        <f>IFERROR(__xludf.DUMMYFUNCTION("IFERROR(
  VLOOKUP(
    A22,
    IMPORTRANGE(
      ""1ZHMy3vVUd_0MrSduXTe1etBb1HNpAlGwQr006ljwMiM"",
      ""GSC最新!A:F""
    ),
    6,
    FALSE
  ),
  0
)
"),46081.0)</f>
        <v>46081</v>
      </c>
      <c r="AE22" s="54">
        <f>IFERROR(__xludf.DUMMYFUNCTION("IFERROR(
  VLOOKUP(
    A22,
    IMPORTRANGE(
      ""1SCYQd7_cobOYqT0r_F0IqD4tE4rYn5y8Eup4PJTH8es"",
      ""Snapshot!A:M""
    ),
    5,
    FALSE
  ),
  ""-""
)
"),10.0)</f>
        <v>10</v>
      </c>
      <c r="AF22" s="54">
        <f>IFERROR(__xludf.DUMMYFUNCTION("IFERROR(
  VLOOKUP(
    A22,
    IMPORTRANGE(
      ""1SCYQd7_cobOYqT0r_F0IqD4tE4rYn5y8Eup4PJTH8es"",
      ""Snapshot!A:M""
    ),
    6,
    FALSE
  ),
  0
)
"),4.0)</f>
        <v>4</v>
      </c>
      <c r="AG22" s="54">
        <f>IFERROR(__xludf.DUMMYFUNCTION("IFERROR(
  VLOOKUP(
    A22,
    IMPORTRANGE(
      ""1SCYQd7_cobOYqT0r_F0IqD4tE4rYn5y8Eup4PJTH8es"",
      ""Snapshot!A:M""
    ),
    7,
    FALSE
  ),
  0
)
"),4077.0)</f>
        <v>4077</v>
      </c>
      <c r="AH22" s="54">
        <f>IFERROR(__xludf.DUMMYFUNCTION("IFERROR(
  VLOOKUP(
    A22,
    IMPORTRANGE(
      ""1SCYQd7_cobOYqT0r_F0IqD4tE4rYn5y8Eup4PJTH8es"",
      ""Snapshot!A:M""
    ),
    8,
    FALSE
  ),
  0
)
"),2.0)</f>
        <v>2</v>
      </c>
      <c r="AI22" s="54">
        <f>IFERROR(__xludf.DUMMYFUNCTION("IFERROR(
  VLOOKUP(
    A22,
    IMPORTRANGE(
      ""1SCYQd7_cobOYqT0r_F0IqD4tE4rYn5y8Eup4PJTH8es"",
      ""Snapshot!A:M""
    ),
    9,
    FALSE
  ),
  0
)
"),2.0)</f>
        <v>2</v>
      </c>
      <c r="AJ22" s="54">
        <f>IFERROR(__xludf.DUMMYFUNCTION("IFERROR(
  VLOOKUP(
    A22,
    IMPORTRANGE(
      ""1SCYQd7_cobOYqT0r_F0IqD4tE4rYn5y8Eup4PJTH8es"",
      ""Snapshot!A:M""
    ),
    13,
    FALSE
  ),
  0
)
"),2.0)</f>
        <v>2</v>
      </c>
      <c r="AK22" s="49">
        <f t="shared" ref="AK22:AL22" si="105">LEN(C22)</f>
        <v>47</v>
      </c>
      <c r="AL22" s="49">
        <f t="shared" si="105"/>
        <v>55</v>
      </c>
    </row>
    <row r="23">
      <c r="A23" s="3" t="s">
        <v>1247</v>
      </c>
      <c r="B23" s="1" t="str">
        <f>IFERROR(__xludf.DUMMYFUNCTION("IFERROR(
  VLOOKUP(
    A23,
    IMPORTRANGE(
      ""1ZygntHC1J6IxzKbTidmOyf5nUyW4GCLurHCjexrLm_o"",
      ""HTMLキャッシュ!A:F""
    ),
    2,
    FALSE
  ),
  0
)
"),"MC")</f>
        <v>MC</v>
      </c>
      <c r="C23" s="1" t="str">
        <f>IFERROR(__xludf.DUMMYFUNCTION("IFERROR(
  VLOOKUP(
    A23,
    IMPORTRANGE(
      ""1ZygntHC1J6IxzKbTidmOyf5nUyW4GCLurHCjexrLm_o"",
      ""HTMLキャッシュ!A:F""
    ),
    5,
    FALSE
  ),
  0
)
"),"豆電球の記号と回路図をまとめて整理｜電池の＋－・直列/並列・電流の向きまで図でつながる｜中学受験理科")</f>
        <v>豆電球の記号と回路図をまとめて整理｜電池の＋－・直列/並列・電流の向きまで図でつながる｜中学受験理科</v>
      </c>
      <c r="D23" s="1" t="str">
        <f>IFERROR(__xludf.DUMMYFUNCTION("IFERROR(
  VLOOKUP(
    A23,
    IMPORTRANGE(
      ""1ZygntHC1J6IxzKbTidmOyf5nUyW4GCLurHCjexrLm_o        "",
      ""HTMLキャッシュ!A:F""
    ),
    6,
    FALSE
  ),
  0
)
"),"豆電球の記号と回路図の読み方を、電池の＋－（長い線が＋）から整理。電流＝水の流れ、電圧＝高さの差、豆電球＝抵抗のイメージで、直列/並列の見分けと電流の流れ方を図でつなげます。右手の法則〜電磁石まで入試頻出も復習。")</f>
        <v>豆電球の記号と回路図の読み方を、電池の＋－（長い線が＋）から整理。電流＝水の流れ、電圧＝高さの差、豆電球＝抵抗のイメージで、直列/並列の見分けと電流の流れ方を図でつなげます。右手の法則〜電磁石まで入試頻出も復習。</v>
      </c>
      <c r="E23" s="32">
        <f>IFERROR(__xludf.DUMMYFUNCTION("IFERROR(
  VLOOKUP(
    A23,
    IMPORTRANGE(
      ""1ZygntHC1J6IxzKbTidmOyf5nUyW4GCLurHCjexrLm_o        "",
      ""HTMLキャッシュ!A:F""
    ),
    3,
    FALSE
  ),
  0
)
"),46030.21130787037)</f>
        <v>46030.21131</v>
      </c>
      <c r="F23" s="49">
        <f>IFERROR(__xludf.DUMMYFUNCTION("IFERROR(
  VLOOKUP(
    A23,
    IMPORTRANGE(
      ""1ZHMy3vVUd_0MrSduXTe1etBb1HNpAlGwQr006ljwMiM"",
      ""GSC最新!A:F""
    ),
    2,
    FALSE
  ),
  0
)
"),30.0)</f>
        <v>30</v>
      </c>
      <c r="G23" s="49">
        <f>IFERROR(__xludf.DUMMYFUNCTION("IFERROR(
  VLOOKUP(
    A23,
    IMPORTRANGE(
      ""1ZHMy3vVUd_0MrSduXTe1etBb1HNpAlGwQr006ljwMiM"",
      ""GSC最新!A:F""
    ),
    3,
    FALSE
  ),
  0
)
"),131.0)</f>
        <v>131</v>
      </c>
      <c r="H23" s="49">
        <f>IFERROR(__xludf.DUMMYFUNCTION("IFERROR(
  VLOOKUP(
    A23,
    IMPORTRANGE(
      ""1ZHMy3vVUd_0MrSduXTe1etBb1HNpAlGwQr006ljwMiM"",
      ""GSC最新!A:F""
    ),
    4,
    FALSE
  ),
  0
)
"),30.0)</f>
        <v>30</v>
      </c>
      <c r="I23" s="49">
        <f>IFERROR(__xludf.DUMMYFUNCTION("IFERROR(
  VLOOKUP(
    A23,
    IMPORTRANGE(
      ""1ZHMy3vVUd_0MrSduXTe1etBb1HNpAlGwQr006ljwMiM"",
      ""GSC最新!A:F""
    ),
    5,
    FALSE
  ),
  0
)
"),54.0)</f>
        <v>54</v>
      </c>
      <c r="J23" s="50">
        <f t="shared" ref="J23:K23" si="106">IFERROR(F23/H23,"-")</f>
        <v>1</v>
      </c>
      <c r="K23" s="50">
        <f t="shared" si="106"/>
        <v>2.425925926</v>
      </c>
      <c r="L23" s="6">
        <f>IFERROR(__xludf.DUMMYFUNCTION("IFERROR(
  VLOOKUP(
    A23,
    IMPORTRANGE(
      ""1ZHMy3vVUd_0MrSduXTe1etBb1HNpAlGwQr006ljwMiM"",
      ""GSC最新!A:R""
    ),
    7,
    FALSE
  ),
  0
)
"),3706.0)</f>
        <v>3706</v>
      </c>
      <c r="M23" s="6">
        <f>IFERROR(__xludf.DUMMYFUNCTION("IFERROR(
  VLOOKUP(
    A23,
    IMPORTRANGE(
      ""1ZHMy3vVUd_0MrSduXTe1etBb1HNpAlGwQr006ljwMiM"",
      ""GSC最新!A:R""
    ),
    10,
    FALSE
  ),
  0
)
"),12067.0)</f>
        <v>12067</v>
      </c>
      <c r="N23" s="6">
        <f>IFERROR(__xludf.DUMMYFUNCTION("IFERROR(
  VLOOKUP(
    A23,
    IMPORTRANGE(
      ""1ZHMy3vVUd_0MrSduXTe1etBb1HNpAlGwQr006ljwMiM"",
      ""GSC最新!A:R""
    ),
    13,
    FALSE
  ),
  0
)
"),1261.0)</f>
        <v>1261</v>
      </c>
      <c r="O23" s="6">
        <f>IFERROR(__xludf.DUMMYFUNCTION("IFERROR(
  VLOOKUP(
    A23,
    IMPORTRANGE(
      ""1ZHMy3vVUd_0MrSduXTe1etBb1HNpAlGwQr006ljwMiM"",
      ""GSC最新!A:R""
    ),
    16,
    FALSE
  ),
  0
)
"),1960.0)</f>
        <v>1960</v>
      </c>
      <c r="P23" s="51">
        <f t="shared" ref="P23:Q23" si="107">IFERROR(L23/N23,"-")</f>
        <v>2.938937351</v>
      </c>
      <c r="Q23" s="51">
        <f t="shared" si="107"/>
        <v>6.156632653</v>
      </c>
      <c r="R23" s="9">
        <f>IFERROR(__xludf.DUMMYFUNCTION("IFERROR(
  VLOOKUP(
    A23,
    IMPORTRANGE(
      ""1ZHMy3vVUd_0MrSduXTe1etBb1HNpAlGwQr006ljwMiM"",
      ""GSC最新!A:R""
    ),
    8,
    FALSE
  ),
  0
)
"),0.008094981111710739)</f>
        <v>0.008094981112</v>
      </c>
      <c r="S23" s="9">
        <f>IFERROR(__xludf.DUMMYFUNCTION("IFERROR(
  VLOOKUP(
    A23,
    IMPORTRANGE(
      ""1ZHMy3vVUd_0MrSduXTe1etBb1HNpAlGwQr006ljwMiM"",
      ""GSC最新!A:R""
    ),
    11,
    FALSE
  ),
  0
)
"),0.010856053700174029)</f>
        <v>0.0108560537</v>
      </c>
      <c r="T23" s="9">
        <f>IFERROR(__xludf.DUMMYFUNCTION("IFERROR(
  VLOOKUP(
    A23,
    IMPORTRANGE(
      ""1ZHMy3vVUd_0MrSduXTe1etBb1HNpAlGwQr006ljwMiM"",
      ""GSC最新!A:R""
    ),
    14,
    FALSE
  ),
  0
)
"),0.023790642347343377)</f>
        <v>0.02379064235</v>
      </c>
      <c r="U23" s="9">
        <f>IFERROR(__xludf.DUMMYFUNCTION("IFERROR(
  VLOOKUP(
    A23,
    IMPORTRANGE(
      ""1ZHMy3vVUd_0MrSduXTe1etBb1HNpAlGwQr006ljwMiM"",
      ""GSC最新!A:R""
    ),
    17,
    FALSE
  ),
  0
)
"),0.027551020408163266)</f>
        <v>0.02755102041</v>
      </c>
      <c r="V23" s="9">
        <f t="shared" ref="V23:W23" si="108">IFERROR(R23-T23,"-")</f>
        <v>-0.01569566124</v>
      </c>
      <c r="W23" s="9">
        <f t="shared" si="108"/>
        <v>-0.01669496671</v>
      </c>
      <c r="X23" s="65">
        <f>IFERROR(__xludf.DUMMYFUNCTION("IFERROR(
  VLOOKUP(
    A23,
    IMPORTRANGE(
      ""1ZHMy3vVUd_0MrSduXTe1etBb1HNpAlGwQr006ljwMiM"",
      ""GSC最新!A:R""
    ),
    9,
    FALSE
  ),
  0
)
"),5.297625472207232)</f>
        <v>5.297625472</v>
      </c>
      <c r="Y23" s="65">
        <f>IFERROR(__xludf.DUMMYFUNCTION("IFERROR(
  VLOOKUP(
    A23,
    IMPORTRANGE(
      ""1ZHMy3vVUd_0MrSduXTe1etBb1HNpAlGwQr006ljwMiM"",
      ""GSC最新!A:R""
    ),
    12,
    FALSE
  ),
  0
)
"),6.321289467141792)</f>
        <v>6.321289467</v>
      </c>
      <c r="Z23" s="65">
        <f>IFERROR(__xludf.DUMMYFUNCTION("IFERROR(
  VLOOKUP(
    A23,
    IMPORTRANGE(
      ""1ZHMy3vVUd_0MrSduXTe1etBb1HNpAlGwQr006ljwMiM"",
      ""GSC最新!A:R""
    ),
    15,
    FALSE
  ),
  0
)
"),8.906423473433783)</f>
        <v>8.906423473</v>
      </c>
      <c r="AA23" s="65">
        <f>IFERROR(__xludf.DUMMYFUNCTION("IFERROR(
  VLOOKUP(
    A23,
    IMPORTRANGE(
      ""1ZHMy3vVUd_0MrSduXTe1etBb1HNpAlGwQr006ljwMiM"",
      ""GSC最新!A:R""
    ),
    18,
    FALSE
  ),
  0
)
"),9.659183673469387)</f>
        <v>9.659183673</v>
      </c>
      <c r="AB23" s="65">
        <f t="shared" ref="AB23:AC23" si="109">X23-Z23</f>
        <v>-3.608798001</v>
      </c>
      <c r="AC23" s="65">
        <f t="shared" si="109"/>
        <v>-3.337894206</v>
      </c>
      <c r="AD23" s="53">
        <f>IFERROR(__xludf.DUMMYFUNCTION("IFERROR(
  VLOOKUP(
    A23,
    IMPORTRANGE(
      ""1ZHMy3vVUd_0MrSduXTe1etBb1HNpAlGwQr006ljwMiM"",
      ""GSC最新!A:F""
    ),
    6,
    FALSE
  ),
  0
)
"),46081.0)</f>
        <v>46081</v>
      </c>
      <c r="AE23" s="54">
        <f>IFERROR(__xludf.DUMMYFUNCTION("IFERROR(
  VLOOKUP(
    A23,
    IMPORTRANGE(
      ""1SCYQd7_cobOYqT0r_F0IqD4tE4rYn5y8Eup4PJTH8es"",
      ""Snapshot!A:M""
    ),
    5,
    FALSE
  ),
  ""-""
)
"),9.0)</f>
        <v>9</v>
      </c>
      <c r="AF23" s="54">
        <f>IFERROR(__xludf.DUMMYFUNCTION("IFERROR(
  VLOOKUP(
    A23,
    IMPORTRANGE(
      ""1SCYQd7_cobOYqT0r_F0IqD4tE4rYn5y8Eup4PJTH8es"",
      ""Snapshot!A:M""
    ),
    6,
    FALSE
  ),
  0
)
"),4.0)</f>
        <v>4</v>
      </c>
      <c r="AG23" s="54">
        <f>IFERROR(__xludf.DUMMYFUNCTION("IFERROR(
  VLOOKUP(
    A23,
    IMPORTRANGE(
      ""1SCYQd7_cobOYqT0r_F0IqD4tE4rYn5y8Eup4PJTH8es"",
      ""Snapshot!A:M""
    ),
    7,
    FALSE
  ),
  0
)
"),3671.0)</f>
        <v>3671</v>
      </c>
      <c r="AH23" s="54">
        <f>IFERROR(__xludf.DUMMYFUNCTION("IFERROR(
  VLOOKUP(
    A23,
    IMPORTRANGE(
      ""1SCYQd7_cobOYqT0r_F0IqD4tE4rYn5y8Eup4PJTH8es"",
      ""Snapshot!A:M""
    ),
    8,
    FALSE
  ),
  0
)
"),1.0)</f>
        <v>1</v>
      </c>
      <c r="AI23" s="54">
        <f>IFERROR(__xludf.DUMMYFUNCTION("IFERROR(
  VLOOKUP(
    A23,
    IMPORTRANGE(
      ""1SCYQd7_cobOYqT0r_F0IqD4tE4rYn5y8Eup4PJTH8es"",
      ""Snapshot!A:M""
    ),
    9,
    FALSE
  ),
  0
)
"),2.0)</f>
        <v>2</v>
      </c>
      <c r="AJ23" s="54">
        <f>IFERROR(__xludf.DUMMYFUNCTION("IFERROR(
  VLOOKUP(
    A23,
    IMPORTRANGE(
      ""1SCYQd7_cobOYqT0r_F0IqD4tE4rYn5y8Eup4PJTH8es"",
      ""Snapshot!A:M""
    ),
    13,
    FALSE
  ),
  0
)
"),2.0)</f>
        <v>2</v>
      </c>
      <c r="AK23" s="49">
        <f t="shared" ref="AK23:AL23" si="110">LEN(C23)</f>
        <v>50</v>
      </c>
      <c r="AL23" s="49">
        <f t="shared" si="110"/>
        <v>106</v>
      </c>
    </row>
    <row r="24">
      <c r="A24" s="3" t="s">
        <v>1248</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"),"【理科のコツ】火山と火成岩 - 中学受験 理科の個別指導 | 受験理科専門塾「しゅん吉クエスト」")</f>
        <v>【理科のコツ】火山と火成岩 - 中学受験 理科の個別指導 | 受験理科専門塾「しゅん吉クエスト」</v>
      </c>
      <c r="D24" s="1" t="str">
        <f>IFERROR(__xludf.DUMMYFUNCTION("IFERROR(
  VLOOKUP(
    A24,
    IMPORTRANGE(
      ""1ZygntHC1J6IxzKbTidmOyf5nUyW4GCLurHCjexrLm_o        "",
      ""HTMLキャッシュ!A:F""
    ),
    6,
    FALSE
  ),
  0
)
"),"「火山と火成岩の仕組みをわかりやすく解説！火山岩と深成岩の違いや、マグマの粘り気による火山の形状の特徴を詳しく学べます。阿蘇山や洞爺湖のカルデラの形成も紹介。覚えやすい語呂合わせや構造の理解で理科の苦手分野を克服しましょう！」")</f>
        <v>「火山と火成岩の仕組みをわかりやすく解説！火山岩と深成岩の違いや、マグマの粘り気による火山の形状の特徴を詳しく学べます。阿蘇山や洞爺湖のカルデラの形成も紹介。覚えやすい語呂合わせや構造の理解で理科の苦手分野を克服しましょう！」</v>
      </c>
      <c r="E24" s="32">
        <f>IFERROR(__xludf.DUMMYFUNCTION("IFERROR(
  VLOOKUP(
    A24,
    IMPORTRANGE(
      ""1ZygntHC1J6IxzKbTidmOyf5nUyW4GCLurHCjexrLm_o        "",
      ""HTMLキャッシュ!A:F""
    ),
    3,
    FALSE
  ),
  0
)
"),46034.0834375)</f>
        <v>46034.08344</v>
      </c>
      <c r="F24" s="49">
        <f>IFERROR(__xludf.DUMMYFUNCTION("IFERROR(
  VLOOKUP(
    A24,
    IMPORTRANGE(
      ""1ZHMy3vVUd_0MrSduXTe1etBb1HNpAlGwQr006ljwMiM"",
      ""GSC最新!A:F""
    ),
    2,
    FALSE
  ),
  0
)
"),54.0)</f>
        <v>54</v>
      </c>
      <c r="G24" s="49">
        <f>IFERROR(__xludf.DUMMYFUNCTION("IFERROR(
  VLOOKUP(
    A24,
    IMPORTRANGE(
      ""1ZHMy3vVUd_0MrSduXTe1etBb1HNpAlGwQr006ljwMiM"",
      ""GSC最新!A:F""
    ),
    3,
    FALSE
  ),
  0
)
"),134.0)</f>
        <v>134</v>
      </c>
      <c r="H24" s="49">
        <f>IFERROR(__xludf.DUMMYFUNCTION("IFERROR(
  VLOOKUP(
    A24,
    IMPORTRANGE(
      ""1ZHMy3vVUd_0MrSduXTe1etBb1HNpAlGwQr006ljwMiM"",
      ""GSC最新!A:F""
    ),
    4,
    FALSE
  ),
  0
)
"),9.0)</f>
        <v>9</v>
      </c>
      <c r="I24" s="49">
        <f>IFERROR(__xludf.DUMMYFUNCTION("IFERROR(
  VLOOKUP(
    A24,
    IMPORTRANGE(
      ""1ZHMy3vVUd_0MrSduXTe1etBb1HNpAlGwQr006ljwMiM"",
      ""GSC最新!A:F""
    ),
    5,
    FALSE
  ),
  0
)
"),32.0)</f>
        <v>32</v>
      </c>
      <c r="J24" s="50">
        <f t="shared" ref="J24:K24" si="111">IFERROR(F24/H24,"-")</f>
        <v>6</v>
      </c>
      <c r="K24" s="50">
        <f t="shared" si="111"/>
        <v>4.1875</v>
      </c>
      <c r="L24" s="6">
        <f>IFERROR(__xludf.DUMMYFUNCTION("IFERROR(
  VLOOKUP(
    A24,
    IMPORTRANGE(
      ""1ZHMy3vVUd_0MrSduXTe1etBb1HNpAlGwQr006ljwMiM"",
      ""GSC最新!A:R""
    ),
    7,
    FALSE
  ),
  0
)
"),18683.0)</f>
        <v>18683</v>
      </c>
      <c r="M24" s="6">
        <f>IFERROR(__xludf.DUMMYFUNCTION("IFERROR(
  VLOOKUP(
    A24,
    IMPORTRANGE(
      ""1ZHMy3vVUd_0MrSduXTe1etBb1HNpAlGwQr006ljwMiM"",
      ""GSC最新!A:R""
    ),
    10,
    FALSE
  ),
  0
)
"),36553.0)</f>
        <v>36553</v>
      </c>
      <c r="N24" s="6">
        <f>IFERROR(__xludf.DUMMYFUNCTION("IFERROR(
  VLOOKUP(
    A24,
    IMPORTRANGE(
      ""1ZHMy3vVUd_0MrSduXTe1etBb1HNpAlGwQr006ljwMiM"",
      ""GSC最新!A:R""
    ),
    13,
    FALSE
  ),
  0
)
"),2951.0)</f>
        <v>2951</v>
      </c>
      <c r="O24" s="6">
        <f>IFERROR(__xludf.DUMMYFUNCTION("IFERROR(
  VLOOKUP(
    A24,
    IMPORTRANGE(
      ""1ZHMy3vVUd_0MrSduXTe1etBb1HNpAlGwQr006ljwMiM"",
      ""GSC最新!A:R""
    ),
    16,
    FALSE
  ),
  0
)
"),6920.0)</f>
        <v>6920</v>
      </c>
      <c r="P24" s="51">
        <f t="shared" ref="P24:Q24" si="112">IFERROR(L24/N24,"-")</f>
        <v>6.331074212</v>
      </c>
      <c r="Q24" s="51">
        <f t="shared" si="112"/>
        <v>5.282225434</v>
      </c>
      <c r="R24" s="9">
        <f>IFERROR(__xludf.DUMMYFUNCTION("IFERROR(
  VLOOKUP(
    A24,
    IMPORTRANGE(
      ""1ZHMy3vVUd_0MrSduXTe1etBb1HNpAlGwQr006ljwMiM"",
      ""GSC最新!A:R""
    ),
    8,
    FALSE
  ),
  0
)
"),0.0028903281057645986)</f>
        <v>0.002890328106</v>
      </c>
      <c r="S24" s="9">
        <f>IFERROR(__xludf.DUMMYFUNCTION("IFERROR(
  VLOOKUP(
    A24,
    IMPORTRANGE(
      ""1ZHMy3vVUd_0MrSduXTe1etBb1HNpAlGwQr006ljwMiM"",
      ""GSC最新!A:R""
    ),
    11,
    FALSE
  ),
  0
)
"),0.003665909774847482)</f>
        <v>0.003665909775</v>
      </c>
      <c r="T24" s="9">
        <f>IFERROR(__xludf.DUMMYFUNCTION("IFERROR(
  VLOOKUP(
    A24,
    IMPORTRANGE(
      ""1ZHMy3vVUd_0MrSduXTe1etBb1HNpAlGwQr006ljwMiM"",
      ""GSC最新!A:R""
    ),
    14,
    FALSE
  ),
  0
)
"),0.003049813622500847)</f>
        <v>0.003049813623</v>
      </c>
      <c r="U24" s="9">
        <f>IFERROR(__xludf.DUMMYFUNCTION("IFERROR(
  VLOOKUP(
    A24,
    IMPORTRANGE(
      ""1ZHMy3vVUd_0MrSduXTe1etBb1HNpAlGwQr006ljwMiM"",
      ""GSC最新!A:R""
    ),
    17,
    FALSE
  ),
  0
)
"),0.004624277456647399)</f>
        <v>0.004624277457</v>
      </c>
      <c r="V24" s="9">
        <f t="shared" ref="V24:W24" si="113">IFERROR(R24-T24,"-")</f>
        <v>-0.0001594855167</v>
      </c>
      <c r="W24" s="9">
        <f t="shared" si="113"/>
        <v>-0.0009583676818</v>
      </c>
      <c r="X24" s="65">
        <f>IFERROR(__xludf.DUMMYFUNCTION("IFERROR(
  VLOOKUP(
    A24,
    IMPORTRANGE(
      ""1ZHMy3vVUd_0MrSduXTe1etBb1HNpAlGwQr006ljwMiM"",
      ""GSC最新!A:R""
    ),
    9,
    FALSE
  ),
  0
)
"),5.755767275062891)</f>
        <v>5.755767275</v>
      </c>
      <c r="Y24" s="65">
        <f>IFERROR(__xludf.DUMMYFUNCTION("IFERROR(
  VLOOKUP(
    A24,
    IMPORTRANGE(
      ""1ZHMy3vVUd_0MrSduXTe1etBb1HNpAlGwQr006ljwMiM"",
      ""GSC最新!A:R""
    ),
    12,
    FALSE
  ),
  0
)
"),5.733455530325828)</f>
        <v>5.73345553</v>
      </c>
      <c r="Z24" s="65">
        <f>IFERROR(__xludf.DUMMYFUNCTION("IFERROR(
  VLOOKUP(
    A24,
    IMPORTRANGE(
      ""1ZHMy3vVUd_0MrSduXTe1etBb1HNpAlGwQr006ljwMiM"",
      ""GSC最新!A:R""
    ),
    15,
    FALSE
  ),
  0
)
"),6.968485259234158)</f>
        <v>6.968485259</v>
      </c>
      <c r="AA24" s="65">
        <f>IFERROR(__xludf.DUMMYFUNCTION("IFERROR(
  VLOOKUP(
    A24,
    IMPORTRANGE(
      ""1ZHMy3vVUd_0MrSduXTe1etBb1HNpAlGwQr006ljwMiM"",
      ""GSC最新!A:R""
    ),
    18,
    FALSE
  ),
  0
)
"),7.345953757225433)</f>
        <v>7.345953757</v>
      </c>
      <c r="AB24" s="65">
        <f t="shared" ref="AB24:AC24" si="114">X24-Z24</f>
        <v>-1.212717984</v>
      </c>
      <c r="AC24" s="65">
        <f t="shared" si="114"/>
        <v>-1.612498227</v>
      </c>
      <c r="AD24" s="53">
        <f>IFERROR(__xludf.DUMMYFUNCTION("IFERROR(
  VLOOKUP(
    A24,
    IMPORTRANGE(
      ""1ZHMy3vVUd_0MrSduXTe1etBb1HNpAlGwQr006ljwMiM"",
      ""GSC最新!A:F""
    ),
    6,
    FALSE
  ),
  0
)
"),46081.0)</f>
        <v>46081</v>
      </c>
      <c r="AE24" s="54">
        <f>IFERROR(__xludf.DUMMYFUNCTION("IFERROR(
  VLOOKUP(
    A24,
    IMPORTRANGE(
      ""1SCYQd7_cobOYqT0r_F0IqD4tE4rYn5y8Eup4PJTH8es"",
      ""Snapshot!A:M""
    ),
    5,
    FALSE
  ),
  ""-""
)
"),10.0)</f>
        <v>10</v>
      </c>
      <c r="AF24" s="54">
        <f>IFERROR(__xludf.DUMMYFUNCTION("IFERROR(
  VLOOKUP(
    A24,
    IMPORTRANGE(
      ""1SCYQd7_cobOYqT0r_F0IqD4tE4rYn5y8Eup4PJTH8es"",
      ""Snapshot!A:M""
    ),
    6,
    FALSE
  ),
  0
)
"),5.0)</f>
        <v>5</v>
      </c>
      <c r="AG24" s="54">
        <f>IFERROR(__xludf.DUMMYFUNCTION("IFERROR(
  VLOOKUP(
    A24,
    IMPORTRANGE(
      ""1SCYQd7_cobOYqT0r_F0IqD4tE4rYn5y8Eup4PJTH8es"",
      ""Snapshot!A:M""
    ),
    7,
    FALSE
  ),
  0
)
"),4509.0)</f>
        <v>4509</v>
      </c>
      <c r="AH24" s="54">
        <f>IFERROR(__xludf.DUMMYFUNCTION("IFERROR(
  VLOOKUP(
    A24,
    IMPORTRANGE(
      ""1SCYQd7_cobOYqT0r_F0IqD4tE4rYn5y8Eup4PJTH8es"",
      ""Snapshot!A:M""
    ),
    8,
    FALSE
  ),
  0
)
"),1.0)</f>
        <v>1</v>
      </c>
      <c r="AI24" s="54">
        <f>IFERROR(__xludf.DUMMYFUNCTION("IFERROR(
  VLOOKUP(
    A24,
    IMPORTRANGE(
      ""1SCYQd7_cobOYqT0r_F0IqD4tE4rYn5y8Eup4PJTH8es"",
      ""Snapshot!A:M""
    ),
    9,
    FALSE
  ),
  0
)
"),2.0)</f>
        <v>2</v>
      </c>
      <c r="AJ24" s="54">
        <f>IFERROR(__xludf.DUMMYFUNCTION("IFERROR(
  VLOOKUP(
    A24,
    IMPORTRANGE(
      ""1SCYQd7_cobOYqT0r_F0IqD4tE4rYn5y8Eup4PJTH8es"",
      ""Snapshot!A:M""
    ),
    13,
    FALSE
  ),
  0
)
"),2.0)</f>
        <v>2</v>
      </c>
      <c r="AK24" s="49">
        <f t="shared" ref="AK24:AL24" si="115">LEN(C24)</f>
        <v>48</v>
      </c>
      <c r="AL24" s="49">
        <f t="shared" si="115"/>
        <v>113</v>
      </c>
    </row>
    <row r="25">
      <c r="A25" s="3" t="s">
        <v>1249</v>
      </c>
      <c r="B25" s="1" t="str">
        <f>IFERROR(__xludf.DUMMYFUNCTION("IFERROR(
  VLOOKUP(
    A25,
    IMPORTRANGE(
      ""1ZygntHC1J6IxzKbTidmOyf5nUyW4GCLurHCjexrLm_o"",
      ""HTMLキャッシュ!A:F""
    ),
    2,
    FALSE
  ),
  0
)
"),"MC")</f>
        <v>MC</v>
      </c>
      <c r="C25" s="1" t="str">
        <f>IFERROR(__xludf.DUMMYFUNCTION("IFERROR(
  VLOOKUP(
    A25,
    IMPORTRANGE(
      ""1ZygntHC1J6IxzKbTidmOyf5nUyW4GCLurHCjexrLm_o"",
      ""HTMLキャッシュ!A:F""
    ),
    5,
    FALSE
  ),
  0
)
"),"物の体積と温度｜膨張・収縮と変化の順｜中学受験理科")</f>
        <v>物の体積と温度｜膨張・収縮と変化の順｜中学受験理科</v>
      </c>
      <c r="D25" s="1" t="str">
        <f>IFERROR(__xludf.DUMMYFUNCTION("IFERROR(
  VLOOKUP(
    A25,
    IMPORTRANGE(
      ""1ZygntHC1J6IxzKbTidmOyf5nUyW4GCLurHCjexrLm_o        "",
      ""HTMLキャッシュ!A:F""
    ),
    6,
    FALSE
  ),
  0
)
"),"物の体積と温度は、温めると膨張・冷やすと収縮。変化の大きさは気体＞液体＞固体。金属球と輪の実験、線路のすき間などの利用例、気体は圧力も関係まで整理。")</f>
        <v>物の体積と温度は、温めると膨張・冷やすと収縮。変化の大きさは気体＞液体＞固体。金属球と輪の実験、線路のすき間などの利用例、気体は圧力も関係まで整理。</v>
      </c>
      <c r="E25" s="32">
        <f>IFERROR(__xludf.DUMMYFUNCTION("IFERROR(
  VLOOKUP(
    A25,
    IMPORTRANGE(
      ""1ZygntHC1J6IxzKbTidmOyf5nUyW4GCLurHCjexrLm_o        "",
      ""HTMLキャッシュ!A:F""
    ),
    3,
    FALSE
  ),
  0
)
"),46039.05876157407)</f>
        <v>46039.05876</v>
      </c>
      <c r="F25" s="49">
        <f>IFERROR(__xludf.DUMMYFUNCTION("IFERROR(
  VLOOKUP(
    A25,
    IMPORTRANGE(
      ""1ZHMy3vVUd_0MrSduXTe1etBb1HNpAlGwQr006ljwMiM"",
      ""GSC最新!A:F""
    ),
    2,
    FALSE
  ),
  0
)
"),37.0)</f>
        <v>37</v>
      </c>
      <c r="G25" s="49">
        <f>IFERROR(__xludf.DUMMYFUNCTION("IFERROR(
  VLOOKUP(
    A25,
    IMPORTRANGE(
      ""1ZHMy3vVUd_0MrSduXTe1etBb1HNpAlGwQr006ljwMiM"",
      ""GSC最新!A:F""
    ),
    3,
    FALSE
  ),
  0
)
"),122.0)</f>
        <v>122</v>
      </c>
      <c r="H25" s="49">
        <f>IFERROR(__xludf.DUMMYFUNCTION("IFERROR(
  VLOOKUP(
    A25,
    IMPORTRANGE(
      ""1ZHMy3vVUd_0MrSduXTe1etBb1HNpAlGwQr006ljwMiM"",
      ""GSC最新!A:F""
    ),
    4,
    FALSE
  ),
  0
)
"),9.0)</f>
        <v>9</v>
      </c>
      <c r="I25" s="49">
        <f>IFERROR(__xludf.DUMMYFUNCTION("IFERROR(
  VLOOKUP(
    A25,
    IMPORTRANGE(
      ""1ZHMy3vVUd_0MrSduXTe1etBb1HNpAlGwQr006ljwMiM"",
      ""GSC最新!A:F""
    ),
    5,
    FALSE
  ),
  0
)
"),59.0)</f>
        <v>59</v>
      </c>
      <c r="J25" s="50">
        <f t="shared" ref="J25:K25" si="116">IFERROR(F25/H25,"-")</f>
        <v>4.111111111</v>
      </c>
      <c r="K25" s="50">
        <f t="shared" si="116"/>
        <v>2.06779661</v>
      </c>
      <c r="L25" s="6">
        <f>IFERROR(__xludf.DUMMYFUNCTION("IFERROR(
  VLOOKUP(
    A25,
    IMPORTRANGE(
      ""1ZHMy3vVUd_0MrSduXTe1etBb1HNpAlGwQr006ljwMiM"",
      ""GSC最新!A:R""
    ),
    7,
    FALSE
  ),
  0
)
"),5457.0)</f>
        <v>5457</v>
      </c>
      <c r="M25" s="6">
        <f>IFERROR(__xludf.DUMMYFUNCTION("IFERROR(
  VLOOKUP(
    A25,
    IMPORTRANGE(
      ""1ZHMy3vVUd_0MrSduXTe1etBb1HNpAlGwQr006ljwMiM"",
      ""GSC最新!A:R""
    ),
    10,
    FALSE
  ),
  0
)
"),18514.0)</f>
        <v>18514</v>
      </c>
      <c r="N25" s="6">
        <f>IFERROR(__xludf.DUMMYFUNCTION("IFERROR(
  VLOOKUP(
    A25,
    IMPORTRANGE(
      ""1ZHMy3vVUd_0MrSduXTe1etBb1HNpAlGwQr006ljwMiM"",
      ""GSC最新!A:R""
    ),
    13,
    FALSE
  ),
  0
)
"),693.0)</f>
        <v>693</v>
      </c>
      <c r="O25" s="6">
        <f>IFERROR(__xludf.DUMMYFUNCTION("IFERROR(
  VLOOKUP(
    A25,
    IMPORTRANGE(
      ""1ZHMy3vVUd_0MrSduXTe1etBb1HNpAlGwQr006ljwMiM"",
      ""GSC最新!A:R""
    ),
    16,
    FALSE
  ),
  0
)
"),4168.0)</f>
        <v>4168</v>
      </c>
      <c r="P25" s="51">
        <f t="shared" ref="P25:Q25" si="117">IFERROR(L25/N25,"-")</f>
        <v>7.874458874</v>
      </c>
      <c r="Q25" s="51">
        <f t="shared" si="117"/>
        <v>4.44193858</v>
      </c>
      <c r="R25" s="9">
        <f>IFERROR(__xludf.DUMMYFUNCTION("IFERROR(
  VLOOKUP(
    A25,
    IMPORTRANGE(
      ""1ZHMy3vVUd_0MrSduXTe1etBb1HNpAlGwQr006ljwMiM"",
      ""GSC最新!A:R""
    ),
    8,
    FALSE
  ),
  0
)
"),0.00678028220634048)</f>
        <v>0.006780282206</v>
      </c>
      <c r="S25" s="9">
        <f>IFERROR(__xludf.DUMMYFUNCTION("IFERROR(
  VLOOKUP(
    A25,
    IMPORTRANGE(
      ""1ZHMy3vVUd_0MrSduXTe1etBb1HNpAlGwQr006ljwMiM"",
      ""GSC最新!A:R""
    ),
    11,
    FALSE
  ),
  0
)
"),0.006589607864318894)</f>
        <v>0.006589607864</v>
      </c>
      <c r="T25" s="9">
        <f>IFERROR(__xludf.DUMMYFUNCTION("IFERROR(
  VLOOKUP(
    A25,
    IMPORTRANGE(
      ""1ZHMy3vVUd_0MrSduXTe1etBb1HNpAlGwQr006ljwMiM"",
      ""GSC最新!A:R""
    ),
    14,
    FALSE
  ),
  0
)
"),0.012987012987012988)</f>
        <v>0.01298701299</v>
      </c>
      <c r="U25" s="9">
        <f>IFERROR(__xludf.DUMMYFUNCTION("IFERROR(
  VLOOKUP(
    A25,
    IMPORTRANGE(
      ""1ZHMy3vVUd_0MrSduXTe1etBb1HNpAlGwQr006ljwMiM"",
      ""GSC最新!A:R""
    ),
    17,
    FALSE
  ),
  0
)
"),0.014155470249520154)</f>
        <v>0.01415547025</v>
      </c>
      <c r="V25" s="9">
        <f t="shared" ref="V25:W25" si="118">IFERROR(R25-T25,"-")</f>
        <v>-0.006206730781</v>
      </c>
      <c r="W25" s="9">
        <f t="shared" si="118"/>
        <v>-0.007565862385</v>
      </c>
      <c r="X25" s="65">
        <f>IFERROR(__xludf.DUMMYFUNCTION("IFERROR(
  VLOOKUP(
    A25,
    IMPORTRANGE(
      ""1ZHMy3vVUd_0MrSduXTe1etBb1HNpAlGwQr006ljwMiM"",
      ""GSC最新!A:R""
    ),
    9,
    FALSE
  ),
  0
)
"),3.3905076049111234)</f>
        <v>3.390507605</v>
      </c>
      <c r="Y25" s="65">
        <f>IFERROR(__xludf.DUMMYFUNCTION("IFERROR(
  VLOOKUP(
    A25,
    IMPORTRANGE(
      ""1ZHMy3vVUd_0MrSduXTe1etBb1HNpAlGwQr006ljwMiM"",
      ""GSC最新!A:R""
    ),
    12,
    FALSE
  ),
  0
)
"),3.343361780274387)</f>
        <v>3.34336178</v>
      </c>
      <c r="Z25" s="65">
        <f>IFERROR(__xludf.DUMMYFUNCTION("IFERROR(
  VLOOKUP(
    A25,
    IMPORTRANGE(
      ""1ZHMy3vVUd_0MrSduXTe1etBb1HNpAlGwQr006ljwMiM"",
      ""GSC最新!A:R""
    ),
    15,
    FALSE
  ),
  0
)
"),6.5772005772005775)</f>
        <v>6.577200577</v>
      </c>
      <c r="AA25" s="65">
        <f>IFERROR(__xludf.DUMMYFUNCTION("IFERROR(
  VLOOKUP(
    A25,
    IMPORTRANGE(
      ""1ZHMy3vVUd_0MrSduXTe1etBb1HNpAlGwQr006ljwMiM"",
      ""GSC最新!A:R""
    ),
    18,
    FALSE
  ),
  0
)
"),7.282149712092131)</f>
        <v>7.282149712</v>
      </c>
      <c r="AB25" s="65">
        <f t="shared" ref="AB25:AC25" si="119">X25-Z25</f>
        <v>-3.186692972</v>
      </c>
      <c r="AC25" s="65">
        <f t="shared" si="119"/>
        <v>-3.938787932</v>
      </c>
      <c r="AD25" s="53">
        <f>IFERROR(__xludf.DUMMYFUNCTION("IFERROR(
  VLOOKUP(
    A25,
    IMPORTRANGE(
      ""1ZHMy3vVUd_0MrSduXTe1etBb1HNpAlGwQr006ljwMiM"",
      ""GSC最新!A:F""
    ),
    6,
    FALSE
  ),
  0
)
"),46081.0)</f>
        <v>46081</v>
      </c>
      <c r="AE25" s="54">
        <f>IFERROR(__xludf.DUMMYFUNCTION("IFERROR(
  VLOOKUP(
    A25,
    IMPORTRANGE(
      ""1SCYQd7_cobOYqT0r_F0IqD4tE4rYn5y8Eup4PJTH8es"",
      ""Snapshot!A:M""
    ),
    5,
    FALSE
  ),
  ""-""
)
"),6.0)</f>
        <v>6</v>
      </c>
      <c r="AF25" s="54">
        <f>IFERROR(__xludf.DUMMYFUNCTION("IFERROR(
  VLOOKUP(
    A25,
    IMPORTRANGE(
      ""1SCYQd7_cobOYqT0r_F0IqD4tE4rYn5y8Eup4PJTH8es"",
      ""Snapshot!A:M""
    ),
    6,
    FALSE
  ),
  0
)
"),3.0)</f>
        <v>3</v>
      </c>
      <c r="AG25" s="54">
        <f>IFERROR(__xludf.DUMMYFUNCTION("IFERROR(
  VLOOKUP(
    A25,
    IMPORTRANGE(
      ""1SCYQd7_cobOYqT0r_F0IqD4tE4rYn5y8Eup4PJTH8es"",
      ""Snapshot!A:M""
    ),
    7,
    FALSE
  ),
  0
)
"),2582.0)</f>
        <v>2582</v>
      </c>
      <c r="AH25" s="54">
        <f>IFERROR(__xludf.DUMMYFUNCTION("IFERROR(
  VLOOKUP(
    A25,
    IMPORTRANGE(
      ""1SCYQd7_cobOYqT0r_F0IqD4tE4rYn5y8Eup4PJTH8es"",
      ""Snapshot!A:M""
    ),
    8,
    FALSE
  ),
  0
)
"),1.0)</f>
        <v>1</v>
      </c>
      <c r="AI25" s="54">
        <f>IFERROR(__xludf.DUMMYFUNCTION("IFERROR(
  VLOOKUP(
    A25,
    IMPORTRANGE(
      ""1SCYQd7_cobOYqT0r_F0IqD4tE4rYn5y8Eup4PJTH8es"",
      ""Snapshot!A:M""
    ),
    9,
    FALSE
  ),
  0
)
"),2.0)</f>
        <v>2</v>
      </c>
      <c r="AJ25" s="54">
        <f>IFERROR(__xludf.DUMMYFUNCTION("IFERROR(
  VLOOKUP(
    A25,
    IMPORTRANGE(
      ""1SCYQd7_cobOYqT0r_F0IqD4tE4rYn5y8Eup4PJTH8es"",
      ""Snapshot!A:M""
    ),
    13,
    FALSE
  ),
  0
)
"),2.0)</f>
        <v>2</v>
      </c>
      <c r="AK25" s="49">
        <f t="shared" ref="AK25:AL25" si="120">LEN(C25)</f>
        <v>25</v>
      </c>
      <c r="AL25" s="49">
        <f t="shared" si="120"/>
        <v>74</v>
      </c>
    </row>
    <row r="26">
      <c r="A26" s="3" t="s">
        <v>1250</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"),"【理科のコツ】こん虫の分類 - 中学受験 理科の個別指導 | 受験理科専門塾「しゅん吉クエスト」")</f>
        <v>【理科のコツ】こん虫の分類 - 中学受験 理科の個別指導 | 受験理科専門塾「しゅん吉クエスト」</v>
      </c>
      <c r="D26" s="1" t="str">
        <f>IFERROR(__xludf.DUMMYFUNCTION("IFERROR(
  VLOOKUP(
    A26,
    IMPORTRANGE(
      ""1ZygntHC1J6IxzKbTidmOyf5nUyW4GCLurHCjexrLm_o        "",
      ""HTMLキャッシュ!A:F""
    ),
    6,
    FALSE
  ),
  0
)
"),"昆虫の分類を解説！無脊椎動物の中で完全変態と不完全変態に分かれる昆虫たち。カブトムシやコオロギなど具体例を挙げてその特徴を学び、さなぎを経るかどうかの違いを理解しよう。テキストや実物で確認しながら昆虫の進化を楽しく学習！")</f>
        <v>昆虫の分類を解説！無脊椎動物の中で完全変態と不完全変態に分かれる昆虫たち。カブトムシやコオロギなど具体例を挙げてその特徴を学び、さなぎを経るかどうかの違いを理解しよう。テキストや実物で確認しながら昆虫の進化を楽しく学習！</v>
      </c>
      <c r="E26" s="32">
        <f>IFERROR(__xludf.DUMMYFUNCTION("IFERROR(
  VLOOKUP(
    A26,
    IMPORTRANGE(
      ""1ZygntHC1J6IxzKbTidmOyf5nUyW4GCLurHCjexrLm_o        "",
      ""HTMLキャッシュ!A:F""
    ),
    3,
    FALSE
  ),
  0
)
"),46030.2049537037)</f>
        <v>46030.20495</v>
      </c>
      <c r="F26" s="49">
        <f>IFERROR(__xludf.DUMMYFUNCTION("IFERROR(
  VLOOKUP(
    A26,
    IMPORTRANGE(
      ""1ZHMy3vVUd_0MrSduXTe1etBb1HNpAlGwQr006ljwMiM"",
      ""GSC最新!A:F""
    ),
    2,
    FALSE
  ),
  0
)
"),45.0)</f>
        <v>45</v>
      </c>
      <c r="G26" s="49">
        <f>IFERROR(__xludf.DUMMYFUNCTION("IFERROR(
  VLOOKUP(
    A26,
    IMPORTRANGE(
      ""1ZHMy3vVUd_0MrSduXTe1etBb1HNpAlGwQr006ljwMiM"",
      ""GSC最新!A:F""
    ),
    3,
    FALSE
  ),
  0
)
"),131.0)</f>
        <v>131</v>
      </c>
      <c r="H26" s="49">
        <f>IFERROR(__xludf.DUMMYFUNCTION("IFERROR(
  VLOOKUP(
    A26,
    IMPORTRANGE(
      ""1ZHMy3vVUd_0MrSduXTe1etBb1HNpAlGwQr006ljwMiM"",
      ""GSC最新!A:F""
    ),
    4,
    FALSE
  ),
  0
)
"),12.0)</f>
        <v>12</v>
      </c>
      <c r="I26" s="49">
        <f>IFERROR(__xludf.DUMMYFUNCTION("IFERROR(
  VLOOKUP(
    A26,
    IMPORTRANGE(
      ""1ZHMy3vVUd_0MrSduXTe1etBb1HNpAlGwQr006ljwMiM"",
      ""GSC最新!A:F""
    ),
    5,
    FALSE
  ),
  0
)
"),21.0)</f>
        <v>21</v>
      </c>
      <c r="J26" s="50">
        <f t="shared" ref="J26:K26" si="121">IFERROR(F26/H26,"-")</f>
        <v>3.75</v>
      </c>
      <c r="K26" s="50">
        <f t="shared" si="121"/>
        <v>6.238095238</v>
      </c>
      <c r="L26" s="6">
        <f>IFERROR(__xludf.DUMMYFUNCTION("IFERROR(
  VLOOKUP(
    A26,
    IMPORTRANGE(
      ""1ZHMy3vVUd_0MrSduXTe1etBb1HNpAlGwQr006ljwMiM"",
      ""GSC最新!A:R""
    ),
    7,
    FALSE
  ),
  0
)
"),4935.0)</f>
        <v>4935</v>
      </c>
      <c r="M26" s="6">
        <f>IFERROR(__xludf.DUMMYFUNCTION("IFERROR(
  VLOOKUP(
    A26,
    IMPORTRANGE(
      ""1ZHMy3vVUd_0MrSduXTe1etBb1HNpAlGwQr006ljwMiM"",
      ""GSC最新!A:R""
    ),
    10,
    FALSE
  ),
  0
)
"),12453.0)</f>
        <v>12453</v>
      </c>
      <c r="N26" s="6">
        <f>IFERROR(__xludf.DUMMYFUNCTION("IFERROR(
  VLOOKUP(
    A26,
    IMPORTRANGE(
      ""1ZHMy3vVUd_0MrSduXTe1etBb1HNpAlGwQr006ljwMiM"",
      ""GSC最新!A:R""
    ),
    13,
    FALSE
  ),
  0
)
"),882.0)</f>
        <v>882</v>
      </c>
      <c r="O26" s="6">
        <f>IFERROR(__xludf.DUMMYFUNCTION("IFERROR(
  VLOOKUP(
    A26,
    IMPORTRANGE(
      ""1ZHMy3vVUd_0MrSduXTe1etBb1HNpAlGwQr006ljwMiM"",
      ""GSC最新!A:R""
    ),
    16,
    FALSE
  ),
  0
)
"),2153.0)</f>
        <v>2153</v>
      </c>
      <c r="P26" s="51">
        <f t="shared" ref="P26:Q26" si="122">IFERROR(L26/N26,"-")</f>
        <v>5.595238095</v>
      </c>
      <c r="Q26" s="51">
        <f t="shared" si="122"/>
        <v>5.784022294</v>
      </c>
      <c r="R26" s="9">
        <f>IFERROR(__xludf.DUMMYFUNCTION("IFERROR(
  VLOOKUP(
    A26,
    IMPORTRANGE(
      ""1ZHMy3vVUd_0MrSduXTe1etBb1HNpAlGwQr006ljwMiM"",
      ""GSC最新!A:R""
    ),
    8,
    FALSE
  ),
  0
)
"),0.00911854103343465)</f>
        <v>0.009118541033</v>
      </c>
      <c r="S26" s="9">
        <f>IFERROR(__xludf.DUMMYFUNCTION("IFERROR(
  VLOOKUP(
    A26,
    IMPORTRANGE(
      ""1ZHMy3vVUd_0MrSduXTe1etBb1HNpAlGwQr006ljwMiM"",
      ""GSC最新!A:R""
    ),
    11,
    FALSE
  ),
  0
)
"),0.010519553521239861)</f>
        <v>0.01051955352</v>
      </c>
      <c r="T26" s="9">
        <f>IFERROR(__xludf.DUMMYFUNCTION("IFERROR(
  VLOOKUP(
    A26,
    IMPORTRANGE(
      ""1ZHMy3vVUd_0MrSduXTe1etBb1HNpAlGwQr006ljwMiM"",
      ""GSC最新!A:R""
    ),
    14,
    FALSE
  ),
  0
)
"),0.013605442176870748)</f>
        <v>0.01360544218</v>
      </c>
      <c r="U26" s="9">
        <f>IFERROR(__xludf.DUMMYFUNCTION("IFERROR(
  VLOOKUP(
    A26,
    IMPORTRANGE(
      ""1ZHMy3vVUd_0MrSduXTe1etBb1HNpAlGwQr006ljwMiM"",
      ""GSC最新!A:R""
    ),
    17,
    FALSE
  ),
  0
)
"),0.009753831862517418)</f>
        <v>0.009753831863</v>
      </c>
      <c r="V26" s="9">
        <f t="shared" ref="V26:W26" si="123">IFERROR(R26-T26,"-")</f>
        <v>-0.004486901143</v>
      </c>
      <c r="W26" s="9">
        <f t="shared" si="123"/>
        <v>0.0007657216587</v>
      </c>
      <c r="X26" s="65">
        <f>IFERROR(__xludf.DUMMYFUNCTION("IFERROR(
  VLOOKUP(
    A26,
    IMPORTRANGE(
      ""1ZHMy3vVUd_0MrSduXTe1etBb1HNpAlGwQr006ljwMiM"",
      ""GSC最新!A:R""
    ),
    9,
    FALSE
  ),
  0
)
"),4.217629179331308)</f>
        <v>4.217629179</v>
      </c>
      <c r="Y26" s="65">
        <f>IFERROR(__xludf.DUMMYFUNCTION("IFERROR(
  VLOOKUP(
    A26,
    IMPORTRANGE(
      ""1ZHMy3vVUd_0MrSduXTe1etBb1HNpAlGwQr006ljwMiM"",
      ""GSC最新!A:R""
    ),
    12,
    FALSE
  ),
  0
)
"),4.127920982895688)</f>
        <v>4.127920983</v>
      </c>
      <c r="Z26" s="65">
        <f>IFERROR(__xludf.DUMMYFUNCTION("IFERROR(
  VLOOKUP(
    A26,
    IMPORTRANGE(
      ""1ZHMy3vVUd_0MrSduXTe1etBb1HNpAlGwQr006ljwMiM"",
      ""GSC最新!A:R""
    ),
    15,
    FALSE
  ),
  0
)
"),5.680272108843537)</f>
        <v>5.680272109</v>
      </c>
      <c r="AA26" s="65">
        <f>IFERROR(__xludf.DUMMYFUNCTION("IFERROR(
  VLOOKUP(
    A26,
    IMPORTRANGE(
      ""1ZHMy3vVUd_0MrSduXTe1etBb1HNpAlGwQr006ljwMiM"",
      ""GSC最新!A:R""
    ),
    18,
    FALSE
  ),
  0
)
"),4.804923362749651)</f>
        <v>4.804923363</v>
      </c>
      <c r="AB26" s="65">
        <f t="shared" ref="AB26:AC26" si="124">X26-Z26</f>
        <v>-1.46264293</v>
      </c>
      <c r="AC26" s="65">
        <f t="shared" si="124"/>
        <v>-0.6770023799</v>
      </c>
      <c r="AD26" s="53">
        <f>IFERROR(__xludf.DUMMYFUNCTION("IFERROR(
  VLOOKUP(
    A26,
    IMPORTRANGE(
      ""1ZHMy3vVUd_0MrSduXTe1etBb1HNpAlGwQr006ljwMiM"",
      ""GSC最新!A:F""
    ),
    6,
    FALSE
  ),
  0
)
"),46081.0)</f>
        <v>46081</v>
      </c>
      <c r="AE26" s="54">
        <f>IFERROR(__xludf.DUMMYFUNCTION("IFERROR(
  VLOOKUP(
    A26,
    IMPORTRANGE(
      ""1SCYQd7_cobOYqT0r_F0IqD4tE4rYn5y8Eup4PJTH8es"",
      ""Snapshot!A:M""
    ),
    5,
    FALSE
  ),
  ""-""
)
"),7.0)</f>
        <v>7</v>
      </c>
      <c r="AF26" s="54">
        <f>IFERROR(__xludf.DUMMYFUNCTION("IFERROR(
  VLOOKUP(
    A26,
    IMPORTRANGE(
      ""1SCYQd7_cobOYqT0r_F0IqD4tE4rYn5y8Eup4PJTH8es"",
      ""Snapshot!A:M""
    ),
    6,
    FALSE
  ),
  0
)
"),3.0)</f>
        <v>3</v>
      </c>
      <c r="AG26" s="54">
        <f>IFERROR(__xludf.DUMMYFUNCTION("IFERROR(
  VLOOKUP(
    A26,
    IMPORTRANGE(
      ""1SCYQd7_cobOYqT0r_F0IqD4tE4rYn5y8Eup4PJTH8es"",
      ""Snapshot!A:M""
    ),
    7,
    FALSE
  ),
  0
)
"),2959.0)</f>
        <v>2959</v>
      </c>
      <c r="AH26" s="54">
        <f>IFERROR(__xludf.DUMMYFUNCTION("IFERROR(
  VLOOKUP(
    A26,
    IMPORTRANGE(
      ""1SCYQd7_cobOYqT0r_F0IqD4tE4rYn5y8Eup4PJTH8es"",
      ""Snapshot!A:M""
    ),
    8,
    FALSE
  ),
  0
)
"),1.0)</f>
        <v>1</v>
      </c>
      <c r="AI26" s="54">
        <f>IFERROR(__xludf.DUMMYFUNCTION("IFERROR(
  VLOOKUP(
    A26,
    IMPORTRANGE(
      ""1SCYQd7_cobOYqT0r_F0IqD4tE4rYn5y8Eup4PJTH8es"",
      ""Snapshot!A:M""
    ),
    9,
    FALSE
  ),
  0
)
"),2.0)</f>
        <v>2</v>
      </c>
      <c r="AJ26" s="54">
        <f>IFERROR(__xludf.DUMMYFUNCTION("IFERROR(
  VLOOKUP(
    A26,
    IMPORTRANGE(
      ""1SCYQd7_cobOYqT0r_F0IqD4tE4rYn5y8Eup4PJTH8es"",
      ""Snapshot!A:M""
    ),
    13,
    FALSE
  ),
  0
)
"),2.0)</f>
        <v>2</v>
      </c>
      <c r="AK26" s="49">
        <f t="shared" ref="AK26:AL26" si="125">LEN(C26)</f>
        <v>48</v>
      </c>
      <c r="AL26" s="49">
        <f t="shared" si="125"/>
        <v>110</v>
      </c>
    </row>
    <row r="27">
      <c r="A27" s="3" t="s">
        <v>1251</v>
      </c>
      <c r="B27" s="1" t="str">
        <f>IFERROR(__xludf.DUMMYFUNCTION("IFERROR(
  VLOOKUP(
    A27,
    IMPORTRANGE(
      ""1ZygntHC1J6IxzKbTidmOyf5nUyW4GCLurHCjexrLm_o"",
      ""HTMLキャッシュ!A:F""
    ),
    2,
    FALSE
  ),
  0
)
"),"MC")</f>
        <v>MC</v>
      </c>
      <c r="C27" s="1" t="str">
        <f>IFERROR(__xludf.DUMMYFUNCTION("IFERROR(
  VLOOKUP(
    A27,
    IMPORTRANGE(
      ""1ZygntHC1J6IxzKbTidmOyf5nUyW4GCLurHCjexrLm_o"",
      ""HTMLキャッシュ!A:F""
    ),
    5,
    FALSE
  ),
  0
)
"),"【理科のコツ】呼吸と肺のしくみ - 中学受験 理科の個別指導 | 受験理科専門塾「しゅん吉クエスト」")</f>
        <v>【理科のコツ】呼吸と肺のしくみ - 中学受験 理科の個別指導 | 受験理科専門塾「しゅん吉クエスト」</v>
      </c>
      <c r="D27" s="1" t="str">
        <f>IFERROR(__xludf.DUMMYFUNCTION("IFERROR(
  VLOOKUP(
    A27,
    IMPORTRANGE(
      ""1ZygntHC1J6IxzKbTidmOyf5nUyW4GCLurHCjexrLm_o        "",
      ""HTMLキャッシュ!A:F""
    ),
    6,
    FALSE
  ),
  0
)
"),"中学理科／生物分野 テーマ：呼吸と肺のしくみ 呼吸と肺のしくみ──「酸素を吸って二酸化炭素を出す」だけではない")</f>
        <v>中学理科／生物分野 テーマ：呼吸と肺のしくみ 呼吸と肺のしくみ──「酸素を吸って二酸化炭素を出す」だけではない</v>
      </c>
      <c r="E27" s="32">
        <f>IFERROR(__xludf.DUMMYFUNCTION("IFERROR(
  VLOOKUP(
    A27,
    IMPORTRANGE(
      ""1ZygntHC1J6IxzKbTidmOyf5nUyW4GCLurHCjexrLm_o        "",
      ""HTMLキャッシュ!A:F""
    ),
    3,
    FALSE
  ),
  0
)
"),46030.208333333336)</f>
        <v>46030.20833</v>
      </c>
      <c r="F27" s="49">
        <f>IFERROR(__xludf.DUMMYFUNCTION("IFERROR(
  VLOOKUP(
    A27,
    IMPORTRANGE(
      ""1ZHMy3vVUd_0MrSduXTe1etBb1HNpAlGwQr006ljwMiM"",
      ""GSC最新!A:F""
    ),
    2,
    FALSE
  ),
  0
)
"),65.0)</f>
        <v>65</v>
      </c>
      <c r="G27" s="49">
        <f>IFERROR(__xludf.DUMMYFUNCTION("IFERROR(
  VLOOKUP(
    A27,
    IMPORTRANGE(
      ""1ZHMy3vVUd_0MrSduXTe1etBb1HNpAlGwQr006ljwMiM"",
      ""GSC最新!A:F""
    ),
    3,
    FALSE
  ),
  0
)
"),130.0)</f>
        <v>130</v>
      </c>
      <c r="H27" s="49">
        <f>IFERROR(__xludf.DUMMYFUNCTION("IFERROR(
  VLOOKUP(
    A27,
    IMPORTRANGE(
      ""1ZHMy3vVUd_0MrSduXTe1etBb1HNpAlGwQr006ljwMiM"",
      ""GSC最新!A:F""
    ),
    4,
    FALSE
  ),
  0
)
"),2.0)</f>
        <v>2</v>
      </c>
      <c r="I27" s="49">
        <f>IFERROR(__xludf.DUMMYFUNCTION("IFERROR(
  VLOOKUP(
    A27,
    IMPORTRANGE(
      ""1ZHMy3vVUd_0MrSduXTe1etBb1HNpAlGwQr006ljwMiM"",
      ""GSC最新!A:F""
    ),
    5,
    FALSE
  ),
  0
)
"),6.0)</f>
        <v>6</v>
      </c>
      <c r="J27" s="50">
        <f t="shared" ref="J27:K27" si="126">IFERROR(F27/H27,"-")</f>
        <v>32.5</v>
      </c>
      <c r="K27" s="50">
        <f t="shared" si="126"/>
        <v>21.66666667</v>
      </c>
      <c r="L27" s="6">
        <f>IFERROR(__xludf.DUMMYFUNCTION("IFERROR(
  VLOOKUP(
    A27,
    IMPORTRANGE(
      ""1ZHMy3vVUd_0MrSduXTe1etBb1HNpAlGwQr006ljwMiM"",
      ""GSC最新!A:R""
    ),
    7,
    FALSE
  ),
  0
)
"),11855.0)</f>
        <v>11855</v>
      </c>
      <c r="M27" s="6">
        <f>IFERROR(__xludf.DUMMYFUNCTION("IFERROR(
  VLOOKUP(
    A27,
    IMPORTRANGE(
      ""1ZHMy3vVUd_0MrSduXTe1etBb1HNpAlGwQr006ljwMiM"",
      ""GSC最新!A:R""
    ),
    10,
    FALSE
  ),
  0
)
"),31530.0)</f>
        <v>31530</v>
      </c>
      <c r="N27" s="6">
        <f>IFERROR(__xludf.DUMMYFUNCTION("IFERROR(
  VLOOKUP(
    A27,
    IMPORTRANGE(
      ""1ZHMy3vVUd_0MrSduXTe1etBb1HNpAlGwQr006ljwMiM"",
      ""GSC最新!A:R""
    ),
    13,
    FALSE
  ),
  0
)
"),780.0)</f>
        <v>780</v>
      </c>
      <c r="O27" s="6">
        <f>IFERROR(__xludf.DUMMYFUNCTION("IFERROR(
  VLOOKUP(
    A27,
    IMPORTRANGE(
      ""1ZHMy3vVUd_0MrSduXTe1etBb1HNpAlGwQr006ljwMiM"",
      ""GSC最新!A:R""
    ),
    16,
    FALSE
  ),
  0
)
"),1276.0)</f>
        <v>1276</v>
      </c>
      <c r="P27" s="51">
        <f t="shared" ref="P27:Q27" si="127">IFERROR(L27/N27,"-")</f>
        <v>15.19871795</v>
      </c>
      <c r="Q27" s="51">
        <f t="shared" si="127"/>
        <v>24.71003135</v>
      </c>
      <c r="R27" s="9">
        <f>IFERROR(__xludf.DUMMYFUNCTION("IFERROR(
  VLOOKUP(
    A27,
    IMPORTRANGE(
      ""1ZHMy3vVUd_0MrSduXTe1etBb1HNpAlGwQr006ljwMiM"",
      ""GSC最新!A:R""
    ),
    8,
    FALSE
  ),
  0
)
"),0.005482918599746942)</f>
        <v>0.0054829186</v>
      </c>
      <c r="S27" s="9">
        <f>IFERROR(__xludf.DUMMYFUNCTION("IFERROR(
  VLOOKUP(
    A27,
    IMPORTRANGE(
      ""1ZHMy3vVUd_0MrSduXTe1etBb1HNpAlGwQr006ljwMiM"",
      ""GSC最新!A:R""
    ),
    11,
    FALSE
  ),
  0
)
"),0.004123057405645417)</f>
        <v>0.004123057406</v>
      </c>
      <c r="T27" s="9">
        <f>IFERROR(__xludf.DUMMYFUNCTION("IFERROR(
  VLOOKUP(
    A27,
    IMPORTRANGE(
      ""1ZHMy3vVUd_0MrSduXTe1etBb1HNpAlGwQr006ljwMiM"",
      ""GSC最新!A:R""
    ),
    14,
    FALSE
  ),
  0
)
"),0.002564102564102564)</f>
        <v>0.002564102564</v>
      </c>
      <c r="U27" s="9">
        <f>IFERROR(__xludf.DUMMYFUNCTION("IFERROR(
  VLOOKUP(
    A27,
    IMPORTRANGE(
      ""1ZHMy3vVUd_0MrSduXTe1etBb1HNpAlGwQr006ljwMiM"",
      ""GSC最新!A:R""
    ),
    17,
    FALSE
  ),
  0
)
"),0.004702194357366771)</f>
        <v>0.004702194357</v>
      </c>
      <c r="V27" s="9">
        <f t="shared" ref="V27:W27" si="128">IFERROR(R27-T27,"-")</f>
        <v>0.002918816036</v>
      </c>
      <c r="W27" s="9">
        <f t="shared" si="128"/>
        <v>-0.0005791369517</v>
      </c>
      <c r="X27" s="65">
        <f>IFERROR(__xludf.DUMMYFUNCTION("IFERROR(
  VLOOKUP(
    A27,
    IMPORTRANGE(
      ""1ZHMy3vVUd_0MrSduXTe1etBb1HNpAlGwQr006ljwMiM"",
      ""GSC最新!A:R""
    ),
    9,
    FALSE
  ),
  0
)
"),3.776296921130325)</f>
        <v>3.776296921</v>
      </c>
      <c r="Y27" s="65">
        <f>IFERROR(__xludf.DUMMYFUNCTION("IFERROR(
  VLOOKUP(
    A27,
    IMPORTRANGE(
      ""1ZHMy3vVUd_0MrSduXTe1etBb1HNpAlGwQr006ljwMiM"",
      ""GSC最新!A:R""
    ),
    12,
    FALSE
  ),
  0
)
"),3.8160164922296227)</f>
        <v>3.816016492</v>
      </c>
      <c r="Z27" s="65">
        <f>IFERROR(__xludf.DUMMYFUNCTION("IFERROR(
  VLOOKUP(
    A27,
    IMPORTRANGE(
      ""1ZHMy3vVUd_0MrSduXTe1etBb1HNpAlGwQr006ljwMiM"",
      ""GSC最新!A:R""
    ),
    15,
    FALSE
  ),
  0
)
"),11.55)</f>
        <v>11.55</v>
      </c>
      <c r="AA27" s="65">
        <f>IFERROR(__xludf.DUMMYFUNCTION("IFERROR(
  VLOOKUP(
    A27,
    IMPORTRANGE(
      ""1ZHMy3vVUd_0MrSduXTe1etBb1HNpAlGwQr006ljwMiM"",
      ""GSC最新!A:R""
    ),
    18,
    FALSE
  ),
  0
)
"),9.285266457680251)</f>
        <v>9.285266458</v>
      </c>
      <c r="AB27" s="65">
        <f t="shared" ref="AB27:AC27" si="129">X27-Z27</f>
        <v>-7.773703079</v>
      </c>
      <c r="AC27" s="65">
        <f t="shared" si="129"/>
        <v>-5.469249965</v>
      </c>
      <c r="AD27" s="53">
        <f>IFERROR(__xludf.DUMMYFUNCTION("IFERROR(
  VLOOKUP(
    A27,
    IMPORTRANGE(
      ""1ZHMy3vVUd_0MrSduXTe1etBb1HNpAlGwQr006ljwMiM"",
      ""GSC最新!A:F""
    ),
    6,
    FALSE
  ),
  0
)
"),46081.0)</f>
        <v>46081</v>
      </c>
      <c r="AE27" s="54">
        <f>IFERROR(__xludf.DUMMYFUNCTION("IFERROR(
  VLOOKUP(
    A27,
    IMPORTRANGE(
      ""1SCYQd7_cobOYqT0r_F0IqD4tE4rYn5y8Eup4PJTH8es"",
      ""Snapshot!A:M""
    ),
    5,
    FALSE
  ),
  ""-""
)
"),9.0)</f>
        <v>9</v>
      </c>
      <c r="AF27" s="54">
        <f>IFERROR(__xludf.DUMMYFUNCTION("IFERROR(
  VLOOKUP(
    A27,
    IMPORTRANGE(
      ""1SCYQd7_cobOYqT0r_F0IqD4tE4rYn5y8Eup4PJTH8es"",
      ""Snapshot!A:M""
    ),
    6,
    FALSE
  ),
  0
)
"),3.0)</f>
        <v>3</v>
      </c>
      <c r="AG27" s="54">
        <f>IFERROR(__xludf.DUMMYFUNCTION("IFERROR(
  VLOOKUP(
    A27,
    IMPORTRANGE(
      ""1SCYQd7_cobOYqT0r_F0IqD4tE4rYn5y8Eup4PJTH8es"",
      ""Snapshot!A:M""
    ),
    7,
    FALSE
  ),
  0
)
"),3716.0)</f>
        <v>3716</v>
      </c>
      <c r="AH27" s="54">
        <f>IFERROR(__xludf.DUMMYFUNCTION("IFERROR(
  VLOOKUP(
    A27,
    IMPORTRANGE(
      ""1SCYQd7_cobOYqT0r_F0IqD4tE4rYn5y8Eup4PJTH8es"",
      ""Snapshot!A:M""
    ),
    8,
    FALSE
  ),
  0
)
"),2.0)</f>
        <v>2</v>
      </c>
      <c r="AI27" s="54">
        <f>IFERROR(__xludf.DUMMYFUNCTION("IFERROR(
  VLOOKUP(
    A27,
    IMPORTRANGE(
      ""1SCYQd7_cobOYqT0r_F0IqD4tE4rYn5y8Eup4PJTH8es"",
      ""Snapshot!A:M""
    ),
    9,
    FALSE
  ),
  0
)
"),2.0)</f>
        <v>2</v>
      </c>
      <c r="AJ27" s="54">
        <f>IFERROR(__xludf.DUMMYFUNCTION("IFERROR(
  VLOOKUP(
    A27,
    IMPORTRANGE(
      ""1SCYQd7_cobOYqT0r_F0IqD4tE4rYn5y8Eup4PJTH8es"",
      ""Snapshot!A:M""
    ),
    13,
    FALSE
  ),
  0
)
"),2.0)</f>
        <v>2</v>
      </c>
      <c r="AK27" s="49">
        <f t="shared" ref="AK27:AL27" si="130">LEN(C27)</f>
        <v>50</v>
      </c>
      <c r="AL27" s="49">
        <f t="shared" si="130"/>
        <v>55</v>
      </c>
    </row>
    <row r="28">
      <c r="A28" s="3" t="s">
        <v>1252</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"),"蒸散とは？しくみ・気孔・ワセリン実験と計算問題をまとめて整理【中学受験理科】 - 受験理科専門塾「しゅん吉クエスト」")</f>
        <v>蒸散とは？しくみ・気孔・ワセリン実験と計算問題をまとめて整理【中学受験理科】 - 受験理科専門塾「しゅん吉クエスト」</v>
      </c>
      <c r="D28" s="1" t="str">
        <f>IFERROR(__xludf.DUMMYFUNCTION("IFERROR(
  VLOOKUP(
    A28,
    IMPORTRANGE(
      ""1ZygntHC1J6IxzKbTidmOyf5nUyW4GCLurHCjexrLm_o        "",
      ""HTMLキャッシュ!A:F""
    ),
    6,
    FALSE
  ),
  0
)
"),"蒸散とは、葉の裏側の気孔から水分が水蒸気として出ていく現象。気孔の役割、ワセリン／袋かけ／葉の切除など実験条件の読み取り、蒸散量に影響する4要因、入試頻出の「どれが一番蒸散したか」比較・計算の手順まで、図表＋確認クイズで整理します。")</f>
        <v>蒸散とは、葉の裏側の気孔から水分が水蒸気として出ていく現象。気孔の役割、ワセリン／袋かけ／葉の切除など実験条件の読み取り、蒸散量に影響する4要因、入試頻出の「どれが一番蒸散したか」比較・計算の手順まで、図表＋確認クイズで整理します。</v>
      </c>
      <c r="E28" s="32">
        <f>IFERROR(__xludf.DUMMYFUNCTION("IFERROR(
  VLOOKUP(
    A28,
    IMPORTRANGE(
      ""1ZygntHC1J6IxzKbTidmOyf5nUyW4GCLurHCjexrLm_o        "",
      ""HTMLキャッシュ!A:F""
    ),
    3,
    FALSE
  ),
  0
)
"),46030.93494212963)</f>
        <v>46030.93494</v>
      </c>
      <c r="F28" s="49">
        <f>IFERROR(__xludf.DUMMYFUNCTION("IFERROR(
  VLOOKUP(
    A28,
    IMPORTRANGE(
      ""1ZHMy3vVUd_0MrSduXTe1etBb1HNpAlGwQr006ljwMiM"",
      ""GSC最新!A:F""
    ),
    2,
    FALSE
  ),
  0
)
"),45.0)</f>
        <v>45</v>
      </c>
      <c r="G28" s="49">
        <f>IFERROR(__xludf.DUMMYFUNCTION("IFERROR(
  VLOOKUP(
    A28,
    IMPORTRANGE(
      ""1ZHMy3vVUd_0MrSduXTe1etBb1HNpAlGwQr006ljwMiM"",
      ""GSC最新!A:F""
    ),
    3,
    FALSE
  ),
  0
)
"),97.0)</f>
        <v>97</v>
      </c>
      <c r="H28" s="49">
        <f>IFERROR(__xludf.DUMMYFUNCTION("IFERROR(
  VLOOKUP(
    A28,
    IMPORTRANGE(
      ""1ZHMy3vVUd_0MrSduXTe1etBb1HNpAlGwQr006ljwMiM"",
      ""GSC最新!A:F""
    ),
    4,
    FALSE
  ),
  0
)
"),10.0)</f>
        <v>10</v>
      </c>
      <c r="I28" s="49">
        <f>IFERROR(__xludf.DUMMYFUNCTION("IFERROR(
  VLOOKUP(
    A28,
    IMPORTRANGE(
      ""1ZHMy3vVUd_0MrSduXTe1etBb1HNpAlGwQr006ljwMiM"",
      ""GSC最新!A:F""
    ),
    5,
    FALSE
  ),
  0
)
"),14.0)</f>
        <v>14</v>
      </c>
      <c r="J28" s="50">
        <f t="shared" ref="J28:K28" si="131">IFERROR(F28/H28,"-")</f>
        <v>4.5</v>
      </c>
      <c r="K28" s="50">
        <f t="shared" si="131"/>
        <v>6.928571429</v>
      </c>
      <c r="L28" s="6">
        <f>IFERROR(__xludf.DUMMYFUNCTION("IFERROR(
  VLOOKUP(
    A28,
    IMPORTRANGE(
      ""1ZHMy3vVUd_0MrSduXTe1etBb1HNpAlGwQr006ljwMiM"",
      ""GSC最新!A:R""
    ),
    7,
    FALSE
  ),
  0
)
"),11346.0)</f>
        <v>11346</v>
      </c>
      <c r="M28" s="6">
        <f>IFERROR(__xludf.DUMMYFUNCTION("IFERROR(
  VLOOKUP(
    A28,
    IMPORTRANGE(
      ""1ZHMy3vVUd_0MrSduXTe1etBb1HNpAlGwQr006ljwMiM"",
      ""GSC最新!A:R""
    ),
    10,
    FALSE
  ),
  0
)
"),25047.0)</f>
        <v>25047</v>
      </c>
      <c r="N28" s="6">
        <f>IFERROR(__xludf.DUMMYFUNCTION("IFERROR(
  VLOOKUP(
    A28,
    IMPORTRANGE(
      ""1ZHMy3vVUd_0MrSduXTe1etBb1HNpAlGwQr006ljwMiM"",
      ""GSC最新!A:R""
    ),
    13,
    FALSE
  ),
  0
)
"),993.0)</f>
        <v>993</v>
      </c>
      <c r="O28" s="6">
        <f>IFERROR(__xludf.DUMMYFUNCTION("IFERROR(
  VLOOKUP(
    A28,
    IMPORTRANGE(
      ""1ZHMy3vVUd_0MrSduXTe1etBb1HNpAlGwQr006ljwMiM"",
      ""GSC最新!A:R""
    ),
    16,
    FALSE
  ),
  0
)
"),1627.0)</f>
        <v>1627</v>
      </c>
      <c r="P28" s="51">
        <f t="shared" ref="P28:Q28" si="132">IFERROR(L28/N28,"-")</f>
        <v>11.42598187</v>
      </c>
      <c r="Q28" s="51">
        <f t="shared" si="132"/>
        <v>15.39459127</v>
      </c>
      <c r="R28" s="9">
        <f>IFERROR(__xludf.DUMMYFUNCTION("IFERROR(
  VLOOKUP(
    A28,
    IMPORTRANGE(
      ""1ZHMy3vVUd_0MrSduXTe1etBb1HNpAlGwQr006ljwMiM"",
      ""GSC最新!A:R""
    ),
    8,
    FALSE
  ),
  0
)
"),0.003966155473294554)</f>
        <v>0.003966155473</v>
      </c>
      <c r="S28" s="9">
        <f>IFERROR(__xludf.DUMMYFUNCTION("IFERROR(
  VLOOKUP(
    A28,
    IMPORTRANGE(
      ""1ZHMy3vVUd_0MrSduXTe1etBb1HNpAlGwQr006ljwMiM"",
      ""GSC最新!A:R""
    ),
    11,
    FALSE
  ),
  0
)
"),0.0038727192877390506)</f>
        <v>0.003872719288</v>
      </c>
      <c r="T28" s="9">
        <f>IFERROR(__xludf.DUMMYFUNCTION("IFERROR(
  VLOOKUP(
    A28,
    IMPORTRANGE(
      ""1ZHMy3vVUd_0MrSduXTe1etBb1HNpAlGwQr006ljwMiM"",
      ""GSC最新!A:R""
    ),
    14,
    FALSE
  ),
  0
)
"),0.010070493454179255)</f>
        <v>0.01007049345</v>
      </c>
      <c r="U28" s="9">
        <f>IFERROR(__xludf.DUMMYFUNCTION("IFERROR(
  VLOOKUP(
    A28,
    IMPORTRANGE(
      ""1ZHMy3vVUd_0MrSduXTe1etBb1HNpAlGwQr006ljwMiM"",
      ""GSC最新!A:R""
    ),
    17,
    FALSE
  ),
  0
)
"),0.008604794099569761)</f>
        <v>0.0086047941</v>
      </c>
      <c r="V28" s="9">
        <f t="shared" ref="V28:W28" si="133">IFERROR(R28-T28,"-")</f>
        <v>-0.006104337981</v>
      </c>
      <c r="W28" s="9">
        <f t="shared" si="133"/>
        <v>-0.004732074812</v>
      </c>
      <c r="X28" s="65">
        <f>IFERROR(__xludf.DUMMYFUNCTION("IFERROR(
  VLOOKUP(
    A28,
    IMPORTRANGE(
      ""1ZHMy3vVUd_0MrSduXTe1etBb1HNpAlGwQr006ljwMiM"",
      ""GSC最新!A:R""
    ),
    9,
    FALSE
  ),
  0
)
"),4.766437511017099)</f>
        <v>4.766437511</v>
      </c>
      <c r="Y28" s="65">
        <f>IFERROR(__xludf.DUMMYFUNCTION("IFERROR(
  VLOOKUP(
    A28,
    IMPORTRANGE(
      ""1ZHMy3vVUd_0MrSduXTe1etBb1HNpAlGwQr006ljwMiM"",
      ""GSC最新!A:R""
    ),
    12,
    FALSE
  ),
  0
)
"),4.6526929372779176)</f>
        <v>4.652692937</v>
      </c>
      <c r="Z28" s="65">
        <f>IFERROR(__xludf.DUMMYFUNCTION("IFERROR(
  VLOOKUP(
    A28,
    IMPORTRANGE(
      ""1ZHMy3vVUd_0MrSduXTe1etBb1HNpAlGwQr006ljwMiM"",
      ""GSC最新!A:R""
    ),
    15,
    FALSE
  ),
  0
)
"),5.751258811681772)</f>
        <v>5.751258812</v>
      </c>
      <c r="AA28" s="65">
        <f>IFERROR(__xludf.DUMMYFUNCTION("IFERROR(
  VLOOKUP(
    A28,
    IMPORTRANGE(
      ""1ZHMy3vVUd_0MrSduXTe1etBb1HNpAlGwQr006ljwMiM"",
      ""GSC最新!A:R""
    ),
    18,
    FALSE
  ),
  0
)
"),6.462814996926859)</f>
        <v>6.462814997</v>
      </c>
      <c r="AB28" s="65">
        <f t="shared" ref="AB28:AC28" si="134">X28-Z28</f>
        <v>-0.9848213007</v>
      </c>
      <c r="AC28" s="65">
        <f t="shared" si="134"/>
        <v>-1.81012206</v>
      </c>
      <c r="AD28" s="53">
        <f>IFERROR(__xludf.DUMMYFUNCTION("IFERROR(
  VLOOKUP(
    A28,
    IMPORTRANGE(
      ""1ZHMy3vVUd_0MrSduXTe1etBb1HNpAlGwQr006ljwMiM"",
      ""GSC最新!A:F""
    ),
    6,
    FALSE
  ),
  0
)
"),46081.0)</f>
        <v>46081</v>
      </c>
      <c r="AE28" s="54">
        <f>IFERROR(__xludf.DUMMYFUNCTION("IFERROR(
  VLOOKUP(
    A28,
    IMPORTRANGE(
      ""1SCYQd7_cobOYqT0r_F0IqD4tE4rYn5y8Eup4PJTH8es"",
      ""Snapshot!A:M""
    ),
    5,
    FALSE
  ),
  ""-""
)
"),9.0)</f>
        <v>9</v>
      </c>
      <c r="AF28" s="54">
        <f>IFERROR(__xludf.DUMMYFUNCTION("IFERROR(
  VLOOKUP(
    A28,
    IMPORTRANGE(
      ""1SCYQd7_cobOYqT0r_F0IqD4tE4rYn5y8Eup4PJTH8es"",
      ""Snapshot!A:M""
    ),
    6,
    FALSE
  ),
  0
)
"),4.0)</f>
        <v>4</v>
      </c>
      <c r="AG28" s="54">
        <f>IFERROR(__xludf.DUMMYFUNCTION("IFERROR(
  VLOOKUP(
    A28,
    IMPORTRANGE(
      ""1SCYQd7_cobOYqT0r_F0IqD4tE4rYn5y8Eup4PJTH8es"",
      ""Snapshot!A:M""
    ),
    7,
    FALSE
  ),
  0
)
"),3597.0)</f>
        <v>3597</v>
      </c>
      <c r="AH28" s="54">
        <f>IFERROR(__xludf.DUMMYFUNCTION("IFERROR(
  VLOOKUP(
    A28,
    IMPORTRANGE(
      ""1SCYQd7_cobOYqT0r_F0IqD4tE4rYn5y8Eup4PJTH8es"",
      ""Snapshot!A:M""
    ),
    8,
    FALSE
  ),
  0
)
"),2.0)</f>
        <v>2</v>
      </c>
      <c r="AI28" s="54">
        <f>IFERROR(__xludf.DUMMYFUNCTION("IFERROR(
  VLOOKUP(
    A28,
    IMPORTRANGE(
      ""1SCYQd7_cobOYqT0r_F0IqD4tE4rYn5y8Eup4PJTH8es"",
      ""Snapshot!A:M""
    ),
    9,
    FALSE
  ),
  0
)
"),2.0)</f>
        <v>2</v>
      </c>
      <c r="AJ28" s="54">
        <f>IFERROR(__xludf.DUMMYFUNCTION("IFERROR(
  VLOOKUP(
    A28,
    IMPORTRANGE(
      ""1SCYQd7_cobOYqT0r_F0IqD4tE4rYn5y8Eup4PJTH8es"",
      ""Snapshot!A:M""
    ),
    13,
    FALSE
  ),
  0
)
"),2.0)</f>
        <v>2</v>
      </c>
      <c r="AK28" s="49">
        <f t="shared" ref="AK28:AL28" si="135">LEN(C28)</f>
        <v>58</v>
      </c>
      <c r="AL28" s="49">
        <f t="shared" si="135"/>
        <v>116</v>
      </c>
    </row>
    <row r="29">
      <c r="A29" s="3" t="s">
        <v>1253</v>
      </c>
      <c r="B29" s="1" t="str">
        <f>IFERROR(__xludf.DUMMYFUNCTION("IFERROR(
  VLOOKUP(
    A29,
    IMPORTRANGE(
      ""1ZygntHC1J6IxzKbTidmOyf5nUyW4GCLurHCjexrLm_o"",
      ""HTMLキャッシュ!A:F""
    ),
    2,
    FALSE
  ),
  0
)
"),"MC")</f>
        <v>MC</v>
      </c>
      <c r="C29" s="1" t="str">
        <f>IFERROR(__xludf.DUMMYFUNCTION("IFERROR(
  VLOOKUP(
    A29,
    IMPORTRANGE(
      ""1ZygntHC1J6IxzKbTidmOyf5nUyW4GCLurHCjexrLm_o"",
      ""HTMLキャッシュ!A:F""
    ),
    5,
    FALSE
  ),
  0
)
"),"種子の発芽条件と仕組み｜発芽に必要な要因をわかりやすく整理")</f>
        <v>種子の発芽条件と仕組み｜発芽に必要な要因をわかりやすく整理</v>
      </c>
      <c r="D29" s="1" t="str">
        <f>IFERROR(__xludf.DUMMYFUNCTION("IFERROR(
  VLOOKUP(
    A29,
    IMPORTRANGE(
      ""1ZygntHC1J6IxzKbTidmOyf5nUyW4GCLurHCjexrLm_o        "",
      ""HTMLキャッシュ!A:F""
    ),
    6,
    FALSE
  ),
  0
)
"),"発芽の三条件は水・空気（酸素）・温度。光や肥料が必須でない理由を対照実験で説明し、ひっかけにも対応。種子の栄養（有胚乳／無胚乳）も整理。")</f>
        <v>発芽の三条件は水・空気（酸素）・温度。光や肥料が必須でない理由を対照実験で説明し、ひっかけにも対応。種子の栄養（有胚乳／無胚乳）も整理。</v>
      </c>
      <c r="E29" s="32">
        <f>IFERROR(__xludf.DUMMYFUNCTION("IFERROR(
  VLOOKUP(
    A29,
    IMPORTRANGE(
      ""1ZygntHC1J6IxzKbTidmOyf5nUyW4GCLurHCjexrLm_o        "",
      ""HTMLキャッシュ!A:F""
    ),
    3,
    FALSE
  ),
  0
)
"),46074.929131944446)</f>
        <v>46074.92913</v>
      </c>
      <c r="F29" s="49">
        <f>IFERROR(__xludf.DUMMYFUNCTION("IFERROR(
  VLOOKUP(
    A29,
    IMPORTRANGE(
      ""1ZHMy3vVUd_0MrSduXTe1etBb1HNpAlGwQr006ljwMiM"",
      ""GSC最新!A:F""
    ),
    2,
    FALSE
  ),
  0
)
"),16.0)</f>
        <v>16</v>
      </c>
      <c r="G29" s="49">
        <f>IFERROR(__xludf.DUMMYFUNCTION("IFERROR(
  VLOOKUP(
    A29,
    IMPORTRANGE(
      ""1ZHMy3vVUd_0MrSduXTe1etBb1HNpAlGwQr006ljwMiM"",
      ""GSC最新!A:F""
    ),
    3,
    FALSE
  ),
  0
)
"),82.0)</f>
        <v>82</v>
      </c>
      <c r="H29" s="49">
        <f>IFERROR(__xludf.DUMMYFUNCTION("IFERROR(
  VLOOKUP(
    A29,
    IMPORTRANGE(
      ""1ZHMy3vVUd_0MrSduXTe1etBb1HNpAlGwQr006ljwMiM"",
      ""GSC最新!A:F""
    ),
    4,
    FALSE
  ),
  0
)
"),0.0)</f>
        <v>0</v>
      </c>
      <c r="I29" s="49">
        <f>IFERROR(__xludf.DUMMYFUNCTION("IFERROR(
  VLOOKUP(
    A29,
    IMPORTRANGE(
      ""1ZHMy3vVUd_0MrSduXTe1etBb1HNpAlGwQr006ljwMiM"",
      ""GSC最新!A:F""
    ),
    5,
    FALSE
  ),
  0
)
"),0.0)</f>
        <v>0</v>
      </c>
      <c r="J29" s="50" t="str">
        <f t="shared" ref="J29:K29" si="136">IFERROR(F29/H29,"-")</f>
        <v>-</v>
      </c>
      <c r="K29" s="50" t="str">
        <f t="shared" si="136"/>
        <v>-</v>
      </c>
      <c r="L29" s="6">
        <f>IFERROR(__xludf.DUMMYFUNCTION("IFERROR(
  VLOOKUP(
    A29,
    IMPORTRANGE(
      ""1ZHMy3vVUd_0MrSduXTe1etBb1HNpAlGwQr006ljwMiM"",
      ""GSC最新!A:R""
    ),
    7,
    FALSE
  ),
  0
)
"),1332.0)</f>
        <v>1332</v>
      </c>
      <c r="M29" s="6">
        <f>IFERROR(__xludf.DUMMYFUNCTION("IFERROR(
  VLOOKUP(
    A29,
    IMPORTRANGE(
      ""1ZHMy3vVUd_0MrSduXTe1etBb1HNpAlGwQr006ljwMiM"",
      ""GSC最新!A:R""
    ),
    10,
    FALSE
  ),
  0
)
"),3218.0)</f>
        <v>3218</v>
      </c>
      <c r="N29" s="6">
        <f>IFERROR(__xludf.DUMMYFUNCTION("IFERROR(
  VLOOKUP(
    A29,
    IMPORTRANGE(
      ""1ZHMy3vVUd_0MrSduXTe1etBb1HNpAlGwQr006ljwMiM"",
      ""GSC最新!A:R""
    ),
    13,
    FALSE
  ),
  0
)
"),6.0)</f>
        <v>6</v>
      </c>
      <c r="O29" s="6">
        <f>IFERROR(__xludf.DUMMYFUNCTION("IFERROR(
  VLOOKUP(
    A29,
    IMPORTRANGE(
      ""1ZHMy3vVUd_0MrSduXTe1etBb1HNpAlGwQr006ljwMiM"",
      ""GSC最新!A:R""
    ),
    16,
    FALSE
  ),
  0
)
"),10.0)</f>
        <v>10</v>
      </c>
      <c r="P29" s="51">
        <f t="shared" ref="P29:Q29" si="137">IFERROR(L29/N29,"-")</f>
        <v>222</v>
      </c>
      <c r="Q29" s="51">
        <f t="shared" si="137"/>
        <v>321.8</v>
      </c>
      <c r="R29" s="9">
        <f>IFERROR(__xludf.DUMMYFUNCTION("IFERROR(
  VLOOKUP(
    A29,
    IMPORTRANGE(
      ""1ZHMy3vVUd_0MrSduXTe1etBb1HNpAlGwQr006ljwMiM"",
      ""GSC最新!A:R""
    ),
    8,
    FALSE
  ),
  0
)
"),0.012012012012012012)</f>
        <v>0.01201201201</v>
      </c>
      <c r="S29" s="9">
        <f>IFERROR(__xludf.DUMMYFUNCTION("IFERROR(
  VLOOKUP(
    A29,
    IMPORTRANGE(
      ""1ZHMy3vVUd_0MrSduXTe1etBb1HNpAlGwQr006ljwMiM"",
      ""GSC最新!A:R""
    ),
    11,
    FALSE
  ),
  0
)
"),0.0254816656308266)</f>
        <v>0.02548166563</v>
      </c>
      <c r="T29" s="9">
        <f>IFERROR(__xludf.DUMMYFUNCTION("IFERROR(
  VLOOKUP(
    A29,
    IMPORTRANGE(
      ""1ZHMy3vVUd_0MrSduXTe1etBb1HNpAlGwQr006ljwMiM"",
      ""GSC最新!A:R""
    ),
    14,
    FALSE
  ),
  0
)
"),0.0)</f>
        <v>0</v>
      </c>
      <c r="U29" s="9">
        <f>IFERROR(__xludf.DUMMYFUNCTION("IFERROR(
  VLOOKUP(
    A29,
    IMPORTRANGE(
      ""1ZHMy3vVUd_0MrSduXTe1etBb1HNpAlGwQr006ljwMiM"",
      ""GSC最新!A:R""
    ),
    17,
    FALSE
  ),
  0
)
"),0.0)</f>
        <v>0</v>
      </c>
      <c r="V29" s="9">
        <f t="shared" ref="V29:W29" si="138">IFERROR(R29-T29,"-")</f>
        <v>0.01201201201</v>
      </c>
      <c r="W29" s="9">
        <f t="shared" si="138"/>
        <v>0.02548166563</v>
      </c>
      <c r="X29" s="65">
        <f>IFERROR(__xludf.DUMMYFUNCTION("IFERROR(
  VLOOKUP(
    A29,
    IMPORTRANGE(
      ""1ZHMy3vVUd_0MrSduXTe1etBb1HNpAlGwQr006ljwMiM"",
      ""GSC最新!A:R""
    ),
    9,
    FALSE
  ),
  0
)
"),5.724474474474475)</f>
        <v>5.724474474</v>
      </c>
      <c r="Y29" s="65">
        <f>IFERROR(__xludf.DUMMYFUNCTION("IFERROR(
  VLOOKUP(
    A29,
    IMPORTRANGE(
      ""1ZHMy3vVUd_0MrSduXTe1etBb1HNpAlGwQr006ljwMiM"",
      ""GSC最新!A:R""
    ),
    12,
    FALSE
  ),
  0
)
"),6.044126786824115)</f>
        <v>6.044126787</v>
      </c>
      <c r="Z29" s="65">
        <f>IFERROR(__xludf.DUMMYFUNCTION("IFERROR(
  VLOOKUP(
    A29,
    IMPORTRANGE(
      ""1ZHMy3vVUd_0MrSduXTe1etBb1HNpAlGwQr006ljwMiM"",
      ""GSC最新!A:R""
    ),
    15,
    FALSE
  ),
  0
)
"),9.5)</f>
        <v>9.5</v>
      </c>
      <c r="AA29" s="65">
        <f>IFERROR(__xludf.DUMMYFUNCTION("IFERROR(
  VLOOKUP(
    A29,
    IMPORTRANGE(
      ""1ZHMy3vVUd_0MrSduXTe1etBb1HNpAlGwQr006ljwMiM"",
      ""GSC最新!A:R""
    ),
    18,
    FALSE
  ),
  0
)
"),9.9)</f>
        <v>9.9</v>
      </c>
      <c r="AB29" s="65">
        <f t="shared" ref="AB29:AC29" si="139">X29-Z29</f>
        <v>-3.775525526</v>
      </c>
      <c r="AC29" s="65">
        <f t="shared" si="139"/>
        <v>-3.855873213</v>
      </c>
      <c r="AD29" s="53">
        <f>IFERROR(__xludf.DUMMYFUNCTION("IFERROR(
  VLOOKUP(
    A29,
    IMPORTRANGE(
      ""1ZHMy3vVUd_0MrSduXTe1etBb1HNpAlGwQr006ljwMiM"",
      ""GSC最新!A:F""
    ),
    6,
    FALSE
  ),
  0
)
"),46081.0)</f>
        <v>46081</v>
      </c>
      <c r="AE29" s="54">
        <f>IFERROR(__xludf.DUMMYFUNCTION("IFERROR(
  VLOOKUP(
    A29,
    IMPORTRANGE(
      ""1SCYQd7_cobOYqT0r_F0IqD4tE4rYn5y8Eup4PJTH8es"",
      ""Snapshot!A:M""
    ),
    5,
    FALSE
  ),
  ""-""
)
"),6.0)</f>
        <v>6</v>
      </c>
      <c r="AF29" s="54">
        <f>IFERROR(__xludf.DUMMYFUNCTION("IFERROR(
  VLOOKUP(
    A29,
    IMPORTRANGE(
      ""1SCYQd7_cobOYqT0r_F0IqD4tE4rYn5y8Eup4PJTH8es"",
      ""Snapshot!A:M""
    ),
    6,
    FALSE
  ),
  0
)
"),2.0)</f>
        <v>2</v>
      </c>
      <c r="AG29" s="54">
        <f>IFERROR(__xludf.DUMMYFUNCTION("IFERROR(
  VLOOKUP(
    A29,
    IMPORTRANGE(
      ""1SCYQd7_cobOYqT0r_F0IqD4tE4rYn5y8Eup4PJTH8es"",
      ""Snapshot!A:M""
    ),
    7,
    FALSE
  ),
  0
)
"),2652.0)</f>
        <v>2652</v>
      </c>
      <c r="AH29" s="54">
        <f>IFERROR(__xludf.DUMMYFUNCTION("IFERROR(
  VLOOKUP(
    A29,
    IMPORTRANGE(
      ""1SCYQd7_cobOYqT0r_F0IqD4tE4rYn5y8Eup4PJTH8es"",
      ""Snapshot!A:M""
    ),
    8,
    FALSE
  ),
  0
)
"),2.0)</f>
        <v>2</v>
      </c>
      <c r="AI29" s="54">
        <f>IFERROR(__xludf.DUMMYFUNCTION("IFERROR(
  VLOOKUP(
    A29,
    IMPORTRANGE(
      ""1SCYQd7_cobOYqT0r_F0IqD4tE4rYn5y8Eup4PJTH8es"",
      ""Snapshot!A:M""
    ),
    9,
    FALSE
  ),
  0
)
"),2.0)</f>
        <v>2</v>
      </c>
      <c r="AJ29" s="54">
        <f>IFERROR(__xludf.DUMMYFUNCTION("IFERROR(
  VLOOKUP(
    A29,
    IMPORTRANGE(
      ""1SCYQd7_cobOYqT0r_F0IqD4tE4rYn5y8Eup4PJTH8es"",
      ""Snapshot!A:M""
    ),
    13,
    FALSE
  ),
  0
)
"),2.0)</f>
        <v>2</v>
      </c>
      <c r="AK29" s="49">
        <f t="shared" ref="AK29:AL29" si="140">LEN(C29)</f>
        <v>29</v>
      </c>
      <c r="AL29" s="49">
        <f t="shared" si="140"/>
        <v>68</v>
      </c>
    </row>
    <row r="30">
      <c r="A30" s="3" t="s">
        <v>1254</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"),"【理科のコツ】花のつくり - 中学受験 理科の個別指導 | 受験理科専門塾「しゅん吉クエスト」")</f>
        <v>【理科のコツ】花のつくり - 中学受験 理科の個別指導 | 受験理科専門塾「しゅん吉クエスト」</v>
      </c>
      <c r="D30" s="1" t="str">
        <f>IFERROR(__xludf.DUMMYFUNCTION("IFERROR(
  VLOOKUP(
    A30,
    IMPORTRANGE(
      ""1ZygntHC1J6IxzKbTidmOyf5nUyW4GCLurHCjexrLm_o        "",
      ""HTMLキャッシュ!A:F""
    ),
    6,
    FALSE
  ),
  0
)
"),"「花のつくりを徹底解説！被子植物のおしべ・めしべや胚珠・子房の役割から、合弁花と離弁花の違い、リンゴの花托が果実になる仕組みまで詳しく説明します。花占いの背景にある花の構造の豆知識も満載！身近な植物を通じて学ぶ楽しさを体感しましょう。動画をチェックして花の仕組みを深く理解しよう！」")</f>
        <v>「花のつくりを徹底解説！被子植物のおしべ・めしべや胚珠・子房の役割から、合弁花と離弁花の違い、リンゴの花托が果実になる仕組みまで詳しく説明します。花占いの背景にある花の構造の豆知識も満載！身近な植物を通じて学ぶ楽しさを体感しましょう。動画をチェックして花の仕組みを深く理解しよう！」</v>
      </c>
      <c r="E30" s="32">
        <f>IFERROR(__xludf.DUMMYFUNCTION("IFERROR(
  VLOOKUP(
    A30,
    IMPORTRANGE(
      ""1ZygntHC1J6IxzKbTidmOyf5nUyW4GCLurHCjexrLm_o        "",
      ""HTMLキャッシュ!A:F""
    ),
    3,
    FALSE
  ),
  0
)
"),46030.18791666667)</f>
        <v>46030.18792</v>
      </c>
      <c r="F30" s="49">
        <f>IFERROR(__xludf.DUMMYFUNCTION("IFERROR(
  VLOOKUP(
    A30,
    IMPORTRANGE(
      ""1ZHMy3vVUd_0MrSduXTe1etBb1HNpAlGwQr006ljwMiM"",
      ""GSC最新!A:F""
    ),
    2,
    FALSE
  ),
  0
)
"),38.0)</f>
        <v>38</v>
      </c>
      <c r="G30" s="49">
        <f>IFERROR(__xludf.DUMMYFUNCTION("IFERROR(
  VLOOKUP(
    A30,
    IMPORTRANGE(
      ""1ZHMy3vVUd_0MrSduXTe1etBb1HNpAlGwQr006ljwMiM"",
      ""GSC最新!A:F""
    ),
    3,
    FALSE
  ),
  0
)
"),82.0)</f>
        <v>82</v>
      </c>
      <c r="H30" s="49">
        <f>IFERROR(__xludf.DUMMYFUNCTION("IFERROR(
  VLOOKUP(
    A30,
    IMPORTRANGE(
      ""1ZHMy3vVUd_0MrSduXTe1etBb1HNpAlGwQr006ljwMiM"",
      ""GSC最新!A:F""
    ),
    4,
    FALSE
  ),
  0
)
"),15.0)</f>
        <v>15</v>
      </c>
      <c r="I30" s="49">
        <f>IFERROR(__xludf.DUMMYFUNCTION("IFERROR(
  VLOOKUP(
    A30,
    IMPORTRANGE(
      ""1ZHMy3vVUd_0MrSduXTe1etBb1HNpAlGwQr006ljwMiM"",
      ""GSC最新!A:F""
    ),
    5,
    FALSE
  ),
  0
)
"),37.0)</f>
        <v>37</v>
      </c>
      <c r="J30" s="50">
        <f t="shared" ref="J30:K30" si="141">IFERROR(F30/H30,"-")</f>
        <v>2.533333333</v>
      </c>
      <c r="K30" s="50">
        <f t="shared" si="141"/>
        <v>2.216216216</v>
      </c>
      <c r="L30" s="6">
        <f>IFERROR(__xludf.DUMMYFUNCTION("IFERROR(
  VLOOKUP(
    A30,
    IMPORTRANGE(
      ""1ZHMy3vVUd_0MrSduXTe1etBb1HNpAlGwQr006ljwMiM"",
      ""GSC最新!A:R""
    ),
    7,
    FALSE
  ),
  0
)
"),7514.0)</f>
        <v>7514</v>
      </c>
      <c r="M30" s="6">
        <f>IFERROR(__xludf.DUMMYFUNCTION("IFERROR(
  VLOOKUP(
    A30,
    IMPORTRANGE(
      ""1ZHMy3vVUd_0MrSduXTe1etBb1HNpAlGwQr006ljwMiM"",
      ""GSC最新!A:R""
    ),
    10,
    FALSE
  ),
  0
)
"),21065.0)</f>
        <v>21065</v>
      </c>
      <c r="N30" s="6">
        <f>IFERROR(__xludf.DUMMYFUNCTION("IFERROR(
  VLOOKUP(
    A30,
    IMPORTRANGE(
      ""1ZHMy3vVUd_0MrSduXTe1etBb1HNpAlGwQr006ljwMiM"",
      ""GSC最新!A:R""
    ),
    13,
    FALSE
  ),
  0
)
"),4392.0)</f>
        <v>4392</v>
      </c>
      <c r="O30" s="6">
        <f>IFERROR(__xludf.DUMMYFUNCTION("IFERROR(
  VLOOKUP(
    A30,
    IMPORTRANGE(
      ""1ZHMy3vVUd_0MrSduXTe1etBb1HNpAlGwQr006ljwMiM"",
      ""GSC最新!A:R""
    ),
    16,
    FALSE
  ),
  0
)
"),10777.0)</f>
        <v>10777</v>
      </c>
      <c r="P30" s="51">
        <f t="shared" ref="P30:Q30" si="142">IFERROR(L30/N30,"-")</f>
        <v>1.710837887</v>
      </c>
      <c r="Q30" s="51">
        <f t="shared" si="142"/>
        <v>1.954625592</v>
      </c>
      <c r="R30" s="9">
        <f>IFERROR(__xludf.DUMMYFUNCTION("IFERROR(
  VLOOKUP(
    A30,
    IMPORTRANGE(
      ""1ZHMy3vVUd_0MrSduXTe1etBb1HNpAlGwQr006ljwMiM"",
      ""GSC最新!A:R""
    ),
    8,
    FALSE
  ),
  0
)
"),0.005057226510513707)</f>
        <v>0.005057226511</v>
      </c>
      <c r="S30" s="9">
        <f>IFERROR(__xludf.DUMMYFUNCTION("IFERROR(
  VLOOKUP(
    A30,
    IMPORTRANGE(
      ""1ZHMy3vVUd_0MrSduXTe1etBb1HNpAlGwQr006ljwMiM"",
      ""GSC最新!A:R""
    ),
    11,
    FALSE
  ),
  0
)
"),0.003892713031094232)</f>
        <v>0.003892713031</v>
      </c>
      <c r="T30" s="9">
        <f>IFERROR(__xludf.DUMMYFUNCTION("IFERROR(
  VLOOKUP(
    A30,
    IMPORTRANGE(
      ""1ZHMy3vVUd_0MrSduXTe1etBb1HNpAlGwQr006ljwMiM"",
      ""GSC最新!A:R""
    ),
    14,
    FALSE
  ),
  0
)
"),0.0034153005464480873)</f>
        <v>0.003415300546</v>
      </c>
      <c r="U30" s="9">
        <f>IFERROR(__xludf.DUMMYFUNCTION("IFERROR(
  VLOOKUP(
    A30,
    IMPORTRANGE(
      ""1ZHMy3vVUd_0MrSduXTe1etBb1HNpAlGwQr006ljwMiM"",
      ""GSC最新!A:R""
    ),
    17,
    FALSE
  ),
  0
)
"),0.003433237450125267)</f>
        <v>0.00343323745</v>
      </c>
      <c r="V30" s="9">
        <f t="shared" ref="V30:W30" si="143">IFERROR(R30-T30,"-")</f>
        <v>0.001641925964</v>
      </c>
      <c r="W30" s="9">
        <f t="shared" si="143"/>
        <v>0.000459475581</v>
      </c>
      <c r="X30" s="65">
        <f>IFERROR(__xludf.DUMMYFUNCTION("IFERROR(
  VLOOKUP(
    A30,
    IMPORTRANGE(
      ""1ZHMy3vVUd_0MrSduXTe1etBb1HNpAlGwQr006ljwMiM"",
      ""GSC最新!A:R""
    ),
    9,
    FALSE
  ),
  0
)
"),3.091030077189247)</f>
        <v>3.091030077</v>
      </c>
      <c r="Y30" s="65">
        <f>IFERROR(__xludf.DUMMYFUNCTION("IFERROR(
  VLOOKUP(
    A30,
    IMPORTRANGE(
      ""1ZHMy3vVUd_0MrSduXTe1etBb1HNpAlGwQr006ljwMiM"",
      ""GSC最新!A:R""
    ),
    12,
    FALSE
  ),
  0
)
"),2.9635888915262285)</f>
        <v>2.963588892</v>
      </c>
      <c r="Z30" s="65">
        <f>IFERROR(__xludf.DUMMYFUNCTION("IFERROR(
  VLOOKUP(
    A30,
    IMPORTRANGE(
      ""1ZHMy3vVUd_0MrSduXTe1etBb1HNpAlGwQr006ljwMiM"",
      ""GSC最新!A:R""
    ),
    15,
    FALSE
  ),
  0
)
"),6.825819672131147)</f>
        <v>6.825819672</v>
      </c>
      <c r="AA30" s="65">
        <f>IFERROR(__xludf.DUMMYFUNCTION("IFERROR(
  VLOOKUP(
    A30,
    IMPORTRANGE(
      ""1ZHMy3vVUd_0MrSduXTe1etBb1HNpAlGwQr006ljwMiM"",
      ""GSC最新!A:R""
    ),
    18,
    FALSE
  ),
  0
)
"),5.735733506541709)</f>
        <v>5.735733507</v>
      </c>
      <c r="AB30" s="65">
        <f t="shared" ref="AB30:AC30" si="144">X30-Z30</f>
        <v>-3.734789595</v>
      </c>
      <c r="AC30" s="65">
        <f t="shared" si="144"/>
        <v>-2.772144615</v>
      </c>
      <c r="AD30" s="53">
        <f>IFERROR(__xludf.DUMMYFUNCTION("IFERROR(
  VLOOKUP(
    A30,
    IMPORTRANGE(
      ""1ZHMy3vVUd_0MrSduXTe1etBb1HNpAlGwQr006ljwMiM"",
      ""GSC最新!A:F""
    ),
    6,
    FALSE
  ),
  0
)
"),46081.0)</f>
        <v>46081</v>
      </c>
      <c r="AE30" s="54">
        <f>IFERROR(__xludf.DUMMYFUNCTION("IFERROR(
  VLOOKUP(
    A30,
    IMPORTRANGE(
      ""1SCYQd7_cobOYqT0r_F0IqD4tE4rYn5y8Eup4PJTH8es"",
      ""Snapshot!A:M""
    ),
    5,
    FALSE
  ),
  ""-""
)
"),8.0)</f>
        <v>8</v>
      </c>
      <c r="AF30" s="54">
        <f>IFERROR(__xludf.DUMMYFUNCTION("IFERROR(
  VLOOKUP(
    A30,
    IMPORTRANGE(
      ""1SCYQd7_cobOYqT0r_F0IqD4tE4rYn5y8Eup4PJTH8es"",
      ""Snapshot!A:M""
    ),
    6,
    FALSE
  ),
  0
)
"),4.0)</f>
        <v>4</v>
      </c>
      <c r="AG30" s="54">
        <f>IFERROR(__xludf.DUMMYFUNCTION("IFERROR(
  VLOOKUP(
    A30,
    IMPORTRANGE(
      ""1SCYQd7_cobOYqT0r_F0IqD4tE4rYn5y8Eup4PJTH8es"",
      ""Snapshot!A:M""
    ),
    7,
    FALSE
  ),
  0
)
"),3602.0)</f>
        <v>3602</v>
      </c>
      <c r="AH30" s="54">
        <f>IFERROR(__xludf.DUMMYFUNCTION("IFERROR(
  VLOOKUP(
    A30,
    IMPORTRANGE(
      ""1SCYQd7_cobOYqT0r_F0IqD4tE4rYn5y8Eup4PJTH8es"",
      ""Snapshot!A:M""
    ),
    8,
    FALSE
  ),
  0
)
"),1.0)</f>
        <v>1</v>
      </c>
      <c r="AI30" s="54">
        <f>IFERROR(__xludf.DUMMYFUNCTION("IFERROR(
  VLOOKUP(
    A30,
    IMPORTRANGE(
      ""1SCYQd7_cobOYqT0r_F0IqD4tE4rYn5y8Eup4PJTH8es"",
      ""Snapshot!A:M""
    ),
    9,
    FALSE
  ),
  0
)
"),2.0)</f>
        <v>2</v>
      </c>
      <c r="AJ30" s="54">
        <f>IFERROR(__xludf.DUMMYFUNCTION("IFERROR(
  VLOOKUP(
    A30,
    IMPORTRANGE(
      ""1SCYQd7_cobOYqT0r_F0IqD4tE4rYn5y8Eup4PJTH8es"",
      ""Snapshot!A:M""
    ),
    13,
    FALSE
  ),
  0
)
"),2.0)</f>
        <v>2</v>
      </c>
      <c r="AK30" s="49">
        <f t="shared" ref="AK30:AL30" si="145">LEN(C30)</f>
        <v>47</v>
      </c>
      <c r="AL30" s="49">
        <f t="shared" si="145"/>
        <v>141</v>
      </c>
    </row>
    <row r="31">
      <c r="A31" s="3" t="s">
        <v>280</v>
      </c>
      <c r="B31" s="1" t="str">
        <f>IFERROR(__xludf.DUMMYFUNCTION("IFERROR(
  VLOOKUP(
    A31,
    IMPORTRANGE(
      ""1ZygntHC1J6IxzKbTidmOyf5nUyW4GCLurHCjexrLm_o"",
      ""HTMLキャッシュ!A:F""
    ),
    2,
    FALSE
  ),
  0
)
"),"TP")</f>
        <v>TP</v>
      </c>
      <c r="C31" s="1" t="str">
        <f>IFERROR(__xludf.DUMMYFUNCTION("IFERROR(
  VLOOKUP(
    A31,
    IMPORTRANGE(
      ""1ZygntHC1J6IxzKbTidmOyf5nUyW4GCLurHCjexrLm_o"",
      ""HTMLキャッシュ!A:F""
    ),
    5,
    FALSE
  ),
  0
)
"),"中学受験理科専門塾「しゅん吉クエスト」完全1対1個別指導")</f>
        <v>中学受験理科専門塾「しゅん吉クエスト」完全1対1個別指導</v>
      </c>
      <c r="D31" s="1" t="str">
        <f>IFERROR(__xludf.DUMMYFUNCTION("IFERROR(
  VLOOKUP(
    A31,
    IMPORTRANGE(
      ""1ZygntHC1J6IxzKbTidmOyf5nUyW4GCLurHCjexrLm_o        "",
      ""HTMLキャッシュ!A:F""
    ),
    6,
    FALSE
  ),
  0
)
"),"中学受験理科専門の完全1対1個別。計算用紙・図・条件の拾い方など、解く途中の損を減らして得点につなげます。四ツ谷駅2分＋オンライン対応。")</f>
        <v>中学受験理科専門の完全1対1個別。計算用紙・図・条件の拾い方など、解く途中の損を減らして得点につなげます。四ツ谷駅2分＋オンライン対応。</v>
      </c>
      <c r="E31" s="32">
        <f>IFERROR(__xludf.DUMMYFUNCTION("IFERROR(
  VLOOKUP(
    A31,
    IMPORTRANGE(
      ""1ZygntHC1J6IxzKbTidmOyf5nUyW4GCLurHCjexrLm_o        "",
      ""HTMLキャッシュ!A:F""
    ),
    3,
    FALSE
  ),
  0
)
"),46074.57099537037)</f>
        <v>46074.571</v>
      </c>
      <c r="F31" s="49">
        <f>IFERROR(__xludf.DUMMYFUNCTION("IFERROR(
  VLOOKUP(
    A31,
    IMPORTRANGE(
      ""1ZHMy3vVUd_0MrSduXTe1etBb1HNpAlGwQr006ljwMiM"",
      ""GSC最新!A:F""
    ),
    2,
    FALSE
  ),
  0
)
"),38.0)</f>
        <v>38</v>
      </c>
      <c r="G31" s="49">
        <f>IFERROR(__xludf.DUMMYFUNCTION("IFERROR(
  VLOOKUP(
    A31,
    IMPORTRANGE(
      ""1ZHMy3vVUd_0MrSduXTe1etBb1HNpAlGwQr006ljwMiM"",
      ""GSC最新!A:F""
    ),
    3,
    FALSE
  ),
  0
)
"),87.0)</f>
        <v>87</v>
      </c>
      <c r="H31" s="49">
        <f>IFERROR(__xludf.DUMMYFUNCTION("IFERROR(
  VLOOKUP(
    A31,
    IMPORTRANGE(
      ""1ZHMy3vVUd_0MrSduXTe1etBb1HNpAlGwQr006ljwMiM"",
      ""GSC最新!A:F""
    ),
    4,
    FALSE
  ),
  0
)
"),21.0)</f>
        <v>21</v>
      </c>
      <c r="I31" s="49">
        <f>IFERROR(__xludf.DUMMYFUNCTION("IFERROR(
  VLOOKUP(
    A31,
    IMPORTRANGE(
      ""1ZHMy3vVUd_0MrSduXTe1etBb1HNpAlGwQr006ljwMiM"",
      ""GSC最新!A:F""
    ),
    5,
    FALSE
  ),
  0
)
"),66.0)</f>
        <v>66</v>
      </c>
      <c r="J31" s="50">
        <f t="shared" ref="J31:K31" si="146">IFERROR(F31/H31,"-")</f>
        <v>1.80952381</v>
      </c>
      <c r="K31" s="50">
        <f t="shared" si="146"/>
        <v>1.318181818</v>
      </c>
      <c r="L31" s="6">
        <f>IFERROR(__xludf.DUMMYFUNCTION("IFERROR(
  VLOOKUP(
    A31,
    IMPORTRANGE(
      ""1ZHMy3vVUd_0MrSduXTe1etBb1HNpAlGwQr006ljwMiM"",
      ""GSC最新!A:R""
    ),
    7,
    FALSE
  ),
  0
)
"),945.0)</f>
        <v>945</v>
      </c>
      <c r="M31" s="6">
        <f>IFERROR(__xludf.DUMMYFUNCTION("IFERROR(
  VLOOKUP(
    A31,
    IMPORTRANGE(
      ""1ZHMy3vVUd_0MrSduXTe1etBb1HNpAlGwQr006ljwMiM"",
      ""GSC最新!A:R""
    ),
    10,
    FALSE
  ),
  0
)
"),2194.0)</f>
        <v>2194</v>
      </c>
      <c r="N31" s="6">
        <f>IFERROR(__xludf.DUMMYFUNCTION("IFERROR(
  VLOOKUP(
    A31,
    IMPORTRANGE(
      ""1ZHMy3vVUd_0MrSduXTe1etBb1HNpAlGwQr006ljwMiM"",
      ""GSC最新!A:R""
    ),
    13,
    FALSE
  ),
  0
)
"),696.0)</f>
        <v>696</v>
      </c>
      <c r="O31" s="6">
        <f>IFERROR(__xludf.DUMMYFUNCTION("IFERROR(
  VLOOKUP(
    A31,
    IMPORTRANGE(
      ""1ZHMy3vVUd_0MrSduXTe1etBb1HNpAlGwQr006ljwMiM"",
      ""GSC最新!A:R""
    ),
    16,
    FALSE
  ),
  0
)
"),2220.0)</f>
        <v>2220</v>
      </c>
      <c r="P31" s="51">
        <f t="shared" ref="P31:Q31" si="147">IFERROR(L31/N31,"-")</f>
        <v>1.357758621</v>
      </c>
      <c r="Q31" s="51">
        <f t="shared" si="147"/>
        <v>0.9882882883</v>
      </c>
      <c r="R31" s="9">
        <f>IFERROR(__xludf.DUMMYFUNCTION("IFERROR(
  VLOOKUP(
    A31,
    IMPORTRANGE(
      ""1ZHMy3vVUd_0MrSduXTe1etBb1HNpAlGwQr006ljwMiM"",
      ""GSC最新!A:R""
    ),
    8,
    FALSE
  ),
  0
)
"),0.04021164021164021)</f>
        <v>0.04021164021</v>
      </c>
      <c r="S31" s="9">
        <f>IFERROR(__xludf.DUMMYFUNCTION("IFERROR(
  VLOOKUP(
    A31,
    IMPORTRANGE(
      ""1ZHMy3vVUd_0MrSduXTe1etBb1HNpAlGwQr006ljwMiM"",
      ""GSC最新!A:R""
    ),
    11,
    FALSE
  ),
  0
)
"),0.03965360072926162)</f>
        <v>0.03965360073</v>
      </c>
      <c r="T31" s="9">
        <f>IFERROR(__xludf.DUMMYFUNCTION("IFERROR(
  VLOOKUP(
    A31,
    IMPORTRANGE(
      ""1ZHMy3vVUd_0MrSduXTe1etBb1HNpAlGwQr006ljwMiM"",
      ""GSC最新!A:R""
    ),
    14,
    FALSE
  ),
  0
)
"),0.03017241379310345)</f>
        <v>0.03017241379</v>
      </c>
      <c r="U31" s="9">
        <f>IFERROR(__xludf.DUMMYFUNCTION("IFERROR(
  VLOOKUP(
    A31,
    IMPORTRANGE(
      ""1ZHMy3vVUd_0MrSduXTe1etBb1HNpAlGwQr006ljwMiM"",
      ""GSC最新!A:R""
    ),
    17,
    FALSE
  ),
  0
)
"),0.02972972972972973)</f>
        <v>0.02972972973</v>
      </c>
      <c r="V31" s="9">
        <f t="shared" ref="V31:W31" si="148">IFERROR(R31-T31,"-")</f>
        <v>0.01003922642</v>
      </c>
      <c r="W31" s="9">
        <f t="shared" si="148"/>
        <v>0.009923871</v>
      </c>
      <c r="X31" s="65">
        <f>IFERROR(__xludf.DUMMYFUNCTION("IFERROR(
  VLOOKUP(
    A31,
    IMPORTRANGE(
      ""1ZHMy3vVUd_0MrSduXTe1etBb1HNpAlGwQr006ljwMiM"",
      ""GSC最新!A:R""
    ),
    9,
    FALSE
  ),
  0
)
"),7.911111111111111)</f>
        <v>7.911111111</v>
      </c>
      <c r="Y31" s="65">
        <f>IFERROR(__xludf.DUMMYFUNCTION("IFERROR(
  VLOOKUP(
    A31,
    IMPORTRANGE(
      ""1ZHMy3vVUd_0MrSduXTe1etBb1HNpAlGwQr006ljwMiM"",
      ""GSC最新!A:R""
    ),
    12,
    FALSE
  ),
  0
)
"),7.420237010027347)</f>
        <v>7.42023701</v>
      </c>
      <c r="Z31" s="65">
        <f>IFERROR(__xludf.DUMMYFUNCTION("IFERROR(
  VLOOKUP(
    A31,
    IMPORTRANGE(
      ""1ZHMy3vVUd_0MrSduXTe1etBb1HNpAlGwQr006ljwMiM"",
      ""GSC最新!A:R""
    ),
    15,
    FALSE
  ),
  0
)
"),12.813218390804598)</f>
        <v>12.81321839</v>
      </c>
      <c r="AA31" s="65">
        <f>IFERROR(__xludf.DUMMYFUNCTION("IFERROR(
  VLOOKUP(
    A31,
    IMPORTRANGE(
      ""1ZHMy3vVUd_0MrSduXTe1etBb1HNpAlGwQr006ljwMiM"",
      ""GSC最新!A:R""
    ),
    18,
    FALSE
  ),
  0
)
"),12.611711711711711)</f>
        <v>12.61171171</v>
      </c>
      <c r="AB31" s="65">
        <f t="shared" ref="AB31:AC31" si="149">X31-Z31</f>
        <v>-4.90210728</v>
      </c>
      <c r="AC31" s="65">
        <f t="shared" si="149"/>
        <v>-5.191474702</v>
      </c>
      <c r="AD31" s="53">
        <f>IFERROR(__xludf.DUMMYFUNCTION("IFERROR(
  VLOOKUP(
    A31,
    IMPORTRANGE(
      ""1ZHMy3vVUd_0MrSduXTe1etBb1HNpAlGwQr006ljwMiM"",
      ""GSC最新!A:F""
    ),
    6,
    FALSE
  ),
  0
)
"),46081.0)</f>
        <v>46081</v>
      </c>
      <c r="AE31" s="54">
        <f>IFERROR(__xludf.DUMMYFUNCTION("IFERROR(
  VLOOKUP(
    A31,
    IMPORTRANGE(
      ""1SCYQd7_cobOYqT0r_F0IqD4tE4rYn5y8Eup4PJTH8es"",
      ""Snapshot!A:M""
    ),
    5,
    FALSE
  ),
  ""-""
)
"),6.0)</f>
        <v>6</v>
      </c>
      <c r="AF31" s="54">
        <f>IFERROR(__xludf.DUMMYFUNCTION("IFERROR(
  VLOOKUP(
    A31,
    IMPORTRANGE(
      ""1SCYQd7_cobOYqT0r_F0IqD4tE4rYn5y8Eup4PJTH8es"",
      ""Snapshot!A:M""
    ),
    6,
    FALSE
  ),
  0
)
"),27.0)</f>
        <v>27</v>
      </c>
      <c r="AG31" s="54">
        <f>IFERROR(__xludf.DUMMYFUNCTION("IFERROR(
  VLOOKUP(
    A31,
    IMPORTRANGE(
      ""1SCYQd7_cobOYqT0r_F0IqD4tE4rYn5y8Eup4PJTH8es"",
      ""Snapshot!A:M""
    ),
    7,
    FALSE
  ),
  0
)
"),2909.0)</f>
        <v>2909</v>
      </c>
      <c r="AH31" s="54">
        <f>IFERROR(__xludf.DUMMYFUNCTION("IFERROR(
  VLOOKUP(
    A31,
    IMPORTRANGE(
      ""1SCYQd7_cobOYqT0r_F0IqD4tE4rYn5y8Eup4PJTH8es"",
      ""Snapshot!A:M""
    ),
    8,
    FALSE
  ),
  0
)
"),10.0)</f>
        <v>10</v>
      </c>
      <c r="AI31" s="54">
        <f>IFERROR(__xludf.DUMMYFUNCTION("IFERROR(
  VLOOKUP(
    A31,
    IMPORTRANGE(
      ""1SCYQd7_cobOYqT0r_F0IqD4tE4rYn5y8Eup4PJTH8es"",
      ""Snapshot!A:M""
    ),
    9,
    FALSE
  ),
  0
)
"),6.0)</f>
        <v>6</v>
      </c>
      <c r="AJ31" s="54">
        <f>IFERROR(__xludf.DUMMYFUNCTION("IFERROR(
  VLOOKUP(
    A31,
    IMPORTRANGE(
      ""1SCYQd7_cobOYqT0r_F0IqD4tE4rYn5y8Eup4PJTH8es"",
      ""Snapshot!A:M""
    ),
    13,
    FALSE
  ),
  0
)
"),2.0)</f>
        <v>2</v>
      </c>
      <c r="AK31" s="49">
        <f t="shared" ref="AK31:AL31" si="150">LEN(C31)</f>
        <v>28</v>
      </c>
      <c r="AL31" s="49">
        <f t="shared" si="150"/>
        <v>68</v>
      </c>
    </row>
    <row r="32">
      <c r="A32" s="3" t="s">
        <v>1255</v>
      </c>
      <c r="B32" s="1" t="str">
        <f>IFERROR(__xludf.DUMMYFUNCTION("IFERROR(
  VLOOKUP(
    A32,
    IMPORTRANGE(
      ""1ZygntHC1J6IxzKbTidmOyf5nUyW4GCLurHCjexrLm_o"",
      ""HTMLキャッシュ!A:F""
    ),
    2,
    FALSE
  ),
  0
)
"),"MC")</f>
        <v>MC</v>
      </c>
      <c r="C32" s="1" t="str">
        <f>IFERROR(__xludf.DUMMYFUNCTION("IFERROR(
  VLOOKUP(
    A32,
    IMPORTRANGE(
      ""1ZygntHC1J6IxzKbTidmOyf5nUyW4GCLurHCjexrLm_o"",
      ""HTMLキャッシュ!A:F""
    ),
    5,
    FALSE
  ),
  0
)
"),"【理科のコツ】水よう液（中和） - 中学受験 理科の個別指導 | 受験理科専門塾「しゅん吉クエスト」")</f>
        <v>【理科のコツ】水よう液（中和） - 中学受験 理科の個別指導 | 受験理科専門塾「しゅん吉クエスト」</v>
      </c>
      <c r="D32" s="1" t="str">
        <f>IFERROR(__xludf.DUMMYFUNCTION("IFERROR(
  VLOOKUP(
    A32,
    IMPORTRANGE(
      ""1ZygntHC1J6IxzKbTidmOyf5nUyW4GCLurHCjexrLm_o        "",
      ""HTMLキャッシュ!A:F""
    ),
    6,
    FALSE
  ),
  0
)
"),"「中和反応の仕組みを解説！酸性とアルカリ性の性質を打ち消し合い、塩（えん）と水を生成する中和の基本を学びましょう。完全中和の状態やリトマス紙の変化もわかりやすく説明。発熱反応の秘密や計算問題の解き方のポイントも紹介。理科の苦手克服に役立つ内容です！」")</f>
        <v>「中和反応の仕組みを解説！酸性とアルカリ性の性質を打ち消し合い、塩（えん）と水を生成する中和の基本を学びましょう。完全中和の状態やリトマス紙の変化もわかりやすく説明。発熱反応の秘密や計算問題の解き方のポイントも紹介。理科の苦手克服に役立つ内容です！」</v>
      </c>
      <c r="E32" s="32">
        <f>IFERROR(__xludf.DUMMYFUNCTION("IFERROR(
  VLOOKUP(
    A32,
    IMPORTRANGE(
      ""1ZygntHC1J6IxzKbTidmOyf5nUyW4GCLurHCjexrLm_o        "",
      ""HTMLキャッシュ!A:F""
    ),
    3,
    FALSE
  ),
  0
)
"),46030.91983796296)</f>
        <v>46030.91984</v>
      </c>
      <c r="F32" s="49">
        <f>IFERROR(__xludf.DUMMYFUNCTION("IFERROR(
  VLOOKUP(
    A32,
    IMPORTRANGE(
      ""1ZHMy3vVUd_0MrSduXTe1etBb1HNpAlGwQr006ljwMiM"",
      ""GSC最新!A:F""
    ),
    2,
    FALSE
  ),
  0
)
"),28.0)</f>
        <v>28</v>
      </c>
      <c r="G32" s="49">
        <f>IFERROR(__xludf.DUMMYFUNCTION("IFERROR(
  VLOOKUP(
    A32,
    IMPORTRANGE(
      ""1ZHMy3vVUd_0MrSduXTe1etBb1HNpAlGwQr006ljwMiM"",
      ""GSC最新!A:F""
    ),
    3,
    FALSE
  ),
  0
)
"),82.0)</f>
        <v>82</v>
      </c>
      <c r="H32" s="49">
        <f>IFERROR(__xludf.DUMMYFUNCTION("IFERROR(
  VLOOKUP(
    A32,
    IMPORTRANGE(
      ""1ZHMy3vVUd_0MrSduXTe1etBb1HNpAlGwQr006ljwMiM"",
      ""GSC最新!A:F""
    ),
    4,
    FALSE
  ),
  0
)
"),4.0)</f>
        <v>4</v>
      </c>
      <c r="I32" s="49">
        <f>IFERROR(__xludf.DUMMYFUNCTION("IFERROR(
  VLOOKUP(
    A32,
    IMPORTRANGE(
      ""1ZHMy3vVUd_0MrSduXTe1etBb1HNpAlGwQr006ljwMiM"",
      ""GSC最新!A:F""
    ),
    5,
    FALSE
  ),
  0
)
"),19.0)</f>
        <v>19</v>
      </c>
      <c r="J32" s="50">
        <f t="shared" ref="J32:K32" si="151">IFERROR(F32/H32,"-")</f>
        <v>7</v>
      </c>
      <c r="K32" s="50">
        <f t="shared" si="151"/>
        <v>4.315789474</v>
      </c>
      <c r="L32" s="6">
        <f>IFERROR(__xludf.DUMMYFUNCTION("IFERROR(
  VLOOKUP(
    A32,
    IMPORTRANGE(
      ""1ZHMy3vVUd_0MrSduXTe1etBb1HNpAlGwQr006ljwMiM"",
      ""GSC最新!A:R""
    ),
    7,
    FALSE
  ),
  0
)
"),11851.0)</f>
        <v>11851</v>
      </c>
      <c r="M32" s="6">
        <f>IFERROR(__xludf.DUMMYFUNCTION("IFERROR(
  VLOOKUP(
    A32,
    IMPORTRANGE(
      ""1ZHMy3vVUd_0MrSduXTe1etBb1HNpAlGwQr006ljwMiM"",
      ""GSC最新!A:R""
    ),
    10,
    FALSE
  ),
  0
)
"),29502.0)</f>
        <v>29502</v>
      </c>
      <c r="N32" s="6">
        <f>IFERROR(__xludf.DUMMYFUNCTION("IFERROR(
  VLOOKUP(
    A32,
    IMPORTRANGE(
      ""1ZHMy3vVUd_0MrSduXTe1etBb1HNpAlGwQr006ljwMiM"",
      ""GSC最新!A:R""
    ),
    13,
    FALSE
  ),
  0
)
"),239.0)</f>
        <v>239</v>
      </c>
      <c r="O32" s="6">
        <f>IFERROR(__xludf.DUMMYFUNCTION("IFERROR(
  VLOOKUP(
    A32,
    IMPORTRANGE(
      ""1ZHMy3vVUd_0MrSduXTe1etBb1HNpAlGwQr006ljwMiM"",
      ""GSC最新!A:R""
    ),
    16,
    FALSE
  ),
  0
)
"),1113.0)</f>
        <v>1113</v>
      </c>
      <c r="P32" s="51">
        <f t="shared" ref="P32:Q32" si="152">IFERROR(L32/N32,"-")</f>
        <v>49.58577406</v>
      </c>
      <c r="Q32" s="51">
        <f t="shared" si="152"/>
        <v>26.50673854</v>
      </c>
      <c r="R32" s="9">
        <f>IFERROR(__xludf.DUMMYFUNCTION("IFERROR(
  VLOOKUP(
    A32,
    IMPORTRANGE(
      ""1ZHMy3vVUd_0MrSduXTe1etBb1HNpAlGwQr006ljwMiM"",
      ""GSC最新!A:R""
    ),
    8,
    FALSE
  ),
  0
)
"),0.002362669816893089)</f>
        <v>0.002362669817</v>
      </c>
      <c r="S32" s="9">
        <f>IFERROR(__xludf.DUMMYFUNCTION("IFERROR(
  VLOOKUP(
    A32,
    IMPORTRANGE(
      ""1ZHMy3vVUd_0MrSduXTe1etBb1HNpAlGwQr006ljwMiM"",
      ""GSC最新!A:R""
    ),
    11,
    FALSE
  ),
  0
)
"),0.002779472578130296)</f>
        <v>0.002779472578</v>
      </c>
      <c r="T32" s="9">
        <f>IFERROR(__xludf.DUMMYFUNCTION("IFERROR(
  VLOOKUP(
    A32,
    IMPORTRANGE(
      ""1ZHMy3vVUd_0MrSduXTe1etBb1HNpAlGwQr006ljwMiM"",
      ""GSC最新!A:R""
    ),
    14,
    FALSE
  ),
  0
)
"),0.016736401673640166)</f>
        <v>0.01673640167</v>
      </c>
      <c r="U32" s="9">
        <f>IFERROR(__xludf.DUMMYFUNCTION("IFERROR(
  VLOOKUP(
    A32,
    IMPORTRANGE(
      ""1ZHMy3vVUd_0MrSduXTe1etBb1HNpAlGwQr006ljwMiM"",
      ""GSC最新!A:R""
    ),
    17,
    FALSE
  ),
  0
)
"),0.017070979335130278)</f>
        <v>0.01707097934</v>
      </c>
      <c r="V32" s="9">
        <f t="shared" ref="V32:W32" si="153">IFERROR(R32-T32,"-")</f>
        <v>-0.01437373186</v>
      </c>
      <c r="W32" s="9">
        <f t="shared" si="153"/>
        <v>-0.01429150676</v>
      </c>
      <c r="X32" s="65">
        <f>IFERROR(__xludf.DUMMYFUNCTION("IFERROR(
  VLOOKUP(
    A32,
    IMPORTRANGE(
      ""1ZHMy3vVUd_0MrSduXTe1etBb1HNpAlGwQr006ljwMiM"",
      ""GSC最新!A:R""
    ),
    9,
    FALSE
  ),
  0
)
"),5.1854695806261075)</f>
        <v>5.185469581</v>
      </c>
      <c r="Y32" s="65">
        <f>IFERROR(__xludf.DUMMYFUNCTION("IFERROR(
  VLOOKUP(
    A32,
    IMPORTRANGE(
      ""1ZHMy3vVUd_0MrSduXTe1etBb1HNpAlGwQr006ljwMiM"",
      ""GSC最新!A:R""
    ),
    12,
    FALSE
  ),
  0
)
"),5.15415904006508)</f>
        <v>5.15415904</v>
      </c>
      <c r="Z32" s="65">
        <f>IFERROR(__xludf.DUMMYFUNCTION("IFERROR(
  VLOOKUP(
    A32,
    IMPORTRANGE(
      ""1ZHMy3vVUd_0MrSduXTe1etBb1HNpAlGwQr006ljwMiM"",
      ""GSC最新!A:R""
    ),
    15,
    FALSE
  ),
  0
)
"),9.552301255230125)</f>
        <v>9.552301255</v>
      </c>
      <c r="AA32" s="65">
        <f>IFERROR(__xludf.DUMMYFUNCTION("IFERROR(
  VLOOKUP(
    A32,
    IMPORTRANGE(
      ""1ZHMy3vVUd_0MrSduXTe1etBb1HNpAlGwQr006ljwMiM"",
      ""GSC最新!A:R""
    ),
    18,
    FALSE
  ),
  0
)
"),9.510332434860736)</f>
        <v>9.510332435</v>
      </c>
      <c r="AB32" s="65">
        <f t="shared" ref="AB32:AC32" si="154">X32-Z32</f>
        <v>-4.366831675</v>
      </c>
      <c r="AC32" s="65">
        <f t="shared" si="154"/>
        <v>-4.356173395</v>
      </c>
      <c r="AD32" s="53">
        <f>IFERROR(__xludf.DUMMYFUNCTION("IFERROR(
  VLOOKUP(
    A32,
    IMPORTRANGE(
      ""1ZHMy3vVUd_0MrSduXTe1etBb1HNpAlGwQr006ljwMiM"",
      ""GSC最新!A:F""
    ),
    6,
    FALSE
  ),
  0
)
"),46081.0)</f>
        <v>46081</v>
      </c>
      <c r="AE32" s="54">
        <f>IFERROR(__xludf.DUMMYFUNCTION("IFERROR(
  VLOOKUP(
    A32,
    IMPORTRANGE(
      ""1SCYQd7_cobOYqT0r_F0IqD4tE4rYn5y8Eup4PJTH8es"",
      ""Snapshot!A:M""
    ),
    5,
    FALSE
  ),
  ""-""
)
"),8.0)</f>
        <v>8</v>
      </c>
      <c r="AF32" s="54">
        <f>IFERROR(__xludf.DUMMYFUNCTION("IFERROR(
  VLOOKUP(
    A32,
    IMPORTRANGE(
      ""1SCYQd7_cobOYqT0r_F0IqD4tE4rYn5y8Eup4PJTH8es"",
      ""Snapshot!A:M""
    ),
    6,
    FALSE
  ),
  0
)
"),2.0)</f>
        <v>2</v>
      </c>
      <c r="AG32" s="54">
        <f>IFERROR(__xludf.DUMMYFUNCTION("IFERROR(
  VLOOKUP(
    A32,
    IMPORTRANGE(
      ""1SCYQd7_cobOYqT0r_F0IqD4tE4rYn5y8Eup4PJTH8es"",
      ""Snapshot!A:M""
    ),
    7,
    FALSE
  ),
  0
)
"),3390.0)</f>
        <v>3390</v>
      </c>
      <c r="AH32" s="54">
        <f>IFERROR(__xludf.DUMMYFUNCTION("IFERROR(
  VLOOKUP(
    A32,
    IMPORTRANGE(
      ""1SCYQd7_cobOYqT0r_F0IqD4tE4rYn5y8Eup4PJTH8es"",
      ""Snapshot!A:M""
    ),
    8,
    FALSE
  ),
  0
)
"),2.0)</f>
        <v>2</v>
      </c>
      <c r="AI32" s="54">
        <f>IFERROR(__xludf.DUMMYFUNCTION("IFERROR(
  VLOOKUP(
    A32,
    IMPORTRANGE(
      ""1SCYQd7_cobOYqT0r_F0IqD4tE4rYn5y8Eup4PJTH8es"",
      ""Snapshot!A:M""
    ),
    9,
    FALSE
  ),
  0
)
"),2.0)</f>
        <v>2</v>
      </c>
      <c r="AJ32" s="54">
        <f>IFERROR(__xludf.DUMMYFUNCTION("IFERROR(
  VLOOKUP(
    A32,
    IMPORTRANGE(
      ""1SCYQd7_cobOYqT0r_F0IqD4tE4rYn5y8Eup4PJTH8es"",
      ""Snapshot!A:M""
    ),
    13,
    FALSE
  ),
  0
)
"),2.0)</f>
        <v>2</v>
      </c>
      <c r="AK32" s="49">
        <f t="shared" ref="AK32:AL32" si="155">LEN(C32)</f>
        <v>50</v>
      </c>
      <c r="AL32" s="49">
        <f t="shared" si="155"/>
        <v>125</v>
      </c>
    </row>
    <row r="33">
      <c r="A33" s="3" t="s">
        <v>1256</v>
      </c>
      <c r="B33" s="1" t="str">
        <f>IFERROR(__xludf.DUMMYFUNCTION("IFERROR(
  VLOOKUP(
    A33,
    IMPORTRANGE(
      ""1ZygntHC1J6IxzKbTidmOyf5nUyW4GCLurHCjexrLm_o"",
      ""HTMLキャッシュ!A:F""
    ),
    2,
    FALSE
  ),
  0
)
"),"MC")</f>
        <v>MC</v>
      </c>
      <c r="C33" s="1" t="str">
        <f>IFERROR(__xludf.DUMMYFUNCTION("IFERROR(
  VLOOKUP(
    A33,
    IMPORTRANGE(
      ""1ZygntHC1J6IxzKbTidmOyf5nUyW4GCLurHCjexrLm_o"",
      ""HTMLキャッシュ!A:F""
    ),
    5,
    FALSE
  ),
  0
)
"),"【理科のコツ】気体と水よう液 - 中学受験 理科の個別指導 | 受験理科専門塾「しゅん吉クエスト」")</f>
        <v>【理科のコツ】気体と水よう液 - 中学受験 理科の個別指導 | 受験理科専門塾「しゅん吉クエスト」</v>
      </c>
      <c r="D33" s="1" t="str">
        <f>IFERROR(__xludf.DUMMYFUNCTION("IFERROR(
  VLOOKUP(
    A33,
    IMPORTRANGE(
      ""1ZygntHC1J6IxzKbTidmOyf5nUyW4GCLurHCjexrLm_o        "",
      ""HTMLキャッシュ!A:F""
    ),
    6,
    FALSE
  ),
  0
)
"),"中学理科／化学分野 テーマ：気体と水溶液・発生方法と集め方 気体と水溶液の基礎まとめ──「気体戦隊ロクレンジャ")</f>
        <v>中学理科／化学分野 テーマ：気体と水溶液・発生方法と集め方 気体と水溶液の基礎まとめ──「気体戦隊ロクレンジャ</v>
      </c>
      <c r="E33" s="32">
        <f>IFERROR(__xludf.DUMMYFUNCTION("IFERROR(
  VLOOKUP(
    A33,
    IMPORTRANGE(
      ""1ZygntHC1J6IxzKbTidmOyf5nUyW4GCLurHCjexrLm_o        "",
      ""HTMLキャッシュ!A:F""
    ),
    3,
    FALSE
  ),
  0
)
"),46030.190983796296)</f>
        <v>46030.19098</v>
      </c>
      <c r="F33" s="49">
        <f>IFERROR(__xludf.DUMMYFUNCTION("IFERROR(
  VLOOKUP(
    A33,
    IMPORTRANGE(
      ""1ZHMy3vVUd_0MrSduXTe1etBb1HNpAlGwQr006ljwMiM"",
      ""GSC最新!A:F""
    ),
    2,
    FALSE
  ),
  0
)
"),27.0)</f>
        <v>27</v>
      </c>
      <c r="G33" s="49">
        <f>IFERROR(__xludf.DUMMYFUNCTION("IFERROR(
  VLOOKUP(
    A33,
    IMPORTRANGE(
      ""1ZHMy3vVUd_0MrSduXTe1etBb1HNpAlGwQr006ljwMiM"",
      ""GSC最新!A:F""
    ),
    3,
    FALSE
  ),
  0
)
"),77.0)</f>
        <v>77</v>
      </c>
      <c r="H33" s="49">
        <f>IFERROR(__xludf.DUMMYFUNCTION("IFERROR(
  VLOOKUP(
    A33,
    IMPORTRANGE(
      ""1ZHMy3vVUd_0MrSduXTe1etBb1HNpAlGwQr006ljwMiM"",
      ""GSC最新!A:F""
    ),
    4,
    FALSE
  ),
  0
)
"),1.0)</f>
        <v>1</v>
      </c>
      <c r="I33" s="49">
        <f>IFERROR(__xludf.DUMMYFUNCTION("IFERROR(
  VLOOKUP(
    A33,
    IMPORTRANGE(
      ""1ZHMy3vVUd_0MrSduXTe1etBb1HNpAlGwQr006ljwMiM"",
      ""GSC最新!A:F""
    ),
    5,
    FALSE
  ),
  0
)
"),3.0)</f>
        <v>3</v>
      </c>
      <c r="J33" s="50">
        <f t="shared" ref="J33:K33" si="156">IFERROR(F33/H33,"-")</f>
        <v>27</v>
      </c>
      <c r="K33" s="50">
        <f t="shared" si="156"/>
        <v>25.66666667</v>
      </c>
      <c r="L33" s="6">
        <f>IFERROR(__xludf.DUMMYFUNCTION("IFERROR(
  VLOOKUP(
    A33,
    IMPORTRANGE(
      ""1ZHMy3vVUd_0MrSduXTe1etBb1HNpAlGwQr006ljwMiM"",
      ""GSC最新!A:R""
    ),
    7,
    FALSE
  ),
  0
)
"),13222.0)</f>
        <v>13222</v>
      </c>
      <c r="M33" s="6">
        <f>IFERROR(__xludf.DUMMYFUNCTION("IFERROR(
  VLOOKUP(
    A33,
    IMPORTRANGE(
      ""1ZHMy3vVUd_0MrSduXTe1etBb1HNpAlGwQr006ljwMiM"",
      ""GSC最新!A:R""
    ),
    10,
    FALSE
  ),
  0
)
"),33853.0)</f>
        <v>33853</v>
      </c>
      <c r="N33" s="6">
        <f>IFERROR(__xludf.DUMMYFUNCTION("IFERROR(
  VLOOKUP(
    A33,
    IMPORTRANGE(
      ""1ZHMy3vVUd_0MrSduXTe1etBb1HNpAlGwQr006ljwMiM"",
      ""GSC最新!A:R""
    ),
    13,
    FALSE
  ),
  0
)
"),492.0)</f>
        <v>492</v>
      </c>
      <c r="O33" s="6">
        <f>IFERROR(__xludf.DUMMYFUNCTION("IFERROR(
  VLOOKUP(
    A33,
    IMPORTRANGE(
      ""1ZHMy3vVUd_0MrSduXTe1etBb1HNpAlGwQr006ljwMiM"",
      ""GSC最新!A:R""
    ),
    16,
    FALSE
  ),
  0
)
"),1184.0)</f>
        <v>1184</v>
      </c>
      <c r="P33" s="51">
        <f t="shared" ref="P33:Q33" si="157">IFERROR(L33/N33,"-")</f>
        <v>26.87398374</v>
      </c>
      <c r="Q33" s="51">
        <f t="shared" si="157"/>
        <v>28.59206081</v>
      </c>
      <c r="R33" s="9">
        <f>IFERROR(__xludf.DUMMYFUNCTION("IFERROR(
  VLOOKUP(
    A33,
    IMPORTRANGE(
      ""1ZHMy3vVUd_0MrSduXTe1etBb1HNpAlGwQr006ljwMiM"",
      ""GSC最新!A:R""
    ),
    8,
    FALSE
  ),
  0
)
"),0.002042051126909696)</f>
        <v>0.002042051127</v>
      </c>
      <c r="S33" s="9">
        <f>IFERROR(__xludf.DUMMYFUNCTION("IFERROR(
  VLOOKUP(
    A33,
    IMPORTRANGE(
      ""1ZHMy3vVUd_0MrSduXTe1etBb1HNpAlGwQr006ljwMiM"",
      ""GSC最新!A:R""
    ),
    11,
    FALSE
  ),
  0
)
"),0.0022745399226065635)</f>
        <v>0.002274539923</v>
      </c>
      <c r="T33" s="9">
        <f>IFERROR(__xludf.DUMMYFUNCTION("IFERROR(
  VLOOKUP(
    A33,
    IMPORTRANGE(
      ""1ZHMy3vVUd_0MrSduXTe1etBb1HNpAlGwQr006ljwMiM"",
      ""GSC最新!A:R""
    ),
    14,
    FALSE
  ),
  0
)
"),0.0020325203252032522)</f>
        <v>0.002032520325</v>
      </c>
      <c r="U33" s="9">
        <f>IFERROR(__xludf.DUMMYFUNCTION("IFERROR(
  VLOOKUP(
    A33,
    IMPORTRANGE(
      ""1ZHMy3vVUd_0MrSduXTe1etBb1HNpAlGwQr006ljwMiM"",
      ""GSC最新!A:R""
    ),
    17,
    FALSE
  ),
  0
)
"),0.002533783783783784)</f>
        <v>0.002533783784</v>
      </c>
      <c r="V33" s="9">
        <f t="shared" ref="V33:W33" si="158">IFERROR(R33-T33,"-")</f>
        <v>0.000009530801706</v>
      </c>
      <c r="W33" s="9">
        <f t="shared" si="158"/>
        <v>-0.0002592438612</v>
      </c>
      <c r="X33" s="65">
        <f>IFERROR(__xludf.DUMMYFUNCTION("IFERROR(
  VLOOKUP(
    A33,
    IMPORTRANGE(
      ""1ZHMy3vVUd_0MrSduXTe1etBb1HNpAlGwQr006ljwMiM"",
      ""GSC最新!A:R""
    ),
    9,
    FALSE
  ),
  0
)
"),6.0145212524580245)</f>
        <v>6.014521252</v>
      </c>
      <c r="Y33" s="65">
        <f>IFERROR(__xludf.DUMMYFUNCTION("IFERROR(
  VLOOKUP(
    A33,
    IMPORTRANGE(
      ""1ZHMy3vVUd_0MrSduXTe1etBb1HNpAlGwQr006ljwMiM"",
      ""GSC最新!A:R""
    ),
    12,
    FALSE
  ),
  0
)
"),6.552181490562137)</f>
        <v>6.552181491</v>
      </c>
      <c r="Z33" s="65">
        <f>IFERROR(__xludf.DUMMYFUNCTION("IFERROR(
  VLOOKUP(
    A33,
    IMPORTRANGE(
      ""1ZHMy3vVUd_0MrSduXTe1etBb1HNpAlGwQr006ljwMiM"",
      ""GSC最新!A:R""
    ),
    15,
    FALSE
  ),
  0
)
"),16.69308943089431)</f>
        <v>16.69308943</v>
      </c>
      <c r="AA33" s="65">
        <f>IFERROR(__xludf.DUMMYFUNCTION("IFERROR(
  VLOOKUP(
    A33,
    IMPORTRANGE(
      ""1ZHMy3vVUd_0MrSduXTe1etBb1HNpAlGwQr006ljwMiM"",
      ""GSC最新!A:R""
    ),
    18,
    FALSE
  ),
  0
)
"),16.217905405405403)</f>
        <v>16.21790541</v>
      </c>
      <c r="AB33" s="65">
        <f t="shared" ref="AB33:AC33" si="159">X33-Z33</f>
        <v>-10.67856818</v>
      </c>
      <c r="AC33" s="65">
        <f t="shared" si="159"/>
        <v>-9.665723915</v>
      </c>
      <c r="AD33" s="53">
        <f>IFERROR(__xludf.DUMMYFUNCTION("IFERROR(
  VLOOKUP(
    A33,
    IMPORTRANGE(
      ""1ZHMy3vVUd_0MrSduXTe1etBb1HNpAlGwQr006ljwMiM"",
      ""GSC最新!A:F""
    ),
    6,
    FALSE
  ),
  0
)
"),46081.0)</f>
        <v>46081</v>
      </c>
      <c r="AE33" s="54">
        <f>IFERROR(__xludf.DUMMYFUNCTION("IFERROR(
  VLOOKUP(
    A33,
    IMPORTRANGE(
      ""1SCYQd7_cobOYqT0r_F0IqD4tE4rYn5y8Eup4PJTH8es"",
      ""Snapshot!A:M""
    ),
    5,
    FALSE
  ),
  ""-""
)
"),8.0)</f>
        <v>8</v>
      </c>
      <c r="AF33" s="54">
        <f>IFERROR(__xludf.DUMMYFUNCTION("IFERROR(
  VLOOKUP(
    A33,
    IMPORTRANGE(
      ""1SCYQd7_cobOYqT0r_F0IqD4tE4rYn5y8Eup4PJTH8es"",
      ""Snapshot!A:M""
    ),
    6,
    FALSE
  ),
  0
)
"),3.0)</f>
        <v>3</v>
      </c>
      <c r="AG33" s="54">
        <f>IFERROR(__xludf.DUMMYFUNCTION("IFERROR(
  VLOOKUP(
    A33,
    IMPORTRANGE(
      ""1SCYQd7_cobOYqT0r_F0IqD4tE4rYn5y8Eup4PJTH8es"",
      ""Snapshot!A:M""
    ),
    7,
    FALSE
  ),
  0
)
"),4038.0)</f>
        <v>4038</v>
      </c>
      <c r="AH33" s="54">
        <f>IFERROR(__xludf.DUMMYFUNCTION("IFERROR(
  VLOOKUP(
    A33,
    IMPORTRANGE(
      ""1SCYQd7_cobOYqT0r_F0IqD4tE4rYn5y8Eup4PJTH8es"",
      ""Snapshot!A:M""
    ),
    8,
    FALSE
  ),
  0
)
"),2.0)</f>
        <v>2</v>
      </c>
      <c r="AI33" s="54">
        <f>IFERROR(__xludf.DUMMYFUNCTION("IFERROR(
  VLOOKUP(
    A33,
    IMPORTRANGE(
      ""1SCYQd7_cobOYqT0r_F0IqD4tE4rYn5y8Eup4PJTH8es"",
      ""Snapshot!A:M""
    ),
    9,
    FALSE
  ),
  0
)
"),2.0)</f>
        <v>2</v>
      </c>
      <c r="AJ33" s="54">
        <f>IFERROR(__xludf.DUMMYFUNCTION("IFERROR(
  VLOOKUP(
    A33,
    IMPORTRANGE(
      ""1SCYQd7_cobOYqT0r_F0IqD4tE4rYn5y8Eup4PJTH8es"",
      ""Snapshot!A:M""
    ),
    13,
    FALSE
  ),
  0
)
"),2.0)</f>
        <v>2</v>
      </c>
      <c r="AK33" s="49">
        <f t="shared" ref="AK33:AL33" si="160">LEN(C33)</f>
        <v>49</v>
      </c>
      <c r="AL33" s="49">
        <f t="shared" si="160"/>
        <v>55</v>
      </c>
    </row>
    <row r="34">
      <c r="A34" s="3" t="s">
        <v>1257</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"),"ろうは有機物？スチールウールは無機物？ものの燃え方をC・Hと酸化物で整理【中学受験理科】 - しゅん吉クエスト")</f>
        <v>ろうは有機物？スチールウールは無機物？ものの燃え方をC・Hと酸化物で整理【中学受験理科】 - しゅん吉クエスト</v>
      </c>
      <c r="D34" s="1" t="str">
        <f>IFERROR(__xludf.DUMMYFUNCTION("IFERROR(
  VLOOKUP(
    A34,
    IMPORTRANGE(
      ""1ZygntHC1J6IxzKbTidmOyf5nUyW4GCLurHCjexrLm_o        "",
      ""HTMLキャッシュ!A:F""
    ),
    6,
    FALSE
  ),
  0
)
"),"ろう（ろうそく）は炭素C・水素Hを含むため有機物として扱い、燃えるとCO2とH2Oができます。鉄・スチールウールは無機物（金属）で酸化物（酸化鉄など）に変化。図とまとめ表、10問クイズで入試レベルまで整理。")</f>
        <v>ろう（ろうそく）は炭素C・水素Hを含むため有機物として扱い、燃えるとCO2とH2Oができます。鉄・スチールウールは無機物（金属）で酸化物（酸化鉄など）に変化。図とまとめ表、10問クイズで入試レベルまで整理。</v>
      </c>
      <c r="E34" s="32">
        <f>IFERROR(__xludf.DUMMYFUNCTION("IFERROR(
  VLOOKUP(
    A34,
    IMPORTRANGE(
      ""1ZygntHC1J6IxzKbTidmOyf5nUyW4GCLurHCjexrLm_o        "",
      ""HTMLキャッシュ!A:F""
    ),
    3,
    FALSE
  ),
  0
)
"),46030.201631944445)</f>
        <v>46030.20163</v>
      </c>
      <c r="F34" s="49">
        <f>IFERROR(__xludf.DUMMYFUNCTION("IFERROR(
  VLOOKUP(
    A34,
    IMPORTRANGE(
      ""1ZHMy3vVUd_0MrSduXTe1etBb1HNpAlGwQr006ljwMiM"",
      ""GSC最新!A:F""
    ),
    2,
    FALSE
  ),
  0
)
"),17.0)</f>
        <v>17</v>
      </c>
      <c r="G34" s="49">
        <f>IFERROR(__xludf.DUMMYFUNCTION("IFERROR(
  VLOOKUP(
    A34,
    IMPORTRANGE(
      ""1ZHMy3vVUd_0MrSduXTe1etBb1HNpAlGwQr006ljwMiM"",
      ""GSC最新!A:F""
    ),
    3,
    FALSE
  ),
  0
)
"),61.0)</f>
        <v>61</v>
      </c>
      <c r="H34" s="49">
        <f>IFERROR(__xludf.DUMMYFUNCTION("IFERROR(
  VLOOKUP(
    A34,
    IMPORTRANGE(
      ""1ZHMy3vVUd_0MrSduXTe1etBb1HNpAlGwQr006ljwMiM"",
      ""GSC最新!A:F""
    ),
    4,
    FALSE
  ),
  0
)
"),6.0)</f>
        <v>6</v>
      </c>
      <c r="I34" s="49">
        <f>IFERROR(__xludf.DUMMYFUNCTION("IFERROR(
  VLOOKUP(
    A34,
    IMPORTRANGE(
      ""1ZHMy3vVUd_0MrSduXTe1etBb1HNpAlGwQr006ljwMiM"",
      ""GSC最新!A:F""
    ),
    5,
    FALSE
  ),
  0
)
"),10.0)</f>
        <v>10</v>
      </c>
      <c r="J34" s="50">
        <f t="shared" ref="J34:K34" si="161">IFERROR(F34/H34,"-")</f>
        <v>2.833333333</v>
      </c>
      <c r="K34" s="50">
        <f t="shared" si="161"/>
        <v>6.1</v>
      </c>
      <c r="L34" s="6">
        <f>IFERROR(__xludf.DUMMYFUNCTION("IFERROR(
  VLOOKUP(
    A34,
    IMPORTRANGE(
      ""1ZHMy3vVUd_0MrSduXTe1etBb1HNpAlGwQr006ljwMiM"",
      ""GSC最新!A:R""
    ),
    7,
    FALSE
  ),
  0
)
"),7657.0)</f>
        <v>7657</v>
      </c>
      <c r="M34" s="6">
        <f>IFERROR(__xludf.DUMMYFUNCTION("IFERROR(
  VLOOKUP(
    A34,
    IMPORTRANGE(
      ""1ZHMy3vVUd_0MrSduXTe1etBb1HNpAlGwQr006ljwMiM"",
      ""GSC最新!A:R""
    ),
    10,
    FALSE
  ),
  0
)
"),28986.0)</f>
        <v>28986</v>
      </c>
      <c r="N34" s="6">
        <f>IFERROR(__xludf.DUMMYFUNCTION("IFERROR(
  VLOOKUP(
    A34,
    IMPORTRANGE(
      ""1ZHMy3vVUd_0MrSduXTe1etBb1HNpAlGwQr006ljwMiM"",
      ""GSC最新!A:R""
    ),
    13,
    FALSE
  ),
  0
)
"),405.0)</f>
        <v>405</v>
      </c>
      <c r="O34" s="6">
        <f>IFERROR(__xludf.DUMMYFUNCTION("IFERROR(
  VLOOKUP(
    A34,
    IMPORTRANGE(
      ""1ZHMy3vVUd_0MrSduXTe1etBb1HNpAlGwQr006ljwMiM"",
      ""GSC最新!A:R""
    ),
    16,
    FALSE
  ),
  0
)
"),1375.0)</f>
        <v>1375</v>
      </c>
      <c r="P34" s="51">
        <f t="shared" ref="P34:Q34" si="162">IFERROR(L34/N34,"-")</f>
        <v>18.90617284</v>
      </c>
      <c r="Q34" s="51">
        <f t="shared" si="162"/>
        <v>21.08072727</v>
      </c>
      <c r="R34" s="9">
        <f>IFERROR(__xludf.DUMMYFUNCTION("IFERROR(
  VLOOKUP(
    A34,
    IMPORTRANGE(
      ""1ZHMy3vVUd_0MrSduXTe1etBb1HNpAlGwQr006ljwMiM"",
      ""GSC最新!A:R""
    ),
    8,
    FALSE
  ),
  0
)
"),0.0022201906751991643)</f>
        <v>0.002220190675</v>
      </c>
      <c r="S34" s="9">
        <f>IFERROR(__xludf.DUMMYFUNCTION("IFERROR(
  VLOOKUP(
    A34,
    IMPORTRANGE(
      ""1ZHMy3vVUd_0MrSduXTe1etBb1HNpAlGwQr006ljwMiM"",
      ""GSC最新!A:R""
    ),
    11,
    FALSE
  ),
  0
)
"),0.0021044642241081902)</f>
        <v>0.002104464224</v>
      </c>
      <c r="T34" s="9">
        <f>IFERROR(__xludf.DUMMYFUNCTION("IFERROR(
  VLOOKUP(
    A34,
    IMPORTRANGE(
      ""1ZHMy3vVUd_0MrSduXTe1etBb1HNpAlGwQr006ljwMiM"",
      ""GSC最新!A:R""
    ),
    14,
    FALSE
  ),
  0
)
"),0.014814814814814815)</f>
        <v>0.01481481481</v>
      </c>
      <c r="U34" s="9">
        <f>IFERROR(__xludf.DUMMYFUNCTION("IFERROR(
  VLOOKUP(
    A34,
    IMPORTRANGE(
      ""1ZHMy3vVUd_0MrSduXTe1etBb1HNpAlGwQr006ljwMiM"",
      ""GSC最新!A:R""
    ),
    17,
    FALSE
  ),
  0
)
"),0.007272727272727273)</f>
        <v>0.007272727273</v>
      </c>
      <c r="V34" s="9">
        <f t="shared" ref="V34:W34" si="163">IFERROR(R34-T34,"-")</f>
        <v>-0.01259462414</v>
      </c>
      <c r="W34" s="9">
        <f t="shared" si="163"/>
        <v>-0.005168263049</v>
      </c>
      <c r="X34" s="65">
        <f>IFERROR(__xludf.DUMMYFUNCTION("IFERROR(
  VLOOKUP(
    A34,
    IMPORTRANGE(
      ""1ZHMy3vVUd_0MrSduXTe1etBb1HNpAlGwQr006ljwMiM"",
      ""GSC最新!A:R""
    ),
    9,
    FALSE
  ),
  0
)
"),3.312132689042706)</f>
        <v>3.312132689</v>
      </c>
      <c r="Y34" s="65">
        <f>IFERROR(__xludf.DUMMYFUNCTION("IFERROR(
  VLOOKUP(
    A34,
    IMPORTRANGE(
      ""1ZHMy3vVUd_0MrSduXTe1etBb1HNpAlGwQr006ljwMiM"",
      ""GSC最新!A:R""
    ),
    12,
    FALSE
  ),
  0
)
"),3.532153453391292)</f>
        <v>3.532153453</v>
      </c>
      <c r="Z34" s="65">
        <f>IFERROR(__xludf.DUMMYFUNCTION("IFERROR(
  VLOOKUP(
    A34,
    IMPORTRANGE(
      ""1ZHMy3vVUd_0MrSduXTe1etBb1HNpAlGwQr006ljwMiM"",
      ""GSC最新!A:R""
    ),
    15,
    FALSE
  ),
  0
)
"),6.325925925925926)</f>
        <v>6.325925926</v>
      </c>
      <c r="AA34" s="65">
        <f>IFERROR(__xludf.DUMMYFUNCTION("IFERROR(
  VLOOKUP(
    A34,
    IMPORTRANGE(
      ""1ZHMy3vVUd_0MrSduXTe1etBb1HNpAlGwQr006ljwMiM"",
      ""GSC最新!A:R""
    ),
    18,
    FALSE
  ),
  0
)
"),6.135272727272727)</f>
        <v>6.135272727</v>
      </c>
      <c r="AB34" s="65">
        <f t="shared" ref="AB34:AC34" si="164">X34-Z34</f>
        <v>-3.013793237</v>
      </c>
      <c r="AC34" s="65">
        <f t="shared" si="164"/>
        <v>-2.603119274</v>
      </c>
      <c r="AD34" s="53">
        <f>IFERROR(__xludf.DUMMYFUNCTION("IFERROR(
  VLOOKUP(
    A34,
    IMPORTRANGE(
      ""1ZHMy3vVUd_0MrSduXTe1etBb1HNpAlGwQr006ljwMiM"",
      ""GSC最新!A:F""
    ),
    6,
    FALSE
  ),
  0
)
"),46081.0)</f>
        <v>46081</v>
      </c>
      <c r="AE34" s="54">
        <f>IFERROR(__xludf.DUMMYFUNCTION("IFERROR(
  VLOOKUP(
    A34,
    IMPORTRANGE(
      ""1SCYQd7_cobOYqT0r_F0IqD4tE4rYn5y8Eup4PJTH8es"",
      ""Snapshot!A:M""
    ),
    5,
    FALSE
  ),
  ""-""
)
"),8.0)</f>
        <v>8</v>
      </c>
      <c r="AF34" s="54">
        <f>IFERROR(__xludf.DUMMYFUNCTION("IFERROR(
  VLOOKUP(
    A34,
    IMPORTRANGE(
      ""1SCYQd7_cobOYqT0r_F0IqD4tE4rYn5y8Eup4PJTH8es"",
      ""Snapshot!A:M""
    ),
    6,
    FALSE
  ),
  0
)
"),4.0)</f>
        <v>4</v>
      </c>
      <c r="AG34" s="54">
        <f>IFERROR(__xludf.DUMMYFUNCTION("IFERROR(
  VLOOKUP(
    A34,
    IMPORTRANGE(
      ""1SCYQd7_cobOYqT0r_F0IqD4tE4rYn5y8Eup4PJTH8es"",
      ""Snapshot!A:M""
    ),
    7,
    FALSE
  ),
  0
)
"),3481.0)</f>
        <v>3481</v>
      </c>
      <c r="AH34" s="54">
        <f>IFERROR(__xludf.DUMMYFUNCTION("IFERROR(
  VLOOKUP(
    A34,
    IMPORTRANGE(
      ""1SCYQd7_cobOYqT0r_F0IqD4tE4rYn5y8Eup4PJTH8es"",
      ""Snapshot!A:M""
    ),
    8,
    FALSE
  ),
  0
)
"),2.0)</f>
        <v>2</v>
      </c>
      <c r="AI34" s="54">
        <f>IFERROR(__xludf.DUMMYFUNCTION("IFERROR(
  VLOOKUP(
    A34,
    IMPORTRANGE(
      ""1SCYQd7_cobOYqT0r_F0IqD4tE4rYn5y8Eup4PJTH8es"",
      ""Snapshot!A:M""
    ),
    9,
    FALSE
  ),
  0
)
"),2.0)</f>
        <v>2</v>
      </c>
      <c r="AJ34" s="54">
        <f>IFERROR(__xludf.DUMMYFUNCTION("IFERROR(
  VLOOKUP(
    A34,
    IMPORTRANGE(
      ""1SCYQd7_cobOYqT0r_F0IqD4tE4rYn5y8Eup4PJTH8es"",
      ""Snapshot!A:M""
    ),
    13,
    FALSE
  ),
  0
)
"),2.0)</f>
        <v>2</v>
      </c>
      <c r="AK34" s="49">
        <f t="shared" ref="AK34:AL34" si="165">LEN(C34)</f>
        <v>55</v>
      </c>
      <c r="AL34" s="49">
        <f t="shared" si="165"/>
        <v>103</v>
      </c>
    </row>
    <row r="35">
      <c r="A35" s="48" t="s">
        <v>1258</v>
      </c>
      <c r="B35" s="1" t="str">
        <f>IFERROR(__xludf.DUMMYFUNCTION("IFERROR(
  VLOOKUP(
    A35,
    IMPORTRANGE(
      ""1ZygntHC1J6IxzKbTidmOyf5nUyW4GCLurHCjexrLm_o"",
      ""HTMLキャッシュ!A:F""
    ),
    2,
    FALSE
  ),
  0
)
"),"MC")</f>
        <v>MC</v>
      </c>
      <c r="C35" s="1" t="str">
        <f>IFERROR(__xludf.DUMMYFUNCTION("IFERROR(
  VLOOKUP(
    A35,
    IMPORTRANGE(
      ""1ZygntHC1J6IxzKbTidmOyf5nUyW4GCLurHCjexrLm_o"",
      ""HTMLキャッシュ!A:F""
    ),
    5,
    FALSE
  ),
  0
)
"),"【理科のコツ】地震 - 中学受験 理科の個別指導 | 受験理科専門塾「しゅん吉クエスト」")</f>
        <v>【理科のコツ】地震 - 中学受験 理科の個別指導 | 受験理科専門塾「しゅん吉クエスト」</v>
      </c>
      <c r="D35" s="1" t="str">
        <f>IFERROR(__xludf.DUMMYFUNCTION("IFERROR(
  VLOOKUP(
    A35,
    IMPORTRANGE(
      ""1ZygntHC1J6IxzKbTidmOyf5nUyW4GCLurHCjexrLm_o        "",
      ""HTMLキャッシュ!A:F""
    ),
    6,
    FALSE
  ),
  0
)
"),"日本の地震について学ぼう！地震の原因であるプレート、震源、震度、マグニチュードの違いを解説。初期微動と主要動の理解、P波とS波の違いを把握して、実際の地震をシミュレーション。速さ計算を活かして、より深い理解を目指そう！")</f>
        <v>日本の地震について学ぼう！地震の原因であるプレート、震源、震度、マグニチュードの違いを解説。初期微動と主要動の理解、P波とS波の違いを把握して、実際の地震をシミュレーション。速さ計算を活かして、より深い理解を目指そう！</v>
      </c>
      <c r="E35" s="32">
        <f>IFERROR(__xludf.DUMMYFUNCTION("IFERROR(
  VLOOKUP(
    A35,
    IMPORTRANGE(
      ""1ZygntHC1J6IxzKbTidmOyf5nUyW4GCLurHCjexrLm_o        "",
      ""HTMLキャッシュ!A:F""
    ),
    3,
    FALSE
  ),
  0
)
"),46030.185578703706)</f>
        <v>46030.18558</v>
      </c>
      <c r="F35" s="49">
        <f>IFERROR(__xludf.DUMMYFUNCTION("IFERROR(
  VLOOKUP(
    A35,
    IMPORTRANGE(
      ""1ZHMy3vVUd_0MrSduXTe1etBb1HNpAlGwQr006ljwMiM"",
      ""GSC最新!A:F""
    ),
    2,
    FALSE
  ),
  0
)
"),41.0)</f>
        <v>41</v>
      </c>
      <c r="G35" s="49">
        <f>IFERROR(__xludf.DUMMYFUNCTION("IFERROR(
  VLOOKUP(
    A35,
    IMPORTRANGE(
      ""1ZHMy3vVUd_0MrSduXTe1etBb1HNpAlGwQr006ljwMiM"",
      ""GSC最新!A:F""
    ),
    3,
    FALSE
  ),
  0
)
"),60.0)</f>
        <v>60</v>
      </c>
      <c r="H35" s="49">
        <f>IFERROR(__xludf.DUMMYFUNCTION("IFERROR(
  VLOOKUP(
    A35,
    IMPORTRANGE(
      ""1ZHMy3vVUd_0MrSduXTe1etBb1HNpAlGwQr006ljwMiM"",
      ""GSC最新!A:F""
    ),
    4,
    FALSE
  ),
  0
)
"),5.0)</f>
        <v>5</v>
      </c>
      <c r="I35" s="49">
        <f>IFERROR(__xludf.DUMMYFUNCTION("IFERROR(
  VLOOKUP(
    A35,
    IMPORTRANGE(
      ""1ZHMy3vVUd_0MrSduXTe1etBb1HNpAlGwQr006ljwMiM"",
      ""GSC最新!A:F""
    ),
    5,
    FALSE
  ),
  0
)
"),8.0)</f>
        <v>8</v>
      </c>
      <c r="J35" s="50">
        <f t="shared" ref="J35:K35" si="166">IFERROR(F35/H35,"-")</f>
        <v>8.2</v>
      </c>
      <c r="K35" s="50">
        <f t="shared" si="166"/>
        <v>7.5</v>
      </c>
      <c r="L35" s="6">
        <f>IFERROR(__xludf.DUMMYFUNCTION("IFERROR(
  VLOOKUP(
    A35,
    IMPORTRANGE(
      ""1ZHMy3vVUd_0MrSduXTe1etBb1HNpAlGwQr006ljwMiM"",
      ""GSC最新!A:R""
    ),
    7,
    FALSE
  ),
  0
)
"),5279.0)</f>
        <v>5279</v>
      </c>
      <c r="M35" s="6">
        <f>IFERROR(__xludf.DUMMYFUNCTION("IFERROR(
  VLOOKUP(
    A35,
    IMPORTRANGE(
      ""1ZHMy3vVUd_0MrSduXTe1etBb1HNpAlGwQr006ljwMiM"",
      ""GSC最新!A:R""
    ),
    10,
    FALSE
  ),
  0
)
"),6905.0)</f>
        <v>6905</v>
      </c>
      <c r="N35" s="6">
        <f>IFERROR(__xludf.DUMMYFUNCTION("IFERROR(
  VLOOKUP(
    A35,
    IMPORTRANGE(
      ""1ZHMy3vVUd_0MrSduXTe1etBb1HNpAlGwQr006ljwMiM"",
      ""GSC最新!A:R""
    ),
    13,
    FALSE
  ),
  0
)
"),84.0)</f>
        <v>84</v>
      </c>
      <c r="O35" s="6">
        <f>IFERROR(__xludf.DUMMYFUNCTION("IFERROR(
  VLOOKUP(
    A35,
    IMPORTRANGE(
      ""1ZHMy3vVUd_0MrSduXTe1etBb1HNpAlGwQr006ljwMiM"",
      ""GSC最新!A:R""
    ),
    16,
    FALSE
  ),
  0
)
"),186.0)</f>
        <v>186</v>
      </c>
      <c r="P35" s="51">
        <f t="shared" ref="P35:Q35" si="167">IFERROR(L35/N35,"-")</f>
        <v>62.8452381</v>
      </c>
      <c r="Q35" s="51">
        <f t="shared" si="167"/>
        <v>37.12365591</v>
      </c>
      <c r="R35" s="9">
        <f>IFERROR(__xludf.DUMMYFUNCTION("IFERROR(
  VLOOKUP(
    A35,
    IMPORTRANGE(
      ""1ZHMy3vVUd_0MrSduXTe1etBb1HNpAlGwQr006ljwMiM"",
      ""GSC最新!A:R""
    ),
    8,
    FALSE
  ),
  0
)
"),0.0077666224663762076)</f>
        <v>0.007766622466</v>
      </c>
      <c r="S35" s="9">
        <f>IFERROR(__xludf.DUMMYFUNCTION("IFERROR(
  VLOOKUP(
    A35,
    IMPORTRANGE(
      ""1ZHMy3vVUd_0MrSduXTe1etBb1HNpAlGwQr006ljwMiM"",
      ""GSC最新!A:R""
    ),
    11,
    FALSE
  ),
  0
)
"),0.008689355539464157)</f>
        <v>0.008689355539</v>
      </c>
      <c r="T35" s="9">
        <f>IFERROR(__xludf.DUMMYFUNCTION("IFERROR(
  VLOOKUP(
    A35,
    IMPORTRANGE(
      ""1ZHMy3vVUd_0MrSduXTe1etBb1HNpAlGwQr006ljwMiM"",
      ""GSC最新!A:R""
    ),
    14,
    FALSE
  ),
  0
)
"),0.05952380952380952)</f>
        <v>0.05952380952</v>
      </c>
      <c r="U35" s="9">
        <f>IFERROR(__xludf.DUMMYFUNCTION("IFERROR(
  VLOOKUP(
    A35,
    IMPORTRANGE(
      ""1ZHMy3vVUd_0MrSduXTe1etBb1HNpAlGwQr006ljwMiM"",
      ""GSC最新!A:R""
    ),
    17,
    FALSE
  ),
  0
)
"),0.043010752688172046)</f>
        <v>0.04301075269</v>
      </c>
      <c r="V35" s="9">
        <f t="shared" ref="V35:W35" si="168">IFERROR(R35-T35,"-")</f>
        <v>-0.05175718706</v>
      </c>
      <c r="W35" s="9">
        <f t="shared" si="168"/>
        <v>-0.03432139715</v>
      </c>
      <c r="X35" s="65">
        <f>IFERROR(__xludf.DUMMYFUNCTION("IFERROR(
  VLOOKUP(
    A35,
    IMPORTRANGE(
      ""1ZHMy3vVUd_0MrSduXTe1etBb1HNpAlGwQr006ljwMiM"",
      ""GSC最新!A:R""
    ),
    9,
    FALSE
  ),
  0
)
"),5.444781208562228)</f>
        <v>5.444781209</v>
      </c>
      <c r="Y35" s="65">
        <f>IFERROR(__xludf.DUMMYFUNCTION("IFERROR(
  VLOOKUP(
    A35,
    IMPORTRANGE(
      ""1ZHMy3vVUd_0MrSduXTe1etBb1HNpAlGwQr006ljwMiM"",
      ""GSC最新!A:R""
    ),
    12,
    FALSE
  ),
  0
)
"),5.6480811006517015)</f>
        <v>5.648081101</v>
      </c>
      <c r="Z35" s="65">
        <f>IFERROR(__xludf.DUMMYFUNCTION("IFERROR(
  VLOOKUP(
    A35,
    IMPORTRANGE(
      ""1ZHMy3vVUd_0MrSduXTe1etBb1HNpAlGwQr006ljwMiM"",
      ""GSC最新!A:R""
    ),
    15,
    FALSE
  ),
  0
)
"),12.107142857142858)</f>
        <v>12.10714286</v>
      </c>
      <c r="AA35" s="65">
        <f>IFERROR(__xludf.DUMMYFUNCTION("IFERROR(
  VLOOKUP(
    A35,
    IMPORTRANGE(
      ""1ZHMy3vVUd_0MrSduXTe1etBb1HNpAlGwQr006ljwMiM"",
      ""GSC最新!A:R""
    ),
    18,
    FALSE
  ),
  0
)
"),15.32258064516129)</f>
        <v>15.32258065</v>
      </c>
      <c r="AB35" s="65">
        <f t="shared" ref="AB35:AC35" si="169">X35-Z35</f>
        <v>-6.662361649</v>
      </c>
      <c r="AC35" s="65">
        <f t="shared" si="169"/>
        <v>-9.674499545</v>
      </c>
      <c r="AD35" s="53">
        <f>IFERROR(__xludf.DUMMYFUNCTION("IFERROR(
  VLOOKUP(
    A35,
    IMPORTRANGE(
      ""1ZHMy3vVUd_0MrSduXTe1etBb1HNpAlGwQr006ljwMiM"",
      ""GSC最新!A:F""
    ),
    6,
    FALSE
  ),
  0
)
"),46081.0)</f>
        <v>46081</v>
      </c>
      <c r="AE35" s="54">
        <f>IFERROR(__xludf.DUMMYFUNCTION("IFERROR(
  VLOOKUP(
    A35,
    IMPORTRANGE(
      ""1SCYQd7_cobOYqT0r_F0IqD4tE4rYn5y8Eup4PJTH8es"",
      ""Snapshot!A:M""
    ),
    5,
    FALSE
  ),
  ""-""
)
"),10.0)</f>
        <v>10</v>
      </c>
      <c r="AF35" s="54">
        <f>IFERROR(__xludf.DUMMYFUNCTION("IFERROR(
  VLOOKUP(
    A35,
    IMPORTRANGE(
      ""1SCYQd7_cobOYqT0r_F0IqD4tE4rYn5y8Eup4PJTH8es"",
      ""Snapshot!A:M""
    ),
    6,
    FALSE
  ),
  0
)
"),7.0)</f>
        <v>7</v>
      </c>
      <c r="AG35" s="54">
        <f>IFERROR(__xludf.DUMMYFUNCTION("IFERROR(
  VLOOKUP(
    A35,
    IMPORTRANGE(
      ""1SCYQd7_cobOYqT0r_F0IqD4tE4rYn5y8Eup4PJTH8es"",
      ""Snapshot!A:M""
    ),
    7,
    FALSE
  ),
  0
)
"),4151.0)</f>
        <v>4151</v>
      </c>
      <c r="AH35" s="54">
        <f>IFERROR(__xludf.DUMMYFUNCTION("IFERROR(
  VLOOKUP(
    A35,
    IMPORTRANGE(
      ""1SCYQd7_cobOYqT0r_F0IqD4tE4rYn5y8Eup4PJTH8es"",
      ""Snapshot!A:M""
    ),
    8,
    FALSE
  ),
  0
)
"),2.0)</f>
        <v>2</v>
      </c>
      <c r="AI35" s="54">
        <f>IFERROR(__xludf.DUMMYFUNCTION("IFERROR(
  VLOOKUP(
    A35,
    IMPORTRANGE(
      ""1SCYQd7_cobOYqT0r_F0IqD4tE4rYn5y8Eup4PJTH8es"",
      ""Snapshot!A:M""
    ),
    9,
    FALSE
  ),
  0
)
"),2.0)</f>
        <v>2</v>
      </c>
      <c r="AJ35" s="54">
        <f>IFERROR(__xludf.DUMMYFUNCTION("IFERROR(
  VLOOKUP(
    A35,
    IMPORTRANGE(
      ""1SCYQd7_cobOYqT0r_F0IqD4tE4rYn5y8Eup4PJTH8es"",
      ""Snapshot!A:M""
    ),
    13,
    FALSE
  ),
  0
)
"),2.0)</f>
        <v>2</v>
      </c>
      <c r="AK35" s="49">
        <f t="shared" ref="AK35:AL35" si="170">LEN(C35)</f>
        <v>44</v>
      </c>
      <c r="AL35" s="49">
        <f t="shared" si="170"/>
        <v>109</v>
      </c>
    </row>
    <row r="36">
      <c r="A36" s="3" t="s">
        <v>1259</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"),"水中から空気中に向かう光の進み方｜屈折は空気側へ｜中学理科")</f>
        <v>水中から空気中に向かう光の進み方｜屈折は空気側へ｜中学理科</v>
      </c>
      <c r="D36" s="1" t="str">
        <f>IFERROR(__xludf.DUMMYFUNCTION("IFERROR(
  VLOOKUP(
    A36,
    IMPORTRANGE(
      ""1ZygntHC1J6IxzKbTidmOyf5nUyW4GCLurHCjexrLm_o        "",
      ""HTMLキャッシュ!A:F""
    ),
    6,
    FALSE
  ),
  0
)
"),"水中から空気中に向かう光の進み方を、空気中は速い・水中は遅いのイメージで理解。空気→水／水→空気の曲がる向き、反射・屈折をまとめ表とクイズで定着。")</f>
        <v>水中から空気中に向かう光の進み方を、空気中は速い・水中は遅いのイメージで理解。空気→水／水→空気の曲がる向き、反射・屈折をまとめ表とクイズで定着。</v>
      </c>
      <c r="E36" s="32">
        <f>IFERROR(__xludf.DUMMYFUNCTION("IFERROR(
  VLOOKUP(
    A36,
    IMPORTRANGE(
      ""1ZygntHC1J6IxzKbTidmOyf5nUyW4GCLurHCjexrLm_o        "",
      ""HTMLキャッシュ!A:F""
    ),
    3,
    FALSE
  ),
  0
)
"),46078.99434027778)</f>
        <v>46078.99434</v>
      </c>
      <c r="F36" s="49">
        <f>IFERROR(__xludf.DUMMYFUNCTION("IFERROR(
  VLOOKUP(
    A36,
    IMPORTRANGE(
      ""1ZHMy3vVUd_0MrSduXTe1etBb1HNpAlGwQr006ljwMiM"",
      ""GSC最新!A:F""
    ),
    2,
    FALSE
  ),
  0
)
"),10.0)</f>
        <v>10</v>
      </c>
      <c r="G36" s="49">
        <f>IFERROR(__xludf.DUMMYFUNCTION("IFERROR(
  VLOOKUP(
    A36,
    IMPORTRANGE(
      ""1ZHMy3vVUd_0MrSduXTe1etBb1HNpAlGwQr006ljwMiM"",
      ""GSC最新!A:F""
    ),
    3,
    FALSE
  ),
  0
)
"),47.0)</f>
        <v>47</v>
      </c>
      <c r="H36" s="49">
        <f>IFERROR(__xludf.DUMMYFUNCTION("IFERROR(
  VLOOKUP(
    A36,
    IMPORTRANGE(
      ""1ZHMy3vVUd_0MrSduXTe1etBb1HNpAlGwQr006ljwMiM"",
      ""GSC最新!A:F""
    ),
    4,
    FALSE
  ),
  0
)
"),2.0)</f>
        <v>2</v>
      </c>
      <c r="I36" s="49">
        <f>IFERROR(__xludf.DUMMYFUNCTION("IFERROR(
  VLOOKUP(
    A36,
    IMPORTRANGE(
      ""1ZHMy3vVUd_0MrSduXTe1etBb1HNpAlGwQr006ljwMiM"",
      ""GSC最新!A:F""
    ),
    5,
    FALSE
  ),
  0
)
"),10.0)</f>
        <v>10</v>
      </c>
      <c r="J36" s="50">
        <f t="shared" ref="J36:K36" si="171">IFERROR(F36/H36,"-")</f>
        <v>5</v>
      </c>
      <c r="K36" s="50">
        <f t="shared" si="171"/>
        <v>4.7</v>
      </c>
      <c r="L36" s="6">
        <f>IFERROR(__xludf.DUMMYFUNCTION("IFERROR(
  VLOOKUP(
    A36,
    IMPORTRANGE(
      ""1ZHMy3vVUd_0MrSduXTe1etBb1HNpAlGwQr006ljwMiM"",
      ""GSC最新!A:R""
    ),
    7,
    FALSE
  ),
  0
)
"),2557.0)</f>
        <v>2557</v>
      </c>
      <c r="M36" s="6">
        <f>IFERROR(__xludf.DUMMYFUNCTION("IFERROR(
  VLOOKUP(
    A36,
    IMPORTRANGE(
      ""1ZHMy3vVUd_0MrSduXTe1etBb1HNpAlGwQr006ljwMiM"",
      ""GSC最新!A:R""
    ),
    10,
    FALSE
  ),
  0
)
"),9292.0)</f>
        <v>9292</v>
      </c>
      <c r="N36" s="6">
        <f>IFERROR(__xludf.DUMMYFUNCTION("IFERROR(
  VLOOKUP(
    A36,
    IMPORTRANGE(
      ""1ZHMy3vVUd_0MrSduXTe1etBb1HNpAlGwQr006ljwMiM"",
      ""GSC最新!A:R""
    ),
    13,
    FALSE
  ),
  0
)
"),543.0)</f>
        <v>543</v>
      </c>
      <c r="O36" s="6">
        <f>IFERROR(__xludf.DUMMYFUNCTION("IFERROR(
  VLOOKUP(
    A36,
    IMPORTRANGE(
      ""1ZHMy3vVUd_0MrSduXTe1etBb1HNpAlGwQr006ljwMiM"",
      ""GSC最新!A:R""
    ),
    16,
    FALSE
  ),
  0
)
"),1050.0)</f>
        <v>1050</v>
      </c>
      <c r="P36" s="51">
        <f t="shared" ref="P36:Q36" si="172">IFERROR(L36/N36,"-")</f>
        <v>4.709023941</v>
      </c>
      <c r="Q36" s="51">
        <f t="shared" si="172"/>
        <v>8.84952381</v>
      </c>
      <c r="R36" s="9">
        <f>IFERROR(__xludf.DUMMYFUNCTION("IFERROR(
  VLOOKUP(
    A36,
    IMPORTRANGE(
      ""1ZHMy3vVUd_0MrSduXTe1etBb1HNpAlGwQr006ljwMiM"",
      ""GSC最新!A:R""
    ),
    8,
    FALSE
  ),
  0
)
"),0.003910833007430583)</f>
        <v>0.003910833007</v>
      </c>
      <c r="S36" s="9">
        <f>IFERROR(__xludf.DUMMYFUNCTION("IFERROR(
  VLOOKUP(
    A36,
    IMPORTRANGE(
      ""1ZHMy3vVUd_0MrSduXTe1etBb1HNpAlGwQr006ljwMiM"",
      ""GSC最新!A:R""
    ),
    11,
    FALSE
  ),
  0
)
"),0.005058114507102884)</f>
        <v>0.005058114507</v>
      </c>
      <c r="T36" s="9">
        <f>IFERROR(__xludf.DUMMYFUNCTION("IFERROR(
  VLOOKUP(
    A36,
    IMPORTRANGE(
      ""1ZHMy3vVUd_0MrSduXTe1etBb1HNpAlGwQr006ljwMiM"",
      ""GSC最新!A:R""
    ),
    14,
    FALSE
  ),
  0
)
"),0.003683241252302026)</f>
        <v>0.003683241252</v>
      </c>
      <c r="U36" s="9">
        <f>IFERROR(__xludf.DUMMYFUNCTION("IFERROR(
  VLOOKUP(
    A36,
    IMPORTRANGE(
      ""1ZHMy3vVUd_0MrSduXTe1etBb1HNpAlGwQr006ljwMiM"",
      ""GSC最新!A:R""
    ),
    17,
    FALSE
  ),
  0
)
"),0.009523809523809525)</f>
        <v>0.009523809524</v>
      </c>
      <c r="V36" s="9">
        <f t="shared" ref="V36:W36" si="173">IFERROR(R36-T36,"-")</f>
        <v>0.0002275917551</v>
      </c>
      <c r="W36" s="9">
        <f t="shared" si="173"/>
        <v>-0.004465695017</v>
      </c>
      <c r="X36" s="65">
        <f>IFERROR(__xludf.DUMMYFUNCTION("IFERROR(
  VLOOKUP(
    A36,
    IMPORTRANGE(
      ""1ZHMy3vVUd_0MrSduXTe1etBb1HNpAlGwQr006ljwMiM"",
      ""GSC最新!A:R""
    ),
    9,
    FALSE
  ),
  0
)
"),4.472428627297615)</f>
        <v>4.472428627</v>
      </c>
      <c r="Y36" s="65">
        <f>IFERROR(__xludf.DUMMYFUNCTION("IFERROR(
  VLOOKUP(
    A36,
    IMPORTRANGE(
      ""1ZHMy3vVUd_0MrSduXTe1etBb1HNpAlGwQr006ljwMiM"",
      ""GSC最新!A:R""
    ),
    12,
    FALSE
  ),
  0
)
"),4.7996125699526475)</f>
        <v>4.79961257</v>
      </c>
      <c r="Z36" s="65">
        <f>IFERROR(__xludf.DUMMYFUNCTION("IFERROR(
  VLOOKUP(
    A36,
    IMPORTRANGE(
      ""1ZHMy3vVUd_0MrSduXTe1etBb1HNpAlGwQr006ljwMiM"",
      ""GSC最新!A:R""
    ),
    15,
    FALSE
  ),
  0
)
"),14.478821362799263)</f>
        <v>14.47882136</v>
      </c>
      <c r="AA36" s="65">
        <f>IFERROR(__xludf.DUMMYFUNCTION("IFERROR(
  VLOOKUP(
    A36,
    IMPORTRANGE(
      ""1ZHMy3vVUd_0MrSduXTe1etBb1HNpAlGwQr006ljwMiM"",
      ""GSC最新!A:R""
    ),
    18,
    FALSE
  ),
  0
)
"),13.792380952380952)</f>
        <v>13.79238095</v>
      </c>
      <c r="AB36" s="65">
        <f t="shared" ref="AB36:AC36" si="174">X36-Z36</f>
        <v>-10.00639274</v>
      </c>
      <c r="AC36" s="65">
        <f t="shared" si="174"/>
        <v>-8.992768382</v>
      </c>
      <c r="AD36" s="53">
        <f>IFERROR(__xludf.DUMMYFUNCTION("IFERROR(
  VLOOKUP(
    A36,
    IMPORTRANGE(
      ""1ZHMy3vVUd_0MrSduXTe1etBb1HNpAlGwQr006ljwMiM"",
      ""GSC最新!A:F""
    ),
    6,
    FALSE
  ),
  0
)
"),46081.0)</f>
        <v>46081</v>
      </c>
      <c r="AE36" s="54">
        <f>IFERROR(__xludf.DUMMYFUNCTION("IFERROR(
  VLOOKUP(
    A36,
    IMPORTRANGE(
      ""1SCYQd7_cobOYqT0r_F0IqD4tE4rYn5y8Eup4PJTH8es"",
      ""Snapshot!A:M""
    ),
    5,
    FALSE
  ),
  ""-""
)
"),7.0)</f>
        <v>7</v>
      </c>
      <c r="AF36" s="54">
        <f>IFERROR(__xludf.DUMMYFUNCTION("IFERROR(
  VLOOKUP(
    A36,
    IMPORTRANGE(
      ""1SCYQd7_cobOYqT0r_F0IqD4tE4rYn5y8Eup4PJTH8es"",
      ""Snapshot!A:M""
    ),
    6,
    FALSE
  ),
  0
)
"),0.0)</f>
        <v>0</v>
      </c>
      <c r="AG36" s="54">
        <f>IFERROR(__xludf.DUMMYFUNCTION("IFERROR(
  VLOOKUP(
    A36,
    IMPORTRANGE(
      ""1SCYQd7_cobOYqT0r_F0IqD4tE4rYn5y8Eup4PJTH8es"",
      ""Snapshot!A:M""
    ),
    7,
    FALSE
  ),
  0
)
"),2289.0)</f>
        <v>2289</v>
      </c>
      <c r="AH36" s="54">
        <f>IFERROR(__xludf.DUMMYFUNCTION("IFERROR(
  VLOOKUP(
    A36,
    IMPORTRANGE(
      ""1SCYQd7_cobOYqT0r_F0IqD4tE4rYn5y8Eup4PJTH8es"",
      ""Snapshot!A:M""
    ),
    8,
    FALSE
  ),
  0
)
"),2.0)</f>
        <v>2</v>
      </c>
      <c r="AI36" s="54">
        <f>IFERROR(__xludf.DUMMYFUNCTION("IFERROR(
  VLOOKUP(
    A36,
    IMPORTRANGE(
      ""1SCYQd7_cobOYqT0r_F0IqD4tE4rYn5y8Eup4PJTH8es"",
      ""Snapshot!A:M""
    ),
    9,
    FALSE
  ),
  0
)
"),2.0)</f>
        <v>2</v>
      </c>
      <c r="AJ36" s="54">
        <f>IFERROR(__xludf.DUMMYFUNCTION("IFERROR(
  VLOOKUP(
    A36,
    IMPORTRANGE(
      ""1SCYQd7_cobOYqT0r_F0IqD4tE4rYn5y8Eup4PJTH8es"",
      ""Snapshot!A:M""
    ),
    13,
    FALSE
  ),
  0
)
"),2.0)</f>
        <v>2</v>
      </c>
      <c r="AK36" s="49">
        <f t="shared" ref="AK36:AL36" si="175">LEN(C36)</f>
        <v>29</v>
      </c>
      <c r="AL36" s="49">
        <f t="shared" si="175"/>
        <v>73</v>
      </c>
    </row>
    <row r="37">
      <c r="A37" s="3" t="s">
        <v>1260</v>
      </c>
      <c r="B37" s="1" t="str">
        <f>IFERROR(__xludf.DUMMYFUNCTION("IFERROR(
  VLOOKUP(
    A37,
    IMPORTRANGE(
      ""1ZygntHC1J6IxzKbTidmOyf5nUyW4GCLurHCjexrLm_o"",
      ""HTMLキャッシュ!A:F""
    ),
    2,
    FALSE
  ),
  0
)
"),"MC")</f>
        <v>MC</v>
      </c>
      <c r="C37" s="1" t="str">
        <f>IFERROR(__xludf.DUMMYFUNCTION("IFERROR(
  VLOOKUP(
    A37,
    IMPORTRANGE(
      ""1ZygntHC1J6IxzKbTidmOyf5nUyW4GCLurHCjexrLm_o"",
      ""HTMLキャッシュ!A:F""
    ),
    5,
    FALSE
  ),
  0
)
"),"【理科のコツ】水溶液のこさ - 中学受験 理科の個別指導 | 受験理科専門塾「しゅん吉クエスト」")</f>
        <v>【理科のコツ】水溶液のこさ - 中学受験 理科の個別指導 | 受験理科専門塾「しゅん吉クエスト」</v>
      </c>
      <c r="D37" s="1" t="str">
        <f>IFERROR(__xludf.DUMMYFUNCTION("IFERROR(
  VLOOKUP(
    A37,
    IMPORTRANGE(
      ""1ZygntHC1J6IxzKbTidmOyf5nUyW4GCLurHCjexrLm_o        "",
      ""HTMLキャッシュ!A:F""
    ),
    6,
    FALSE
  ),
  0
)
"),"水溶液のこさや質量パーセント濃度について、溶質、溶媒、溶液の基本的な違いを解説。簡単な計算方法を使って、どのようにこさを求めるかを理解できます。実際の問題を通して理科の基本をしっかり学び、暗記のコツも紹介。理解を深めるために、練習問題をたくさん解いて自信をつけましょう。")</f>
        <v>水溶液のこさや質量パーセント濃度について、溶質、溶媒、溶液の基本的な違いを解説。簡単な計算方法を使って、どのようにこさを求めるかを理解できます。実際の問題を通して理科の基本をしっかり学び、暗記のコツも紹介。理解を深めるために、練習問題をたくさん解いて自信をつけましょう。</v>
      </c>
      <c r="E37" s="32">
        <f>IFERROR(__xludf.DUMMYFUNCTION("IFERROR(
  VLOOKUP(
    A37,
    IMPORTRANGE(
      ""1ZygntHC1J6IxzKbTidmOyf5nUyW4GCLurHCjexrLm_o        "",
      ""HTMLキャッシュ!A:F""
    ),
    3,
    FALSE
  ),
  0
)
"),46035.16195601852)</f>
        <v>46035.16196</v>
      </c>
      <c r="F37" s="49">
        <f>IFERROR(__xludf.DUMMYFUNCTION("IFERROR(
  VLOOKUP(
    A37,
    IMPORTRANGE(
      ""1ZHMy3vVUd_0MrSduXTe1etBb1HNpAlGwQr006ljwMiM"",
      ""GSC最新!A:F""
    ),
    2,
    FALSE
  ),
  0
)
"),14.0)</f>
        <v>14</v>
      </c>
      <c r="G37" s="49">
        <f>IFERROR(__xludf.DUMMYFUNCTION("IFERROR(
  VLOOKUP(
    A37,
    IMPORTRANGE(
      ""1ZHMy3vVUd_0MrSduXTe1etBb1HNpAlGwQr006ljwMiM"",
      ""GSC最新!A:F""
    ),
    3,
    FALSE
  ),
  0
)
"),41.0)</f>
        <v>41</v>
      </c>
      <c r="H37" s="49">
        <f>IFERROR(__xludf.DUMMYFUNCTION("IFERROR(
  VLOOKUP(
    A37,
    IMPORTRANGE(
      ""1ZHMy3vVUd_0MrSduXTe1etBb1HNpAlGwQr006ljwMiM"",
      ""GSC最新!A:F""
    ),
    4,
    FALSE
  ),
  0
)
"),8.0)</f>
        <v>8</v>
      </c>
      <c r="I37" s="49">
        <f>IFERROR(__xludf.DUMMYFUNCTION("IFERROR(
  VLOOKUP(
    A37,
    IMPORTRANGE(
      ""1ZHMy3vVUd_0MrSduXTe1etBb1HNpAlGwQr006ljwMiM"",
      ""GSC最新!A:F""
    ),
    5,
    FALSE
  ),
  0
)
"),19.0)</f>
        <v>19</v>
      </c>
      <c r="J37" s="50">
        <f t="shared" ref="J37:K37" si="176">IFERROR(F37/H37,"-")</f>
        <v>1.75</v>
      </c>
      <c r="K37" s="50">
        <f t="shared" si="176"/>
        <v>2.157894737</v>
      </c>
      <c r="L37" s="6">
        <f>IFERROR(__xludf.DUMMYFUNCTION("IFERROR(
  VLOOKUP(
    A37,
    IMPORTRANGE(
      ""1ZHMy3vVUd_0MrSduXTe1etBb1HNpAlGwQr006ljwMiM"",
      ""GSC最新!A:R""
    ),
    7,
    FALSE
  ),
  0
)
"),8161.0)</f>
        <v>8161</v>
      </c>
      <c r="M37" s="6">
        <f>IFERROR(__xludf.DUMMYFUNCTION("IFERROR(
  VLOOKUP(
    A37,
    IMPORTRANGE(
      ""1ZHMy3vVUd_0MrSduXTe1etBb1HNpAlGwQr006ljwMiM"",
      ""GSC最新!A:R""
    ),
    10,
    FALSE
  ),
  0
)
"),21204.0)</f>
        <v>21204</v>
      </c>
      <c r="N37" s="6">
        <f>IFERROR(__xludf.DUMMYFUNCTION("IFERROR(
  VLOOKUP(
    A37,
    IMPORTRANGE(
      ""1ZHMy3vVUd_0MrSduXTe1etBb1HNpAlGwQr006ljwMiM"",
      ""GSC最新!A:R""
    ),
    13,
    FALSE
  ),
  0
)
"),1317.0)</f>
        <v>1317</v>
      </c>
      <c r="O37" s="6">
        <f>IFERROR(__xludf.DUMMYFUNCTION("IFERROR(
  VLOOKUP(
    A37,
    IMPORTRANGE(
      ""1ZHMy3vVUd_0MrSduXTe1etBb1HNpAlGwQr006ljwMiM"",
      ""GSC最新!A:R""
    ),
    16,
    FALSE
  ),
  0
)
"),2249.0)</f>
        <v>2249</v>
      </c>
      <c r="P37" s="51">
        <f t="shared" ref="P37:Q37" si="177">IFERROR(L37/N37,"-")</f>
        <v>6.196659074</v>
      </c>
      <c r="Q37" s="51">
        <f t="shared" si="177"/>
        <v>9.428190307</v>
      </c>
      <c r="R37" s="9">
        <f>IFERROR(__xludf.DUMMYFUNCTION("IFERROR(
  VLOOKUP(
    A37,
    IMPORTRANGE(
      ""1ZHMy3vVUd_0MrSduXTe1etBb1HNpAlGwQr006ljwMiM"",
      ""GSC最新!A:R""
    ),
    8,
    FALSE
  ),
  0
)
"),0.0017154760446023772)</f>
        <v>0.001715476045</v>
      </c>
      <c r="S37" s="9">
        <f>IFERROR(__xludf.DUMMYFUNCTION("IFERROR(
  VLOOKUP(
    A37,
    IMPORTRANGE(
      ""1ZHMy3vVUd_0MrSduXTe1etBb1HNpAlGwQr006ljwMiM"",
      ""GSC最新!A:R""
    ),
    11,
    FALSE
  ),
  0
)
"),0.001933597434446331)</f>
        <v>0.001933597434</v>
      </c>
      <c r="T37" s="9">
        <f>IFERROR(__xludf.DUMMYFUNCTION("IFERROR(
  VLOOKUP(
    A37,
    IMPORTRANGE(
      ""1ZHMy3vVUd_0MrSduXTe1etBb1HNpAlGwQr006ljwMiM"",
      ""GSC最新!A:R""
    ),
    14,
    FALSE
  ),
  0
)
"),0.006074411541381929)</f>
        <v>0.006074411541</v>
      </c>
      <c r="U37" s="9">
        <f>IFERROR(__xludf.DUMMYFUNCTION("IFERROR(
  VLOOKUP(
    A37,
    IMPORTRANGE(
      ""1ZHMy3vVUd_0MrSduXTe1etBb1HNpAlGwQr006ljwMiM"",
      ""GSC最新!A:R""
    ),
    17,
    FALSE
  ),
  0
)
"),0.008448199199644287)</f>
        <v>0.0084481992</v>
      </c>
      <c r="V37" s="9">
        <f t="shared" ref="V37:W37" si="178">IFERROR(R37-T37,"-")</f>
        <v>-0.004358935497</v>
      </c>
      <c r="W37" s="9">
        <f t="shared" si="178"/>
        <v>-0.006514601765</v>
      </c>
      <c r="X37" s="65">
        <f>IFERROR(__xludf.DUMMYFUNCTION("IFERROR(
  VLOOKUP(
    A37,
    IMPORTRANGE(
      ""1ZHMy3vVUd_0MrSduXTe1etBb1HNpAlGwQr006ljwMiM"",
      ""GSC最新!A:R""
    ),
    9,
    FALSE
  ),
  0
)
"),2.9837029775762773)</f>
        <v>2.983702978</v>
      </c>
      <c r="Y37" s="65">
        <f>IFERROR(__xludf.DUMMYFUNCTION("IFERROR(
  VLOOKUP(
    A37,
    IMPORTRANGE(
      ""1ZHMy3vVUd_0MrSduXTe1etBb1HNpAlGwQr006ljwMiM"",
      ""GSC最新!A:R""
    ),
    12,
    FALSE
  ),
  0
)
"),3.212931522354273)</f>
        <v>3.212931522</v>
      </c>
      <c r="Z37" s="65">
        <f>IFERROR(__xludf.DUMMYFUNCTION("IFERROR(
  VLOOKUP(
    A37,
    IMPORTRANGE(
      ""1ZHMy3vVUd_0MrSduXTe1etBb1HNpAlGwQr006ljwMiM"",
      ""GSC最新!A:R""
    ),
    15,
    FALSE
  ),
  0
)
"),3.4973424449506454)</f>
        <v>3.497342445</v>
      </c>
      <c r="AA37" s="65">
        <f>IFERROR(__xludf.DUMMYFUNCTION("IFERROR(
  VLOOKUP(
    A37,
    IMPORTRANGE(
      ""1ZHMy3vVUd_0MrSduXTe1etBb1HNpAlGwQr006ljwMiM"",
      ""GSC最新!A:R""
    ),
    18,
    FALSE
  ),
  0
)
"),6.6598488216985325)</f>
        <v>6.659848822</v>
      </c>
      <c r="AB37" s="65">
        <f t="shared" ref="AB37:AC37" si="179">X37-Z37</f>
        <v>-0.5136394674</v>
      </c>
      <c r="AC37" s="65">
        <f t="shared" si="179"/>
        <v>-3.446917299</v>
      </c>
      <c r="AD37" s="53">
        <f>IFERROR(__xludf.DUMMYFUNCTION("IFERROR(
  VLOOKUP(
    A37,
    IMPORTRANGE(
      ""1ZHMy3vVUd_0MrSduXTe1etBb1HNpAlGwQr006ljwMiM"",
      ""GSC最新!A:F""
    ),
    6,
    FALSE
  ),
  0
)
"),46081.0)</f>
        <v>46081</v>
      </c>
      <c r="AE37" s="54">
        <f>IFERROR(__xludf.DUMMYFUNCTION("IFERROR(
  VLOOKUP(
    A37,
    IMPORTRANGE(
      ""1SCYQd7_cobOYqT0r_F0IqD4tE4rYn5y8Eup4PJTH8es"",
      ""Snapshot!A:M""
    ),
    5,
    FALSE
  ),
  ""-""
)
"),10.0)</f>
        <v>10</v>
      </c>
      <c r="AF37" s="54">
        <f>IFERROR(__xludf.DUMMYFUNCTION("IFERROR(
  VLOOKUP(
    A37,
    IMPORTRANGE(
      ""1SCYQd7_cobOYqT0r_F0IqD4tE4rYn5y8Eup4PJTH8es"",
      ""Snapshot!A:M""
    ),
    6,
    FALSE
  ),
  0
)
"),4.0)</f>
        <v>4</v>
      </c>
      <c r="AG37" s="54">
        <f>IFERROR(__xludf.DUMMYFUNCTION("IFERROR(
  VLOOKUP(
    A37,
    IMPORTRANGE(
      ""1SCYQd7_cobOYqT0r_F0IqD4tE4rYn5y8Eup4PJTH8es"",
      ""Snapshot!A:M""
    ),
    7,
    FALSE
  ),
  0
)
"),3797.0)</f>
        <v>3797</v>
      </c>
      <c r="AH37" s="54">
        <f>IFERROR(__xludf.DUMMYFUNCTION("IFERROR(
  VLOOKUP(
    A37,
    IMPORTRANGE(
      ""1SCYQd7_cobOYqT0r_F0IqD4tE4rYn5y8Eup4PJTH8es"",
      ""Snapshot!A:M""
    ),
    8,
    FALSE
  ),
  0
)
"),2.0)</f>
        <v>2</v>
      </c>
      <c r="AI37" s="54">
        <f>IFERROR(__xludf.DUMMYFUNCTION("IFERROR(
  VLOOKUP(
    A37,
    IMPORTRANGE(
      ""1SCYQd7_cobOYqT0r_F0IqD4tE4rYn5y8Eup4PJTH8es"",
      ""Snapshot!A:M""
    ),
    9,
    FALSE
  ),
  0
)
"),2.0)</f>
        <v>2</v>
      </c>
      <c r="AJ37" s="54">
        <f>IFERROR(__xludf.DUMMYFUNCTION("IFERROR(
  VLOOKUP(
    A37,
    IMPORTRANGE(
      ""1SCYQd7_cobOYqT0r_F0IqD4tE4rYn5y8Eup4PJTH8es"",
      ""Snapshot!A:M""
    ),
    13,
    FALSE
  ),
  0
)
"),2.0)</f>
        <v>2</v>
      </c>
      <c r="AK37" s="49">
        <f t="shared" ref="AK37:AL37" si="180">LEN(C37)</f>
        <v>48</v>
      </c>
      <c r="AL37" s="49">
        <f t="shared" si="180"/>
        <v>135</v>
      </c>
    </row>
    <row r="38">
      <c r="A38" s="3" t="s">
        <v>1261</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"),"【理科のコツ】光合成 - 中学受験 理科の個別指導 | 受験理科専門塾「しゅん吉クエスト」")</f>
        <v>【理科のコツ】光合成 - 中学受験 理科の個別指導 | 受験理科専門塾「しゅん吉クエスト」</v>
      </c>
      <c r="D38" s="1" t="str">
        <f>IFERROR(__xludf.DUMMYFUNCTION("IFERROR(
  VLOOKUP(
    A38,
    IMPORTRANGE(
      ""1ZygntHC1J6IxzKbTidmOyf5nUyW4GCLurHCjexrLm_o        "",
      ""HTMLキャッシュ!A:F""
    ),
    6,
    FALSE
  ),
  0
)
"),"小学生理科／植物と光合成 テーマ：光合成・葉緑体・維管束 光合成のしくみを完全整理｜「二酸化炭素を吸って酸素を")</f>
        <v>小学生理科／植物と光合成 テーマ：光合成・葉緑体・維管束 光合成のしくみを完全整理｜「二酸化炭素を吸って酸素を</v>
      </c>
      <c r="E38" s="32">
        <f>IFERROR(__xludf.DUMMYFUNCTION("IFERROR(
  VLOOKUP(
    A38,
    IMPORTRANGE(
      ""1ZygntHC1J6IxzKbTidmOyf5nUyW4GCLurHCjexrLm_o        "",
      ""HTMLキャッシュ!A:F""
    ),
    3,
    FALSE
  ),
  0
)
"),46035.16789351852)</f>
        <v>46035.16789</v>
      </c>
      <c r="F38" s="49">
        <f>IFERROR(__xludf.DUMMYFUNCTION("IFERROR(
  VLOOKUP(
    A38,
    IMPORTRANGE(
      ""1ZHMy3vVUd_0MrSduXTe1etBb1HNpAlGwQr006ljwMiM"",
      ""GSC最新!A:F""
    ),
    2,
    FALSE
  ),
  0
)
"),8.0)</f>
        <v>8</v>
      </c>
      <c r="G38" s="49">
        <f>IFERROR(__xludf.DUMMYFUNCTION("IFERROR(
  VLOOKUP(
    A38,
    IMPORTRANGE(
      ""1ZHMy3vVUd_0MrSduXTe1etBb1HNpAlGwQr006ljwMiM"",
      ""GSC最新!A:F""
    ),
    3,
    FALSE
  ),
  0
)
"),37.0)</f>
        <v>37</v>
      </c>
      <c r="H38" s="49">
        <f>IFERROR(__xludf.DUMMYFUNCTION("IFERROR(
  VLOOKUP(
    A38,
    IMPORTRANGE(
      ""1ZHMy3vVUd_0MrSduXTe1etBb1HNpAlGwQr006ljwMiM"",
      ""GSC最新!A:F""
    ),
    4,
    FALSE
  ),
  0
)
"),3.0)</f>
        <v>3</v>
      </c>
      <c r="I38" s="49">
        <f>IFERROR(__xludf.DUMMYFUNCTION("IFERROR(
  VLOOKUP(
    A38,
    IMPORTRANGE(
      ""1ZHMy3vVUd_0MrSduXTe1etBb1HNpAlGwQr006ljwMiM"",
      ""GSC最新!A:F""
    ),
    5,
    FALSE
  ),
  0
)
"),3.0)</f>
        <v>3</v>
      </c>
      <c r="J38" s="50">
        <f t="shared" ref="J38:K38" si="181">IFERROR(F38/H38,"-")</f>
        <v>2.666666667</v>
      </c>
      <c r="K38" s="50">
        <f t="shared" si="181"/>
        <v>12.33333333</v>
      </c>
      <c r="L38" s="6">
        <f>IFERROR(__xludf.DUMMYFUNCTION("IFERROR(
  VLOOKUP(
    A38,
    IMPORTRANGE(
      ""1ZHMy3vVUd_0MrSduXTe1etBb1HNpAlGwQr006ljwMiM"",
      ""GSC最新!A:R""
    ),
    7,
    FALSE
  ),
  0
)
"),4698.0)</f>
        <v>4698</v>
      </c>
      <c r="M38" s="6">
        <f>IFERROR(__xludf.DUMMYFUNCTION("IFERROR(
  VLOOKUP(
    A38,
    IMPORTRANGE(
      ""1ZHMy3vVUd_0MrSduXTe1etBb1HNpAlGwQr006ljwMiM"",
      ""GSC最新!A:R""
    ),
    10,
    FALSE
  ),
  0
)
"),12433.0)</f>
        <v>12433</v>
      </c>
      <c r="N38" s="6">
        <f>IFERROR(__xludf.DUMMYFUNCTION("IFERROR(
  VLOOKUP(
    A38,
    IMPORTRANGE(
      ""1ZHMy3vVUd_0MrSduXTe1etBb1HNpAlGwQr006ljwMiM"",
      ""GSC最新!A:R""
    ),
    13,
    FALSE
  ),
  0
)
"),180.0)</f>
        <v>180</v>
      </c>
      <c r="O38" s="6">
        <f>IFERROR(__xludf.DUMMYFUNCTION("IFERROR(
  VLOOKUP(
    A38,
    IMPORTRANGE(
      ""1ZHMy3vVUd_0MrSduXTe1etBb1HNpAlGwQr006ljwMiM"",
      ""GSC最新!A:R""
    ),
    16,
    FALSE
  ),
  0
)
"),417.0)</f>
        <v>417</v>
      </c>
      <c r="P38" s="51">
        <f t="shared" ref="P38:Q38" si="182">IFERROR(L38/N38,"-")</f>
        <v>26.1</v>
      </c>
      <c r="Q38" s="51">
        <f t="shared" si="182"/>
        <v>29.81534772</v>
      </c>
      <c r="R38" s="9">
        <f>IFERROR(__xludf.DUMMYFUNCTION("IFERROR(
  VLOOKUP(
    A38,
    IMPORTRANGE(
      ""1ZHMy3vVUd_0MrSduXTe1etBb1HNpAlGwQr006ljwMiM"",
      ""GSC最新!A:R""
    ),
    8,
    FALSE
  ),
  0
)
"),0.0017028522775649213)</f>
        <v>0.001702852278</v>
      </c>
      <c r="S38" s="9">
        <f>IFERROR(__xludf.DUMMYFUNCTION("IFERROR(
  VLOOKUP(
    A38,
    IMPORTRANGE(
      ""1ZHMy3vVUd_0MrSduXTe1etBb1HNpAlGwQr006ljwMiM"",
      ""GSC最新!A:R""
    ),
    11,
    FALSE
  ),
  0
)
"),0.002975951097884662)</f>
        <v>0.002975951098</v>
      </c>
      <c r="T38" s="9">
        <f>IFERROR(__xludf.DUMMYFUNCTION("IFERROR(
  VLOOKUP(
    A38,
    IMPORTRANGE(
      ""1ZHMy3vVUd_0MrSduXTe1etBb1HNpAlGwQr006ljwMiM"",
      ""GSC最新!A:R""
    ),
    14,
    FALSE
  ),
  0
)
"),0.016666666666666666)</f>
        <v>0.01666666667</v>
      </c>
      <c r="U38" s="9">
        <f>IFERROR(__xludf.DUMMYFUNCTION("IFERROR(
  VLOOKUP(
    A38,
    IMPORTRANGE(
      ""1ZHMy3vVUd_0MrSduXTe1etBb1HNpAlGwQr006ljwMiM"",
      ""GSC最新!A:R""
    ),
    17,
    FALSE
  ),
  0
)
"),0.007194244604316547)</f>
        <v>0.007194244604</v>
      </c>
      <c r="V38" s="9">
        <f t="shared" ref="V38:W38" si="183">IFERROR(R38-T38,"-")</f>
        <v>-0.01496381439</v>
      </c>
      <c r="W38" s="9">
        <f t="shared" si="183"/>
        <v>-0.004218293506</v>
      </c>
      <c r="X38" s="65">
        <f>IFERROR(__xludf.DUMMYFUNCTION("IFERROR(
  VLOOKUP(
    A38,
    IMPORTRANGE(
      ""1ZHMy3vVUd_0MrSduXTe1etBb1HNpAlGwQr006ljwMiM"",
      ""GSC最新!A:R""
    ),
    9,
    FALSE
  ),
  0
)
"),3.5815240527884207)</f>
        <v>3.581524053</v>
      </c>
      <c r="Y38" s="65">
        <f>IFERROR(__xludf.DUMMYFUNCTION("IFERROR(
  VLOOKUP(
    A38,
    IMPORTRANGE(
      ""1ZHMy3vVUd_0MrSduXTe1etBb1HNpAlGwQr006ljwMiM"",
      ""GSC最新!A:R""
    ),
    12,
    FALSE
  ),
  0
)
"),4.028633475428295)</f>
        <v>4.028633475</v>
      </c>
      <c r="Z38" s="65">
        <f>IFERROR(__xludf.DUMMYFUNCTION("IFERROR(
  VLOOKUP(
    A38,
    IMPORTRANGE(
      ""1ZHMy3vVUd_0MrSduXTe1etBb1HNpAlGwQr006ljwMiM"",
      ""GSC最新!A:R""
    ),
    15,
    FALSE
  ),
  0
)
"),8.977777777777778)</f>
        <v>8.977777778</v>
      </c>
      <c r="AA38" s="65">
        <f>IFERROR(__xludf.DUMMYFUNCTION("IFERROR(
  VLOOKUP(
    A38,
    IMPORTRANGE(
      ""1ZHMy3vVUd_0MrSduXTe1etBb1HNpAlGwQr006ljwMiM"",
      ""GSC最新!A:R""
    ),
    18,
    FALSE
  ),
  0
)
"),9.601918465227818)</f>
        <v>9.601918465</v>
      </c>
      <c r="AB38" s="65">
        <f t="shared" ref="AB38:AC38" si="184">X38-Z38</f>
        <v>-5.396253725</v>
      </c>
      <c r="AC38" s="65">
        <f t="shared" si="184"/>
        <v>-5.57328499</v>
      </c>
      <c r="AD38" s="53">
        <f>IFERROR(__xludf.DUMMYFUNCTION("IFERROR(
  VLOOKUP(
    A38,
    IMPORTRANGE(
      ""1ZHMy3vVUd_0MrSduXTe1etBb1HNpAlGwQr006ljwMiM"",
      ""GSC最新!A:F""
    ),
    6,
    FALSE
  ),
  0
)
"),46081.0)</f>
        <v>46081</v>
      </c>
      <c r="AE38" s="54">
        <f>IFERROR(__xludf.DUMMYFUNCTION("IFERROR(
  VLOOKUP(
    A38,
    IMPORTRANGE(
      ""1SCYQd7_cobOYqT0r_F0IqD4tE4rYn5y8Eup4PJTH8es"",
      ""Snapshot!A:M""
    ),
    5,
    FALSE
  ),
  ""-""
)
"),9.0)</f>
        <v>9</v>
      </c>
      <c r="AF38" s="54">
        <f>IFERROR(__xludf.DUMMYFUNCTION("IFERROR(
  VLOOKUP(
    A38,
    IMPORTRANGE(
      ""1SCYQd7_cobOYqT0r_F0IqD4tE4rYn5y8Eup4PJTH8es"",
      ""Snapshot!A:M""
    ),
    6,
    FALSE
  ),
  0
)
"),2.0)</f>
        <v>2</v>
      </c>
      <c r="AG38" s="54">
        <f>IFERROR(__xludf.DUMMYFUNCTION("IFERROR(
  VLOOKUP(
    A38,
    IMPORTRANGE(
      ""1SCYQd7_cobOYqT0r_F0IqD4tE4rYn5y8Eup4PJTH8es"",
      ""Snapshot!A:M""
    ),
    7,
    FALSE
  ),
  0
)
"),3257.0)</f>
        <v>3257</v>
      </c>
      <c r="AH38" s="54">
        <f>IFERROR(__xludf.DUMMYFUNCTION("IFERROR(
  VLOOKUP(
    A38,
    IMPORTRANGE(
      ""1SCYQd7_cobOYqT0r_F0IqD4tE4rYn5y8Eup4PJTH8es"",
      ""Snapshot!A:M""
    ),
    8,
    FALSE
  ),
  0
)
"),2.0)</f>
        <v>2</v>
      </c>
      <c r="AI38" s="54">
        <f>IFERROR(__xludf.DUMMYFUNCTION("IFERROR(
  VLOOKUP(
    A38,
    IMPORTRANGE(
      ""1SCYQd7_cobOYqT0r_F0IqD4tE4rYn5y8Eup4PJTH8es"",
      ""Snapshot!A:M""
    ),
    9,
    FALSE
  ),
  0
)
"),2.0)</f>
        <v>2</v>
      </c>
      <c r="AJ38" s="54">
        <f>IFERROR(__xludf.DUMMYFUNCTION("IFERROR(
  VLOOKUP(
    A38,
    IMPORTRANGE(
      ""1SCYQd7_cobOYqT0r_F0IqD4tE4rYn5y8Eup4PJTH8es"",
      ""Snapshot!A:M""
    ),
    13,
    FALSE
  ),
  0
)
"),2.0)</f>
        <v>2</v>
      </c>
      <c r="AK38" s="49">
        <f t="shared" ref="AK38:AL38" si="185">LEN(C38)</f>
        <v>45</v>
      </c>
      <c r="AL38" s="49">
        <f t="shared" si="185"/>
        <v>55</v>
      </c>
    </row>
    <row r="39">
      <c r="A39" s="3" t="s">
        <v>1262</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"),"【理科のコツ】天気の観測 - 中学受験 理科の個別指導 | 受験理科専門塾「しゅん吉クエスト」")</f>
        <v>【理科のコツ】天気の観測 - 中学受験 理科の個別指導 | 受験理科専門塾「しゅん吉クエスト」</v>
      </c>
      <c r="D39" s="1" t="str">
        <f>IFERROR(__xludf.DUMMYFUNCTION("IFERROR(
  VLOOKUP(
    A39,
    IMPORTRANGE(
      ""1ZygntHC1J6IxzKbTidmOyf5nUyW4GCLurHCjexrLm_o        "",
      ""HTMLキャッシュ!A:F""
    ),
    6,
    FALSE
  ),
  0
)
"),"小学生理科／天気の観測 テーマ：基本用語の総整理 天気の観測と基本用語｜百葉箱・湿度・風向き・天気記号をまとめ")</f>
        <v>小学生理科／天気の観測 テーマ：基本用語の総整理 天気の観測と基本用語｜百葉箱・湿度・風向き・天気記号をまとめ</v>
      </c>
      <c r="E39" s="32">
        <f>IFERROR(__xludf.DUMMYFUNCTION("IFERROR(
  VLOOKUP(
    A39,
    IMPORTRANGE(
      ""1ZygntHC1J6IxzKbTidmOyf5nUyW4GCLurHCjexrLm_o        "",
      ""HTMLキャッシュ!A:F""
    ),
    3,
    FALSE
  ),
  0
)
"),46030.959328703706)</f>
        <v>46030.95933</v>
      </c>
      <c r="F39" s="49">
        <f>IFERROR(__xludf.DUMMYFUNCTION("IFERROR(
  VLOOKUP(
    A39,
    IMPORTRANGE(
      ""1ZHMy3vVUd_0MrSduXTe1etBb1HNpAlGwQr006ljwMiM"",
      ""GSC最新!A:F""
    ),
    2,
    FALSE
  ),
  0
)
"),14.0)</f>
        <v>14</v>
      </c>
      <c r="G39" s="49">
        <f>IFERROR(__xludf.DUMMYFUNCTION("IFERROR(
  VLOOKUP(
    A39,
    IMPORTRANGE(
      ""1ZHMy3vVUd_0MrSduXTe1etBb1HNpAlGwQr006ljwMiM"",
      ""GSC最新!A:F""
    ),
    3,
    FALSE
  ),
  0
)
"),35.0)</f>
        <v>35</v>
      </c>
      <c r="H39" s="49">
        <f>IFERROR(__xludf.DUMMYFUNCTION("IFERROR(
  VLOOKUP(
    A39,
    IMPORTRANGE(
      ""1ZHMy3vVUd_0MrSduXTe1etBb1HNpAlGwQr006ljwMiM"",
      ""GSC最新!A:F""
    ),
    4,
    FALSE
  ),
  0
)
"),1.0)</f>
        <v>1</v>
      </c>
      <c r="I39" s="49">
        <f>IFERROR(__xludf.DUMMYFUNCTION("IFERROR(
  VLOOKUP(
    A39,
    IMPORTRANGE(
      ""1ZHMy3vVUd_0MrSduXTe1etBb1HNpAlGwQr006ljwMiM"",
      ""GSC最新!A:F""
    ),
    5,
    FALSE
  ),
  0
)
"),2.0)</f>
        <v>2</v>
      </c>
      <c r="J39" s="50">
        <f t="shared" ref="J39:K39" si="186">IFERROR(F39/H39,"-")</f>
        <v>14</v>
      </c>
      <c r="K39" s="50">
        <f t="shared" si="186"/>
        <v>17.5</v>
      </c>
      <c r="L39" s="6">
        <f>IFERROR(__xludf.DUMMYFUNCTION("IFERROR(
  VLOOKUP(
    A39,
    IMPORTRANGE(
      ""1ZHMy3vVUd_0MrSduXTe1etBb1HNpAlGwQr006ljwMiM"",
      ""GSC最新!A:R""
    ),
    7,
    FALSE
  ),
  0
)
"),5034.0)</f>
        <v>5034</v>
      </c>
      <c r="M39" s="6">
        <f>IFERROR(__xludf.DUMMYFUNCTION("IFERROR(
  VLOOKUP(
    A39,
    IMPORTRANGE(
      ""1ZHMy3vVUd_0MrSduXTe1etBb1HNpAlGwQr006ljwMiM"",
      ""GSC最新!A:R""
    ),
    10,
    FALSE
  ),
  0
)
"),9949.0)</f>
        <v>9949</v>
      </c>
      <c r="N39" s="6">
        <f>IFERROR(__xludf.DUMMYFUNCTION("IFERROR(
  VLOOKUP(
    A39,
    IMPORTRANGE(
      ""1ZHMy3vVUd_0MrSduXTe1etBb1HNpAlGwQr006ljwMiM"",
      ""GSC最新!A:R""
    ),
    13,
    FALSE
  ),
  0
)
"),286.0)</f>
        <v>286</v>
      </c>
      <c r="O39" s="6">
        <f>IFERROR(__xludf.DUMMYFUNCTION("IFERROR(
  VLOOKUP(
    A39,
    IMPORTRANGE(
      ""1ZHMy3vVUd_0MrSduXTe1etBb1HNpAlGwQr006ljwMiM"",
      ""GSC最新!A:R""
    ),
    16,
    FALSE
  ),
  0
)
"),524.0)</f>
        <v>524</v>
      </c>
      <c r="P39" s="51">
        <f t="shared" ref="P39:Q39" si="187">IFERROR(L39/N39,"-")</f>
        <v>17.6013986</v>
      </c>
      <c r="Q39" s="51">
        <f t="shared" si="187"/>
        <v>18.98664122</v>
      </c>
      <c r="R39" s="9">
        <f>IFERROR(__xludf.DUMMYFUNCTION("IFERROR(
  VLOOKUP(
    A39,
    IMPORTRANGE(
      ""1ZHMy3vVUd_0MrSduXTe1etBb1HNpAlGwQr006ljwMiM"",
      ""GSC最新!A:R""
    ),
    8,
    FALSE
  ),
  0
)
"),0.0027810885975367503)</f>
        <v>0.002781088598</v>
      </c>
      <c r="S39" s="9">
        <f>IFERROR(__xludf.DUMMYFUNCTION("IFERROR(
  VLOOKUP(
    A39,
    IMPORTRANGE(
      ""1ZHMy3vVUd_0MrSduXTe1etBb1HNpAlGwQr006ljwMiM"",
      ""GSC最新!A:R""
    ),
    11,
    FALSE
  ),
  0
)
"),0.003517941501658458)</f>
        <v>0.003517941502</v>
      </c>
      <c r="T39" s="9">
        <f>IFERROR(__xludf.DUMMYFUNCTION("IFERROR(
  VLOOKUP(
    A39,
    IMPORTRANGE(
      ""1ZHMy3vVUd_0MrSduXTe1etBb1HNpAlGwQr006ljwMiM"",
      ""GSC最新!A:R""
    ),
    14,
    FALSE
  ),
  0
)
"),0.0034965034965034965)</f>
        <v>0.003496503497</v>
      </c>
      <c r="U39" s="9">
        <f>IFERROR(__xludf.DUMMYFUNCTION("IFERROR(
  VLOOKUP(
    A39,
    IMPORTRANGE(
      ""1ZHMy3vVUd_0MrSduXTe1etBb1HNpAlGwQr006ljwMiM"",
      ""GSC最新!A:R""
    ),
    17,
    FALSE
  ),
  0
)
"),0.003816793893129771)</f>
        <v>0.003816793893</v>
      </c>
      <c r="V39" s="9">
        <f t="shared" ref="V39:W39" si="188">IFERROR(R39-T39,"-")</f>
        <v>-0.000715414899</v>
      </c>
      <c r="W39" s="9">
        <f t="shared" si="188"/>
        <v>-0.0002988523915</v>
      </c>
      <c r="X39" s="65">
        <f>IFERROR(__xludf.DUMMYFUNCTION("IFERROR(
  VLOOKUP(
    A39,
    IMPORTRANGE(
      ""1ZHMy3vVUd_0MrSduXTe1etBb1HNpAlGwQr006ljwMiM"",
      ""GSC最新!A:R""
    ),
    9,
    FALSE
  ),
  0
)
"),3.242749304727851)</f>
        <v>3.242749305</v>
      </c>
      <c r="Y39" s="65">
        <f>IFERROR(__xludf.DUMMYFUNCTION("IFERROR(
  VLOOKUP(
    A39,
    IMPORTRANGE(
      ""1ZHMy3vVUd_0MrSduXTe1etBb1HNpAlGwQr006ljwMiM"",
      ""GSC最新!A:R""
    ),
    12,
    FALSE
  ),
  0
)
"),3.7137400743793347)</f>
        <v>3.713740074</v>
      </c>
      <c r="Z39" s="65">
        <f>IFERROR(__xludf.DUMMYFUNCTION("IFERROR(
  VLOOKUP(
    A39,
    IMPORTRANGE(
      ""1ZHMy3vVUd_0MrSduXTe1etBb1HNpAlGwQr006ljwMiM"",
      ""GSC最新!A:R""
    ),
    15,
    FALSE
  ),
  0
)
"),6.5979020979020975)</f>
        <v>6.597902098</v>
      </c>
      <c r="AA39" s="65">
        <f>IFERROR(__xludf.DUMMYFUNCTION("IFERROR(
  VLOOKUP(
    A39,
    IMPORTRANGE(
      ""1ZHMy3vVUd_0MrSduXTe1etBb1HNpAlGwQr006ljwMiM"",
      ""GSC最新!A:R""
    ),
    18,
    FALSE
  ),
  0
)
"),7.358778625954199)</f>
        <v>7.358778626</v>
      </c>
      <c r="AB39" s="65">
        <f t="shared" ref="AB39:AC39" si="189">X39-Z39</f>
        <v>-3.355152793</v>
      </c>
      <c r="AC39" s="65">
        <f t="shared" si="189"/>
        <v>-3.645038552</v>
      </c>
      <c r="AD39" s="53">
        <f>IFERROR(__xludf.DUMMYFUNCTION("IFERROR(
  VLOOKUP(
    A39,
    IMPORTRANGE(
      ""1ZHMy3vVUd_0MrSduXTe1etBb1HNpAlGwQr006ljwMiM"",
      ""GSC最新!A:F""
    ),
    6,
    FALSE
  ),
  0
)
"),46081.0)</f>
        <v>46081</v>
      </c>
      <c r="AE39" s="54">
        <f>IFERROR(__xludf.DUMMYFUNCTION("IFERROR(
  VLOOKUP(
    A39,
    IMPORTRANGE(
      ""1SCYQd7_cobOYqT0r_F0IqD4tE4rYn5y8Eup4PJTH8es"",
      ""Snapshot!A:M""
    ),
    5,
    FALSE
  ),
  ""-""
)
"),8.0)</f>
        <v>8</v>
      </c>
      <c r="AF39" s="54">
        <f>IFERROR(__xludf.DUMMYFUNCTION("IFERROR(
  VLOOKUP(
    A39,
    IMPORTRANGE(
      ""1SCYQd7_cobOYqT0r_F0IqD4tE4rYn5y8Eup4PJTH8es"",
      ""Snapshot!A:M""
    ),
    6,
    FALSE
  ),
  0
)
"),5.0)</f>
        <v>5</v>
      </c>
      <c r="AG39" s="54">
        <f>IFERROR(__xludf.DUMMYFUNCTION("IFERROR(
  VLOOKUP(
    A39,
    IMPORTRANGE(
      ""1SCYQd7_cobOYqT0r_F0IqD4tE4rYn5y8Eup4PJTH8es"",
      ""Snapshot!A:M""
    ),
    7,
    FALSE
  ),
  0
)
"),3678.0)</f>
        <v>3678</v>
      </c>
      <c r="AH39" s="54">
        <f>IFERROR(__xludf.DUMMYFUNCTION("IFERROR(
  VLOOKUP(
    A39,
    IMPORTRANGE(
      ""1SCYQd7_cobOYqT0r_F0IqD4tE4rYn5y8Eup4PJTH8es"",
      ""Snapshot!A:M""
    ),
    8,
    FALSE
  ),
  0
)
"),2.0)</f>
        <v>2</v>
      </c>
      <c r="AI39" s="54">
        <f>IFERROR(__xludf.DUMMYFUNCTION("IFERROR(
  VLOOKUP(
    A39,
    IMPORTRANGE(
      ""1SCYQd7_cobOYqT0r_F0IqD4tE4rYn5y8Eup4PJTH8es"",
      ""Snapshot!A:M""
    ),
    9,
    FALSE
  ),
  0
)
"),2.0)</f>
        <v>2</v>
      </c>
      <c r="AJ39" s="54">
        <f>IFERROR(__xludf.DUMMYFUNCTION("IFERROR(
  VLOOKUP(
    A39,
    IMPORTRANGE(
      ""1SCYQd7_cobOYqT0r_F0IqD4tE4rYn5y8Eup4PJTH8es"",
      ""Snapshot!A:M""
    ),
    13,
    FALSE
  ),
  0
)
"),2.0)</f>
        <v>2</v>
      </c>
      <c r="AK39" s="49">
        <f t="shared" ref="AK39:AL39" si="190">LEN(C39)</f>
        <v>47</v>
      </c>
      <c r="AL39" s="49">
        <f t="shared" si="190"/>
        <v>55</v>
      </c>
    </row>
    <row r="40">
      <c r="A40" s="3" t="s">
        <v>1263</v>
      </c>
      <c r="B40" s="1" t="str">
        <f>IFERROR(__xludf.DUMMYFUNCTION("IFERROR(
  VLOOKUP(
    A40,
    IMPORTRANGE(
      ""1ZygntHC1J6IxzKbTidmOyf5nUyW4GCLurHCjexrLm_o"",
      ""HTMLキャッシュ!A:F""
    ),
    2,
    FALSE
  ),
  0
)
"),"ST")</f>
        <v>ST</v>
      </c>
      <c r="C40" s="1" t="str">
        <f>IFERROR(__xludf.DUMMYFUNCTION("IFERROR(
  VLOOKUP(
    A40,
    IMPORTRANGE(
      ""1ZygntHC1J6IxzKbTidmOyf5nUyW4GCLurHCjexrLm_o"",
      ""HTMLキャッシュ!A:F""
    ),
    5,
    FALSE
  ),
  0
)
"),"代表挨拶 - 中学受験 理科の個別指導 | 受験理科専門塾「しゅん吉クエスト」")</f>
        <v>代表挨拶 - 中学受験 理科の個別指導 | 受験理科専門塾「しゅん吉クエスト」</v>
      </c>
      <c r="D40" s="1" t="str">
        <f>IFERROR(__xludf.DUMMYFUNCTION("IFERROR(
  VLOOKUP(
    A40,
    IMPORTRANGE(
      ""1ZygntHC1J6IxzKbTidmOyf5nUyW4GCLurHCjexrLm_o        "",
      ""HTMLキャッシュ!A:F""
    ),
    6,
    FALSE
  ),
  0
)
"),"受験理科専門塾「しゅん吉クエスト」は、理科嫌いの受験生専門の塾です。 「理科は苦手だ」「理科が嫌いだ」「理科の")</f>
        <v>受験理科専門塾「しゅん吉クエスト」は、理科嫌いの受験生専門の塾です。 「理科は苦手だ」「理科が嫌いだ」「理科の</v>
      </c>
      <c r="E40" s="32">
        <f>IFERROR(__xludf.DUMMYFUNCTION("IFERROR(
  VLOOKUP(
    A40,
    IMPORTRANGE(
      ""1ZygntHC1J6IxzKbTidmOyf5nUyW4GCLurHCjexrLm_o        "",
      ""HTMLキャッシュ!A:F""
    ),
    3,
    FALSE
  ),
  0
)
"),46004.056284722225)</f>
        <v>46004.05628</v>
      </c>
      <c r="F40" s="49">
        <f>IFERROR(__xludf.DUMMYFUNCTION("IFERROR(
  VLOOKUP(
    A40,
    IMPORTRANGE(
      ""1ZHMy3vVUd_0MrSduXTe1etBb1HNpAlGwQr006ljwMiM"",
      ""GSC最新!A:F""
    ),
    2,
    FALSE
  ),
  0
)
"),6.0)</f>
        <v>6</v>
      </c>
      <c r="G40" s="49">
        <f>IFERROR(__xludf.DUMMYFUNCTION("IFERROR(
  VLOOKUP(
    A40,
    IMPORTRANGE(
      ""1ZHMy3vVUd_0MrSduXTe1etBb1HNpAlGwQr006ljwMiM"",
      ""GSC最新!A:F""
    ),
    3,
    FALSE
  ),
  0
)
"),21.0)</f>
        <v>21</v>
      </c>
      <c r="H40" s="49">
        <f>IFERROR(__xludf.DUMMYFUNCTION("IFERROR(
  VLOOKUP(
    A40,
    IMPORTRANGE(
      ""1ZHMy3vVUd_0MrSduXTe1etBb1HNpAlGwQr006ljwMiM"",
      ""GSC最新!A:F""
    ),
    4,
    FALSE
  ),
  0
)
"),8.0)</f>
        <v>8</v>
      </c>
      <c r="I40" s="49">
        <f>IFERROR(__xludf.DUMMYFUNCTION("IFERROR(
  VLOOKUP(
    A40,
    IMPORTRANGE(
      ""1ZHMy3vVUd_0MrSduXTe1etBb1HNpAlGwQr006ljwMiM"",
      ""GSC最新!A:F""
    ),
    5,
    FALSE
  ),
  0
)
"),15.0)</f>
        <v>15</v>
      </c>
      <c r="J40" s="50">
        <f t="shared" ref="J40:K40" si="191">IFERROR(F40/H40,"-")</f>
        <v>0.75</v>
      </c>
      <c r="K40" s="50">
        <f t="shared" si="191"/>
        <v>1.4</v>
      </c>
      <c r="L40" s="6">
        <f>IFERROR(__xludf.DUMMYFUNCTION("IFERROR(
  VLOOKUP(
    A40,
    IMPORTRANGE(
      ""1ZHMy3vVUd_0MrSduXTe1etBb1HNpAlGwQr006ljwMiM"",
      ""GSC最新!A:R""
    ),
    7,
    FALSE
  ),
  0
)
"),95.0)</f>
        <v>95</v>
      </c>
      <c r="M40" s="6">
        <f>IFERROR(__xludf.DUMMYFUNCTION("IFERROR(
  VLOOKUP(
    A40,
    IMPORTRANGE(
      ""1ZHMy3vVUd_0MrSduXTe1etBb1HNpAlGwQr006ljwMiM"",
      ""GSC最新!A:R""
    ),
    10,
    FALSE
  ),
  0
)
"),182.0)</f>
        <v>182</v>
      </c>
      <c r="N40" s="6">
        <f>IFERROR(__xludf.DUMMYFUNCTION("IFERROR(
  VLOOKUP(
    A40,
    IMPORTRANGE(
      ""1ZHMy3vVUd_0MrSduXTe1etBb1HNpAlGwQr006ljwMiM"",
      ""GSC最新!A:R""
    ),
    13,
    FALSE
  ),
  0
)
"),32.0)</f>
        <v>32</v>
      </c>
      <c r="O40" s="6">
        <f>IFERROR(__xludf.DUMMYFUNCTION("IFERROR(
  VLOOKUP(
    A40,
    IMPORTRANGE(
      ""1ZHMy3vVUd_0MrSduXTe1etBb1HNpAlGwQr006ljwMiM"",
      ""GSC最新!A:R""
    ),
    16,
    FALSE
  ),
  0
)
"),76.0)</f>
        <v>76</v>
      </c>
      <c r="P40" s="51">
        <f t="shared" ref="P40:Q40" si="192">IFERROR(L40/N40,"-")</f>
        <v>2.96875</v>
      </c>
      <c r="Q40" s="51">
        <f t="shared" si="192"/>
        <v>2.394736842</v>
      </c>
      <c r="R40" s="9">
        <f>IFERROR(__xludf.DUMMYFUNCTION("IFERROR(
  VLOOKUP(
    A40,
    IMPORTRANGE(
      ""1ZHMy3vVUd_0MrSduXTe1etBb1HNpAlGwQr006ljwMiM"",
      ""GSC最新!A:R""
    ),
    8,
    FALSE
  ),
  0
)
"),0.06315789473684211)</f>
        <v>0.06315789474</v>
      </c>
      <c r="S40" s="9">
        <f>IFERROR(__xludf.DUMMYFUNCTION("IFERROR(
  VLOOKUP(
    A40,
    IMPORTRANGE(
      ""1ZHMy3vVUd_0MrSduXTe1etBb1HNpAlGwQr006ljwMiM"",
      ""GSC最新!A:R""
    ),
    11,
    FALSE
  ),
  0
)
"),0.11538461538461539)</f>
        <v>0.1153846154</v>
      </c>
      <c r="T40" s="9">
        <f>IFERROR(__xludf.DUMMYFUNCTION("IFERROR(
  VLOOKUP(
    A40,
    IMPORTRANGE(
      ""1ZHMy3vVUd_0MrSduXTe1etBb1HNpAlGwQr006ljwMiM"",
      ""GSC最新!A:R""
    ),
    14,
    FALSE
  ),
  0
)
"),0.25)</f>
        <v>0.25</v>
      </c>
      <c r="U40" s="9">
        <f>IFERROR(__xludf.DUMMYFUNCTION("IFERROR(
  VLOOKUP(
    A40,
    IMPORTRANGE(
      ""1ZHMy3vVUd_0MrSduXTe1etBb1HNpAlGwQr006ljwMiM"",
      ""GSC最新!A:R""
    ),
    17,
    FALSE
  ),
  0
)
"),0.19736842105263158)</f>
        <v>0.1973684211</v>
      </c>
      <c r="V40" s="9">
        <f t="shared" ref="V40:W40" si="193">IFERROR(R40-T40,"-")</f>
        <v>-0.1868421053</v>
      </c>
      <c r="W40" s="9">
        <f t="shared" si="193"/>
        <v>-0.08198380567</v>
      </c>
      <c r="X40" s="65">
        <f>IFERROR(__xludf.DUMMYFUNCTION("IFERROR(
  VLOOKUP(
    A40,
    IMPORTRANGE(
      ""1ZHMy3vVUd_0MrSduXTe1etBb1HNpAlGwQr006ljwMiM"",
      ""GSC最新!A:R""
    ),
    9,
    FALSE
  ),
  0
)
"),3.8105263157894735)</f>
        <v>3.810526316</v>
      </c>
      <c r="Y40" s="65">
        <f>IFERROR(__xludf.DUMMYFUNCTION("IFERROR(
  VLOOKUP(
    A40,
    IMPORTRANGE(
      ""1ZHMy3vVUd_0MrSduXTe1etBb1HNpAlGwQr006ljwMiM"",
      ""GSC最新!A:R""
    ),
    12,
    FALSE
  ),
  0
)
"),3.5384615384615383)</f>
        <v>3.538461538</v>
      </c>
      <c r="Z40" s="65">
        <f>IFERROR(__xludf.DUMMYFUNCTION("IFERROR(
  VLOOKUP(
    A40,
    IMPORTRANGE(
      ""1ZHMy3vVUd_0MrSduXTe1etBb1HNpAlGwQr006ljwMiM"",
      ""GSC最新!A:R""
    ),
    15,
    FALSE
  ),
  0
)
"),3.28125)</f>
        <v>3.28125</v>
      </c>
      <c r="AA40" s="65">
        <f>IFERROR(__xludf.DUMMYFUNCTION("IFERROR(
  VLOOKUP(
    A40,
    IMPORTRANGE(
      ""1ZHMy3vVUd_0MrSduXTe1etBb1HNpAlGwQr006ljwMiM"",
      ""GSC最新!A:R""
    ),
    18,
    FALSE
  ),
  0
)
"),6.526315789473684)</f>
        <v>6.526315789</v>
      </c>
      <c r="AB40" s="65">
        <f t="shared" ref="AB40:AC40" si="194">X40-Z40</f>
        <v>0.5292763158</v>
      </c>
      <c r="AC40" s="65">
        <f t="shared" si="194"/>
        <v>-2.987854251</v>
      </c>
      <c r="AD40" s="53">
        <f>IFERROR(__xludf.DUMMYFUNCTION("IFERROR(
  VLOOKUP(
    A40,
    IMPORTRANGE(
      ""1ZHMy3vVUd_0MrSduXTe1etBb1HNpAlGwQr006ljwMiM"",
      ""GSC最新!A:F""
    ),
    6,
    FALSE
  ),
  0
)
"),46081.0)</f>
        <v>46081</v>
      </c>
      <c r="AE40" s="54">
        <f>IFERROR(__xludf.DUMMYFUNCTION("IFERROR(
  VLOOKUP(
    A40,
    IMPORTRANGE(
      ""1SCYQd7_cobOYqT0r_F0IqD4tE4rYn5y8Eup4PJTH8es"",
      ""Snapshot!A:M""
    ),
    5,
    FALSE
  ),
  ""-""
)
"),1.0)</f>
        <v>1</v>
      </c>
      <c r="AF40" s="54">
        <f>IFERROR(__xludf.DUMMYFUNCTION("IFERROR(
  VLOOKUP(
    A40,
    IMPORTRANGE(
      ""1SCYQd7_cobOYqT0r_F0IqD4tE4rYn5y8Eup4PJTH8es"",
      ""Snapshot!A:M""
    ),
    6,
    FALSE
  ),
  0
)
"),1.0)</f>
        <v>1</v>
      </c>
      <c r="AG40" s="54">
        <f>IFERROR(__xludf.DUMMYFUNCTION("IFERROR(
  VLOOKUP(
    A40,
    IMPORTRANGE(
      ""1SCYQd7_cobOYqT0r_F0IqD4tE4rYn5y8Eup4PJTH8es"",
      ""Snapshot!A:M""
    ),
    7,
    FALSE
  ),
  0
)
"),2460.0)</f>
        <v>2460</v>
      </c>
      <c r="AH40" s="54">
        <f>IFERROR(__xludf.DUMMYFUNCTION("IFERROR(
  VLOOKUP(
    A40,
    IMPORTRANGE(
      ""1SCYQd7_cobOYqT0r_F0IqD4tE4rYn5y8Eup4PJTH8es"",
      ""Snapshot!A:M""
    ),
    8,
    FALSE
  ),
  0
)
"),0.0)</f>
        <v>0</v>
      </c>
      <c r="AI40" s="54">
        <f>IFERROR(__xludf.DUMMYFUNCTION("IFERROR(
  VLOOKUP(
    A40,
    IMPORTRANGE(
      ""1SCYQd7_cobOYqT0r_F0IqD4tE4rYn5y8Eup4PJTH8es"",
      ""Snapshot!A:M""
    ),
    9,
    FALSE
  ),
  0
)
"),2.0)</f>
        <v>2</v>
      </c>
      <c r="AJ40" s="54">
        <f>IFERROR(__xludf.DUMMYFUNCTION("IFERROR(
  VLOOKUP(
    A40,
    IMPORTRANGE(
      ""1SCYQd7_cobOYqT0r_F0IqD4tE4rYn5y8Eup4PJTH8es"",
      ""Snapshot!A:M""
    ),
    13,
    FALSE
  ),
  0
)
"),1.0)</f>
        <v>1</v>
      </c>
      <c r="AK40" s="49">
        <f t="shared" ref="AK40:AL40" si="195">LEN(C40)</f>
        <v>39</v>
      </c>
      <c r="AL40" s="49">
        <f t="shared" si="195"/>
        <v>55</v>
      </c>
    </row>
    <row r="41">
      <c r="A41" s="3" t="s">
        <v>1264</v>
      </c>
      <c r="B41" s="1" t="str">
        <f>IFERROR(__xludf.DUMMYFUNCTION("IFERROR(
  VLOOKUP(
    A41,
    IMPORTRANGE(
      ""1ZygntHC1J6IxzKbTidmOyf5nUyW4GCLurHCjexrLm_o"",
      ""HTMLキャッシュ!A:F""
    ),
    2,
    FALSE
  ),
  0
)
"),"MC")</f>
        <v>MC</v>
      </c>
      <c r="C41" s="1" t="str">
        <f>IFERROR(__xludf.DUMMYFUNCTION("IFERROR(
  VLOOKUP(
    A41,
    IMPORTRANGE(
      ""1ZygntHC1J6IxzKbTidmOyf5nUyW4GCLurHCjexrLm_o"",
      ""HTMLキャッシュ!A:F""
    ),
    5,
    FALSE
  ),
  0
)
"),"理科 単位換算｜物理の計算ミス対策｜中学受験小4〜小6")</f>
        <v>理科 単位換算｜物理の計算ミス対策｜中学受験小4〜小6</v>
      </c>
      <c r="D41" s="1" t="str">
        <f>IFERROR(__xludf.DUMMYFUNCTION("IFERROR(
  VLOOKUP(
    A41,
    IMPORTRANGE(
      ""1ZygntHC1J6IxzKbTidmOyf5nUyW4GCLurHCjexrLm_o        "",
      ""HTMLキャッシュ!A:F""
    ),
    6,
    FALSE
  ),
  0
)
"),"中学受験理科の物理で多い単位ミスを対策。m/cm・kg/g・分秒・A/mAの換算、てこ滑車の図の見方、条件の拾い方を解説。")</f>
        <v>中学受験理科の物理で多い単位ミスを対策。m/cm・kg/g・分秒・A/mAの換算、てこ滑車の図の見方、条件の拾い方を解説。</v>
      </c>
      <c r="E41" s="32">
        <f>IFERROR(__xludf.DUMMYFUNCTION("IFERROR(
  VLOOKUP(
    A41,
    IMPORTRANGE(
      ""1ZygntHC1J6IxzKbTidmOyf5nUyW4GCLurHCjexrLm_o        "",
      ""HTMLキャッシュ!A:F""
    ),
    3,
    FALSE
  ),
  0
)
"),46079.07596064815)</f>
        <v>46079.07596</v>
      </c>
      <c r="F41" s="49">
        <f>IFERROR(__xludf.DUMMYFUNCTION("IFERROR(
  VLOOKUP(
    A41,
    IMPORTRANGE(
      ""1ZHMy3vVUd_0MrSduXTe1etBb1HNpAlGwQr006ljwMiM"",
      ""GSC最新!A:F""
    ),
    2,
    FALSE
  ),
  0
)
"),9.0)</f>
        <v>9</v>
      </c>
      <c r="G41" s="49">
        <f>IFERROR(__xludf.DUMMYFUNCTION("IFERROR(
  VLOOKUP(
    A41,
    IMPORTRANGE(
      ""1ZHMy3vVUd_0MrSduXTe1etBb1HNpAlGwQr006ljwMiM"",
      ""GSC最新!A:F""
    ),
    3,
    FALSE
  ),
  0
)
"),17.0)</f>
        <v>17</v>
      </c>
      <c r="H41" s="49">
        <f>IFERROR(__xludf.DUMMYFUNCTION("IFERROR(
  VLOOKUP(
    A41,
    IMPORTRANGE(
      ""1ZHMy3vVUd_0MrSduXTe1etBb1HNpAlGwQr006ljwMiM"",
      ""GSC最新!A:F""
    ),
    4,
    FALSE
  ),
  0
)
"),2.0)</f>
        <v>2</v>
      </c>
      <c r="I41" s="49">
        <f>IFERROR(__xludf.DUMMYFUNCTION("IFERROR(
  VLOOKUP(
    A41,
    IMPORTRANGE(
      ""1ZHMy3vVUd_0MrSduXTe1etBb1HNpAlGwQr006ljwMiM"",
      ""GSC最新!A:F""
    ),
    5,
    FALSE
  ),
  0
)
"),2.0)</f>
        <v>2</v>
      </c>
      <c r="J41" s="50">
        <f t="shared" ref="J41:K41" si="196">IFERROR(F41/H41,"-")</f>
        <v>4.5</v>
      </c>
      <c r="K41" s="50">
        <f t="shared" si="196"/>
        <v>8.5</v>
      </c>
      <c r="L41" s="6">
        <f>IFERROR(__xludf.DUMMYFUNCTION("IFERROR(
  VLOOKUP(
    A41,
    IMPORTRANGE(
      ""1ZHMy3vVUd_0MrSduXTe1etBb1HNpAlGwQr006ljwMiM"",
      ""GSC最新!A:R""
    ),
    7,
    FALSE
  ),
  0
)
"),961.0)</f>
        <v>961</v>
      </c>
      <c r="M41" s="6">
        <f>IFERROR(__xludf.DUMMYFUNCTION("IFERROR(
  VLOOKUP(
    A41,
    IMPORTRANGE(
      ""1ZHMy3vVUd_0MrSduXTe1etBb1HNpAlGwQr006ljwMiM"",
      ""GSC最新!A:R""
    ),
    10,
    FALSE
  ),
  0
)
"),1405.0)</f>
        <v>1405</v>
      </c>
      <c r="N41" s="6">
        <f>IFERROR(__xludf.DUMMYFUNCTION("IFERROR(
  VLOOKUP(
    A41,
    IMPORTRANGE(
      ""1ZHMy3vVUd_0MrSduXTe1etBb1HNpAlGwQr006ljwMiM"",
      ""GSC最新!A:R""
    ),
    13,
    FALSE
  ),
  0
)
"),10.0)</f>
        <v>10</v>
      </c>
      <c r="O41" s="6">
        <f>IFERROR(__xludf.DUMMYFUNCTION("IFERROR(
  VLOOKUP(
    A41,
    IMPORTRANGE(
      ""1ZHMy3vVUd_0MrSduXTe1etBb1HNpAlGwQr006ljwMiM"",
      ""GSC最新!A:R""
    ),
    16,
    FALSE
  ),
  0
)
"),30.0)</f>
        <v>30</v>
      </c>
      <c r="P41" s="51">
        <f t="shared" ref="P41:Q41" si="197">IFERROR(L41/N41,"-")</f>
        <v>96.1</v>
      </c>
      <c r="Q41" s="51">
        <f t="shared" si="197"/>
        <v>46.83333333</v>
      </c>
      <c r="R41" s="9">
        <f>IFERROR(__xludf.DUMMYFUNCTION("IFERROR(
  VLOOKUP(
    A41,
    IMPORTRANGE(
      ""1ZHMy3vVUd_0MrSduXTe1etBb1HNpAlGwQr006ljwMiM"",
      ""GSC最新!A:R""
    ),
    8,
    FALSE
  ),
  0
)
"),0.009365244536940686)</f>
        <v>0.009365244537</v>
      </c>
      <c r="S41" s="9">
        <f>IFERROR(__xludf.DUMMYFUNCTION("IFERROR(
  VLOOKUP(
    A41,
    IMPORTRANGE(
      ""1ZHMy3vVUd_0MrSduXTe1etBb1HNpAlGwQr006ljwMiM"",
      ""GSC最新!A:R""
    ),
    11,
    FALSE
  ),
  0
)
"),0.012099644128113879)</f>
        <v>0.01209964413</v>
      </c>
      <c r="T41" s="9">
        <f>IFERROR(__xludf.DUMMYFUNCTION("IFERROR(
  VLOOKUP(
    A41,
    IMPORTRANGE(
      ""1ZHMy3vVUd_0MrSduXTe1etBb1HNpAlGwQr006ljwMiM"",
      ""GSC最新!A:R""
    ),
    14,
    FALSE
  ),
  0
)
"),0.2)</f>
        <v>0.2</v>
      </c>
      <c r="U41" s="9">
        <f>IFERROR(__xludf.DUMMYFUNCTION("IFERROR(
  VLOOKUP(
    A41,
    IMPORTRANGE(
      ""1ZHMy3vVUd_0MrSduXTe1etBb1HNpAlGwQr006ljwMiM"",
      ""GSC最新!A:R""
    ),
    17,
    FALSE
  ),
  0
)
"),0.06666666666666667)</f>
        <v>0.06666666667</v>
      </c>
      <c r="V41" s="9">
        <f t="shared" ref="V41:W41" si="198">IFERROR(R41-T41,"-")</f>
        <v>-0.1906347555</v>
      </c>
      <c r="W41" s="9">
        <f t="shared" si="198"/>
        <v>-0.05456702254</v>
      </c>
      <c r="X41" s="65">
        <f>IFERROR(__xludf.DUMMYFUNCTION("IFERROR(
  VLOOKUP(
    A41,
    IMPORTRANGE(
      ""1ZHMy3vVUd_0MrSduXTe1etBb1HNpAlGwQr006ljwMiM"",
      ""GSC最新!A:R""
    ),
    9,
    FALSE
  ),
  0
)
"),6.983350676378772)</f>
        <v>6.983350676</v>
      </c>
      <c r="Y41" s="65">
        <f>IFERROR(__xludf.DUMMYFUNCTION("IFERROR(
  VLOOKUP(
    A41,
    IMPORTRANGE(
      ""1ZHMy3vVUd_0MrSduXTe1etBb1HNpAlGwQr006ljwMiM"",
      ""GSC最新!A:R""
    ),
    12,
    FALSE
  ),
  0
)
"),6.917437722419929)</f>
        <v>6.917437722</v>
      </c>
      <c r="Z41" s="65">
        <f>IFERROR(__xludf.DUMMYFUNCTION("IFERROR(
  VLOOKUP(
    A41,
    IMPORTRANGE(
      ""1ZHMy3vVUd_0MrSduXTe1etBb1HNpAlGwQr006ljwMiM"",
      ""GSC最新!A:R""
    ),
    15,
    FALSE
  ),
  0
)
"),4.3)</f>
        <v>4.3</v>
      </c>
      <c r="AA41" s="65">
        <f>IFERROR(__xludf.DUMMYFUNCTION("IFERROR(
  VLOOKUP(
    A41,
    IMPORTRANGE(
      ""1ZHMy3vVUd_0MrSduXTe1etBb1HNpAlGwQr006ljwMiM"",
      ""GSC最新!A:R""
    ),
    18,
    FALSE
  ),
  0
)
"),8.866666666666667)</f>
        <v>8.866666667</v>
      </c>
      <c r="AB41" s="65">
        <f t="shared" ref="AB41:AC41" si="199">X41-Z41</f>
        <v>2.683350676</v>
      </c>
      <c r="AC41" s="65">
        <f t="shared" si="199"/>
        <v>-1.949228944</v>
      </c>
      <c r="AD41" s="53">
        <f>IFERROR(__xludf.DUMMYFUNCTION("IFERROR(
  VLOOKUP(
    A41,
    IMPORTRANGE(
      ""1ZHMy3vVUd_0MrSduXTe1etBb1HNpAlGwQr006ljwMiM"",
      ""GSC最新!A:F""
    ),
    6,
    FALSE
  ),
  0
)
"),46081.0)</f>
        <v>46081</v>
      </c>
      <c r="AE41" s="54">
        <f>IFERROR(__xludf.DUMMYFUNCTION("IFERROR(
  VLOOKUP(
    A41,
    IMPORTRANGE(
      ""1SCYQd7_cobOYqT0r_F0IqD4tE4rYn5y8Eup4PJTH8es"",
      ""Snapshot!A:M""
    ),
    5,
    FALSE
  ),
  ""-""
)
"),6.0)</f>
        <v>6</v>
      </c>
      <c r="AF41" s="54">
        <f>IFERROR(__xludf.DUMMYFUNCTION("IFERROR(
  VLOOKUP(
    A41,
    IMPORTRANGE(
      ""1SCYQd7_cobOYqT0r_F0IqD4tE4rYn5y8Eup4PJTH8es"",
      ""Snapshot!A:M""
    ),
    6,
    FALSE
  ),
  0
)
"),8.0)</f>
        <v>8</v>
      </c>
      <c r="AG41" s="54">
        <f>IFERROR(__xludf.DUMMYFUNCTION("IFERROR(
  VLOOKUP(
    A41,
    IMPORTRANGE(
      ""1SCYQd7_cobOYqT0r_F0IqD4tE4rYn5y8Eup4PJTH8es"",
      ""Snapshot!A:M""
    ),
    7,
    FALSE
  ),
  0
)
"),5433.0)</f>
        <v>5433</v>
      </c>
      <c r="AH41" s="54">
        <f>IFERROR(__xludf.DUMMYFUNCTION("IFERROR(
  VLOOKUP(
    A41,
    IMPORTRANGE(
      ""1SCYQd7_cobOYqT0r_F0IqD4tE4rYn5y8Eup4PJTH8es"",
      ""Snapshot!A:M""
    ),
    8,
    FALSE
  ),
  0
)
"),7.0)</f>
        <v>7</v>
      </c>
      <c r="AI41" s="54">
        <f>IFERROR(__xludf.DUMMYFUNCTION("IFERROR(
  VLOOKUP(
    A41,
    IMPORTRANGE(
      ""1SCYQd7_cobOYqT0r_F0IqD4tE4rYn5y8Eup4PJTH8es"",
      ""Snapshot!A:M""
    ),
    9,
    FALSE
  ),
  0
)
"),2.0)</f>
        <v>2</v>
      </c>
      <c r="AJ41" s="54">
        <f>IFERROR(__xludf.DUMMYFUNCTION("IFERROR(
  VLOOKUP(
    A41,
    IMPORTRANGE(
      ""1SCYQd7_cobOYqT0r_F0IqD4tE4rYn5y8Eup4PJTH8es"",
      ""Snapshot!A:M""
    ),
    13,
    FALSE
  ),
  0
)
"),2.0)</f>
        <v>2</v>
      </c>
      <c r="AK41" s="49">
        <f t="shared" ref="AK41:AL41" si="200">LEN(C41)</f>
        <v>27</v>
      </c>
      <c r="AL41" s="49">
        <f t="shared" si="200"/>
        <v>61</v>
      </c>
    </row>
    <row r="42">
      <c r="A42" s="3" t="s">
        <v>1265</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"),"中学受験理科化学分野｜つまずき対策暗記＋計算｜動画")</f>
        <v>中学受験理科化学分野｜つまずき対策暗記＋計算｜動画</v>
      </c>
      <c r="D42" s="1" t="str">
        <f>IFERROR(__xludf.DUMMYFUNCTION("IFERROR(
  VLOOKUP(
    A42,
    IMPORTRANGE(
      ""1ZygntHC1J6IxzKbTidmOyf5nUyW4GCLurHCjexrLm_o        "",
      ""HTMLキャッシュ!A:F""
    ),
    6,
    FALSE
  ),
  0
)
"),"中学受験理科の化学は暗記と計算が同時。単位、１００ｇあたり、実験の読み取りがつまずきに直結。溶解度・気体・金属・中和を動画＋ミニ演習で復習。")</f>
        <v>中学受験理科の化学は暗記と計算が同時。単位、１００ｇあたり、実験の読み取りがつまずきに直結。溶解度・気体・金属・中和を動画＋ミニ演習で復習。</v>
      </c>
      <c r="E42" s="32">
        <f>IFERROR(__xludf.DUMMYFUNCTION("IFERROR(
  VLOOKUP(
    A42,
    IMPORTRANGE(
      ""1ZygntHC1J6IxzKbTidmOyf5nUyW4GCLurHCjexrLm_o        "",
      ""HTMLキャッシュ!A:F""
    ),
    3,
    FALSE
  ),
  0
)
"),46078.97756944445)</f>
        <v>46078.97757</v>
      </c>
      <c r="F42" s="49">
        <f>IFERROR(__xludf.DUMMYFUNCTION("IFERROR(
  VLOOKUP(
    A42,
    IMPORTRANGE(
      ""1ZHMy3vVUd_0MrSduXTe1etBb1HNpAlGwQr006ljwMiM"",
      ""GSC最新!A:F""
    ),
    2,
    FALSE
  ),
  0
)
"),3.0)</f>
        <v>3</v>
      </c>
      <c r="G42" s="49">
        <f>IFERROR(__xludf.DUMMYFUNCTION("IFERROR(
  VLOOKUP(
    A42,
    IMPORTRANGE(
      ""1ZHMy3vVUd_0MrSduXTe1etBb1HNpAlGwQr006ljwMiM"",
      ""GSC最新!A:F""
    ),
    3,
    FALSE
  ),
  0
)
"),3.0)</f>
        <v>3</v>
      </c>
      <c r="H42" s="49">
        <f>IFERROR(__xludf.DUMMYFUNCTION("IFERROR(
  VLOOKUP(
    A42,
    IMPORTRANGE(
      ""1ZHMy3vVUd_0MrSduXTe1etBb1HNpAlGwQr006ljwMiM"",
      ""GSC最新!A:F""
    ),
    4,
    FALSE
  ),
  0
)
"),1.0)</f>
        <v>1</v>
      </c>
      <c r="I42" s="49">
        <f>IFERROR(__xludf.DUMMYFUNCTION("IFERROR(
  VLOOKUP(
    A42,
    IMPORTRANGE(
      ""1ZHMy3vVUd_0MrSduXTe1etBb1HNpAlGwQr006ljwMiM"",
      ""GSC最新!A:F""
    ),
    5,
    FALSE
  ),
  0
)
"),1.0)</f>
        <v>1</v>
      </c>
      <c r="J42" s="50">
        <f t="shared" ref="J42:K42" si="201">IFERROR(F42/H42,"-")</f>
        <v>3</v>
      </c>
      <c r="K42" s="50">
        <f t="shared" si="201"/>
        <v>3</v>
      </c>
      <c r="L42" s="6">
        <f>IFERROR(__xludf.DUMMYFUNCTION("IFERROR(
  VLOOKUP(
    A42,
    IMPORTRANGE(
      ""1ZHMy3vVUd_0MrSduXTe1etBb1HNpAlGwQr006ljwMiM"",
      ""GSC最新!A:R""
    ),
    7,
    FALSE
  ),
  0
)
"),288.0)</f>
        <v>288</v>
      </c>
      <c r="M42" s="6">
        <f>IFERROR(__xludf.DUMMYFUNCTION("IFERROR(
  VLOOKUP(
    A42,
    IMPORTRANGE(
      ""1ZHMy3vVUd_0MrSduXTe1etBb1HNpAlGwQr006ljwMiM"",
      ""GSC最新!A:R""
    ),
    10,
    FALSE
  ),
  0
)
"),310.0)</f>
        <v>310</v>
      </c>
      <c r="N42" s="6">
        <f>IFERROR(__xludf.DUMMYFUNCTION("IFERROR(
  VLOOKUP(
    A42,
    IMPORTRANGE(
      ""1ZHMy3vVUd_0MrSduXTe1etBb1HNpAlGwQr006ljwMiM"",
      ""GSC最新!A:R""
    ),
    13,
    FALSE
  ),
  0
)
"),1.0)</f>
        <v>1</v>
      </c>
      <c r="O42" s="6">
        <f>IFERROR(__xludf.DUMMYFUNCTION("IFERROR(
  VLOOKUP(
    A42,
    IMPORTRANGE(
      ""1ZHMy3vVUd_0MrSduXTe1etBb1HNpAlGwQr006ljwMiM"",
      ""GSC最新!A:R""
    ),
    16,
    FALSE
  ),
  0
)
"),9.0)</f>
        <v>9</v>
      </c>
      <c r="P42" s="51">
        <f t="shared" ref="P42:Q42" si="202">IFERROR(L42/N42,"-")</f>
        <v>288</v>
      </c>
      <c r="Q42" s="51">
        <f t="shared" si="202"/>
        <v>34.44444444</v>
      </c>
      <c r="R42" s="9">
        <f>IFERROR(__xludf.DUMMYFUNCTION("IFERROR(
  VLOOKUP(
    A42,
    IMPORTRANGE(
      ""1ZHMy3vVUd_0MrSduXTe1etBb1HNpAlGwQr006ljwMiM"",
      ""GSC最新!A:R""
    ),
    8,
    FALSE
  ),
  0
)
"),0.010416666666666666)</f>
        <v>0.01041666667</v>
      </c>
      <c r="S42" s="9">
        <f>IFERROR(__xludf.DUMMYFUNCTION("IFERROR(
  VLOOKUP(
    A42,
    IMPORTRANGE(
      ""1ZHMy3vVUd_0MrSduXTe1etBb1HNpAlGwQr006ljwMiM"",
      ""GSC最新!A:R""
    ),
    11,
    FALSE
  ),
  0
)
"),0.00967741935483871)</f>
        <v>0.009677419355</v>
      </c>
      <c r="T42" s="9">
        <f>IFERROR(__xludf.DUMMYFUNCTION("IFERROR(
  VLOOKUP(
    A42,
    IMPORTRANGE(
      ""1ZHMy3vVUd_0MrSduXTe1etBb1HNpAlGwQr006ljwMiM"",
      ""GSC最新!A:R""
    ),
    14,
    FALSE
  ),
  0
)
"),1.0)</f>
        <v>1</v>
      </c>
      <c r="U42" s="9">
        <f>IFERROR(__xludf.DUMMYFUNCTION("IFERROR(
  VLOOKUP(
    A42,
    IMPORTRANGE(
      ""1ZHMy3vVUd_0MrSduXTe1etBb1HNpAlGwQr006ljwMiM"",
      ""GSC最新!A:R""
    ),
    17,
    FALSE
  ),
  0
)
"),0.1111111111111111)</f>
        <v>0.1111111111</v>
      </c>
      <c r="V42" s="9">
        <f t="shared" ref="V42:W42" si="203">IFERROR(R42-T42,"-")</f>
        <v>-0.9895833333</v>
      </c>
      <c r="W42" s="9">
        <f t="shared" si="203"/>
        <v>-0.1014336918</v>
      </c>
      <c r="X42" s="65">
        <f>IFERROR(__xludf.DUMMYFUNCTION("IFERROR(
  VLOOKUP(
    A42,
    IMPORTRANGE(
      ""1ZHMy3vVUd_0MrSduXTe1etBb1HNpAlGwQr006ljwMiM"",
      ""GSC最新!A:R""
    ),
    9,
    FALSE
  ),
  0
)
"),7.163194444444445)</f>
        <v>7.163194444</v>
      </c>
      <c r="Y42" s="65">
        <f>IFERROR(__xludf.DUMMYFUNCTION("IFERROR(
  VLOOKUP(
    A42,
    IMPORTRANGE(
      ""1ZHMy3vVUd_0MrSduXTe1etBb1HNpAlGwQr006ljwMiM"",
      ""GSC最新!A:R""
    ),
    12,
    FALSE
  ),
  0
)
"),7.02258064516129)</f>
        <v>7.022580645</v>
      </c>
      <c r="Z42" s="65">
        <f>IFERROR(__xludf.DUMMYFUNCTION("IFERROR(
  VLOOKUP(
    A42,
    IMPORTRANGE(
      ""1ZHMy3vVUd_0MrSduXTe1etBb1HNpAlGwQr006ljwMiM"",
      ""GSC最新!A:R""
    ),
    15,
    FALSE
  ),
  0
)
"),4.0)</f>
        <v>4</v>
      </c>
      <c r="AA42" s="65">
        <f>IFERROR(__xludf.DUMMYFUNCTION("IFERROR(
  VLOOKUP(
    A42,
    IMPORTRANGE(
      ""1ZHMy3vVUd_0MrSduXTe1etBb1HNpAlGwQr006ljwMiM"",
      ""GSC最新!A:R""
    ),
    18,
    FALSE
  ),
  0
)
"),13.11111111111111)</f>
        <v>13.11111111</v>
      </c>
      <c r="AB42" s="65">
        <f t="shared" ref="AB42:AC42" si="204">X42-Z42</f>
        <v>3.163194444</v>
      </c>
      <c r="AC42" s="65">
        <f t="shared" si="204"/>
        <v>-6.088530466</v>
      </c>
      <c r="AD42" s="53">
        <f>IFERROR(__xludf.DUMMYFUNCTION("IFERROR(
  VLOOKUP(
    A42,
    IMPORTRANGE(
      ""1ZHMy3vVUd_0MrSduXTe1etBb1HNpAlGwQr006ljwMiM"",
      ""GSC最新!A:F""
    ),
    6,
    FALSE
  ),
  0
)
"),46081.0)</f>
        <v>46081</v>
      </c>
      <c r="AE42" s="54">
        <f>IFERROR(__xludf.DUMMYFUNCTION("IFERROR(
  VLOOKUP(
    A42,
    IMPORTRANGE(
      ""1SCYQd7_cobOYqT0r_F0IqD4tE4rYn5y8Eup4PJTH8es"",
      ""Snapshot!A:M""
    ),
    5,
    FALSE
  ),
  ""-""
)
"),7.0)</f>
        <v>7</v>
      </c>
      <c r="AF42" s="54">
        <f>IFERROR(__xludf.DUMMYFUNCTION("IFERROR(
  VLOOKUP(
    A42,
    IMPORTRANGE(
      ""1SCYQd7_cobOYqT0r_F0IqD4tE4rYn5y8Eup4PJTH8es"",
      ""Snapshot!A:M""
    ),
    6,
    FALSE
  ),
  0
)
"),6.0)</f>
        <v>6</v>
      </c>
      <c r="AG42" s="54">
        <f>IFERROR(__xludf.DUMMYFUNCTION("IFERROR(
  VLOOKUP(
    A42,
    IMPORTRANGE(
      ""1SCYQd7_cobOYqT0r_F0IqD4tE4rYn5y8Eup4PJTH8es"",
      ""Snapshot!A:M""
    ),
    7,
    FALSE
  ),
  0
)
"),7020.0)</f>
        <v>7020</v>
      </c>
      <c r="AH42" s="54">
        <f>IFERROR(__xludf.DUMMYFUNCTION("IFERROR(
  VLOOKUP(
    A42,
    IMPORTRANGE(
      ""1SCYQd7_cobOYqT0r_F0IqD4tE4rYn5y8Eup4PJTH8es"",
      ""Snapshot!A:M""
    ),
    8,
    FALSE
  ),
  0
)
"),11.0)</f>
        <v>11</v>
      </c>
      <c r="AI42" s="54">
        <f>IFERROR(__xludf.DUMMYFUNCTION("IFERROR(
  VLOOKUP(
    A42,
    IMPORTRANGE(
      ""1SCYQd7_cobOYqT0r_F0IqD4tE4rYn5y8Eup4PJTH8es"",
      ""Snapshot!A:M""
    ),
    9,
    FALSE
  ),
  0
)
"),2.0)</f>
        <v>2</v>
      </c>
      <c r="AJ42" s="54">
        <f>IFERROR(__xludf.DUMMYFUNCTION("IFERROR(
  VLOOKUP(
    A42,
    IMPORTRANGE(
      ""1SCYQd7_cobOYqT0r_F0IqD4tE4rYn5y8Eup4PJTH8es"",
      ""Snapshot!A:M""
    ),
    13,
    FALSE
  ),
  0
)
"),2.0)</f>
        <v>2</v>
      </c>
      <c r="AK42" s="49">
        <f t="shared" ref="AK42:AL42" si="205">LEN(C42)</f>
        <v>25</v>
      </c>
      <c r="AL42" s="49">
        <f t="shared" si="205"/>
        <v>70</v>
      </c>
    </row>
    <row r="43">
      <c r="A43" s="3" t="s">
        <v>299</v>
      </c>
      <c r="B43" s="1" t="str">
        <f>IFERROR(__xludf.DUMMYFUNCTION("IFERROR(
  VLOOKUP(
    A43,
    IMPORTRANGE(
      ""1ZygntHC1J6IxzKbTidmOyf5nUyW4GCLurHCjexrLm_o"",
      ""HTMLキャッシュ!A:F""
    ),
    2,
    FALSE
  ),
  0
)
"),"SP")</f>
        <v>SP</v>
      </c>
      <c r="C43" s="1" t="str">
        <f>IFERROR(__xludf.DUMMYFUNCTION("IFERROR(
  VLOOKUP(
    A43,
    IMPORTRANGE(
      ""1ZygntHC1J6IxzKbTidmOyf5nUyW4GCLurHCjexrLm_o"",
      ""HTMLキャッシュ!A:F""
    ),
    5,
    FALSE
  ),
  0
)
"),"理科のテスト勉強の仕方｜物理化学生物地学を分野別に1対1個別｜")</f>
        <v>理科のテスト勉強の仕方｜物理化学生物地学を分野別に1対1個別｜</v>
      </c>
      <c r="D43" s="1" t="str">
        <f>IFERROR(__xludf.DUMMYFUNCTION("IFERROR(
  VLOOKUP(
    A43,
    IMPORTRANGE(
      ""1ZygntHC1J6IxzKbTidmOyf5nUyW4GCLurHCjexrLm_o        "",
      ""HTMLキャッシュ!A:F""
    ),
    6,
    FALSE
  ),
  0
)
"),"理科のテスト勉強の仕方を、分野別に1対1で確認。物理化学生物地学を単元ごとに整理し、過去問までオンライン対応。")</f>
        <v>理科のテスト勉強の仕方を、分野別に1対1で確認。物理化学生物地学を単元ごとに整理し、過去問までオンライン対応。</v>
      </c>
      <c r="E43" s="32">
        <f>IFERROR(__xludf.DUMMYFUNCTION("IFERROR(
  VLOOKUP(
    A43,
    IMPORTRANGE(
      ""1ZygntHC1J6IxzKbTidmOyf5nUyW4GCLurHCjexrLm_o        "",
      ""HTMLキャッシュ!A:F""
    ),
    3,
    FALSE
  ),
  0
)
"),46079.251284722224)</f>
        <v>46079.25128</v>
      </c>
      <c r="F43" s="49">
        <f>IFERROR(__xludf.DUMMYFUNCTION("IFERROR(
  VLOOKUP(
    A43,
    IMPORTRANGE(
      ""1ZHMy3vVUd_0MrSduXTe1etBb1HNpAlGwQr006ljwMiM"",
      ""GSC最新!A:F""
    ),
    2,
    FALSE
  ),
  0
)
"),3.0)</f>
        <v>3</v>
      </c>
      <c r="G43" s="49">
        <f>IFERROR(__xludf.DUMMYFUNCTION("IFERROR(
  VLOOKUP(
    A43,
    IMPORTRANGE(
      ""1ZHMy3vVUd_0MrSduXTe1etBb1HNpAlGwQr006ljwMiM"",
      ""GSC最新!A:F""
    ),
    3,
    FALSE
  ),
  0
)
"),3.0)</f>
        <v>3</v>
      </c>
      <c r="H43" s="49">
        <f>IFERROR(__xludf.DUMMYFUNCTION("IFERROR(
  VLOOKUP(
    A43,
    IMPORTRANGE(
      ""1ZHMy3vVUd_0MrSduXTe1etBb1HNpAlGwQr006ljwMiM"",
      ""GSC最新!A:F""
    ),
    4,
    FALSE
  ),
  0
)
"),0.0)</f>
        <v>0</v>
      </c>
      <c r="I43" s="49">
        <f>IFERROR(__xludf.DUMMYFUNCTION("IFERROR(
  VLOOKUP(
    A43,
    IMPORTRANGE(
      ""1ZHMy3vVUd_0MrSduXTe1etBb1HNpAlGwQr006ljwMiM"",
      ""GSC最新!A:F""
    ),
    5,
    FALSE
  ),
  0
)
"),0.0)</f>
        <v>0</v>
      </c>
      <c r="J43" s="50" t="str">
        <f t="shared" ref="J43:K43" si="206">IFERROR(F43/H43,"-")</f>
        <v>-</v>
      </c>
      <c r="K43" s="50" t="str">
        <f t="shared" si="206"/>
        <v>-</v>
      </c>
      <c r="L43" s="6">
        <f>IFERROR(__xludf.DUMMYFUNCTION("IFERROR(
  VLOOKUP(
    A43,
    IMPORTRANGE(
      ""1ZHMy3vVUd_0MrSduXTe1etBb1HNpAlGwQr006ljwMiM"",
      ""GSC最新!A:R""
    ),
    7,
    FALSE
  ),
  0
)
"),171.0)</f>
        <v>171</v>
      </c>
      <c r="M43" s="6">
        <f>IFERROR(__xludf.DUMMYFUNCTION("IFERROR(
  VLOOKUP(
    A43,
    IMPORTRANGE(
      ""1ZHMy3vVUd_0MrSduXTe1etBb1HNpAlGwQr006ljwMiM"",
      ""GSC最新!A:R""
    ),
    10,
    FALSE
  ),
  0
)
"),242.0)</f>
        <v>242</v>
      </c>
      <c r="N43" s="6">
        <f>IFERROR(__xludf.DUMMYFUNCTION("IFERROR(
  VLOOKUP(
    A43,
    IMPORTRANGE(
      ""1ZHMy3vVUd_0MrSduXTe1etBb1HNpAlGwQr006ljwMiM"",
      ""GSC最新!A:R""
    ),
    13,
    FALSE
  ),
  0
)
"),1.0)</f>
        <v>1</v>
      </c>
      <c r="O43" s="6">
        <f>IFERROR(__xludf.DUMMYFUNCTION("IFERROR(
  VLOOKUP(
    A43,
    IMPORTRANGE(
      ""1ZHMy3vVUd_0MrSduXTe1etBb1HNpAlGwQr006ljwMiM"",
      ""GSC最新!A:R""
    ),
    16,
    FALSE
  ),
  0
)
"),14.0)</f>
        <v>14</v>
      </c>
      <c r="P43" s="51">
        <f t="shared" ref="P43:Q43" si="207">IFERROR(L43/N43,"-")</f>
        <v>171</v>
      </c>
      <c r="Q43" s="51">
        <f t="shared" si="207"/>
        <v>17.28571429</v>
      </c>
      <c r="R43" s="9">
        <f>IFERROR(__xludf.DUMMYFUNCTION("IFERROR(
  VLOOKUP(
    A43,
    IMPORTRANGE(
      ""1ZHMy3vVUd_0MrSduXTe1etBb1HNpAlGwQr006ljwMiM"",
      ""GSC最新!A:R""
    ),
    8,
    FALSE
  ),
  0
)
"),0.017543859649122806)</f>
        <v>0.01754385965</v>
      </c>
      <c r="S43" s="9">
        <f>IFERROR(__xludf.DUMMYFUNCTION("IFERROR(
  VLOOKUP(
    A43,
    IMPORTRANGE(
      ""1ZHMy3vVUd_0MrSduXTe1etBb1HNpAlGwQr006ljwMiM"",
      ""GSC最新!A:R""
    ),
    11,
    FALSE
  ),
  0
)
"),0.012396694214876033)</f>
        <v>0.01239669421</v>
      </c>
      <c r="T43" s="9">
        <f>IFERROR(__xludf.DUMMYFUNCTION("IFERROR(
  VLOOKUP(
    A43,
    IMPORTRANGE(
      ""1ZHMy3vVUd_0MrSduXTe1etBb1HNpAlGwQr006ljwMiM"",
      ""GSC最新!A:R""
    ),
    14,
    FALSE
  ),
  0
)
"),0.0)</f>
        <v>0</v>
      </c>
      <c r="U43" s="9">
        <f>IFERROR(__xludf.DUMMYFUNCTION("IFERROR(
  VLOOKUP(
    A43,
    IMPORTRANGE(
      ""1ZHMy3vVUd_0MrSduXTe1etBb1HNpAlGwQr006ljwMiM"",
      ""GSC最新!A:R""
    ),
    17,
    FALSE
  ),
  0
)
"),0.0)</f>
        <v>0</v>
      </c>
      <c r="V43" s="9">
        <f t="shared" ref="V43:W43" si="208">IFERROR(R43-T43,"-")</f>
        <v>0.01754385965</v>
      </c>
      <c r="W43" s="9">
        <f t="shared" si="208"/>
        <v>0.01239669421</v>
      </c>
      <c r="X43" s="65">
        <f>IFERROR(__xludf.DUMMYFUNCTION("IFERROR(
  VLOOKUP(
    A43,
    IMPORTRANGE(
      ""1ZHMy3vVUd_0MrSduXTe1etBb1HNpAlGwQr006ljwMiM"",
      ""GSC最新!A:R""
    ),
    9,
    FALSE
  ),
  0
)
"),6.5321637426900585)</f>
        <v>6.532163743</v>
      </c>
      <c r="Y43" s="65">
        <f>IFERROR(__xludf.DUMMYFUNCTION("IFERROR(
  VLOOKUP(
    A43,
    IMPORTRANGE(
      ""1ZHMy3vVUd_0MrSduXTe1etBb1HNpAlGwQr006ljwMiM"",
      ""GSC最新!A:R""
    ),
    12,
    FALSE
  ),
  0
)
"),8.533057851239668)</f>
        <v>8.533057851</v>
      </c>
      <c r="Z43" s="65">
        <f>IFERROR(__xludf.DUMMYFUNCTION("IFERROR(
  VLOOKUP(
    A43,
    IMPORTRANGE(
      ""1ZHMy3vVUd_0MrSduXTe1etBb1HNpAlGwQr006ljwMiM"",
      ""GSC最新!A:R""
    ),
    15,
    FALSE
  ),
  0
)
"),4.0)</f>
        <v>4</v>
      </c>
      <c r="AA43" s="65">
        <f>IFERROR(__xludf.DUMMYFUNCTION("IFERROR(
  VLOOKUP(
    A43,
    IMPORTRANGE(
      ""1ZHMy3vVUd_0MrSduXTe1etBb1HNpAlGwQr006ljwMiM"",
      ""GSC最新!A:R""
    ),
    18,
    FALSE
  ),
  0
)
"),7.5)</f>
        <v>7.5</v>
      </c>
      <c r="AB43" s="65">
        <f t="shared" ref="AB43:AC43" si="209">X43-Z43</f>
        <v>2.532163743</v>
      </c>
      <c r="AC43" s="65">
        <f t="shared" si="209"/>
        <v>1.033057851</v>
      </c>
      <c r="AD43" s="53">
        <f>IFERROR(__xludf.DUMMYFUNCTION("IFERROR(
  VLOOKUP(
    A43,
    IMPORTRANGE(
      ""1ZHMy3vVUd_0MrSduXTe1etBb1HNpAlGwQr006ljwMiM"",
      ""GSC最新!A:F""
    ),
    6,
    FALSE
  ),
  0
)
"),46081.0)</f>
        <v>46081</v>
      </c>
      <c r="AE43" s="54">
        <f>IFERROR(__xludf.DUMMYFUNCTION("IFERROR(
  VLOOKUP(
    A43,
    IMPORTRANGE(
      ""1SCYQd7_cobOYqT0r_F0IqD4tE4rYn5y8Eup4PJTH8es"",
      ""Snapshot!A:M""
    ),
    5,
    FALSE
  ),
  ""-""
)
"),10.0)</f>
        <v>10</v>
      </c>
      <c r="AF43" s="54">
        <f>IFERROR(__xludf.DUMMYFUNCTION("IFERROR(
  VLOOKUP(
    A43,
    IMPORTRANGE(
      ""1SCYQd7_cobOYqT0r_F0IqD4tE4rYn5y8Eup4PJTH8es"",
      ""Snapshot!A:M""
    ),
    6,
    FALSE
  ),
  0
)
"),0.0)</f>
        <v>0</v>
      </c>
      <c r="AG43" s="54">
        <f>IFERROR(__xludf.DUMMYFUNCTION("IFERROR(
  VLOOKUP(
    A43,
    IMPORTRANGE(
      ""1SCYQd7_cobOYqT0r_F0IqD4tE4rYn5y8Eup4PJTH8es"",
      ""Snapshot!A:M""
    ),
    7,
    FALSE
  ),
  0
)
"),4633.0)</f>
        <v>4633</v>
      </c>
      <c r="AH43" s="54">
        <f>IFERROR(__xludf.DUMMYFUNCTION("IFERROR(
  VLOOKUP(
    A43,
    IMPORTRANGE(
      ""1SCYQd7_cobOYqT0r_F0IqD4tE4rYn5y8Eup4PJTH8es"",
      ""Snapshot!A:M""
    ),
    8,
    FALSE
  ),
  0
)
"),6.0)</f>
        <v>6</v>
      </c>
      <c r="AI43" s="54">
        <f>IFERROR(__xludf.DUMMYFUNCTION("IFERROR(
  VLOOKUP(
    A43,
    IMPORTRANGE(
      ""1SCYQd7_cobOYqT0r_F0IqD4tE4rYn5y8Eup4PJTH8es"",
      ""Snapshot!A:M""
    ),
    9,
    FALSE
  ),
  0
)
"),1.0)</f>
        <v>1</v>
      </c>
      <c r="AJ43" s="54">
        <f>IFERROR(__xludf.DUMMYFUNCTION("IFERROR(
  VLOOKUP(
    A43,
    IMPORTRANGE(
      ""1SCYQd7_cobOYqT0r_F0IqD4tE4rYn5y8Eup4PJTH8es"",
      ""Snapshot!A:M""
    ),
    13,
    FALSE
  ),
  0
)
"),1.0)</f>
        <v>1</v>
      </c>
      <c r="AK43" s="49">
        <f t="shared" ref="AK43:AL43" si="210">LEN(C43)</f>
        <v>31</v>
      </c>
      <c r="AL43" s="49">
        <f t="shared" si="210"/>
        <v>55</v>
      </c>
    </row>
    <row r="44">
      <c r="A44" s="3" t="s">
        <v>1266</v>
      </c>
      <c r="B44" s="1" t="str">
        <f>IFERROR(__xludf.DUMMYFUNCTION("IFERROR(
  VLOOKUP(
    A44,
    IMPORTRANGE(
      ""1ZygntHC1J6IxzKbTidmOyf5nUyW4GCLurHCjexrLm_o"",
      ""HTMLキャッシュ!A:F""
    ),
    2,
    FALSE
  ),
  0
)
"),"ST")</f>
        <v>ST</v>
      </c>
      <c r="C44" s="1" t="str">
        <f>IFERROR(__xludf.DUMMYFUNCTION("IFERROR(
  VLOOKUP(
    A44,
    IMPORTRANGE(
      ""1ZygntHC1J6IxzKbTidmOyf5nUyW4GCLurHCjexrLm_o"",
      ""HTMLキャッシュ!A:F""
    ),
    5,
    FALSE
  ),
  0
)
"),"会社概要 - 中学受験 理科の個別指導 | 受験理科専門塾「しゅん吉クエスト」")</f>
        <v>会社概要 - 中学受験 理科の個別指導 | 受験理科専門塾「しゅん吉クエスト」</v>
      </c>
      <c r="D44" s="1" t="str">
        <f>IFERROR(__xludf.DUMMYFUNCTION("IFERROR(
  VLOOKUP(
    A44,
    IMPORTRANGE(
      ""1ZygntHC1J6IxzKbTidmOyf5nUyW4GCLurHCjexrLm_o        "",
      ""HTMLキャッシュ!A:F""
    ),
    6,
    FALSE
  ),
  0
)
"),"「しゅん吉クエスト」は株式会社アリスメティカジャパンにより運営されております。 会社概要 社名 株式会社アリス")</f>
        <v>「しゅん吉クエスト」は株式会社アリスメティカジャパンにより運営されております。 会社概要 社名 株式会社アリス</v>
      </c>
      <c r="E44" s="32">
        <f>IFERROR(__xludf.DUMMYFUNCTION("IFERROR(
  VLOOKUP(
    A44,
    IMPORTRANGE(
      ""1ZygntHC1J6IxzKbTidmOyf5nUyW4GCLurHCjexrLm_o        "",
      ""HTMLキャッシュ!A:F""
    ),
    3,
    FALSE
  ),
  0
)
"),45181.134780092594)</f>
        <v>45181.13478</v>
      </c>
      <c r="F44" s="49">
        <f>IFERROR(__xludf.DUMMYFUNCTION("IFERROR(
  VLOOKUP(
    A44,
    IMPORTRANGE(
      ""1ZHMy3vVUd_0MrSduXTe1etBb1HNpAlGwQr006ljwMiM"",
      ""GSC最新!A:F""
    ),
    2,
    FALSE
  ),
  0
)
"),1.0)</f>
        <v>1</v>
      </c>
      <c r="G44" s="49">
        <f>IFERROR(__xludf.DUMMYFUNCTION("IFERROR(
  VLOOKUP(
    A44,
    IMPORTRANGE(
      ""1ZHMy3vVUd_0MrSduXTe1etBb1HNpAlGwQr006ljwMiM"",
      ""GSC最新!A:F""
    ),
    3,
    FALSE
  ),
  0
)
"),2.0)</f>
        <v>2</v>
      </c>
      <c r="H44" s="49">
        <f>IFERROR(__xludf.DUMMYFUNCTION("IFERROR(
  VLOOKUP(
    A44,
    IMPORTRANGE(
      ""1ZHMy3vVUd_0MrSduXTe1etBb1HNpAlGwQr006ljwMiM"",
      ""GSC最新!A:F""
    ),
    4,
    FALSE
  ),
  0
)
"),0.0)</f>
        <v>0</v>
      </c>
      <c r="I44" s="49">
        <f>IFERROR(__xludf.DUMMYFUNCTION("IFERROR(
  VLOOKUP(
    A44,
    IMPORTRANGE(
      ""1ZHMy3vVUd_0MrSduXTe1etBb1HNpAlGwQr006ljwMiM"",
      ""GSC最新!A:F""
    ),
    5,
    FALSE
  ),
  0
)
"),0.0)</f>
        <v>0</v>
      </c>
      <c r="J44" s="50" t="str">
        <f t="shared" ref="J44:K44" si="211">IFERROR(F44/H44,"-")</f>
        <v>-</v>
      </c>
      <c r="K44" s="50" t="str">
        <f t="shared" si="211"/>
        <v>-</v>
      </c>
      <c r="L44" s="6">
        <f>IFERROR(__xludf.DUMMYFUNCTION("IFERROR(
  VLOOKUP(
    A44,
    IMPORTRANGE(
      ""1ZHMy3vVUd_0MrSduXTe1etBb1HNpAlGwQr006ljwMiM"",
      ""GSC最新!A:R""
    ),
    7,
    FALSE
  ),
  0
)
"),108.0)</f>
        <v>108</v>
      </c>
      <c r="M44" s="6">
        <f>IFERROR(__xludf.DUMMYFUNCTION("IFERROR(
  VLOOKUP(
    A44,
    IMPORTRANGE(
      ""1ZHMy3vVUd_0MrSduXTe1etBb1HNpAlGwQr006ljwMiM"",
      ""GSC最新!A:R""
    ),
    10,
    FALSE
  ),
  0
)
"),165.0)</f>
        <v>165</v>
      </c>
      <c r="N44" s="6">
        <f>IFERROR(__xludf.DUMMYFUNCTION("IFERROR(
  VLOOKUP(
    A44,
    IMPORTRANGE(
      ""1ZHMy3vVUd_0MrSduXTe1etBb1HNpAlGwQr006ljwMiM"",
      ""GSC最新!A:R""
    ),
    13,
    FALSE
  ),
  0
)
"),18.0)</f>
        <v>18</v>
      </c>
      <c r="O44" s="6">
        <f>IFERROR(__xludf.DUMMYFUNCTION("IFERROR(
  VLOOKUP(
    A44,
    IMPORTRANGE(
      ""1ZHMy3vVUd_0MrSduXTe1etBb1HNpAlGwQr006ljwMiM"",
      ""GSC最新!A:R""
    ),
    16,
    FALSE
  ),
  0
)
"),51.0)</f>
        <v>51</v>
      </c>
      <c r="P44" s="51">
        <f t="shared" ref="P44:Q44" si="212">IFERROR(L44/N44,"-")</f>
        <v>6</v>
      </c>
      <c r="Q44" s="51">
        <f t="shared" si="212"/>
        <v>3.235294118</v>
      </c>
      <c r="R44" s="9">
        <f>IFERROR(__xludf.DUMMYFUNCTION("IFERROR(
  VLOOKUP(
    A44,
    IMPORTRANGE(
      ""1ZHMy3vVUd_0MrSduXTe1etBb1HNpAlGwQr006ljwMiM"",
      ""GSC最新!A:R""
    ),
    8,
    FALSE
  ),
  0
)
"),0.009259259259259259)</f>
        <v>0.009259259259</v>
      </c>
      <c r="S44" s="9">
        <f>IFERROR(__xludf.DUMMYFUNCTION("IFERROR(
  VLOOKUP(
    A44,
    IMPORTRANGE(
      ""1ZHMy3vVUd_0MrSduXTe1etBb1HNpAlGwQr006ljwMiM"",
      ""GSC最新!A:R""
    ),
    11,
    FALSE
  ),
  0
)
"),0.012121212121212121)</f>
        <v>0.01212121212</v>
      </c>
      <c r="T44" s="9">
        <f>IFERROR(__xludf.DUMMYFUNCTION("IFERROR(
  VLOOKUP(
    A44,
    IMPORTRANGE(
      ""1ZHMy3vVUd_0MrSduXTe1etBb1HNpAlGwQr006ljwMiM"",
      ""GSC最新!A:R""
    ),
    14,
    FALSE
  ),
  0
)
"),0.0)</f>
        <v>0</v>
      </c>
      <c r="U44" s="9">
        <f>IFERROR(__xludf.DUMMYFUNCTION("IFERROR(
  VLOOKUP(
    A44,
    IMPORTRANGE(
      ""1ZHMy3vVUd_0MrSduXTe1etBb1HNpAlGwQr006ljwMiM"",
      ""GSC最新!A:R""
    ),
    17,
    FALSE
  ),
  0
)
"),0.0)</f>
        <v>0</v>
      </c>
      <c r="V44" s="9">
        <f t="shared" ref="V44:W44" si="213">IFERROR(R44-T44,"-")</f>
        <v>0.009259259259</v>
      </c>
      <c r="W44" s="9">
        <f t="shared" si="213"/>
        <v>0.01212121212</v>
      </c>
      <c r="X44" s="65">
        <f>IFERROR(__xludf.DUMMYFUNCTION("IFERROR(
  VLOOKUP(
    A44,
    IMPORTRANGE(
      ""1ZHMy3vVUd_0MrSduXTe1etBb1HNpAlGwQr006ljwMiM"",
      ""GSC最新!A:R""
    ),
    9,
    FALSE
  ),
  0
)
"),5.111111111111111)</f>
        <v>5.111111111</v>
      </c>
      <c r="Y44" s="65">
        <f>IFERROR(__xludf.DUMMYFUNCTION("IFERROR(
  VLOOKUP(
    A44,
    IMPORTRANGE(
      ""1ZHMy3vVUd_0MrSduXTe1etBb1HNpAlGwQr006ljwMiM"",
      ""GSC最新!A:R""
    ),
    12,
    FALSE
  ),
  0
)
"),5.430303030303031)</f>
        <v>5.43030303</v>
      </c>
      <c r="Z44" s="65">
        <f>IFERROR(__xludf.DUMMYFUNCTION("IFERROR(
  VLOOKUP(
    A44,
    IMPORTRANGE(
      ""1ZHMy3vVUd_0MrSduXTe1etBb1HNpAlGwQr006ljwMiM"",
      ""GSC最新!A:R""
    ),
    15,
    FALSE
  ),
  0
)
"),37.77777777777778)</f>
        <v>37.77777778</v>
      </c>
      <c r="AA44" s="65">
        <f>IFERROR(__xludf.DUMMYFUNCTION("IFERROR(
  VLOOKUP(
    A44,
    IMPORTRANGE(
      ""1ZHMy3vVUd_0MrSduXTe1etBb1HNpAlGwQr006ljwMiM"",
      ""GSC最新!A:R""
    ),
    18,
    FALSE
  ),
  0
)
"),22.372549019607842)</f>
        <v>22.37254902</v>
      </c>
      <c r="AB44" s="65">
        <f t="shared" ref="AB44:AC44" si="214">X44-Z44</f>
        <v>-32.66666667</v>
      </c>
      <c r="AC44" s="65">
        <f t="shared" si="214"/>
        <v>-16.94224599</v>
      </c>
      <c r="AD44" s="53">
        <f>IFERROR(__xludf.DUMMYFUNCTION("IFERROR(
  VLOOKUP(
    A44,
    IMPORTRANGE(
      ""1ZHMy3vVUd_0MrSduXTe1etBb1HNpAlGwQr006ljwMiM"",
      ""GSC最新!A:F""
    ),
    6,
    FALSE
  ),
  0
)
"),46081.0)</f>
        <v>46081</v>
      </c>
      <c r="AE44" s="54">
        <f>IFERROR(__xludf.DUMMYFUNCTION("IFERROR(
  VLOOKUP(
    A44,
    IMPORTRANGE(
      ""1SCYQd7_cobOYqT0r_F0IqD4tE4rYn5y8Eup4PJTH8es"",
      ""Snapshot!A:M""
    ),
    5,
    FALSE
  ),
  ""-""
)
"),1.0)</f>
        <v>1</v>
      </c>
      <c r="AF44" s="54">
        <f>IFERROR(__xludf.DUMMYFUNCTION("IFERROR(
  VLOOKUP(
    A44,
    IMPORTRANGE(
      ""1SCYQd7_cobOYqT0r_F0IqD4tE4rYn5y8Eup4PJTH8es"",
      ""Snapshot!A:M""
    ),
    6,
    FALSE
  ),
  0
)
"),6.0)</f>
        <v>6</v>
      </c>
      <c r="AG44" s="54">
        <f>IFERROR(__xludf.DUMMYFUNCTION("IFERROR(
  VLOOKUP(
    A44,
    IMPORTRANGE(
      ""1SCYQd7_cobOYqT0r_F0IqD4tE4rYn5y8Eup4PJTH8es"",
      ""Snapshot!A:M""
    ),
    7,
    FALSE
  ),
  0
)
"),679.0)</f>
        <v>679</v>
      </c>
      <c r="AH44" s="54">
        <f>IFERROR(__xludf.DUMMYFUNCTION("IFERROR(
  VLOOKUP(
    A44,
    IMPORTRANGE(
      ""1SCYQd7_cobOYqT0r_F0IqD4tE4rYn5y8Eup4PJTH8es"",
      ""Snapshot!A:M""
    ),
    8,
    FALSE
  ),
  0
)
"),1.0)</f>
        <v>1</v>
      </c>
      <c r="AI44" s="54">
        <f>IFERROR(__xludf.DUMMYFUNCTION("IFERROR(
  VLOOKUP(
    A44,
    IMPORTRANGE(
      ""1SCYQd7_cobOYqT0r_F0IqD4tE4rYn5y8Eup4PJTH8es"",
      ""Snapshot!A:M""
    ),
    9,
    FALSE
  ),
  0
)
"),1.0)</f>
        <v>1</v>
      </c>
      <c r="AJ44" s="54">
        <f>IFERROR(__xludf.DUMMYFUNCTION("IFERROR(
  VLOOKUP(
    A44,
    IMPORTRANGE(
      ""1SCYQd7_cobOYqT0r_F0IqD4tE4rYn5y8Eup4PJTH8es"",
      ""Snapshot!A:M""
    ),
    13,
    FALSE
  ),
  0
)
"),1.0)</f>
        <v>1</v>
      </c>
      <c r="AK44" s="49">
        <f t="shared" ref="AK44:AL44" si="215">LEN(C44)</f>
        <v>39</v>
      </c>
      <c r="AL44" s="49">
        <f t="shared" si="215"/>
        <v>55</v>
      </c>
    </row>
    <row r="45">
      <c r="A45" s="56" t="s">
        <v>1267</v>
      </c>
      <c r="B45" s="1" t="str">
        <f>IFERROR(__xludf.DUMMYFUNCTION("IFERROR(
  VLOOKUP(
    A45,
    IMPORTRANGE(
      ""1ZygntHC1J6IxzKbTidmOyf5nUyW4GCLurHCjexrLm_o"",
      ""HTMLキャッシュ!A:F""
    ),
    2,
    FALSE
  ),
  0
)
"),"MC")</f>
        <v>MC</v>
      </c>
      <c r="C45" s="1" t="str">
        <f>IFERROR(__xludf.DUMMYFUNCTION("IFERROR(
  VLOOKUP(
    A45,
    IMPORTRANGE(
      ""1ZygntHC1J6IxzKbTidmOyf5nUyW4GCLurHCjexrLm_o"",
      ""HTMLキャッシュ!A:F""
    ),
    5,
    FALSE
  ),
  0
)
"),"実験問題が読めない→目的/条件/結果/考察の読み順＋対照実験の見抜き方 - 中学受験 理科の個別指導 | 受験理科専門塾「しゅん吉クエスト」")</f>
        <v>実験問題が読めない→目的/条件/結果/考察の読み順＋対照実験の見抜き方 - 中学受験 理科の個別指導 | 受験理科専門塾「しゅん吉クエスト」</v>
      </c>
      <c r="D45" s="1" t="str">
        <f>IFERROR(__xludf.DUMMYFUNCTION("IFERROR(
  VLOOKUP(
    A45,
    IMPORTRANGE(
      ""1ZygntHC1J6IxzKbTidmOyf5nUyW4GCLurHCjexrLm_o        "",
      ""HTMLキャッシュ!A:F""
    ),
    6,
    FALSE
  ),
  0
)
"),"悩み起点 読み順の確立 対照実験の見抜き 家庭で回す 実験問題になると、文章は読んだはずなのに「結局、何を確か")</f>
        <v>悩み起点 読み順の確立 対照実験の見抜き 家庭で回す 実験問題になると、文章は読んだはずなのに「結局、何を確か</v>
      </c>
      <c r="E45" s="32">
        <f>IFERROR(__xludf.DUMMYFUNCTION("IFERROR(
  VLOOKUP(
    A45,
    IMPORTRANGE(
      ""1ZygntHC1J6IxzKbTidmOyf5nUyW4GCLurHCjexrLm_o        "",
      ""HTMLキャッシュ!A:F""
    ),
    3,
    FALSE
  ),
  0
)
"),46081.16829861111)</f>
        <v>46081.1683</v>
      </c>
      <c r="F45" s="49">
        <f>IFERROR(__xludf.DUMMYFUNCTION("IFERROR(
  VLOOKUP(
    A45,
    IMPORTRANGE(
      ""1ZHMy3vVUd_0MrSduXTe1etBb1HNpAlGwQr006ljwMiM"",
      ""GSC最新!A:F""
    ),
    2,
    FALSE
  ),
  0
)
"),1.0)</f>
        <v>1</v>
      </c>
      <c r="G45" s="49">
        <f>IFERROR(__xludf.DUMMYFUNCTION("IFERROR(
  VLOOKUP(
    A45,
    IMPORTRANGE(
      ""1ZHMy3vVUd_0MrSduXTe1etBb1HNpAlGwQr006ljwMiM"",
      ""GSC最新!A:F""
    ),
    3,
    FALSE
  ),
  0
)
"),1.0)</f>
        <v>1</v>
      </c>
      <c r="H45" s="49">
        <f>IFERROR(__xludf.DUMMYFUNCTION("IFERROR(
  VLOOKUP(
    A45,
    IMPORTRANGE(
      ""1ZHMy3vVUd_0MrSduXTe1etBb1HNpAlGwQr006ljwMiM"",
      ""GSC最新!A:F""
    ),
    4,
    FALSE
  ),
  0
)
"),0.0)</f>
        <v>0</v>
      </c>
      <c r="I45" s="49">
        <f>IFERROR(__xludf.DUMMYFUNCTION("IFERROR(
  VLOOKUP(
    A45,
    IMPORTRANGE(
      ""1ZHMy3vVUd_0MrSduXTe1etBb1HNpAlGwQr006ljwMiM"",
      ""GSC最新!A:F""
    ),
    5,
    FALSE
  ),
  0
)
"),0.0)</f>
        <v>0</v>
      </c>
      <c r="J45" s="50" t="str">
        <f t="shared" ref="J45:K45" si="216">IFERROR(F45/H45,"-")</f>
        <v>-</v>
      </c>
      <c r="K45" s="50" t="str">
        <f t="shared" si="216"/>
        <v>-</v>
      </c>
      <c r="L45" s="6">
        <f>IFERROR(__xludf.DUMMYFUNCTION("IFERROR(
  VLOOKUP(
    A45,
    IMPORTRANGE(
      ""1ZHMy3vVUd_0MrSduXTe1etBb1HNpAlGwQr006ljwMiM"",
      ""GSC最新!A:R""
    ),
    7,
    FALSE
  ),
  0
)
"),59.0)</f>
        <v>59</v>
      </c>
      <c r="M45" s="6">
        <f>IFERROR(__xludf.DUMMYFUNCTION("IFERROR(
  VLOOKUP(
    A45,
    IMPORTRANGE(
      ""1ZHMy3vVUd_0MrSduXTe1etBb1HNpAlGwQr006ljwMiM"",
      ""GSC最新!A:R""
    ),
    10,
    FALSE
  ),
  0
)
"),130.0)</f>
        <v>130</v>
      </c>
      <c r="N45" s="6">
        <f>IFERROR(__xludf.DUMMYFUNCTION("IFERROR(
  VLOOKUP(
    A45,
    IMPORTRANGE(
      ""1ZHMy3vVUd_0MrSduXTe1etBb1HNpAlGwQr006ljwMiM"",
      ""GSC最新!A:R""
    ),
    13,
    FALSE
  ),
  0
)
"),0.0)</f>
        <v>0</v>
      </c>
      <c r="O45" s="6">
        <f>IFERROR(__xludf.DUMMYFUNCTION("IFERROR(
  VLOOKUP(
    A45,
    IMPORTRANGE(
      ""1ZHMy3vVUd_0MrSduXTe1etBb1HNpAlGwQr006ljwMiM"",
      ""GSC最新!A:R""
    ),
    16,
    FALSE
  ),
  0
)
"),0.0)</f>
        <v>0</v>
      </c>
      <c r="P45" s="51" t="str">
        <f t="shared" ref="P45:Q45" si="217">IFERROR(L45/N45,"-")</f>
        <v>-</v>
      </c>
      <c r="Q45" s="51" t="str">
        <f t="shared" si="217"/>
        <v>-</v>
      </c>
      <c r="R45" s="9">
        <f>IFERROR(__xludf.DUMMYFUNCTION("IFERROR(
  VLOOKUP(
    A45,
    IMPORTRANGE(
      ""1ZHMy3vVUd_0MrSduXTe1etBb1HNpAlGwQr006ljwMiM"",
      ""GSC最新!A:R""
    ),
    8,
    FALSE
  ),
  0
)
"),0.01694915254237288)</f>
        <v>0.01694915254</v>
      </c>
      <c r="S45" s="9">
        <f>IFERROR(__xludf.DUMMYFUNCTION("IFERROR(
  VLOOKUP(
    A45,
    IMPORTRANGE(
      ""1ZHMy3vVUd_0MrSduXTe1etBb1HNpAlGwQr006ljwMiM"",
      ""GSC最新!A:R""
    ),
    11,
    FALSE
  ),
  0
)
"),0.007692307692307693)</f>
        <v>0.007692307692</v>
      </c>
      <c r="T45" s="9">
        <f>IFERROR(__xludf.DUMMYFUNCTION("IFERROR(
  VLOOKUP(
    A45,
    IMPORTRANGE(
      ""1ZHMy3vVUd_0MrSduXTe1etBb1HNpAlGwQr006ljwMiM"",
      ""GSC最新!A:R""
    ),
    14,
    FALSE
  ),
  0
)
"),0.0)</f>
        <v>0</v>
      </c>
      <c r="U45" s="9">
        <f>IFERROR(__xludf.DUMMYFUNCTION("IFERROR(
  VLOOKUP(
    A45,
    IMPORTRANGE(
      ""1ZHMy3vVUd_0MrSduXTe1etBb1HNpAlGwQr006ljwMiM"",
      ""GSC最新!A:R""
    ),
    17,
    FALSE
  ),
  0
)
"),0.0)</f>
        <v>0</v>
      </c>
      <c r="V45" s="9">
        <f t="shared" ref="V45:W45" si="218">IFERROR(R45-T45,"-")</f>
        <v>0.01694915254</v>
      </c>
      <c r="W45" s="9">
        <f t="shared" si="218"/>
        <v>0.007692307692</v>
      </c>
      <c r="X45" s="65">
        <f>IFERROR(__xludf.DUMMYFUNCTION("IFERROR(
  VLOOKUP(
    A45,
    IMPORTRANGE(
      ""1ZHMy3vVUd_0MrSduXTe1etBb1HNpAlGwQr006ljwMiM"",
      ""GSC最新!A:R""
    ),
    9,
    FALSE
  ),
  0
)
"),6.8474576271186445)</f>
        <v>6.847457627</v>
      </c>
      <c r="Y45" s="65">
        <f>IFERROR(__xludf.DUMMYFUNCTION("IFERROR(
  VLOOKUP(
    A45,
    IMPORTRANGE(
      ""1ZHMy3vVUd_0MrSduXTe1etBb1HNpAlGwQr006ljwMiM"",
      ""GSC最新!A:R""
    ),
    12,
    FALSE
  ),
  0
)
"),6.7153846153846155)</f>
        <v>6.715384615</v>
      </c>
      <c r="Z45" s="65" t="str">
        <f>IFERROR(__xludf.DUMMYFUNCTION("IFERROR(
  VLOOKUP(
    A45,
    IMPORTRANGE(
      ""1ZHMy3vVUd_0MrSduXTe1etBb1HNpAlGwQr006ljwMiM"",
      ""GSC最新!A:R""
    ),
    15,
    FALSE
  ),
  0
)
"),"")</f>
        <v/>
      </c>
      <c r="AA45" s="65" t="str">
        <f>IFERROR(__xludf.DUMMYFUNCTION("IFERROR(
  VLOOKUP(
    A45,
    IMPORTRANGE(
      ""1ZHMy3vVUd_0MrSduXTe1etBb1HNpAlGwQr006ljwMiM"",
      ""GSC最新!A:R""
    ),
    18,
    FALSE
  ),
  0
)
"),"")</f>
        <v/>
      </c>
      <c r="AB45" s="65">
        <f t="shared" ref="AB45:AC45" si="219">X45-Z45</f>
        <v>6.847457627</v>
      </c>
      <c r="AC45" s="65">
        <f t="shared" si="219"/>
        <v>6.715384615</v>
      </c>
      <c r="AD45" s="53">
        <f>IFERROR(__xludf.DUMMYFUNCTION("IFERROR(
  VLOOKUP(
    A45,
    IMPORTRANGE(
      ""1ZHMy3vVUd_0MrSduXTe1etBb1HNpAlGwQr006ljwMiM"",
      ""GSC最新!A:F""
    ),
    6,
    FALSE
  ),
  0
)
"),46081.0)</f>
        <v>46081</v>
      </c>
      <c r="AE45" s="54">
        <f>IFERROR(__xludf.DUMMYFUNCTION("IFERROR(
  VLOOKUP(
    A45,
    IMPORTRANGE(
      ""1SCYQd7_cobOYqT0r_F0IqD4tE4rYn5y8Eup4PJTH8es"",
      ""Snapshot!A:M""
    ),
    5,
    FALSE
  ),
  ""-""
)
"),8.0)</f>
        <v>8</v>
      </c>
      <c r="AF45" s="54">
        <f>IFERROR(__xludf.DUMMYFUNCTION("IFERROR(
  VLOOKUP(
    A45,
    IMPORTRANGE(
      ""1SCYQd7_cobOYqT0r_F0IqD4tE4rYn5y8Eup4PJTH8es"",
      ""Snapshot!A:M""
    ),
    6,
    FALSE
  ),
  0
)
"),9.0)</f>
        <v>9</v>
      </c>
      <c r="AG45" s="54">
        <f>IFERROR(__xludf.DUMMYFUNCTION("IFERROR(
  VLOOKUP(
    A45,
    IMPORTRANGE(
      ""1SCYQd7_cobOYqT0r_F0IqD4tE4rYn5y8Eup4PJTH8es"",
      ""Snapshot!A:M""
    ),
    7,
    FALSE
  ),
  0
)
"),3209.0)</f>
        <v>3209</v>
      </c>
      <c r="AH45" s="54">
        <f>IFERROR(__xludf.DUMMYFUNCTION("IFERROR(
  VLOOKUP(
    A45,
    IMPORTRANGE(
      ""1SCYQd7_cobOYqT0r_F0IqD4tE4rYn5y8Eup4PJTH8es"",
      ""Snapshot!A:M""
    ),
    8,
    FALSE
  ),
  0
)
"),10.0)</f>
        <v>10</v>
      </c>
      <c r="AI45" s="54">
        <f>IFERROR(__xludf.DUMMYFUNCTION("IFERROR(
  VLOOKUP(
    A45,
    IMPORTRANGE(
      ""1SCYQd7_cobOYqT0r_F0IqD4tE4rYn5y8Eup4PJTH8es"",
      ""Snapshot!A:M""
    ),
    9,
    FALSE
  ),
  0
)
"),1.0)</f>
        <v>1</v>
      </c>
      <c r="AJ45" s="54">
        <f>IFERROR(__xludf.DUMMYFUNCTION("IFERROR(
  VLOOKUP(
    A45,
    IMPORTRANGE(
      ""1SCYQd7_cobOYqT0r_F0IqD4tE4rYn5y8Eup4PJTH8es"",
      ""Snapshot!A:M""
    ),
    13,
    FALSE
  ),
  0
)
"),2.0)</f>
        <v>2</v>
      </c>
      <c r="AK45" s="49">
        <f t="shared" ref="AK45:AL45" si="220">LEN(C45)</f>
        <v>70</v>
      </c>
      <c r="AL45" s="49">
        <f t="shared" si="220"/>
        <v>55</v>
      </c>
    </row>
    <row r="46">
      <c r="A46" s="3" t="s">
        <v>1268</v>
      </c>
      <c r="B46" s="1" t="str">
        <f>IFERROR(__xludf.DUMMYFUNCTION("IFERROR(
  VLOOKUP(
    A46,
    IMPORTRANGE(
      ""1ZygntHC1J6IxzKbTidmOyf5nUyW4GCLurHCjexrLm_o"",
      ""HTMLキャッシュ!A:F""
    ),
    2,
    FALSE
  ),
  0
)
"),"ST")</f>
        <v>ST</v>
      </c>
      <c r="C46" s="1" t="str">
        <f>IFERROR(__xludf.DUMMYFUNCTION("IFERROR(
  VLOOKUP(
    A46,
    IMPORTRANGE(
      ""1ZygntHC1J6IxzKbTidmOyf5nUyW4GCLurHCjexrLm_o"",
      ""HTMLキャッシュ!A:F""
    ),
    5,
    FALSE
  ),
  0
)
"),"アクセス - 中学受験 理科の個別指導 | 受験理科専門塾「しゅん吉クエスト」")</f>
        <v>アクセス - 中学受験 理科の個別指導 | 受験理科専門塾「しゅん吉クエスト」</v>
      </c>
      <c r="D46" s="1" t="str">
        <f>IFERROR(__xludf.DUMMYFUNCTION("IFERROR(
  VLOOKUP(
    A46,
    IMPORTRANGE(
      ""1ZygntHC1J6IxzKbTidmOyf5nUyW4GCLurHCjexrLm_o        "",
      ""HTMLキャッシュ!A:F""
    ),
    6,
    FALSE
  ),
  0
)
"),"教室へのアクセス 住所 〒160-0004 東京都新宿区四谷１－７ 装美ビル301 地図 道順 四ツ谷駅の四ツ")</f>
        <v>教室へのアクセス 住所 〒160-0004 東京都新宿区四谷１－７ 装美ビル301 地図 道順 四ツ谷駅の四ツ</v>
      </c>
      <c r="E46" s="32">
        <f>IFERROR(__xludf.DUMMYFUNCTION("IFERROR(
  VLOOKUP(
    A46,
    IMPORTRANGE(
      ""1ZygntHC1J6IxzKbTidmOyf5nUyW4GCLurHCjexrLm_o        "",
      ""HTMLキャッシュ!A:F""
    ),
    3,
    FALSE
  ),
  0
)
"),45159.977743055555)</f>
        <v>45159.97774</v>
      </c>
      <c r="F46" s="49">
        <f>IFERROR(__xludf.DUMMYFUNCTION("IFERROR(
  VLOOKUP(
    A46,
    IMPORTRANGE(
      ""1ZHMy3vVUd_0MrSduXTe1etBb1HNpAlGwQr006ljwMiM"",
      ""GSC最新!A:F""
    ),
    2,
    FALSE
  ),
  0
)
"),0.0)</f>
        <v>0</v>
      </c>
      <c r="G46" s="49">
        <f>IFERROR(__xludf.DUMMYFUNCTION("IFERROR(
  VLOOKUP(
    A46,
    IMPORTRANGE(
      ""1ZHMy3vVUd_0MrSduXTe1etBb1HNpAlGwQr006ljwMiM"",
      ""GSC最新!A:F""
    ),
    3,
    FALSE
  ),
  0
)
"),1.0)</f>
        <v>1</v>
      </c>
      <c r="H46" s="49">
        <f>IFERROR(__xludf.DUMMYFUNCTION("IFERROR(
  VLOOKUP(
    A46,
    IMPORTRANGE(
      ""1ZHMy3vVUd_0MrSduXTe1etBb1HNpAlGwQr006ljwMiM"",
      ""GSC最新!A:F""
    ),
    4,
    FALSE
  ),
  0
)
"),0.0)</f>
        <v>0</v>
      </c>
      <c r="I46" s="49">
        <f>IFERROR(__xludf.DUMMYFUNCTION("IFERROR(
  VLOOKUP(
    A46,
    IMPORTRANGE(
      ""1ZHMy3vVUd_0MrSduXTe1etBb1HNpAlGwQr006ljwMiM"",
      ""GSC最新!A:F""
    ),
    5,
    FALSE
  ),
  0
)
"),1.0)</f>
        <v>1</v>
      </c>
      <c r="J46" s="50" t="str">
        <f t="shared" ref="J46:K46" si="221">IFERROR(F46/H46,"-")</f>
        <v>-</v>
      </c>
      <c r="K46" s="50">
        <f t="shared" si="221"/>
        <v>1</v>
      </c>
      <c r="L46" s="6">
        <f>IFERROR(__xludf.DUMMYFUNCTION("IFERROR(
  VLOOKUP(
    A46,
    IMPORTRANGE(
      ""1ZHMy3vVUd_0MrSduXTe1etBb1HNpAlGwQr006ljwMiM"",
      ""GSC最新!A:R""
    ),
    7,
    FALSE
  ),
  0
)
"),71.0)</f>
        <v>71</v>
      </c>
      <c r="M46" s="6">
        <f>IFERROR(__xludf.DUMMYFUNCTION("IFERROR(
  VLOOKUP(
    A46,
    IMPORTRANGE(
      ""1ZHMy3vVUd_0MrSduXTe1etBb1HNpAlGwQr006ljwMiM"",
      ""GSC最新!A:R""
    ),
    10,
    FALSE
  ),
  0
)
"),100.0)</f>
        <v>100</v>
      </c>
      <c r="N46" s="6">
        <f>IFERROR(__xludf.DUMMYFUNCTION("IFERROR(
  VLOOKUP(
    A46,
    IMPORTRANGE(
      ""1ZHMy3vVUd_0MrSduXTe1etBb1HNpAlGwQr006ljwMiM"",
      ""GSC最新!A:R""
    ),
    13,
    FALSE
  ),
  0
)
"),24.0)</f>
        <v>24</v>
      </c>
      <c r="O46" s="6">
        <f>IFERROR(__xludf.DUMMYFUNCTION("IFERROR(
  VLOOKUP(
    A46,
    IMPORTRANGE(
      ""1ZHMy3vVUd_0MrSduXTe1etBb1HNpAlGwQr006ljwMiM"",
      ""GSC最新!A:R""
    ),
    16,
    FALSE
  ),
  0
)
"),52.0)</f>
        <v>52</v>
      </c>
      <c r="P46" s="51">
        <f t="shared" ref="P46:Q46" si="222">IFERROR(L46/N46,"-")</f>
        <v>2.958333333</v>
      </c>
      <c r="Q46" s="51">
        <f t="shared" si="222"/>
        <v>1.923076923</v>
      </c>
      <c r="R46" s="9">
        <f>IFERROR(__xludf.DUMMYFUNCTION("IFERROR(
  VLOOKUP(
    A46,
    IMPORTRANGE(
      ""1ZHMy3vVUd_0MrSduXTe1etBb1HNpAlGwQr006ljwMiM"",
      ""GSC最新!A:R""
    ),
    8,
    FALSE
  ),
  0
)
"),0.0)</f>
        <v>0</v>
      </c>
      <c r="S46" s="9">
        <f>IFERROR(__xludf.DUMMYFUNCTION("IFERROR(
  VLOOKUP(
    A46,
    IMPORTRANGE(
      ""1ZHMy3vVUd_0MrSduXTe1etBb1HNpAlGwQr006ljwMiM"",
      ""GSC最新!A:R""
    ),
    11,
    FALSE
  ),
  0
)
"),0.01)</f>
        <v>0.01</v>
      </c>
      <c r="T46" s="9">
        <f>IFERROR(__xludf.DUMMYFUNCTION("IFERROR(
  VLOOKUP(
    A46,
    IMPORTRANGE(
      ""1ZHMy3vVUd_0MrSduXTe1etBb1HNpAlGwQr006ljwMiM"",
      ""GSC最新!A:R""
    ),
    14,
    FALSE
  ),
  0
)
"),0.0)</f>
        <v>0</v>
      </c>
      <c r="U46" s="9">
        <f>IFERROR(__xludf.DUMMYFUNCTION("IFERROR(
  VLOOKUP(
    A46,
    IMPORTRANGE(
      ""1ZHMy3vVUd_0MrSduXTe1etBb1HNpAlGwQr006ljwMiM"",
      ""GSC最新!A:R""
    ),
    17,
    FALSE
  ),
  0
)
"),0.019230769230769232)</f>
        <v>0.01923076923</v>
      </c>
      <c r="V46" s="9">
        <f t="shared" ref="V46:W46" si="223">IFERROR(R46-T46,"-")</f>
        <v>0</v>
      </c>
      <c r="W46" s="9">
        <f t="shared" si="223"/>
        <v>-0.009230769231</v>
      </c>
      <c r="X46" s="65">
        <f>IFERROR(__xludf.DUMMYFUNCTION("IFERROR(
  VLOOKUP(
    A46,
    IMPORTRANGE(
      ""1ZHMy3vVUd_0MrSduXTe1etBb1HNpAlGwQr006ljwMiM"",
      ""GSC最新!A:R""
    ),
    9,
    FALSE
  ),
  0
)
"),5.985915492957746)</f>
        <v>5.985915493</v>
      </c>
      <c r="Y46" s="65">
        <f>IFERROR(__xludf.DUMMYFUNCTION("IFERROR(
  VLOOKUP(
    A46,
    IMPORTRANGE(
      ""1ZHMy3vVUd_0MrSduXTe1etBb1HNpAlGwQr006ljwMiM"",
      ""GSC最新!A:R""
    ),
    12,
    FALSE
  ),
  0
)
"),6.38)</f>
        <v>6.38</v>
      </c>
      <c r="Z46" s="65">
        <f>IFERROR(__xludf.DUMMYFUNCTION("IFERROR(
  VLOOKUP(
    A46,
    IMPORTRANGE(
      ""1ZHMy3vVUd_0MrSduXTe1etBb1HNpAlGwQr006ljwMiM"",
      ""GSC最新!A:R""
    ),
    15,
    FALSE
  ),
  0
)
"),18.375)</f>
        <v>18.375</v>
      </c>
      <c r="AA46" s="65">
        <f>IFERROR(__xludf.DUMMYFUNCTION("IFERROR(
  VLOOKUP(
    A46,
    IMPORTRANGE(
      ""1ZHMy3vVUd_0MrSduXTe1etBb1HNpAlGwQr006ljwMiM"",
      ""GSC最新!A:R""
    ),
    18,
    FALSE
  ),
  0
)
"),26.096153846153847)</f>
        <v>26.09615385</v>
      </c>
      <c r="AB46" s="65">
        <f t="shared" ref="AB46:AC46" si="224">X46-Z46</f>
        <v>-12.38908451</v>
      </c>
      <c r="AC46" s="65">
        <f t="shared" si="224"/>
        <v>-19.71615385</v>
      </c>
      <c r="AD46" s="53">
        <f>IFERROR(__xludf.DUMMYFUNCTION("IFERROR(
  VLOOKUP(
    A46,
    IMPORTRANGE(
      ""1ZHMy3vVUd_0MrSduXTe1etBb1HNpAlGwQr006ljwMiM"",
      ""GSC最新!A:F""
    ),
    6,
    FALSE
  ),
  0
)
"),46081.0)</f>
        <v>46081</v>
      </c>
      <c r="AE46" s="54">
        <f>IFERROR(__xludf.DUMMYFUNCTION("IFERROR(
  VLOOKUP(
    A46,
    IMPORTRANGE(
      ""1SCYQd7_cobOYqT0r_F0IqD4tE4rYn5y8Eup4PJTH8es"",
      ""Snapshot!A:M""
    ),
    5,
    FALSE
  ),
  ""-""
)
"),1.0)</f>
        <v>1</v>
      </c>
      <c r="AF46" s="54">
        <f>IFERROR(__xludf.DUMMYFUNCTION("IFERROR(
  VLOOKUP(
    A46,
    IMPORTRANGE(
      ""1SCYQd7_cobOYqT0r_F0IqD4tE4rYn5y8Eup4PJTH8es"",
      ""Snapshot!A:M""
    ),
    6,
    FALSE
  ),
  0
)
"),4.0)</f>
        <v>4</v>
      </c>
      <c r="AG46" s="54">
        <f>IFERROR(__xludf.DUMMYFUNCTION("IFERROR(
  VLOOKUP(
    A46,
    IMPORTRANGE(
      ""1SCYQd7_cobOYqT0r_F0IqD4tE4rYn5y8Eup4PJTH8es"",
      ""Snapshot!A:M""
    ),
    7,
    FALSE
  ),
  0
)
"),206.0)</f>
        <v>206</v>
      </c>
      <c r="AH46" s="54">
        <f>IFERROR(__xludf.DUMMYFUNCTION("IFERROR(
  VLOOKUP(
    A46,
    IMPORTRANGE(
      ""1SCYQd7_cobOYqT0r_F0IqD4tE4rYn5y8Eup4PJTH8es"",
      ""Snapshot!A:M""
    ),
    8,
    FALSE
  ),
  0
)
"),0.0)</f>
        <v>0</v>
      </c>
      <c r="AI46" s="54">
        <f>IFERROR(__xludf.DUMMYFUNCTION("IFERROR(
  VLOOKUP(
    A46,
    IMPORTRANGE(
      ""1SCYQd7_cobOYqT0r_F0IqD4tE4rYn5y8Eup4PJTH8es"",
      ""Snapshot!A:M""
    ),
    9,
    FALSE
  ),
  0
)
"),1.0)</f>
        <v>1</v>
      </c>
      <c r="AJ46" s="54">
        <f>IFERROR(__xludf.DUMMYFUNCTION("IFERROR(
  VLOOKUP(
    A46,
    IMPORTRANGE(
      ""1SCYQd7_cobOYqT0r_F0IqD4tE4rYn5y8Eup4PJTH8es"",
      ""Snapshot!A:M""
    ),
    13,
    FALSE
  ),
  0
)
"),1.0)</f>
        <v>1</v>
      </c>
      <c r="AK46" s="49">
        <f t="shared" ref="AK46:AL46" si="225">LEN(C46)</f>
        <v>39</v>
      </c>
      <c r="AL46" s="49">
        <f t="shared" si="225"/>
        <v>55</v>
      </c>
    </row>
    <row r="47">
      <c r="A47" s="3" t="s">
        <v>1269</v>
      </c>
      <c r="B47" s="1" t="str">
        <f>IFERROR(__xludf.DUMMYFUNCTION("IFERROR(
  VLOOKUP(
    A47,
    IMPORTRANGE(
      ""1ZygntHC1J6IxzKbTidmOyf5nUyW4GCLurHCjexrLm_o"",
      ""HTMLキャッシュ!A:F""
    ),
    2,
    FALSE
  ),
  0
)
"),"ST")</f>
        <v>ST</v>
      </c>
      <c r="C47" s="1" t="str">
        <f>IFERROR(__xludf.DUMMYFUNCTION("IFERROR(
  VLOOKUP(
    A47,
    IMPORTRANGE(
      ""1ZygntHC1J6IxzKbTidmOyf5nUyW4GCLurHCjexrLm_o"",
      ""HTMLキャッシュ!A:F""
    ),
    5,
    FALSE
  ),
  0
)
"),"お問い合わせ - 中学受験 理科の個別指導 | 受験理科専門塾「しゅん吉クエスト」")</f>
        <v>お問い合わせ - 中学受験 理科の個別指導 | 受験理科専門塾「しゅん吉クエスト」</v>
      </c>
      <c r="D47" s="1" t="str">
        <f>IFERROR(__xludf.DUMMYFUNCTION("IFERROR(
  VLOOKUP(
    A47,
    IMPORTRANGE(
      ""1ZygntHC1J6IxzKbTidmOyf5nUyW4GCLurHCjexrLm_o        "",
      ""HTMLキャッシュ!A:F""
    ),
    6,
    FALSE
  ),
  0
)
"),"")</f>
        <v/>
      </c>
      <c r="E47" s="32">
        <f>IFERROR(__xludf.DUMMYFUNCTION("IFERROR(
  VLOOKUP(
    A47,
    IMPORTRANGE(
      ""1ZygntHC1J6IxzKbTidmOyf5nUyW4GCLurHCjexrLm_o        "",
      ""HTMLキャッシュ!A:F""
    ),
    3,
    FALSE
  ),
  0
)
"),44380.13846064815)</f>
        <v>44380.13846</v>
      </c>
      <c r="F47" s="49">
        <f>IFERROR(__xludf.DUMMYFUNCTION("IFERROR(
  VLOOKUP(
    A47,
    IMPORTRANGE(
      ""1ZHMy3vVUd_0MrSduXTe1etBb1HNpAlGwQr006ljwMiM"",
      ""GSC最新!A:F""
    ),
    2,
    FALSE
  ),
  0
)
"),1.0)</f>
        <v>1</v>
      </c>
      <c r="G47" s="49">
        <f>IFERROR(__xludf.DUMMYFUNCTION("IFERROR(
  VLOOKUP(
    A47,
    IMPORTRANGE(
      ""1ZHMy3vVUd_0MrSduXTe1etBb1HNpAlGwQr006ljwMiM"",
      ""GSC最新!A:F""
    ),
    3,
    FALSE
  ),
  0
)
"),1.0)</f>
        <v>1</v>
      </c>
      <c r="H47" s="49">
        <f>IFERROR(__xludf.DUMMYFUNCTION("IFERROR(
  VLOOKUP(
    A47,
    IMPORTRANGE(
      ""1ZHMy3vVUd_0MrSduXTe1etBb1HNpAlGwQr006ljwMiM"",
      ""GSC最新!A:F""
    ),
    4,
    FALSE
  ),
  0
)
"),0.0)</f>
        <v>0</v>
      </c>
      <c r="I47" s="49">
        <f>IFERROR(__xludf.DUMMYFUNCTION("IFERROR(
  VLOOKUP(
    A47,
    IMPORTRANGE(
      ""1ZHMy3vVUd_0MrSduXTe1etBb1HNpAlGwQr006ljwMiM"",
      ""GSC最新!A:F""
    ),
    5,
    FALSE
  ),
  0
)
"),0.0)</f>
        <v>0</v>
      </c>
      <c r="J47" s="50" t="str">
        <f t="shared" ref="J47:K47" si="226">IFERROR(F47/H47,"-")</f>
        <v>-</v>
      </c>
      <c r="K47" s="50" t="str">
        <f t="shared" si="226"/>
        <v>-</v>
      </c>
      <c r="L47" s="6">
        <f>IFERROR(__xludf.DUMMYFUNCTION("IFERROR(
  VLOOKUP(
    A47,
    IMPORTRANGE(
      ""1ZHMy3vVUd_0MrSduXTe1etBb1HNpAlGwQr006ljwMiM"",
      ""GSC最新!A:R""
    ),
    7,
    FALSE
  ),
  0
)
"),19.0)</f>
        <v>19</v>
      </c>
      <c r="M47" s="6">
        <f>IFERROR(__xludf.DUMMYFUNCTION("IFERROR(
  VLOOKUP(
    A47,
    IMPORTRANGE(
      ""1ZHMy3vVUd_0MrSduXTe1etBb1HNpAlGwQr006ljwMiM"",
      ""GSC最新!A:R""
    ),
    10,
    FALSE
  ),
  0
)
"),29.0)</f>
        <v>29</v>
      </c>
      <c r="N47" s="6">
        <f>IFERROR(__xludf.DUMMYFUNCTION("IFERROR(
  VLOOKUP(
    A47,
    IMPORTRANGE(
      ""1ZHMy3vVUd_0MrSduXTe1etBb1HNpAlGwQr006ljwMiM"",
      ""GSC最新!A:R""
    ),
    13,
    FALSE
  ),
  0
)
"),1.0)</f>
        <v>1</v>
      </c>
      <c r="O47" s="6">
        <f>IFERROR(__xludf.DUMMYFUNCTION("IFERROR(
  VLOOKUP(
    A47,
    IMPORTRANGE(
      ""1ZHMy3vVUd_0MrSduXTe1etBb1HNpAlGwQr006ljwMiM"",
      ""GSC最新!A:R""
    ),
    16,
    FALSE
  ),
  0
)
"),10.0)</f>
        <v>10</v>
      </c>
      <c r="P47" s="51">
        <f t="shared" ref="P47:Q47" si="227">IFERROR(L47/N47,"-")</f>
        <v>19</v>
      </c>
      <c r="Q47" s="51">
        <f t="shared" si="227"/>
        <v>2.9</v>
      </c>
      <c r="R47" s="9">
        <f>IFERROR(__xludf.DUMMYFUNCTION("IFERROR(
  VLOOKUP(
    A47,
    IMPORTRANGE(
      ""1ZHMy3vVUd_0MrSduXTe1etBb1HNpAlGwQr006ljwMiM"",
      ""GSC最新!A:R""
    ),
    8,
    FALSE
  ),
  0
)
"),0.05263157894736842)</f>
        <v>0.05263157895</v>
      </c>
      <c r="S47" s="9">
        <f>IFERROR(__xludf.DUMMYFUNCTION("IFERROR(
  VLOOKUP(
    A47,
    IMPORTRANGE(
      ""1ZHMy3vVUd_0MrSduXTe1etBb1HNpAlGwQr006ljwMiM"",
      ""GSC最新!A:R""
    ),
    11,
    FALSE
  ),
  0
)
"),0.034482758620689655)</f>
        <v>0.03448275862</v>
      </c>
      <c r="T47" s="9">
        <f>IFERROR(__xludf.DUMMYFUNCTION("IFERROR(
  VLOOKUP(
    A47,
    IMPORTRANGE(
      ""1ZHMy3vVUd_0MrSduXTe1etBb1HNpAlGwQr006ljwMiM"",
      ""GSC最新!A:R""
    ),
    14,
    FALSE
  ),
  0
)
"),0.0)</f>
        <v>0</v>
      </c>
      <c r="U47" s="9">
        <f>IFERROR(__xludf.DUMMYFUNCTION("IFERROR(
  VLOOKUP(
    A47,
    IMPORTRANGE(
      ""1ZHMy3vVUd_0MrSduXTe1etBb1HNpAlGwQr006ljwMiM"",
      ""GSC最新!A:R""
    ),
    17,
    FALSE
  ),
  0
)
"),0.0)</f>
        <v>0</v>
      </c>
      <c r="V47" s="9">
        <f t="shared" ref="V47:W47" si="228">IFERROR(R47-T47,"-")</f>
        <v>0.05263157895</v>
      </c>
      <c r="W47" s="9">
        <f t="shared" si="228"/>
        <v>0.03448275862</v>
      </c>
      <c r="X47" s="65">
        <f>IFERROR(__xludf.DUMMYFUNCTION("IFERROR(
  VLOOKUP(
    A47,
    IMPORTRANGE(
      ""1ZHMy3vVUd_0MrSduXTe1etBb1HNpAlGwQr006ljwMiM"",
      ""GSC最新!A:R""
    ),
    9,
    FALSE
  ),
  0
)
"),8.105263157894736)</f>
        <v>8.105263158</v>
      </c>
      <c r="Y47" s="65">
        <f>IFERROR(__xludf.DUMMYFUNCTION("IFERROR(
  VLOOKUP(
    A47,
    IMPORTRANGE(
      ""1ZHMy3vVUd_0MrSduXTe1etBb1HNpAlGwQr006ljwMiM"",
      ""GSC最新!A:R""
    ),
    12,
    FALSE
  ),
  0
)
"),7.724137931034483)</f>
        <v>7.724137931</v>
      </c>
      <c r="Z47" s="65">
        <f>IFERROR(__xludf.DUMMYFUNCTION("IFERROR(
  VLOOKUP(
    A47,
    IMPORTRANGE(
      ""1ZHMy3vVUd_0MrSduXTe1etBb1HNpAlGwQr006ljwMiM"",
      ""GSC最新!A:R""
    ),
    15,
    FALSE
  ),
  0
)
"),72.0)</f>
        <v>72</v>
      </c>
      <c r="AA47" s="65">
        <f>IFERROR(__xludf.DUMMYFUNCTION("IFERROR(
  VLOOKUP(
    A47,
    IMPORTRANGE(
      ""1ZHMy3vVUd_0MrSduXTe1etBb1HNpAlGwQr006ljwMiM"",
      ""GSC最新!A:R""
    ),
    18,
    FALSE
  ),
  0
)
"),23.6)</f>
        <v>23.6</v>
      </c>
      <c r="AB47" s="65">
        <f t="shared" ref="AB47:AC47" si="229">X47-Z47</f>
        <v>-63.89473684</v>
      </c>
      <c r="AC47" s="65">
        <f t="shared" si="229"/>
        <v>-15.87586207</v>
      </c>
      <c r="AD47" s="53">
        <f>IFERROR(__xludf.DUMMYFUNCTION("IFERROR(
  VLOOKUP(
    A47,
    IMPORTRANGE(
      ""1ZHMy3vVUd_0MrSduXTe1etBb1HNpAlGwQr006ljwMiM"",
      ""GSC最新!A:F""
    ),
    6,
    FALSE
  ),
  0
)
"),46081.0)</f>
        <v>46081</v>
      </c>
      <c r="AE47" s="54">
        <f>IFERROR(__xludf.DUMMYFUNCTION("IFERROR(
  VLOOKUP(
    A47,
    IMPORTRANGE(
      ""1SCYQd7_cobOYqT0r_F0IqD4tE4rYn5y8Eup4PJTH8es"",
      ""Snapshot!A:M""
    ),
    5,
    FALSE
  ),
  ""-""
)
"),0.0)</f>
        <v>0</v>
      </c>
      <c r="AF47" s="54">
        <f>IFERROR(__xludf.DUMMYFUNCTION("IFERROR(
  VLOOKUP(
    A47,
    IMPORTRANGE(
      ""1SCYQd7_cobOYqT0r_F0IqD4tE4rYn5y8Eup4PJTH8es"",
      ""Snapshot!A:M""
    ),
    6,
    FALSE
  ),
  0
)
"),0.0)</f>
        <v>0</v>
      </c>
      <c r="AG47" s="54">
        <f>IFERROR(__xludf.DUMMYFUNCTION("IFERROR(
  VLOOKUP(
    A47,
    IMPORTRANGE(
      ""1SCYQd7_cobOYqT0r_F0IqD4tE4rYn5y8Eup4PJTH8es"",
      ""Snapshot!A:M""
    ),
    7,
    FALSE
  ),
  0
)
"),66.0)</f>
        <v>66</v>
      </c>
      <c r="AH47" s="54">
        <f>IFERROR(__xludf.DUMMYFUNCTION("IFERROR(
  VLOOKUP(
    A47,
    IMPORTRANGE(
      ""1SCYQd7_cobOYqT0r_F0IqD4tE4rYn5y8Eup4PJTH8es"",
      ""Snapshot!A:M""
    ),
    8,
    FALSE
  ),
  0
)
"),0.0)</f>
        <v>0</v>
      </c>
      <c r="AI47" s="54">
        <f>IFERROR(__xludf.DUMMYFUNCTION("IFERROR(
  VLOOKUP(
    A47,
    IMPORTRANGE(
      ""1SCYQd7_cobOYqT0r_F0IqD4tE4rYn5y8Eup4PJTH8es"",
      ""Snapshot!A:M""
    ),
    9,
    FALSE
  ),
  0
)
"),1.0)</f>
        <v>1</v>
      </c>
      <c r="AJ47" s="54">
        <f>IFERROR(__xludf.DUMMYFUNCTION("IFERROR(
  VLOOKUP(
    A47,
    IMPORTRANGE(
      ""1SCYQd7_cobOYqT0r_F0IqD4tE4rYn5y8Eup4PJTH8es"",
      ""Snapshot!A:M""
    ),
    13,
    FALSE
  ),
  0
)
"),1.0)</f>
        <v>1</v>
      </c>
      <c r="AK47" s="49">
        <f t="shared" ref="AK47:AL47" si="230">LEN(C47)</f>
        <v>41</v>
      </c>
      <c r="AL47" s="49">
        <f t="shared" si="230"/>
        <v>0</v>
      </c>
    </row>
    <row r="48">
      <c r="A48" s="3" t="s">
        <v>235</v>
      </c>
      <c r="B48" s="1" t="str">
        <f>IFERROR(__xludf.DUMMYFUNCTION("IFERROR(
  VLOOKUP(
    A48,
    IMPORTRANGE(
      ""1ZygntHC1J6IxzKbTidmOyf5nUyW4GCLurHCjexrLm_o"",
      ""HTMLキャッシュ!A:F""
    ),
    2,
    FALSE
  ),
  0
)
"),"-")</f>
        <v>-</v>
      </c>
      <c r="C48" s="1" t="str">
        <f>IFERROR(__xludf.DUMMYFUNCTION("IFERROR(
  VLOOKUP(
    A48,
    IMPORTRANGE(
      ""1ZygntHC1J6IxzKbTidmOyf5nUyW4GCLurHCjexrLm_o"",
      ""HTMLキャッシュ!A:F""
    ),
    5,
    FALSE
  ),
  0
)
"),"コラム - 中学受験 理科の個別指導 | 受験理科専門塾「しゅん吉クエスト」")</f>
        <v>コラム - 中学受験 理科の個別指導 | 受験理科専門塾「しゅん吉クエスト」</v>
      </c>
      <c r="D48" s="1" t="str">
        <f>IFERROR(__xludf.DUMMYFUNCTION("IFERROR(
  VLOOKUP(
    A48,
    IMPORTRANGE(
      ""1ZygntHC1J6IxzKbTidmOyf5nUyW4GCLurHCjexrLm_o        "",
      ""HTMLキャッシュ!A:F""
    ),
    6,
    FALSE
  ),
  0
)
"),"[1ページ目] コラム の記事 中学受験 理科の個別指導 | 受験理科専門塾「しゅん吉クエスト」 中学受験理科に特化した指導塾。個別指導で苦手分野を克服し、自信をつける学びを提供します。")</f>
        <v>[1ページ目] コラム の記事 中学受験 理科の個別指導 | 受験理科専門塾「しゅん吉クエスト」 中学受験理科に特化した指導塾。個別指導で苦手分野を克服し、自信をつける学びを提供します。</v>
      </c>
      <c r="E48" s="32">
        <f>IFERROR(__xludf.DUMMYFUNCTION("IFERROR(
  VLOOKUP(
    A48,
    IMPORTRANGE(
      ""1ZygntHC1J6IxzKbTidmOyf5nUyW4GCLurHCjexrLm_o        "",
      ""HTMLキャッシュ!A:F""
    ),
    3,
    FALSE
  ),
  0
)
"),46025.773668981485)</f>
        <v>46025.77367</v>
      </c>
      <c r="F48" s="49">
        <f>IFERROR(__xludf.DUMMYFUNCTION("IFERROR(
  VLOOKUP(
    A48,
    IMPORTRANGE(
      ""1ZHMy3vVUd_0MrSduXTe1etBb1HNpAlGwQr006ljwMiM"",
      ""GSC最新!A:F""
    ),
    2,
    FALSE
  ),
  0
)
"),0.0)</f>
        <v>0</v>
      </c>
      <c r="G48" s="49">
        <f>IFERROR(__xludf.DUMMYFUNCTION("IFERROR(
  VLOOKUP(
    A48,
    IMPORTRANGE(
      ""1ZHMy3vVUd_0MrSduXTe1etBb1HNpAlGwQr006ljwMiM"",
      ""GSC最新!A:F""
    ),
    3,
    FALSE
  ),
  0
)
"),0.0)</f>
        <v>0</v>
      </c>
      <c r="H48" s="49">
        <f>IFERROR(__xludf.DUMMYFUNCTION("IFERROR(
  VLOOKUP(
    A48,
    IMPORTRANGE(
      ""1ZHMy3vVUd_0MrSduXTe1etBb1HNpAlGwQr006ljwMiM"",
      ""GSC最新!A:F""
    ),
    4,
    FALSE
  ),
  0
)
"),0.0)</f>
        <v>0</v>
      </c>
      <c r="I48" s="49">
        <f>IFERROR(__xludf.DUMMYFUNCTION("IFERROR(
  VLOOKUP(
    A48,
    IMPORTRANGE(
      ""1ZHMy3vVUd_0MrSduXTe1etBb1HNpAlGwQr006ljwMiM"",
      ""GSC最新!A:F""
    ),
    5,
    FALSE
  ),
  0
)
"),0.0)</f>
        <v>0</v>
      </c>
      <c r="J48" s="50" t="str">
        <f t="shared" ref="J48:K48" si="231">IFERROR(F48/H48,"-")</f>
        <v>-</v>
      </c>
      <c r="K48" s="50" t="str">
        <f t="shared" si="231"/>
        <v>-</v>
      </c>
      <c r="L48" s="6">
        <f>IFERROR(__xludf.DUMMYFUNCTION("IFERROR(
  VLOOKUP(
    A48,
    IMPORTRANGE(
      ""1ZHMy3vVUd_0MrSduXTe1etBb1HNpAlGwQr006ljwMiM"",
      ""GSC最新!A:R""
    ),
    7,
    FALSE
  ),
  0
)
"),46.0)</f>
        <v>46</v>
      </c>
      <c r="M48" s="6">
        <f>IFERROR(__xludf.DUMMYFUNCTION("IFERROR(
  VLOOKUP(
    A48,
    IMPORTRANGE(
      ""1ZHMy3vVUd_0MrSduXTe1etBb1HNpAlGwQr006ljwMiM"",
      ""GSC最新!A:R""
    ),
    10,
    FALSE
  ),
  0
)
"),102.0)</f>
        <v>102</v>
      </c>
      <c r="N48" s="6">
        <f>IFERROR(__xludf.DUMMYFUNCTION("IFERROR(
  VLOOKUP(
    A48,
    IMPORTRANGE(
      ""1ZHMy3vVUd_0MrSduXTe1etBb1HNpAlGwQr006ljwMiM"",
      ""GSC最新!A:R""
    ),
    13,
    FALSE
  ),
  0
)
"),7.0)</f>
        <v>7</v>
      </c>
      <c r="O48" s="6">
        <f>IFERROR(__xludf.DUMMYFUNCTION("IFERROR(
  VLOOKUP(
    A48,
    IMPORTRANGE(
      ""1ZHMy3vVUd_0MrSduXTe1etBb1HNpAlGwQr006ljwMiM"",
      ""GSC最新!A:R""
    ),
    16,
    FALSE
  ),
  0
)
"),17.0)</f>
        <v>17</v>
      </c>
      <c r="P48" s="51">
        <f t="shared" ref="P48:Q48" si="232">IFERROR(L48/N48,"-")</f>
        <v>6.571428571</v>
      </c>
      <c r="Q48" s="51">
        <f t="shared" si="232"/>
        <v>6</v>
      </c>
      <c r="R48" s="9">
        <f>IFERROR(__xludf.DUMMYFUNCTION("IFERROR(
  VLOOKUP(
    A48,
    IMPORTRANGE(
      ""1ZHMy3vVUd_0MrSduXTe1etBb1HNpAlGwQr006ljwMiM"",
      ""GSC最新!A:R""
    ),
    8,
    FALSE
  ),
  0
)
"),0.0)</f>
        <v>0</v>
      </c>
      <c r="S48" s="9">
        <f>IFERROR(__xludf.DUMMYFUNCTION("IFERROR(
  VLOOKUP(
    A48,
    IMPORTRANGE(
      ""1ZHMy3vVUd_0MrSduXTe1etBb1HNpAlGwQr006ljwMiM"",
      ""GSC最新!A:R""
    ),
    11,
    FALSE
  ),
  0
)
"),0.0)</f>
        <v>0</v>
      </c>
      <c r="T48" s="9">
        <f>IFERROR(__xludf.DUMMYFUNCTION("IFERROR(
  VLOOKUP(
    A48,
    IMPORTRANGE(
      ""1ZHMy3vVUd_0MrSduXTe1etBb1HNpAlGwQr006ljwMiM"",
      ""GSC最新!A:R""
    ),
    14,
    FALSE
  ),
  0
)
"),0.0)</f>
        <v>0</v>
      </c>
      <c r="U48" s="9">
        <f>IFERROR(__xludf.DUMMYFUNCTION("IFERROR(
  VLOOKUP(
    A48,
    IMPORTRANGE(
      ""1ZHMy3vVUd_0MrSduXTe1etBb1HNpAlGwQr006ljwMiM"",
      ""GSC最新!A:R""
    ),
    17,
    FALSE
  ),
  0
)
"),0.0)</f>
        <v>0</v>
      </c>
      <c r="V48" s="9">
        <f t="shared" ref="V48:W48" si="233">IFERROR(R48-T48,"-")</f>
        <v>0</v>
      </c>
      <c r="W48" s="9">
        <f t="shared" si="233"/>
        <v>0</v>
      </c>
      <c r="X48" s="65">
        <f>IFERROR(__xludf.DUMMYFUNCTION("IFERROR(
  VLOOKUP(
    A48,
    IMPORTRANGE(
      ""1ZHMy3vVUd_0MrSduXTe1etBb1HNpAlGwQr006ljwMiM"",
      ""GSC最新!A:R""
    ),
    9,
    FALSE
  ),
  0
)
"),4.260869565217391)</f>
        <v>4.260869565</v>
      </c>
      <c r="Y48" s="65">
        <f>IFERROR(__xludf.DUMMYFUNCTION("IFERROR(
  VLOOKUP(
    A48,
    IMPORTRANGE(
      ""1ZHMy3vVUd_0MrSduXTe1etBb1HNpAlGwQr006ljwMiM"",
      ""GSC最新!A:R""
    ),
    12,
    FALSE
  ),
  0
)
"),4.588235294117647)</f>
        <v>4.588235294</v>
      </c>
      <c r="Z48" s="65">
        <f>IFERROR(__xludf.DUMMYFUNCTION("IFERROR(
  VLOOKUP(
    A48,
    IMPORTRANGE(
      ""1ZHMy3vVUd_0MrSduXTe1etBb1HNpAlGwQr006ljwMiM"",
      ""GSC最新!A:R""
    ),
    15,
    FALSE
  ),
  0
)
"),30.857142857142858)</f>
        <v>30.85714286</v>
      </c>
      <c r="AA48" s="65">
        <f>IFERROR(__xludf.DUMMYFUNCTION("IFERROR(
  VLOOKUP(
    A48,
    IMPORTRANGE(
      ""1ZHMy3vVUd_0MrSduXTe1etBb1HNpAlGwQr006ljwMiM"",
      ""GSC最新!A:R""
    ),
    18,
    FALSE
  ),
  0
)
"),28.352941176470587)</f>
        <v>28.35294118</v>
      </c>
      <c r="AB48" s="65">
        <f t="shared" ref="AB48:AC48" si="234">X48-Z48</f>
        <v>-26.59627329</v>
      </c>
      <c r="AC48" s="65">
        <f t="shared" si="234"/>
        <v>-23.76470588</v>
      </c>
      <c r="AD48" s="53">
        <f>IFERROR(__xludf.DUMMYFUNCTION("IFERROR(
  VLOOKUP(
    A48,
    IMPORTRANGE(
      ""1ZHMy3vVUd_0MrSduXTe1etBb1HNpAlGwQr006ljwMiM"",
      ""GSC最新!A:F""
    ),
    6,
    FALSE
  ),
  0
)
"),46081.0)</f>
        <v>46081</v>
      </c>
      <c r="AE48" s="54">
        <f>IFERROR(__xludf.DUMMYFUNCTION("IFERROR(
  VLOOKUP(
    A48,
    IMPORTRANGE(
      ""1SCYQd7_cobOYqT0r_F0IqD4tE4rYn5y8Eup4PJTH8es"",
      ""Snapshot!A:M""
    ),
    5,
    FALSE
  ),
  ""-""
)
"),0.0)</f>
        <v>0</v>
      </c>
      <c r="AF48" s="54">
        <f>IFERROR(__xludf.DUMMYFUNCTION("IFERROR(
  VLOOKUP(
    A48,
    IMPORTRANGE(
      ""1SCYQd7_cobOYqT0r_F0IqD4tE4rYn5y8Eup4PJTH8es"",
      ""Snapshot!A:M""
    ),
    6,
    FALSE
  ),
  0
)
"),0.0)</f>
        <v>0</v>
      </c>
      <c r="AG48" s="54">
        <f>IFERROR(__xludf.DUMMYFUNCTION("IFERROR(
  VLOOKUP(
    A48,
    IMPORTRANGE(
      ""1SCYQd7_cobOYqT0r_F0IqD4tE4rYn5y8Eup4PJTH8es"",
      ""Snapshot!A:M""
    ),
    7,
    FALSE
  ),
  0
)
"),0.0)</f>
        <v>0</v>
      </c>
      <c r="AH48" s="54">
        <f>IFERROR(__xludf.DUMMYFUNCTION("IFERROR(
  VLOOKUP(
    A48,
    IMPORTRANGE(
      ""1SCYQd7_cobOYqT0r_F0IqD4tE4rYn5y8Eup4PJTH8es"",
      ""Snapshot!A:M""
    ),
    8,
    FALSE
  ),
  0
)
"),0.0)</f>
        <v>0</v>
      </c>
      <c r="AI48" s="54">
        <f>IFERROR(__xludf.DUMMYFUNCTION("IFERROR(
  VLOOKUP(
    A48,
    IMPORTRANGE(
      ""1SCYQd7_cobOYqT0r_F0IqD4tE4rYn5y8Eup4PJTH8es"",
      ""Snapshot!A:M""
    ),
    9,
    FALSE
  ),
  0
)
"),0.0)</f>
        <v>0</v>
      </c>
      <c r="AJ48" s="54">
        <f>IFERROR(__xludf.DUMMYFUNCTION("IFERROR(
  VLOOKUP(
    A48,
    IMPORTRANGE(
      ""1SCYQd7_cobOYqT0r_F0IqD4tE4rYn5y8Eup4PJTH8es"",
      ""Snapshot!A:M""
    ),
    13,
    FALSE
  ),
  0
)
"),1.0)</f>
        <v>1</v>
      </c>
      <c r="AK48" s="49">
        <f t="shared" ref="AK48:AL48" si="235">LEN(C48)</f>
        <v>38</v>
      </c>
      <c r="AL48" s="49">
        <f t="shared" si="235"/>
        <v>93</v>
      </c>
    </row>
    <row r="49">
      <c r="A49" s="3" t="s">
        <v>1270</v>
      </c>
      <c r="B49" s="1" t="str">
        <f>IFERROR(__xludf.DUMMYFUNCTION("IFERROR(
  VLOOKUP(
    A49,
    IMPORTRANGE(
      ""1ZygntHC1J6IxzKbTidmOyf5nUyW4GCLurHCjexrLm_o"",
      ""HTMLキャッシュ!A:F""
    ),
    2,
    FALSE
  ),
  0
)
"),"ST")</f>
        <v>ST</v>
      </c>
      <c r="C49" s="1" t="str">
        <f>IFERROR(__xludf.DUMMYFUNCTION("IFERROR(
  VLOOKUP(
    A49,
    IMPORTRANGE(
      ""1ZygntHC1J6IxzKbTidmOyf5nUyW4GCLurHCjexrLm_o"",
      ""HTMLキャッシュ!A:F""
    ),
    5,
    FALSE
  ),
  0
)
"),"時間割 - 中学受験 理科の個別指導 | 受験理科専門塾「しゅん吉クエスト」")</f>
        <v>時間割 - 中学受験 理科の個別指導 | 受験理科専門塾「しゅん吉クエスト」</v>
      </c>
      <c r="D49" s="1" t="str">
        <f>IFERROR(__xludf.DUMMYFUNCTION("IFERROR(
  VLOOKUP(
    A49,
    IMPORTRANGE(
      ""1ZygntHC1J6IxzKbTidmOyf5nUyW4GCLurHCjexrLm_o        "",
      ""HTMLキャッシュ!A:F""
    ),
    6,
    FALSE
  ),
  0
)
"),"timetable")</f>
        <v>timetable</v>
      </c>
      <c r="E49" s="32">
        <f>IFERROR(__xludf.DUMMYFUNCTION("IFERROR(
  VLOOKUP(
    A49,
    IMPORTRANGE(
      ""1ZygntHC1J6IxzKbTidmOyf5nUyW4GCLurHCjexrLm_o        "",
      ""HTMLキャッシュ!A:F""
    ),
    3,
    FALSE
  ),
  0
)
"),44380.10916666667)</f>
        <v>44380.10917</v>
      </c>
      <c r="F49" s="49">
        <f>IFERROR(__xludf.DUMMYFUNCTION("IFERROR(
  VLOOKUP(
    A49,
    IMPORTRANGE(
      ""1ZHMy3vVUd_0MrSduXTe1etBb1HNpAlGwQr006ljwMiM"",
      ""GSC最新!A:F""
    ),
    2,
    FALSE
  ),
  0
)
"),0.0)</f>
        <v>0</v>
      </c>
      <c r="G49" s="49">
        <f>IFERROR(__xludf.DUMMYFUNCTION("IFERROR(
  VLOOKUP(
    A49,
    IMPORTRANGE(
      ""1ZHMy3vVUd_0MrSduXTe1etBb1HNpAlGwQr006ljwMiM"",
      ""GSC最新!A:F""
    ),
    3,
    FALSE
  ),
  0
)
"),0.0)</f>
        <v>0</v>
      </c>
      <c r="H49" s="49">
        <f>IFERROR(__xludf.DUMMYFUNCTION("IFERROR(
  VLOOKUP(
    A49,
    IMPORTRANGE(
      ""1ZHMy3vVUd_0MrSduXTe1etBb1HNpAlGwQr006ljwMiM"",
      ""GSC最新!A:F""
    ),
    4,
    FALSE
  ),
  0
)
"),0.0)</f>
        <v>0</v>
      </c>
      <c r="I49" s="49">
        <f>IFERROR(__xludf.DUMMYFUNCTION("IFERROR(
  VLOOKUP(
    A49,
    IMPORTRANGE(
      ""1ZHMy3vVUd_0MrSduXTe1etBb1HNpAlGwQr006ljwMiM"",
      ""GSC最新!A:F""
    ),
    5,
    FALSE
  ),
  0
)
"),0.0)</f>
        <v>0</v>
      </c>
      <c r="J49" s="50" t="str">
        <f t="shared" ref="J49:K49" si="236">IFERROR(F49/H49,"-")</f>
        <v>-</v>
      </c>
      <c r="K49" s="50" t="str">
        <f t="shared" si="236"/>
        <v>-</v>
      </c>
      <c r="L49" s="6">
        <f>IFERROR(__xludf.DUMMYFUNCTION("IFERROR(
  VLOOKUP(
    A49,
    IMPORTRANGE(
      ""1ZHMy3vVUd_0MrSduXTe1etBb1HNpAlGwQr006ljwMiM"",
      ""GSC最新!A:R""
    ),
    7,
    FALSE
  ),
  0
)
"),30.0)</f>
        <v>30</v>
      </c>
      <c r="M49" s="6">
        <f>IFERROR(__xludf.DUMMYFUNCTION("IFERROR(
  VLOOKUP(
    A49,
    IMPORTRANGE(
      ""1ZHMy3vVUd_0MrSduXTe1etBb1HNpAlGwQr006ljwMiM"",
      ""GSC最新!A:R""
    ),
    10,
    FALSE
  ),
  0
)
"),41.0)</f>
        <v>41</v>
      </c>
      <c r="N49" s="6">
        <f>IFERROR(__xludf.DUMMYFUNCTION("IFERROR(
  VLOOKUP(
    A49,
    IMPORTRANGE(
      ""1ZHMy3vVUd_0MrSduXTe1etBb1HNpAlGwQr006ljwMiM"",
      ""GSC最新!A:R""
    ),
    13,
    FALSE
  ),
  0
)
"),0.0)</f>
        <v>0</v>
      </c>
      <c r="O49" s="6">
        <f>IFERROR(__xludf.DUMMYFUNCTION("IFERROR(
  VLOOKUP(
    A49,
    IMPORTRANGE(
      ""1ZHMy3vVUd_0MrSduXTe1etBb1HNpAlGwQr006ljwMiM"",
      ""GSC最新!A:R""
    ),
    16,
    FALSE
  ),
  0
)
"),3.0)</f>
        <v>3</v>
      </c>
      <c r="P49" s="51" t="str">
        <f t="shared" ref="P49:Q49" si="237">IFERROR(L49/N49,"-")</f>
        <v>-</v>
      </c>
      <c r="Q49" s="51">
        <f t="shared" si="237"/>
        <v>13.66666667</v>
      </c>
      <c r="R49" s="9">
        <f>IFERROR(__xludf.DUMMYFUNCTION("IFERROR(
  VLOOKUP(
    A49,
    IMPORTRANGE(
      ""1ZHMy3vVUd_0MrSduXTe1etBb1HNpAlGwQr006ljwMiM"",
      ""GSC最新!A:R""
    ),
    8,
    FALSE
  ),
  0
)
"),0.0)</f>
        <v>0</v>
      </c>
      <c r="S49" s="9">
        <f>IFERROR(__xludf.DUMMYFUNCTION("IFERROR(
  VLOOKUP(
    A49,
    IMPORTRANGE(
      ""1ZHMy3vVUd_0MrSduXTe1etBb1HNpAlGwQr006ljwMiM"",
      ""GSC最新!A:R""
    ),
    11,
    FALSE
  ),
  0
)
"),0.0)</f>
        <v>0</v>
      </c>
      <c r="T49" s="9">
        <f>IFERROR(__xludf.DUMMYFUNCTION("IFERROR(
  VLOOKUP(
    A49,
    IMPORTRANGE(
      ""1ZHMy3vVUd_0MrSduXTe1etBb1HNpAlGwQr006ljwMiM"",
      ""GSC最新!A:R""
    ),
    14,
    FALSE
  ),
  0
)
"),0.0)</f>
        <v>0</v>
      </c>
      <c r="U49" s="9">
        <f>IFERROR(__xludf.DUMMYFUNCTION("IFERROR(
  VLOOKUP(
    A49,
    IMPORTRANGE(
      ""1ZHMy3vVUd_0MrSduXTe1etBb1HNpAlGwQr006ljwMiM"",
      ""GSC最新!A:R""
    ),
    17,
    FALSE
  ),
  0
)
"),0.0)</f>
        <v>0</v>
      </c>
      <c r="V49" s="9">
        <f t="shared" ref="V49:W49" si="238">IFERROR(R49-T49,"-")</f>
        <v>0</v>
      </c>
      <c r="W49" s="9">
        <f t="shared" si="238"/>
        <v>0</v>
      </c>
      <c r="X49" s="65">
        <f>IFERROR(__xludf.DUMMYFUNCTION("IFERROR(
  VLOOKUP(
    A49,
    IMPORTRANGE(
      ""1ZHMy3vVUd_0MrSduXTe1etBb1HNpAlGwQr006ljwMiM"",
      ""GSC最新!A:R""
    ),
    9,
    FALSE
  ),
  0
)
"),5.0)</f>
        <v>5</v>
      </c>
      <c r="Y49" s="65">
        <f>IFERROR(__xludf.DUMMYFUNCTION("IFERROR(
  VLOOKUP(
    A49,
    IMPORTRANGE(
      ""1ZHMy3vVUd_0MrSduXTe1etBb1HNpAlGwQr006ljwMiM"",
      ""GSC最新!A:R""
    ),
    12,
    FALSE
  ),
  0
)
"),5.170731707317073)</f>
        <v>5.170731707</v>
      </c>
      <c r="Z49" s="65" t="str">
        <f>IFERROR(__xludf.DUMMYFUNCTION("IFERROR(
  VLOOKUP(
    A49,
    IMPORTRANGE(
      ""1ZHMy3vVUd_0MrSduXTe1etBb1HNpAlGwQr006ljwMiM"",
      ""GSC最新!A:R""
    ),
    15,
    FALSE
  ),
  0
)
"),"")</f>
        <v/>
      </c>
      <c r="AA49" s="65">
        <f>IFERROR(__xludf.DUMMYFUNCTION("IFERROR(
  VLOOKUP(
    A49,
    IMPORTRANGE(
      ""1ZHMy3vVUd_0MrSduXTe1etBb1HNpAlGwQr006ljwMiM"",
      ""GSC最新!A:R""
    ),
    18,
    FALSE
  ),
  0
)
"),4.333333333333334)</f>
        <v>4.333333333</v>
      </c>
      <c r="AB49" s="65">
        <f t="shared" ref="AB49:AC49" si="239">X49-Z49</f>
        <v>5</v>
      </c>
      <c r="AC49" s="65">
        <f t="shared" si="239"/>
        <v>0.837398374</v>
      </c>
      <c r="AD49" s="53">
        <f>IFERROR(__xludf.DUMMYFUNCTION("IFERROR(
  VLOOKUP(
    A49,
    IMPORTRANGE(
      ""1ZHMy3vVUd_0MrSduXTe1etBb1HNpAlGwQr006ljwMiM"",
      ""GSC最新!A:F""
    ),
    6,
    FALSE
  ),
  0
)
"),46081.0)</f>
        <v>46081</v>
      </c>
      <c r="AE49" s="54">
        <f>IFERROR(__xludf.DUMMYFUNCTION("IFERROR(
  VLOOKUP(
    A49,
    IMPORTRANGE(
      ""1SCYQd7_cobOYqT0r_F0IqD4tE4rYn5y8Eup4PJTH8es"",
      ""Snapshot!A:M""
    ),
    5,
    FALSE
  ),
  ""-""
)
"),0.0)</f>
        <v>0</v>
      </c>
      <c r="AF49" s="54">
        <f>IFERROR(__xludf.DUMMYFUNCTION("IFERROR(
  VLOOKUP(
    A49,
    IMPORTRANGE(
      ""1SCYQd7_cobOYqT0r_F0IqD4tE4rYn5y8Eup4PJTH8es"",
      ""Snapshot!A:M""
    ),
    6,
    FALSE
  ),
  0
)
"),0.0)</f>
        <v>0</v>
      </c>
      <c r="AG49" s="54">
        <f>IFERROR(__xludf.DUMMYFUNCTION("IFERROR(
  VLOOKUP(
    A49,
    IMPORTRANGE(
      ""1SCYQd7_cobOYqT0r_F0IqD4tE4rYn5y8Eup4PJTH8es"",
      ""Snapshot!A:M""
    ),
    7,
    FALSE
  ),
  0
)
"),9.0)</f>
        <v>9</v>
      </c>
      <c r="AH49" s="54">
        <f>IFERROR(__xludf.DUMMYFUNCTION("IFERROR(
  VLOOKUP(
    A49,
    IMPORTRANGE(
      ""1SCYQd7_cobOYqT0r_F0IqD4tE4rYn5y8Eup4PJTH8es"",
      ""Snapshot!A:M""
    ),
    8,
    FALSE
  ),
  0
)
"),0.0)</f>
        <v>0</v>
      </c>
      <c r="AI49" s="54">
        <f>IFERROR(__xludf.DUMMYFUNCTION("IFERROR(
  VLOOKUP(
    A49,
    IMPORTRANGE(
      ""1SCYQd7_cobOYqT0r_F0IqD4tE4rYn5y8Eup4PJTH8es"",
      ""Snapshot!A:M""
    ),
    9,
    FALSE
  ),
  0
)
"),1.0)</f>
        <v>1</v>
      </c>
      <c r="AJ49" s="54">
        <f>IFERROR(__xludf.DUMMYFUNCTION("IFERROR(
  VLOOKUP(
    A49,
    IMPORTRANGE(
      ""1SCYQd7_cobOYqT0r_F0IqD4tE4rYn5y8Eup4PJTH8es"",
      ""Snapshot!A:M""
    ),
    13,
    FALSE
  ),
  0
)
"),1.0)</f>
        <v>1</v>
      </c>
      <c r="AK49" s="49">
        <f t="shared" ref="AK49:AL49" si="240">LEN(C49)</f>
        <v>38</v>
      </c>
      <c r="AL49" s="49">
        <f t="shared" si="240"/>
        <v>9</v>
      </c>
    </row>
    <row r="50">
      <c r="A50" s="56" t="s">
        <v>1271</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"),"「理由を答えよ」で書けない→条件→変化→理由の型／減点パターンの回避 - 中学受験 理科の個別指導 | 受験理科専門塾「しゅん吉クエスト」")</f>
        <v>「理由を答えよ」で書けない→条件→変化→理由の型／減点パターンの回避 - 中学受験 理科の個別指導 | 受験理科専門塾「しゅん吉クエスト」</v>
      </c>
      <c r="D50" s="1" t="str">
        <f>IFERROR(__xludf.DUMMYFUNCTION("IFERROR(
  VLOOKUP(
    A50,
    IMPORTRANGE(
      ""1ZygntHC1J6IxzKbTidmOyf5nUyW4GCLurHCjexrLm_o        "",
      ""HTMLキャッシュ!A:F""
    ),
    6,
    FALSE
  ),
  0
)
"),"中学受験理科／記述 テーマ：「理由」を“書き方の流れ”にして減点を止める 悩み起点 条件→変化→理由 減点パタ")</f>
        <v>中学受験理科／記述 テーマ：「理由」を“書き方の流れ”にして減点を止める 悩み起点 条件→変化→理由 減点パタ</v>
      </c>
      <c r="E50" s="32">
        <f>IFERROR(__xludf.DUMMYFUNCTION("IFERROR(
  VLOOKUP(
    A50,
    IMPORTRANGE(
      ""1ZygntHC1J6IxzKbTidmOyf5nUyW4GCLurHCjexrLm_o        "",
      ""HTMLキャッシュ!A:F""
    ),
    3,
    FALSE
  ),
  0
)
"),46081.15980324074)</f>
        <v>46081.1598</v>
      </c>
      <c r="F50" s="49">
        <f>IFERROR(__xludf.DUMMYFUNCTION("IFERROR(
  VLOOKUP(
    A50,
    IMPORTRANGE(
      ""1ZHMy3vVUd_0MrSduXTe1etBb1HNpAlGwQr006ljwMiM"",
      ""GSC最新!A:F""
    ),
    2,
    FALSE
  ),
  0
)
"),0.0)</f>
        <v>0</v>
      </c>
      <c r="G50" s="49">
        <f>IFERROR(__xludf.DUMMYFUNCTION("IFERROR(
  VLOOKUP(
    A50,
    IMPORTRANGE(
      ""1ZHMy3vVUd_0MrSduXTe1etBb1HNpAlGwQr006ljwMiM"",
      ""GSC最新!A:F""
    ),
    3,
    FALSE
  ),
  0
)
"),0.0)</f>
        <v>0</v>
      </c>
      <c r="H50" s="49">
        <f>IFERROR(__xludf.DUMMYFUNCTION("IFERROR(
  VLOOKUP(
    A50,
    IMPORTRANGE(
      ""1ZHMy3vVUd_0MrSduXTe1etBb1HNpAlGwQr006ljwMiM"",
      ""GSC最新!A:F""
    ),
    4,
    FALSE
  ),
  0
)
"),0.0)</f>
        <v>0</v>
      </c>
      <c r="I50" s="49">
        <f>IFERROR(__xludf.DUMMYFUNCTION("IFERROR(
  VLOOKUP(
    A50,
    IMPORTRANGE(
      ""1ZHMy3vVUd_0MrSduXTe1etBb1HNpAlGwQr006ljwMiM"",
      ""GSC最新!A:F""
    ),
    5,
    FALSE
  ),
  0
)
"),0.0)</f>
        <v>0</v>
      </c>
      <c r="J50" s="50" t="str">
        <f t="shared" ref="J50:K50" si="241">IFERROR(F50/H50,"-")</f>
        <v>-</v>
      </c>
      <c r="K50" s="50" t="str">
        <f t="shared" si="241"/>
        <v>-</v>
      </c>
      <c r="L50" s="6">
        <f>IFERROR(__xludf.DUMMYFUNCTION("IFERROR(
  VLOOKUP(
    A50,
    IMPORTRANGE(
      ""1ZHMy3vVUd_0MrSduXTe1etBb1HNpAlGwQr006ljwMiM"",
      ""GSC最新!A:R""
    ),
    7,
    FALSE
  ),
  0
)
"),12.0)</f>
        <v>12</v>
      </c>
      <c r="M50" s="6">
        <f>IFERROR(__xludf.DUMMYFUNCTION("IFERROR(
  VLOOKUP(
    A50,
    IMPORTRANGE(
      ""1ZHMy3vVUd_0MrSduXTe1etBb1HNpAlGwQr006ljwMiM"",
      ""GSC最新!A:R""
    ),
    10,
    FALSE
  ),
  0
)
"),15.0)</f>
        <v>15</v>
      </c>
      <c r="N50" s="6">
        <f>IFERROR(__xludf.DUMMYFUNCTION("IFERROR(
  VLOOKUP(
    A50,
    IMPORTRANGE(
      ""1ZHMy3vVUd_0MrSduXTe1etBb1HNpAlGwQr006ljwMiM"",
      ""GSC最新!A:R""
    ),
    13,
    FALSE
  ),
  0
)
"),0.0)</f>
        <v>0</v>
      </c>
      <c r="O50" s="6">
        <f>IFERROR(__xludf.DUMMYFUNCTION("IFERROR(
  VLOOKUP(
    A50,
    IMPORTRANGE(
      ""1ZHMy3vVUd_0MrSduXTe1etBb1HNpAlGwQr006ljwMiM"",
      ""GSC最新!A:R""
    ),
    16,
    FALSE
  ),
  0
)
"),0.0)</f>
        <v>0</v>
      </c>
      <c r="P50" s="51" t="str">
        <f t="shared" ref="P50:Q50" si="242">IFERROR(L50/N50,"-")</f>
        <v>-</v>
      </c>
      <c r="Q50" s="51" t="str">
        <f t="shared" si="242"/>
        <v>-</v>
      </c>
      <c r="R50" s="9">
        <f>IFERROR(__xludf.DUMMYFUNCTION("IFERROR(
  VLOOKUP(
    A50,
    IMPORTRANGE(
      ""1ZHMy3vVUd_0MrSduXTe1etBb1HNpAlGwQr006ljwMiM"",
      ""GSC最新!A:R""
    ),
    8,
    FALSE
  ),
  0
)
"),0.0)</f>
        <v>0</v>
      </c>
      <c r="S50" s="9">
        <f>IFERROR(__xludf.DUMMYFUNCTION("IFERROR(
  VLOOKUP(
    A50,
    IMPORTRANGE(
      ""1ZHMy3vVUd_0MrSduXTe1etBb1HNpAlGwQr006ljwMiM"",
      ""GSC最新!A:R""
    ),
    11,
    FALSE
  ),
  0
)
"),0.0)</f>
        <v>0</v>
      </c>
      <c r="T50" s="9">
        <f>IFERROR(__xludf.DUMMYFUNCTION("IFERROR(
  VLOOKUP(
    A50,
    IMPORTRANGE(
      ""1ZHMy3vVUd_0MrSduXTe1etBb1HNpAlGwQr006ljwMiM"",
      ""GSC最新!A:R""
    ),
    14,
    FALSE
  ),
  0
)
"),0.0)</f>
        <v>0</v>
      </c>
      <c r="U50" s="9">
        <f>IFERROR(__xludf.DUMMYFUNCTION("IFERROR(
  VLOOKUP(
    A50,
    IMPORTRANGE(
      ""1ZHMy3vVUd_0MrSduXTe1etBb1HNpAlGwQr006ljwMiM"",
      ""GSC最新!A:R""
    ),
    17,
    FALSE
  ),
  0
)
"),0.0)</f>
        <v>0</v>
      </c>
      <c r="V50" s="9">
        <f t="shared" ref="V50:W50" si="243">IFERROR(R50-T50,"-")</f>
        <v>0</v>
      </c>
      <c r="W50" s="9">
        <f t="shared" si="243"/>
        <v>0</v>
      </c>
      <c r="X50" s="65">
        <f>IFERROR(__xludf.DUMMYFUNCTION("IFERROR(
  VLOOKUP(
    A50,
    IMPORTRANGE(
      ""1ZHMy3vVUd_0MrSduXTe1etBb1HNpAlGwQr006ljwMiM"",
      ""GSC最新!A:R""
    ),
    9,
    FALSE
  ),
  0
)
"),4.416666666666666)</f>
        <v>4.416666667</v>
      </c>
      <c r="Y50" s="65">
        <f>IFERROR(__xludf.DUMMYFUNCTION("IFERROR(
  VLOOKUP(
    A50,
    IMPORTRANGE(
      ""1ZHMy3vVUd_0MrSduXTe1etBb1HNpAlGwQr006ljwMiM"",
      ""GSC最新!A:R""
    ),
    12,
    FALSE
  ),
  0
)
"),3.933333333333333)</f>
        <v>3.933333333</v>
      </c>
      <c r="Z50" s="65" t="str">
        <f>IFERROR(__xludf.DUMMYFUNCTION("IFERROR(
  VLOOKUP(
    A50,
    IMPORTRANGE(
      ""1ZHMy3vVUd_0MrSduXTe1etBb1HNpAlGwQr006ljwMiM"",
      ""GSC最新!A:R""
    ),
    15,
    FALSE
  ),
  0
)
"),"")</f>
        <v/>
      </c>
      <c r="AA50" s="65" t="str">
        <f>IFERROR(__xludf.DUMMYFUNCTION("IFERROR(
  VLOOKUP(
    A50,
    IMPORTRANGE(
      ""1ZHMy3vVUd_0MrSduXTe1etBb1HNpAlGwQr006ljwMiM"",
      ""GSC最新!A:R""
    ),
    18,
    FALSE
  ),
  0
)
"),"")</f>
        <v/>
      </c>
      <c r="AB50" s="65">
        <f t="shared" ref="AB50:AC50" si="244">X50-Z50</f>
        <v>4.416666667</v>
      </c>
      <c r="AC50" s="65">
        <f t="shared" si="244"/>
        <v>3.933333333</v>
      </c>
      <c r="AD50" s="53">
        <f>IFERROR(__xludf.DUMMYFUNCTION("IFERROR(
  VLOOKUP(
    A50,
    IMPORTRANGE(
      ""1ZHMy3vVUd_0MrSduXTe1etBb1HNpAlGwQr006ljwMiM"",
      ""GSC最新!A:F""
    ),
    6,
    FALSE
  ),
  0
)
"),46081.0)</f>
        <v>46081</v>
      </c>
      <c r="AE50" s="54">
        <f>IFERROR(__xludf.DUMMYFUNCTION("IFERROR(
  VLOOKUP(
    A50,
    IMPORTRANGE(
      ""1SCYQd7_cobOYqT0r_F0IqD4tE4rYn5y8Eup4PJTH8es"",
      ""Snapshot!A:M""
    ),
    5,
    FALSE
  ),
  ""-""
)
"),7.0)</f>
        <v>7</v>
      </c>
      <c r="AF50" s="54">
        <f>IFERROR(__xludf.DUMMYFUNCTION("IFERROR(
  VLOOKUP(
    A50,
    IMPORTRANGE(
      ""1SCYQd7_cobOYqT0r_F0IqD4tE4rYn5y8Eup4PJTH8es"",
      ""Snapshot!A:M""
    ),
    6,
    FALSE
  ),
  0
)
"),11.0)</f>
        <v>11</v>
      </c>
      <c r="AG50" s="54">
        <f>IFERROR(__xludf.DUMMYFUNCTION("IFERROR(
  VLOOKUP(
    A50,
    IMPORTRANGE(
      ""1SCYQd7_cobOYqT0r_F0IqD4tE4rYn5y8Eup4PJTH8es"",
      ""Snapshot!A:M""
    ),
    7,
    FALSE
  ),
  0
)
"),4050.0)</f>
        <v>4050</v>
      </c>
      <c r="AH50" s="54">
        <f>IFERROR(__xludf.DUMMYFUNCTION("IFERROR(
  VLOOKUP(
    A50,
    IMPORTRANGE(
      ""1SCYQd7_cobOYqT0r_F0IqD4tE4rYn5y8Eup4PJTH8es"",
      ""Snapshot!A:M""
    ),
    8,
    FALSE
  ),
  0
)
"),9.0)</f>
        <v>9</v>
      </c>
      <c r="AI50" s="54">
        <f>IFERROR(__xludf.DUMMYFUNCTION("IFERROR(
  VLOOKUP(
    A50,
    IMPORTRANGE(
      ""1SCYQd7_cobOYqT0r_F0IqD4tE4rYn5y8Eup4PJTH8es"",
      ""Snapshot!A:M""
    ),
    9,
    FALSE
  ),
  0
)
"),1.0)</f>
        <v>1</v>
      </c>
      <c r="AJ50" s="54">
        <f>IFERROR(__xludf.DUMMYFUNCTION("IFERROR(
  VLOOKUP(
    A50,
    IMPORTRANGE(
      ""1SCYQd7_cobOYqT0r_F0IqD4tE4rYn5y8Eup4PJTH8es"",
      ""Snapshot!A:M""
    ),
    13,
    FALSE
  ),
  0
)
"),2.0)</f>
        <v>2</v>
      </c>
      <c r="AK50" s="49">
        <f t="shared" ref="AK50:AL50" si="245">LEN(C50)</f>
        <v>69</v>
      </c>
      <c r="AL50" s="49">
        <f t="shared" si="245"/>
        <v>55</v>
      </c>
    </row>
    <row r="51">
      <c r="A51" s="1" t="s">
        <v>1272</v>
      </c>
      <c r="B51" s="1" t="str">
        <f>IFERROR(__xludf.DUMMYFUNCTION("IFERROR(
  VLOOKUP(
    A51,
    IMPORTRANGE(
      ""1ZygntHC1J6IxzKbTidmOyf5nUyW4GCLurHCjexrLm_o"",
      ""HTMLキャッシュ!A:F""
    ),
    2,
    FALSE
  ),
  0
)
"),"NW")</f>
        <v>NW</v>
      </c>
      <c r="C51" s="1" t="str">
        <f>IFERROR(__xludf.DUMMYFUNCTION("IFERROR(
  VLOOKUP(
    A51,
    IMPORTRANGE(
      ""1ZygntHC1J6IxzKbTidmOyf5nUyW4GCLurHCjexrLm_o"",
      ""HTMLキャッシュ!A:F""
    ),
    5,
    FALSE
  ),
  0
)
"),"2025年度 夏期講習会 開催のお知らせ - 中学受験 理科の個別指導 | 受験理科専門塾「しゅん吉クエスト」")</f>
        <v>2025年度 夏期講習会 開催のお知らせ - 中学受験 理科の個別指導 | 受験理科専門塾「しゅん吉クエスト」</v>
      </c>
      <c r="D51" s="1" t="str">
        <f>IFERROR(__xludf.DUMMYFUNCTION("IFERROR(
  VLOOKUP(
    A51,
    IMPORTRANGE(
      ""1ZygntHC1J6IxzKbTidmOyf5nUyW4GCLurHCjexrLm_o        "",
      ""HTMLキャッシュ!A:F""
    ),
    6,
    FALSE
  ),
  0
)
"),"夏休みは、受験生にとってまさに天王山です。 また、受験を1年以上先に控えているお子様にとっても、普段は忙しくて")</f>
        <v>夏休みは、受験生にとってまさに天王山です。 また、受験を1年以上先に控えているお子様にとっても、普段は忙しくて</v>
      </c>
      <c r="E51" s="32">
        <f>IFERROR(__xludf.DUMMYFUNCTION("IFERROR(
  VLOOKUP(
    A51,
    IMPORTRANGE(
      ""1ZygntHC1J6IxzKbTidmOyf5nUyW4GCLurHCjexrLm_o        "",
      ""HTMLキャッシュ!A:F""
    ),
    3,
    FALSE
  ),
  0
)
"),45969.15219907407)</f>
        <v>45969.1522</v>
      </c>
      <c r="F51" s="49">
        <f>IFERROR(__xludf.DUMMYFUNCTION("IFERROR(
  VLOOKUP(
    A51,
    IMPORTRANGE(
      ""1ZHMy3vVUd_0MrSduXTe1etBb1HNpAlGwQr006ljwMiM"",
      ""GSC最新!A:F""
    ),
    2,
    FALSE
  ),
  0
)
"),0.0)</f>
        <v>0</v>
      </c>
      <c r="G51" s="49">
        <f>IFERROR(__xludf.DUMMYFUNCTION("IFERROR(
  VLOOKUP(
    A51,
    IMPORTRANGE(
      ""1ZHMy3vVUd_0MrSduXTe1etBb1HNpAlGwQr006ljwMiM"",
      ""GSC最新!A:F""
    ),
    3,
    FALSE
  ),
  0
)
"),0.0)</f>
        <v>0</v>
      </c>
      <c r="H51" s="49">
        <f>IFERROR(__xludf.DUMMYFUNCTION("IFERROR(
  VLOOKUP(
    A51,
    IMPORTRANGE(
      ""1ZHMy3vVUd_0MrSduXTe1etBb1HNpAlGwQr006ljwMiM"",
      ""GSC最新!A:F""
    ),
    4,
    FALSE
  ),
  0
)
"),0.0)</f>
        <v>0</v>
      </c>
      <c r="I51" s="49">
        <f>IFERROR(__xludf.DUMMYFUNCTION("IFERROR(
  VLOOKUP(
    A51,
    IMPORTRANGE(
      ""1ZHMy3vVUd_0MrSduXTe1etBb1HNpAlGwQr006ljwMiM"",
      ""GSC最新!A:F""
    ),
    5,
    FALSE
  ),
  0
)
"),0.0)</f>
        <v>0</v>
      </c>
      <c r="J51" s="50" t="str">
        <f t="shared" ref="J51:K51" si="246">IFERROR(F51/H51,"-")</f>
        <v>-</v>
      </c>
      <c r="K51" s="50" t="str">
        <f t="shared" si="246"/>
        <v>-</v>
      </c>
      <c r="L51" s="6">
        <f>IFERROR(__xludf.DUMMYFUNCTION("IFERROR(
  VLOOKUP(
    A51,
    IMPORTRANGE(
      ""1ZHMy3vVUd_0MrSduXTe1etBb1HNpAlGwQr006ljwMiM"",
      ""GSC最新!A:R""
    ),
    7,
    FALSE
  ),
  0
)
"),4.0)</f>
        <v>4</v>
      </c>
      <c r="M51" s="6">
        <f>IFERROR(__xludf.DUMMYFUNCTION("IFERROR(
  VLOOKUP(
    A51,
    IMPORTRANGE(
      ""1ZHMy3vVUd_0MrSduXTe1etBb1HNpAlGwQr006ljwMiM"",
      ""GSC最新!A:R""
    ),
    10,
    FALSE
  ),
  0
)
"),13.0)</f>
        <v>13</v>
      </c>
      <c r="N51" s="6">
        <f>IFERROR(__xludf.DUMMYFUNCTION("IFERROR(
  VLOOKUP(
    A51,
    IMPORTRANGE(
      ""1ZHMy3vVUd_0MrSduXTe1etBb1HNpAlGwQr006ljwMiM"",
      ""GSC最新!A:R""
    ),
    13,
    FALSE
  ),
  0
)
"),0.0)</f>
        <v>0</v>
      </c>
      <c r="O51" s="6">
        <f>IFERROR(__xludf.DUMMYFUNCTION("IFERROR(
  VLOOKUP(
    A51,
    IMPORTRANGE(
      ""1ZHMy3vVUd_0MrSduXTe1etBb1HNpAlGwQr006ljwMiM"",
      ""GSC最新!A:R""
    ),
    16,
    FALSE
  ),
  0
)
"),0.0)</f>
        <v>0</v>
      </c>
      <c r="P51" s="51" t="str">
        <f t="shared" ref="P51:Q51" si="247">IFERROR(L51/N51,"-")</f>
        <v>-</v>
      </c>
      <c r="Q51" s="51" t="str">
        <f t="shared" si="247"/>
        <v>-</v>
      </c>
      <c r="R51" s="9">
        <f>IFERROR(__xludf.DUMMYFUNCTION("IFERROR(
  VLOOKUP(
    A51,
    IMPORTRANGE(
      ""1ZHMy3vVUd_0MrSduXTe1etBb1HNpAlGwQr006ljwMiM"",
      ""GSC最新!A:R""
    ),
    8,
    FALSE
  ),
  0
)
"),0.0)</f>
        <v>0</v>
      </c>
      <c r="S51" s="9">
        <f>IFERROR(__xludf.DUMMYFUNCTION("IFERROR(
  VLOOKUP(
    A51,
    IMPORTRANGE(
      ""1ZHMy3vVUd_0MrSduXTe1etBb1HNpAlGwQr006ljwMiM"",
      ""GSC最新!A:R""
    ),
    11,
    FALSE
  ),
  0
)
"),0.0)</f>
        <v>0</v>
      </c>
      <c r="T51" s="9">
        <f>IFERROR(__xludf.DUMMYFUNCTION("IFERROR(
  VLOOKUP(
    A51,
    IMPORTRANGE(
      ""1ZHMy3vVUd_0MrSduXTe1etBb1HNpAlGwQr006ljwMiM"",
      ""GSC最新!A:R""
    ),
    14,
    FALSE
  ),
  0
)
"),0.0)</f>
        <v>0</v>
      </c>
      <c r="U51" s="9">
        <f>IFERROR(__xludf.DUMMYFUNCTION("IFERROR(
  VLOOKUP(
    A51,
    IMPORTRANGE(
      ""1ZHMy3vVUd_0MrSduXTe1etBb1HNpAlGwQr006ljwMiM"",
      ""GSC最新!A:R""
    ),
    17,
    FALSE
  ),
  0
)
"),0.0)</f>
        <v>0</v>
      </c>
      <c r="V51" s="9">
        <f t="shared" ref="V51:W51" si="248">IFERROR(R51-T51,"-")</f>
        <v>0</v>
      </c>
      <c r="W51" s="9">
        <f t="shared" si="248"/>
        <v>0</v>
      </c>
      <c r="X51" s="65">
        <f>IFERROR(__xludf.DUMMYFUNCTION("IFERROR(
  VLOOKUP(
    A51,
    IMPORTRANGE(
      ""1ZHMy3vVUd_0MrSduXTe1etBb1HNpAlGwQr006ljwMiM"",
      ""GSC最新!A:R""
    ),
    9,
    FALSE
  ),
  0
)
"),6.75)</f>
        <v>6.75</v>
      </c>
      <c r="Y51" s="65">
        <f>IFERROR(__xludf.DUMMYFUNCTION("IFERROR(
  VLOOKUP(
    A51,
    IMPORTRANGE(
      ""1ZHMy3vVUd_0MrSduXTe1etBb1HNpAlGwQr006ljwMiM"",
      ""GSC最新!A:R""
    ),
    12,
    FALSE
  ),
  0
)
"),8.846153846153847)</f>
        <v>8.846153846</v>
      </c>
      <c r="Z51" s="65" t="str">
        <f>IFERROR(__xludf.DUMMYFUNCTION("IFERROR(
  VLOOKUP(
    A51,
    IMPORTRANGE(
      ""1ZHMy3vVUd_0MrSduXTe1etBb1HNpAlGwQr006ljwMiM"",
      ""GSC最新!A:R""
    ),
    15,
    FALSE
  ),
  0
)
"),"")</f>
        <v/>
      </c>
      <c r="AA51" s="65" t="str">
        <f>IFERROR(__xludf.DUMMYFUNCTION("IFERROR(
  VLOOKUP(
    A51,
    IMPORTRANGE(
      ""1ZHMy3vVUd_0MrSduXTe1etBb1HNpAlGwQr006ljwMiM"",
      ""GSC最新!A:R""
    ),
    18,
    FALSE
  ),
  0
)
"),"")</f>
        <v/>
      </c>
      <c r="AB51" s="65">
        <f t="shared" ref="AB51:AC51" si="249">X51-Z51</f>
        <v>6.75</v>
      </c>
      <c r="AC51" s="65">
        <f t="shared" si="249"/>
        <v>8.846153846</v>
      </c>
      <c r="AD51" s="53">
        <f>IFERROR(__xludf.DUMMYFUNCTION("IFERROR(
  VLOOKUP(
    A51,
    IMPORTRANGE(
      ""1ZHMy3vVUd_0MrSduXTe1etBb1HNpAlGwQr006ljwMiM"",
      ""GSC最新!A:F""
    ),
    6,
    FALSE
  ),
  0
)
"),46081.0)</f>
        <v>46081</v>
      </c>
      <c r="AE51" s="54">
        <f>IFERROR(__xludf.DUMMYFUNCTION("IFERROR(
  VLOOKUP(
    A51,
    IMPORTRANGE(
      ""1SCYQd7_cobOYqT0r_F0IqD4tE4rYn5y8Eup4PJTH8es"",
      ""Snapshot!A:M""
    ),
    5,
    FALSE
  ),
  ""-""
)
"),0.0)</f>
        <v>0</v>
      </c>
      <c r="AF51" s="54">
        <f>IFERROR(__xludf.DUMMYFUNCTION("IFERROR(
  VLOOKUP(
    A51,
    IMPORTRANGE(
      ""1SCYQd7_cobOYqT0r_F0IqD4tE4rYn5y8Eup4PJTH8es"",
      ""Snapshot!A:M""
    ),
    6,
    FALSE
  ),
  0
)
"),0.0)</f>
        <v>0</v>
      </c>
      <c r="AG51" s="54">
        <f>IFERROR(__xludf.DUMMYFUNCTION("IFERROR(
  VLOOKUP(
    A51,
    IMPORTRANGE(
      ""1SCYQd7_cobOYqT0r_F0IqD4tE4rYn5y8Eup4PJTH8es"",
      ""Snapshot!A:M""
    ),
    7,
    FALSE
  ),
  0
)
"),645.0)</f>
        <v>645</v>
      </c>
      <c r="AH51" s="54">
        <f>IFERROR(__xludf.DUMMYFUNCTION("IFERROR(
  VLOOKUP(
    A51,
    IMPORTRANGE(
      ""1SCYQd7_cobOYqT0r_F0IqD4tE4rYn5y8Eup4PJTH8es"",
      ""Snapshot!A:M""
    ),
    8,
    FALSE
  ),
  0
)
"),3.0)</f>
        <v>3</v>
      </c>
      <c r="AI51" s="54">
        <f>IFERROR(__xludf.DUMMYFUNCTION("IFERROR(
  VLOOKUP(
    A51,
    IMPORTRANGE(
      ""1SCYQd7_cobOYqT0r_F0IqD4tE4rYn5y8Eup4PJTH8es"",
      ""Snapshot!A:M""
    ),
    9,
    FALSE
  ),
  0
)
"),0.0)</f>
        <v>0</v>
      </c>
      <c r="AJ51" s="54">
        <f>IFERROR(__xludf.DUMMYFUNCTION("IFERROR(
  VLOOKUP(
    A51,
    IMPORTRANGE(
      ""1SCYQd7_cobOYqT0r_F0IqD4tE4rYn5y8Eup4PJTH8es"",
      ""Snapshot!A:M""
    ),
    13,
    FALSE
  ),
  0
)
"),2.0)</f>
        <v>2</v>
      </c>
      <c r="AK51" s="49">
        <f t="shared" ref="AK51:AL51" si="250">LEN(C51)</f>
        <v>55</v>
      </c>
      <c r="AL51" s="49">
        <f t="shared" si="250"/>
        <v>55</v>
      </c>
    </row>
    <row r="52">
      <c r="A52" s="56" t="s">
        <v>1273</v>
      </c>
      <c r="B52" s="1" t="str">
        <f>IFERROR(__xludf.DUMMYFUNCTION("IFERROR(
  VLOOKUP(
    A52,
    IMPORTRANGE(
      ""1ZygntHC1J6IxzKbTidmOyf5nUyW4GCLurHCjexrLm_o"",
      ""HTMLキャッシュ!A:F""
    ),
    2,
    FALSE
  ),
  0
)
"),"MC")</f>
        <v>MC</v>
      </c>
      <c r="C52" s="1" t="str">
        <f>IFERROR(__xludf.DUMMYFUNCTION("IFERROR(
  VLOOKUP(
    A52,
    IMPORTRANGE(
      ""1ZygntHC1J6IxzKbTidmOyf5nUyW4GCLurHCjexrLm_o"",
      ""HTMLキャッシュ!A:F""
    ),
    5,
    FALSE
  ),
  0
)
"),"物理の図が描けない（力・つり合い）→図→関係→式の順番を固定 - 中学受験 理科の個別指導 | 受験理科専門塾「しゅん吉クエスト」")</f>
        <v>物理の図が描けない（力・つり合い）→図→関係→式の順番を固定 - 中学受験 理科の個別指導 | 受験理科専門塾「しゅん吉クエスト」</v>
      </c>
      <c r="D52" s="1" t="str">
        <f>IFERROR(__xludf.DUMMYFUNCTION("IFERROR(
  VLOOKUP(
    A52,
    IMPORTRANGE(
      ""1ZygntHC1J6IxzKbTidmOyf5nUyW4GCLurHCjexrLm_o        "",
      ""HTMLキャッシュ!A:F""
    ),
    6,
    FALSE
  ),
  0
)
"),"中学受験理科／物理 テーマ：図が描けない→関係が立たない→式が作れない、という流れを解決する 悩み起点 図→関")</f>
        <v>中学受験理科／物理 テーマ：図が描けない→関係が立たない→式が作れない、という流れを解決する 悩み起点 図→関</v>
      </c>
      <c r="E52" s="32">
        <f>IFERROR(__xludf.DUMMYFUNCTION("IFERROR(
  VLOOKUP(
    A52,
    IMPORTRANGE(
      ""1ZygntHC1J6IxzKbTidmOyf5nUyW4GCLurHCjexrLm_o        "",
      ""HTMLキャッシュ!A:F""
    ),
    3,
    FALSE
  ),
  0
)
"),46081.128530092596)</f>
        <v>46081.12853</v>
      </c>
      <c r="F52" s="49">
        <f>IFERROR(__xludf.DUMMYFUNCTION("IFERROR(
  VLOOKUP(
    A52,
    IMPORTRANGE(
      ""1ZHMy3vVUd_0MrSduXTe1etBb1HNpAlGwQr006ljwMiM"",
      ""GSC最新!A:F""
    ),
    2,
    FALSE
  ),
  0
)
"),0.0)</f>
        <v>0</v>
      </c>
      <c r="G52" s="49">
        <f>IFERROR(__xludf.DUMMYFUNCTION("IFERROR(
  VLOOKUP(
    A52,
    IMPORTRANGE(
      ""1ZHMy3vVUd_0MrSduXTe1etBb1HNpAlGwQr006ljwMiM"",
      ""GSC最新!A:F""
    ),
    3,
    FALSE
  ),
  0
)
"),0.0)</f>
        <v>0</v>
      </c>
      <c r="H52" s="49">
        <f>IFERROR(__xludf.DUMMYFUNCTION("IFERROR(
  VLOOKUP(
    A52,
    IMPORTRANGE(
      ""1ZHMy3vVUd_0MrSduXTe1etBb1HNpAlGwQr006ljwMiM"",
      ""GSC最新!A:F""
    ),
    4,
    FALSE
  ),
  0
)
"),0.0)</f>
        <v>0</v>
      </c>
      <c r="I52" s="49">
        <f>IFERROR(__xludf.DUMMYFUNCTION("IFERROR(
  VLOOKUP(
    A52,
    IMPORTRANGE(
      ""1ZHMy3vVUd_0MrSduXTe1etBb1HNpAlGwQr006ljwMiM"",
      ""GSC最新!A:F""
    ),
    5,
    FALSE
  ),
  0
)
"),0.0)</f>
        <v>0</v>
      </c>
      <c r="J52" s="50" t="str">
        <f t="shared" ref="J52:K52" si="251">IFERROR(F52/H52,"-")</f>
        <v>-</v>
      </c>
      <c r="K52" s="50" t="str">
        <f t="shared" si="251"/>
        <v>-</v>
      </c>
      <c r="L52" s="6">
        <f>IFERROR(__xludf.DUMMYFUNCTION("IFERROR(
  VLOOKUP(
    A52,
    IMPORTRANGE(
      ""1ZHMy3vVUd_0MrSduXTe1etBb1HNpAlGwQr006ljwMiM"",
      ""GSC最新!A:R""
    ),
    7,
    FALSE
  ),
  0
)
"),13.0)</f>
        <v>13</v>
      </c>
      <c r="M52" s="6">
        <f>IFERROR(__xludf.DUMMYFUNCTION("IFERROR(
  VLOOKUP(
    A52,
    IMPORTRANGE(
      ""1ZHMy3vVUd_0MrSduXTe1etBb1HNpAlGwQr006ljwMiM"",
      ""GSC最新!A:R""
    ),
    10,
    FALSE
  ),
  0
)
"),13.0)</f>
        <v>13</v>
      </c>
      <c r="N52" s="6">
        <f>IFERROR(__xludf.DUMMYFUNCTION("IFERROR(
  VLOOKUP(
    A52,
    IMPORTRANGE(
      ""1ZHMy3vVUd_0MrSduXTe1etBb1HNpAlGwQr006ljwMiM"",
      ""GSC最新!A:R""
    ),
    13,
    FALSE
  ),
  0
)
"),0.0)</f>
        <v>0</v>
      </c>
      <c r="O52" s="6">
        <f>IFERROR(__xludf.DUMMYFUNCTION("IFERROR(
  VLOOKUP(
    A52,
    IMPORTRANGE(
      ""1ZHMy3vVUd_0MrSduXTe1etBb1HNpAlGwQr006ljwMiM"",
      ""GSC最新!A:R""
    ),
    16,
    FALSE
  ),
  0
)
"),0.0)</f>
        <v>0</v>
      </c>
      <c r="P52" s="51" t="str">
        <f t="shared" ref="P52:Q52" si="252">IFERROR(L52/N52,"-")</f>
        <v>-</v>
      </c>
      <c r="Q52" s="51" t="str">
        <f t="shared" si="252"/>
        <v>-</v>
      </c>
      <c r="R52" s="9">
        <f>IFERROR(__xludf.DUMMYFUNCTION("IFERROR(
  VLOOKUP(
    A52,
    IMPORTRANGE(
      ""1ZHMy3vVUd_0MrSduXTe1etBb1HNpAlGwQr006ljwMiM"",
      ""GSC最新!A:R""
    ),
    8,
    FALSE
  ),
  0
)
"),0.0)</f>
        <v>0</v>
      </c>
      <c r="S52" s="9">
        <f>IFERROR(__xludf.DUMMYFUNCTION("IFERROR(
  VLOOKUP(
    A52,
    IMPORTRANGE(
      ""1ZHMy3vVUd_0MrSduXTe1etBb1HNpAlGwQr006ljwMiM"",
      ""GSC最新!A:R""
    ),
    11,
    FALSE
  ),
  0
)
"),0.0)</f>
        <v>0</v>
      </c>
      <c r="T52" s="9">
        <f>IFERROR(__xludf.DUMMYFUNCTION("IFERROR(
  VLOOKUP(
    A52,
    IMPORTRANGE(
      ""1ZHMy3vVUd_0MrSduXTe1etBb1HNpAlGwQr006ljwMiM"",
      ""GSC最新!A:R""
    ),
    14,
    FALSE
  ),
  0
)
"),0.0)</f>
        <v>0</v>
      </c>
      <c r="U52" s="9">
        <f>IFERROR(__xludf.DUMMYFUNCTION("IFERROR(
  VLOOKUP(
    A52,
    IMPORTRANGE(
      ""1ZHMy3vVUd_0MrSduXTe1etBb1HNpAlGwQr006ljwMiM"",
      ""GSC最新!A:R""
    ),
    17,
    FALSE
  ),
  0
)
"),0.0)</f>
        <v>0</v>
      </c>
      <c r="V52" s="9">
        <f t="shared" ref="V52:W52" si="253">IFERROR(R52-T52,"-")</f>
        <v>0</v>
      </c>
      <c r="W52" s="9">
        <f t="shared" si="253"/>
        <v>0</v>
      </c>
      <c r="X52" s="65">
        <f>IFERROR(__xludf.DUMMYFUNCTION("IFERROR(
  VLOOKUP(
    A52,
    IMPORTRANGE(
      ""1ZHMy3vVUd_0MrSduXTe1etBb1HNpAlGwQr006ljwMiM"",
      ""GSC最新!A:R""
    ),
    9,
    FALSE
  ),
  0
)
"),5.6923076923076925)</f>
        <v>5.692307692</v>
      </c>
      <c r="Y52" s="65">
        <f>IFERROR(__xludf.DUMMYFUNCTION("IFERROR(
  VLOOKUP(
    A52,
    IMPORTRANGE(
      ""1ZHMy3vVUd_0MrSduXTe1etBb1HNpAlGwQr006ljwMiM"",
      ""GSC最新!A:R""
    ),
    12,
    FALSE
  ),
  0
)
"),5.6923076923076925)</f>
        <v>5.692307692</v>
      </c>
      <c r="Z52" s="65" t="str">
        <f>IFERROR(__xludf.DUMMYFUNCTION("IFERROR(
  VLOOKUP(
    A52,
    IMPORTRANGE(
      ""1ZHMy3vVUd_0MrSduXTe1etBb1HNpAlGwQr006ljwMiM"",
      ""GSC最新!A:R""
    ),
    15,
    FALSE
  ),
  0
)
"),"")</f>
        <v/>
      </c>
      <c r="AA52" s="65" t="str">
        <f>IFERROR(__xludf.DUMMYFUNCTION("IFERROR(
  VLOOKUP(
    A52,
    IMPORTRANGE(
      ""1ZHMy3vVUd_0MrSduXTe1etBb1HNpAlGwQr006ljwMiM"",
      ""GSC最新!A:R""
    ),
    18,
    FALSE
  ),
  0
)
"),"")</f>
        <v/>
      </c>
      <c r="AB52" s="65">
        <f t="shared" ref="AB52:AC52" si="254">X52-Z52</f>
        <v>5.692307692</v>
      </c>
      <c r="AC52" s="65">
        <f t="shared" si="254"/>
        <v>5.692307692</v>
      </c>
      <c r="AD52" s="53">
        <f>IFERROR(__xludf.DUMMYFUNCTION("IFERROR(
  VLOOKUP(
    A52,
    IMPORTRANGE(
      ""1ZHMy3vVUd_0MrSduXTe1etBb1HNpAlGwQr006ljwMiM"",
      ""GSC最新!A:F""
    ),
    6,
    FALSE
  ),
  0
)
"),46081.0)</f>
        <v>46081</v>
      </c>
      <c r="AE52" s="54">
        <f>IFERROR(__xludf.DUMMYFUNCTION("IFERROR(
  VLOOKUP(
    A52,
    IMPORTRANGE(
      ""1SCYQd7_cobOYqT0r_F0IqD4tE4rYn5y8Eup4PJTH8es"",
      ""Snapshot!A:M""
    ),
    5,
    FALSE
  ),
  ""-""
)
"),7.0)</f>
        <v>7</v>
      </c>
      <c r="AF52" s="54">
        <f>IFERROR(__xludf.DUMMYFUNCTION("IFERROR(
  VLOOKUP(
    A52,
    IMPORTRANGE(
      ""1SCYQd7_cobOYqT0r_F0IqD4tE4rYn5y8Eup4PJTH8es"",
      ""Snapshot!A:M""
    ),
    6,
    FALSE
  ),
  0
)
"),11.0)</f>
        <v>11</v>
      </c>
      <c r="AG52" s="54">
        <f>IFERROR(__xludf.DUMMYFUNCTION("IFERROR(
  VLOOKUP(
    A52,
    IMPORTRANGE(
      ""1SCYQd7_cobOYqT0r_F0IqD4tE4rYn5y8Eup4PJTH8es"",
      ""Snapshot!A:M""
    ),
    7,
    FALSE
  ),
  0
)
"),3879.0)</f>
        <v>3879</v>
      </c>
      <c r="AH52" s="54">
        <f>IFERROR(__xludf.DUMMYFUNCTION("IFERROR(
  VLOOKUP(
    A52,
    IMPORTRANGE(
      ""1SCYQd7_cobOYqT0r_F0IqD4tE4rYn5y8Eup4PJTH8es"",
      ""Snapshot!A:M""
    ),
    8,
    FALSE
  ),
  0
)
"),8.0)</f>
        <v>8</v>
      </c>
      <c r="AI52" s="54">
        <f>IFERROR(__xludf.DUMMYFUNCTION("IFERROR(
  VLOOKUP(
    A52,
    IMPORTRANGE(
      ""1SCYQd7_cobOYqT0r_F0IqD4tE4rYn5y8Eup4PJTH8es"",
      ""Snapshot!A:M""
    ),
    9,
    FALSE
  ),
  0
)
"),1.0)</f>
        <v>1</v>
      </c>
      <c r="AJ52" s="54">
        <f>IFERROR(__xludf.DUMMYFUNCTION("IFERROR(
  VLOOKUP(
    A52,
    IMPORTRANGE(
      ""1SCYQd7_cobOYqT0r_F0IqD4tE4rYn5y8Eup4PJTH8es"",
      ""Snapshot!A:M""
    ),
    13,
    FALSE
  ),
  0
)
"),2.0)</f>
        <v>2</v>
      </c>
      <c r="AK52" s="49">
        <f t="shared" ref="AK52:AL52" si="255">LEN(C52)</f>
        <v>65</v>
      </c>
      <c r="AL52" s="49">
        <f t="shared" si="255"/>
        <v>55</v>
      </c>
    </row>
    <row r="53">
      <c r="A53" s="1" t="s">
        <v>1274</v>
      </c>
      <c r="B53" s="1" t="str">
        <f>IFERROR(__xludf.DUMMYFUNCTION("IFERROR(
  VLOOKUP(
    A53,
    IMPORTRANGE(
      ""1ZygntHC1J6IxzKbTidmOyf5nUyW4GCLurHCjexrLm_o"",
      ""HTMLキャッシュ!A:F""
    ),
    2,
    FALSE
  ),
  0
)
"),"NW")</f>
        <v>NW</v>
      </c>
      <c r="C53" s="1" t="str">
        <f>IFERROR(__xludf.DUMMYFUNCTION("IFERROR(
  VLOOKUP(
    A53,
    IMPORTRANGE(
      ""1ZygntHC1J6IxzKbTidmOyf5nUyW4GCLurHCjexrLm_o"",
      ""HTMLキャッシュ!A:F""
    ),
    5,
    FALSE
  ),
  0
)
"),"2025年度冬期講習会のお知らせ - 中学受験 理科の個別指導 | 受験理科専門塾「しゅん吉クエスト」")</f>
        <v>2025年度冬期講習会のお知らせ - 中学受験 理科の個別指導 | 受験理科専門塾「しゅん吉クエスト」</v>
      </c>
      <c r="D53" s="1" t="str">
        <f>IFERROR(__xludf.DUMMYFUNCTION("IFERROR(
  VLOOKUP(
    A53,
    IMPORTRANGE(
      ""1ZygntHC1J6IxzKbTidmOyf5nUyW4GCLurHCjexrLm_o        "",
      ""HTMLキャッシュ!A:F""
    ),
    6,
    FALSE
  ),
  0
)
"),"当塾「しゅん吉クエスト」では、2025年度冬期講習会を実施いたします。現在通塾中の生徒の皆さんはもちろん、他塾")</f>
        <v>当塾「しゅん吉クエスト」では、2025年度冬期講習会を実施いたします。現在通塾中の生徒の皆さんはもちろん、他塾</v>
      </c>
      <c r="E53" s="32">
        <f>IFERROR(__xludf.DUMMYFUNCTION("IFERROR(
  VLOOKUP(
    A53,
    IMPORTRANGE(
      ""1ZygntHC1J6IxzKbTidmOyf5nUyW4GCLurHCjexrLm_o        "",
      ""HTMLキャッシュ!A:F""
    ),
    3,
    FALSE
  ),
  0
)
"),45987.27017361111)</f>
        <v>45987.27017</v>
      </c>
      <c r="F53" s="49">
        <f>IFERROR(__xludf.DUMMYFUNCTION("IFERROR(
  VLOOKUP(
    A53,
    IMPORTRANGE(
      ""1ZHMy3vVUd_0MrSduXTe1etBb1HNpAlGwQr006ljwMiM"",
      ""GSC最新!A:F""
    ),
    2,
    FALSE
  ),
  0
)
"),0.0)</f>
        <v>0</v>
      </c>
      <c r="G53" s="49">
        <f>IFERROR(__xludf.DUMMYFUNCTION("IFERROR(
  VLOOKUP(
    A53,
    IMPORTRANGE(
      ""1ZHMy3vVUd_0MrSduXTe1etBb1HNpAlGwQr006ljwMiM"",
      ""GSC最新!A:F""
    ),
    3,
    FALSE
  ),
  0
)
"),0.0)</f>
        <v>0</v>
      </c>
      <c r="H53" s="49">
        <f>IFERROR(__xludf.DUMMYFUNCTION("IFERROR(
  VLOOKUP(
    A53,
    IMPORTRANGE(
      ""1ZHMy3vVUd_0MrSduXTe1etBb1HNpAlGwQr006ljwMiM"",
      ""GSC最新!A:F""
    ),
    4,
    FALSE
  ),
  0
)
"),0.0)</f>
        <v>0</v>
      </c>
      <c r="I53" s="49">
        <f>IFERROR(__xludf.DUMMYFUNCTION("IFERROR(
  VLOOKUP(
    A53,
    IMPORTRANGE(
      ""1ZHMy3vVUd_0MrSduXTe1etBb1HNpAlGwQr006ljwMiM"",
      ""GSC最新!A:F""
    ),
    5,
    FALSE
  ),
  0
)
"),0.0)</f>
        <v>0</v>
      </c>
      <c r="J53" s="50" t="str">
        <f t="shared" ref="J53:K53" si="256">IFERROR(F53/H53,"-")</f>
        <v>-</v>
      </c>
      <c r="K53" s="50" t="str">
        <f t="shared" si="256"/>
        <v>-</v>
      </c>
      <c r="L53" s="6">
        <f>IFERROR(__xludf.DUMMYFUNCTION("IFERROR(
  VLOOKUP(
    A53,
    IMPORTRANGE(
      ""1ZHMy3vVUd_0MrSduXTe1etBb1HNpAlGwQr006ljwMiM"",
      ""GSC最新!A:R""
    ),
    7,
    FALSE
  ),
  0
)
"),2.0)</f>
        <v>2</v>
      </c>
      <c r="M53" s="6">
        <f>IFERROR(__xludf.DUMMYFUNCTION("IFERROR(
  VLOOKUP(
    A53,
    IMPORTRANGE(
      ""1ZHMy3vVUd_0MrSduXTe1etBb1HNpAlGwQr006ljwMiM"",
      ""GSC最新!A:R""
    ),
    10,
    FALSE
  ),
  0
)
"),9.0)</f>
        <v>9</v>
      </c>
      <c r="N53" s="6">
        <f>IFERROR(__xludf.DUMMYFUNCTION("IFERROR(
  VLOOKUP(
    A53,
    IMPORTRANGE(
      ""1ZHMy3vVUd_0MrSduXTe1etBb1HNpAlGwQr006ljwMiM"",
      ""GSC最新!A:R""
    ),
    13,
    FALSE
  ),
  0
)
"),0.0)</f>
        <v>0</v>
      </c>
      <c r="O53" s="6">
        <f>IFERROR(__xludf.DUMMYFUNCTION("IFERROR(
  VLOOKUP(
    A53,
    IMPORTRANGE(
      ""1ZHMy3vVUd_0MrSduXTe1etBb1HNpAlGwQr006ljwMiM"",
      ""GSC最新!A:R""
    ),
    16,
    FALSE
  ),
  0
)
"),0.0)</f>
        <v>0</v>
      </c>
      <c r="P53" s="51" t="str">
        <f t="shared" ref="P53:Q53" si="257">IFERROR(L53/N53,"-")</f>
        <v>-</v>
      </c>
      <c r="Q53" s="51" t="str">
        <f t="shared" si="257"/>
        <v>-</v>
      </c>
      <c r="R53" s="9">
        <f>IFERROR(__xludf.DUMMYFUNCTION("IFERROR(
  VLOOKUP(
    A53,
    IMPORTRANGE(
      ""1ZHMy3vVUd_0MrSduXTe1etBb1HNpAlGwQr006ljwMiM"",
      ""GSC最新!A:R""
    ),
    8,
    FALSE
  ),
  0
)
"),0.0)</f>
        <v>0</v>
      </c>
      <c r="S53" s="9">
        <f>IFERROR(__xludf.DUMMYFUNCTION("IFERROR(
  VLOOKUP(
    A53,
    IMPORTRANGE(
      ""1ZHMy3vVUd_0MrSduXTe1etBb1HNpAlGwQr006ljwMiM"",
      ""GSC最新!A:R""
    ),
    11,
    FALSE
  ),
  0
)
"),0.0)</f>
        <v>0</v>
      </c>
      <c r="T53" s="9">
        <f>IFERROR(__xludf.DUMMYFUNCTION("IFERROR(
  VLOOKUP(
    A53,
    IMPORTRANGE(
      ""1ZHMy3vVUd_0MrSduXTe1etBb1HNpAlGwQr006ljwMiM"",
      ""GSC最新!A:R""
    ),
    14,
    FALSE
  ),
  0
)
"),0.0)</f>
        <v>0</v>
      </c>
      <c r="U53" s="9">
        <f>IFERROR(__xludf.DUMMYFUNCTION("IFERROR(
  VLOOKUP(
    A53,
    IMPORTRANGE(
      ""1ZHMy3vVUd_0MrSduXTe1etBb1HNpAlGwQr006ljwMiM"",
      ""GSC最新!A:R""
    ),
    17,
    FALSE
  ),
  0
)
"),0.0)</f>
        <v>0</v>
      </c>
      <c r="V53" s="9">
        <f t="shared" ref="V53:W53" si="258">IFERROR(R53-T53,"-")</f>
        <v>0</v>
      </c>
      <c r="W53" s="9">
        <f t="shared" si="258"/>
        <v>0</v>
      </c>
      <c r="X53" s="65">
        <f>IFERROR(__xludf.DUMMYFUNCTION("IFERROR(
  VLOOKUP(
    A53,
    IMPORTRANGE(
      ""1ZHMy3vVUd_0MrSduXTe1etBb1HNpAlGwQr006ljwMiM"",
      ""GSC最新!A:R""
    ),
    9,
    FALSE
  ),
  0
)
"),3.5)</f>
        <v>3.5</v>
      </c>
      <c r="Y53" s="65">
        <f>IFERROR(__xludf.DUMMYFUNCTION("IFERROR(
  VLOOKUP(
    A53,
    IMPORTRANGE(
      ""1ZHMy3vVUd_0MrSduXTe1etBb1HNpAlGwQr006ljwMiM"",
      ""GSC最新!A:R""
    ),
    12,
    FALSE
  ),
  0
)
"),3.5555555555555554)</f>
        <v>3.555555556</v>
      </c>
      <c r="Z53" s="65" t="str">
        <f>IFERROR(__xludf.DUMMYFUNCTION("IFERROR(
  VLOOKUP(
    A53,
    IMPORTRANGE(
      ""1ZHMy3vVUd_0MrSduXTe1etBb1HNpAlGwQr006ljwMiM"",
      ""GSC最新!A:R""
    ),
    15,
    FALSE
  ),
  0
)
"),"")</f>
        <v/>
      </c>
      <c r="AA53" s="65" t="str">
        <f>IFERROR(__xludf.DUMMYFUNCTION("IFERROR(
  VLOOKUP(
    A53,
    IMPORTRANGE(
      ""1ZHMy3vVUd_0MrSduXTe1etBb1HNpAlGwQr006ljwMiM"",
      ""GSC最新!A:R""
    ),
    18,
    FALSE
  ),
  0
)
"),"")</f>
        <v/>
      </c>
      <c r="AB53" s="65">
        <f t="shared" ref="AB53:AC53" si="259">X53-Z53</f>
        <v>3.5</v>
      </c>
      <c r="AC53" s="65">
        <f t="shared" si="259"/>
        <v>3.555555556</v>
      </c>
      <c r="AD53" s="53">
        <f>IFERROR(__xludf.DUMMYFUNCTION("IFERROR(
  VLOOKUP(
    A53,
    IMPORTRANGE(
      ""1ZHMy3vVUd_0MrSduXTe1etBb1HNpAlGwQr006ljwMiM"",
      ""GSC最新!A:F""
    ),
    6,
    FALSE
  ),
  0
)
"),46081.0)</f>
        <v>46081</v>
      </c>
      <c r="AE53" s="54">
        <f>IFERROR(__xludf.DUMMYFUNCTION("IFERROR(
  VLOOKUP(
    A53,
    IMPORTRANGE(
      ""1SCYQd7_cobOYqT0r_F0IqD4tE4rYn5y8Eup4PJTH8es"",
      ""Snapshot!A:M""
    ),
    5,
    FALSE
  ),
  ""-""
)
"),0.0)</f>
        <v>0</v>
      </c>
      <c r="AF53" s="54">
        <f>IFERROR(__xludf.DUMMYFUNCTION("IFERROR(
  VLOOKUP(
    A53,
    IMPORTRANGE(
      ""1SCYQd7_cobOYqT0r_F0IqD4tE4rYn5y8Eup4PJTH8es"",
      ""Snapshot!A:M""
    ),
    6,
    FALSE
  ),
  0
)
"),1.0)</f>
        <v>1</v>
      </c>
      <c r="AG53" s="54">
        <f>IFERROR(__xludf.DUMMYFUNCTION("IFERROR(
  VLOOKUP(
    A53,
    IMPORTRANGE(
      ""1SCYQd7_cobOYqT0r_F0IqD4tE4rYn5y8Eup4PJTH8es"",
      ""Snapshot!A:M""
    ),
    7,
    FALSE
  ),
  0
)
"),455.0)</f>
        <v>455</v>
      </c>
      <c r="AH53" s="54">
        <f>IFERROR(__xludf.DUMMYFUNCTION("IFERROR(
  VLOOKUP(
    A53,
    IMPORTRANGE(
      ""1SCYQd7_cobOYqT0r_F0IqD4tE4rYn5y8Eup4PJTH8es"",
      ""Snapshot!A:M""
    ),
    8,
    FALSE
  ),
  0
)
"),2.0)</f>
        <v>2</v>
      </c>
      <c r="AI53" s="54">
        <f>IFERROR(__xludf.DUMMYFUNCTION("IFERROR(
  VLOOKUP(
    A53,
    IMPORTRANGE(
      ""1SCYQd7_cobOYqT0r_F0IqD4tE4rYn5y8Eup4PJTH8es"",
      ""Snapshot!A:M""
    ),
    9,
    FALSE
  ),
  0
)
"),0.0)</f>
        <v>0</v>
      </c>
      <c r="AJ53" s="54">
        <f>IFERROR(__xludf.DUMMYFUNCTION("IFERROR(
  VLOOKUP(
    A53,
    IMPORTRANGE(
      ""1SCYQd7_cobOYqT0r_F0IqD4tE4rYn5y8Eup4PJTH8es"",
      ""Snapshot!A:M""
    ),
    13,
    FALSE
  ),
  0
)
"),2.0)</f>
        <v>2</v>
      </c>
      <c r="AK53" s="49">
        <f t="shared" ref="AK53:AL53" si="260">LEN(C53)</f>
        <v>51</v>
      </c>
      <c r="AL53" s="49">
        <f t="shared" si="260"/>
        <v>55</v>
      </c>
    </row>
    <row r="54">
      <c r="A54" s="3" t="s">
        <v>1275</v>
      </c>
      <c r="B54" s="1" t="str">
        <f>IFERROR(__xludf.DUMMYFUNCTION("IFERROR(
  VLOOKUP(
    A54,
    IMPORTRANGE(
      ""1ZygntHC1J6IxzKbTidmOyf5nUyW4GCLurHCjexrLm_o"",
      ""HTMLキャッシュ!A:F""
    ),
    2,
    FALSE
  ),
  0
)
"),"NW")</f>
        <v>NW</v>
      </c>
      <c r="C54" s="1" t="str">
        <f>IFERROR(__xludf.DUMMYFUNCTION("IFERROR(
  VLOOKUP(
    A54,
    IMPORTRANGE(
      ""1ZygntHC1J6IxzKbTidmOyf5nUyW4GCLurHCjexrLm_o"",
      ""HTMLキャッシュ!A:F""
    ),
    5,
    FALSE
  ),
  0
)
"),"2025年度 春期講習開催のお知らせ - 中学受験 理科の個別指導 | 受験理科専門塾「しゅん吉クエスト」")</f>
        <v>2025年度 春期講習開催のお知らせ - 中学受験 理科の個別指導 | 受験理科専門塾「しゅん吉クエスト」</v>
      </c>
      <c r="D54" s="1" t="str">
        <f>IFERROR(__xludf.DUMMYFUNCTION("IFERROR(
  VLOOKUP(
    A54,
    IMPORTRANGE(
      ""1ZygntHC1J6IxzKbTidmOyf5nUyW4GCLurHCjexrLm_o        "",
      ""HTMLキャッシュ!A:F""
    ),
    6,
    FALSE
  ),
  0
)
"),"春休みは短いながらも、日頃の積み残しを解消し、次の学年へ向けて力を蓄える絶好のタイミングです。 受験理科専門塾")</f>
        <v>春休みは短いながらも、日頃の積み残しを解消し、次の学年へ向けて力を蓄える絶好のタイミングです。 受験理科専門塾</v>
      </c>
      <c r="E54" s="32">
        <f>IFERROR(__xludf.DUMMYFUNCTION("IFERROR(
  VLOOKUP(
    A54,
    IMPORTRANGE(
      ""1ZygntHC1J6IxzKbTidmOyf5nUyW4GCLurHCjexrLm_o        "",
      ""HTMLキャッシュ!A:F""
    ),
    3,
    FALSE
  ),
  0
)
"),45969.14885416667)</f>
        <v>45969.14885</v>
      </c>
      <c r="F54" s="49">
        <f>IFERROR(__xludf.DUMMYFUNCTION("IFERROR(
  VLOOKUP(
    A54,
    IMPORTRANGE(
      ""1ZHMy3vVUd_0MrSduXTe1etBb1HNpAlGwQr006ljwMiM"",
      ""GSC最新!A:F""
    ),
    2,
    FALSE
  ),
  0
)
"),0.0)</f>
        <v>0</v>
      </c>
      <c r="G54" s="49">
        <f>IFERROR(__xludf.DUMMYFUNCTION("IFERROR(
  VLOOKUP(
    A54,
    IMPORTRANGE(
      ""1ZHMy3vVUd_0MrSduXTe1etBb1HNpAlGwQr006ljwMiM"",
      ""GSC最新!A:F""
    ),
    3,
    FALSE
  ),
  0
)
"),0.0)</f>
        <v>0</v>
      </c>
      <c r="H54" s="49">
        <f>IFERROR(__xludf.DUMMYFUNCTION("IFERROR(
  VLOOKUP(
    A54,
    IMPORTRANGE(
      ""1ZHMy3vVUd_0MrSduXTe1etBb1HNpAlGwQr006ljwMiM"",
      ""GSC最新!A:F""
    ),
    4,
    FALSE
  ),
  0
)
"),0.0)</f>
        <v>0</v>
      </c>
      <c r="I54" s="49">
        <f>IFERROR(__xludf.DUMMYFUNCTION("IFERROR(
  VLOOKUP(
    A54,
    IMPORTRANGE(
      ""1ZHMy3vVUd_0MrSduXTe1etBb1HNpAlGwQr006ljwMiM"",
      ""GSC最新!A:F""
    ),
    5,
    FALSE
  ),
  0
)
"),0.0)</f>
        <v>0</v>
      </c>
      <c r="J54" s="50" t="str">
        <f t="shared" ref="J54:K54" si="261">IFERROR(F54/H54,"-")</f>
        <v>-</v>
      </c>
      <c r="K54" s="50" t="str">
        <f t="shared" si="261"/>
        <v>-</v>
      </c>
      <c r="L54" s="6">
        <f>IFERROR(__xludf.DUMMYFUNCTION("IFERROR(
  VLOOKUP(
    A54,
    IMPORTRANGE(
      ""1ZHMy3vVUd_0MrSduXTe1etBb1HNpAlGwQr006ljwMiM"",
      ""GSC最新!A:R""
    ),
    7,
    FALSE
  ),
  0
)
"),1.0)</f>
        <v>1</v>
      </c>
      <c r="M54" s="6">
        <f>IFERROR(__xludf.DUMMYFUNCTION("IFERROR(
  VLOOKUP(
    A54,
    IMPORTRANGE(
      ""1ZHMy3vVUd_0MrSduXTe1etBb1HNpAlGwQr006ljwMiM"",
      ""GSC最新!A:R""
    ),
    10,
    FALSE
  ),
  0
)
"),6.0)</f>
        <v>6</v>
      </c>
      <c r="N54" s="6">
        <f>IFERROR(__xludf.DUMMYFUNCTION("IFERROR(
  VLOOKUP(
    A54,
    IMPORTRANGE(
      ""1ZHMy3vVUd_0MrSduXTe1etBb1HNpAlGwQr006ljwMiM"",
      ""GSC最新!A:R""
    ),
    13,
    FALSE
  ),
  0
)
"),0.0)</f>
        <v>0</v>
      </c>
      <c r="O54" s="6">
        <f>IFERROR(__xludf.DUMMYFUNCTION("IFERROR(
  VLOOKUP(
    A54,
    IMPORTRANGE(
      ""1ZHMy3vVUd_0MrSduXTe1etBb1HNpAlGwQr006ljwMiM"",
      ""GSC最新!A:R""
    ),
    16,
    FALSE
  ),
  0
)
"),0.0)</f>
        <v>0</v>
      </c>
      <c r="P54" s="51" t="str">
        <f t="shared" ref="P54:Q54" si="262">IFERROR(L54/N54,"-")</f>
        <v>-</v>
      </c>
      <c r="Q54" s="51" t="str">
        <f t="shared" si="262"/>
        <v>-</v>
      </c>
      <c r="R54" s="9">
        <f>IFERROR(__xludf.DUMMYFUNCTION("IFERROR(
  VLOOKUP(
    A54,
    IMPORTRANGE(
      ""1ZHMy3vVUd_0MrSduXTe1etBb1HNpAlGwQr006ljwMiM"",
      ""GSC最新!A:R""
    ),
    8,
    FALSE
  ),
  0
)
"),0.0)</f>
        <v>0</v>
      </c>
      <c r="S54" s="9">
        <f>IFERROR(__xludf.DUMMYFUNCTION("IFERROR(
  VLOOKUP(
    A54,
    IMPORTRANGE(
      ""1ZHMy3vVUd_0MrSduXTe1etBb1HNpAlGwQr006ljwMiM"",
      ""GSC最新!A:R""
    ),
    11,
    FALSE
  ),
  0
)
"),0.0)</f>
        <v>0</v>
      </c>
      <c r="T54" s="9">
        <f>IFERROR(__xludf.DUMMYFUNCTION("IFERROR(
  VLOOKUP(
    A54,
    IMPORTRANGE(
      ""1ZHMy3vVUd_0MrSduXTe1etBb1HNpAlGwQr006ljwMiM"",
      ""GSC最新!A:R""
    ),
    14,
    FALSE
  ),
  0
)
"),0.0)</f>
        <v>0</v>
      </c>
      <c r="U54" s="9">
        <f>IFERROR(__xludf.DUMMYFUNCTION("IFERROR(
  VLOOKUP(
    A54,
    IMPORTRANGE(
      ""1ZHMy3vVUd_0MrSduXTe1etBb1HNpAlGwQr006ljwMiM"",
      ""GSC最新!A:R""
    ),
    17,
    FALSE
  ),
  0
)
"),0.0)</f>
        <v>0</v>
      </c>
      <c r="V54" s="9">
        <f t="shared" ref="V54:W54" si="263">IFERROR(R54-T54,"-")</f>
        <v>0</v>
      </c>
      <c r="W54" s="9">
        <f t="shared" si="263"/>
        <v>0</v>
      </c>
      <c r="X54" s="65">
        <f>IFERROR(__xludf.DUMMYFUNCTION("IFERROR(
  VLOOKUP(
    A54,
    IMPORTRANGE(
      ""1ZHMy3vVUd_0MrSduXTe1etBb1HNpAlGwQr006ljwMiM"",
      ""GSC最新!A:R""
    ),
    9,
    FALSE
  ),
  0
)
"),7.0)</f>
        <v>7</v>
      </c>
      <c r="Y54" s="65">
        <f>IFERROR(__xludf.DUMMYFUNCTION("IFERROR(
  VLOOKUP(
    A54,
    IMPORTRANGE(
      ""1ZHMy3vVUd_0MrSduXTe1etBb1HNpAlGwQr006ljwMiM"",
      ""GSC最新!A:R""
    ),
    12,
    FALSE
  ),
  0
)
"),15.166666666666666)</f>
        <v>15.16666667</v>
      </c>
      <c r="Z54" s="65" t="str">
        <f>IFERROR(__xludf.DUMMYFUNCTION("IFERROR(
  VLOOKUP(
    A54,
    IMPORTRANGE(
      ""1ZHMy3vVUd_0MrSduXTe1etBb1HNpAlGwQr006ljwMiM"",
      ""GSC最新!A:R""
    ),
    15,
    FALSE
  ),
  0
)
"),"")</f>
        <v/>
      </c>
      <c r="AA54" s="65" t="str">
        <f>IFERROR(__xludf.DUMMYFUNCTION("IFERROR(
  VLOOKUP(
    A54,
    IMPORTRANGE(
      ""1ZHMy3vVUd_0MrSduXTe1etBb1HNpAlGwQr006ljwMiM"",
      ""GSC最新!A:R""
    ),
    18,
    FALSE
  ),
  0
)
"),"")</f>
        <v/>
      </c>
      <c r="AB54" s="65">
        <f t="shared" ref="AB54:AC54" si="264">X54-Z54</f>
        <v>7</v>
      </c>
      <c r="AC54" s="65">
        <f t="shared" si="264"/>
        <v>15.16666667</v>
      </c>
      <c r="AD54" s="53">
        <f>IFERROR(__xludf.DUMMYFUNCTION("IFERROR(
  VLOOKUP(
    A54,
    IMPORTRANGE(
      ""1ZHMy3vVUd_0MrSduXTe1etBb1HNpAlGwQr006ljwMiM"",
      ""GSC最新!A:F""
    ),
    6,
    FALSE
  ),
  0
)
"),46081.0)</f>
        <v>46081</v>
      </c>
      <c r="AE54" s="54">
        <f>IFERROR(__xludf.DUMMYFUNCTION("IFERROR(
  VLOOKUP(
    A54,
    IMPORTRANGE(
      ""1SCYQd7_cobOYqT0r_F0IqD4tE4rYn5y8Eup4PJTH8es"",
      ""Snapshot!A:M""
    ),
    5,
    FALSE
  ),
  ""-""
)
"),0.0)</f>
        <v>0</v>
      </c>
      <c r="AF54" s="54">
        <f>IFERROR(__xludf.DUMMYFUNCTION("IFERROR(
  VLOOKUP(
    A54,
    IMPORTRANGE(
      ""1SCYQd7_cobOYqT0r_F0IqD4tE4rYn5y8Eup4PJTH8es"",
      ""Snapshot!A:M""
    ),
    6,
    FALSE
  ),
  0
)
"),0.0)</f>
        <v>0</v>
      </c>
      <c r="AG54" s="54">
        <f>IFERROR(__xludf.DUMMYFUNCTION("IFERROR(
  VLOOKUP(
    A54,
    IMPORTRANGE(
      ""1SCYQd7_cobOYqT0r_F0IqD4tE4rYn5y8Eup4PJTH8es"",
      ""Snapshot!A:M""
    ),
    7,
    FALSE
  ),
  0
)
"),598.0)</f>
        <v>598</v>
      </c>
      <c r="AH54" s="54">
        <f>IFERROR(__xludf.DUMMYFUNCTION("IFERROR(
  VLOOKUP(
    A54,
    IMPORTRANGE(
      ""1SCYQd7_cobOYqT0r_F0IqD4tE4rYn5y8Eup4PJTH8es"",
      ""Snapshot!A:M""
    ),
    8,
    FALSE
  ),
  0
)
"),3.0)</f>
        <v>3</v>
      </c>
      <c r="AI54" s="54">
        <f>IFERROR(__xludf.DUMMYFUNCTION("IFERROR(
  VLOOKUP(
    A54,
    IMPORTRANGE(
      ""1SCYQd7_cobOYqT0r_F0IqD4tE4rYn5y8Eup4PJTH8es"",
      ""Snapshot!A:M""
    ),
    9,
    FALSE
  ),
  0
)
"),0.0)</f>
        <v>0</v>
      </c>
      <c r="AJ54" s="54">
        <f>IFERROR(__xludf.DUMMYFUNCTION("IFERROR(
  VLOOKUP(
    A54,
    IMPORTRANGE(
      ""1SCYQd7_cobOYqT0r_F0IqD4tE4rYn5y8Eup4PJTH8es"",
      ""Snapshot!A:M""
    ),
    13,
    FALSE
  ),
  0
)
"),2.0)</f>
        <v>2</v>
      </c>
      <c r="AK54" s="49">
        <f t="shared" ref="AK54:AL54" si="265">LEN(C54)</f>
        <v>53</v>
      </c>
      <c r="AL54" s="49">
        <f t="shared" si="265"/>
        <v>55</v>
      </c>
    </row>
    <row r="55">
      <c r="A55" s="1" t="s">
        <v>1276</v>
      </c>
      <c r="B55" s="1" t="str">
        <f>IFERROR(__xludf.DUMMYFUNCTION("IFERROR(
  VLOOKUP(
    A55,
    IMPORTRANGE(
      ""1ZygntHC1J6IxzKbTidmOyf5nUyW4GCLurHCjexrLm_o"",
      ""HTMLキャッシュ!A:F""
    ),
    2,
    FALSE
  ),
  0
)
"),"NW")</f>
        <v>NW</v>
      </c>
      <c r="C55" s="1" t="str">
        <f>IFERROR(__xludf.DUMMYFUNCTION("IFERROR(
  VLOOKUP(
    A55,
    IMPORTRANGE(
      ""1ZygntHC1J6IxzKbTidmOyf5nUyW4GCLurHCjexrLm_o"",
      ""HTMLキャッシュ!A:F""
    ),
    5,
    FALSE
  ),
  0
)
"),"2024年度夏期講習開催のお知らせ - 中学受験 理科の個別指導 | 受験理科専門塾「しゅん吉クエスト」")</f>
        <v>2024年度夏期講習開催のお知らせ - 中学受験 理科の個別指導 | 受験理科専門塾「しゅん吉クエスト」</v>
      </c>
      <c r="D55" s="1" t="str">
        <f>IFERROR(__xludf.DUMMYFUNCTION("IFERROR(
  VLOOKUP(
    A55,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55" s="32">
        <f>IFERROR(__xludf.DUMMYFUNCTION("IFERROR(
  VLOOKUP(
    A55,
    IMPORTRANGE(
      ""1ZygntHC1J6IxzKbTidmOyf5nUyW4GCLurHCjexrLm_o        "",
      ""HTMLキャッシュ!A:F""
    ),
    3,
    FALSE
  ),
  0
)
"),45600.13196759259)</f>
        <v>45600.13197</v>
      </c>
      <c r="F55" s="49">
        <f>IFERROR(__xludf.DUMMYFUNCTION("IFERROR(
  VLOOKUP(
    A55,
    IMPORTRANGE(
      ""1ZHMy3vVUd_0MrSduXTe1etBb1HNpAlGwQr006ljwMiM"",
      ""GSC最新!A:F""
    ),
    2,
    FALSE
  ),
  0
)
"),0.0)</f>
        <v>0</v>
      </c>
      <c r="G55" s="49">
        <f>IFERROR(__xludf.DUMMYFUNCTION("IFERROR(
  VLOOKUP(
    A55,
    IMPORTRANGE(
      ""1ZHMy3vVUd_0MrSduXTe1etBb1HNpAlGwQr006ljwMiM"",
      ""GSC最新!A:F""
    ),
    3,
    FALSE
  ),
  0
)
"),0.0)</f>
        <v>0</v>
      </c>
      <c r="H55" s="49">
        <f>IFERROR(__xludf.DUMMYFUNCTION("IFERROR(
  VLOOKUP(
    A55,
    IMPORTRANGE(
      ""1ZHMy3vVUd_0MrSduXTe1etBb1HNpAlGwQr006ljwMiM"",
      ""GSC最新!A:F""
    ),
    4,
    FALSE
  ),
  0
)
"),0.0)</f>
        <v>0</v>
      </c>
      <c r="I55" s="49">
        <f>IFERROR(__xludf.DUMMYFUNCTION("IFERROR(
  VLOOKUP(
    A55,
    IMPORTRANGE(
      ""1ZHMy3vVUd_0MrSduXTe1etBb1HNpAlGwQr006ljwMiM"",
      ""GSC最新!A:F""
    ),
    5,
    FALSE
  ),
  0
)
"),0.0)</f>
        <v>0</v>
      </c>
      <c r="J55" s="50" t="str">
        <f t="shared" ref="J55:K55" si="266">IFERROR(F55/H55,"-")</f>
        <v>-</v>
      </c>
      <c r="K55" s="50" t="str">
        <f t="shared" si="266"/>
        <v>-</v>
      </c>
      <c r="L55" s="6">
        <f>IFERROR(__xludf.DUMMYFUNCTION("IFERROR(
  VLOOKUP(
    A55,
    IMPORTRANGE(
      ""1ZHMy3vVUd_0MrSduXTe1etBb1HNpAlGwQr006ljwMiM"",
      ""GSC最新!A:R""
    ),
    7,
    FALSE
  ),
  0
)
"),2.0)</f>
        <v>2</v>
      </c>
      <c r="M55" s="6">
        <f>IFERROR(__xludf.DUMMYFUNCTION("IFERROR(
  VLOOKUP(
    A55,
    IMPORTRANGE(
      ""1ZHMy3vVUd_0MrSduXTe1etBb1HNpAlGwQr006ljwMiM"",
      ""GSC最新!A:R""
    ),
    10,
    FALSE
  ),
  0
)
"),2.0)</f>
        <v>2</v>
      </c>
      <c r="N55" s="6">
        <f>IFERROR(__xludf.DUMMYFUNCTION("IFERROR(
  VLOOKUP(
    A55,
    IMPORTRANGE(
      ""1ZHMy3vVUd_0MrSduXTe1etBb1HNpAlGwQr006ljwMiM"",
      ""GSC最新!A:R""
    ),
    13,
    FALSE
  ),
  0
)
"),0.0)</f>
        <v>0</v>
      </c>
      <c r="O55" s="6">
        <f>IFERROR(__xludf.DUMMYFUNCTION("IFERROR(
  VLOOKUP(
    A55,
    IMPORTRANGE(
      ""1ZHMy3vVUd_0MrSduXTe1etBb1HNpAlGwQr006ljwMiM"",
      ""GSC最新!A:R""
    ),
    16,
    FALSE
  ),
  0
)
"),0.0)</f>
        <v>0</v>
      </c>
      <c r="P55" s="51" t="str">
        <f t="shared" ref="P55:Q55" si="267">IFERROR(L55/N55,"-")</f>
        <v>-</v>
      </c>
      <c r="Q55" s="51" t="str">
        <f t="shared" si="267"/>
        <v>-</v>
      </c>
      <c r="R55" s="9">
        <f>IFERROR(__xludf.DUMMYFUNCTION("IFERROR(
  VLOOKUP(
    A55,
    IMPORTRANGE(
      ""1ZHMy3vVUd_0MrSduXTe1etBb1HNpAlGwQr006ljwMiM"",
      ""GSC最新!A:R""
    ),
    8,
    FALSE
  ),
  0
)
"),0.0)</f>
        <v>0</v>
      </c>
      <c r="S55" s="9">
        <f>IFERROR(__xludf.DUMMYFUNCTION("IFERROR(
  VLOOKUP(
    A55,
    IMPORTRANGE(
      ""1ZHMy3vVUd_0MrSduXTe1etBb1HNpAlGwQr006ljwMiM"",
      ""GSC最新!A:R""
    ),
    11,
    FALSE
  ),
  0
)
"),0.0)</f>
        <v>0</v>
      </c>
      <c r="T55" s="9">
        <f>IFERROR(__xludf.DUMMYFUNCTION("IFERROR(
  VLOOKUP(
    A55,
    IMPORTRANGE(
      ""1ZHMy3vVUd_0MrSduXTe1etBb1HNpAlGwQr006ljwMiM"",
      ""GSC最新!A:R""
    ),
    14,
    FALSE
  ),
  0
)
"),0.0)</f>
        <v>0</v>
      </c>
      <c r="U55" s="9">
        <f>IFERROR(__xludf.DUMMYFUNCTION("IFERROR(
  VLOOKUP(
    A55,
    IMPORTRANGE(
      ""1ZHMy3vVUd_0MrSduXTe1etBb1HNpAlGwQr006ljwMiM"",
      ""GSC最新!A:R""
    ),
    17,
    FALSE
  ),
  0
)
"),0.0)</f>
        <v>0</v>
      </c>
      <c r="V55" s="9">
        <f t="shared" ref="V55:W55" si="268">IFERROR(R55-T55,"-")</f>
        <v>0</v>
      </c>
      <c r="W55" s="9">
        <f t="shared" si="268"/>
        <v>0</v>
      </c>
      <c r="X55" s="65">
        <f>IFERROR(__xludf.DUMMYFUNCTION("IFERROR(
  VLOOKUP(
    A55,
    IMPORTRANGE(
      ""1ZHMy3vVUd_0MrSduXTe1etBb1HNpAlGwQr006ljwMiM"",
      ""GSC最新!A:R""
    ),
    9,
    FALSE
  ),
  0
)
"),8.0)</f>
        <v>8</v>
      </c>
      <c r="Y55" s="65">
        <f>IFERROR(__xludf.DUMMYFUNCTION("IFERROR(
  VLOOKUP(
    A55,
    IMPORTRANGE(
      ""1ZHMy3vVUd_0MrSduXTe1etBb1HNpAlGwQr006ljwMiM"",
      ""GSC最新!A:R""
    ),
    12,
    FALSE
  ),
  0
)
"),8.0)</f>
        <v>8</v>
      </c>
      <c r="Z55" s="65" t="str">
        <f>IFERROR(__xludf.DUMMYFUNCTION("IFERROR(
  VLOOKUP(
    A55,
    IMPORTRANGE(
      ""1ZHMy3vVUd_0MrSduXTe1etBb1HNpAlGwQr006ljwMiM"",
      ""GSC最新!A:R""
    ),
    15,
    FALSE
  ),
  0
)
"),"")</f>
        <v/>
      </c>
      <c r="AA55" s="65" t="str">
        <f>IFERROR(__xludf.DUMMYFUNCTION("IFERROR(
  VLOOKUP(
    A55,
    IMPORTRANGE(
      ""1ZHMy3vVUd_0MrSduXTe1etBb1HNpAlGwQr006ljwMiM"",
      ""GSC最新!A:R""
    ),
    18,
    FALSE
  ),
  0
)
"),"")</f>
        <v/>
      </c>
      <c r="AB55" s="65">
        <f t="shared" ref="AB55:AC55" si="269">X55-Z55</f>
        <v>8</v>
      </c>
      <c r="AC55" s="65">
        <f t="shared" si="269"/>
        <v>8</v>
      </c>
      <c r="AD55" s="53">
        <f>IFERROR(__xludf.DUMMYFUNCTION("IFERROR(
  VLOOKUP(
    A55,
    IMPORTRANGE(
      ""1ZHMy3vVUd_0MrSduXTe1etBb1HNpAlGwQr006ljwMiM"",
      ""GSC最新!A:F""
    ),
    6,
    FALSE
  ),
  0
)
"),46081.0)</f>
        <v>46081</v>
      </c>
      <c r="AE55" s="54">
        <f>IFERROR(__xludf.DUMMYFUNCTION("IFERROR(
  VLOOKUP(
    A55,
    IMPORTRANGE(
      ""1SCYQd7_cobOYqT0r_F0IqD4tE4rYn5y8Eup4PJTH8es"",
      ""Snapshot!A:M""
    ),
    5,
    FALSE
  ),
  ""-""
)
"),0.0)</f>
        <v>0</v>
      </c>
      <c r="AF55" s="54">
        <f>IFERROR(__xludf.DUMMYFUNCTION("IFERROR(
  VLOOKUP(
    A55,
    IMPORTRANGE(
      ""1SCYQd7_cobOYqT0r_F0IqD4tE4rYn5y8Eup4PJTH8es"",
      ""Snapshot!A:M""
    ),
    6,
    FALSE
  ),
  0
)
"),0.0)</f>
        <v>0</v>
      </c>
      <c r="AG55" s="54">
        <f>IFERROR(__xludf.DUMMYFUNCTION("IFERROR(
  VLOOKUP(
    A55,
    IMPORTRANGE(
      ""1SCYQd7_cobOYqT0r_F0IqD4tE4rYn5y8Eup4PJTH8es"",
      ""Snapshot!A:M""
    ),
    7,
    FALSE
  ),
  0
)
"),633.0)</f>
        <v>633</v>
      </c>
      <c r="AH55" s="54">
        <f>IFERROR(__xludf.DUMMYFUNCTION("IFERROR(
  VLOOKUP(
    A55,
    IMPORTRANGE(
      ""1SCYQd7_cobOYqT0r_F0IqD4tE4rYn5y8Eup4PJTH8es"",
      ""Snapshot!A:M""
    ),
    8,
    FALSE
  ),
  0
)
"),3.0)</f>
        <v>3</v>
      </c>
      <c r="AI55" s="54">
        <f>IFERROR(__xludf.DUMMYFUNCTION("IFERROR(
  VLOOKUP(
    A55,
    IMPORTRANGE(
      ""1SCYQd7_cobOYqT0r_F0IqD4tE4rYn5y8Eup4PJTH8es"",
      ""Snapshot!A:M""
    ),
    9,
    FALSE
  ),
  0
)
"),0.0)</f>
        <v>0</v>
      </c>
      <c r="AJ55" s="54">
        <f>IFERROR(__xludf.DUMMYFUNCTION("IFERROR(
  VLOOKUP(
    A55,
    IMPORTRANGE(
      ""1SCYQd7_cobOYqT0r_F0IqD4tE4rYn5y8Eup4PJTH8es"",
      ""Snapshot!A:M""
    ),
    13,
    FALSE
  ),
  0
)
"),2.0)</f>
        <v>2</v>
      </c>
      <c r="AK55" s="49">
        <f t="shared" ref="AK55:AL55" si="270">LEN(C55)</f>
        <v>52</v>
      </c>
      <c r="AL55" s="49">
        <f t="shared" si="270"/>
        <v>55</v>
      </c>
    </row>
    <row r="56">
      <c r="A56" s="1" t="s">
        <v>1277</v>
      </c>
      <c r="B56" s="1" t="str">
        <f>IFERROR(__xludf.DUMMYFUNCTION("IFERROR(
  VLOOKUP(
    A56,
    IMPORTRANGE(
      ""1ZygntHC1J6IxzKbTidmOyf5nUyW4GCLurHCjexrLm_o"",
      ""HTMLキャッシュ!A:F""
    ),
    2,
    FALSE
  ),
  0
)
"),"NW")</f>
        <v>NW</v>
      </c>
      <c r="C56" s="1" t="str">
        <f>IFERROR(__xludf.DUMMYFUNCTION("IFERROR(
  VLOOKUP(
    A56,
    IMPORTRANGE(
      ""1ZygntHC1J6IxzKbTidmOyf5nUyW4GCLurHCjexrLm_o"",
      ""HTMLキャッシュ!A:F""
    ),
    5,
    FALSE
  ),
  0
)
"),"2023年度夏期講習開催のお知らせ - 中学受験 理科の個別指導 | 受験理科専門塾「しゅん吉クエスト」")</f>
        <v>2023年度夏期講習開催のお知らせ - 中学受験 理科の個別指導 | 受験理科専門塾「しゅん吉クエスト」</v>
      </c>
      <c r="D56" s="1" t="str">
        <f>IFERROR(__xludf.DUMMYFUNCTION("IFERROR(
  VLOOKUP(
    A56,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56" s="32">
        <f>IFERROR(__xludf.DUMMYFUNCTION("IFERROR(
  VLOOKUP(
    A56,
    IMPORTRANGE(
      ""1ZygntHC1J6IxzKbTidmOyf5nUyW4GCLurHCjexrLm_o        "",
      ""HTMLキャッシュ!A:F""
    ),
    3,
    FALSE
  ),
  0
)
"),45600.12359953704)</f>
        <v>45600.1236</v>
      </c>
      <c r="F56" s="49">
        <f>IFERROR(__xludf.DUMMYFUNCTION("IFERROR(
  VLOOKUP(
    A56,
    IMPORTRANGE(
      ""1ZHMy3vVUd_0MrSduXTe1etBb1HNpAlGwQr006ljwMiM"",
      ""GSC最新!A:F""
    ),
    2,
    FALSE
  ),
  0
)
"),0.0)</f>
        <v>0</v>
      </c>
      <c r="G56" s="49">
        <f>IFERROR(__xludf.DUMMYFUNCTION("IFERROR(
  VLOOKUP(
    A56,
    IMPORTRANGE(
      ""1ZHMy3vVUd_0MrSduXTe1etBb1HNpAlGwQr006ljwMiM"",
      ""GSC最新!A:F""
    ),
    3,
    FALSE
  ),
  0
)
"),0.0)</f>
        <v>0</v>
      </c>
      <c r="H56" s="49">
        <f>IFERROR(__xludf.DUMMYFUNCTION("IFERROR(
  VLOOKUP(
    A56,
    IMPORTRANGE(
      ""1ZHMy3vVUd_0MrSduXTe1etBb1HNpAlGwQr006ljwMiM"",
      ""GSC最新!A:F""
    ),
    4,
    FALSE
  ),
  0
)
"),0.0)</f>
        <v>0</v>
      </c>
      <c r="I56" s="49">
        <f>IFERROR(__xludf.DUMMYFUNCTION("IFERROR(
  VLOOKUP(
    A56,
    IMPORTRANGE(
      ""1ZHMy3vVUd_0MrSduXTe1etBb1HNpAlGwQr006ljwMiM"",
      ""GSC最新!A:F""
    ),
    5,
    FALSE
  ),
  0
)
"),0.0)</f>
        <v>0</v>
      </c>
      <c r="J56" s="50" t="str">
        <f t="shared" ref="J56:K56" si="271">IFERROR(F56/H56,"-")</f>
        <v>-</v>
      </c>
      <c r="K56" s="50" t="str">
        <f t="shared" si="271"/>
        <v>-</v>
      </c>
      <c r="L56" s="6">
        <f>IFERROR(__xludf.DUMMYFUNCTION("IFERROR(
  VLOOKUP(
    A56,
    IMPORTRANGE(
      ""1ZHMy3vVUd_0MrSduXTe1etBb1HNpAlGwQr006ljwMiM"",
      ""GSC最新!A:R""
    ),
    7,
    FALSE
  ),
  0
)
"),1.0)</f>
        <v>1</v>
      </c>
      <c r="M56" s="6">
        <f>IFERROR(__xludf.DUMMYFUNCTION("IFERROR(
  VLOOKUP(
    A56,
    IMPORTRANGE(
      ""1ZHMy3vVUd_0MrSduXTe1etBb1HNpAlGwQr006ljwMiM"",
      ""GSC最新!A:R""
    ),
    10,
    FALSE
  ),
  0
)
"),2.0)</f>
        <v>2</v>
      </c>
      <c r="N56" s="6">
        <f>IFERROR(__xludf.DUMMYFUNCTION("IFERROR(
  VLOOKUP(
    A56,
    IMPORTRANGE(
      ""1ZHMy3vVUd_0MrSduXTe1etBb1HNpAlGwQr006ljwMiM"",
      ""GSC最新!A:R""
    ),
    13,
    FALSE
  ),
  0
)
"),0.0)</f>
        <v>0</v>
      </c>
      <c r="O56" s="6">
        <f>IFERROR(__xludf.DUMMYFUNCTION("IFERROR(
  VLOOKUP(
    A56,
    IMPORTRANGE(
      ""1ZHMy3vVUd_0MrSduXTe1etBb1HNpAlGwQr006ljwMiM"",
      ""GSC最新!A:R""
    ),
    16,
    FALSE
  ),
  0
)
"),5.0)</f>
        <v>5</v>
      </c>
      <c r="P56" s="51" t="str">
        <f t="shared" ref="P56:Q56" si="272">IFERROR(L56/N56,"-")</f>
        <v>-</v>
      </c>
      <c r="Q56" s="51">
        <f t="shared" si="272"/>
        <v>0.4</v>
      </c>
      <c r="R56" s="9">
        <f>IFERROR(__xludf.DUMMYFUNCTION("IFERROR(
  VLOOKUP(
    A56,
    IMPORTRANGE(
      ""1ZHMy3vVUd_0MrSduXTe1etBb1HNpAlGwQr006ljwMiM"",
      ""GSC最新!A:R""
    ),
    8,
    FALSE
  ),
  0
)
"),0.0)</f>
        <v>0</v>
      </c>
      <c r="S56" s="9">
        <f>IFERROR(__xludf.DUMMYFUNCTION("IFERROR(
  VLOOKUP(
    A56,
    IMPORTRANGE(
      ""1ZHMy3vVUd_0MrSduXTe1etBb1HNpAlGwQr006ljwMiM"",
      ""GSC最新!A:R""
    ),
    11,
    FALSE
  ),
  0
)
"),0.0)</f>
        <v>0</v>
      </c>
      <c r="T56" s="9">
        <f>IFERROR(__xludf.DUMMYFUNCTION("IFERROR(
  VLOOKUP(
    A56,
    IMPORTRANGE(
      ""1ZHMy3vVUd_0MrSduXTe1etBb1HNpAlGwQr006ljwMiM"",
      ""GSC最新!A:R""
    ),
    14,
    FALSE
  ),
  0
)
"),0.0)</f>
        <v>0</v>
      </c>
      <c r="U56" s="9">
        <f>IFERROR(__xludf.DUMMYFUNCTION("IFERROR(
  VLOOKUP(
    A56,
    IMPORTRANGE(
      ""1ZHMy3vVUd_0MrSduXTe1etBb1HNpAlGwQr006ljwMiM"",
      ""GSC最新!A:R""
    ),
    17,
    FALSE
  ),
  0
)
"),0.0)</f>
        <v>0</v>
      </c>
      <c r="V56" s="9">
        <f t="shared" ref="V56:W56" si="273">IFERROR(R56-T56,"-")</f>
        <v>0</v>
      </c>
      <c r="W56" s="9">
        <f t="shared" si="273"/>
        <v>0</v>
      </c>
      <c r="X56" s="65">
        <f>IFERROR(__xludf.DUMMYFUNCTION("IFERROR(
  VLOOKUP(
    A56,
    IMPORTRANGE(
      ""1ZHMy3vVUd_0MrSduXTe1etBb1HNpAlGwQr006ljwMiM"",
      ""GSC最新!A:R""
    ),
    9,
    FALSE
  ),
  0
)
"),9.0)</f>
        <v>9</v>
      </c>
      <c r="Y56" s="65">
        <f>IFERROR(__xludf.DUMMYFUNCTION("IFERROR(
  VLOOKUP(
    A56,
    IMPORTRANGE(
      ""1ZHMy3vVUd_0MrSduXTe1etBb1HNpAlGwQr006ljwMiM"",
      ""GSC最新!A:R""
    ),
    12,
    FALSE
  ),
  0
)
"),8.5)</f>
        <v>8.5</v>
      </c>
      <c r="Z56" s="65" t="str">
        <f>IFERROR(__xludf.DUMMYFUNCTION("IFERROR(
  VLOOKUP(
    A56,
    IMPORTRANGE(
      ""1ZHMy3vVUd_0MrSduXTe1etBb1HNpAlGwQr006ljwMiM"",
      ""GSC最新!A:R""
    ),
    15,
    FALSE
  ),
  0
)
"),"")</f>
        <v/>
      </c>
      <c r="AA56" s="65">
        <f>IFERROR(__xludf.DUMMYFUNCTION("IFERROR(
  VLOOKUP(
    A56,
    IMPORTRANGE(
      ""1ZHMy3vVUd_0MrSduXTe1etBb1HNpAlGwQr006ljwMiM"",
      ""GSC最新!A:R""
    ),
    18,
    FALSE
  ),
  0
)
"),20.0)</f>
        <v>20</v>
      </c>
      <c r="AB56" s="65">
        <f t="shared" ref="AB56:AC56" si="274">X56-Z56</f>
        <v>9</v>
      </c>
      <c r="AC56" s="65">
        <f t="shared" si="274"/>
        <v>-11.5</v>
      </c>
      <c r="AD56" s="53">
        <f>IFERROR(__xludf.DUMMYFUNCTION("IFERROR(
  VLOOKUP(
    A56,
    IMPORTRANGE(
      ""1ZHMy3vVUd_0MrSduXTe1etBb1HNpAlGwQr006ljwMiM"",
      ""GSC最新!A:F""
    ),
    6,
    FALSE
  ),
  0
)
"),46081.0)</f>
        <v>46081</v>
      </c>
      <c r="AE56" s="54">
        <f>IFERROR(__xludf.DUMMYFUNCTION("IFERROR(
  VLOOKUP(
    A56,
    IMPORTRANGE(
      ""1SCYQd7_cobOYqT0r_F0IqD4tE4rYn5y8Eup4PJTH8es"",
      ""Snapshot!A:M""
    ),
    5,
    FALSE
  ),
  ""-""
)
"),0.0)</f>
        <v>0</v>
      </c>
      <c r="AF56" s="54">
        <f>IFERROR(__xludf.DUMMYFUNCTION("IFERROR(
  VLOOKUP(
    A56,
    IMPORTRANGE(
      ""1SCYQd7_cobOYqT0r_F0IqD4tE4rYn5y8Eup4PJTH8es"",
      ""Snapshot!A:M""
    ),
    6,
    FALSE
  ),
  0
)
"),0.0)</f>
        <v>0</v>
      </c>
      <c r="AG56" s="54">
        <f>IFERROR(__xludf.DUMMYFUNCTION("IFERROR(
  VLOOKUP(
    A56,
    IMPORTRANGE(
      ""1SCYQd7_cobOYqT0r_F0IqD4tE4rYn5y8Eup4PJTH8es"",
      ""Snapshot!A:M""
    ),
    7,
    FALSE
  ),
  0
)
"),628.0)</f>
        <v>628</v>
      </c>
      <c r="AH56" s="54">
        <f>IFERROR(__xludf.DUMMYFUNCTION("IFERROR(
  VLOOKUP(
    A56,
    IMPORTRANGE(
      ""1SCYQd7_cobOYqT0r_F0IqD4tE4rYn5y8Eup4PJTH8es"",
      ""Snapshot!A:M""
    ),
    8,
    FALSE
  ),
  0
)
"),3.0)</f>
        <v>3</v>
      </c>
      <c r="AI56" s="54">
        <f>IFERROR(__xludf.DUMMYFUNCTION("IFERROR(
  VLOOKUP(
    A56,
    IMPORTRANGE(
      ""1SCYQd7_cobOYqT0r_F0IqD4tE4rYn5y8Eup4PJTH8es"",
      ""Snapshot!A:M""
    ),
    9,
    FALSE
  ),
  0
)
"),0.0)</f>
        <v>0</v>
      </c>
      <c r="AJ56" s="54">
        <f>IFERROR(__xludf.DUMMYFUNCTION("IFERROR(
  VLOOKUP(
    A56,
    IMPORTRANGE(
      ""1SCYQd7_cobOYqT0r_F0IqD4tE4rYn5y8Eup4PJTH8es"",
      ""Snapshot!A:M""
    ),
    13,
    FALSE
  ),
  0
)
"),2.0)</f>
        <v>2</v>
      </c>
      <c r="AK56" s="49">
        <f t="shared" ref="AK56:AL56" si="275">LEN(C56)</f>
        <v>52</v>
      </c>
      <c r="AL56" s="49">
        <f t="shared" si="275"/>
        <v>55</v>
      </c>
    </row>
    <row r="57">
      <c r="A57" s="3" t="s">
        <v>237</v>
      </c>
      <c r="B57" s="1" t="str">
        <f>IFERROR(__xludf.DUMMYFUNCTION("IFERROR(
  VLOOKUP(
    A57,
    IMPORTRANGE(
      ""1ZygntHC1J6IxzKbTidmOyf5nUyW4GCLurHCjexrLm_o"",
      ""HTMLキャッシュ!A:F""
    ),
    2,
    FALSE
  ),
  0
)
"),"-")</f>
        <v>-</v>
      </c>
      <c r="C57" s="1" t="str">
        <f>IFERROR(__xludf.DUMMYFUNCTION("IFERROR(
  VLOOKUP(
    A57,
    IMPORTRANGE(
      ""1ZygntHC1J6IxzKbTidmOyf5nUyW4GCLurHCjexrLm_o"",
      ""HTMLキャッシュ!A:F""
    ),
    5,
    FALSE
  ),
  0
)
"),"サンプルページ - 中学受験 理科の個別指導 | 受験理科専門塾「しゅん吉クエスト」")</f>
        <v>サンプルページ - 中学受験 理科の個別指導 | 受験理科専門塾「しゅん吉クエスト」</v>
      </c>
      <c r="D57" s="1" t="str">
        <f>IFERROR(__xludf.DUMMYFUNCTION("IFERROR(
  VLOOKUP(
    A57,
    IMPORTRANGE(
      ""1ZygntHC1J6IxzKbTidmOyf5nUyW4GCLurHCjexrLm_o        "",
      ""HTMLキャッシュ!A:F""
    ),
    6,
    FALSE
  ),
  0
)
"),"これはサンプルページです。同じ位置に固定され、(多くのテーマでは) サイトナビゲーションメニューに含まれる点が")</f>
        <v>これはサンプルページです。同じ位置に固定され、(多くのテーマでは) サイトナビゲーションメニューに含まれる点が</v>
      </c>
      <c r="E57" s="32">
        <f>IFERROR(__xludf.DUMMYFUNCTION("IFERROR(
  VLOOKUP(
    A57,
    IMPORTRANGE(
      ""1ZygntHC1J6IxzKbTidmOyf5nUyW4GCLurHCjexrLm_o        "",
      ""HTMLキャッシュ!A:F""
    ),
    3,
    FALSE
  ),
  0
)
"),44378.531319444446)</f>
        <v>44378.53132</v>
      </c>
      <c r="F57" s="49">
        <f>IFERROR(__xludf.DUMMYFUNCTION("IFERROR(
  VLOOKUP(
    A57,
    IMPORTRANGE(
      ""1ZHMy3vVUd_0MrSduXTe1etBb1HNpAlGwQr006ljwMiM"",
      ""GSC最新!A:F""
    ),
    2,
    FALSE
  ),
  0
)
"),0.0)</f>
        <v>0</v>
      </c>
      <c r="G57" s="49">
        <f>IFERROR(__xludf.DUMMYFUNCTION("IFERROR(
  VLOOKUP(
    A57,
    IMPORTRANGE(
      ""1ZHMy3vVUd_0MrSduXTe1etBb1HNpAlGwQr006ljwMiM"",
      ""GSC最新!A:F""
    ),
    3,
    FALSE
  ),
  0
)
"),0.0)</f>
        <v>0</v>
      </c>
      <c r="H57" s="49">
        <f>IFERROR(__xludf.DUMMYFUNCTION("IFERROR(
  VLOOKUP(
    A57,
    IMPORTRANGE(
      ""1ZHMy3vVUd_0MrSduXTe1etBb1HNpAlGwQr006ljwMiM"",
      ""GSC最新!A:F""
    ),
    4,
    FALSE
  ),
  0
)
"),0.0)</f>
        <v>0</v>
      </c>
      <c r="I57" s="49">
        <f>IFERROR(__xludf.DUMMYFUNCTION("IFERROR(
  VLOOKUP(
    A57,
    IMPORTRANGE(
      ""1ZHMy3vVUd_0MrSduXTe1etBb1HNpAlGwQr006ljwMiM"",
      ""GSC最新!A:F""
    ),
    5,
    FALSE
  ),
  0
)
"),0.0)</f>
        <v>0</v>
      </c>
      <c r="J57" s="50" t="str">
        <f t="shared" ref="J57:K57" si="276">IFERROR(F57/H57,"-")</f>
        <v>-</v>
      </c>
      <c r="K57" s="50" t="str">
        <f t="shared" si="276"/>
        <v>-</v>
      </c>
      <c r="L57" s="6">
        <f>IFERROR(__xludf.DUMMYFUNCTION("IFERROR(
  VLOOKUP(
    A57,
    IMPORTRANGE(
      ""1ZHMy3vVUd_0MrSduXTe1etBb1HNpAlGwQr006ljwMiM"",
      ""GSC最新!A:R""
    ),
    7,
    FALSE
  ),
  0
)
"),0.0)</f>
        <v>0</v>
      </c>
      <c r="M57" s="6">
        <f>IFERROR(__xludf.DUMMYFUNCTION("IFERROR(
  VLOOKUP(
    A57,
    IMPORTRANGE(
      ""1ZHMy3vVUd_0MrSduXTe1etBb1HNpAlGwQr006ljwMiM"",
      ""GSC最新!A:R""
    ),
    10,
    FALSE
  ),
  0
)
"),2.0)</f>
        <v>2</v>
      </c>
      <c r="N57" s="6">
        <f>IFERROR(__xludf.DUMMYFUNCTION("IFERROR(
  VLOOKUP(
    A57,
    IMPORTRANGE(
      ""1ZHMy3vVUd_0MrSduXTe1etBb1HNpAlGwQr006ljwMiM"",
      ""GSC最新!A:R""
    ),
    13,
    FALSE
  ),
  0
)
"),0.0)</f>
        <v>0</v>
      </c>
      <c r="O57" s="6">
        <f>IFERROR(__xludf.DUMMYFUNCTION("IFERROR(
  VLOOKUP(
    A57,
    IMPORTRANGE(
      ""1ZHMy3vVUd_0MrSduXTe1etBb1HNpAlGwQr006ljwMiM"",
      ""GSC最新!A:R""
    ),
    16,
    FALSE
  ),
  0
)
"),0.0)</f>
        <v>0</v>
      </c>
      <c r="P57" s="51" t="str">
        <f t="shared" ref="P57:Q57" si="277">IFERROR(L57/N57,"-")</f>
        <v>-</v>
      </c>
      <c r="Q57" s="51" t="str">
        <f t="shared" si="277"/>
        <v>-</v>
      </c>
      <c r="R57" s="9">
        <f>IFERROR(__xludf.DUMMYFUNCTION("IFERROR(
  VLOOKUP(
    A57,
    IMPORTRANGE(
      ""1ZHMy3vVUd_0MrSduXTe1etBb1HNpAlGwQr006ljwMiM"",
      ""GSC最新!A:R""
    ),
    8,
    FALSE
  ),
  0
)
"),0.0)</f>
        <v>0</v>
      </c>
      <c r="S57" s="9">
        <f>IFERROR(__xludf.DUMMYFUNCTION("IFERROR(
  VLOOKUP(
    A57,
    IMPORTRANGE(
      ""1ZHMy3vVUd_0MrSduXTe1etBb1HNpAlGwQr006ljwMiM"",
      ""GSC最新!A:R""
    ),
    11,
    FALSE
  ),
  0
)
"),0.0)</f>
        <v>0</v>
      </c>
      <c r="T57" s="9">
        <f>IFERROR(__xludf.DUMMYFUNCTION("IFERROR(
  VLOOKUP(
    A57,
    IMPORTRANGE(
      ""1ZHMy3vVUd_0MrSduXTe1etBb1HNpAlGwQr006ljwMiM"",
      ""GSC最新!A:R""
    ),
    14,
    FALSE
  ),
  0
)
"),0.0)</f>
        <v>0</v>
      </c>
      <c r="U57" s="9">
        <f>IFERROR(__xludf.DUMMYFUNCTION("IFERROR(
  VLOOKUP(
    A57,
    IMPORTRANGE(
      ""1ZHMy3vVUd_0MrSduXTe1etBb1HNpAlGwQr006ljwMiM"",
      ""GSC最新!A:R""
    ),
    17,
    FALSE
  ),
  0
)
"),0.0)</f>
        <v>0</v>
      </c>
      <c r="V57" s="9">
        <f t="shared" ref="V57:W57" si="278">IFERROR(R57-T57,"-")</f>
        <v>0</v>
      </c>
      <c r="W57" s="9">
        <f t="shared" si="278"/>
        <v>0</v>
      </c>
      <c r="X57" s="65" t="str">
        <f>IFERROR(__xludf.DUMMYFUNCTION("IFERROR(
  VLOOKUP(
    A57,
    IMPORTRANGE(
      ""1ZHMy3vVUd_0MrSduXTe1etBb1HNpAlGwQr006ljwMiM"",
      ""GSC最新!A:R""
    ),
    9,
    FALSE
  ),
  0
)
"),"")</f>
        <v/>
      </c>
      <c r="Y57" s="65">
        <f>IFERROR(__xludf.DUMMYFUNCTION("IFERROR(
  VLOOKUP(
    A57,
    IMPORTRANGE(
      ""1ZHMy3vVUd_0MrSduXTe1etBb1HNpAlGwQr006ljwMiM"",
      ""GSC最新!A:R""
    ),
    12,
    FALSE
  ),
  0
)
"),9.0)</f>
        <v>9</v>
      </c>
      <c r="Z57" s="65" t="str">
        <f>IFERROR(__xludf.DUMMYFUNCTION("IFERROR(
  VLOOKUP(
    A57,
    IMPORTRANGE(
      ""1ZHMy3vVUd_0MrSduXTe1etBb1HNpAlGwQr006ljwMiM"",
      ""GSC最新!A:R""
    ),
    15,
    FALSE
  ),
  0
)
"),"")</f>
        <v/>
      </c>
      <c r="AA57" s="65" t="str">
        <f>IFERROR(__xludf.DUMMYFUNCTION("IFERROR(
  VLOOKUP(
    A57,
    IMPORTRANGE(
      ""1ZHMy3vVUd_0MrSduXTe1etBb1HNpAlGwQr006ljwMiM"",
      ""GSC最新!A:R""
    ),
    18,
    FALSE
  ),
  0
)
"),"")</f>
        <v/>
      </c>
      <c r="AB57" s="65">
        <f t="shared" ref="AB57:AC57" si="279">X57-Z57</f>
        <v>0</v>
      </c>
      <c r="AC57" s="65">
        <f t="shared" si="279"/>
        <v>9</v>
      </c>
      <c r="AD57" s="53">
        <f>IFERROR(__xludf.DUMMYFUNCTION("IFERROR(
  VLOOKUP(
    A57,
    IMPORTRANGE(
      ""1ZHMy3vVUd_0MrSduXTe1etBb1HNpAlGwQr006ljwMiM"",
      ""GSC最新!A:F""
    ),
    6,
    FALSE
  ),
  0
)
"),46081.0)</f>
        <v>46081</v>
      </c>
      <c r="AE57" s="54">
        <f>IFERROR(__xludf.DUMMYFUNCTION("IFERROR(
  VLOOKUP(
    A57,
    IMPORTRANGE(
      ""1SCYQd7_cobOYqT0r_F0IqD4tE4rYn5y8Eup4PJTH8es"",
      ""Snapshot!A:M""
    ),
    5,
    FALSE
  ),
  ""-""
)
"),0.0)</f>
        <v>0</v>
      </c>
      <c r="AF57" s="54">
        <f>IFERROR(__xludf.DUMMYFUNCTION("IFERROR(
  VLOOKUP(
    A57,
    IMPORTRANGE(
      ""1SCYQd7_cobOYqT0r_F0IqD4tE4rYn5y8Eup4PJTH8es"",
      ""Snapshot!A:M""
    ),
    6,
    FALSE
  ),
  0
)
"),0.0)</f>
        <v>0</v>
      </c>
      <c r="AG57" s="54">
        <f>IFERROR(__xludf.DUMMYFUNCTION("IFERROR(
  VLOOKUP(
    A57,
    IMPORTRANGE(
      ""1SCYQd7_cobOYqT0r_F0IqD4tE4rYn5y8Eup4PJTH8es"",
      ""Snapshot!A:M""
    ),
    7,
    FALSE
  ),
  0
)
"),455.0)</f>
        <v>455</v>
      </c>
      <c r="AH57" s="54">
        <f>IFERROR(__xludf.DUMMYFUNCTION("IFERROR(
  VLOOKUP(
    A57,
    IMPORTRANGE(
      ""1SCYQd7_cobOYqT0r_F0IqD4tE4rYn5y8Eup4PJTH8es"",
      ""Snapshot!A:M""
    ),
    8,
    FALSE
  ),
  0
)
"),1.0)</f>
        <v>1</v>
      </c>
      <c r="AI57" s="54">
        <f>IFERROR(__xludf.DUMMYFUNCTION("IFERROR(
  VLOOKUP(
    A57,
    IMPORTRANGE(
      ""1SCYQd7_cobOYqT0r_F0IqD4tE4rYn5y8Eup4PJTH8es"",
      ""Snapshot!A:M""
    ),
    9,
    FALSE
  ),
  0
)
"),1.0)</f>
        <v>1</v>
      </c>
      <c r="AJ57" s="54">
        <f>IFERROR(__xludf.DUMMYFUNCTION("IFERROR(
  VLOOKUP(
    A57,
    IMPORTRANGE(
      ""1SCYQd7_cobOYqT0r_F0IqD4tE4rYn5y8Eup4PJTH8es"",
      ""Snapshot!A:M""
    ),
    13,
    FALSE
  ),
  0
)
"),1.0)</f>
        <v>1</v>
      </c>
      <c r="AK57" s="49">
        <f t="shared" ref="AK57:AL57" si="280">LEN(C57)</f>
        <v>42</v>
      </c>
      <c r="AL57" s="49">
        <f t="shared" si="280"/>
        <v>55</v>
      </c>
    </row>
    <row r="58">
      <c r="A58" s="3" t="s">
        <v>1278</v>
      </c>
      <c r="B58" s="1" t="str">
        <f>IFERROR(__xludf.DUMMYFUNCTION("IFERROR(
  VLOOKUP(
    A58,
    IMPORTRANGE(
      ""1ZygntHC1J6IxzKbTidmOyf5nUyW4GCLurHCjexrLm_o"",
      ""HTMLキャッシュ!A:F""
    ),
    2,
    FALSE
  ),
  0
)
"),"MC")</f>
        <v>MC</v>
      </c>
      <c r="C58" s="1" t="str">
        <f>IFERROR(__xludf.DUMMYFUNCTION("IFERROR(
  VLOOKUP(
    A58,
    IMPORTRANGE(
      ""1ZygntHC1J6IxzKbTidmOyf5nUyW4GCLurHCjexrLm_o"",
      ""HTMLキャッシュ!A:F""
    ),
    5,
    FALSE
  ),
  0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D58" s="1" t="str">
        <f>IFERROR(__xludf.DUMMYFUNCTION("IFERROR(
  VLOOKUP(
    A58,
    IMPORTRANGE(
      ""1ZygntHC1J6IxzKbTidmOyf5nUyW4GCLurHCjexrLm_o        "",
      ""HTMLキャッシュ!A:F""
    ),
    6,
    FALSE
  ),
  0
)
"),"中学受験理科／生物分野 知識量＋整理力アップ講座 中学受験理科「生物分野」の勉強法──「ただ覚え")</f>
        <v>中学受験理科／生物分野 知識量＋整理力アップ講座 中学受験理科「生物分野」の勉強法──「ただ覚え</v>
      </c>
      <c r="E58" s="32">
        <f>IFERROR(__xludf.DUMMYFUNCTION("IFERROR(
  VLOOKUP(
    A58,
    IMPORTRANGE(
      ""1ZygntHC1J6IxzKbTidmOyf5nUyW4GCLurHCjexrLm_o        "",
      ""HTMLキャッシュ!A:F""
    ),
    3,
    FALSE
  ),
  0
)
"),46030.16810185185)</f>
        <v>46030.1681</v>
      </c>
      <c r="F58" s="49">
        <f>IFERROR(__xludf.DUMMYFUNCTION("IFERROR(
  VLOOKUP(
    A58,
    IMPORTRANGE(
      ""1ZHMy3vVUd_0MrSduXTe1etBb1HNpAlGwQr006ljwMiM"",
      ""GSC最新!A:F""
    ),
    2,
    FALSE
  ),
  0
)
"),0.0)</f>
        <v>0</v>
      </c>
      <c r="G58" s="49">
        <f>IFERROR(__xludf.DUMMYFUNCTION("IFERROR(
  VLOOKUP(
    A58,
    IMPORTRANGE(
      ""1ZHMy3vVUd_0MrSduXTe1etBb1HNpAlGwQr006ljwMiM"",
      ""GSC最新!A:F""
    ),
    3,
    FALSE
  ),
  0
)
"),0.0)</f>
        <v>0</v>
      </c>
      <c r="H58" s="49">
        <f>IFERROR(__xludf.DUMMYFUNCTION("IFERROR(
  VLOOKUP(
    A58,
    IMPORTRANGE(
      ""1ZHMy3vVUd_0MrSduXTe1etBb1HNpAlGwQr006ljwMiM"",
      ""GSC最新!A:F""
    ),
    4,
    FALSE
  ),
  0
)
"),0.0)</f>
        <v>0</v>
      </c>
      <c r="I58" s="49">
        <f>IFERROR(__xludf.DUMMYFUNCTION("IFERROR(
  VLOOKUP(
    A58,
    IMPORTRANGE(
      ""1ZHMy3vVUd_0MrSduXTe1etBb1HNpAlGwQr006ljwMiM"",
      ""GSC最新!A:F""
    ),
    5,
    FALSE
  ),
  0
)
"),0.0)</f>
        <v>0</v>
      </c>
      <c r="J58" s="50" t="str">
        <f t="shared" ref="J58:K58" si="281">IFERROR(F58/H58,"-")</f>
        <v>-</v>
      </c>
      <c r="K58" s="50" t="str">
        <f t="shared" si="281"/>
        <v>-</v>
      </c>
      <c r="L58" s="6">
        <f>IFERROR(__xludf.DUMMYFUNCTION("IFERROR(
  VLOOKUP(
    A58,
    IMPORTRANGE(
      ""1ZHMy3vVUd_0MrSduXTe1etBb1HNpAlGwQr006ljwMiM"",
      ""GSC最新!A:R""
    ),
    7,
    FALSE
  ),
  0
)
"),0.0)</f>
        <v>0</v>
      </c>
      <c r="M58" s="6">
        <f>IFERROR(__xludf.DUMMYFUNCTION("IFERROR(
  VLOOKUP(
    A58,
    IMPORTRANGE(
      ""1ZHMy3vVUd_0MrSduXTe1etBb1HNpAlGwQr006ljwMiM"",
      ""GSC最新!A:R""
    ),
    10,
    FALSE
  ),
  0
)
"),0.0)</f>
        <v>0</v>
      </c>
      <c r="N58" s="6">
        <f>IFERROR(__xludf.DUMMYFUNCTION("IFERROR(
  VLOOKUP(
    A58,
    IMPORTRANGE(
      ""1ZHMy3vVUd_0MrSduXTe1etBb1HNpAlGwQr006ljwMiM"",
      ""GSC最新!A:R""
    ),
    13,
    FALSE
  ),
  0
)
"),0.0)</f>
        <v>0</v>
      </c>
      <c r="O58" s="6">
        <f>IFERROR(__xludf.DUMMYFUNCTION("IFERROR(
  VLOOKUP(
    A58,
    IMPORTRANGE(
      ""1ZHMy3vVUd_0MrSduXTe1etBb1HNpAlGwQr006ljwMiM"",
      ""GSC最新!A:R""
    ),
    16,
    FALSE
  ),
  0
)
"),0.0)</f>
        <v>0</v>
      </c>
      <c r="P58" s="51" t="str">
        <f t="shared" ref="P58:Q58" si="282">IFERROR(L58/N58,"-")</f>
        <v>-</v>
      </c>
      <c r="Q58" s="51" t="str">
        <f t="shared" si="282"/>
        <v>-</v>
      </c>
      <c r="R58" s="9">
        <f>IFERROR(__xludf.DUMMYFUNCTION("IFERROR(
  VLOOKUP(
    A58,
    IMPORTRANGE(
      ""1ZHMy3vVUd_0MrSduXTe1etBb1HNpAlGwQr006ljwMiM"",
      ""GSC最新!A:R""
    ),
    8,
    FALSE
  ),
  0
)
"),0.0)</f>
        <v>0</v>
      </c>
      <c r="S58" s="9">
        <f>IFERROR(__xludf.DUMMYFUNCTION("IFERROR(
  VLOOKUP(
    A58,
    IMPORTRANGE(
      ""1ZHMy3vVUd_0MrSduXTe1etBb1HNpAlGwQr006ljwMiM"",
      ""GSC最新!A:R""
    ),
    11,
    FALSE
  ),
  0
)
"),0.0)</f>
        <v>0</v>
      </c>
      <c r="T58" s="9">
        <f>IFERROR(__xludf.DUMMYFUNCTION("IFERROR(
  VLOOKUP(
    A58,
    IMPORTRANGE(
      ""1ZHMy3vVUd_0MrSduXTe1etBb1HNpAlGwQr006ljwMiM"",
      ""GSC最新!A:R""
    ),
    14,
    FALSE
  ),
  0
)
"),0.0)</f>
        <v>0</v>
      </c>
      <c r="U58" s="9">
        <f>IFERROR(__xludf.DUMMYFUNCTION("IFERROR(
  VLOOKUP(
    A58,
    IMPORTRANGE(
      ""1ZHMy3vVUd_0MrSduXTe1etBb1HNpAlGwQr006ljwMiM"",
      ""GSC最新!A:R""
    ),
    17,
    FALSE
  ),
  0
)
"),0.0)</f>
        <v>0</v>
      </c>
      <c r="V58" s="9">
        <f t="shared" ref="V58:W58" si="283">IFERROR(R58-T58,"-")</f>
        <v>0</v>
      </c>
      <c r="W58" s="9">
        <f t="shared" si="283"/>
        <v>0</v>
      </c>
      <c r="X58" s="65" t="str">
        <f>IFERROR(__xludf.DUMMYFUNCTION("IFERROR(
  VLOOKUP(
    A58,
    IMPORTRANGE(
      ""1ZHMy3vVUd_0MrSduXTe1etBb1HNpAlGwQr006ljwMiM"",
      ""GSC最新!A:R""
    ),
    9,
    FALSE
  ),
  0
)
"),"")</f>
        <v/>
      </c>
      <c r="Y58" s="65" t="str">
        <f>IFERROR(__xludf.DUMMYFUNCTION("IFERROR(
  VLOOKUP(
    A58,
    IMPORTRANGE(
      ""1ZHMy3vVUd_0MrSduXTe1etBb1HNpAlGwQr006ljwMiM"",
      ""GSC最新!A:R""
    ),
    12,
    FALSE
  ),
  0
)
"),"")</f>
        <v/>
      </c>
      <c r="Z58" s="65" t="str">
        <f>IFERROR(__xludf.DUMMYFUNCTION("IFERROR(
  VLOOKUP(
    A58,
    IMPORTRANGE(
      ""1ZHMy3vVUd_0MrSduXTe1etBb1HNpAlGwQr006ljwMiM"",
      ""GSC最新!A:R""
    ),
    15,
    FALSE
  ),
  0
)
"),"")</f>
        <v/>
      </c>
      <c r="AA58" s="65" t="str">
        <f>IFERROR(__xludf.DUMMYFUNCTION("IFERROR(
  VLOOKUP(
    A58,
    IMPORTRANGE(
      ""1ZHMy3vVUd_0MrSduXTe1etBb1HNpAlGwQr006ljwMiM"",
      ""GSC最新!A:R""
    ),
    18,
    FALSE
  ),
  0
)
"),"")</f>
        <v/>
      </c>
      <c r="AB58" s="65">
        <f t="shared" ref="AB58:AC58" si="284">X58-Z58</f>
        <v>0</v>
      </c>
      <c r="AC58" s="65">
        <f t="shared" si="284"/>
        <v>0</v>
      </c>
      <c r="AD58" s="53">
        <f>IFERROR(__xludf.DUMMYFUNCTION("IFERROR(
  VLOOKUP(
    A58,
    IMPORTRANGE(
      ""1ZHMy3vVUd_0MrSduXTe1etBb1HNpAlGwQr006ljwMiM"",
      ""GSC最新!A:F""
    ),
    6,
    FALSE
  ),
  0
)
"),46081.0)</f>
        <v>46081</v>
      </c>
      <c r="AE58" s="54">
        <f>IFERROR(__xludf.DUMMYFUNCTION("IFERROR(
  VLOOKUP(
    A58,
    IMPORTRANGE(
      ""1SCYQd7_cobOYqT0r_F0IqD4tE4rYn5y8Eup4PJTH8es"",
      ""Snapshot!A:M""
    ),
    5,
    FALSE
  ),
  ""-""
)
"),6.0)</f>
        <v>6</v>
      </c>
      <c r="AF58" s="54">
        <f>IFERROR(__xludf.DUMMYFUNCTION("IFERROR(
  VLOOKUP(
    A58,
    IMPORTRANGE(
      ""1SCYQd7_cobOYqT0r_F0IqD4tE4rYn5y8Eup4PJTH8es"",
      ""Snapshot!A:M""
    ),
    6,
    FALSE
  ),
  0
)
"),6.0)</f>
        <v>6</v>
      </c>
      <c r="AG58" s="54">
        <f>IFERROR(__xludf.DUMMYFUNCTION("IFERROR(
  VLOOKUP(
    A58,
    IMPORTRANGE(
      ""1SCYQd7_cobOYqT0r_F0IqD4tE4rYn5y8Eup4PJTH8es"",
      ""Snapshot!A:M""
    ),
    7,
    FALSE
  ),
  0
)
"),5481.0)</f>
        <v>5481</v>
      </c>
      <c r="AH58" s="54">
        <f>IFERROR(__xludf.DUMMYFUNCTION("IFERROR(
  VLOOKUP(
    A58,
    IMPORTRANGE(
      ""1SCYQd7_cobOYqT0r_F0IqD4tE4rYn5y8Eup4PJTH8es"",
      ""Snapshot!A:M""
    ),
    8,
    FALSE
  ),
  0
)
"),14.0)</f>
        <v>14</v>
      </c>
      <c r="AI58" s="54">
        <f>IFERROR(__xludf.DUMMYFUNCTION("IFERROR(
  VLOOKUP(
    A58,
    IMPORTRANGE(
      ""1SCYQd7_cobOYqT0r_F0IqD4tE4rYn5y8Eup4PJTH8es"",
      ""Snapshot!A:M""
    ),
    9,
    FALSE
  ),
  0
)
"),2.0)</f>
        <v>2</v>
      </c>
      <c r="AJ58" s="54">
        <f>IFERROR(__xludf.DUMMYFUNCTION("IFERROR(
  VLOOKUP(
    A58,
    IMPORTRANGE(
      ""1SCYQd7_cobOYqT0r_F0IqD4tE4rYn5y8Eup4PJTH8es"",
      ""Snapshot!A:M""
    ),
    13,
    FALSE
  ),
  0
)
"),2.0)</f>
        <v>2</v>
      </c>
      <c r="AK58" s="49">
        <f t="shared" ref="AK58:AL58" si="285">LEN(C58)</f>
        <v>58</v>
      </c>
      <c r="AL58" s="49">
        <f t="shared" si="285"/>
        <v>48</v>
      </c>
    </row>
    <row r="59">
      <c r="A59" s="3" t="s">
        <v>1279</v>
      </c>
      <c r="B59" s="1" t="str">
        <f>IFERROR(__xludf.DUMMYFUNCTION("IFERROR(
  VLOOKUP(
    A59,
    IMPORTRANGE(
      ""1ZygntHC1J6IxzKbTidmOyf5nUyW4GCLurHCjexrLm_o"",
      ""HTMLキャッシュ!A:F""
    ),
    2,
    FALSE
  ),
  0
)
"),"MC")</f>
        <v>MC</v>
      </c>
      <c r="C59" s="1" t="str">
        <f>IFERROR(__xludf.DUMMYFUNCTION("IFERROR(
  VLOOKUP(
    A59,
    IMPORTRANGE(
      ""1ZygntHC1J6IxzKbTidmOyf5nUyW4GCLurHCjexrLm_o"",
      ""HTMLキャッシュ!A:F""
    ),
    5,
    FALSE
  ),
  0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D59" s="1" t="str">
        <f>IFERROR(__xludf.DUMMYFUNCTION("IFERROR(
  VLOOKUP(
    A59,
    IMPORTRANGE(
      ""1ZygntHC1J6IxzKbTidmOyf5nUyW4GCLurHCjexrLm_o        "",
      ""HTMLキャッシュ!A:F""
    ),
    6,
    FALSE
  ),
  0
)
"),"中学受験理科／地学分野 天体・地震・地層の「つまずき」対策 中学受験理科「地学分野」の特徴とつま")</f>
        <v>中学受験理科／地学分野 天体・地震・地層の「つまずき」対策 中学受験理科「地学分野」の特徴とつま</v>
      </c>
      <c r="E59" s="32">
        <f>IFERROR(__xludf.DUMMYFUNCTION("IFERROR(
  VLOOKUP(
    A59,
    IMPORTRANGE(
      ""1ZygntHC1J6IxzKbTidmOyf5nUyW4GCLurHCjexrLm_o        "",
      ""HTMLキャッシュ!A:F""
    ),
    3,
    FALSE
  ),
  0
)
"),46060.30358796296)</f>
        <v>46060.30359</v>
      </c>
      <c r="F59" s="49">
        <f>IFERROR(__xludf.DUMMYFUNCTION("IFERROR(
  VLOOKUP(
    A59,
    IMPORTRANGE(
      ""1ZHMy3vVUd_0MrSduXTe1etBb1HNpAlGwQr006ljwMiM"",
      ""GSC最新!A:F""
    ),
    2,
    FALSE
  ),
  0
)
"),0.0)</f>
        <v>0</v>
      </c>
      <c r="G59" s="49">
        <f>IFERROR(__xludf.DUMMYFUNCTION("IFERROR(
  VLOOKUP(
    A59,
    IMPORTRANGE(
      ""1ZHMy3vVUd_0MrSduXTe1etBb1HNpAlGwQr006ljwMiM"",
      ""GSC最新!A:F""
    ),
    3,
    FALSE
  ),
  0
)
"),0.0)</f>
        <v>0</v>
      </c>
      <c r="H59" s="49">
        <f>IFERROR(__xludf.DUMMYFUNCTION("IFERROR(
  VLOOKUP(
    A59,
    IMPORTRANGE(
      ""1ZHMy3vVUd_0MrSduXTe1etBb1HNpAlGwQr006ljwMiM"",
      ""GSC最新!A:F""
    ),
    4,
    FALSE
  ),
  0
)
"),0.0)</f>
        <v>0</v>
      </c>
      <c r="I59" s="49">
        <f>IFERROR(__xludf.DUMMYFUNCTION("IFERROR(
  VLOOKUP(
    A59,
    IMPORTRANGE(
      ""1ZHMy3vVUd_0MrSduXTe1etBb1HNpAlGwQr006ljwMiM"",
      ""GSC最新!A:F""
    ),
    5,
    FALSE
  ),
  0
)
"),0.0)</f>
        <v>0</v>
      </c>
      <c r="J59" s="50" t="str">
        <f t="shared" ref="J59:K59" si="286">IFERROR(F59/H59,"-")</f>
        <v>-</v>
      </c>
      <c r="K59" s="50" t="str">
        <f t="shared" si="286"/>
        <v>-</v>
      </c>
      <c r="L59" s="6">
        <f>IFERROR(__xludf.DUMMYFUNCTION("IFERROR(
  VLOOKUP(
    A59,
    IMPORTRANGE(
      ""1ZHMy3vVUd_0MrSduXTe1etBb1HNpAlGwQr006ljwMiM"",
      ""GSC最新!A:R""
    ),
    7,
    FALSE
  ),
  0
)
"),0.0)</f>
        <v>0</v>
      </c>
      <c r="M59" s="6">
        <f>IFERROR(__xludf.DUMMYFUNCTION("IFERROR(
  VLOOKUP(
    A59,
    IMPORTRANGE(
      ""1ZHMy3vVUd_0MrSduXTe1etBb1HNpAlGwQr006ljwMiM"",
      ""GSC最新!A:R""
    ),
    10,
    FALSE
  ),
  0
)
"),0.0)</f>
        <v>0</v>
      </c>
      <c r="N59" s="6">
        <f>IFERROR(__xludf.DUMMYFUNCTION("IFERROR(
  VLOOKUP(
    A59,
    IMPORTRANGE(
      ""1ZHMy3vVUd_0MrSduXTe1etBb1HNpAlGwQr006ljwMiM"",
      ""GSC最新!A:R""
    ),
    13,
    FALSE
  ),
  0
)
"),0.0)</f>
        <v>0</v>
      </c>
      <c r="O59" s="6">
        <f>IFERROR(__xludf.DUMMYFUNCTION("IFERROR(
  VLOOKUP(
    A59,
    IMPORTRANGE(
      ""1ZHMy3vVUd_0MrSduXTe1etBb1HNpAlGwQr006ljwMiM"",
      ""GSC最新!A:R""
    ),
    16,
    FALSE
  ),
  0
)
"),0.0)</f>
        <v>0</v>
      </c>
      <c r="P59" s="51" t="str">
        <f t="shared" ref="P59:Q59" si="287">IFERROR(L59/N59,"-")</f>
        <v>-</v>
      </c>
      <c r="Q59" s="51" t="str">
        <f t="shared" si="287"/>
        <v>-</v>
      </c>
      <c r="R59" s="9">
        <f>IFERROR(__xludf.DUMMYFUNCTION("IFERROR(
  VLOOKUP(
    A59,
    IMPORTRANGE(
      ""1ZHMy3vVUd_0MrSduXTe1etBb1HNpAlGwQr006ljwMiM"",
      ""GSC最新!A:R""
    ),
    8,
    FALSE
  ),
  0
)
"),0.0)</f>
        <v>0</v>
      </c>
      <c r="S59" s="9">
        <f>IFERROR(__xludf.DUMMYFUNCTION("IFERROR(
  VLOOKUP(
    A59,
    IMPORTRANGE(
      ""1ZHMy3vVUd_0MrSduXTe1etBb1HNpAlGwQr006ljwMiM"",
      ""GSC最新!A:R""
    ),
    11,
    FALSE
  ),
  0
)
"),0.0)</f>
        <v>0</v>
      </c>
      <c r="T59" s="9">
        <f>IFERROR(__xludf.DUMMYFUNCTION("IFERROR(
  VLOOKUP(
    A59,
    IMPORTRANGE(
      ""1ZHMy3vVUd_0MrSduXTe1etBb1HNpAlGwQr006ljwMiM"",
      ""GSC最新!A:R""
    ),
    14,
    FALSE
  ),
  0
)
"),0.0)</f>
        <v>0</v>
      </c>
      <c r="U59" s="9">
        <f>IFERROR(__xludf.DUMMYFUNCTION("IFERROR(
  VLOOKUP(
    A59,
    IMPORTRANGE(
      ""1ZHMy3vVUd_0MrSduXTe1etBb1HNpAlGwQr006ljwMiM"",
      ""GSC最新!A:R""
    ),
    17,
    FALSE
  ),
  0
)
"),0.0)</f>
        <v>0</v>
      </c>
      <c r="V59" s="9">
        <f t="shared" ref="V59:W59" si="288">IFERROR(R59-T59,"-")</f>
        <v>0</v>
      </c>
      <c r="W59" s="9">
        <f t="shared" si="288"/>
        <v>0</v>
      </c>
      <c r="X59" s="65" t="str">
        <f>IFERROR(__xludf.DUMMYFUNCTION("IFERROR(
  VLOOKUP(
    A59,
    IMPORTRANGE(
      ""1ZHMy3vVUd_0MrSduXTe1etBb1HNpAlGwQr006ljwMiM"",
      ""GSC最新!A:R""
    ),
    9,
    FALSE
  ),
  0
)
"),"")</f>
        <v/>
      </c>
      <c r="Y59" s="65" t="str">
        <f>IFERROR(__xludf.DUMMYFUNCTION("IFERROR(
  VLOOKUP(
    A59,
    IMPORTRANGE(
      ""1ZHMy3vVUd_0MrSduXTe1etBb1HNpAlGwQr006ljwMiM"",
      ""GSC最新!A:R""
    ),
    12,
    FALSE
  ),
  0
)
"),"")</f>
        <v/>
      </c>
      <c r="Z59" s="65" t="str">
        <f>IFERROR(__xludf.DUMMYFUNCTION("IFERROR(
  VLOOKUP(
    A59,
    IMPORTRANGE(
      ""1ZHMy3vVUd_0MrSduXTe1etBb1HNpAlGwQr006ljwMiM"",
      ""GSC最新!A:R""
    ),
    15,
    FALSE
  ),
  0
)
"),"")</f>
        <v/>
      </c>
      <c r="AA59" s="65" t="str">
        <f>IFERROR(__xludf.DUMMYFUNCTION("IFERROR(
  VLOOKUP(
    A59,
    IMPORTRANGE(
      ""1ZHMy3vVUd_0MrSduXTe1etBb1HNpAlGwQr006ljwMiM"",
      ""GSC最新!A:R""
    ),
    18,
    FALSE
  ),
  0
)
"),"")</f>
        <v/>
      </c>
      <c r="AB59" s="65">
        <f t="shared" ref="AB59:AC59" si="289">X59-Z59</f>
        <v>0</v>
      </c>
      <c r="AC59" s="65">
        <f t="shared" si="289"/>
        <v>0</v>
      </c>
      <c r="AD59" s="53">
        <f>IFERROR(__xludf.DUMMYFUNCTION("IFERROR(
  VLOOKUP(
    A59,
    IMPORTRANGE(
      ""1ZHMy3vVUd_0MrSduXTe1etBb1HNpAlGwQr006ljwMiM"",
      ""GSC最新!A:F""
    ),
    6,
    FALSE
  ),
  0
)
"),46081.0)</f>
        <v>46081</v>
      </c>
      <c r="AE59" s="54">
        <f>IFERROR(__xludf.DUMMYFUNCTION("IFERROR(
  VLOOKUP(
    A59,
    IMPORTRANGE(
      ""1SCYQd7_cobOYqT0r_F0IqD4tE4rYn5y8Eup4PJTH8es"",
      ""Snapshot!A:M""
    ),
    5,
    FALSE
  ),
  ""-""
)
"),7.0)</f>
        <v>7</v>
      </c>
      <c r="AF59" s="54">
        <f>IFERROR(__xludf.DUMMYFUNCTION("IFERROR(
  VLOOKUP(
    A59,
    IMPORTRANGE(
      ""1SCYQd7_cobOYqT0r_F0IqD4tE4rYn5y8Eup4PJTH8es"",
      ""Snapshot!A:M""
    ),
    6,
    FALSE
  ),
  0
)
"),7.0)</f>
        <v>7</v>
      </c>
      <c r="AG59" s="54">
        <f>IFERROR(__xludf.DUMMYFUNCTION("IFERROR(
  VLOOKUP(
    A59,
    IMPORTRANGE(
      ""1SCYQd7_cobOYqT0r_F0IqD4tE4rYn5y8Eup4PJTH8es"",
      ""Snapshot!A:M""
    ),
    7,
    FALSE
  ),
  0
)
"),6434.0)</f>
        <v>6434</v>
      </c>
      <c r="AH59" s="54">
        <f>IFERROR(__xludf.DUMMYFUNCTION("IFERROR(
  VLOOKUP(
    A59,
    IMPORTRANGE(
      ""1SCYQd7_cobOYqT0r_F0IqD4tE4rYn5y8Eup4PJTH8es"",
      ""Snapshot!A:M""
    ),
    8,
    FALSE
  ),
  0
)
"),13.0)</f>
        <v>13</v>
      </c>
      <c r="AI59" s="54">
        <f>IFERROR(__xludf.DUMMYFUNCTION("IFERROR(
  VLOOKUP(
    A59,
    IMPORTRANGE(
      ""1SCYQd7_cobOYqT0r_F0IqD4tE4rYn5y8Eup4PJTH8es"",
      ""Snapshot!A:M""
    ),
    9,
    FALSE
  ),
  0
)
"),2.0)</f>
        <v>2</v>
      </c>
      <c r="AJ59" s="54">
        <f>IFERROR(__xludf.DUMMYFUNCTION("IFERROR(
  VLOOKUP(
    A59,
    IMPORTRANGE(
      ""1SCYQd7_cobOYqT0r_F0IqD4tE4rYn5y8Eup4PJTH8es"",
      ""Snapshot!A:M""
    ),
    13,
    FALSE
  ),
  0
)
"),2.0)</f>
        <v>2</v>
      </c>
      <c r="AK59" s="49">
        <f t="shared" ref="AK59:AL59" si="290">LEN(C59)</f>
        <v>58</v>
      </c>
      <c r="AL59" s="49">
        <f t="shared" si="290"/>
        <v>48</v>
      </c>
    </row>
    <row r="60">
      <c r="A60" s="56" t="s">
        <v>1280</v>
      </c>
      <c r="B60" s="1" t="str">
        <f>IFERROR(__xludf.DUMMYFUNCTION("IFERROR(
  VLOOKUP(
    A60,
    IMPORTRANGE(
      ""1ZygntHC1J6IxzKbTidmOyf5nUyW4GCLurHCjexrLm_o"",
      ""HTMLキャッシュ!A:F""
    ),
    2,
    FALSE
  ),
  0
)
"),"MC")</f>
        <v>MC</v>
      </c>
      <c r="C60" s="1" t="str">
        <f>IFERROR(__xludf.DUMMYFUNCTION("IFERROR(
  VLOOKUP(
    A60,
    IMPORTRANGE(
      ""1ZygntHC1J6IxzKbTidmOyf5nUyW4GCLurHCjexrLm_o"",
      ""HTMLキャッシュ!A:F""
    ),
    5,
    FALSE
  ),
  0
)
"),"生物実験が苦手→対照の立て方／結果の読み取り／書き方をセットで - 中学受験 理科の個別指導 | 受験理科専門塾「しゅん吉クエスト」")</f>
        <v>生物実験が苦手→対照の立て方／結果の読み取り／書き方をセットで - 中学受験 理科の個別指導 | 受験理科専門塾「しゅん吉クエスト」</v>
      </c>
      <c r="D60" s="1" t="str">
        <f>IFERROR(__xludf.DUMMYFUNCTION("IFERROR(
  VLOOKUP(
    A60,
    IMPORTRANGE(
      ""1ZygntHC1J6IxzKbTidmOyf5nUyW4GCLurHCjexrLm_o        "",
      ""HTMLキャッシュ!A:F""
    ),
    6,
    FALSE
  ),
  0
)
"),"中学受験理科／生物 テーマ：実験問題で「読めない・書けない」を切り分けて改善 悩み起点 対照の立て方 結果の読")</f>
        <v>中学受験理科／生物 テーマ：実験問題で「読めない・書けない」を切り分けて改善 悩み起点 対照の立て方 結果の読</v>
      </c>
      <c r="E60" s="32">
        <f>IFERROR(__xludf.DUMMYFUNCTION("IFERROR(
  VLOOKUP(
    A60,
    IMPORTRANGE(
      ""1ZygntHC1J6IxzKbTidmOyf5nUyW4GCLurHCjexrLm_o        "",
      ""HTMLキャッシュ!A:F""
    ),
    3,
    FALSE
  ),
  0
)
"),46081.1255787037)</f>
        <v>46081.12558</v>
      </c>
      <c r="F60" s="49">
        <f>IFERROR(__xludf.DUMMYFUNCTION("IFERROR(
  VLOOKUP(
    A60,
    IMPORTRANGE(
      ""1ZHMy3vVUd_0MrSduXTe1etBb1HNpAlGwQr006ljwMiM"",
      ""GSC最新!A:F""
    ),
    2,
    FALSE
  ),
  0
)
"),0.0)</f>
        <v>0</v>
      </c>
      <c r="G60" s="49">
        <f>IFERROR(__xludf.DUMMYFUNCTION("IFERROR(
  VLOOKUP(
    A60,
    IMPORTRANGE(
      ""1ZHMy3vVUd_0MrSduXTe1etBb1HNpAlGwQr006ljwMiM"",
      ""GSC最新!A:F""
    ),
    3,
    FALSE
  ),
  0
)
"),0.0)</f>
        <v>0</v>
      </c>
      <c r="H60" s="49">
        <f>IFERROR(__xludf.DUMMYFUNCTION("IFERROR(
  VLOOKUP(
    A60,
    IMPORTRANGE(
      ""1ZHMy3vVUd_0MrSduXTe1etBb1HNpAlGwQr006ljwMiM"",
      ""GSC最新!A:F""
    ),
    4,
    FALSE
  ),
  0
)
"),0.0)</f>
        <v>0</v>
      </c>
      <c r="I60" s="49">
        <f>IFERROR(__xludf.DUMMYFUNCTION("IFERROR(
  VLOOKUP(
    A60,
    IMPORTRANGE(
      ""1ZHMy3vVUd_0MrSduXTe1etBb1HNpAlGwQr006ljwMiM"",
      ""GSC最新!A:F""
    ),
    5,
    FALSE
  ),
  0
)
"),0.0)</f>
        <v>0</v>
      </c>
      <c r="J60" s="50" t="str">
        <f t="shared" ref="J60:K60" si="291">IFERROR(F60/H60,"-")</f>
        <v>-</v>
      </c>
      <c r="K60" s="50" t="str">
        <f t="shared" si="291"/>
        <v>-</v>
      </c>
      <c r="L60" s="6">
        <f>IFERROR(__xludf.DUMMYFUNCTION("IFERROR(
  VLOOKUP(
    A60,
    IMPORTRANGE(
      ""1ZHMy3vVUd_0MrSduXTe1etBb1HNpAlGwQr006ljwMiM"",
      ""GSC最新!A:R""
    ),
    7,
    FALSE
  ),
  0
)
"),0.0)</f>
        <v>0</v>
      </c>
      <c r="M60" s="6">
        <f>IFERROR(__xludf.DUMMYFUNCTION("IFERROR(
  VLOOKUP(
    A60,
    IMPORTRANGE(
      ""1ZHMy3vVUd_0MrSduXTe1etBb1HNpAlGwQr006ljwMiM"",
      ""GSC最新!A:R""
    ),
    10,
    FALSE
  ),
  0
)
"),0.0)</f>
        <v>0</v>
      </c>
      <c r="N60" s="6">
        <f>IFERROR(__xludf.DUMMYFUNCTION("IFERROR(
  VLOOKUP(
    A60,
    IMPORTRANGE(
      ""1ZHMy3vVUd_0MrSduXTe1etBb1HNpAlGwQr006ljwMiM"",
      ""GSC最新!A:R""
    ),
    13,
    FALSE
  ),
  0
)
"),0.0)</f>
        <v>0</v>
      </c>
      <c r="O60" s="6">
        <f>IFERROR(__xludf.DUMMYFUNCTION("IFERROR(
  VLOOKUP(
    A60,
    IMPORTRANGE(
      ""1ZHMy3vVUd_0MrSduXTe1etBb1HNpAlGwQr006ljwMiM"",
      ""GSC最新!A:R""
    ),
    16,
    FALSE
  ),
  0
)
"),0.0)</f>
        <v>0</v>
      </c>
      <c r="P60" s="51" t="str">
        <f t="shared" ref="P60:Q60" si="292">IFERROR(L60/N60,"-")</f>
        <v>-</v>
      </c>
      <c r="Q60" s="51" t="str">
        <f t="shared" si="292"/>
        <v>-</v>
      </c>
      <c r="R60" s="9">
        <f>IFERROR(__xludf.DUMMYFUNCTION("IFERROR(
  VLOOKUP(
    A60,
    IMPORTRANGE(
      ""1ZHMy3vVUd_0MrSduXTe1etBb1HNpAlGwQr006ljwMiM"",
      ""GSC最新!A:R""
    ),
    8,
    FALSE
  ),
  0
)
"),0.0)</f>
        <v>0</v>
      </c>
      <c r="S60" s="9">
        <f>IFERROR(__xludf.DUMMYFUNCTION("IFERROR(
  VLOOKUP(
    A60,
    IMPORTRANGE(
      ""1ZHMy3vVUd_0MrSduXTe1etBb1HNpAlGwQr006ljwMiM"",
      ""GSC最新!A:R""
    ),
    11,
    FALSE
  ),
  0
)
"),0.0)</f>
        <v>0</v>
      </c>
      <c r="T60" s="9">
        <f>IFERROR(__xludf.DUMMYFUNCTION("IFERROR(
  VLOOKUP(
    A60,
    IMPORTRANGE(
      ""1ZHMy3vVUd_0MrSduXTe1etBb1HNpAlGwQr006ljwMiM"",
      ""GSC最新!A:R""
    ),
    14,
    FALSE
  ),
  0
)
"),0.0)</f>
        <v>0</v>
      </c>
      <c r="U60" s="9">
        <f>IFERROR(__xludf.DUMMYFUNCTION("IFERROR(
  VLOOKUP(
    A60,
    IMPORTRANGE(
      ""1ZHMy3vVUd_0MrSduXTe1etBb1HNpAlGwQr006ljwMiM"",
      ""GSC最新!A:R""
    ),
    17,
    FALSE
  ),
  0
)
"),0.0)</f>
        <v>0</v>
      </c>
      <c r="V60" s="9">
        <f t="shared" ref="V60:W60" si="293">IFERROR(R60-T60,"-")</f>
        <v>0</v>
      </c>
      <c r="W60" s="9">
        <f t="shared" si="293"/>
        <v>0</v>
      </c>
      <c r="X60" s="65" t="str">
        <f>IFERROR(__xludf.DUMMYFUNCTION("IFERROR(
  VLOOKUP(
    A60,
    IMPORTRANGE(
      ""1ZHMy3vVUd_0MrSduXTe1etBb1HNpAlGwQr006ljwMiM"",
      ""GSC最新!A:R""
    ),
    9,
    FALSE
  ),
  0
)
"),"")</f>
        <v/>
      </c>
      <c r="Y60" s="65" t="str">
        <f>IFERROR(__xludf.DUMMYFUNCTION("IFERROR(
  VLOOKUP(
    A60,
    IMPORTRANGE(
      ""1ZHMy3vVUd_0MrSduXTe1etBb1HNpAlGwQr006ljwMiM"",
      ""GSC最新!A:R""
    ),
    12,
    FALSE
  ),
  0
)
"),"")</f>
        <v/>
      </c>
      <c r="Z60" s="65" t="str">
        <f>IFERROR(__xludf.DUMMYFUNCTION("IFERROR(
  VLOOKUP(
    A60,
    IMPORTRANGE(
      ""1ZHMy3vVUd_0MrSduXTe1etBb1HNpAlGwQr006ljwMiM"",
      ""GSC最新!A:R""
    ),
    15,
    FALSE
  ),
  0
)
"),"")</f>
        <v/>
      </c>
      <c r="AA60" s="65" t="str">
        <f>IFERROR(__xludf.DUMMYFUNCTION("IFERROR(
  VLOOKUP(
    A60,
    IMPORTRANGE(
      ""1ZHMy3vVUd_0MrSduXTe1etBb1HNpAlGwQr006ljwMiM"",
      ""GSC最新!A:R""
    ),
    18,
    FALSE
  ),
  0
)
"),"")</f>
        <v/>
      </c>
      <c r="AB60" s="65">
        <f t="shared" ref="AB60:AC60" si="294">X60-Z60</f>
        <v>0</v>
      </c>
      <c r="AC60" s="65">
        <f t="shared" si="294"/>
        <v>0</v>
      </c>
      <c r="AD60" s="53">
        <f>IFERROR(__xludf.DUMMYFUNCTION("IFERROR(
  VLOOKUP(
    A60,
    IMPORTRANGE(
      ""1ZHMy3vVUd_0MrSduXTe1etBb1HNpAlGwQr006ljwMiM"",
      ""GSC最新!A:F""
    ),
    6,
    FALSE
  ),
  0
)
"),46081.0)</f>
        <v>46081</v>
      </c>
      <c r="AE60" s="54">
        <f>IFERROR(__xludf.DUMMYFUNCTION("IFERROR(
  VLOOKUP(
    A60,
    IMPORTRANGE(
      ""1SCYQd7_cobOYqT0r_F0IqD4tE4rYn5y8Eup4PJTH8es"",
      ""Snapshot!A:M""
    ),
    5,
    FALSE
  ),
  ""-""
)
"),7.0)</f>
        <v>7</v>
      </c>
      <c r="AF60" s="54">
        <f>IFERROR(__xludf.DUMMYFUNCTION("IFERROR(
  VLOOKUP(
    A60,
    IMPORTRANGE(
      ""1SCYQd7_cobOYqT0r_F0IqD4tE4rYn5y8Eup4PJTH8es"",
      ""Snapshot!A:M""
    ),
    6,
    FALSE
  ),
  0
)
"),10.0)</f>
        <v>10</v>
      </c>
      <c r="AG60" s="54">
        <f>IFERROR(__xludf.DUMMYFUNCTION("IFERROR(
  VLOOKUP(
    A60,
    IMPORTRANGE(
      ""1SCYQd7_cobOYqT0r_F0IqD4tE4rYn5y8Eup4PJTH8es"",
      ""Snapshot!A:M""
    ),
    7,
    FALSE
  ),
  0
)
"),4078.0)</f>
        <v>4078</v>
      </c>
      <c r="AH60" s="54">
        <f>IFERROR(__xludf.DUMMYFUNCTION("IFERROR(
  VLOOKUP(
    A60,
    IMPORTRANGE(
      ""1SCYQd7_cobOYqT0r_F0IqD4tE4rYn5y8Eup4PJTH8es"",
      ""Snapshot!A:M""
    ),
    8,
    FALSE
  ),
  0
)
"),8.0)</f>
        <v>8</v>
      </c>
      <c r="AI60" s="54">
        <f>IFERROR(__xludf.DUMMYFUNCTION("IFERROR(
  VLOOKUP(
    A60,
    IMPORTRANGE(
      ""1SCYQd7_cobOYqT0r_F0IqD4tE4rYn5y8Eup4PJTH8es"",
      ""Snapshot!A:M""
    ),
    9,
    FALSE
  ),
  0
)
"),1.0)</f>
        <v>1</v>
      </c>
      <c r="AJ60" s="54">
        <f>IFERROR(__xludf.DUMMYFUNCTION("IFERROR(
  VLOOKUP(
    A60,
    IMPORTRANGE(
      ""1SCYQd7_cobOYqT0r_F0IqD4tE4rYn5y8Eup4PJTH8es"",
      ""Snapshot!A:M""
    ),
    13,
    FALSE
  ),
  0
)
"),2.0)</f>
        <v>2</v>
      </c>
      <c r="AK60" s="49">
        <f t="shared" ref="AK60:AL60" si="295">LEN(C60)</f>
        <v>66</v>
      </c>
      <c r="AL60" s="49">
        <f t="shared" si="295"/>
        <v>55</v>
      </c>
    </row>
    <row r="61">
      <c r="A61" s="56" t="s">
        <v>1281</v>
      </c>
      <c r="B61" s="1" t="str">
        <f>IFERROR(__xludf.DUMMYFUNCTION("IFERROR(
  VLOOKUP(
    A61,
    IMPORTRANGE(
      ""1ZygntHC1J6IxzKbTidmOyf5nUyW4GCLurHCjexrLm_o"",
      ""HTMLキャッシュ!A:F""
    ),
    2,
    FALSE
  ),
  0
)
"),"MC")</f>
        <v>MC</v>
      </c>
      <c r="C61" s="1" t="str">
        <f>IFERROR(__xludf.DUMMYFUNCTION("IFERROR(
  VLOOKUP(
    A61,
    IMPORTRANGE(
      ""1ZygntHC1J6IxzKbTidmOyf5nUyW4GCLurHCjexrLm_o"",
      ""HTMLキャッシュ!A:F""
    ),
    5,
    FALSE
  ),
  0
)
"),"理科計算が遅い→計算前の整理（単位/図/比例）→練習の順番 - 中学受験 理科の個別指導 | 受験理科専門塾「しゅん吉クエスト」")</f>
        <v>理科計算が遅い→計算前の整理（単位/図/比例）→練習の順番 - 中学受験 理科の個別指導 | 受験理科専門塾「しゅん吉クエスト」</v>
      </c>
      <c r="D61" s="1" t="str">
        <f>IFERROR(__xludf.DUMMYFUNCTION("IFERROR(
  VLOOKUP(
    A61,
    IMPORTRANGE(
      ""1ZygntHC1J6IxzKbTidmOyf5nUyW4GCLurHCjexrLm_o        "",
      ""HTMLキャッシュ!A:F""
    ),
    6,
    FALSE
  ),
  0
)
"),"理科計算が遅い・間に合わないを解決する「計算前の整理術」 「最後まで解き切れない」「途中で時間が足りなくなる」")</f>
        <v>理科計算が遅い・間に合わないを解決する「計算前の整理術」 「最後まで解き切れない」「途中で時間が足りなくなる」</v>
      </c>
      <c r="E61" s="32">
        <f>IFERROR(__xludf.DUMMYFUNCTION("IFERROR(
  VLOOKUP(
    A61,
    IMPORTRANGE(
      ""1ZygntHC1J6IxzKbTidmOyf5nUyW4GCLurHCjexrLm_o        "",
      ""HTMLキャッシュ!A:F""
    ),
    3,
    FALSE
  ),
  0
)
"),46077.04048611111)</f>
        <v>46077.04049</v>
      </c>
      <c r="F61" s="49">
        <f>IFERROR(__xludf.DUMMYFUNCTION("IFERROR(
  VLOOKUP(
    A61,
    IMPORTRANGE(
      ""1ZHMy3vVUd_0MrSduXTe1etBb1HNpAlGwQr006ljwMiM"",
      ""GSC最新!A:F""
    ),
    2,
    FALSE
  ),
  0
)
"),0.0)</f>
        <v>0</v>
      </c>
      <c r="G61" s="49">
        <f>IFERROR(__xludf.DUMMYFUNCTION("IFERROR(
  VLOOKUP(
    A61,
    IMPORTRANGE(
      ""1ZHMy3vVUd_0MrSduXTe1etBb1HNpAlGwQr006ljwMiM"",
      ""GSC最新!A:F""
    ),
    3,
    FALSE
  ),
  0
)
"),0.0)</f>
        <v>0</v>
      </c>
      <c r="H61" s="49">
        <f>IFERROR(__xludf.DUMMYFUNCTION("IFERROR(
  VLOOKUP(
    A61,
    IMPORTRANGE(
      ""1ZHMy3vVUd_0MrSduXTe1etBb1HNpAlGwQr006ljwMiM"",
      ""GSC最新!A:F""
    ),
    4,
    FALSE
  ),
  0
)
"),0.0)</f>
        <v>0</v>
      </c>
      <c r="I61" s="49">
        <f>IFERROR(__xludf.DUMMYFUNCTION("IFERROR(
  VLOOKUP(
    A61,
    IMPORTRANGE(
      ""1ZHMy3vVUd_0MrSduXTe1etBb1HNpAlGwQr006ljwMiM"",
      ""GSC最新!A:F""
    ),
    5,
    FALSE
  ),
  0
)
"),0.0)</f>
        <v>0</v>
      </c>
      <c r="J61" s="50" t="str">
        <f t="shared" ref="J61:K61" si="296">IFERROR(F61/H61,"-")</f>
        <v>-</v>
      </c>
      <c r="K61" s="50" t="str">
        <f t="shared" si="296"/>
        <v>-</v>
      </c>
      <c r="L61" s="6">
        <f>IFERROR(__xludf.DUMMYFUNCTION("IFERROR(
  VLOOKUP(
    A61,
    IMPORTRANGE(
      ""1ZHMy3vVUd_0MrSduXTe1etBb1HNpAlGwQr006ljwMiM"",
      ""GSC最新!A:R""
    ),
    7,
    FALSE
  ),
  0
)
"),0.0)</f>
        <v>0</v>
      </c>
      <c r="M61" s="6">
        <f>IFERROR(__xludf.DUMMYFUNCTION("IFERROR(
  VLOOKUP(
    A61,
    IMPORTRANGE(
      ""1ZHMy3vVUd_0MrSduXTe1etBb1HNpAlGwQr006ljwMiM"",
      ""GSC最新!A:R""
    ),
    10,
    FALSE
  ),
  0
)
"),0.0)</f>
        <v>0</v>
      </c>
      <c r="N61" s="6">
        <f>IFERROR(__xludf.DUMMYFUNCTION("IFERROR(
  VLOOKUP(
    A61,
    IMPORTRANGE(
      ""1ZHMy3vVUd_0MrSduXTe1etBb1HNpAlGwQr006ljwMiM"",
      ""GSC最新!A:R""
    ),
    13,
    FALSE
  ),
  0
)
"),0.0)</f>
        <v>0</v>
      </c>
      <c r="O61" s="6">
        <f>IFERROR(__xludf.DUMMYFUNCTION("IFERROR(
  VLOOKUP(
    A61,
    IMPORTRANGE(
      ""1ZHMy3vVUd_0MrSduXTe1etBb1HNpAlGwQr006ljwMiM"",
      ""GSC最新!A:R""
    ),
    16,
    FALSE
  ),
  0
)
"),0.0)</f>
        <v>0</v>
      </c>
      <c r="P61" s="51" t="str">
        <f t="shared" ref="P61:Q61" si="297">IFERROR(L61/N61,"-")</f>
        <v>-</v>
      </c>
      <c r="Q61" s="51" t="str">
        <f t="shared" si="297"/>
        <v>-</v>
      </c>
      <c r="R61" s="9">
        <f>IFERROR(__xludf.DUMMYFUNCTION("IFERROR(
  VLOOKUP(
    A61,
    IMPORTRANGE(
      ""1ZHMy3vVUd_0MrSduXTe1etBb1HNpAlGwQr006ljwMiM"",
      ""GSC最新!A:R""
    ),
    8,
    FALSE
  ),
  0
)
"),0.0)</f>
        <v>0</v>
      </c>
      <c r="S61" s="9">
        <f>IFERROR(__xludf.DUMMYFUNCTION("IFERROR(
  VLOOKUP(
    A61,
    IMPORTRANGE(
      ""1ZHMy3vVUd_0MrSduXTe1etBb1HNpAlGwQr006ljwMiM"",
      ""GSC最新!A:R""
    ),
    11,
    FALSE
  ),
  0
)
"),0.0)</f>
        <v>0</v>
      </c>
      <c r="T61" s="9">
        <f>IFERROR(__xludf.DUMMYFUNCTION("IFERROR(
  VLOOKUP(
    A61,
    IMPORTRANGE(
      ""1ZHMy3vVUd_0MrSduXTe1etBb1HNpAlGwQr006ljwMiM"",
      ""GSC最新!A:R""
    ),
    14,
    FALSE
  ),
  0
)
"),0.0)</f>
        <v>0</v>
      </c>
      <c r="U61" s="9">
        <f>IFERROR(__xludf.DUMMYFUNCTION("IFERROR(
  VLOOKUP(
    A61,
    IMPORTRANGE(
      ""1ZHMy3vVUd_0MrSduXTe1etBb1HNpAlGwQr006ljwMiM"",
      ""GSC最新!A:R""
    ),
    17,
    FALSE
  ),
  0
)
"),0.0)</f>
        <v>0</v>
      </c>
      <c r="V61" s="9">
        <f t="shared" ref="V61:W61" si="298">IFERROR(R61-T61,"-")</f>
        <v>0</v>
      </c>
      <c r="W61" s="9">
        <f t="shared" si="298"/>
        <v>0</v>
      </c>
      <c r="X61" s="65" t="str">
        <f>IFERROR(__xludf.DUMMYFUNCTION("IFERROR(
  VLOOKUP(
    A61,
    IMPORTRANGE(
      ""1ZHMy3vVUd_0MrSduXTe1etBb1HNpAlGwQr006ljwMiM"",
      ""GSC最新!A:R""
    ),
    9,
    FALSE
  ),
  0
)
"),"")</f>
        <v/>
      </c>
      <c r="Y61" s="65" t="str">
        <f>IFERROR(__xludf.DUMMYFUNCTION("IFERROR(
  VLOOKUP(
    A61,
    IMPORTRANGE(
      ""1ZHMy3vVUd_0MrSduXTe1etBb1HNpAlGwQr006ljwMiM"",
      ""GSC最新!A:R""
    ),
    12,
    FALSE
  ),
  0
)
"),"")</f>
        <v/>
      </c>
      <c r="Z61" s="65" t="str">
        <f>IFERROR(__xludf.DUMMYFUNCTION("IFERROR(
  VLOOKUP(
    A61,
    IMPORTRANGE(
      ""1ZHMy3vVUd_0MrSduXTe1etBb1HNpAlGwQr006ljwMiM"",
      ""GSC最新!A:R""
    ),
    15,
    FALSE
  ),
  0
)
"),"")</f>
        <v/>
      </c>
      <c r="AA61" s="65" t="str">
        <f>IFERROR(__xludf.DUMMYFUNCTION("IFERROR(
  VLOOKUP(
    A61,
    IMPORTRANGE(
      ""1ZHMy3vVUd_0MrSduXTe1etBb1HNpAlGwQr006ljwMiM"",
      ""GSC最新!A:R""
    ),
    18,
    FALSE
  ),
  0
)
"),"")</f>
        <v/>
      </c>
      <c r="AB61" s="65">
        <f t="shared" ref="AB61:AC61" si="299">X61-Z61</f>
        <v>0</v>
      </c>
      <c r="AC61" s="65">
        <f t="shared" si="299"/>
        <v>0</v>
      </c>
      <c r="AD61" s="53">
        <f>IFERROR(__xludf.DUMMYFUNCTION("IFERROR(
  VLOOKUP(
    A61,
    IMPORTRANGE(
      ""1ZHMy3vVUd_0MrSduXTe1etBb1HNpAlGwQr006ljwMiM"",
      ""GSC最新!A:F""
    ),
    6,
    FALSE
  ),
  0
)
"),46081.0)</f>
        <v>46081</v>
      </c>
      <c r="AE61" s="54">
        <f>IFERROR(__xludf.DUMMYFUNCTION("IFERROR(
  VLOOKUP(
    A61,
    IMPORTRANGE(
      ""1SCYQd7_cobOYqT0r_F0IqD4tE4rYn5y8Eup4PJTH8es"",
      ""Snapshot!A:M""
    ),
    5,
    FALSE
  ),
  ""-""
)
"),12.0)</f>
        <v>12</v>
      </c>
      <c r="AF61" s="54">
        <f>IFERROR(__xludf.DUMMYFUNCTION("IFERROR(
  VLOOKUP(
    A61,
    IMPORTRANGE(
      ""1SCYQd7_cobOYqT0r_F0IqD4tE4rYn5y8Eup4PJTH8es"",
      ""Snapshot!A:M""
    ),
    6,
    FALSE
  ),
  0
)
"),4.0)</f>
        <v>4</v>
      </c>
      <c r="AG61" s="54">
        <f>IFERROR(__xludf.DUMMYFUNCTION("IFERROR(
  VLOOKUP(
    A61,
    IMPORTRANGE(
      ""1SCYQd7_cobOYqT0r_F0IqD4tE4rYn5y8Eup4PJTH8es"",
      ""Snapshot!A:M""
    ),
    7,
    FALSE
  ),
  0
)
"),1671.0)</f>
        <v>1671</v>
      </c>
      <c r="AH61" s="54">
        <f>IFERROR(__xludf.DUMMYFUNCTION("IFERROR(
  VLOOKUP(
    A61,
    IMPORTRANGE(
      ""1SCYQd7_cobOYqT0r_F0IqD4tE4rYn5y8Eup4PJTH8es"",
      ""Snapshot!A:M""
    ),
    8,
    FALSE
  ),
  0
)
"),0.0)</f>
        <v>0</v>
      </c>
      <c r="AI61" s="54">
        <f>IFERROR(__xludf.DUMMYFUNCTION("IFERROR(
  VLOOKUP(
    A61,
    IMPORTRANGE(
      ""1SCYQd7_cobOYqT0r_F0IqD4tE4rYn5y8Eup4PJTH8es"",
      ""Snapshot!A:M""
    ),
    9,
    FALSE
  ),
  0
)
"),0.0)</f>
        <v>0</v>
      </c>
      <c r="AJ61" s="54">
        <f>IFERROR(__xludf.DUMMYFUNCTION("IFERROR(
  VLOOKUP(
    A61,
    IMPORTRANGE(
      ""1SCYQd7_cobOYqT0r_F0IqD4tE4rYn5y8Eup4PJTH8es"",
      ""Snapshot!A:M""
    ),
    13,
    FALSE
  ),
  0
)
"),2.0)</f>
        <v>2</v>
      </c>
      <c r="AK61" s="49">
        <f t="shared" ref="AK61:AL61" si="300">LEN(C61)</f>
        <v>64</v>
      </c>
      <c r="AL61" s="49">
        <f t="shared" si="300"/>
        <v>55</v>
      </c>
    </row>
    <row r="62">
      <c r="A62" s="56" t="s">
        <v>1282</v>
      </c>
      <c r="B62" s="1" t="str">
        <f>IFERROR(__xludf.DUMMYFUNCTION("IFERROR(
  VLOOKUP(
    A62,
    IMPORTRANGE(
      ""1ZygntHC1J6IxzKbTidmOyf5nUyW4GCLurHCjexrLm_o"",
      ""HTMLキャッシュ!A:F""
    ),
    2,
    FALSE
  ),
  0
)
"),"MC")</f>
        <v>MC</v>
      </c>
      <c r="C62" s="1" t="str">
        <f>IFERROR(__xludf.DUMMYFUNCTION("IFERROR(
  VLOOKUP(
    A62,
    IMPORTRANGE(
      ""1ZygntHC1J6IxzKbTidmOyf5nUyW4GCLurHCjexrLm_o"",
      ""HTMLキャッシュ!A:F""
    ),
    5,
    FALSE
  ),
  0
)
"),"用語は覚えたのに問題で使えない→条件整理→図表→結論の“処理手順”を固定 - 中学受験 理科の個別指導 | 受験理科専門塾「しゅん吉クエスト」")</f>
        <v>用語は覚えたのに問題で使えない→条件整理→図表→結論の“処理手順”を固定 - 中学受験 理科の個別指導 | 受験理科専門塾「しゅん吉クエスト」</v>
      </c>
      <c r="D62" s="1" t="str">
        <f>IFERROR(__xludf.DUMMYFUNCTION("IFERROR(
  VLOOKUP(
    A62,
    IMPORTRANGE(
      ""1ZygntHC1J6IxzKbTidmOyf5nUyW4GCLurHCjexrLm_o        "",
      ""HTMLキャッシュ!A:F""
    ),
    6,
    FALSE
  ),
  0
)
"),"悩み起点 原因切り分け 解き方の確立 家庭で回す 「知識はあるのに解けない」を解決する 理科のテストで、用語自")</f>
        <v>悩み起点 原因切り分け 解き方の確立 家庭で回す 「知識はあるのに解けない」を解決する 理科のテストで、用語自</v>
      </c>
      <c r="E62" s="32">
        <f>IFERROR(__xludf.DUMMYFUNCTION("IFERROR(
  VLOOKUP(
    A62,
    IMPORTRANGE(
      ""1ZygntHC1J6IxzKbTidmOyf5nUyW4GCLurHCjexrLm_o        "",
      ""HTMLキャッシュ!A:F""
    ),
    3,
    FALSE
  ),
  0
)
"),46081.16730324074)</f>
        <v>46081.1673</v>
      </c>
      <c r="F62" s="49">
        <f>IFERROR(__xludf.DUMMYFUNCTION("IFERROR(
  VLOOKUP(
    A62,
    IMPORTRANGE(
      ""1ZHMy3vVUd_0MrSduXTe1etBb1HNpAlGwQr006ljwMiM"",
      ""GSC最新!A:F""
    ),
    2,
    FALSE
  ),
  0
)
"),0.0)</f>
        <v>0</v>
      </c>
      <c r="G62" s="49">
        <f>IFERROR(__xludf.DUMMYFUNCTION("IFERROR(
  VLOOKUP(
    A62,
    IMPORTRANGE(
      ""1ZHMy3vVUd_0MrSduXTe1etBb1HNpAlGwQr006ljwMiM"",
      ""GSC最新!A:F""
    ),
    3,
    FALSE
  ),
  0
)
"),0.0)</f>
        <v>0</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"),0.0)</f>
        <v>0</v>
      </c>
      <c r="J62" s="50" t="str">
        <f t="shared" ref="J62:K62" si="301">IFERROR(F62/H62,"-")</f>
        <v>-</v>
      </c>
      <c r="K62" s="50" t="str">
        <f t="shared" si="301"/>
        <v>-</v>
      </c>
      <c r="L62" s="6">
        <f>IFERROR(__xludf.DUMMYFUNCTION("IFERROR(
  VLOOKUP(
    A62,
    IMPORTRANGE(
      ""1ZHMy3vVUd_0MrSduXTe1etBb1HNpAlGwQr006ljwMiM"",
      ""GSC最新!A:R""
    ),
    7,
    FALSE
  ),
  0
)
"),0.0)</f>
        <v>0</v>
      </c>
      <c r="M62" s="6">
        <f>IFERROR(__xludf.DUMMYFUNCTION("IFERROR(
  VLOOKUP(
    A62,
    IMPORTRANGE(
      ""1ZHMy3vVUd_0MrSduXTe1etBb1HNpAlGwQr006ljwMiM"",
      ""GSC最新!A:R""
    ),
    10,
    FALSE
  ),
  0
)
"),0.0)</f>
        <v>0</v>
      </c>
      <c r="N62" s="6">
        <f>IFERROR(__xludf.DUMMYFUNCTION("IFERROR(
  VLOOKUP(
    A62,
    IMPORTRANGE(
      ""1ZHMy3vVUd_0MrSduXTe1etBb1HNpAlGwQr006ljwMiM"",
      ""GSC最新!A:R""
    ),
    13,
    FALSE
  ),
  0
)
"),0.0)</f>
        <v>0</v>
      </c>
      <c r="O62" s="6">
        <f>IFERROR(__xludf.DUMMYFUNCTION("IFERROR(
  VLOOKUP(
    A62,
    IMPORTRANGE(
      ""1ZHMy3vVUd_0MrSduXTe1etBb1HNpAlGwQr006ljwMiM"",
      ""GSC最新!A:R""
    ),
    16,
    FALSE
  ),
  0
)
"),0.0)</f>
        <v>0</v>
      </c>
      <c r="P62" s="51" t="str">
        <f t="shared" ref="P62:Q62" si="302">IFERROR(L62/N62,"-")</f>
        <v>-</v>
      </c>
      <c r="Q62" s="51" t="str">
        <f t="shared" si="302"/>
        <v>-</v>
      </c>
      <c r="R62" s="9">
        <f>IFERROR(__xludf.DUMMYFUNCTION("IFERROR(
  VLOOKUP(
    A62,
    IMPORTRANGE(
      ""1ZHMy3vVUd_0MrSduXTe1etBb1HNpAlGwQr006ljwMiM"",
      ""GSC最新!A:R""
    ),
    8,
    FALSE
  ),
  0
)
"),0.0)</f>
        <v>0</v>
      </c>
      <c r="S62" s="9">
        <f>IFERROR(__xludf.DUMMYFUNCTION("IFERROR(
  VLOOKUP(
    A62,
    IMPORTRANGE(
      ""1ZHMy3vVUd_0MrSduXTe1etBb1HNpAlGwQr006ljwMiM"",
      ""GSC最新!A:R""
    ),
    11,
    FALSE
  ),
  0
)
"),0.0)</f>
        <v>0</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f>
        <v>0</v>
      </c>
      <c r="V62" s="9">
        <f t="shared" ref="V62:W62" si="303">IFERROR(R62-T62,"-")</f>
        <v>0</v>
      </c>
      <c r="W62" s="9">
        <f t="shared" si="303"/>
        <v>0</v>
      </c>
      <c r="X62" s="65" t="str">
        <f>IFERROR(__xludf.DUMMYFUNCTION("IFERROR(
  VLOOKUP(
    A62,
    IMPORTRANGE(
      ""1ZHMy3vVUd_0MrSduXTe1etBb1HNpAlGwQr006ljwMiM"",
      ""GSC最新!A:R""
    ),
    9,
    FALSE
  ),
  0
)
"),"")</f>
        <v/>
      </c>
      <c r="Y62" s="65" t="str">
        <f>IFERROR(__xludf.DUMMYFUNCTION("IFERROR(
  VLOOKUP(
    A62,
    IMPORTRANGE(
      ""1ZHMy3vVUd_0MrSduXTe1etBb1HNpAlGwQr006ljwMiM"",
      ""GSC最新!A:R""
    ),
    12,
    FALSE
  ),
  0
)
"),"")</f>
        <v/>
      </c>
      <c r="Z62" s="65" t="str">
        <f>IFERROR(__xludf.DUMMYFUNCTION("IFERROR(
  VLOOKUP(
    A62,
    IMPORTRANGE(
      ""1ZHMy3vVUd_0MrSduXTe1etBb1HNpAlGwQr006ljwMiM"",
      ""GSC最新!A:R""
    ),
    15,
    FALSE
  ),
  0
)
"),"")</f>
        <v/>
      </c>
      <c r="AA62" s="65" t="str">
        <f>IFERROR(__xludf.DUMMYFUNCTION("IFERROR(
  VLOOKUP(
    A62,
    IMPORTRANGE(
      ""1ZHMy3vVUd_0MrSduXTe1etBb1HNpAlGwQr006ljwMiM"",
      ""GSC最新!A:R""
    ),
    18,
    FALSE
  ),
  0
)
"),"")</f>
        <v/>
      </c>
      <c r="AB62" s="65">
        <f t="shared" ref="AB62:AC62" si="304">X62-Z62</f>
        <v>0</v>
      </c>
      <c r="AC62" s="65">
        <f t="shared" si="304"/>
        <v>0</v>
      </c>
      <c r="AD62" s="53">
        <f>IFERROR(__xludf.DUMMYFUNCTION("IFERROR(
  VLOOKUP(
    A62,
    IMPORTRANGE(
      ""1ZHMy3vVUd_0MrSduXTe1etBb1HNpAlGwQr006ljwMiM"",
      ""GSC最新!A:F""
    ),
    6,
    FALSE
  ),
  0
)
"),46081.0)</f>
        <v>46081</v>
      </c>
      <c r="AE62" s="54">
        <f>IFERROR(__xludf.DUMMYFUNCTION("IFERROR(
  VLOOKUP(
    A62,
    IMPORTRANGE(
      ""1SCYQd7_cobOYqT0r_F0IqD4tE4rYn5y8Eup4PJTH8es"",
      ""Snapshot!A:M""
    ),
    5,
    FALSE
  ),
  ""-""
)
"),7.0)</f>
        <v>7</v>
      </c>
      <c r="AF62" s="54">
        <f>IFERROR(__xludf.DUMMYFUNCTION("IFERROR(
  VLOOKUP(
    A62,
    IMPORTRANGE(
      ""1SCYQd7_cobOYqT0r_F0IqD4tE4rYn5y8Eup4PJTH8es"",
      ""Snapshot!A:M""
    ),
    6,
    FALSE
  ),
  0
)
"),8.0)</f>
        <v>8</v>
      </c>
      <c r="AG62" s="54">
        <f>IFERROR(__xludf.DUMMYFUNCTION("IFERROR(
  VLOOKUP(
    A62,
    IMPORTRANGE(
      ""1SCYQd7_cobOYqT0r_F0IqD4tE4rYn5y8Eup4PJTH8es"",
      ""Snapshot!A:M""
    ),
    7,
    FALSE
  ),
  0
)
"),2390.0)</f>
        <v>2390</v>
      </c>
      <c r="AH62" s="54">
        <f>IFERROR(__xludf.DUMMYFUNCTION("IFERROR(
  VLOOKUP(
    A62,
    IMPORTRANGE(
      ""1SCYQd7_cobOYqT0r_F0IqD4tE4rYn5y8Eup4PJTH8es"",
      ""Snapshot!A:M""
    ),
    8,
    FALSE
  ),
  0
)
"),9.0)</f>
        <v>9</v>
      </c>
      <c r="AI62" s="54">
        <f>IFERROR(__xludf.DUMMYFUNCTION("IFERROR(
  VLOOKUP(
    A62,
    IMPORTRANGE(
      ""1SCYQd7_cobOYqT0r_F0IqD4tE4rYn5y8Eup4PJTH8es"",
      ""Snapshot!A:M""
    ),
    9,
    FALSE
  ),
  0
)
"),1.0)</f>
        <v>1</v>
      </c>
      <c r="AJ62" s="54">
        <f>IFERROR(__xludf.DUMMYFUNCTION("IFERROR(
  VLOOKUP(
    A62,
    IMPORTRANGE(
      ""1SCYQd7_cobOYqT0r_F0IqD4tE4rYn5y8Eup4PJTH8es"",
      ""Snapshot!A:M""
    ),
    13,
    FALSE
  ),
  0
)
"),2.0)</f>
        <v>2</v>
      </c>
      <c r="AK62" s="49">
        <f t="shared" ref="AK62:AL62" si="305">LEN(C62)</f>
        <v>71</v>
      </c>
      <c r="AL62" s="49">
        <f t="shared" si="305"/>
        <v>55</v>
      </c>
    </row>
    <row r="63">
      <c r="A63" s="56" t="s">
        <v>1283</v>
      </c>
      <c r="B63" s="1" t="str">
        <f>IFERROR(__xludf.DUMMYFUNCTION("IFERROR(
  VLOOKUP(
    A63,
    IMPORTRANGE(
      ""1ZygntHC1J6IxzKbTidmOyf5nUyW4GCLurHCjexrLm_o"",
      ""HTMLキャッシュ!A:F""
    ),
    2,
    FALSE
  ),
  0
)
"),"MC")</f>
        <v>MC</v>
      </c>
      <c r="C63" s="1" t="str">
        <f>IFERROR(__xludf.DUMMYFUNCTION("IFERROR(
  VLOOKUP(
    A63,
    IMPORTRANGE(
      ""1ZygntHC1J6IxzKbTidmOyf5nUyW4GCLurHCjexrLm_o"",
      ""HTMLキャッシュ!A:F""
    ),
    5,
    FALSE
  ),
  0
)
"),"植物/動物の分類が混線→覚える軸と順番を固定（迷いを減らす） - 中学受験 理科の個別指導 | 受験理科専門塾「しゅん吉クエスト」")</f>
        <v>植物/動物の分類が混線→覚える軸と順番を固定（迷いを減らす） - 中学受験 理科の個別指導 | 受験理科専門塾「しゅん吉クエスト」</v>
      </c>
      <c r="D63" s="1" t="str">
        <f>IFERROR(__xludf.DUMMYFUNCTION("IFERROR(
  VLOOKUP(
    A63,
    IMPORTRANGE(
      ""1ZygntHC1J6IxzKbTidmOyf5nUyW4GCLurHCjexrLm_o        "",
      ""HTMLキャッシュ!A:F""
    ),
    6,
    FALSE
  ),
  0
)
"),"植物/動物の分類が混線→覚える軸と順番をそろえる（混乱を減らす） 「被子植物と裸子植物がごちゃごちゃになる」「")</f>
        <v>植物/動物の分類が混線→覚える軸と順番をそろえる（混乱を減らす） 「被子植物と裸子植物がごちゃごちゃになる」「</v>
      </c>
      <c r="E63" s="32">
        <f>IFERROR(__xludf.DUMMYFUNCTION("IFERROR(
  VLOOKUP(
    A63,
    IMPORTRANGE(
      ""1ZygntHC1J6IxzKbTidmOyf5nUyW4GCLurHCjexrLm_o        "",
      ""HTMLキャッシュ!A:F""
    ),
    3,
    FALSE
  ),
  0
)
"),46077.117638888885)</f>
        <v>46077.11764</v>
      </c>
      <c r="F63" s="49">
        <f>IFERROR(__xludf.DUMMYFUNCTION("IFERROR(
  VLOOKUP(
    A63,
    IMPORTRANGE(
      ""1ZHMy3vVUd_0MrSduXTe1etBb1HNpAlGwQr006ljwMiM"",
      ""GSC最新!A:F""
    ),
    2,
    FALSE
  ),
  0
)
"),0.0)</f>
        <v>0</v>
      </c>
      <c r="G63" s="49">
        <f>IFERROR(__xludf.DUMMYFUNCTION("IFERROR(
  VLOOKUP(
    A63,
    IMPORTRANGE(
      ""1ZHMy3vVUd_0MrSduXTe1etBb1HNpAlGwQr006ljwMiM"",
      ""GSC最新!A:F""
    ),
    3,
    FALSE
  ),
  0
)
"),0.0)</f>
        <v>0</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"),0.0)</f>
        <v>0</v>
      </c>
      <c r="J63" s="50" t="str">
        <f t="shared" ref="J63:K63" si="306">IFERROR(F63/H63,"-")</f>
        <v>-</v>
      </c>
      <c r="K63" s="50" t="str">
        <f t="shared" si="306"/>
        <v>-</v>
      </c>
      <c r="L63" s="6">
        <f>IFERROR(__xludf.DUMMYFUNCTION("IFERROR(
  VLOOKUP(
    A63,
    IMPORTRANGE(
      ""1ZHMy3vVUd_0MrSduXTe1etBb1HNpAlGwQr006ljwMiM"",
      ""GSC最新!A:R""
    ),
    7,
    FALSE
  ),
  0
)
"),0.0)</f>
        <v>0</v>
      </c>
      <c r="M63" s="6">
        <f>IFERROR(__xludf.DUMMYFUNCTION("IFERROR(
  VLOOKUP(
    A63,
    IMPORTRANGE(
      ""1ZHMy3vVUd_0MrSduXTe1etBb1HNpAlGwQr006ljwMiM"",
      ""GSC最新!A:R""
    ),
    10,
    FALSE
  ),
  0
)
"),0.0)</f>
        <v>0</v>
      </c>
      <c r="N63" s="6">
        <f>IFERROR(__xludf.DUMMYFUNCTION("IFERROR(
  VLOOKUP(
    A63,
    IMPORTRANGE(
      ""1ZHMy3vVUd_0MrSduXTe1etBb1HNpAlGwQr006ljwMiM"",
      ""GSC最新!A:R""
    ),
    13,
    FALSE
  ),
  0
)
"),0.0)</f>
        <v>0</v>
      </c>
      <c r="O63" s="6">
        <f>IFERROR(__xludf.DUMMYFUNCTION("IFERROR(
  VLOOKUP(
    A63,
    IMPORTRANGE(
      ""1ZHMy3vVUd_0MrSduXTe1etBb1HNpAlGwQr006ljwMiM"",
      ""GSC最新!A:R""
    ),
    16,
    FALSE
  ),
  0
)
"),0.0)</f>
        <v>0</v>
      </c>
      <c r="P63" s="51" t="str">
        <f t="shared" ref="P63:Q63" si="307">IFERROR(L63/N63,"-")</f>
        <v>-</v>
      </c>
      <c r="Q63" s="51" t="str">
        <f t="shared" si="307"/>
        <v>-</v>
      </c>
      <c r="R63" s="9">
        <f>IFERROR(__xludf.DUMMYFUNCTION("IFERROR(
  VLOOKUP(
    A63,
    IMPORTRANGE(
      ""1ZHMy3vVUd_0MrSduXTe1etBb1HNpAlGwQr006ljwMiM"",
      ""GSC最新!A:R""
    ),
    8,
    FALSE
  ),
  0
)
"),0.0)</f>
        <v>0</v>
      </c>
      <c r="S63" s="9">
        <f>IFERROR(__xludf.DUMMYFUNCTION("IFERROR(
  VLOOKUP(
    A63,
    IMPORTRANGE(
      ""1ZHMy3vVUd_0MrSduXTe1etBb1HNpAlGwQr006ljwMiM"",
      ""GSC最新!A:R""
    ),
    11,
    FALSE
  ),
  0
)
"),0.0)</f>
        <v>0</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f>
        <v>0</v>
      </c>
      <c r="V63" s="9">
        <f t="shared" ref="V63:W63" si="308">IFERROR(R63-T63,"-")</f>
        <v>0</v>
      </c>
      <c r="W63" s="9">
        <f t="shared" si="308"/>
        <v>0</v>
      </c>
      <c r="X63" s="65" t="str">
        <f>IFERROR(__xludf.DUMMYFUNCTION("IFERROR(
  VLOOKUP(
    A63,
    IMPORTRANGE(
      ""1ZHMy3vVUd_0MrSduXTe1etBb1HNpAlGwQr006ljwMiM"",
      ""GSC最新!A:R""
    ),
    9,
    FALSE
  ),
  0
)
"),"")</f>
        <v/>
      </c>
      <c r="Y63" s="65" t="str">
        <f>IFERROR(__xludf.DUMMYFUNCTION("IFERROR(
  VLOOKUP(
    A63,
    IMPORTRANGE(
      ""1ZHMy3vVUd_0MrSduXTe1etBb1HNpAlGwQr006ljwMiM"",
      ""GSC最新!A:R""
    ),
    12,
    FALSE
  ),
  0
)
"),"")</f>
        <v/>
      </c>
      <c r="Z63" s="65" t="str">
        <f>IFERROR(__xludf.DUMMYFUNCTION("IFERROR(
  VLOOKUP(
    A63,
    IMPORTRANGE(
      ""1ZHMy3vVUd_0MrSduXTe1etBb1HNpAlGwQr006ljwMiM"",
      ""GSC最新!A:R""
    ),
    15,
    FALSE
  ),
  0
)
"),"")</f>
        <v/>
      </c>
      <c r="AA63" s="65" t="str">
        <f>IFERROR(__xludf.DUMMYFUNCTION("IFERROR(
  VLOOKUP(
    A63,
    IMPORTRANGE(
      ""1ZHMy3vVUd_0MrSduXTe1etBb1HNpAlGwQr006ljwMiM"",
      ""GSC最新!A:R""
    ),
    18,
    FALSE
  ),
  0
)
"),"")</f>
        <v/>
      </c>
      <c r="AB63" s="65">
        <f t="shared" ref="AB63:AC63" si="309">X63-Z63</f>
        <v>0</v>
      </c>
      <c r="AC63" s="65">
        <f t="shared" si="309"/>
        <v>0</v>
      </c>
      <c r="AD63" s="53">
        <f>IFERROR(__xludf.DUMMYFUNCTION("IFERROR(
  VLOOKUP(
    A63,
    IMPORTRANGE(
      ""1ZHMy3vVUd_0MrSduXTe1etBb1HNpAlGwQr006ljwMiM"",
      ""GSC最新!A:F""
    ),
    6,
    FALSE
  ),
  0
)
"),46081.0)</f>
        <v>46081</v>
      </c>
      <c r="AE63" s="54">
        <f>IFERROR(__xludf.DUMMYFUNCTION("IFERROR(
  VLOOKUP(
    A63,
    IMPORTRANGE(
      ""1SCYQd7_cobOYqT0r_F0IqD4tE4rYn5y8Eup4PJTH8es"",
      ""Snapshot!A:M""
    ),
    5,
    FALSE
  ),
  ""-""
)
"),10.0)</f>
        <v>10</v>
      </c>
      <c r="AF63" s="54">
        <f>IFERROR(__xludf.DUMMYFUNCTION("IFERROR(
  VLOOKUP(
    A63,
    IMPORTRANGE(
      ""1SCYQd7_cobOYqT0r_F0IqD4tE4rYn5y8Eup4PJTH8es"",
      ""Snapshot!A:M""
    ),
    6,
    FALSE
  ),
  0
)
"),3.0)</f>
        <v>3</v>
      </c>
      <c r="AG63" s="54">
        <f>IFERROR(__xludf.DUMMYFUNCTION("IFERROR(
  VLOOKUP(
    A63,
    IMPORTRANGE(
      ""1SCYQd7_cobOYqT0r_F0IqD4tE4rYn5y8Eup4PJTH8es"",
      ""Snapshot!A:M""
    ),
    7,
    FALSE
  ),
  0
)
"),1301.0)</f>
        <v>1301</v>
      </c>
      <c r="AH63" s="54">
        <f>IFERROR(__xludf.DUMMYFUNCTION("IFERROR(
  VLOOKUP(
    A63,
    IMPORTRANGE(
      ""1SCYQd7_cobOYqT0r_F0IqD4tE4rYn5y8Eup4PJTH8es"",
      ""Snapshot!A:M""
    ),
    8,
    FALSE
  ),
  0
)
"),0.0)</f>
        <v>0</v>
      </c>
      <c r="AI63" s="54">
        <f>IFERROR(__xludf.DUMMYFUNCTION("IFERROR(
  VLOOKUP(
    A63,
    IMPORTRANGE(
      ""1SCYQd7_cobOYqT0r_F0IqD4tE4rYn5y8Eup4PJTH8es"",
      ""Snapshot!A:M""
    ),
    9,
    FALSE
  ),
  0
)
"),0.0)</f>
        <v>0</v>
      </c>
      <c r="AJ63" s="54">
        <f>IFERROR(__xludf.DUMMYFUNCTION("IFERROR(
  VLOOKUP(
    A63,
    IMPORTRANGE(
      ""1SCYQd7_cobOYqT0r_F0IqD4tE4rYn5y8Eup4PJTH8es"",
      ""Snapshot!A:M""
    ),
    13,
    FALSE
  ),
  0
)
"),2.0)</f>
        <v>2</v>
      </c>
      <c r="AK63" s="49">
        <f t="shared" ref="AK63:AL63" si="310">LEN(C63)</f>
        <v>65</v>
      </c>
      <c r="AL63" s="49">
        <f t="shared" si="310"/>
        <v>55</v>
      </c>
    </row>
    <row r="64">
      <c r="A64" s="56" t="s">
        <v>1284</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"),"ものの燃え方で落とす→結果から“空気の変化”を説明する型（記述対策） - 中学受験 理科の個別指導 | 受験理科専門塾「しゅん吉クエスト」")</f>
        <v>ものの燃え方で落とす→結果から“空気の変化”を説明する型（記述対策） - 中学受験 理科の個別指導 | 受験理科専門塾「しゅん吉クエスト」</v>
      </c>
      <c r="D64" s="1" t="str">
        <f>IFERROR(__xludf.DUMMYFUNCTION("IFERROR(
  VLOOKUP(
    A64,
    IMPORTRANGE(
      ""1ZygntHC1J6IxzKbTidmOyf5nUyW4GCLurHCjexrLm_o        "",
      ""HTMLキャッシュ!A:F""
    ),
    6,
    FALSE
  ),
  0
)
"),"中学受験理科／化学 テーマ：燃え方の記述を「結果→空気→理由」の順に整理して取りこぼしを防ぐ 悩み起点 記述対")</f>
        <v>中学受験理科／化学 テーマ：燃え方の記述を「結果→空気→理由」の順に整理して取りこぼしを防ぐ 悩み起点 記述対</v>
      </c>
      <c r="E64" s="32">
        <f>IFERROR(__xludf.DUMMYFUNCTION("IFERROR(
  VLOOKUP(
    A64,
    IMPORTRANGE(
      ""1ZygntHC1J6IxzKbTidmOyf5nUyW4GCLurHCjexrLm_o        "",
      ""HTMLキャッシュ!A:F""
    ),
    3,
    FALSE
  ),
  0
)
"),46081.134467592594)</f>
        <v>46081.13447</v>
      </c>
      <c r="F64" s="49">
        <f>IFERROR(__xludf.DUMMYFUNCTION("IFERROR(
  VLOOKUP(
    A64,
    IMPORTRANGE(
      ""1ZHMy3vVUd_0MrSduXTe1etBb1HNpAlGwQr006ljwMiM"",
      ""GSC最新!A:F""
    ),
    2,
    FALSE
  ),
  0
)
"),0.0)</f>
        <v>0</v>
      </c>
      <c r="G64" s="49">
        <f>IFERROR(__xludf.DUMMYFUNCTION("IFERROR(
  VLOOKUP(
    A64,
    IMPORTRANGE(
      ""1ZHMy3vVUd_0MrSduXTe1etBb1HNpAlGwQr006ljwMiM"",
      ""GSC最新!A:F""
    ),
    3,
    FALSE
  ),
  0
)
"),0.0)</f>
        <v>0</v>
      </c>
      <c r="H64" s="49">
        <f>IFERROR(__xludf.DUMMYFUNCTION("IFERROR(
  VLOOKUP(
    A64,
    IMPORTRANGE(
      ""1ZHMy3vVUd_0MrSduXTe1etBb1HNpAlGwQr006ljwMiM"",
      ""GSC最新!A:F""
    ),
    4,
    FALSE
  ),
  0
)
"),0.0)</f>
        <v>0</v>
      </c>
      <c r="I64" s="49">
        <f>IFERROR(__xludf.DUMMYFUNCTION("IFERROR(
  VLOOKUP(
    A64,
    IMPORTRANGE(
      ""1ZHMy3vVUd_0MrSduXTe1etBb1HNpAlGwQr006ljwMiM"",
      ""GSC最新!A:F""
    ),
    5,
    FALSE
  ),
  0
)
"),0.0)</f>
        <v>0</v>
      </c>
      <c r="J64" s="50" t="str">
        <f t="shared" ref="J64:K64" si="311">IFERROR(F64/H64,"-")</f>
        <v>-</v>
      </c>
      <c r="K64" s="50" t="str">
        <f t="shared" si="311"/>
        <v>-</v>
      </c>
      <c r="L64" s="6">
        <f>IFERROR(__xludf.DUMMYFUNCTION("IFERROR(
  VLOOKUP(
    A64,
    IMPORTRANGE(
      ""1ZHMy3vVUd_0MrSduXTe1etBb1HNpAlGwQr006ljwMiM"",
      ""GSC最新!A:R""
    ),
    7,
    FALSE
  ),
  0
)
"),0.0)</f>
        <v>0</v>
      </c>
      <c r="M64" s="6">
        <f>IFERROR(__xludf.DUMMYFUNCTION("IFERROR(
  VLOOKUP(
    A64,
    IMPORTRANGE(
      ""1ZHMy3vVUd_0MrSduXTe1etBb1HNpAlGwQr006ljwMiM"",
      ""GSC最新!A:R""
    ),
    10,
    FALSE
  ),
  0
)
"),0.0)</f>
        <v>0</v>
      </c>
      <c r="N64" s="6">
        <f>IFERROR(__xludf.DUMMYFUNCTION("IFERROR(
  VLOOKUP(
    A64,
    IMPORTRANGE(
      ""1ZHMy3vVUd_0MrSduXTe1etBb1HNpAlGwQr006ljwMiM"",
      ""GSC最新!A:R""
    ),
    13,
    FALSE
  ),
  0
)
"),0.0)</f>
        <v>0</v>
      </c>
      <c r="O64" s="6">
        <f>IFERROR(__xludf.DUMMYFUNCTION("IFERROR(
  VLOOKUP(
    A64,
    IMPORTRANGE(
      ""1ZHMy3vVUd_0MrSduXTe1etBb1HNpAlGwQr006ljwMiM"",
      ""GSC最新!A:R""
    ),
    16,
    FALSE
  ),
  0
)
"),0.0)</f>
        <v>0</v>
      </c>
      <c r="P64" s="51" t="str">
        <f t="shared" ref="P64:Q64" si="312">IFERROR(L64/N64,"-")</f>
        <v>-</v>
      </c>
      <c r="Q64" s="51" t="str">
        <f t="shared" si="312"/>
        <v>-</v>
      </c>
      <c r="R64" s="9">
        <f>IFERROR(__xludf.DUMMYFUNCTION("IFERROR(
  VLOOKUP(
    A64,
    IMPORTRANGE(
      ""1ZHMy3vVUd_0MrSduXTe1etBb1HNpAlGwQr006ljwMiM"",
      ""GSC最新!A:R""
    ),
    8,
    FALSE
  ),
  0
)
"),0.0)</f>
        <v>0</v>
      </c>
      <c r="S64" s="9">
        <f>IFERROR(__xludf.DUMMYFUNCTION("IFERROR(
  VLOOKUP(
    A64,
    IMPORTRANGE(
      ""1ZHMy3vVUd_0MrSduXTe1etBb1HNpAlGwQr006ljwMiM"",
      ""GSC最新!A:R""
    ),
    11,
    FALSE
  ),
  0
)
"),0.0)</f>
        <v>0</v>
      </c>
      <c r="T64" s="9">
        <f>IFERROR(__xludf.DUMMYFUNCTION("IFERROR(
  VLOOKUP(
    A64,
    IMPORTRANGE(
      ""1ZHMy3vVUd_0MrSduXTe1etBb1HNpAlGwQr006ljwMiM"",
      ""GSC最新!A:R""
    ),
    14,
    FALSE
  ),
  0
)
"),0.0)</f>
        <v>0</v>
      </c>
      <c r="U64" s="9">
        <f>IFERROR(__xludf.DUMMYFUNCTION("IFERROR(
  VLOOKUP(
    A64,
    IMPORTRANGE(
      ""1ZHMy3vVUd_0MrSduXTe1etBb1HNpAlGwQr006ljwMiM"",
      ""GSC最新!A:R""
    ),
    17,
    FALSE
  ),
  0
)
"),0.0)</f>
        <v>0</v>
      </c>
      <c r="V64" s="9">
        <f t="shared" ref="V64:W64" si="313">IFERROR(R64-T64,"-")</f>
        <v>0</v>
      </c>
      <c r="W64" s="9">
        <f t="shared" si="313"/>
        <v>0</v>
      </c>
      <c r="X64" s="65" t="str">
        <f>IFERROR(__xludf.DUMMYFUNCTION("IFERROR(
  VLOOKUP(
    A64,
    IMPORTRANGE(
      ""1ZHMy3vVUd_0MrSduXTe1etBb1HNpAlGwQr006ljwMiM"",
      ""GSC最新!A:R""
    ),
    9,
    FALSE
  ),
  0
)
"),"")</f>
        <v/>
      </c>
      <c r="Y64" s="65" t="str">
        <f>IFERROR(__xludf.DUMMYFUNCTION("IFERROR(
  VLOOKUP(
    A64,
    IMPORTRANGE(
      ""1ZHMy3vVUd_0MrSduXTe1etBb1HNpAlGwQr006ljwMiM"",
      ""GSC最新!A:R""
    ),
    12,
    FALSE
  ),
  0
)
"),"")</f>
        <v/>
      </c>
      <c r="Z64" s="65" t="str">
        <f>IFERROR(__xludf.DUMMYFUNCTION("IFERROR(
  VLOOKUP(
    A64,
    IMPORTRANGE(
      ""1ZHMy3vVUd_0MrSduXTe1etBb1HNpAlGwQr006ljwMiM"",
      ""GSC最新!A:R""
    ),
    15,
    FALSE
  ),
  0
)
"),"")</f>
        <v/>
      </c>
      <c r="AA64" s="65" t="str">
        <f>IFERROR(__xludf.DUMMYFUNCTION("IFERROR(
  VLOOKUP(
    A64,
    IMPORTRANGE(
      ""1ZHMy3vVUd_0MrSduXTe1etBb1HNpAlGwQr006ljwMiM"",
      ""GSC最新!A:R""
    ),
    18,
    FALSE
  ),
  0
)
"),"")</f>
        <v/>
      </c>
      <c r="AB64" s="65">
        <f t="shared" ref="AB64:AC64" si="314">X64-Z64</f>
        <v>0</v>
      </c>
      <c r="AC64" s="65">
        <f t="shared" si="314"/>
        <v>0</v>
      </c>
      <c r="AD64" s="53">
        <f>IFERROR(__xludf.DUMMYFUNCTION("IFERROR(
  VLOOKUP(
    A64,
    IMPORTRANGE(
      ""1ZHMy3vVUd_0MrSduXTe1etBb1HNpAlGwQr006ljwMiM"",
      ""GSC最新!A:F""
    ),
    6,
    FALSE
  ),
  0
)
"),46081.0)</f>
        <v>46081</v>
      </c>
      <c r="AE64" s="54">
        <f>IFERROR(__xludf.DUMMYFUNCTION("IFERROR(
  VLOOKUP(
    A64,
    IMPORTRANGE(
      ""1SCYQd7_cobOYqT0r_F0IqD4tE4rYn5y8Eup4PJTH8es"",
      ""Snapshot!A:M""
    ),
    5,
    FALSE
  ),
  ""-""
)
"),7.0)</f>
        <v>7</v>
      </c>
      <c r="AF64" s="54">
        <f>IFERROR(__xludf.DUMMYFUNCTION("IFERROR(
  VLOOKUP(
    A64,
    IMPORTRANGE(
      ""1SCYQd7_cobOYqT0r_F0IqD4tE4rYn5y8Eup4PJTH8es"",
      ""Snapshot!A:M""
    ),
    6,
    FALSE
  ),
  0
)
"),11.0)</f>
        <v>11</v>
      </c>
      <c r="AG64" s="54">
        <f>IFERROR(__xludf.DUMMYFUNCTION("IFERROR(
  VLOOKUP(
    A64,
    IMPORTRANGE(
      ""1SCYQd7_cobOYqT0r_F0IqD4tE4rYn5y8Eup4PJTH8es"",
      ""Snapshot!A:M""
    ),
    7,
    FALSE
  ),
  0
)
"),3995.0)</f>
        <v>3995</v>
      </c>
      <c r="AH64" s="54">
        <f>IFERROR(__xludf.DUMMYFUNCTION("IFERROR(
  VLOOKUP(
    A64,
    IMPORTRANGE(
      ""1SCYQd7_cobOYqT0r_F0IqD4tE4rYn5y8Eup4PJTH8es"",
      ""Snapshot!A:M""
    ),
    8,
    FALSE
  ),
  0
)
"),11.0)</f>
        <v>11</v>
      </c>
      <c r="AI64" s="54">
        <f>IFERROR(__xludf.DUMMYFUNCTION("IFERROR(
  VLOOKUP(
    A64,
    IMPORTRANGE(
      ""1SCYQd7_cobOYqT0r_F0IqD4tE4rYn5y8Eup4PJTH8es"",
      ""Snapshot!A:M""
    ),
    9,
    FALSE
  ),
  0
)
"),1.0)</f>
        <v>1</v>
      </c>
      <c r="AJ64" s="54">
        <f>IFERROR(__xludf.DUMMYFUNCTION("IFERROR(
  VLOOKUP(
    A64,
    IMPORTRANGE(
      ""1SCYQd7_cobOYqT0r_F0IqD4tE4rYn5y8Eup4PJTH8es"",
      ""Snapshot!A:M""
    ),
    13,
    FALSE
  ),
  0
)
"),2.0)</f>
        <v>2</v>
      </c>
      <c r="AK64" s="49">
        <f t="shared" ref="AK64:AL64" si="315">LEN(C64)</f>
        <v>69</v>
      </c>
      <c r="AL64" s="49">
        <f t="shared" si="315"/>
        <v>55</v>
      </c>
    </row>
    <row r="65">
      <c r="A65" s="56" t="s">
        <v>1285</v>
      </c>
      <c r="B65" s="1" t="str">
        <f>IFERROR(__xludf.DUMMYFUNCTION("IFERROR(
  VLOOKUP(
    A65,
    IMPORTRANGE(
      ""1ZygntHC1J6IxzKbTidmOyf5nUyW4GCLurHCjexrLm_o"",
      ""HTMLキャッシュ!A:F""
    ),
    2,
    FALSE
  ),
  0
)
"),"MC")</f>
        <v>MC</v>
      </c>
      <c r="C65" s="1" t="str">
        <f>IFERROR(__xludf.DUMMYFUNCTION("IFERROR(
  VLOOKUP(
    A65,
    IMPORTRANGE(
      ""1ZygntHC1J6IxzKbTidmOyf5nUyW4GCLurHCjexrLm_o"",
      ""HTMLキャッシュ!A:F""
    ),
    5,
    FALSE
  ),
  0
)
"),"理科が嫌い・避けてしまう→「できた感」を作る教材の選び方／家庭の声かけ - 中学受験 理科の個別指導 | 受験理科専門塾「しゅん吉クエスト」")</f>
        <v>理科が嫌い・避けてしまう→「できた感」を作る教材の選び方／家庭の声かけ - 中学受験 理科の個別指導 | 受験理科専門塾「しゅん吉クエスト」</v>
      </c>
      <c r="D65" s="1" t="str">
        <f>IFERROR(__xludf.DUMMYFUNCTION("IFERROR(
  VLOOKUP(
    A65,
    IMPORTRANGE(
      ""1ZygntHC1J6IxzKbTidmOyf5nUyW4GCLurHCjexrLm_o        "",
      ""HTMLキャッシュ!A:F""
    ),
    6,
    FALSE
  ),
  0
)
"),"")</f>
        <v/>
      </c>
      <c r="E65" s="32">
        <f>IFERROR(__xludf.DUMMYFUNCTION("IFERROR(
  VLOOKUP(
    A65,
    IMPORTRANGE(
      ""1ZygntHC1J6IxzKbTidmOyf5nUyW4GCLurHCjexrLm_o        "",
      ""HTMLキャッシュ!A:F""
    ),
    3,
    FALSE
  ),
  0
)
"),46053.09391203704)</f>
        <v>46053.09391</v>
      </c>
      <c r="F65" s="49">
        <f>IFERROR(__xludf.DUMMYFUNCTION("IFERROR(
  VLOOKUP(
    A65,
    IMPORTRANGE(
      ""1ZHMy3vVUd_0MrSduXTe1etBb1HNpAlGwQr006ljwMiM"",
      ""GSC最新!A:F""
    ),
    2,
    FALSE
  ),
  0
)
"),0.0)</f>
        <v>0</v>
      </c>
      <c r="G65" s="49">
        <f>IFERROR(__xludf.DUMMYFUNCTION("IFERROR(
  VLOOKUP(
    A65,
    IMPORTRANGE(
      ""1ZHMy3vVUd_0MrSduXTe1etBb1HNpAlGwQr006ljwMiM"",
      ""GSC最新!A:F""
    ),
    3,
    FALSE
  ),
  0
)
"),0.0)</f>
        <v>0</v>
      </c>
      <c r="H65" s="49">
        <f>IFERROR(__xludf.DUMMYFUNCTION("IFERROR(
  VLOOKUP(
    A65,
    IMPORTRANGE(
      ""1ZHMy3vVUd_0MrSduXTe1etBb1HNpAlGwQr006ljwMiM"",
      ""GSC最新!A:F""
    ),
    4,
    FALSE
  ),
  0
)
"),0.0)</f>
        <v>0</v>
      </c>
      <c r="I65" s="49">
        <f>IFERROR(__xludf.DUMMYFUNCTION("IFERROR(
  VLOOKUP(
    A65,
    IMPORTRANGE(
      ""1ZHMy3vVUd_0MrSduXTe1etBb1HNpAlGwQr006ljwMiM"",
      ""GSC最新!A:F""
    ),
    5,
    FALSE
  ),
  0
)
"),0.0)</f>
        <v>0</v>
      </c>
      <c r="J65" s="50" t="str">
        <f t="shared" ref="J65:K65" si="316">IFERROR(F65/H65,"-")</f>
        <v>-</v>
      </c>
      <c r="K65" s="50" t="str">
        <f t="shared" si="316"/>
        <v>-</v>
      </c>
      <c r="L65" s="6">
        <f>IFERROR(__xludf.DUMMYFUNCTION("IFERROR(
  VLOOKUP(
    A65,
    IMPORTRANGE(
      ""1ZHMy3vVUd_0MrSduXTe1etBb1HNpAlGwQr006ljwMiM"",
      ""GSC最新!A:R""
    ),
    7,
    FALSE
  ),
  0
)
"),0.0)</f>
        <v>0</v>
      </c>
      <c r="M65" s="6">
        <f>IFERROR(__xludf.DUMMYFUNCTION("IFERROR(
  VLOOKUP(
    A65,
    IMPORTRANGE(
      ""1ZHMy3vVUd_0MrSduXTe1etBb1HNpAlGwQr006ljwMiM"",
      ""GSC最新!A:R""
    ),
    10,
    FALSE
  ),
  0
)
"),0.0)</f>
        <v>0</v>
      </c>
      <c r="N65" s="6">
        <f>IFERROR(__xludf.DUMMYFUNCTION("IFERROR(
  VLOOKUP(
    A65,
    IMPORTRANGE(
      ""1ZHMy3vVUd_0MrSduXTe1etBb1HNpAlGwQr006ljwMiM"",
      ""GSC最新!A:R""
    ),
    13,
    FALSE
  ),
  0
)
"),0.0)</f>
        <v>0</v>
      </c>
      <c r="O65" s="6">
        <f>IFERROR(__xludf.DUMMYFUNCTION("IFERROR(
  VLOOKUP(
    A65,
    IMPORTRANGE(
      ""1ZHMy3vVUd_0MrSduXTe1etBb1HNpAlGwQr006ljwMiM"",
      ""GSC最新!A:R""
    ),
    16,
    FALSE
  ),
  0
)
"),0.0)</f>
        <v>0</v>
      </c>
      <c r="P65" s="51" t="str">
        <f t="shared" ref="P65:Q65" si="317">IFERROR(L65/N65,"-")</f>
        <v>-</v>
      </c>
      <c r="Q65" s="51" t="str">
        <f t="shared" si="317"/>
        <v>-</v>
      </c>
      <c r="R65" s="9">
        <f>IFERROR(__xludf.DUMMYFUNCTION("IFERROR(
  VLOOKUP(
    A65,
    IMPORTRANGE(
      ""1ZHMy3vVUd_0MrSduXTe1etBb1HNpAlGwQr006ljwMiM"",
      ""GSC最新!A:R""
    ),
    8,
    FALSE
  ),
  0
)
"),0.0)</f>
        <v>0</v>
      </c>
      <c r="S65" s="9">
        <f>IFERROR(__xludf.DUMMYFUNCTION("IFERROR(
  VLOOKUP(
    A65,
    IMPORTRANGE(
      ""1ZHMy3vVUd_0MrSduXTe1etBb1HNpAlGwQr006ljwMiM"",
      ""GSC最新!A:R""
    ),
    11,
    FALSE
  ),
  0
)
"),0.0)</f>
        <v>0</v>
      </c>
      <c r="T65" s="9">
        <f>IFERROR(__xludf.DUMMYFUNCTION("IFERROR(
  VLOOKUP(
    A65,
    IMPORTRANGE(
      ""1ZHMy3vVUd_0MrSduXTe1etBb1HNpAlGwQr006ljwMiM"",
      ""GSC最新!A:R""
    ),
    14,
    FALSE
  ),
  0
)
"),0.0)</f>
        <v>0</v>
      </c>
      <c r="U65" s="9">
        <f>IFERROR(__xludf.DUMMYFUNCTION("IFERROR(
  VLOOKUP(
    A65,
    IMPORTRANGE(
      ""1ZHMy3vVUd_0MrSduXTe1etBb1HNpAlGwQr006ljwMiM"",
      ""GSC最新!A:R""
    ),
    17,
    FALSE
  ),
  0
)
"),0.0)</f>
        <v>0</v>
      </c>
      <c r="V65" s="9">
        <f t="shared" ref="V65:W65" si="318">IFERROR(R65-T65,"-")</f>
        <v>0</v>
      </c>
      <c r="W65" s="9">
        <f t="shared" si="318"/>
        <v>0</v>
      </c>
      <c r="X65" s="65" t="str">
        <f>IFERROR(__xludf.DUMMYFUNCTION("IFERROR(
  VLOOKUP(
    A65,
    IMPORTRANGE(
      ""1ZHMy3vVUd_0MrSduXTe1etBb1HNpAlGwQr006ljwMiM"",
      ""GSC最新!A:R""
    ),
    9,
    FALSE
  ),
  0
)
"),"")</f>
        <v/>
      </c>
      <c r="Y65" s="65" t="str">
        <f>IFERROR(__xludf.DUMMYFUNCTION("IFERROR(
  VLOOKUP(
    A65,
    IMPORTRANGE(
      ""1ZHMy3vVUd_0MrSduXTe1etBb1HNpAlGwQr006ljwMiM"",
      ""GSC最新!A:R""
    ),
    12,
    FALSE
  ),
  0
)
"),"")</f>
        <v/>
      </c>
      <c r="Z65" s="65" t="str">
        <f>IFERROR(__xludf.DUMMYFUNCTION("IFERROR(
  VLOOKUP(
    A65,
    IMPORTRANGE(
      ""1ZHMy3vVUd_0MrSduXTe1etBb1HNpAlGwQr006ljwMiM"",
      ""GSC最新!A:R""
    ),
    15,
    FALSE
  ),
  0
)
"),"")</f>
        <v/>
      </c>
      <c r="AA65" s="65" t="str">
        <f>IFERROR(__xludf.DUMMYFUNCTION("IFERROR(
  VLOOKUP(
    A65,
    IMPORTRANGE(
      ""1ZHMy3vVUd_0MrSduXTe1etBb1HNpAlGwQr006ljwMiM"",
      ""GSC最新!A:R""
    ),
    18,
    FALSE
  ),
  0
)
"),"")</f>
        <v/>
      </c>
      <c r="AB65" s="65">
        <f t="shared" ref="AB65:AC65" si="319">X65-Z65</f>
        <v>0</v>
      </c>
      <c r="AC65" s="65">
        <f t="shared" si="319"/>
        <v>0</v>
      </c>
      <c r="AD65" s="53">
        <f>IFERROR(__xludf.DUMMYFUNCTION("IFERROR(
  VLOOKUP(
    A65,
    IMPORTRANGE(
      ""1ZHMy3vVUd_0MrSduXTe1etBb1HNpAlGwQr006ljwMiM"",
      ""GSC最新!A:F""
    ),
    6,
    FALSE
  ),
  0
)
"),46081.0)</f>
        <v>46081</v>
      </c>
      <c r="AE65" s="54">
        <f>IFERROR(__xludf.DUMMYFUNCTION("IFERROR(
  VLOOKUP(
    A65,
    IMPORTRANGE(
      ""1SCYQd7_cobOYqT0r_F0IqD4tE4rYn5y8Eup4PJTH8es"",
      ""Snapshot!A:M""
    ),
    5,
    FALSE
  ),
  ""-""
)
"),0.0)</f>
        <v>0</v>
      </c>
      <c r="AF65" s="54">
        <f>IFERROR(__xludf.DUMMYFUNCTION("IFERROR(
  VLOOKUP(
    A65,
    IMPORTRANGE(
      ""1SCYQd7_cobOYqT0r_F0IqD4tE4rYn5y8Eup4PJTH8es"",
      ""Snapshot!A:M""
    ),
    6,
    FALSE
  ),
  0
)
"),0.0)</f>
        <v>0</v>
      </c>
      <c r="AG65" s="54">
        <f>IFERROR(__xludf.DUMMYFUNCTION("IFERROR(
  VLOOKUP(
    A65,
    IMPORTRANGE(
      ""1SCYQd7_cobOYqT0r_F0IqD4tE4rYn5y8Eup4PJTH8es"",
      ""Snapshot!A:M""
    ),
    7,
    FALSE
  ),
  0
)
"),7768.0)</f>
        <v>7768</v>
      </c>
      <c r="AH65" s="54">
        <f>IFERROR(__xludf.DUMMYFUNCTION("IFERROR(
  VLOOKUP(
    A65,
    IMPORTRANGE(
      ""1SCYQd7_cobOYqT0r_F0IqD4tE4rYn5y8Eup4PJTH8es"",
      ""Snapshot!A:M""
    ),
    8,
    FALSE
  ),
  0
)
"),0.0)</f>
        <v>0</v>
      </c>
      <c r="AI65" s="54">
        <f>IFERROR(__xludf.DUMMYFUNCTION("IFERROR(
  VLOOKUP(
    A65,
    IMPORTRANGE(
      ""1SCYQd7_cobOYqT0r_F0IqD4tE4rYn5y8Eup4PJTH8es"",
      ""Snapshot!A:M""
    ),
    9,
    FALSE
  ),
  0
)
"),0.0)</f>
        <v>0</v>
      </c>
      <c r="AJ65" s="54">
        <f>IFERROR(__xludf.DUMMYFUNCTION("IFERROR(
  VLOOKUP(
    A65,
    IMPORTRANGE(
      ""1SCYQd7_cobOYqT0r_F0IqD4tE4rYn5y8Eup4PJTH8es"",
      ""Snapshot!A:M""
    ),
    13,
    FALSE
  ),
  0
)
"),2.0)</f>
        <v>2</v>
      </c>
      <c r="AK65" s="49">
        <f t="shared" ref="AK65:AL65" si="320">LEN(C65)</f>
        <v>70</v>
      </c>
      <c r="AL65" s="49">
        <f t="shared" si="320"/>
        <v>0</v>
      </c>
    </row>
    <row r="66">
      <c r="A66" s="56" t="s">
        <v>1286</v>
      </c>
      <c r="B66" s="1" t="str">
        <f>IFERROR(__xludf.DUMMYFUNCTION("IFERROR(
  VLOOKUP(
    A66,
    IMPORTRANGE(
      ""1ZygntHC1J6IxzKbTidmOyf5nUyW4GCLurHCjexrLm_o"",
      ""HTMLキャッシュ!A:F""
    ),
    2,
    FALSE
  ),
  0
)
"),"MC")</f>
        <v>MC</v>
      </c>
      <c r="C66" s="1" t="str">
        <f>IFERROR(__xludf.DUMMYFUNCTION("IFERROR(
  VLOOKUP(
    A66,
    IMPORTRANGE(
      ""1ZygntHC1J6IxzKbTidmOyf5nUyW4GCLurHCjexrLm_o"",
      ""HTMLキャッシュ!A:F""
    ),
    5,
    FALSE
  ),
  0
)
"),"増減（食物連鎖など）が苦手→因果を図にして読む／表・グラフの扱い方 - 中学受験 理科の個別指導 | 受験理科専門塾「しゅん吉クエスト」")</f>
        <v>増減（食物連鎖など）が苦手→因果を図にして読む／表・グラフの扱い方 - 中学受験 理科の個別指導 | 受験理科専門塾「しゅん吉クエスト」</v>
      </c>
      <c r="D66" s="1" t="str">
        <f>IFERROR(__xludf.DUMMYFUNCTION("IFERROR(
  VLOOKUP(
    A66,
    IMPORTRANGE(
      ""1ZygntHC1J6IxzKbTidmOyf5nUyW4GCLurHCjexrLm_o        "",
      ""HTMLキャッシュ!A:F""
    ),
    6,
    FALSE
  ),
  0
)
"),"中学受験理科／生物 テーマ：増減（食物連鎖・生態系・個体数変化）を「因果」と「読み順」で安定させる 悩み起点")</f>
        <v>中学受験理科／生物 テーマ：増減（食物連鎖・生態系・個体数変化）を「因果」と「読み順」で安定させる 悩み起点</v>
      </c>
      <c r="E66" s="32">
        <f>IFERROR(__xludf.DUMMYFUNCTION("IFERROR(
  VLOOKUP(
    A66,
    IMPORTRANGE(
      ""1ZygntHC1J6IxzKbTidmOyf5nUyW4GCLurHCjexrLm_o        "",
      ""HTMLキャッシュ!A:F""
    ),
    3,
    FALSE
  ),
  0
)
"),46081.099953703706)</f>
        <v>46081.09995</v>
      </c>
      <c r="F66" s="49">
        <f>IFERROR(__xludf.DUMMYFUNCTION("IFERROR(
  VLOOKUP(
    A66,
    IMPORTRANGE(
      ""1ZHMy3vVUd_0MrSduXTe1etBb1HNpAlGwQr006ljwMiM"",
      ""GSC最新!A:F""
    ),
    2,
    FALSE
  ),
  0
)
"),0.0)</f>
        <v>0</v>
      </c>
      <c r="G66" s="49">
        <f>IFERROR(__xludf.DUMMYFUNCTION("IFERROR(
  VLOOKUP(
    A66,
    IMPORTRANGE(
      ""1ZHMy3vVUd_0MrSduXTe1etBb1HNpAlGwQr006ljwMiM"",
      ""GSC最新!A:F""
    ),
    3,
    FALSE
  ),
  0
)
"),0.0)</f>
        <v>0</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"),0.0)</f>
        <v>0</v>
      </c>
      <c r="J66" s="50" t="str">
        <f t="shared" ref="J66:K66" si="321">IFERROR(F66/H66,"-")</f>
        <v>-</v>
      </c>
      <c r="K66" s="50" t="str">
        <f t="shared" si="321"/>
        <v>-</v>
      </c>
      <c r="L66" s="6">
        <f>IFERROR(__xludf.DUMMYFUNCTION("IFERROR(
  VLOOKUP(
    A66,
    IMPORTRANGE(
      ""1ZHMy3vVUd_0MrSduXTe1etBb1HNpAlGwQr006ljwMiM"",
      ""GSC最新!A:R""
    ),
    7,
    FALSE
  ),
  0
)
"),0.0)</f>
        <v>0</v>
      </c>
      <c r="M66" s="6">
        <f>IFERROR(__xludf.DUMMYFUNCTION("IFERROR(
  VLOOKUP(
    A66,
    IMPORTRANGE(
      ""1ZHMy3vVUd_0MrSduXTe1etBb1HNpAlGwQr006ljwMiM"",
      ""GSC最新!A:R""
    ),
    10,
    FALSE
  ),
  0
)
"),0.0)</f>
        <v>0</v>
      </c>
      <c r="N66" s="6">
        <f>IFERROR(__xludf.DUMMYFUNCTION("IFERROR(
  VLOOKUP(
    A66,
    IMPORTRANGE(
      ""1ZHMy3vVUd_0MrSduXTe1etBb1HNpAlGwQr006ljwMiM"",
      ""GSC最新!A:R""
    ),
    13,
    FALSE
  ),
  0
)
"),0.0)</f>
        <v>0</v>
      </c>
      <c r="O66" s="6">
        <f>IFERROR(__xludf.DUMMYFUNCTION("IFERROR(
  VLOOKUP(
    A66,
    IMPORTRANGE(
      ""1ZHMy3vVUd_0MrSduXTe1etBb1HNpAlGwQr006ljwMiM"",
      ""GSC最新!A:R""
    ),
    16,
    FALSE
  ),
  0
)
"),0.0)</f>
        <v>0</v>
      </c>
      <c r="P66" s="51" t="str">
        <f t="shared" ref="P66:Q66" si="322">IFERROR(L66/N66,"-")</f>
        <v>-</v>
      </c>
      <c r="Q66" s="51" t="str">
        <f t="shared" si="322"/>
        <v>-</v>
      </c>
      <c r="R66" s="9">
        <f>IFERROR(__xludf.DUMMYFUNCTION("IFERROR(
  VLOOKUP(
    A66,
    IMPORTRANGE(
      ""1ZHMy3vVUd_0MrSduXTe1etBb1HNpAlGwQr006ljwMiM"",
      ""GSC最新!A:R""
    ),
    8,
    FALSE
  ),
  0
)
"),0.0)</f>
        <v>0</v>
      </c>
      <c r="S66" s="9">
        <f>IFERROR(__xludf.DUMMYFUNCTION("IFERROR(
  VLOOKUP(
    A66,
    IMPORTRANGE(
      ""1ZHMy3vVUd_0MrSduXTe1etBb1HNpAlGwQr006ljwMiM"",
      ""GSC最新!A:R""
    ),
    11,
    FALSE
  ),
  0
)
"),0.0)</f>
        <v>0</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f>
        <v>0</v>
      </c>
      <c r="V66" s="9">
        <f t="shared" ref="V66:W66" si="323">IFERROR(R66-T66,"-")</f>
        <v>0</v>
      </c>
      <c r="W66" s="9">
        <f t="shared" si="323"/>
        <v>0</v>
      </c>
      <c r="X66" s="65" t="str">
        <f>IFERROR(__xludf.DUMMYFUNCTION("IFERROR(
  VLOOKUP(
    A66,
    IMPORTRANGE(
      ""1ZHMy3vVUd_0MrSduXTe1etBb1HNpAlGwQr006ljwMiM"",
      ""GSC最新!A:R""
    ),
    9,
    FALSE
  ),
  0
)
"),"")</f>
        <v/>
      </c>
      <c r="Y66" s="65" t="str">
        <f>IFERROR(__xludf.DUMMYFUNCTION("IFERROR(
  VLOOKUP(
    A66,
    IMPORTRANGE(
      ""1ZHMy3vVUd_0MrSduXTe1etBb1HNpAlGwQr006ljwMiM"",
      ""GSC最新!A:R""
    ),
    12,
    FALSE
  ),
  0
)
"),"")</f>
        <v/>
      </c>
      <c r="Z66" s="65" t="str">
        <f>IFERROR(__xludf.DUMMYFUNCTION("IFERROR(
  VLOOKUP(
    A66,
    IMPORTRANGE(
      ""1ZHMy3vVUd_0MrSduXTe1etBb1HNpAlGwQr006ljwMiM"",
      ""GSC最新!A:R""
    ),
    15,
    FALSE
  ),
  0
)
"),"")</f>
        <v/>
      </c>
      <c r="AA66" s="65" t="str">
        <f>IFERROR(__xludf.DUMMYFUNCTION("IFERROR(
  VLOOKUP(
    A66,
    IMPORTRANGE(
      ""1ZHMy3vVUd_0MrSduXTe1etBb1HNpAlGwQr006ljwMiM"",
      ""GSC最新!A:R""
    ),
    18,
    FALSE
  ),
  0
)
"),"")</f>
        <v/>
      </c>
      <c r="AB66" s="65">
        <f t="shared" ref="AB66:AC66" si="324">X66-Z66</f>
        <v>0</v>
      </c>
      <c r="AC66" s="65">
        <f t="shared" si="324"/>
        <v>0</v>
      </c>
      <c r="AD66" s="53">
        <f>IFERROR(__xludf.DUMMYFUNCTION("IFERROR(
  VLOOKUP(
    A66,
    IMPORTRANGE(
      ""1ZHMy3vVUd_0MrSduXTe1etBb1HNpAlGwQr006ljwMiM"",
      ""GSC最新!A:F""
    ),
    6,
    FALSE
  ),
  0
)
"),46081.0)</f>
        <v>46081</v>
      </c>
      <c r="AE66" s="54">
        <f>IFERROR(__xludf.DUMMYFUNCTION("IFERROR(
  VLOOKUP(
    A66,
    IMPORTRANGE(
      ""1SCYQd7_cobOYqT0r_F0IqD4tE4rYn5y8Eup4PJTH8es"",
      ""Snapshot!A:M""
    ),
    5,
    FALSE
  ),
  ""-""
)
"),7.0)</f>
        <v>7</v>
      </c>
      <c r="AF66" s="54">
        <f>IFERROR(__xludf.DUMMYFUNCTION("IFERROR(
  VLOOKUP(
    A66,
    IMPORTRANGE(
      ""1SCYQd7_cobOYqT0r_F0IqD4tE4rYn5y8Eup4PJTH8es"",
      ""Snapshot!A:M""
    ),
    6,
    FALSE
  ),
  0
)
"),10.0)</f>
        <v>10</v>
      </c>
      <c r="AG66" s="54">
        <f>IFERROR(__xludf.DUMMYFUNCTION("IFERROR(
  VLOOKUP(
    A66,
    IMPORTRANGE(
      ""1SCYQd7_cobOYqT0r_F0IqD4tE4rYn5y8Eup4PJTH8es"",
      ""Snapshot!A:M""
    ),
    7,
    FALSE
  ),
  0
)
"),3925.0)</f>
        <v>3925</v>
      </c>
      <c r="AH66" s="54">
        <f>IFERROR(__xludf.DUMMYFUNCTION("IFERROR(
  VLOOKUP(
    A66,
    IMPORTRANGE(
      ""1SCYQd7_cobOYqT0r_F0IqD4tE4rYn5y8Eup4PJTH8es"",
      ""Snapshot!A:M""
    ),
    8,
    FALSE
  ),
  0
)
"),8.0)</f>
        <v>8</v>
      </c>
      <c r="AI66" s="54">
        <f>IFERROR(__xludf.DUMMYFUNCTION("IFERROR(
  VLOOKUP(
    A66,
    IMPORTRANGE(
      ""1SCYQd7_cobOYqT0r_F0IqD4tE4rYn5y8Eup4PJTH8es"",
      ""Snapshot!A:M""
    ),
    9,
    FALSE
  ),
  0
)
"),1.0)</f>
        <v>1</v>
      </c>
      <c r="AJ66" s="54">
        <f>IFERROR(__xludf.DUMMYFUNCTION("IFERROR(
  VLOOKUP(
    A66,
    IMPORTRANGE(
      ""1SCYQd7_cobOYqT0r_F0IqD4tE4rYn5y8Eup4PJTH8es"",
      ""Snapshot!A:M""
    ),
    13,
    FALSE
  ),
  0
)
"),2.0)</f>
        <v>2</v>
      </c>
      <c r="AK66" s="49">
        <f t="shared" ref="AK66:AL66" si="325">LEN(C66)</f>
        <v>68</v>
      </c>
      <c r="AL66" s="49">
        <f t="shared" si="325"/>
        <v>54</v>
      </c>
    </row>
    <row r="67">
      <c r="A67" s="56" t="s">
        <v>1287</v>
      </c>
      <c r="B67" s="1" t="str">
        <f>IFERROR(__xludf.DUMMYFUNCTION("IFERROR(
  VLOOKUP(
    A67,
    IMPORTRANGE(
      ""1ZygntHC1J6IxzKbTidmOyf5nUyW4GCLurHCjexrLm_o"",
      ""HTMLキャッシュ!A:F""
    ),
    2,
    FALSE
  ),
  0
)
"),"MC")</f>
        <v>MC</v>
      </c>
      <c r="C67" s="1" t="str">
        <f>IFERROR(__xludf.DUMMYFUNCTION("IFERROR(
  VLOOKUP(
    A67,
    IMPORTRANGE(
      ""1ZygntHC1J6IxzKbTidmOyf5nUyW4GCLurHCjexrLm_o"",
      ""HTMLキャッシュ!A:F""
    ),
    5,
    FALSE
  ),
  0
)
"),"回路（直列/並列・明るさ）が苦手→「同じ/分かれる」の見抜き方＋条件整理 - 中学受験 理科の個別指導 | 受験理科専門塾「しゅん吉クエスト」")</f>
        <v>回路（直列/並列・明るさ）が苦手→「同じ/分かれる」の見抜き方＋条件整理 - 中学受験 理科の個別指導 | 受験理科専門塾「しゅん吉クエスト」</v>
      </c>
      <c r="D67" s="1" t="str">
        <f>IFERROR(__xludf.DUMMYFUNCTION("IFERROR(
  VLOOKUP(
    A67,
    IMPORTRANGE(
      ""1ZygntHC1J6IxzKbTidmOyf5nUyW4GCLurHCjexrLm_o        "",
      ""HTMLキャッシュ!A:F""
    ),
    6,
    FALSE
  ),
  0
)
"),"中学受験理科／物理 テーマ：回路の「同じ／分かれる」を見抜いて条件整理を身につける 悩み起点 条件整理が主役")</f>
        <v>中学受験理科／物理 テーマ：回路の「同じ／分かれる」を見抜いて条件整理を身につける 悩み起点 条件整理が主役</v>
      </c>
      <c r="E67" s="32">
        <f>IFERROR(__xludf.DUMMYFUNCTION("IFERROR(
  VLOOKUP(
    A67,
    IMPORTRANGE(
      ""1ZygntHC1J6IxzKbTidmOyf5nUyW4GCLurHCjexrLm_o        "",
      ""HTMLキャッシュ!A:F""
    ),
    3,
    FALSE
  ),
  0
)
"),46081.115694444445)</f>
        <v>46081.11569</v>
      </c>
      <c r="F67" s="49">
        <f>IFERROR(__xludf.DUMMYFUNCTION("IFERROR(
  VLOOKUP(
    A67,
    IMPORTRANGE(
      ""1ZHMy3vVUd_0MrSduXTe1etBb1HNpAlGwQr006ljwMiM"",
      ""GSC最新!A:F""
    ),
    2,
    FALSE
  ),
  0
)
"),0.0)</f>
        <v>0</v>
      </c>
      <c r="G67" s="49">
        <f>IFERROR(__xludf.DUMMYFUNCTION("IFERROR(
  VLOOKUP(
    A67,
    IMPORTRANGE(
      ""1ZHMy3vVUd_0MrSduXTe1etBb1HNpAlGwQr006ljwMiM"",
      ""GSC最新!A:F""
    ),
    3,
    FALSE
  ),
  0
)
"),0.0)</f>
        <v>0</v>
      </c>
      <c r="H67" s="49">
        <f>IFERROR(__xludf.DUMMYFUNCTION("IFERROR(
  VLOOKUP(
    A67,
    IMPORTRANGE(
      ""1ZHMy3vVUd_0MrSduXTe1etBb1HNpAlGwQr006ljwMiM"",
      ""GSC最新!A:F""
    ),
    4,
    FALSE
  ),
  0
)
"),0.0)</f>
        <v>0</v>
      </c>
      <c r="I67" s="49">
        <f>IFERROR(__xludf.DUMMYFUNCTION("IFERROR(
  VLOOKUP(
    A67,
    IMPORTRANGE(
      ""1ZHMy3vVUd_0MrSduXTe1etBb1HNpAlGwQr006ljwMiM"",
      ""GSC最新!A:F""
    ),
    5,
    FALSE
  ),
  0
)
"),0.0)</f>
        <v>0</v>
      </c>
      <c r="J67" s="50" t="str">
        <f t="shared" ref="J67:K67" si="326">IFERROR(F67/H67,"-")</f>
        <v>-</v>
      </c>
      <c r="K67" s="50" t="str">
        <f t="shared" si="326"/>
        <v>-</v>
      </c>
      <c r="L67" s="6">
        <f>IFERROR(__xludf.DUMMYFUNCTION("IFERROR(
  VLOOKUP(
    A67,
    IMPORTRANGE(
      ""1ZHMy3vVUd_0MrSduXTe1etBb1HNpAlGwQr006ljwMiM"",
      ""GSC最新!A:R""
    ),
    7,
    FALSE
  ),
  0
)
"),0.0)</f>
        <v>0</v>
      </c>
      <c r="M67" s="6">
        <f>IFERROR(__xludf.DUMMYFUNCTION("IFERROR(
  VLOOKUP(
    A67,
    IMPORTRANGE(
      ""1ZHMy3vVUd_0MrSduXTe1etBb1HNpAlGwQr006ljwMiM"",
      ""GSC最新!A:R""
    ),
    10,
    FALSE
  ),
  0
)
"),0.0)</f>
        <v>0</v>
      </c>
      <c r="N67" s="6">
        <f>IFERROR(__xludf.DUMMYFUNCTION("IFERROR(
  VLOOKUP(
    A67,
    IMPORTRANGE(
      ""1ZHMy3vVUd_0MrSduXTe1etBb1HNpAlGwQr006ljwMiM"",
      ""GSC最新!A:R""
    ),
    13,
    FALSE
  ),
  0
)
"),0.0)</f>
        <v>0</v>
      </c>
      <c r="O67" s="6">
        <f>IFERROR(__xludf.DUMMYFUNCTION("IFERROR(
  VLOOKUP(
    A67,
    IMPORTRANGE(
      ""1ZHMy3vVUd_0MrSduXTe1etBb1HNpAlGwQr006ljwMiM"",
      ""GSC最新!A:R""
    ),
    16,
    FALSE
  ),
  0
)
"),0.0)</f>
        <v>0</v>
      </c>
      <c r="P67" s="51" t="str">
        <f t="shared" ref="P67:Q67" si="327">IFERROR(L67/N67,"-")</f>
        <v>-</v>
      </c>
      <c r="Q67" s="51" t="str">
        <f t="shared" si="327"/>
        <v>-</v>
      </c>
      <c r="R67" s="9">
        <f>IFERROR(__xludf.DUMMYFUNCTION("IFERROR(
  VLOOKUP(
    A67,
    IMPORTRANGE(
      ""1ZHMy3vVUd_0MrSduXTe1etBb1HNpAlGwQr006ljwMiM"",
      ""GSC最新!A:R""
    ),
    8,
    FALSE
  ),
  0
)
"),0.0)</f>
        <v>0</v>
      </c>
      <c r="S67" s="9">
        <f>IFERROR(__xludf.DUMMYFUNCTION("IFERROR(
  VLOOKUP(
    A67,
    IMPORTRANGE(
      ""1ZHMy3vVUd_0MrSduXTe1etBb1HNpAlGwQr006ljwMiM"",
      ""GSC最新!A:R""
    ),
    11,
    FALSE
  ),
  0
)
"),0.0)</f>
        <v>0</v>
      </c>
      <c r="T67" s="9">
        <f>IFERROR(__xludf.DUMMYFUNCTION("IFERROR(
  VLOOKUP(
    A67,
    IMPORTRANGE(
      ""1ZHMy3vVUd_0MrSduXTe1etBb1HNpAlGwQr006ljwMiM"",
      ""GSC最新!A:R""
    ),
    14,
    FALSE
  ),
  0
)
"),0.0)</f>
        <v>0</v>
      </c>
      <c r="U67" s="9">
        <f>IFERROR(__xludf.DUMMYFUNCTION("IFERROR(
  VLOOKUP(
    A67,
    IMPORTRANGE(
      ""1ZHMy3vVUd_0MrSduXTe1etBb1HNpAlGwQr006ljwMiM"",
      ""GSC最新!A:R""
    ),
    17,
    FALSE
  ),
  0
)
"),0.0)</f>
        <v>0</v>
      </c>
      <c r="V67" s="9">
        <f t="shared" ref="V67:W67" si="328">IFERROR(R67-T67,"-")</f>
        <v>0</v>
      </c>
      <c r="W67" s="9">
        <f t="shared" si="328"/>
        <v>0</v>
      </c>
      <c r="X67" s="65" t="str">
        <f>IFERROR(__xludf.DUMMYFUNCTION("IFERROR(
  VLOOKUP(
    A67,
    IMPORTRANGE(
      ""1ZHMy3vVUd_0MrSduXTe1etBb1HNpAlGwQr006ljwMiM"",
      ""GSC最新!A:R""
    ),
    9,
    FALSE
  ),
  0
)
"),"")</f>
        <v/>
      </c>
      <c r="Y67" s="65" t="str">
        <f>IFERROR(__xludf.DUMMYFUNCTION("IFERROR(
  VLOOKUP(
    A67,
    IMPORTRANGE(
      ""1ZHMy3vVUd_0MrSduXTe1etBb1HNpAlGwQr006ljwMiM"",
      ""GSC最新!A:R""
    ),
    12,
    FALSE
  ),
  0
)
"),"")</f>
        <v/>
      </c>
      <c r="Z67" s="65" t="str">
        <f>IFERROR(__xludf.DUMMYFUNCTION("IFERROR(
  VLOOKUP(
    A67,
    IMPORTRANGE(
      ""1ZHMy3vVUd_0MrSduXTe1etBb1HNpAlGwQr006ljwMiM"",
      ""GSC最新!A:R""
    ),
    15,
    FALSE
  ),
  0
)
"),"")</f>
        <v/>
      </c>
      <c r="AA67" s="65" t="str">
        <f>IFERROR(__xludf.DUMMYFUNCTION("IFERROR(
  VLOOKUP(
    A67,
    IMPORTRANGE(
      ""1ZHMy3vVUd_0MrSduXTe1etBb1HNpAlGwQr006ljwMiM"",
      ""GSC最新!A:R""
    ),
    18,
    FALSE
  ),
  0
)
"),"")</f>
        <v/>
      </c>
      <c r="AB67" s="65">
        <f t="shared" ref="AB67:AC67" si="329">X67-Z67</f>
        <v>0</v>
      </c>
      <c r="AC67" s="65">
        <f t="shared" si="329"/>
        <v>0</v>
      </c>
      <c r="AD67" s="53">
        <f>IFERROR(__xludf.DUMMYFUNCTION("IFERROR(
  VLOOKUP(
    A67,
    IMPORTRANGE(
      ""1ZHMy3vVUd_0MrSduXTe1etBb1HNpAlGwQr006ljwMiM"",
      ""GSC最新!A:F""
    ),
    6,
    FALSE
  ),
  0
)
"),46081.0)</f>
        <v>46081</v>
      </c>
      <c r="AE67" s="54">
        <f>IFERROR(__xludf.DUMMYFUNCTION("IFERROR(
  VLOOKUP(
    A67,
    IMPORTRANGE(
      ""1SCYQd7_cobOYqT0r_F0IqD4tE4rYn5y8Eup4PJTH8es"",
      ""Snapshot!A:M""
    ),
    5,
    FALSE
  ),
  ""-""
)
"),7.0)</f>
        <v>7</v>
      </c>
      <c r="AF67" s="54">
        <f>IFERROR(__xludf.DUMMYFUNCTION("IFERROR(
  VLOOKUP(
    A67,
    IMPORTRANGE(
      ""1SCYQd7_cobOYqT0r_F0IqD4tE4rYn5y8Eup4PJTH8es"",
      ""Snapshot!A:M""
    ),
    6,
    FALSE
  ),
  0
)
"),11.0)</f>
        <v>11</v>
      </c>
      <c r="AG67" s="54">
        <f>IFERROR(__xludf.DUMMYFUNCTION("IFERROR(
  VLOOKUP(
    A67,
    IMPORTRANGE(
      ""1SCYQd7_cobOYqT0r_F0IqD4tE4rYn5y8Eup4PJTH8es"",
      ""Snapshot!A:M""
    ),
    7,
    FALSE
  ),
  0
)
"),4143.0)</f>
        <v>4143</v>
      </c>
      <c r="AH67" s="54">
        <f>IFERROR(__xludf.DUMMYFUNCTION("IFERROR(
  VLOOKUP(
    A67,
    IMPORTRANGE(
      ""1SCYQd7_cobOYqT0r_F0IqD4tE4rYn5y8Eup4PJTH8es"",
      ""Snapshot!A:M""
    ),
    8,
    FALSE
  ),
  0
)
"),8.0)</f>
        <v>8</v>
      </c>
      <c r="AI67" s="54">
        <f>IFERROR(__xludf.DUMMYFUNCTION("IFERROR(
  VLOOKUP(
    A67,
    IMPORTRANGE(
      ""1SCYQd7_cobOYqT0r_F0IqD4tE4rYn5y8Eup4PJTH8es"",
      ""Snapshot!A:M""
    ),
    9,
    FALSE
  ),
  0
)
"),1.0)</f>
        <v>1</v>
      </c>
      <c r="AJ67" s="54">
        <f>IFERROR(__xludf.DUMMYFUNCTION("IFERROR(
  VLOOKUP(
    A67,
    IMPORTRANGE(
      ""1SCYQd7_cobOYqT0r_F0IqD4tE4rYn5y8Eup4PJTH8es"",
      ""Snapshot!A:M""
    ),
    13,
    FALSE
  ),
  0
)
"),2.0)</f>
        <v>2</v>
      </c>
      <c r="AK67" s="49">
        <f t="shared" ref="AK67:AL67" si="330">LEN(C67)</f>
        <v>71</v>
      </c>
      <c r="AL67" s="49">
        <f t="shared" si="330"/>
        <v>54</v>
      </c>
    </row>
    <row r="68">
      <c r="A68" s="56" t="s">
        <v>1288</v>
      </c>
      <c r="B68" s="1" t="str">
        <f>IFERROR(__xludf.DUMMYFUNCTION("IFERROR(
  VLOOKUP(
    A68,
    IMPORTRANGE(
      ""1ZygntHC1J6IxzKbTidmOyf5nUyW4GCLurHCjexrLm_o"",
      ""HTMLキャッシュ!A:F""
    ),
    2,
    FALSE
  ),
  0
)
"),"MC")</f>
        <v>MC</v>
      </c>
      <c r="C68" s="1" t="str">
        <f>IFERROR(__xludf.DUMMYFUNCTION("IFERROR(
  VLOOKUP(
    A68,
    IMPORTRANGE(
      ""1ZygntHC1J6IxzKbTidmOyf5nUyW4GCLurHCjexrLm_o"",
      ""HTMLキャッシュ!A:F""
    ),
    5,
    FALSE
  ),
  0
)
"),"気体が苦手→発生/集め方/性質を「実験問題の視点」で整理 - 中学受験 理科の個別指導 | 受験理科専門塾「しゅん吉クエスト」")</f>
        <v>気体が苦手→発生/集め方/性質を「実験問題の視点」で整理 - 中学受験 理科の個別指導 | 受験理科専門塾「しゅん吉クエスト」</v>
      </c>
      <c r="D68" s="1" t="str">
        <f>IFERROR(__xludf.DUMMYFUNCTION("IFERROR(
  VLOOKUP(
    A68,
    IMPORTRANGE(
      ""1ZygntHC1J6IxzKbTidmOyf5nUyW4GCLurHCjexrLm_o        "",
      ""HTMLキャッシュ!A:F""
    ),
    6,
    FALSE
  ),
  0
)
"),"中学受験理科／化学 テーマ：気体を「暗記」ではなく「実験問題の視点」で整理してミスを防ぐ 悩み起点 実験問題の")</f>
        <v>中学受験理科／化学 テーマ：気体を「暗記」ではなく「実験問題の視点」で整理してミスを防ぐ 悩み起点 実験問題の</v>
      </c>
      <c r="E68" s="32">
        <f>IFERROR(__xludf.DUMMYFUNCTION("IFERROR(
  VLOOKUP(
    A68,
    IMPORTRANGE(
      ""1ZygntHC1J6IxzKbTidmOyf5nUyW4GCLurHCjexrLm_o        "",
      ""HTMLキャッシュ!A:F""
    ),
    3,
    FALSE
  ),
  0
)
"),46085.0290625)</f>
        <v>46085.02906</v>
      </c>
      <c r="F68" s="49">
        <f>IFERROR(__xludf.DUMMYFUNCTION("IFERROR(
  VLOOKUP(
    A68,
    IMPORTRANGE(
      ""1ZHMy3vVUd_0MrSduXTe1etBb1HNpAlGwQr006ljwMiM"",
      ""GSC最新!A:F""
    ),
    2,
    FALSE
  ),
  0
)
"),0.0)</f>
        <v>0</v>
      </c>
      <c r="G68" s="49">
        <f>IFERROR(__xludf.DUMMYFUNCTION("IFERROR(
  VLOOKUP(
    A68,
    IMPORTRANGE(
      ""1ZHMy3vVUd_0MrSduXTe1etBb1HNpAlGwQr006ljwMiM"",
      ""GSC最新!A:F""
    ),
    3,
    FALSE
  ),
  0
)
"),0.0)</f>
        <v>0</v>
      </c>
      <c r="H68" s="49">
        <f>IFERROR(__xludf.DUMMYFUNCTION("IFERROR(
  VLOOKUP(
    A68,
    IMPORTRANGE(
      ""1ZHMy3vVUd_0MrSduXTe1etBb1HNpAlGwQr006ljwMiM"",
      ""GSC最新!A:F""
    ),
    4,
    FALSE
  ),
  0
)
"),0.0)</f>
        <v>0</v>
      </c>
      <c r="I68" s="49">
        <f>IFERROR(__xludf.DUMMYFUNCTION("IFERROR(
  VLOOKUP(
    A68,
    IMPORTRANGE(
      ""1ZHMy3vVUd_0MrSduXTe1etBb1HNpAlGwQr006ljwMiM"",
      ""GSC最新!A:F""
    ),
    5,
    FALSE
  ),
  0
)
"),0.0)</f>
        <v>0</v>
      </c>
      <c r="J68" s="50" t="str">
        <f t="shared" ref="J68:K68" si="331">IFERROR(F68/H68,"-")</f>
        <v>-</v>
      </c>
      <c r="K68" s="50" t="str">
        <f t="shared" si="331"/>
        <v>-</v>
      </c>
      <c r="L68" s="6">
        <f>IFERROR(__xludf.DUMMYFUNCTION("IFERROR(
  VLOOKUP(
    A68,
    IMPORTRANGE(
      ""1ZHMy3vVUd_0MrSduXTe1etBb1HNpAlGwQr006ljwMiM"",
      ""GSC最新!A:R""
    ),
    7,
    FALSE
  ),
  0
)
"),0.0)</f>
        <v>0</v>
      </c>
      <c r="M68" s="6">
        <f>IFERROR(__xludf.DUMMYFUNCTION("IFERROR(
  VLOOKUP(
    A68,
    IMPORTRANGE(
      ""1ZHMy3vVUd_0MrSduXTe1etBb1HNpAlGwQr006ljwMiM"",
      ""GSC最新!A:R""
    ),
    10,
    FALSE
  ),
  0
)
"),0.0)</f>
        <v>0</v>
      </c>
      <c r="N68" s="6">
        <f>IFERROR(__xludf.DUMMYFUNCTION("IFERROR(
  VLOOKUP(
    A68,
    IMPORTRANGE(
      ""1ZHMy3vVUd_0MrSduXTe1etBb1HNpAlGwQr006ljwMiM"",
      ""GSC最新!A:R""
    ),
    13,
    FALSE
  ),
  0
)
"),0.0)</f>
        <v>0</v>
      </c>
      <c r="O68" s="6">
        <f>IFERROR(__xludf.DUMMYFUNCTION("IFERROR(
  VLOOKUP(
    A68,
    IMPORTRANGE(
      ""1ZHMy3vVUd_0MrSduXTe1etBb1HNpAlGwQr006ljwMiM"",
      ""GSC最新!A:R""
    ),
    16,
    FALSE
  ),
  0
)
"),0.0)</f>
        <v>0</v>
      </c>
      <c r="P68" s="51" t="str">
        <f t="shared" ref="P68:Q68" si="332">IFERROR(L68/N68,"-")</f>
        <v>-</v>
      </c>
      <c r="Q68" s="51" t="str">
        <f t="shared" si="332"/>
        <v>-</v>
      </c>
      <c r="R68" s="9">
        <f>IFERROR(__xludf.DUMMYFUNCTION("IFERROR(
  VLOOKUP(
    A68,
    IMPORTRANGE(
      ""1ZHMy3vVUd_0MrSduXTe1etBb1HNpAlGwQr006ljwMiM"",
      ""GSC最新!A:R""
    ),
    8,
    FALSE
  ),
  0
)
"),0.0)</f>
        <v>0</v>
      </c>
      <c r="S68" s="9">
        <f>IFERROR(__xludf.DUMMYFUNCTION("IFERROR(
  VLOOKUP(
    A68,
    IMPORTRANGE(
      ""1ZHMy3vVUd_0MrSduXTe1etBb1HNpAlGwQr006ljwMiM"",
      ""GSC最新!A:R""
    ),
    11,
    FALSE
  ),
  0
)
"),0.0)</f>
        <v>0</v>
      </c>
      <c r="T68" s="9">
        <f>IFERROR(__xludf.DUMMYFUNCTION("IFERROR(
  VLOOKUP(
    A68,
    IMPORTRANGE(
      ""1ZHMy3vVUd_0MrSduXTe1etBb1HNpAlGwQr006ljwMiM"",
      ""GSC最新!A:R""
    ),
    14,
    FALSE
  ),
  0
)
"),0.0)</f>
        <v>0</v>
      </c>
      <c r="U68" s="9">
        <f>IFERROR(__xludf.DUMMYFUNCTION("IFERROR(
  VLOOKUP(
    A68,
    IMPORTRANGE(
      ""1ZHMy3vVUd_0MrSduXTe1etBb1HNpAlGwQr006ljwMiM"",
      ""GSC最新!A:R""
    ),
    17,
    FALSE
  ),
  0
)
"),0.0)</f>
        <v>0</v>
      </c>
      <c r="V68" s="9">
        <f t="shared" ref="V68:W68" si="333">IFERROR(R68-T68,"-")</f>
        <v>0</v>
      </c>
      <c r="W68" s="9">
        <f t="shared" si="333"/>
        <v>0</v>
      </c>
      <c r="X68" s="65" t="str">
        <f>IFERROR(__xludf.DUMMYFUNCTION("IFERROR(
  VLOOKUP(
    A68,
    IMPORTRANGE(
      ""1ZHMy3vVUd_0MrSduXTe1etBb1HNpAlGwQr006ljwMiM"",
      ""GSC最新!A:R""
    ),
    9,
    FALSE
  ),
  0
)
"),"")</f>
        <v/>
      </c>
      <c r="Y68" s="65" t="str">
        <f>IFERROR(__xludf.DUMMYFUNCTION("IFERROR(
  VLOOKUP(
    A68,
    IMPORTRANGE(
      ""1ZHMy3vVUd_0MrSduXTe1etBb1HNpAlGwQr006ljwMiM"",
      ""GSC最新!A:R""
    ),
    12,
    FALSE
  ),
  0
)
"),"")</f>
        <v/>
      </c>
      <c r="Z68" s="65" t="str">
        <f>IFERROR(__xludf.DUMMYFUNCTION("IFERROR(
  VLOOKUP(
    A68,
    IMPORTRANGE(
      ""1ZHMy3vVUd_0MrSduXTe1etBb1HNpAlGwQr006ljwMiM"",
      ""GSC最新!A:R""
    ),
    15,
    FALSE
  ),
  0
)
"),"")</f>
        <v/>
      </c>
      <c r="AA68" s="65" t="str">
        <f>IFERROR(__xludf.DUMMYFUNCTION("IFERROR(
  VLOOKUP(
    A68,
    IMPORTRANGE(
      ""1ZHMy3vVUd_0MrSduXTe1etBb1HNpAlGwQr006ljwMiM"",
      ""GSC最新!A:R""
    ),
    18,
    FALSE
  ),
  0
)
"),"")</f>
        <v/>
      </c>
      <c r="AB68" s="65">
        <f t="shared" ref="AB68:AC68" si="334">X68-Z68</f>
        <v>0</v>
      </c>
      <c r="AC68" s="65">
        <f t="shared" si="334"/>
        <v>0</v>
      </c>
      <c r="AD68" s="53">
        <f>IFERROR(__xludf.DUMMYFUNCTION("IFERROR(
  VLOOKUP(
    A68,
    IMPORTRANGE(
      ""1ZHMy3vVUd_0MrSduXTe1etBb1HNpAlGwQr006ljwMiM"",
      ""GSC最新!A:F""
    ),
    6,
    FALSE
  ),
  0
)
"),46081.0)</f>
        <v>46081</v>
      </c>
      <c r="AE68" s="54">
        <f>IFERROR(__xludf.DUMMYFUNCTION("IFERROR(
  VLOOKUP(
    A68,
    IMPORTRANGE(
      ""1SCYQd7_cobOYqT0r_F0IqD4tE4rYn5y8Eup4PJTH8es"",
      ""Snapshot!A:M""
    ),
    5,
    FALSE
  ),
  ""-""
)
"),7.0)</f>
        <v>7</v>
      </c>
      <c r="AF68" s="54">
        <f>IFERROR(__xludf.DUMMYFUNCTION("IFERROR(
  VLOOKUP(
    A68,
    IMPORTRANGE(
      ""1SCYQd7_cobOYqT0r_F0IqD4tE4rYn5y8Eup4PJTH8es"",
      ""Snapshot!A:M""
    ),
    6,
    FALSE
  ),
  0
)
"),11.0)</f>
        <v>11</v>
      </c>
      <c r="AG68" s="54">
        <f>IFERROR(__xludf.DUMMYFUNCTION("IFERROR(
  VLOOKUP(
    A68,
    IMPORTRANGE(
      ""1SCYQd7_cobOYqT0r_F0IqD4tE4rYn5y8Eup4PJTH8es"",
      ""Snapshot!A:M""
    ),
    7,
    FALSE
  ),
  0
)
"),4117.0)</f>
        <v>4117</v>
      </c>
      <c r="AH68" s="54">
        <f>IFERROR(__xludf.DUMMYFUNCTION("IFERROR(
  VLOOKUP(
    A68,
    IMPORTRANGE(
      ""1SCYQd7_cobOYqT0r_F0IqD4tE4rYn5y8Eup4PJTH8es"",
      ""Snapshot!A:M""
    ),
    8,
    FALSE
  ),
  0
)
"),9.0)</f>
        <v>9</v>
      </c>
      <c r="AI68" s="54">
        <f>IFERROR(__xludf.DUMMYFUNCTION("IFERROR(
  VLOOKUP(
    A68,
    IMPORTRANGE(
      ""1SCYQd7_cobOYqT0r_F0IqD4tE4rYn5y8Eup4PJTH8es"",
      ""Snapshot!A:M""
    ),
    9,
    FALSE
  ),
  0
)
"),1.0)</f>
        <v>1</v>
      </c>
      <c r="AJ68" s="54">
        <f>IFERROR(__xludf.DUMMYFUNCTION("IFERROR(
  VLOOKUP(
    A68,
    IMPORTRANGE(
      ""1SCYQd7_cobOYqT0r_F0IqD4tE4rYn5y8Eup4PJTH8es"",
      ""Snapshot!A:M""
    ),
    13,
    FALSE
  ),
  0
)
"),2.0)</f>
        <v>2</v>
      </c>
      <c r="AK68" s="49">
        <f t="shared" ref="AK68:AL68" si="335">LEN(C68)</f>
        <v>63</v>
      </c>
      <c r="AL68" s="49">
        <f t="shared" si="335"/>
        <v>55</v>
      </c>
    </row>
    <row r="69">
      <c r="A69" s="56" t="s">
        <v>1289</v>
      </c>
      <c r="B69" s="1" t="str">
        <f>IFERROR(__xludf.DUMMYFUNCTION("IFERROR(
  VLOOKUP(
    A69,
    IMPORTRANGE(
      ""1ZygntHC1J6IxzKbTidmOyf5nUyW4GCLurHCjexrLm_o"",
      ""HTMLキャッシュ!A:F""
    ),
    2,
    FALSE
  ),
  0
)
"),"MC")</f>
        <v>MC</v>
      </c>
      <c r="C69" s="1" t="str">
        <f>IFERROR(__xludf.DUMMYFUNCTION("IFERROR(
  VLOOKUP(
    A69,
    IMPORTRANGE(
      ""1ZygntHC1J6IxzKbTidmOyf5nUyW4GCLurHCjexrLm_o"",
      ""HTMLキャッシュ!A:F""
    ),
    5,
    FALSE
  ),
  0
)
"),"図・表・グラフの読み取りで落とす→見る順番（軸/単位/比較）と典型ミス修正 - 中学受験 理科の個別指導 | 受験理科専門塾「しゅん吉クエスト」")</f>
        <v>図・表・グラフの読み取りで落とす→見る順番（軸/単位/比較）と典型ミス修正 - 中学受験 理科の個別指導 | 受験理科専門塾「しゅん吉クエスト」</v>
      </c>
      <c r="D69" s="1" t="str">
        <f>IFERROR(__xludf.DUMMYFUNCTION("IFERROR(
  VLOOKUP(
    A69,
    IMPORTRANGE(
      ""1ZygntHC1J6IxzKbTidmOyf5nUyW4GCLurHCjexrLm_o        "",
      ""HTMLキャッシュ!A:F""
    ),
    6,
    FALSE
  ),
  0
)
"),"中学受験理科／図表の読み取り テーマ：軸・単位・比較の順番 悩み起点 読む順番を確立 典型的な見落としを修正")</f>
        <v>中学受験理科／図表の読み取り テーマ：軸・単位・比較の順番 悩み起点 読む順番を確立 典型的な見落としを修正</v>
      </c>
      <c r="E69" s="32">
        <f>IFERROR(__xludf.DUMMYFUNCTION("IFERROR(
  VLOOKUP(
    A69,
    IMPORTRANGE(
      ""1ZygntHC1J6IxzKbTidmOyf5nUyW4GCLurHCjexrLm_o        "",
      ""HTMLキャッシュ!A:F""
    ),
    3,
    FALSE
  ),
  0
)
"),46085.03219907408)</f>
        <v>46085.0322</v>
      </c>
      <c r="F69" s="49">
        <f>IFERROR(__xludf.DUMMYFUNCTION("IFERROR(
  VLOOKUP(
    A69,
    IMPORTRANGE(
      ""1ZHMy3vVUd_0MrSduXTe1etBb1HNpAlGwQr006ljwMiM"",
      ""GSC最新!A:F""
    ),
    2,
    FALSE
  ),
  0
)
"),0.0)</f>
        <v>0</v>
      </c>
      <c r="G69" s="49">
        <f>IFERROR(__xludf.DUMMYFUNCTION("IFERROR(
  VLOOKUP(
    A69,
    IMPORTRANGE(
      ""1ZHMy3vVUd_0MrSduXTe1etBb1HNpAlGwQr006ljwMiM"",
      ""GSC最新!A:F""
    ),
    3,
    FALSE
  ),
  0
)
"),0.0)</f>
        <v>0</v>
      </c>
      <c r="H69" s="49">
        <f>IFERROR(__xludf.DUMMYFUNCTION("IFERROR(
  VLOOKUP(
    A69,
    IMPORTRANGE(
      ""1ZHMy3vVUd_0MrSduXTe1etBb1HNpAlGwQr006ljwMiM"",
      ""GSC最新!A:F""
    ),
    4,
    FALSE
  ),
  0
)
"),0.0)</f>
        <v>0</v>
      </c>
      <c r="I69" s="49">
        <f>IFERROR(__xludf.DUMMYFUNCTION("IFERROR(
  VLOOKUP(
    A69,
    IMPORTRANGE(
      ""1ZHMy3vVUd_0MrSduXTe1etBb1HNpAlGwQr006ljwMiM"",
      ""GSC最新!A:F""
    ),
    5,
    FALSE
  ),
  0
)
"),0.0)</f>
        <v>0</v>
      </c>
      <c r="J69" s="50" t="str">
        <f t="shared" ref="J69:K69" si="336">IFERROR(F69/H69,"-")</f>
        <v>-</v>
      </c>
      <c r="K69" s="50" t="str">
        <f t="shared" si="336"/>
        <v>-</v>
      </c>
      <c r="L69" s="6">
        <f>IFERROR(__xludf.DUMMYFUNCTION("IFERROR(
  VLOOKUP(
    A69,
    IMPORTRANGE(
      ""1ZHMy3vVUd_0MrSduXTe1etBb1HNpAlGwQr006ljwMiM"",
      ""GSC最新!A:R""
    ),
    7,
    FALSE
  ),
  0
)
"),0.0)</f>
        <v>0</v>
      </c>
      <c r="M69" s="6">
        <f>IFERROR(__xludf.DUMMYFUNCTION("IFERROR(
  VLOOKUP(
    A69,
    IMPORTRANGE(
      ""1ZHMy3vVUd_0MrSduXTe1etBb1HNpAlGwQr006ljwMiM"",
      ""GSC最新!A:R""
    ),
    10,
    FALSE
  ),
  0
)
"),0.0)</f>
        <v>0</v>
      </c>
      <c r="N69" s="6">
        <f>IFERROR(__xludf.DUMMYFUNCTION("IFERROR(
  VLOOKUP(
    A69,
    IMPORTRANGE(
      ""1ZHMy3vVUd_0MrSduXTe1etBb1HNpAlGwQr006ljwMiM"",
      ""GSC最新!A:R""
    ),
    13,
    FALSE
  ),
  0
)
"),0.0)</f>
        <v>0</v>
      </c>
      <c r="O69" s="6">
        <f>IFERROR(__xludf.DUMMYFUNCTION("IFERROR(
  VLOOKUP(
    A69,
    IMPORTRANGE(
      ""1ZHMy3vVUd_0MrSduXTe1etBb1HNpAlGwQr006ljwMiM"",
      ""GSC最新!A:R""
    ),
    16,
    FALSE
  ),
  0
)
"),0.0)</f>
        <v>0</v>
      </c>
      <c r="P69" s="51" t="str">
        <f t="shared" ref="P69:Q69" si="337">IFERROR(L69/N69,"-")</f>
        <v>-</v>
      </c>
      <c r="Q69" s="51" t="str">
        <f t="shared" si="337"/>
        <v>-</v>
      </c>
      <c r="R69" s="9">
        <f>IFERROR(__xludf.DUMMYFUNCTION("IFERROR(
  VLOOKUP(
    A69,
    IMPORTRANGE(
      ""1ZHMy3vVUd_0MrSduXTe1etBb1HNpAlGwQr006ljwMiM"",
      ""GSC最新!A:R""
    ),
    8,
    FALSE
  ),
  0
)
"),0.0)</f>
        <v>0</v>
      </c>
      <c r="S69" s="9">
        <f>IFERROR(__xludf.DUMMYFUNCTION("IFERROR(
  VLOOKUP(
    A69,
    IMPORTRANGE(
      ""1ZHMy3vVUd_0MrSduXTe1etBb1HNpAlGwQr006ljwMiM"",
      ""GSC最新!A:R""
    ),
    11,
    FALSE
  ),
  0
)
"),0.0)</f>
        <v>0</v>
      </c>
      <c r="T69" s="9">
        <f>IFERROR(__xludf.DUMMYFUNCTION("IFERROR(
  VLOOKUP(
    A69,
    IMPORTRANGE(
      ""1ZHMy3vVUd_0MrSduXTe1etBb1HNpAlGwQr006ljwMiM"",
      ""GSC最新!A:R""
    ),
    14,
    FALSE
  ),
  0
)
"),0.0)</f>
        <v>0</v>
      </c>
      <c r="U69" s="9">
        <f>IFERROR(__xludf.DUMMYFUNCTION("IFERROR(
  VLOOKUP(
    A69,
    IMPORTRANGE(
      ""1ZHMy3vVUd_0MrSduXTe1etBb1HNpAlGwQr006ljwMiM"",
      ""GSC最新!A:R""
    ),
    17,
    FALSE
  ),
  0
)
"),0.0)</f>
        <v>0</v>
      </c>
      <c r="V69" s="9">
        <f t="shared" ref="V69:W69" si="338">IFERROR(R69-T69,"-")</f>
        <v>0</v>
      </c>
      <c r="W69" s="9">
        <f t="shared" si="338"/>
        <v>0</v>
      </c>
      <c r="X69" s="65" t="str">
        <f>IFERROR(__xludf.DUMMYFUNCTION("IFERROR(
  VLOOKUP(
    A69,
    IMPORTRANGE(
      ""1ZHMy3vVUd_0MrSduXTe1etBb1HNpAlGwQr006ljwMiM"",
      ""GSC最新!A:R""
    ),
    9,
    FALSE
  ),
  0
)
"),"")</f>
        <v/>
      </c>
      <c r="Y69" s="65" t="str">
        <f>IFERROR(__xludf.DUMMYFUNCTION("IFERROR(
  VLOOKUP(
    A69,
    IMPORTRANGE(
      ""1ZHMy3vVUd_0MrSduXTe1etBb1HNpAlGwQr006ljwMiM"",
      ""GSC最新!A:R""
    ),
    12,
    FALSE
  ),
  0
)
"),"")</f>
        <v/>
      </c>
      <c r="Z69" s="65" t="str">
        <f>IFERROR(__xludf.DUMMYFUNCTION("IFERROR(
  VLOOKUP(
    A69,
    IMPORTRANGE(
      ""1ZHMy3vVUd_0MrSduXTe1etBb1HNpAlGwQr006ljwMiM"",
      ""GSC最新!A:R""
    ),
    15,
    FALSE
  ),
  0
)
"),"")</f>
        <v/>
      </c>
      <c r="AA69" s="65" t="str">
        <f>IFERROR(__xludf.DUMMYFUNCTION("IFERROR(
  VLOOKUP(
    A69,
    IMPORTRANGE(
      ""1ZHMy3vVUd_0MrSduXTe1etBb1HNpAlGwQr006ljwMiM"",
      ""GSC最新!A:R""
    ),
    18,
    FALSE
  ),
  0
)
"),"")</f>
        <v/>
      </c>
      <c r="AB69" s="65">
        <f t="shared" ref="AB69:AC69" si="339">X69-Z69</f>
        <v>0</v>
      </c>
      <c r="AC69" s="65">
        <f t="shared" si="339"/>
        <v>0</v>
      </c>
      <c r="AD69" s="53">
        <f>IFERROR(__xludf.DUMMYFUNCTION("IFERROR(
  VLOOKUP(
    A69,
    IMPORTRANGE(
      ""1ZHMy3vVUd_0MrSduXTe1etBb1HNpAlGwQr006ljwMiM"",
      ""GSC最新!A:F""
    ),
    6,
    FALSE
  ),
  0
)
"),46081.0)</f>
        <v>46081</v>
      </c>
      <c r="AE69" s="54">
        <f>IFERROR(__xludf.DUMMYFUNCTION("IFERROR(
  VLOOKUP(
    A69,
    IMPORTRANGE(
      ""1SCYQd7_cobOYqT0r_F0IqD4tE4rYn5y8Eup4PJTH8es"",
      ""Snapshot!A:M""
    ),
    5,
    FALSE
  ),
  ""-""
)
"),8.0)</f>
        <v>8</v>
      </c>
      <c r="AF69" s="54">
        <f>IFERROR(__xludf.DUMMYFUNCTION("IFERROR(
  VLOOKUP(
    A69,
    IMPORTRANGE(
      ""1SCYQd7_cobOYqT0r_F0IqD4tE4rYn5y8Eup4PJTH8es"",
      ""Snapshot!A:M""
    ),
    6,
    FALSE
  ),
  0
)
"),9.0)</f>
        <v>9</v>
      </c>
      <c r="AG69" s="54">
        <f>IFERROR(__xludf.DUMMYFUNCTION("IFERROR(
  VLOOKUP(
    A69,
    IMPORTRANGE(
      ""1SCYQd7_cobOYqT0r_F0IqD4tE4rYn5y8Eup4PJTH8es"",
      ""Snapshot!A:M""
    ),
    7,
    FALSE
  ),
  0
)
"),3544.0)</f>
        <v>3544</v>
      </c>
      <c r="AH69" s="54">
        <f>IFERROR(__xludf.DUMMYFUNCTION("IFERROR(
  VLOOKUP(
    A69,
    IMPORTRANGE(
      ""1SCYQd7_cobOYqT0r_F0IqD4tE4rYn5y8Eup4PJTH8es"",
      ""Snapshot!A:M""
    ),
    8,
    FALSE
  ),
  0
)
"),11.0)</f>
        <v>11</v>
      </c>
      <c r="AI69" s="54">
        <f>IFERROR(__xludf.DUMMYFUNCTION("IFERROR(
  VLOOKUP(
    A69,
    IMPORTRANGE(
      ""1SCYQd7_cobOYqT0r_F0IqD4tE4rYn5y8Eup4PJTH8es"",
      ""Snapshot!A:M""
    ),
    9,
    FALSE
  ),
  0
)
"),1.0)</f>
        <v>1</v>
      </c>
      <c r="AJ69" s="54">
        <f>IFERROR(__xludf.DUMMYFUNCTION("IFERROR(
  VLOOKUP(
    A69,
    IMPORTRANGE(
      ""1SCYQd7_cobOYqT0r_F0IqD4tE4rYn5y8Eup4PJTH8es"",
      ""Snapshot!A:M""
    ),
    13,
    FALSE
  ),
  0
)
"),2.0)</f>
        <v>2</v>
      </c>
      <c r="AK69" s="49">
        <f t="shared" ref="AK69:AL69" si="340">LEN(C69)</f>
        <v>72</v>
      </c>
      <c r="AL69" s="49">
        <f t="shared" si="340"/>
        <v>54</v>
      </c>
    </row>
    <row r="70">
      <c r="A70" s="56" t="s">
        <v>1290</v>
      </c>
      <c r="B70" s="1" t="str">
        <f>IFERROR(__xludf.DUMMYFUNCTION("IFERROR(
  VLOOKUP(
    A70,
    IMPORTRANGE(
      ""1ZygntHC1J6IxzKbTidmOyf5nUyW4GCLurHCjexrLm_o"",
      ""HTMLキャッシュ!A:F""
    ),
    2,
    FALSE
  ),
  0
)
"),"MC")</f>
        <v>MC</v>
      </c>
      <c r="C70" s="1" t="str">
        <f>IFERROR(__xludf.DUMMYFUNCTION("IFERROR(
  VLOOKUP(
    A70,
    IMPORTRANGE(
      ""1ZygntHC1J6IxzKbTidmOyf5nUyW4GCLurHCjexrLm_o"",
      ""HTMLキャッシュ!A:F""
    ),
    5,
    FALSE
  ),
  0
)
"),"理科が苦手で「何から始めればいいか分からない」時の立て直し方｜原因の切り分け→優先順位→1週間の回し方 - 中学受験 理科の個別指導 | 受験理科専門塾「しゅん吉クエスト」")</f>
        <v>理科が苦手で「何から始めればいいか分からない」時の立て直し方｜原因の切り分け→優先順位→1週間の回し方 - 中学受験 理科の個別指導 | 受験理科専門塾「しゅん吉クエスト」</v>
      </c>
      <c r="D70" s="1" t="str">
        <f>IFERROR(__xludf.DUMMYFUNCTION("IFERROR(
  VLOOKUP(
    A70,
    IMPORTRANGE(
      ""1ZygntHC1J6IxzKbTidmOyf5nUyW4GCLurHCjexrLm_o        "",
      ""HTMLキャッシュ!A:F""
    ),
    6,
    FALSE
  ),
  0
)
"),"理科が苦手なときの持ち直し 理科が苦手なとき、いちばんつらいのは「何をやっても手応えがない」「結局どこから手を")</f>
        <v>理科が苦手なときの持ち直し 理科が苦手なとき、いちばんつらいのは「何をやっても手応えがない」「結局どこから手を</v>
      </c>
      <c r="E70" s="32">
        <f>IFERROR(__xludf.DUMMYFUNCTION("IFERROR(
  VLOOKUP(
    A70,
    IMPORTRANGE(
      ""1ZygntHC1J6IxzKbTidmOyf5nUyW4GCLurHCjexrLm_o        "",
      ""HTMLキャッシュ!A:F""
    ),
    3,
    FALSE
  ),
  0
)
"),46081.0568287037)</f>
        <v>46081.05683</v>
      </c>
      <c r="F70" s="49">
        <f>IFERROR(__xludf.DUMMYFUNCTION("IFERROR(
  VLOOKUP(
    A70,
    IMPORTRANGE(
      ""1ZHMy3vVUd_0MrSduXTe1etBb1HNpAlGwQr006ljwMiM"",
      ""GSC最新!A:F""
    ),
    2,
    FALSE
  ),
  0
)
"),0.0)</f>
        <v>0</v>
      </c>
      <c r="G70" s="49">
        <f>IFERROR(__xludf.DUMMYFUNCTION("IFERROR(
  VLOOKUP(
    A70,
    IMPORTRANGE(
      ""1ZHMy3vVUd_0MrSduXTe1etBb1HNpAlGwQr006ljwMiM"",
      ""GSC最新!A:F""
    ),
    3,
    FALSE
  ),
  0
)
"),0.0)</f>
        <v>0</v>
      </c>
      <c r="H70" s="49">
        <f>IFERROR(__xludf.DUMMYFUNCTION("IFERROR(
  VLOOKUP(
    A70,
    IMPORTRANGE(
      ""1ZHMy3vVUd_0MrSduXTe1etBb1HNpAlGwQr006ljwMiM"",
      ""GSC最新!A:F""
    ),
    4,
    FALSE
  ),
  0
)
"),0.0)</f>
        <v>0</v>
      </c>
      <c r="I70" s="49">
        <f>IFERROR(__xludf.DUMMYFUNCTION("IFERROR(
  VLOOKUP(
    A70,
    IMPORTRANGE(
      ""1ZHMy3vVUd_0MrSduXTe1etBb1HNpAlGwQr006ljwMiM"",
      ""GSC最新!A:F""
    ),
    5,
    FALSE
  ),
  0
)
"),0.0)</f>
        <v>0</v>
      </c>
      <c r="J70" s="50" t="str">
        <f t="shared" ref="J70:K70" si="341">IFERROR(F70/H70,"-")</f>
        <v>-</v>
      </c>
      <c r="K70" s="50" t="str">
        <f t="shared" si="341"/>
        <v>-</v>
      </c>
      <c r="L70" s="6">
        <f>IFERROR(__xludf.DUMMYFUNCTION("IFERROR(
  VLOOKUP(
    A70,
    IMPORTRANGE(
      ""1ZHMy3vVUd_0MrSduXTe1etBb1HNpAlGwQr006ljwMiM"",
      ""GSC最新!A:R""
    ),
    7,
    FALSE
  ),
  0
)
"),0.0)</f>
        <v>0</v>
      </c>
      <c r="M70" s="6">
        <f>IFERROR(__xludf.DUMMYFUNCTION("IFERROR(
  VLOOKUP(
    A70,
    IMPORTRANGE(
      ""1ZHMy3vVUd_0MrSduXTe1etBb1HNpAlGwQr006ljwMiM"",
      ""GSC最新!A:R""
    ),
    10,
    FALSE
  ),
  0
)
"),0.0)</f>
        <v>0</v>
      </c>
      <c r="N70" s="6">
        <f>IFERROR(__xludf.DUMMYFUNCTION("IFERROR(
  VLOOKUP(
    A70,
    IMPORTRANGE(
      ""1ZHMy3vVUd_0MrSduXTe1etBb1HNpAlGwQr006ljwMiM"",
      ""GSC最新!A:R""
    ),
    13,
    FALSE
  ),
  0
)
"),0.0)</f>
        <v>0</v>
      </c>
      <c r="O70" s="6">
        <f>IFERROR(__xludf.DUMMYFUNCTION("IFERROR(
  VLOOKUP(
    A70,
    IMPORTRANGE(
      ""1ZHMy3vVUd_0MrSduXTe1etBb1HNpAlGwQr006ljwMiM"",
      ""GSC最新!A:R""
    ),
    16,
    FALSE
  ),
  0
)
"),0.0)</f>
        <v>0</v>
      </c>
      <c r="P70" s="51" t="str">
        <f t="shared" ref="P70:Q70" si="342">IFERROR(L70/N70,"-")</f>
        <v>-</v>
      </c>
      <c r="Q70" s="51" t="str">
        <f t="shared" si="342"/>
        <v>-</v>
      </c>
      <c r="R70" s="9">
        <f>IFERROR(__xludf.DUMMYFUNCTION("IFERROR(
  VLOOKUP(
    A70,
    IMPORTRANGE(
      ""1ZHMy3vVUd_0MrSduXTe1etBb1HNpAlGwQr006ljwMiM"",
      ""GSC最新!A:R""
    ),
    8,
    FALSE
  ),
  0
)
"),0.0)</f>
        <v>0</v>
      </c>
      <c r="S70" s="9">
        <f>IFERROR(__xludf.DUMMYFUNCTION("IFERROR(
  VLOOKUP(
    A70,
    IMPORTRANGE(
      ""1ZHMy3vVUd_0MrSduXTe1etBb1HNpAlGwQr006ljwMiM"",
      ""GSC最新!A:R""
    ),
    11,
    FALSE
  ),
  0
)
"),0.0)</f>
        <v>0</v>
      </c>
      <c r="T70" s="9">
        <f>IFERROR(__xludf.DUMMYFUNCTION("IFERROR(
  VLOOKUP(
    A70,
    IMPORTRANGE(
      ""1ZHMy3vVUd_0MrSduXTe1etBb1HNpAlGwQr006ljwMiM"",
      ""GSC最新!A:R""
    ),
    14,
    FALSE
  ),
  0
)
"),0.0)</f>
        <v>0</v>
      </c>
      <c r="U70" s="9">
        <f>IFERROR(__xludf.DUMMYFUNCTION("IFERROR(
  VLOOKUP(
    A70,
    IMPORTRANGE(
      ""1ZHMy3vVUd_0MrSduXTe1etBb1HNpAlGwQr006ljwMiM"",
      ""GSC最新!A:R""
    ),
    17,
    FALSE
  ),
  0
)
"),0.0)</f>
        <v>0</v>
      </c>
      <c r="V70" s="9">
        <f t="shared" ref="V70:W70" si="343">IFERROR(R70-T70,"-")</f>
        <v>0</v>
      </c>
      <c r="W70" s="9">
        <f t="shared" si="343"/>
        <v>0</v>
      </c>
      <c r="X70" s="65" t="str">
        <f>IFERROR(__xludf.DUMMYFUNCTION("IFERROR(
  VLOOKUP(
    A70,
    IMPORTRANGE(
      ""1ZHMy3vVUd_0MrSduXTe1etBb1HNpAlGwQr006ljwMiM"",
      ""GSC最新!A:R""
    ),
    9,
    FALSE
  ),
  0
)
"),"")</f>
        <v/>
      </c>
      <c r="Y70" s="65" t="str">
        <f>IFERROR(__xludf.DUMMYFUNCTION("IFERROR(
  VLOOKUP(
    A70,
    IMPORTRANGE(
      ""1ZHMy3vVUd_0MrSduXTe1etBb1HNpAlGwQr006ljwMiM"",
      ""GSC最新!A:R""
    ),
    12,
    FALSE
  ),
  0
)
"),"")</f>
        <v/>
      </c>
      <c r="Z70" s="65" t="str">
        <f>IFERROR(__xludf.DUMMYFUNCTION("IFERROR(
  VLOOKUP(
    A70,
    IMPORTRANGE(
      ""1ZHMy3vVUd_0MrSduXTe1etBb1HNpAlGwQr006ljwMiM"",
      ""GSC最新!A:R""
    ),
    15,
    FALSE
  ),
  0
)
"),"")</f>
        <v/>
      </c>
      <c r="AA70" s="65" t="str">
        <f>IFERROR(__xludf.DUMMYFUNCTION("IFERROR(
  VLOOKUP(
    A70,
    IMPORTRANGE(
      ""1ZHMy3vVUd_0MrSduXTe1etBb1HNpAlGwQr006ljwMiM"",
      ""GSC最新!A:R""
    ),
    18,
    FALSE
  ),
  0
)
"),"")</f>
        <v/>
      </c>
      <c r="AB70" s="65">
        <f t="shared" ref="AB70:AC70" si="344">X70-Z70</f>
        <v>0</v>
      </c>
      <c r="AC70" s="65">
        <f t="shared" si="344"/>
        <v>0</v>
      </c>
      <c r="AD70" s="53">
        <f>IFERROR(__xludf.DUMMYFUNCTION("IFERROR(
  VLOOKUP(
    A70,
    IMPORTRANGE(
      ""1ZHMy3vVUd_0MrSduXTe1etBb1HNpAlGwQr006ljwMiM"",
      ""GSC最新!A:F""
    ),
    6,
    FALSE
  ),
  0
)
"),46081.0)</f>
        <v>46081</v>
      </c>
      <c r="AE70" s="54">
        <f>IFERROR(__xludf.DUMMYFUNCTION("IFERROR(
  VLOOKUP(
    A70,
    IMPORTRANGE(
      ""1SCYQd7_cobOYqT0r_F0IqD4tE4rYn5y8Eup4PJTH8es"",
      ""Snapshot!A:M""
    ),
    5,
    FALSE
  ),
  ""-""
)
"),7.0)</f>
        <v>7</v>
      </c>
      <c r="AF70" s="54">
        <f>IFERROR(__xludf.DUMMYFUNCTION("IFERROR(
  VLOOKUP(
    A70,
    IMPORTRANGE(
      ""1SCYQd7_cobOYqT0r_F0IqD4tE4rYn5y8Eup4PJTH8es"",
      ""Snapshot!A:M""
    ),
    6,
    FALSE
  ),
  0
)
"),9.0)</f>
        <v>9</v>
      </c>
      <c r="AG70" s="54">
        <f>IFERROR(__xludf.DUMMYFUNCTION("IFERROR(
  VLOOKUP(
    A70,
    IMPORTRANGE(
      ""1SCYQd7_cobOYqT0r_F0IqD4tE4rYn5y8Eup4PJTH8es"",
      ""Snapshot!A:M""
    ),
    7,
    FALSE
  ),
  0
)
"),4069.0)</f>
        <v>4069</v>
      </c>
      <c r="AH70" s="54">
        <f>IFERROR(__xludf.DUMMYFUNCTION("IFERROR(
  VLOOKUP(
    A70,
    IMPORTRANGE(
      ""1SCYQd7_cobOYqT0r_F0IqD4tE4rYn5y8Eup4PJTH8es"",
      ""Snapshot!A:M""
    ),
    8,
    FALSE
  ),
  0
)
"),12.0)</f>
        <v>12</v>
      </c>
      <c r="AI70" s="54">
        <f>IFERROR(__xludf.DUMMYFUNCTION("IFERROR(
  VLOOKUP(
    A70,
    IMPORTRANGE(
      ""1SCYQd7_cobOYqT0r_F0IqD4tE4rYn5y8Eup4PJTH8es"",
      ""Snapshot!A:M""
    ),
    9,
    FALSE
  ),
  0
)
"),1.0)</f>
        <v>1</v>
      </c>
      <c r="AJ70" s="54">
        <f>IFERROR(__xludf.DUMMYFUNCTION("IFERROR(
  VLOOKUP(
    A70,
    IMPORTRANGE(
      ""1SCYQd7_cobOYqT0r_F0IqD4tE4rYn5y8Eup4PJTH8es"",
      ""Snapshot!A:M""
    ),
    13,
    FALSE
  ),
  0
)
"),2.0)</f>
        <v>2</v>
      </c>
      <c r="AK70" s="49">
        <f t="shared" ref="AK70:AL70" si="345">LEN(C70)</f>
        <v>86</v>
      </c>
      <c r="AL70" s="49">
        <f t="shared" si="345"/>
        <v>55</v>
      </c>
    </row>
    <row r="71">
      <c r="A71" s="56" t="s">
        <v>1291</v>
      </c>
      <c r="B71" s="1" t="str">
        <f>IFERROR(__xludf.DUMMYFUNCTION("IFERROR(
  VLOOKUP(
    A71,
    IMPORTRANGE(
      ""1ZygntHC1J6IxzKbTidmOyf5nUyW4GCLurHCjexrLm_o"",
      ""HTMLキャッシュ!A:F""
    ),
    2,
    FALSE
  ),
  0
)
"),"MC")</f>
        <v>MC</v>
      </c>
      <c r="C71" s="1" t="str">
        <f>IFERROR(__xludf.DUMMYFUNCTION("IFERROR(
  VLOOKUP(
    A71,
    IMPORTRANGE(
      ""1ZygntHC1J6IxzKbTidmOyf5nUyW4GCLurHCjexrLm_o"",
      ""HTMLキャッシュ!A:F""
    ),
    5,
    FALSE
  ),
  0
)
"),"人体が整理できない→流れ（入口→出口）で覚え、設問処理へ接続 - 中学受験 理科の個別指導 | 受験理科専門塾「しゅん吉クエスト」")</f>
        <v>人体が整理できない→流れ（入口→出口）で覚え、設問処理へ接続 - 中学受験 理科の個別指導 | 受験理科専門塾「しゅん吉クエスト」</v>
      </c>
      <c r="D71" s="1" t="str">
        <f>IFERROR(__xludf.DUMMYFUNCTION("IFERROR(
  VLOOKUP(
    A71,
    IMPORTRANGE(
      ""1ZygntHC1J6IxzKbTidmOyf5nUyW4GCLurHCjexrLm_o        "",
      ""HTMLキャッシュ!A:F""
    ),
    6,
    FALSE
  ),
  0
)
"),"中学受験理科／生物 テーマ：人体（消化・呼吸・血液循環）を「流れ」で整理して設問処理へ 悩み起点 入口→出口で")</f>
        <v>中学受験理科／生物 テーマ：人体（消化・呼吸・血液循環）を「流れ」で整理して設問処理へ 悩み起点 入口→出口で</v>
      </c>
      <c r="E71" s="32">
        <f>IFERROR(__xludf.DUMMYFUNCTION("IFERROR(
  VLOOKUP(
    A71,
    IMPORTRANGE(
      ""1ZygntHC1J6IxzKbTidmOyf5nUyW4GCLurHCjexrLm_o        "",
      ""HTMLキャッシュ!A:F""
    ),
    3,
    FALSE
  ),
  0
)
"),46081.114224537036)</f>
        <v>46081.11422</v>
      </c>
      <c r="F71" s="49">
        <f>IFERROR(__xludf.DUMMYFUNCTION("IFERROR(
  VLOOKUP(
    A71,
    IMPORTRANGE(
      ""1ZHMy3vVUd_0MrSduXTe1etBb1HNpAlGwQr006ljwMiM"",
      ""GSC最新!A:F""
    ),
    2,
    FALSE
  ),
  0
)
"),0.0)</f>
        <v>0</v>
      </c>
      <c r="G71" s="49">
        <f>IFERROR(__xludf.DUMMYFUNCTION("IFERROR(
  VLOOKUP(
    A71,
    IMPORTRANGE(
      ""1ZHMy3vVUd_0MrSduXTe1etBb1HNpAlGwQr006ljwMiM"",
      ""GSC最新!A:F""
    ),
    3,
    FALSE
  ),
  0
)
"),0.0)</f>
        <v>0</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"),0.0)</f>
        <v>0</v>
      </c>
      <c r="J71" s="50" t="str">
        <f t="shared" ref="J71:K71" si="346">IFERROR(F71/H71,"-")</f>
        <v>-</v>
      </c>
      <c r="K71" s="50" t="str">
        <f t="shared" si="346"/>
        <v>-</v>
      </c>
      <c r="L71" s="6">
        <f>IFERROR(__xludf.DUMMYFUNCTION("IFERROR(
  VLOOKUP(
    A71,
    IMPORTRANGE(
      ""1ZHMy3vVUd_0MrSduXTe1etBb1HNpAlGwQr006ljwMiM"",
      ""GSC最新!A:R""
    ),
    7,
    FALSE
  ),
  0
)
"),0.0)</f>
        <v>0</v>
      </c>
      <c r="M71" s="6">
        <f>IFERROR(__xludf.DUMMYFUNCTION("IFERROR(
  VLOOKUP(
    A71,
    IMPORTRANGE(
      ""1ZHMy3vVUd_0MrSduXTe1etBb1HNpAlGwQr006ljwMiM"",
      ""GSC最新!A:R""
    ),
    10,
    FALSE
  ),
  0
)
"),0.0)</f>
        <v>0</v>
      </c>
      <c r="N71" s="6">
        <f>IFERROR(__xludf.DUMMYFUNCTION("IFERROR(
  VLOOKUP(
    A71,
    IMPORTRANGE(
      ""1ZHMy3vVUd_0MrSduXTe1etBb1HNpAlGwQr006ljwMiM"",
      ""GSC最新!A:R""
    ),
    13,
    FALSE
  ),
  0
)
"),0.0)</f>
        <v>0</v>
      </c>
      <c r="O71" s="6">
        <f>IFERROR(__xludf.DUMMYFUNCTION("IFERROR(
  VLOOKUP(
    A71,
    IMPORTRANGE(
      ""1ZHMy3vVUd_0MrSduXTe1etBb1HNpAlGwQr006ljwMiM"",
      ""GSC最新!A:R""
    ),
    16,
    FALSE
  ),
  0
)
"),0.0)</f>
        <v>0</v>
      </c>
      <c r="P71" s="51" t="str">
        <f t="shared" ref="P71:Q71" si="347">IFERROR(L71/N71,"-")</f>
        <v>-</v>
      </c>
      <c r="Q71" s="51" t="str">
        <f t="shared" si="347"/>
        <v>-</v>
      </c>
      <c r="R71" s="9">
        <f>IFERROR(__xludf.DUMMYFUNCTION("IFERROR(
  VLOOKUP(
    A71,
    IMPORTRANGE(
      ""1ZHMy3vVUd_0MrSduXTe1etBb1HNpAlGwQr006ljwMiM"",
      ""GSC最新!A:R""
    ),
    8,
    FALSE
  ),
  0
)
"),0.0)</f>
        <v>0</v>
      </c>
      <c r="S71" s="9">
        <f>IFERROR(__xludf.DUMMYFUNCTION("IFERROR(
  VLOOKUP(
    A71,
    IMPORTRANGE(
      ""1ZHMy3vVUd_0MrSduXTe1etBb1HNpAlGwQr006ljwMiM"",
      ""GSC最新!A:R""
    ),
    11,
    FALSE
  ),
  0
)
"),0.0)</f>
        <v>0</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f>
        <v>0</v>
      </c>
      <c r="V71" s="9">
        <f t="shared" ref="V71:W71" si="348">IFERROR(R71-T71,"-")</f>
        <v>0</v>
      </c>
      <c r="W71" s="9">
        <f t="shared" si="348"/>
        <v>0</v>
      </c>
      <c r="X71" s="65" t="str">
        <f>IFERROR(__xludf.DUMMYFUNCTION("IFERROR(
  VLOOKUP(
    A71,
    IMPORTRANGE(
      ""1ZHMy3vVUd_0MrSduXTe1etBb1HNpAlGwQr006ljwMiM"",
      ""GSC最新!A:R""
    ),
    9,
    FALSE
  ),
  0
)
"),"")</f>
        <v/>
      </c>
      <c r="Y71" s="65" t="str">
        <f>IFERROR(__xludf.DUMMYFUNCTION("IFERROR(
  VLOOKUP(
    A71,
    IMPORTRANGE(
      ""1ZHMy3vVUd_0MrSduXTe1etBb1HNpAlGwQr006ljwMiM"",
      ""GSC最新!A:R""
    ),
    12,
    FALSE
  ),
  0
)
"),"")</f>
        <v/>
      </c>
      <c r="Z71" s="65" t="str">
        <f>IFERROR(__xludf.DUMMYFUNCTION("IFERROR(
  VLOOKUP(
    A71,
    IMPORTRANGE(
      ""1ZHMy3vVUd_0MrSduXTe1etBb1HNpAlGwQr006ljwMiM"",
      ""GSC最新!A:R""
    ),
    15,
    FALSE
  ),
  0
)
"),"")</f>
        <v/>
      </c>
      <c r="AA71" s="65" t="str">
        <f>IFERROR(__xludf.DUMMYFUNCTION("IFERROR(
  VLOOKUP(
    A71,
    IMPORTRANGE(
      ""1ZHMy3vVUd_0MrSduXTe1etBb1HNpAlGwQr006ljwMiM"",
      ""GSC最新!A:R""
    ),
    18,
    FALSE
  ),
  0
)
"),"")</f>
        <v/>
      </c>
      <c r="AB71" s="65">
        <f t="shared" ref="AB71:AC71" si="349">X71-Z71</f>
        <v>0</v>
      </c>
      <c r="AC71" s="65">
        <f t="shared" si="349"/>
        <v>0</v>
      </c>
      <c r="AD71" s="53">
        <f>IFERROR(__xludf.DUMMYFUNCTION("IFERROR(
  VLOOKUP(
    A71,
    IMPORTRANGE(
      ""1ZHMy3vVUd_0MrSduXTe1etBb1HNpAlGwQr006ljwMiM"",
      ""GSC最新!A:F""
    ),
    6,
    FALSE
  ),
  0
)
"),46081.0)</f>
        <v>46081</v>
      </c>
      <c r="AE71" s="54">
        <f>IFERROR(__xludf.DUMMYFUNCTION("IFERROR(
  VLOOKUP(
    A71,
    IMPORTRANGE(
      ""1SCYQd7_cobOYqT0r_F0IqD4tE4rYn5y8Eup4PJTH8es"",
      ""Snapshot!A:M""
    ),
    5,
    FALSE
  ),
  ""-""
)
"),7.0)</f>
        <v>7</v>
      </c>
      <c r="AF71" s="54">
        <f>IFERROR(__xludf.DUMMYFUNCTION("IFERROR(
  VLOOKUP(
    A71,
    IMPORTRANGE(
      ""1SCYQd7_cobOYqT0r_F0IqD4tE4rYn5y8Eup4PJTH8es"",
      ""Snapshot!A:M""
    ),
    6,
    FALSE
  ),
  0
)
"),10.0)</f>
        <v>10</v>
      </c>
      <c r="AG71" s="54">
        <f>IFERROR(__xludf.DUMMYFUNCTION("IFERROR(
  VLOOKUP(
    A71,
    IMPORTRANGE(
      ""1SCYQd7_cobOYqT0r_F0IqD4tE4rYn5y8Eup4PJTH8es"",
      ""Snapshot!A:M""
    ),
    7,
    FALSE
  ),
  0
)
"),4418.0)</f>
        <v>4418</v>
      </c>
      <c r="AH71" s="54">
        <f>IFERROR(__xludf.DUMMYFUNCTION("IFERROR(
  VLOOKUP(
    A71,
    IMPORTRANGE(
      ""1SCYQd7_cobOYqT0r_F0IqD4tE4rYn5y8Eup4PJTH8es"",
      ""Snapshot!A:M""
    ),
    8,
    FALSE
  ),
  0
)
"),8.0)</f>
        <v>8</v>
      </c>
      <c r="AI71" s="54">
        <f>IFERROR(__xludf.DUMMYFUNCTION("IFERROR(
  VLOOKUP(
    A71,
    IMPORTRANGE(
      ""1SCYQd7_cobOYqT0r_F0IqD4tE4rYn5y8Eup4PJTH8es"",
      ""Snapshot!A:M""
    ),
    9,
    FALSE
  ),
  0
)
"),1.0)</f>
        <v>1</v>
      </c>
      <c r="AJ71" s="54">
        <f>IFERROR(__xludf.DUMMYFUNCTION("IFERROR(
  VLOOKUP(
    A71,
    IMPORTRANGE(
      ""1SCYQd7_cobOYqT0r_F0IqD4tE4rYn5y8Eup4PJTH8es"",
      ""Snapshot!A:M""
    ),
    13,
    FALSE
  ),
  0
)
"),2.0)</f>
        <v>2</v>
      </c>
      <c r="AK71" s="49">
        <f t="shared" ref="AK71:AL71" si="350">LEN(C71)</f>
        <v>65</v>
      </c>
      <c r="AL71" s="49">
        <f t="shared" si="350"/>
        <v>55</v>
      </c>
    </row>
    <row r="72">
      <c r="A72" s="56" t="s">
        <v>1292</v>
      </c>
      <c r="B72" s="1" t="str">
        <f>IFERROR(__xludf.DUMMYFUNCTION("IFERROR(
  VLOOKUP(
    A72,
    IMPORTRANGE(
      ""1ZygntHC1J6IxzKbTidmOyf5nUyW4GCLurHCjexrLm_o"",
      ""HTMLキャッシュ!A:F""
    ),
    2,
    FALSE
  ),
  0
)
"),"MC")</f>
        <v>MC</v>
      </c>
      <c r="C72" s="1" t="str">
        <f>IFERROR(__xludf.DUMMYFUNCTION("IFERROR(
  VLOOKUP(
    A72,
    IMPORTRANGE(
      ""1ZygntHC1J6IxzKbTidmOyf5nUyW4GCLurHCjexrLm_o"",
      ""HTMLキャッシュ!A:F""
    ),
    5,
    FALSE
  ),
  0
)
"),"過去問を回しても点が伸びない（直前期）→失点分類→優先順位→1週間の回し方 - 中学受験 理科の個別指導 | 受験理科専門塾「しゅん吉クエスト」")</f>
        <v>過去問を回しても点が伸びない（直前期）→失点分類→優先順位→1週間の回し方 - 中学受験 理科の個別指導 | 受験理科専門塾「しゅん吉クエスト」</v>
      </c>
      <c r="D72" s="1" t="str">
        <f>IFERROR(__xludf.DUMMYFUNCTION("IFERROR(
  VLOOKUP(
    A72,
    IMPORTRANGE(
      ""1ZygntHC1J6IxzKbTidmOyf5nUyW4GCLurHCjexrLm_o        "",
      ""HTMLキャッシュ!A:F""
    ),
    6,
    FALSE
  ),
  0
)
"),"中学受験理科／直前期 テーマ：過去問の回し方を「点の落ち方→優先順位」で組み直す 悩み起点 過去問を回しても伸")</f>
        <v>中学受験理科／直前期 テーマ：過去問の回し方を「点の落ち方→優先順位」で組み直す 悩み起点 過去問を回しても伸</v>
      </c>
      <c r="E72" s="32">
        <f>IFERROR(__xludf.DUMMYFUNCTION("IFERROR(
  VLOOKUP(
    A72,
    IMPORTRANGE(
      ""1ZygntHC1J6IxzKbTidmOyf5nUyW4GCLurHCjexrLm_o        "",
      ""HTMLキャッシュ!A:F""
    ),
    3,
    FALSE
  ),
  0
)
"),46081.155011574076)</f>
        <v>46081.15501</v>
      </c>
      <c r="F72" s="49">
        <f>IFERROR(__xludf.DUMMYFUNCTION("IFERROR(
  VLOOKUP(
    A72,
    IMPORTRANGE(
      ""1ZHMy3vVUd_0MrSduXTe1etBb1HNpAlGwQr006ljwMiM"",
      ""GSC最新!A:F""
    ),
    2,
    FALSE
  ),
  0
)
"),0.0)</f>
        <v>0</v>
      </c>
      <c r="G72" s="49">
        <f>IFERROR(__xludf.DUMMYFUNCTION("IFERROR(
  VLOOKUP(
    A72,
    IMPORTRANGE(
      ""1ZHMy3vVUd_0MrSduXTe1etBb1HNpAlGwQr006ljwMiM"",
      ""GSC最新!A:F""
    ),
    3,
    FALSE
  ),
  0
)
"),0.0)</f>
        <v>0</v>
      </c>
      <c r="H72" s="49">
        <f>IFERROR(__xludf.DUMMYFUNCTION("IFERROR(
  VLOOKUP(
    A72,
    IMPORTRANGE(
      ""1ZHMy3vVUd_0MrSduXTe1etBb1HNpAlGwQr006ljwMiM"",
      ""GSC最新!A:F""
    ),
    4,
    FALSE
  ),
  0
)
"),0.0)</f>
        <v>0</v>
      </c>
      <c r="I72" s="49">
        <f>IFERROR(__xludf.DUMMYFUNCTION("IFERROR(
  VLOOKUP(
    A72,
    IMPORTRANGE(
      ""1ZHMy3vVUd_0MrSduXTe1etBb1HNpAlGwQr006ljwMiM"",
      ""GSC最新!A:F""
    ),
    5,
    FALSE
  ),
  0
)
"),0.0)</f>
        <v>0</v>
      </c>
      <c r="J72" s="50" t="str">
        <f t="shared" ref="J72:K72" si="351">IFERROR(F72/H72,"-")</f>
        <v>-</v>
      </c>
      <c r="K72" s="50" t="str">
        <f t="shared" si="351"/>
        <v>-</v>
      </c>
      <c r="L72" s="6">
        <f>IFERROR(__xludf.DUMMYFUNCTION("IFERROR(
  VLOOKUP(
    A72,
    IMPORTRANGE(
      ""1ZHMy3vVUd_0MrSduXTe1etBb1HNpAlGwQr006ljwMiM"",
      ""GSC最新!A:R""
    ),
    7,
    FALSE
  ),
  0
)
"),0.0)</f>
        <v>0</v>
      </c>
      <c r="M72" s="6">
        <f>IFERROR(__xludf.DUMMYFUNCTION("IFERROR(
  VLOOKUP(
    A72,
    IMPORTRANGE(
      ""1ZHMy3vVUd_0MrSduXTe1etBb1HNpAlGwQr006ljwMiM"",
      ""GSC最新!A:R""
    ),
    10,
    FALSE
  ),
  0
)
"),0.0)</f>
        <v>0</v>
      </c>
      <c r="N72" s="6">
        <f>IFERROR(__xludf.DUMMYFUNCTION("IFERROR(
  VLOOKUP(
    A72,
    IMPORTRANGE(
      ""1ZHMy3vVUd_0MrSduXTe1etBb1HNpAlGwQr006ljwMiM"",
      ""GSC最新!A:R""
    ),
    13,
    FALSE
  ),
  0
)
"),0.0)</f>
        <v>0</v>
      </c>
      <c r="O72" s="6">
        <f>IFERROR(__xludf.DUMMYFUNCTION("IFERROR(
  VLOOKUP(
    A72,
    IMPORTRANGE(
      ""1ZHMy3vVUd_0MrSduXTe1etBb1HNpAlGwQr006ljwMiM"",
      ""GSC最新!A:R""
    ),
    16,
    FALSE
  ),
  0
)
"),0.0)</f>
        <v>0</v>
      </c>
      <c r="P72" s="51" t="str">
        <f t="shared" ref="P72:Q72" si="352">IFERROR(L72/N72,"-")</f>
        <v>-</v>
      </c>
      <c r="Q72" s="51" t="str">
        <f t="shared" si="352"/>
        <v>-</v>
      </c>
      <c r="R72" s="9">
        <f>IFERROR(__xludf.DUMMYFUNCTION("IFERROR(
  VLOOKUP(
    A72,
    IMPORTRANGE(
      ""1ZHMy3vVUd_0MrSduXTe1etBb1HNpAlGwQr006ljwMiM"",
      ""GSC最新!A:R""
    ),
    8,
    FALSE
  ),
  0
)
"),0.0)</f>
        <v>0</v>
      </c>
      <c r="S72" s="9">
        <f>IFERROR(__xludf.DUMMYFUNCTION("IFERROR(
  VLOOKUP(
    A72,
    IMPORTRANGE(
      ""1ZHMy3vVUd_0MrSduXTe1etBb1HNpAlGwQr006ljwMiM"",
      ""GSC最新!A:R""
    ),
    11,
    FALSE
  ),
  0
)
"),0.0)</f>
        <v>0</v>
      </c>
      <c r="T72" s="9">
        <f>IFERROR(__xludf.DUMMYFUNCTION("IFERROR(
  VLOOKUP(
    A72,
    IMPORTRANGE(
      ""1ZHMy3vVUd_0MrSduXTe1etBb1HNpAlGwQr006ljwMiM"",
      ""GSC最新!A:R""
    ),
    14,
    FALSE
  ),
  0
)
"),0.0)</f>
        <v>0</v>
      </c>
      <c r="U72" s="9">
        <f>IFERROR(__xludf.DUMMYFUNCTION("IFERROR(
  VLOOKUP(
    A72,
    IMPORTRANGE(
      ""1ZHMy3vVUd_0MrSduXTe1etBb1HNpAlGwQr006ljwMiM"",
      ""GSC最新!A:R""
    ),
    17,
    FALSE
  ),
  0
)
"),0.0)</f>
        <v>0</v>
      </c>
      <c r="V72" s="9">
        <f t="shared" ref="V72:W72" si="353">IFERROR(R72-T72,"-")</f>
        <v>0</v>
      </c>
      <c r="W72" s="9">
        <f t="shared" si="353"/>
        <v>0</v>
      </c>
      <c r="X72" s="65" t="str">
        <f>IFERROR(__xludf.DUMMYFUNCTION("IFERROR(
  VLOOKUP(
    A72,
    IMPORTRANGE(
      ""1ZHMy3vVUd_0MrSduXTe1etBb1HNpAlGwQr006ljwMiM"",
      ""GSC最新!A:R""
    ),
    9,
    FALSE
  ),
  0
)
"),"")</f>
        <v/>
      </c>
      <c r="Y72" s="65" t="str">
        <f>IFERROR(__xludf.DUMMYFUNCTION("IFERROR(
  VLOOKUP(
    A72,
    IMPORTRANGE(
      ""1ZHMy3vVUd_0MrSduXTe1etBb1HNpAlGwQr006ljwMiM"",
      ""GSC最新!A:R""
    ),
    12,
    FALSE
  ),
  0
)
"),"")</f>
        <v/>
      </c>
      <c r="Z72" s="65" t="str">
        <f>IFERROR(__xludf.DUMMYFUNCTION("IFERROR(
  VLOOKUP(
    A72,
    IMPORTRANGE(
      ""1ZHMy3vVUd_0MrSduXTe1etBb1HNpAlGwQr006ljwMiM"",
      ""GSC最新!A:R""
    ),
    15,
    FALSE
  ),
  0
)
"),"")</f>
        <v/>
      </c>
      <c r="AA72" s="65" t="str">
        <f>IFERROR(__xludf.DUMMYFUNCTION("IFERROR(
  VLOOKUP(
    A72,
    IMPORTRANGE(
      ""1ZHMy3vVUd_0MrSduXTe1etBb1HNpAlGwQr006ljwMiM"",
      ""GSC最新!A:R""
    ),
    18,
    FALSE
  ),
  0
)
"),"")</f>
        <v/>
      </c>
      <c r="AB72" s="65">
        <f t="shared" ref="AB72:AC72" si="354">X72-Z72</f>
        <v>0</v>
      </c>
      <c r="AC72" s="65">
        <f t="shared" si="354"/>
        <v>0</v>
      </c>
      <c r="AD72" s="53">
        <f>IFERROR(__xludf.DUMMYFUNCTION("IFERROR(
  VLOOKUP(
    A72,
    IMPORTRANGE(
      ""1ZHMy3vVUd_0MrSduXTe1etBb1HNpAlGwQr006ljwMiM"",
      ""GSC最新!A:F""
    ),
    6,
    FALSE
  ),
  0
)
"),46081.0)</f>
        <v>46081</v>
      </c>
      <c r="AE72" s="54">
        <f>IFERROR(__xludf.DUMMYFUNCTION("IFERROR(
  VLOOKUP(
    A72,
    IMPORTRANGE(
      ""1SCYQd7_cobOYqT0r_F0IqD4tE4rYn5y8Eup4PJTH8es"",
      ""Snapshot!A:M""
    ),
    5,
    FALSE
  ),
  ""-""
)
"),7.0)</f>
        <v>7</v>
      </c>
      <c r="AF72" s="54">
        <f>IFERROR(__xludf.DUMMYFUNCTION("IFERROR(
  VLOOKUP(
    A72,
    IMPORTRANGE(
      ""1SCYQd7_cobOYqT0r_F0IqD4tE4rYn5y8Eup4PJTH8es"",
      ""Snapshot!A:M""
    ),
    6,
    FALSE
  ),
  0
)
"),11.0)</f>
        <v>11</v>
      </c>
      <c r="AG72" s="54">
        <f>IFERROR(__xludf.DUMMYFUNCTION("IFERROR(
  VLOOKUP(
    A72,
    IMPORTRANGE(
      ""1SCYQd7_cobOYqT0r_F0IqD4tE4rYn5y8Eup4PJTH8es"",
      ""Snapshot!A:M""
    ),
    7,
    FALSE
  ),
  0
)
"),4086.0)</f>
        <v>4086</v>
      </c>
      <c r="AH72" s="54">
        <f>IFERROR(__xludf.DUMMYFUNCTION("IFERROR(
  VLOOKUP(
    A72,
    IMPORTRANGE(
      ""1SCYQd7_cobOYqT0r_F0IqD4tE4rYn5y8Eup4PJTH8es"",
      ""Snapshot!A:M""
    ),
    8,
    FALSE
  ),
  0
)
"),11.0)</f>
        <v>11</v>
      </c>
      <c r="AI72" s="54">
        <f>IFERROR(__xludf.DUMMYFUNCTION("IFERROR(
  VLOOKUP(
    A72,
    IMPORTRANGE(
      ""1SCYQd7_cobOYqT0r_F0IqD4tE4rYn5y8Eup4PJTH8es"",
      ""Snapshot!A:M""
    ),
    9,
    FALSE
  ),
  0
)
"),1.0)</f>
        <v>1</v>
      </c>
      <c r="AJ72" s="54">
        <f>IFERROR(__xludf.DUMMYFUNCTION("IFERROR(
  VLOOKUP(
    A72,
    IMPORTRANGE(
      ""1SCYQd7_cobOYqT0r_F0IqD4tE4rYn5y8Eup4PJTH8es"",
      ""Snapshot!A:M""
    ),
    13,
    FALSE
  ),
  0
)
"),2.0)</f>
        <v>2</v>
      </c>
      <c r="AK72" s="49">
        <f t="shared" ref="AK72:AL72" si="355">LEN(C72)</f>
        <v>72</v>
      </c>
      <c r="AL72" s="49">
        <f t="shared" si="355"/>
        <v>55</v>
      </c>
    </row>
    <row r="73">
      <c r="A73" s="56" t="s">
        <v>1293</v>
      </c>
      <c r="B73" s="1" t="str">
        <f>IFERROR(__xludf.DUMMYFUNCTION("IFERROR(
  VLOOKUP(
    A73,
    IMPORTRANGE(
      ""1ZygntHC1J6IxzKbTidmOyf5nUyW4GCLurHCjexrLm_o"",
      ""HTMLキャッシュ!A:F""
    ),
    2,
    FALSE
  ),
  0
)
"),"MC")</f>
        <v>MC</v>
      </c>
      <c r="C73" s="1" t="str">
        <f>IFERROR(__xludf.DUMMYFUNCTION("IFERROR(
  VLOOKUP(
    A73,
    IMPORTRANGE(
      ""1ZygntHC1J6IxzKbTidmOyf5nUyW4GCLurHCjexrLm_o"",
      ""HTMLキャッシュ!A:F""
    ),
    5,
    FALSE
  ),
  0
)
"),"てこ/かっ車で混乱→比と図の置き方（どこをそろえるか）でミスを止める - 中学受験 理科の個別指導 | 受験理科専門塾「しゅん吉クエスト」")</f>
        <v>てこ/かっ車で混乱→比と図の置き方（どこをそろえるか）でミスを止める - 中学受験 理科の個別指導 | 受験理科専門塾「しゅん吉クエスト」</v>
      </c>
      <c r="D73" s="1" t="str">
        <f>IFERROR(__xludf.DUMMYFUNCTION("IFERROR(
  VLOOKUP(
    A73,
    IMPORTRANGE(
      ""1ZygntHC1J6IxzKbTidmOyf5nUyW4GCLurHCjexrLm_o        "",
      ""HTMLキャッシュ!A:F""
    ),
    6,
    FALSE
  ),
  0
)
"),"中学受験理科／物理 テーマ：てこ・かっ車の混乱を「そろえる場所」で止める お悩み解決 比と図の置き方 どこをそ")</f>
        <v>中学受験理科／物理 テーマ：てこ・かっ車の混乱を「そろえる場所」で止める お悩み解決 比と図の置き方 どこをそ</v>
      </c>
      <c r="E73" s="32">
        <f>IFERROR(__xludf.DUMMYFUNCTION("IFERROR(
  VLOOKUP(
    A73,
    IMPORTRANGE(
      ""1ZygntHC1J6IxzKbTidmOyf5nUyW4GCLurHCjexrLm_o        "",
      ""HTMLキャッシュ!A:F""
    ),
    3,
    FALSE
  ),
  0
)
"),46085.035787037035)</f>
        <v>46085.03579</v>
      </c>
      <c r="F73" s="49">
        <f>IFERROR(__xludf.DUMMYFUNCTION("IFERROR(
  VLOOKUP(
    A73,
    IMPORTRANGE(
      ""1ZHMy3vVUd_0MrSduXTe1etBb1HNpAlGwQr006ljwMiM"",
      ""GSC最新!A:F""
    ),
    2,
    FALSE
  ),
  0
)
"),0.0)</f>
        <v>0</v>
      </c>
      <c r="G73" s="49">
        <f>IFERROR(__xludf.DUMMYFUNCTION("IFERROR(
  VLOOKUP(
    A73,
    IMPORTRANGE(
      ""1ZHMy3vVUd_0MrSduXTe1etBb1HNpAlGwQr006ljwMiM"",
      ""GSC最新!A:F""
    ),
    3,
    FALSE
  ),
  0
)
"),0.0)</f>
        <v>0</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"),0.0)</f>
        <v>0</v>
      </c>
      <c r="J73" s="50" t="str">
        <f t="shared" ref="J73:K73" si="356">IFERROR(F73/H73,"-")</f>
        <v>-</v>
      </c>
      <c r="K73" s="50" t="str">
        <f t="shared" si="356"/>
        <v>-</v>
      </c>
      <c r="L73" s="6">
        <f>IFERROR(__xludf.DUMMYFUNCTION("IFERROR(
  VLOOKUP(
    A73,
    IMPORTRANGE(
      ""1ZHMy3vVUd_0MrSduXTe1etBb1HNpAlGwQr006ljwMiM"",
      ""GSC最新!A:R""
    ),
    7,
    FALSE
  ),
  0
)
"),0.0)</f>
        <v>0</v>
      </c>
      <c r="M73" s="6">
        <f>IFERROR(__xludf.DUMMYFUNCTION("IFERROR(
  VLOOKUP(
    A73,
    IMPORTRANGE(
      ""1ZHMy3vVUd_0MrSduXTe1etBb1HNpAlGwQr006ljwMiM"",
      ""GSC最新!A:R""
    ),
    10,
    FALSE
  ),
  0
)
"),0.0)</f>
        <v>0</v>
      </c>
      <c r="N73" s="6">
        <f>IFERROR(__xludf.DUMMYFUNCTION("IFERROR(
  VLOOKUP(
    A73,
    IMPORTRANGE(
      ""1ZHMy3vVUd_0MrSduXTe1etBb1HNpAlGwQr006ljwMiM"",
      ""GSC最新!A:R""
    ),
    13,
    FALSE
  ),
  0
)
"),0.0)</f>
        <v>0</v>
      </c>
      <c r="O73" s="6">
        <f>IFERROR(__xludf.DUMMYFUNCTION("IFERROR(
  VLOOKUP(
    A73,
    IMPORTRANGE(
      ""1ZHMy3vVUd_0MrSduXTe1etBb1HNpAlGwQr006ljwMiM"",
      ""GSC最新!A:R""
    ),
    16,
    FALSE
  ),
  0
)
"),0.0)</f>
        <v>0</v>
      </c>
      <c r="P73" s="51" t="str">
        <f t="shared" ref="P73:Q73" si="357">IFERROR(L73/N73,"-")</f>
        <v>-</v>
      </c>
      <c r="Q73" s="51" t="str">
        <f t="shared" si="357"/>
        <v>-</v>
      </c>
      <c r="R73" s="9">
        <f>IFERROR(__xludf.DUMMYFUNCTION("IFERROR(
  VLOOKUP(
    A73,
    IMPORTRANGE(
      ""1ZHMy3vVUd_0MrSduXTe1etBb1HNpAlGwQr006ljwMiM"",
      ""GSC最新!A:R""
    ),
    8,
    FALSE
  ),
  0
)
"),0.0)</f>
        <v>0</v>
      </c>
      <c r="S73" s="9">
        <f>IFERROR(__xludf.DUMMYFUNCTION("IFERROR(
  VLOOKUP(
    A73,
    IMPORTRANGE(
      ""1ZHMy3vVUd_0MrSduXTe1etBb1HNpAlGwQr006ljwMiM"",
      ""GSC最新!A:R""
    ),
    11,
    FALSE
  ),
  0
)
"),0.0)</f>
        <v>0</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f>
        <v>0</v>
      </c>
      <c r="V73" s="9">
        <f t="shared" ref="V73:W73" si="358">IFERROR(R73-T73,"-")</f>
        <v>0</v>
      </c>
      <c r="W73" s="9">
        <f t="shared" si="358"/>
        <v>0</v>
      </c>
      <c r="X73" s="65" t="str">
        <f>IFERROR(__xludf.DUMMYFUNCTION("IFERROR(
  VLOOKUP(
    A73,
    IMPORTRANGE(
      ""1ZHMy3vVUd_0MrSduXTe1etBb1HNpAlGwQr006ljwMiM"",
      ""GSC最新!A:R""
    ),
    9,
    FALSE
  ),
  0
)
"),"")</f>
        <v/>
      </c>
      <c r="Y73" s="65" t="str">
        <f>IFERROR(__xludf.DUMMYFUNCTION("IFERROR(
  VLOOKUP(
    A73,
    IMPORTRANGE(
      ""1ZHMy3vVUd_0MrSduXTe1etBb1HNpAlGwQr006ljwMiM"",
      ""GSC最新!A:R""
    ),
    12,
    FALSE
  ),
  0
)
"),"")</f>
        <v/>
      </c>
      <c r="Z73" s="65" t="str">
        <f>IFERROR(__xludf.DUMMYFUNCTION("IFERROR(
  VLOOKUP(
    A73,
    IMPORTRANGE(
      ""1ZHMy3vVUd_0MrSduXTe1etBb1HNpAlGwQr006ljwMiM"",
      ""GSC最新!A:R""
    ),
    15,
    FALSE
  ),
  0
)
"),"")</f>
        <v/>
      </c>
      <c r="AA73" s="65" t="str">
        <f>IFERROR(__xludf.DUMMYFUNCTION("IFERROR(
  VLOOKUP(
    A73,
    IMPORTRANGE(
      ""1ZHMy3vVUd_0MrSduXTe1etBb1HNpAlGwQr006ljwMiM"",
      ""GSC最新!A:R""
    ),
    18,
    FALSE
  ),
  0
)
"),"")</f>
        <v/>
      </c>
      <c r="AB73" s="65">
        <f t="shared" ref="AB73:AC73" si="359">X73-Z73</f>
        <v>0</v>
      </c>
      <c r="AC73" s="65">
        <f t="shared" si="359"/>
        <v>0</v>
      </c>
      <c r="AD73" s="53">
        <f>IFERROR(__xludf.DUMMYFUNCTION("IFERROR(
  VLOOKUP(
    A73,
    IMPORTRANGE(
      ""1ZHMy3vVUd_0MrSduXTe1etBb1HNpAlGwQr006ljwMiM"",
      ""GSC最新!A:F""
    ),
    6,
    FALSE
  ),
  0
)
"),46081.0)</f>
        <v>46081</v>
      </c>
      <c r="AE73" s="54">
        <f>IFERROR(__xludf.DUMMYFUNCTION("IFERROR(
  VLOOKUP(
    A73,
    IMPORTRANGE(
      ""1SCYQd7_cobOYqT0r_F0IqD4tE4rYn5y8Eup4PJTH8es"",
      ""Snapshot!A:M""
    ),
    5,
    FALSE
  ),
  ""-""
)
"),7.0)</f>
        <v>7</v>
      </c>
      <c r="AF73" s="54">
        <f>IFERROR(__xludf.DUMMYFUNCTION("IFERROR(
  VLOOKUP(
    A73,
    IMPORTRANGE(
      ""1SCYQd7_cobOYqT0r_F0IqD4tE4rYn5y8Eup4PJTH8es"",
      ""Snapshot!A:M""
    ),
    6,
    FALSE
  ),
  0
)
"),11.0)</f>
        <v>11</v>
      </c>
      <c r="AG73" s="54">
        <f>IFERROR(__xludf.DUMMYFUNCTION("IFERROR(
  VLOOKUP(
    A73,
    IMPORTRANGE(
      ""1SCYQd7_cobOYqT0r_F0IqD4tE4rYn5y8Eup4PJTH8es"",
      ""Snapshot!A:M""
    ),
    7,
    FALSE
  ),
  0
)
"),3942.0)</f>
        <v>3942</v>
      </c>
      <c r="AH73" s="54">
        <f>IFERROR(__xludf.DUMMYFUNCTION("IFERROR(
  VLOOKUP(
    A73,
    IMPORTRANGE(
      ""1SCYQd7_cobOYqT0r_F0IqD4tE4rYn5y8Eup4PJTH8es"",
      ""Snapshot!A:M""
    ),
    8,
    FALSE
  ),
  0
)
"),8.0)</f>
        <v>8</v>
      </c>
      <c r="AI73" s="54">
        <f>IFERROR(__xludf.DUMMYFUNCTION("IFERROR(
  VLOOKUP(
    A73,
    IMPORTRANGE(
      ""1SCYQd7_cobOYqT0r_F0IqD4tE4rYn5y8Eup4PJTH8es"",
      ""Snapshot!A:M""
    ),
    9,
    FALSE
  ),
  0
)
"),1.0)</f>
        <v>1</v>
      </c>
      <c r="AJ73" s="54">
        <f>IFERROR(__xludf.DUMMYFUNCTION("IFERROR(
  VLOOKUP(
    A73,
    IMPORTRANGE(
      ""1SCYQd7_cobOYqT0r_F0IqD4tE4rYn5y8Eup4PJTH8es"",
      ""Snapshot!A:M""
    ),
    13,
    FALSE
  ),
  0
)
"),2.0)</f>
        <v>2</v>
      </c>
      <c r="AK73" s="49">
        <f t="shared" ref="AK73:AL73" si="360">LEN(C73)</f>
        <v>69</v>
      </c>
      <c r="AL73" s="49">
        <f t="shared" si="360"/>
        <v>55</v>
      </c>
    </row>
    <row r="74">
      <c r="A74" s="56" t="s">
        <v>1294</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"),"光の作図が苦手→作図手順の固定＋間違えやすい形の整理 - 中学受験 理科の個別指導 | 受験理科専門塾「しゅん吉クエスト」")</f>
        <v>光の作図が苦手→作図手順の固定＋間違えやすい形の整理 - 中学受験 理科の個別指導 | 受験理科専門塾「しゅん吉クエスト」</v>
      </c>
      <c r="D74" s="1" t="str">
        <f>IFERROR(__xludf.DUMMYFUNCTION("IFERROR(
  VLOOKUP(
    A74,
    IMPORTRANGE(
      ""1ZygntHC1J6IxzKbTidmOyf5nUyW4GCLurHCjexrLm_o        "",
      ""HTMLキャッシュ!A:F""
    ),
    6,
    FALSE
  ),
  0
)
"),"中学受験理科／物理 テーマ：光の作図「進め方」をそろえて迷う時間を減らす 悩み起点 作図の進め方をそろえる 間")</f>
        <v>中学受験理科／物理 テーマ：光の作図「進め方」をそろえて迷う時間を減らす 悩み起点 作図の進め方をそろえる 間</v>
      </c>
      <c r="E74" s="32">
        <f>IFERROR(__xludf.DUMMYFUNCTION("IFERROR(
  VLOOKUP(
    A74,
    IMPORTRANGE(
      ""1ZygntHC1J6IxzKbTidmOyf5nUyW4GCLurHCjexrLm_o        "",
      ""HTMLキャッシュ!A:F""
    ),
    3,
    FALSE
  ),
  0
)
"),46084.9822337963)</f>
        <v>46084.98223</v>
      </c>
      <c r="F74" s="49">
        <f>IFERROR(__xludf.DUMMYFUNCTION("IFERROR(
  VLOOKUP(
    A74,
    IMPORTRANGE(
      ""1ZHMy3vVUd_0MrSduXTe1etBb1HNpAlGwQr006ljwMiM"",
      ""GSC最新!A:F""
    ),
    2,
    FALSE
  ),
  0
)
"),0.0)</f>
        <v>0</v>
      </c>
      <c r="G74" s="49">
        <f>IFERROR(__xludf.DUMMYFUNCTION("IFERROR(
  VLOOKUP(
    A74,
    IMPORTRANGE(
      ""1ZHMy3vVUd_0MrSduXTe1etBb1HNpAlGwQr006ljwMiM"",
      ""GSC最新!A:F""
    ),
    3,
    FALSE
  ),
  0
)
"),0.0)</f>
        <v>0</v>
      </c>
      <c r="H74" s="49">
        <f>IFERROR(__xludf.DUMMYFUNCTION("IFERROR(
  VLOOKUP(
    A74,
    IMPORTRANGE(
      ""1ZHMy3vVUd_0MrSduXTe1etBb1HNpAlGwQr006ljwMiM"",
      ""GSC最新!A:F""
    ),
    4,
    FALSE
  ),
  0
)
"),0.0)</f>
        <v>0</v>
      </c>
      <c r="I74" s="49">
        <f>IFERROR(__xludf.DUMMYFUNCTION("IFERROR(
  VLOOKUP(
    A74,
    IMPORTRANGE(
      ""1ZHMy3vVUd_0MrSduXTe1etBb1HNpAlGwQr006ljwMiM"",
      ""GSC最新!A:F""
    ),
    5,
    FALSE
  ),
  0
)
"),0.0)</f>
        <v>0</v>
      </c>
      <c r="J74" s="50" t="str">
        <f t="shared" ref="J74:K74" si="361">IFERROR(F74/H74,"-")</f>
        <v>-</v>
      </c>
      <c r="K74" s="50" t="str">
        <f t="shared" si="361"/>
        <v>-</v>
      </c>
      <c r="L74" s="6">
        <f>IFERROR(__xludf.DUMMYFUNCTION("IFERROR(
  VLOOKUP(
    A74,
    IMPORTRANGE(
      ""1ZHMy3vVUd_0MrSduXTe1etBb1HNpAlGwQr006ljwMiM"",
      ""GSC最新!A:R""
    ),
    7,
    FALSE
  ),
  0
)
"),0.0)</f>
        <v>0</v>
      </c>
      <c r="M74" s="6">
        <f>IFERROR(__xludf.DUMMYFUNCTION("IFERROR(
  VLOOKUP(
    A74,
    IMPORTRANGE(
      ""1ZHMy3vVUd_0MrSduXTe1etBb1HNpAlGwQr006ljwMiM"",
      ""GSC最新!A:R""
    ),
    10,
    FALSE
  ),
  0
)
"),0.0)</f>
        <v>0</v>
      </c>
      <c r="N74" s="6">
        <f>IFERROR(__xludf.DUMMYFUNCTION("IFERROR(
  VLOOKUP(
    A74,
    IMPORTRANGE(
      ""1ZHMy3vVUd_0MrSduXTe1etBb1HNpAlGwQr006ljwMiM"",
      ""GSC最新!A:R""
    ),
    13,
    FALSE
  ),
  0
)
"),0.0)</f>
        <v>0</v>
      </c>
      <c r="O74" s="6">
        <f>IFERROR(__xludf.DUMMYFUNCTION("IFERROR(
  VLOOKUP(
    A74,
    IMPORTRANGE(
      ""1ZHMy3vVUd_0MrSduXTe1etBb1HNpAlGwQr006ljwMiM"",
      ""GSC最新!A:R""
    ),
    16,
    FALSE
  ),
  0
)
"),0.0)</f>
        <v>0</v>
      </c>
      <c r="P74" s="51" t="str">
        <f t="shared" ref="P74:Q74" si="362">IFERROR(L74/N74,"-")</f>
        <v>-</v>
      </c>
      <c r="Q74" s="51" t="str">
        <f t="shared" si="362"/>
        <v>-</v>
      </c>
      <c r="R74" s="9">
        <f>IFERROR(__xludf.DUMMYFUNCTION("IFERROR(
  VLOOKUP(
    A74,
    IMPORTRANGE(
      ""1ZHMy3vVUd_0MrSduXTe1etBb1HNpAlGwQr006ljwMiM"",
      ""GSC最新!A:R""
    ),
    8,
    FALSE
  ),
  0
)
"),0.0)</f>
        <v>0</v>
      </c>
      <c r="S74" s="9">
        <f>IFERROR(__xludf.DUMMYFUNCTION("IFERROR(
  VLOOKUP(
    A74,
    IMPORTRANGE(
      ""1ZHMy3vVUd_0MrSduXTe1etBb1HNpAlGwQr006ljwMiM"",
      ""GSC最新!A:R""
    ),
    11,
    FALSE
  ),
  0
)
"),0.0)</f>
        <v>0</v>
      </c>
      <c r="T74" s="9">
        <f>IFERROR(__xludf.DUMMYFUNCTION("IFERROR(
  VLOOKUP(
    A74,
    IMPORTRANGE(
      ""1ZHMy3vVUd_0MrSduXTe1etBb1HNpAlGwQr006ljwMiM"",
      ""GSC最新!A:R""
    ),
    14,
    FALSE
  ),
  0
)
"),0.0)</f>
        <v>0</v>
      </c>
      <c r="U74" s="9">
        <f>IFERROR(__xludf.DUMMYFUNCTION("IFERROR(
  VLOOKUP(
    A74,
    IMPORTRANGE(
      ""1ZHMy3vVUd_0MrSduXTe1etBb1HNpAlGwQr006ljwMiM"",
      ""GSC最新!A:R""
    ),
    17,
    FALSE
  ),
  0
)
"),0.0)</f>
        <v>0</v>
      </c>
      <c r="V74" s="9">
        <f t="shared" ref="V74:W74" si="363">IFERROR(R74-T74,"-")</f>
        <v>0</v>
      </c>
      <c r="W74" s="9">
        <f t="shared" si="363"/>
        <v>0</v>
      </c>
      <c r="X74" s="65" t="str">
        <f>IFERROR(__xludf.DUMMYFUNCTION("IFERROR(
  VLOOKUP(
    A74,
    IMPORTRANGE(
      ""1ZHMy3vVUd_0MrSduXTe1etBb1HNpAlGwQr006ljwMiM"",
      ""GSC最新!A:R""
    ),
    9,
    FALSE
  ),
  0
)
"),"")</f>
        <v/>
      </c>
      <c r="Y74" s="65" t="str">
        <f>IFERROR(__xludf.DUMMYFUNCTION("IFERROR(
  VLOOKUP(
    A74,
    IMPORTRANGE(
      ""1ZHMy3vVUd_0MrSduXTe1etBb1HNpAlGwQr006ljwMiM"",
      ""GSC最新!A:R""
    ),
    12,
    FALSE
  ),
  0
)
"),"")</f>
        <v/>
      </c>
      <c r="Z74" s="65" t="str">
        <f>IFERROR(__xludf.DUMMYFUNCTION("IFERROR(
  VLOOKUP(
    A74,
    IMPORTRANGE(
      ""1ZHMy3vVUd_0MrSduXTe1etBb1HNpAlGwQr006ljwMiM"",
      ""GSC最新!A:R""
    ),
    15,
    FALSE
  ),
  0
)
"),"")</f>
        <v/>
      </c>
      <c r="AA74" s="65" t="str">
        <f>IFERROR(__xludf.DUMMYFUNCTION("IFERROR(
  VLOOKUP(
    A74,
    IMPORTRANGE(
      ""1ZHMy3vVUd_0MrSduXTe1etBb1HNpAlGwQr006ljwMiM"",
      ""GSC最新!A:R""
    ),
    18,
    FALSE
  ),
  0
)
"),"")</f>
        <v/>
      </c>
      <c r="AB74" s="65">
        <f t="shared" ref="AB74:AC74" si="364">X74-Z74</f>
        <v>0</v>
      </c>
      <c r="AC74" s="65">
        <f t="shared" si="364"/>
        <v>0</v>
      </c>
      <c r="AD74" s="53">
        <f>IFERROR(__xludf.DUMMYFUNCTION("IFERROR(
  VLOOKUP(
    A74,
    IMPORTRANGE(
      ""1ZHMy3vVUd_0MrSduXTe1etBb1HNpAlGwQr006ljwMiM"",
      ""GSC最新!A:F""
    ),
    6,
    FALSE
  ),
  0
)
"),46081.0)</f>
        <v>46081</v>
      </c>
      <c r="AE74" s="54">
        <f>IFERROR(__xludf.DUMMYFUNCTION("IFERROR(
  VLOOKUP(
    A74,
    IMPORTRANGE(
      ""1SCYQd7_cobOYqT0r_F0IqD4tE4rYn5y8Eup4PJTH8es"",
      ""Snapshot!A:M""
    ),
    5,
    FALSE
  ),
  ""-""
)
"),7.0)</f>
        <v>7</v>
      </c>
      <c r="AF74" s="54">
        <f>IFERROR(__xludf.DUMMYFUNCTION("IFERROR(
  VLOOKUP(
    A74,
    IMPORTRANGE(
      ""1SCYQd7_cobOYqT0r_F0IqD4tE4rYn5y8Eup4PJTH8es"",
      ""Snapshot!A:M""
    ),
    6,
    FALSE
  ),
  0
)
"),11.0)</f>
        <v>11</v>
      </c>
      <c r="AG74" s="54">
        <f>IFERROR(__xludf.DUMMYFUNCTION("IFERROR(
  VLOOKUP(
    A74,
    IMPORTRANGE(
      ""1SCYQd7_cobOYqT0r_F0IqD4tE4rYn5y8Eup4PJTH8es"",
      ""Snapshot!A:M""
    ),
    7,
    FALSE
  ),
  0
)
"),3882.0)</f>
        <v>3882</v>
      </c>
      <c r="AH74" s="54">
        <f>IFERROR(__xludf.DUMMYFUNCTION("IFERROR(
  VLOOKUP(
    A74,
    IMPORTRANGE(
      ""1SCYQd7_cobOYqT0r_F0IqD4tE4rYn5y8Eup4PJTH8es"",
      ""Snapshot!A:M""
    ),
    8,
    FALSE
  ),
  0
)
"),10.0)</f>
        <v>10</v>
      </c>
      <c r="AI74" s="54">
        <f>IFERROR(__xludf.DUMMYFUNCTION("IFERROR(
  VLOOKUP(
    A74,
    IMPORTRANGE(
      ""1SCYQd7_cobOYqT0r_F0IqD4tE4rYn5y8Eup4PJTH8es"",
      ""Snapshot!A:M""
    ),
    9,
    FALSE
  ),
  0
)
"),1.0)</f>
        <v>1</v>
      </c>
      <c r="AJ74" s="54">
        <f>IFERROR(__xludf.DUMMYFUNCTION("IFERROR(
  VLOOKUP(
    A74,
    IMPORTRANGE(
      ""1SCYQd7_cobOYqT0r_F0IqD4tE4rYn5y8Eup4PJTH8es"",
      ""Snapshot!A:M""
    ),
    13,
    FALSE
  ),
  0
)
"),2.0)</f>
        <v>2</v>
      </c>
      <c r="AK74" s="49">
        <f t="shared" ref="AK74:AL74" si="365">LEN(C74)</f>
        <v>61</v>
      </c>
      <c r="AL74" s="49">
        <f t="shared" si="365"/>
        <v>55</v>
      </c>
    </row>
    <row r="75">
      <c r="A75" s="56" t="s">
        <v>1295</v>
      </c>
      <c r="B75" s="1" t="str">
        <f>IFERROR(__xludf.DUMMYFUNCTION("IFERROR(
  VLOOKUP(
    A75,
    IMPORTRANGE(
      ""1ZygntHC1J6IxzKbTidmOyf5nUyW4GCLurHCjexrLm_o"",
      ""HTMLキャッシュ!A:F""
    ),
    2,
    FALSE
  ),
  0
)
"),"MC")</f>
        <v>MC</v>
      </c>
      <c r="C75" s="1" t="str">
        <f>IFERROR(__xludf.DUMMYFUNCTION("IFERROR(
  VLOOKUP(
    A75,
    IMPORTRANGE(
      ""1ZygntHC1J6IxzKbTidmOyf5nUyW4GCLurHCjexrLm_o"",
      ""HTMLキャッシュ!A:F""
    ),
    5,
    FALSE
  ),
  0
)
"),"暗記しても定着しない→分類・言い換え・確認テストで“使える知識”にする - 中学受験 理科の個別指導 | 受験理科専門塾「しゅん吉クエスト」")</f>
        <v>暗記しても定着しない→分類・言い換え・確認テストで“使える知識”にする - 中学受験 理科の個別指導 | 受験理科専門塾「しゅん吉クエスト」</v>
      </c>
      <c r="D75" s="1" t="str">
        <f>IFERROR(__xludf.DUMMYFUNCTION("IFERROR(
  VLOOKUP(
    A75,
    IMPORTRANGE(
      ""1ZygntHC1J6IxzKbTidmOyf5nUyW4GCLurHCjexrLm_o        "",
      ""HTMLキャッシュ!A:F""
    ),
    6,
    FALSE
  ),
  0
)
"),"理科のテスト前に用語や語句を一生懸命覚えたはずなのに、問題になると答えられない。 選択肢では判断に迷ってしまい")</f>
        <v>理科のテスト前に用語や語句を一生懸命覚えたはずなのに、問題になると答えられない。 選択肢では判断に迷ってしまい</v>
      </c>
      <c r="E75" s="32">
        <f>IFERROR(__xludf.DUMMYFUNCTION("IFERROR(
  VLOOKUP(
    A75,
    IMPORTRANGE(
      ""1ZygntHC1J6IxzKbTidmOyf5nUyW4GCLurHCjexrLm_o        "",
      ""HTMLキャッシュ!A:F""
    ),
    3,
    FALSE
  ),
  0
)
"),46081.14065972222)</f>
        <v>46081.14066</v>
      </c>
      <c r="F75" s="49">
        <f>IFERROR(__xludf.DUMMYFUNCTION("IFERROR(
  VLOOKUP(
    A75,
    IMPORTRANGE(
      ""1ZHMy3vVUd_0MrSduXTe1etBb1HNpAlGwQr006ljwMiM"",
      ""GSC最新!A:F""
    ),
    2,
    FALSE
  ),
  0
)
"),0.0)</f>
        <v>0</v>
      </c>
      <c r="G75" s="49">
        <f>IFERROR(__xludf.DUMMYFUNCTION("IFERROR(
  VLOOKUP(
    A75,
    IMPORTRANGE(
      ""1ZHMy3vVUd_0MrSduXTe1etBb1HNpAlGwQr006ljwMiM"",
      ""GSC最新!A:F""
    ),
    3,
    FALSE
  ),
  0
)
"),0.0)</f>
        <v>0</v>
      </c>
      <c r="H75" s="49">
        <f>IFERROR(__xludf.DUMMYFUNCTION("IFERROR(
  VLOOKUP(
    A75,
    IMPORTRANGE(
      ""1ZHMy3vVUd_0MrSduXTe1etBb1HNpAlGwQr006ljwMiM"",
      ""GSC最新!A:F""
    ),
    4,
    FALSE
  ),
  0
)
"),0.0)</f>
        <v>0</v>
      </c>
      <c r="I75" s="49">
        <f>IFERROR(__xludf.DUMMYFUNCTION("IFERROR(
  VLOOKUP(
    A75,
    IMPORTRANGE(
      ""1ZHMy3vVUd_0MrSduXTe1etBb1HNpAlGwQr006ljwMiM"",
      ""GSC最新!A:F""
    ),
    5,
    FALSE
  ),
  0
)
"),0.0)</f>
        <v>0</v>
      </c>
      <c r="J75" s="50" t="str">
        <f t="shared" ref="J75:K75" si="366">IFERROR(F75/H75,"-")</f>
        <v>-</v>
      </c>
      <c r="K75" s="50" t="str">
        <f t="shared" si="366"/>
        <v>-</v>
      </c>
      <c r="L75" s="6">
        <f>IFERROR(__xludf.DUMMYFUNCTION("IFERROR(
  VLOOKUP(
    A75,
    IMPORTRANGE(
      ""1ZHMy3vVUd_0MrSduXTe1etBb1HNpAlGwQr006ljwMiM"",
      ""GSC最新!A:R""
    ),
    7,
    FALSE
  ),
  0
)
"),0.0)</f>
        <v>0</v>
      </c>
      <c r="M75" s="6">
        <f>IFERROR(__xludf.DUMMYFUNCTION("IFERROR(
  VLOOKUP(
    A75,
    IMPORTRANGE(
      ""1ZHMy3vVUd_0MrSduXTe1etBb1HNpAlGwQr006ljwMiM"",
      ""GSC最新!A:R""
    ),
    10,
    FALSE
  ),
  0
)
"),0.0)</f>
        <v>0</v>
      </c>
      <c r="N75" s="6">
        <f>IFERROR(__xludf.DUMMYFUNCTION("IFERROR(
  VLOOKUP(
    A75,
    IMPORTRANGE(
      ""1ZHMy3vVUd_0MrSduXTe1etBb1HNpAlGwQr006ljwMiM"",
      ""GSC最新!A:R""
    ),
    13,
    FALSE
  ),
  0
)
"),0.0)</f>
        <v>0</v>
      </c>
      <c r="O75" s="6">
        <f>IFERROR(__xludf.DUMMYFUNCTION("IFERROR(
  VLOOKUP(
    A75,
    IMPORTRANGE(
      ""1ZHMy3vVUd_0MrSduXTe1etBb1HNpAlGwQr006ljwMiM"",
      ""GSC最新!A:R""
    ),
    16,
    FALSE
  ),
  0
)
"),0.0)</f>
        <v>0</v>
      </c>
      <c r="P75" s="51" t="str">
        <f t="shared" ref="P75:Q75" si="367">IFERROR(L75/N75,"-")</f>
        <v>-</v>
      </c>
      <c r="Q75" s="51" t="str">
        <f t="shared" si="367"/>
        <v>-</v>
      </c>
      <c r="R75" s="9">
        <f>IFERROR(__xludf.DUMMYFUNCTION("IFERROR(
  VLOOKUP(
    A75,
    IMPORTRANGE(
      ""1ZHMy3vVUd_0MrSduXTe1etBb1HNpAlGwQr006ljwMiM"",
      ""GSC最新!A:R""
    ),
    8,
    FALSE
  ),
  0
)
"),0.0)</f>
        <v>0</v>
      </c>
      <c r="S75" s="9">
        <f>IFERROR(__xludf.DUMMYFUNCTION("IFERROR(
  VLOOKUP(
    A75,
    IMPORTRANGE(
      ""1ZHMy3vVUd_0MrSduXTe1etBb1HNpAlGwQr006ljwMiM"",
      ""GSC最新!A:R""
    ),
    11,
    FALSE
  ),
  0
)
"),0.0)</f>
        <v>0</v>
      </c>
      <c r="T75" s="9">
        <f>IFERROR(__xludf.DUMMYFUNCTION("IFERROR(
  VLOOKUP(
    A75,
    IMPORTRANGE(
      ""1ZHMy3vVUd_0MrSduXTe1etBb1HNpAlGwQr006ljwMiM"",
      ""GSC最新!A:R""
    ),
    14,
    FALSE
  ),
  0
)
"),0.0)</f>
        <v>0</v>
      </c>
      <c r="U75" s="9">
        <f>IFERROR(__xludf.DUMMYFUNCTION("IFERROR(
  VLOOKUP(
    A75,
    IMPORTRANGE(
      ""1ZHMy3vVUd_0MrSduXTe1etBb1HNpAlGwQr006ljwMiM"",
      ""GSC最新!A:R""
    ),
    17,
    FALSE
  ),
  0
)
"),0.0)</f>
        <v>0</v>
      </c>
      <c r="V75" s="9">
        <f t="shared" ref="V75:W75" si="368">IFERROR(R75-T75,"-")</f>
        <v>0</v>
      </c>
      <c r="W75" s="9">
        <f t="shared" si="368"/>
        <v>0</v>
      </c>
      <c r="X75" s="65" t="str">
        <f>IFERROR(__xludf.DUMMYFUNCTION("IFERROR(
  VLOOKUP(
    A75,
    IMPORTRANGE(
      ""1ZHMy3vVUd_0MrSduXTe1etBb1HNpAlGwQr006ljwMiM"",
      ""GSC最新!A:R""
    ),
    9,
    FALSE
  ),
  0
)
"),"")</f>
        <v/>
      </c>
      <c r="Y75" s="65" t="str">
        <f>IFERROR(__xludf.DUMMYFUNCTION("IFERROR(
  VLOOKUP(
    A75,
    IMPORTRANGE(
      ""1ZHMy3vVUd_0MrSduXTe1etBb1HNpAlGwQr006ljwMiM"",
      ""GSC最新!A:R""
    ),
    12,
    FALSE
  ),
  0
)
"),"")</f>
        <v/>
      </c>
      <c r="Z75" s="65" t="str">
        <f>IFERROR(__xludf.DUMMYFUNCTION("IFERROR(
  VLOOKUP(
    A75,
    IMPORTRANGE(
      ""1ZHMy3vVUd_0MrSduXTe1etBb1HNpAlGwQr006ljwMiM"",
      ""GSC最新!A:R""
    ),
    15,
    FALSE
  ),
  0
)
"),"")</f>
        <v/>
      </c>
      <c r="AA75" s="65" t="str">
        <f>IFERROR(__xludf.DUMMYFUNCTION("IFERROR(
  VLOOKUP(
    A75,
    IMPORTRANGE(
      ""1ZHMy3vVUd_0MrSduXTe1etBb1HNpAlGwQr006ljwMiM"",
      ""GSC最新!A:R""
    ),
    18,
    FALSE
  ),
  0
)
"),"")</f>
        <v/>
      </c>
      <c r="AB75" s="65">
        <f t="shared" ref="AB75:AC75" si="369">X75-Z75</f>
        <v>0</v>
      </c>
      <c r="AC75" s="65">
        <f t="shared" si="369"/>
        <v>0</v>
      </c>
      <c r="AD75" s="53">
        <f>IFERROR(__xludf.DUMMYFUNCTION("IFERROR(
  VLOOKUP(
    A75,
    IMPORTRANGE(
      ""1ZHMy3vVUd_0MrSduXTe1etBb1HNpAlGwQr006ljwMiM"",
      ""GSC最新!A:F""
    ),
    6,
    FALSE
  ),
  0
)
"),46081.0)</f>
        <v>46081</v>
      </c>
      <c r="AE75" s="54">
        <f>IFERROR(__xludf.DUMMYFUNCTION("IFERROR(
  VLOOKUP(
    A75,
    IMPORTRANGE(
      ""1SCYQd7_cobOYqT0r_F0IqD4tE4rYn5y8Eup4PJTH8es"",
      ""Snapshot!A:M""
    ),
    5,
    FALSE
  ),
  ""-""
)
"),7.0)</f>
        <v>7</v>
      </c>
      <c r="AF75" s="54">
        <f>IFERROR(__xludf.DUMMYFUNCTION("IFERROR(
  VLOOKUP(
    A75,
    IMPORTRANGE(
      ""1SCYQd7_cobOYqT0r_F0IqD4tE4rYn5y8Eup4PJTH8es"",
      ""Snapshot!A:M""
    ),
    6,
    FALSE
  ),
  0
)
"),8.0)</f>
        <v>8</v>
      </c>
      <c r="AG75" s="54">
        <f>IFERROR(__xludf.DUMMYFUNCTION("IFERROR(
  VLOOKUP(
    A75,
    IMPORTRANGE(
      ""1SCYQd7_cobOYqT0r_F0IqD4tE4rYn5y8Eup4PJTH8es"",
      ""Snapshot!A:M""
    ),
    7,
    FALSE
  ),
  0
)
"),2211.0)</f>
        <v>2211</v>
      </c>
      <c r="AH75" s="54">
        <f>IFERROR(__xludf.DUMMYFUNCTION("IFERROR(
  VLOOKUP(
    A75,
    IMPORTRANGE(
      ""1SCYQd7_cobOYqT0r_F0IqD4tE4rYn5y8Eup4PJTH8es"",
      ""Snapshot!A:M""
    ),
    8,
    FALSE
  ),
  0
)
"),9.0)</f>
        <v>9</v>
      </c>
      <c r="AI75" s="54">
        <f>IFERROR(__xludf.DUMMYFUNCTION("IFERROR(
  VLOOKUP(
    A75,
    IMPORTRANGE(
      ""1SCYQd7_cobOYqT0r_F0IqD4tE4rYn5y8Eup4PJTH8es"",
      ""Snapshot!A:M""
    ),
    9,
    FALSE
  ),
  0
)
"),1.0)</f>
        <v>1</v>
      </c>
      <c r="AJ75" s="54">
        <f>IFERROR(__xludf.DUMMYFUNCTION("IFERROR(
  VLOOKUP(
    A75,
    IMPORTRANGE(
      ""1SCYQd7_cobOYqT0r_F0IqD4tE4rYn5y8Eup4PJTH8es"",
      ""Snapshot!A:M""
    ),
    13,
    FALSE
  ),
  0
)
"),2.0)</f>
        <v>2</v>
      </c>
      <c r="AK75" s="49">
        <f t="shared" ref="AK75:AL75" si="370">LEN(C75)</f>
        <v>70</v>
      </c>
      <c r="AL75" s="49">
        <f t="shared" si="370"/>
        <v>55</v>
      </c>
    </row>
    <row r="76">
      <c r="A76" s="56" t="s">
        <v>1296</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"),"中和が苦手→「何が残るか」の見抜き＋指示薬の読み取り - 中学受験 理科の個別指導 | 受験理科専門塾「しゅん吉クエスト」")</f>
        <v>中和が苦手→「何が残るか」の見抜き＋指示薬の読み取り - 中学受験 理科の個別指導 | 受験理科専門塾「しゅん吉クエスト」</v>
      </c>
      <c r="D76" s="1" t="str">
        <f>IFERROR(__xludf.DUMMYFUNCTION("IFERROR(
  VLOOKUP(
    A76,
    IMPORTRANGE(
      ""1ZygntHC1J6IxzKbTidmOyf5nUyW4GCLurHCjexrLm_o        "",
      ""HTMLキャッシュ!A:F""
    ),
    6,
    FALSE
  ),
  0
)
"),"中学受験理科／化学 テーマ：「中和＝混ぜる」ではなく「何が残るか」を先に決めて迷う時間を止める 悩み起点 残る")</f>
        <v>中学受験理科／化学 テーマ：「中和＝混ぜる」ではなく「何が残るか」を先に決めて迷う時間を止める 悩み起点 残る</v>
      </c>
      <c r="E76" s="32">
        <f>IFERROR(__xludf.DUMMYFUNCTION("IFERROR(
  VLOOKUP(
    A76,
    IMPORTRANGE(
      ""1ZygntHC1J6IxzKbTidmOyf5nUyW4GCLurHCjexrLm_o        "",
      ""HTMLキャッシュ!A:F""
    ),
    3,
    FALSE
  ),
  0
)
"),46081.146157407406)</f>
        <v>46081.14616</v>
      </c>
      <c r="F76" s="49">
        <f>IFERROR(__xludf.DUMMYFUNCTION("IFERROR(
  VLOOKUP(
    A76,
    IMPORTRANGE(
      ""1ZHMy3vVUd_0MrSduXTe1etBb1HNpAlGwQr006ljwMiM"",
      ""GSC最新!A:F""
    ),
    2,
    FALSE
  ),
  0
)
"),0.0)</f>
        <v>0</v>
      </c>
      <c r="G76" s="49">
        <f>IFERROR(__xludf.DUMMYFUNCTION("IFERROR(
  VLOOKUP(
    A76,
    IMPORTRANGE(
      ""1ZHMy3vVUd_0MrSduXTe1etBb1HNpAlGwQr006ljwMiM"",
      ""GSC最新!A:F""
    ),
    3,
    FALSE
  ),
  0
)
"),0.0)</f>
        <v>0</v>
      </c>
      <c r="H76" s="49">
        <f>IFERROR(__xludf.DUMMYFUNCTION("IFERROR(
  VLOOKUP(
    A76,
    IMPORTRANGE(
      ""1ZHMy3vVUd_0MrSduXTe1etBb1HNpAlGwQr006ljwMiM"",
      ""GSC最新!A:F""
    ),
    4,
    FALSE
  ),
  0
)
"),0.0)</f>
        <v>0</v>
      </c>
      <c r="I76" s="49">
        <f>IFERROR(__xludf.DUMMYFUNCTION("IFERROR(
  VLOOKUP(
    A76,
    IMPORTRANGE(
      ""1ZHMy3vVUd_0MrSduXTe1etBb1HNpAlGwQr006ljwMiM"",
      ""GSC最新!A:F""
    ),
    5,
    FALSE
  ),
  0
)
"),0.0)</f>
        <v>0</v>
      </c>
      <c r="J76" s="50" t="str">
        <f t="shared" ref="J76:K76" si="371">IFERROR(F76/H76,"-")</f>
        <v>-</v>
      </c>
      <c r="K76" s="50" t="str">
        <f t="shared" si="371"/>
        <v>-</v>
      </c>
      <c r="L76" s="6">
        <f>IFERROR(__xludf.DUMMYFUNCTION("IFERROR(
  VLOOKUP(
    A76,
    IMPORTRANGE(
      ""1ZHMy3vVUd_0MrSduXTe1etBb1HNpAlGwQr006ljwMiM"",
      ""GSC最新!A:R""
    ),
    7,
    FALSE
  ),
  0
)
"),0.0)</f>
        <v>0</v>
      </c>
      <c r="M76" s="6">
        <f>IFERROR(__xludf.DUMMYFUNCTION("IFERROR(
  VLOOKUP(
    A76,
    IMPORTRANGE(
      ""1ZHMy3vVUd_0MrSduXTe1etBb1HNpAlGwQr006ljwMiM"",
      ""GSC最新!A:R""
    ),
    10,
    FALSE
  ),
  0
)
"),0.0)</f>
        <v>0</v>
      </c>
      <c r="N76" s="6">
        <f>IFERROR(__xludf.DUMMYFUNCTION("IFERROR(
  VLOOKUP(
    A76,
    IMPORTRANGE(
      ""1ZHMy3vVUd_0MrSduXTe1etBb1HNpAlGwQr006ljwMiM"",
      ""GSC最新!A:R""
    ),
    13,
    FALSE
  ),
  0
)
"),0.0)</f>
        <v>0</v>
      </c>
      <c r="O76" s="6">
        <f>IFERROR(__xludf.DUMMYFUNCTION("IFERROR(
  VLOOKUP(
    A76,
    IMPORTRANGE(
      ""1ZHMy3vVUd_0MrSduXTe1etBb1HNpAlGwQr006ljwMiM"",
      ""GSC最新!A:R""
    ),
    16,
    FALSE
  ),
  0
)
"),0.0)</f>
        <v>0</v>
      </c>
      <c r="P76" s="51" t="str">
        <f t="shared" ref="P76:Q76" si="372">IFERROR(L76/N76,"-")</f>
        <v>-</v>
      </c>
      <c r="Q76" s="51" t="str">
        <f t="shared" si="372"/>
        <v>-</v>
      </c>
      <c r="R76" s="9">
        <f>IFERROR(__xludf.DUMMYFUNCTION("IFERROR(
  VLOOKUP(
    A76,
    IMPORTRANGE(
      ""1ZHMy3vVUd_0MrSduXTe1etBb1HNpAlGwQr006ljwMiM"",
      ""GSC最新!A:R""
    ),
    8,
    FALSE
  ),
  0
)
"),0.0)</f>
        <v>0</v>
      </c>
      <c r="S76" s="9">
        <f>IFERROR(__xludf.DUMMYFUNCTION("IFERROR(
  VLOOKUP(
    A76,
    IMPORTRANGE(
      ""1ZHMy3vVUd_0MrSduXTe1etBb1HNpAlGwQr006ljwMiM"",
      ""GSC最新!A:R""
    ),
    11,
    FALSE
  ),
  0
)
"),0.0)</f>
        <v>0</v>
      </c>
      <c r="T76" s="9">
        <f>IFERROR(__xludf.DUMMYFUNCTION("IFERROR(
  VLOOKUP(
    A76,
    IMPORTRANGE(
      ""1ZHMy3vVUd_0MrSduXTe1etBb1HNpAlGwQr006ljwMiM"",
      ""GSC最新!A:R""
    ),
    14,
    FALSE
  ),
  0
)
"),0.0)</f>
        <v>0</v>
      </c>
      <c r="U76" s="9">
        <f>IFERROR(__xludf.DUMMYFUNCTION("IFERROR(
  VLOOKUP(
    A76,
    IMPORTRANGE(
      ""1ZHMy3vVUd_0MrSduXTe1etBb1HNpAlGwQr006ljwMiM"",
      ""GSC最新!A:R""
    ),
    17,
    FALSE
  ),
  0
)
"),0.0)</f>
        <v>0</v>
      </c>
      <c r="V76" s="9">
        <f t="shared" ref="V76:W76" si="373">IFERROR(R76-T76,"-")</f>
        <v>0</v>
      </c>
      <c r="W76" s="9">
        <f t="shared" si="373"/>
        <v>0</v>
      </c>
      <c r="X76" s="65" t="str">
        <f>IFERROR(__xludf.DUMMYFUNCTION("IFERROR(
  VLOOKUP(
    A76,
    IMPORTRANGE(
      ""1ZHMy3vVUd_0MrSduXTe1etBb1HNpAlGwQr006ljwMiM"",
      ""GSC最新!A:R""
    ),
    9,
    FALSE
  ),
  0
)
"),"")</f>
        <v/>
      </c>
      <c r="Y76" s="65" t="str">
        <f>IFERROR(__xludf.DUMMYFUNCTION("IFERROR(
  VLOOKUP(
    A76,
    IMPORTRANGE(
      ""1ZHMy3vVUd_0MrSduXTe1etBb1HNpAlGwQr006ljwMiM"",
      ""GSC最新!A:R""
    ),
    12,
    FALSE
  ),
  0
)
"),"")</f>
        <v/>
      </c>
      <c r="Z76" s="65" t="str">
        <f>IFERROR(__xludf.DUMMYFUNCTION("IFERROR(
  VLOOKUP(
    A76,
    IMPORTRANGE(
      ""1ZHMy3vVUd_0MrSduXTe1etBb1HNpAlGwQr006ljwMiM"",
      ""GSC最新!A:R""
    ),
    15,
    FALSE
  ),
  0
)
"),"")</f>
        <v/>
      </c>
      <c r="AA76" s="65" t="str">
        <f>IFERROR(__xludf.DUMMYFUNCTION("IFERROR(
  VLOOKUP(
    A76,
    IMPORTRANGE(
      ""1ZHMy3vVUd_0MrSduXTe1etBb1HNpAlGwQr006ljwMiM"",
      ""GSC最新!A:R""
    ),
    18,
    FALSE
  ),
  0
)
"),"")</f>
        <v/>
      </c>
      <c r="AB76" s="65">
        <f t="shared" ref="AB76:AC76" si="374">X76-Z76</f>
        <v>0</v>
      </c>
      <c r="AC76" s="65">
        <f t="shared" si="374"/>
        <v>0</v>
      </c>
      <c r="AD76" s="53">
        <f>IFERROR(__xludf.DUMMYFUNCTION("IFERROR(
  VLOOKUP(
    A76,
    IMPORTRANGE(
      ""1ZHMy3vVUd_0MrSduXTe1etBb1HNpAlGwQr006ljwMiM"",
      ""GSC最新!A:F""
    ),
    6,
    FALSE
  ),
  0
)
"),46081.0)</f>
        <v>46081</v>
      </c>
      <c r="AE76" s="54">
        <f>IFERROR(__xludf.DUMMYFUNCTION("IFERROR(
  VLOOKUP(
    A76,
    IMPORTRANGE(
      ""1SCYQd7_cobOYqT0r_F0IqD4tE4rYn5y8Eup4PJTH8es"",
      ""Snapshot!A:M""
    ),
    5,
    FALSE
  ),
  ""-""
)
"),7.0)</f>
        <v>7</v>
      </c>
      <c r="AF76" s="54">
        <f>IFERROR(__xludf.DUMMYFUNCTION("IFERROR(
  VLOOKUP(
    A76,
    IMPORTRANGE(
      ""1SCYQd7_cobOYqT0r_F0IqD4tE4rYn5y8Eup4PJTH8es"",
      ""Snapshot!A:M""
    ),
    6,
    FALSE
  ),
  0
)
"),11.0)</f>
        <v>11</v>
      </c>
      <c r="AG76" s="54">
        <f>IFERROR(__xludf.DUMMYFUNCTION("IFERROR(
  VLOOKUP(
    A76,
    IMPORTRANGE(
      ""1SCYQd7_cobOYqT0r_F0IqD4tE4rYn5y8Eup4PJTH8es"",
      ""Snapshot!A:M""
    ),
    7,
    FALSE
  ),
  0
)
"),4045.0)</f>
        <v>4045</v>
      </c>
      <c r="AH76" s="54">
        <f>IFERROR(__xludf.DUMMYFUNCTION("IFERROR(
  VLOOKUP(
    A76,
    IMPORTRANGE(
      ""1SCYQd7_cobOYqT0r_F0IqD4tE4rYn5y8Eup4PJTH8es"",
      ""Snapshot!A:M""
    ),
    8,
    FALSE
  ),
  0
)
"),8.0)</f>
        <v>8</v>
      </c>
      <c r="AI76" s="54">
        <f>IFERROR(__xludf.DUMMYFUNCTION("IFERROR(
  VLOOKUP(
    A76,
    IMPORTRANGE(
      ""1SCYQd7_cobOYqT0r_F0IqD4tE4rYn5y8Eup4PJTH8es"",
      ""Snapshot!A:M""
    ),
    9,
    FALSE
  ),
  0
)
"),1.0)</f>
        <v>1</v>
      </c>
      <c r="AJ76" s="54">
        <f>IFERROR(__xludf.DUMMYFUNCTION("IFERROR(
  VLOOKUP(
    A76,
    IMPORTRANGE(
      ""1SCYQd7_cobOYqT0r_F0IqD4tE4rYn5y8Eup4PJTH8es"",
      ""Snapshot!A:M""
    ),
    13,
    FALSE
  ),
  0
)
"),2.0)</f>
        <v>2</v>
      </c>
      <c r="AK76" s="49">
        <f t="shared" ref="AK76:AL76" si="375">LEN(C76)</f>
        <v>61</v>
      </c>
      <c r="AL76" s="49">
        <f t="shared" si="375"/>
        <v>55</v>
      </c>
    </row>
    <row r="77">
      <c r="A77" s="56" t="s">
        <v>1297</v>
      </c>
      <c r="B77" s="1" t="str">
        <f>IFERROR(__xludf.DUMMYFUNCTION("IFERROR(
  VLOOKUP(
    A77,
    IMPORTRANGE(
      ""1ZygntHC1J6IxzKbTidmOyf5nUyW4GCLurHCjexrLm_o"",
      ""HTMLキャッシュ!A:F""
    ),
    2,
    FALSE
  ),
  0
)
"),"MC")</f>
        <v>MC</v>
      </c>
      <c r="C77" s="1" t="str">
        <f>IFERROR(__xludf.DUMMYFUNCTION("IFERROR(
  VLOOKUP(
    A77,
    IMPORTRANGE(
      ""1ZygntHC1J6IxzKbTidmOyf5nUyW4GCLurHCjexrLm_o"",
      ""HTMLキャッシュ!A:F""
    ),
    5,
    FALSE
  ),
  0
)
"),"光合成・呼吸・蒸散がごちゃごちゃ→“出入りする物質”と“条件”で整理 - 中学受験 理科の個別指導 | 受験理科専門塾「しゅん吉クエスト」")</f>
        <v>光合成・呼吸・蒸散がごちゃごちゃ→“出入りする物質”と“条件”で整理 - 中学受験 理科の個別指導 | 受験理科専門塾「しゅん吉クエスト」</v>
      </c>
      <c r="D77" s="1" t="str">
        <f>IFERROR(__xludf.DUMMYFUNCTION("IFERROR(
  VLOOKUP(
    A77,
    IMPORTRANGE(
      ""1ZygntHC1J6IxzKbTidmOyf5nUyW4GCLurHCjexrLm_o        "",
      ""HTMLキャッシュ!A:F""
    ),
    6,
    FALSE
  ),
  0
)
"),"中学受験理科／生物 テーマ：暗記量を増やさず「混線」をほどく整理 悩み起点 出入りする物質で整理 条件（光・葉")</f>
        <v>中学受験理科／生物 テーマ：暗記量を増やさず「混線」をほどく整理 悩み起点 出入りする物質で整理 条件（光・葉</v>
      </c>
      <c r="E77" s="32">
        <f>IFERROR(__xludf.DUMMYFUNCTION("IFERROR(
  VLOOKUP(
    A77,
    IMPORTRANGE(
      ""1ZygntHC1J6IxzKbTidmOyf5nUyW4GCLurHCjexrLm_o        "",
      ""HTMLキャッシュ!A:F""
    ),
    3,
    FALSE
  ),
  0
)
"),46081.15137731482)</f>
        <v>46081.15138</v>
      </c>
      <c r="F77" s="49">
        <f>IFERROR(__xludf.DUMMYFUNCTION("IFERROR(
  VLOOKUP(
    A77,
    IMPORTRANGE(
      ""1ZHMy3vVUd_0MrSduXTe1etBb1HNpAlGwQr006ljwMiM"",
      ""GSC最新!A:F""
    ),
    2,
    FALSE
  ),
  0
)
"),0.0)</f>
        <v>0</v>
      </c>
      <c r="G77" s="49">
        <f>IFERROR(__xludf.DUMMYFUNCTION("IFERROR(
  VLOOKUP(
    A77,
    IMPORTRANGE(
      ""1ZHMy3vVUd_0MrSduXTe1etBb1HNpAlGwQr006ljwMiM"",
      ""GSC最新!A:F""
    ),
    3,
    FALSE
  ),
  0
)
"),0.0)</f>
        <v>0</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"),0.0)</f>
        <v>0</v>
      </c>
      <c r="J77" s="50" t="str">
        <f t="shared" ref="J77:K77" si="376">IFERROR(F77/H77,"-")</f>
        <v>-</v>
      </c>
      <c r="K77" s="50" t="str">
        <f t="shared" si="376"/>
        <v>-</v>
      </c>
      <c r="L77" s="6">
        <f>IFERROR(__xludf.DUMMYFUNCTION("IFERROR(
  VLOOKUP(
    A77,
    IMPORTRANGE(
      ""1ZHMy3vVUd_0MrSduXTe1etBb1HNpAlGwQr006ljwMiM"",
      ""GSC最新!A:R""
    ),
    7,
    FALSE
  ),
  0
)
"),0.0)</f>
        <v>0</v>
      </c>
      <c r="M77" s="6">
        <f>IFERROR(__xludf.DUMMYFUNCTION("IFERROR(
  VLOOKUP(
    A77,
    IMPORTRANGE(
      ""1ZHMy3vVUd_0MrSduXTe1etBb1HNpAlGwQr006ljwMiM"",
      ""GSC最新!A:R""
    ),
    10,
    FALSE
  ),
  0
)
"),0.0)</f>
        <v>0</v>
      </c>
      <c r="N77" s="6">
        <f>IFERROR(__xludf.DUMMYFUNCTION("IFERROR(
  VLOOKUP(
    A77,
    IMPORTRANGE(
      ""1ZHMy3vVUd_0MrSduXTe1etBb1HNpAlGwQr006ljwMiM"",
      ""GSC最新!A:R""
    ),
    13,
    FALSE
  ),
  0
)
"),0.0)</f>
        <v>0</v>
      </c>
      <c r="O77" s="6">
        <f>IFERROR(__xludf.DUMMYFUNCTION("IFERROR(
  VLOOKUP(
    A77,
    IMPORTRANGE(
      ""1ZHMy3vVUd_0MrSduXTe1etBb1HNpAlGwQr006ljwMiM"",
      ""GSC最新!A:R""
    ),
    16,
    FALSE
  ),
  0
)
"),0.0)</f>
        <v>0</v>
      </c>
      <c r="P77" s="51" t="str">
        <f t="shared" ref="P77:Q77" si="377">IFERROR(L77/N77,"-")</f>
        <v>-</v>
      </c>
      <c r="Q77" s="51" t="str">
        <f t="shared" si="377"/>
        <v>-</v>
      </c>
      <c r="R77" s="9">
        <f>IFERROR(__xludf.DUMMYFUNCTION("IFERROR(
  VLOOKUP(
    A77,
    IMPORTRANGE(
      ""1ZHMy3vVUd_0MrSduXTe1etBb1HNpAlGwQr006ljwMiM"",
      ""GSC最新!A:R""
    ),
    8,
    FALSE
  ),
  0
)
"),0.0)</f>
        <v>0</v>
      </c>
      <c r="S77" s="9">
        <f>IFERROR(__xludf.DUMMYFUNCTION("IFERROR(
  VLOOKUP(
    A77,
    IMPORTRANGE(
      ""1ZHMy3vVUd_0MrSduXTe1etBb1HNpAlGwQr006ljwMiM"",
      ""GSC最新!A:R""
    ),
    11,
    FALSE
  ),
  0
)
"),0.0)</f>
        <v>0</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f>
        <v>0</v>
      </c>
      <c r="V77" s="9">
        <f t="shared" ref="V77:W77" si="378">IFERROR(R77-T77,"-")</f>
        <v>0</v>
      </c>
      <c r="W77" s="9">
        <f t="shared" si="378"/>
        <v>0</v>
      </c>
      <c r="X77" s="65" t="str">
        <f>IFERROR(__xludf.DUMMYFUNCTION("IFERROR(
  VLOOKUP(
    A77,
    IMPORTRANGE(
      ""1ZHMy3vVUd_0MrSduXTe1etBb1HNpAlGwQr006ljwMiM"",
      ""GSC最新!A:R""
    ),
    9,
    FALSE
  ),
  0
)
"),"")</f>
        <v/>
      </c>
      <c r="Y77" s="65" t="str">
        <f>IFERROR(__xludf.DUMMYFUNCTION("IFERROR(
  VLOOKUP(
    A77,
    IMPORTRANGE(
      ""1ZHMy3vVUd_0MrSduXTe1etBb1HNpAlGwQr006ljwMiM"",
      ""GSC最新!A:R""
    ),
    12,
    FALSE
  ),
  0
)
"),"")</f>
        <v/>
      </c>
      <c r="Z77" s="65" t="str">
        <f>IFERROR(__xludf.DUMMYFUNCTION("IFERROR(
  VLOOKUP(
    A77,
    IMPORTRANGE(
      ""1ZHMy3vVUd_0MrSduXTe1etBb1HNpAlGwQr006ljwMiM"",
      ""GSC最新!A:R""
    ),
    15,
    FALSE
  ),
  0
)
"),"")</f>
        <v/>
      </c>
      <c r="AA77" s="65" t="str">
        <f>IFERROR(__xludf.DUMMYFUNCTION("IFERROR(
  VLOOKUP(
    A77,
    IMPORTRANGE(
      ""1ZHMy3vVUd_0MrSduXTe1etBb1HNpAlGwQr006ljwMiM"",
      ""GSC最新!A:R""
    ),
    18,
    FALSE
  ),
  0
)
"),"")</f>
        <v/>
      </c>
      <c r="AB77" s="65">
        <f t="shared" ref="AB77:AC77" si="379">X77-Z77</f>
        <v>0</v>
      </c>
      <c r="AC77" s="65">
        <f t="shared" si="379"/>
        <v>0</v>
      </c>
      <c r="AD77" s="53">
        <f>IFERROR(__xludf.DUMMYFUNCTION("IFERROR(
  VLOOKUP(
    A77,
    IMPORTRANGE(
      ""1ZHMy3vVUd_0MrSduXTe1etBb1HNpAlGwQr006ljwMiM"",
      ""GSC最新!A:F""
    ),
    6,
    FALSE
  ),
  0
)
"),46081.0)</f>
        <v>46081</v>
      </c>
      <c r="AE77" s="54">
        <f>IFERROR(__xludf.DUMMYFUNCTION("IFERROR(
  VLOOKUP(
    A77,
    IMPORTRANGE(
      ""1SCYQd7_cobOYqT0r_F0IqD4tE4rYn5y8Eup4PJTH8es"",
      ""Snapshot!A:M""
    ),
    5,
    FALSE
  ),
  ""-""
)
"),7.0)</f>
        <v>7</v>
      </c>
      <c r="AF77" s="54">
        <f>IFERROR(__xludf.DUMMYFUNCTION("IFERROR(
  VLOOKUP(
    A77,
    IMPORTRANGE(
      ""1SCYQd7_cobOYqT0r_F0IqD4tE4rYn5y8Eup4PJTH8es"",
      ""Snapshot!A:M""
    ),
    6,
    FALSE
  ),
  0
)
"),10.0)</f>
        <v>10</v>
      </c>
      <c r="AG77" s="54">
        <f>IFERROR(__xludf.DUMMYFUNCTION("IFERROR(
  VLOOKUP(
    A77,
    IMPORTRANGE(
      ""1SCYQd7_cobOYqT0r_F0IqD4tE4rYn5y8Eup4PJTH8es"",
      ""Snapshot!A:M""
    ),
    7,
    FALSE
  ),
  0
)
"),4063.0)</f>
        <v>4063</v>
      </c>
      <c r="AH77" s="54">
        <f>IFERROR(__xludf.DUMMYFUNCTION("IFERROR(
  VLOOKUP(
    A77,
    IMPORTRANGE(
      ""1SCYQd7_cobOYqT0r_F0IqD4tE4rYn5y8Eup4PJTH8es"",
      ""Snapshot!A:M""
    ),
    8,
    FALSE
  ),
  0
)
"),9.0)</f>
        <v>9</v>
      </c>
      <c r="AI77" s="54">
        <f>IFERROR(__xludf.DUMMYFUNCTION("IFERROR(
  VLOOKUP(
    A77,
    IMPORTRANGE(
      ""1SCYQd7_cobOYqT0r_F0IqD4tE4rYn5y8Eup4PJTH8es"",
      ""Snapshot!A:M""
    ),
    9,
    FALSE
  ),
  0
)
"),1.0)</f>
        <v>1</v>
      </c>
      <c r="AJ77" s="54">
        <f>IFERROR(__xludf.DUMMYFUNCTION("IFERROR(
  VLOOKUP(
    A77,
    IMPORTRANGE(
      ""1SCYQd7_cobOYqT0r_F0IqD4tE4rYn5y8Eup4PJTH8es"",
      ""Snapshot!A:M""
    ),
    13,
    FALSE
  ),
  0
)
"),2.0)</f>
        <v>2</v>
      </c>
      <c r="AK77" s="49">
        <f t="shared" ref="AK77:AL77" si="380">LEN(C77)</f>
        <v>69</v>
      </c>
      <c r="AL77" s="49">
        <f t="shared" si="380"/>
        <v>55</v>
      </c>
    </row>
    <row r="78">
      <c r="A78" s="56" t="s">
        <v>1298</v>
      </c>
      <c r="B78" s="1" t="str">
        <f>IFERROR(__xludf.DUMMYFUNCTION("IFERROR(
  VLOOKUP(
    A78,
    IMPORTRANGE(
      ""1ZygntHC1J6IxzKbTidmOyf5nUyW4GCLurHCjexrLm_o"",
      ""HTMLキャッシュ!A:F""
    ),
    2,
    FALSE
  ),
  0
)
"),"MC")</f>
        <v>MC</v>
      </c>
      <c r="C78" s="1" t="str">
        <f>IFERROR(__xludf.DUMMYFUNCTION("IFERROR(
  VLOOKUP(
    A78,
    IMPORTRANGE(
      ""1ZygntHC1J6IxzKbTidmOyf5nUyW4GCLurHCjexrLm_o"",
      ""HTMLキャッシュ!A:F""
    ),
    5,
    FALSE
  ),
  0
)
"),"物理のグラフ問題が苦手→変化を言葉→式の順で処理（比例/反比例/増減） - 中学受験 理科の個別指導 | 受験理科専門塾「しゅん吉クエスト」")</f>
        <v>物理のグラフ問題が苦手→変化を言葉→式の順で処理（比例/反比例/増減） - 中学受験 理科の個別指導 | 受験理科専門塾「しゅん吉クエスト」</v>
      </c>
      <c r="D78" s="1" t="str">
        <f>IFERROR(__xludf.DUMMYFUNCTION("IFERROR(
  VLOOKUP(
    A78,
    IMPORTRANGE(
      ""1ZygntHC1J6IxzKbTidmOyf5nUyW4GCLurHCjexrLm_o        "",
      ""HTMLキャッシュ!A:F""
    ),
    6,
    FALSE
  ),
  0
)
"),"中学受験理科／物理 テーマ：グラフは「変化を言葉→式」の順で処理して手が止まる場面を減らす 悩み起点 言葉→式")</f>
        <v>中学受験理科／物理 テーマ：グラフは「変化を言葉→式」の順で処理して手が止まる場面を減らす 悩み起点 言葉→式</v>
      </c>
      <c r="E78" s="32">
        <f>IFERROR(__xludf.DUMMYFUNCTION("IFERROR(
  VLOOKUP(
    A78,
    IMPORTRANGE(
      ""1ZygntHC1J6IxzKbTidmOyf5nUyW4GCLurHCjexrLm_o        "",
      ""HTMLキャッシュ!A:F""
    ),
    3,
    FALSE
  ),
  0
)
"),46081.10271990741)</f>
        <v>46081.10272</v>
      </c>
      <c r="F78" s="49">
        <f>IFERROR(__xludf.DUMMYFUNCTION("IFERROR(
  VLOOKUP(
    A78,
    IMPORTRANGE(
      ""1ZHMy3vVUd_0MrSduXTe1etBb1HNpAlGwQr006ljwMiM"",
      ""GSC最新!A:F""
    ),
    2,
    FALSE
  ),
  0
)
"),0.0)</f>
        <v>0</v>
      </c>
      <c r="G78" s="49">
        <f>IFERROR(__xludf.DUMMYFUNCTION("IFERROR(
  VLOOKUP(
    A78,
    IMPORTRANGE(
      ""1ZHMy3vVUd_0MrSduXTe1etBb1HNpAlGwQr006ljwMiM"",
      ""GSC最新!A:F""
    ),
    3,
    FALSE
  ),
  0
)
"),0.0)</f>
        <v>0</v>
      </c>
      <c r="H78" s="49">
        <f>IFERROR(__xludf.DUMMYFUNCTION("IFERROR(
  VLOOKUP(
    A78,
    IMPORTRANGE(
      ""1ZHMy3vVUd_0MrSduXTe1etBb1HNpAlGwQr006ljwMiM"",
      ""GSC最新!A:F""
    ),
    4,
    FALSE
  ),
  0
)
"),0.0)</f>
        <v>0</v>
      </c>
      <c r="I78" s="49">
        <f>IFERROR(__xludf.DUMMYFUNCTION("IFERROR(
  VLOOKUP(
    A78,
    IMPORTRANGE(
      ""1ZHMy3vVUd_0MrSduXTe1etBb1HNpAlGwQr006ljwMiM"",
      ""GSC最新!A:F""
    ),
    5,
    FALSE
  ),
  0
)
"),0.0)</f>
        <v>0</v>
      </c>
      <c r="J78" s="50" t="str">
        <f t="shared" ref="J78:K78" si="381">IFERROR(F78/H78,"-")</f>
        <v>-</v>
      </c>
      <c r="K78" s="50" t="str">
        <f t="shared" si="381"/>
        <v>-</v>
      </c>
      <c r="L78" s="6">
        <f>IFERROR(__xludf.DUMMYFUNCTION("IFERROR(
  VLOOKUP(
    A78,
    IMPORTRANGE(
      ""1ZHMy3vVUd_0MrSduXTe1etBb1HNpAlGwQr006ljwMiM"",
      ""GSC最新!A:R""
    ),
    7,
    FALSE
  ),
  0
)
"),0.0)</f>
        <v>0</v>
      </c>
      <c r="M78" s="6">
        <f>IFERROR(__xludf.DUMMYFUNCTION("IFERROR(
  VLOOKUP(
    A78,
    IMPORTRANGE(
      ""1ZHMy3vVUd_0MrSduXTe1etBb1HNpAlGwQr006ljwMiM"",
      ""GSC最新!A:R""
    ),
    10,
    FALSE
  ),
  0
)
"),0.0)</f>
        <v>0</v>
      </c>
      <c r="N78" s="6">
        <f>IFERROR(__xludf.DUMMYFUNCTION("IFERROR(
  VLOOKUP(
    A78,
    IMPORTRANGE(
      ""1ZHMy3vVUd_0MrSduXTe1etBb1HNpAlGwQr006ljwMiM"",
      ""GSC最新!A:R""
    ),
    13,
    FALSE
  ),
  0
)
"),0.0)</f>
        <v>0</v>
      </c>
      <c r="O78" s="6">
        <f>IFERROR(__xludf.DUMMYFUNCTION("IFERROR(
  VLOOKUP(
    A78,
    IMPORTRANGE(
      ""1ZHMy3vVUd_0MrSduXTe1etBb1HNpAlGwQr006ljwMiM"",
      ""GSC最新!A:R""
    ),
    16,
    FALSE
  ),
  0
)
"),0.0)</f>
        <v>0</v>
      </c>
      <c r="P78" s="51" t="str">
        <f t="shared" ref="P78:Q78" si="382">IFERROR(L78/N78,"-")</f>
        <v>-</v>
      </c>
      <c r="Q78" s="51" t="str">
        <f t="shared" si="382"/>
        <v>-</v>
      </c>
      <c r="R78" s="9">
        <f>IFERROR(__xludf.DUMMYFUNCTION("IFERROR(
  VLOOKUP(
    A78,
    IMPORTRANGE(
      ""1ZHMy3vVUd_0MrSduXTe1etBb1HNpAlGwQr006ljwMiM"",
      ""GSC最新!A:R""
    ),
    8,
    FALSE
  ),
  0
)
"),0.0)</f>
        <v>0</v>
      </c>
      <c r="S78" s="9">
        <f>IFERROR(__xludf.DUMMYFUNCTION("IFERROR(
  VLOOKUP(
    A78,
    IMPORTRANGE(
      ""1ZHMy3vVUd_0MrSduXTe1etBb1HNpAlGwQr006ljwMiM"",
      ""GSC最新!A:R""
    ),
    11,
    FALSE
  ),
  0
)
"),0.0)</f>
        <v>0</v>
      </c>
      <c r="T78" s="9">
        <f>IFERROR(__xludf.DUMMYFUNCTION("IFERROR(
  VLOOKUP(
    A78,
    IMPORTRANGE(
      ""1ZHMy3vVUd_0MrSduXTe1etBb1HNpAlGwQr006ljwMiM"",
      ""GSC最新!A:R""
    ),
    14,
    FALSE
  ),
  0
)
"),0.0)</f>
        <v>0</v>
      </c>
      <c r="U78" s="9">
        <f>IFERROR(__xludf.DUMMYFUNCTION("IFERROR(
  VLOOKUP(
    A78,
    IMPORTRANGE(
      ""1ZHMy3vVUd_0MrSduXTe1etBb1HNpAlGwQr006ljwMiM"",
      ""GSC最新!A:R""
    ),
    17,
    FALSE
  ),
  0
)
"),0.0)</f>
        <v>0</v>
      </c>
      <c r="V78" s="9">
        <f t="shared" ref="V78:W78" si="383">IFERROR(R78-T78,"-")</f>
        <v>0</v>
      </c>
      <c r="W78" s="9">
        <f t="shared" si="383"/>
        <v>0</v>
      </c>
      <c r="X78" s="65" t="str">
        <f>IFERROR(__xludf.DUMMYFUNCTION("IFERROR(
  VLOOKUP(
    A78,
    IMPORTRANGE(
      ""1ZHMy3vVUd_0MrSduXTe1etBb1HNpAlGwQr006ljwMiM"",
      ""GSC最新!A:R""
    ),
    9,
    FALSE
  ),
  0
)
"),"")</f>
        <v/>
      </c>
      <c r="Y78" s="65" t="str">
        <f>IFERROR(__xludf.DUMMYFUNCTION("IFERROR(
  VLOOKUP(
    A78,
    IMPORTRANGE(
      ""1ZHMy3vVUd_0MrSduXTe1etBb1HNpAlGwQr006ljwMiM"",
      ""GSC最新!A:R""
    ),
    12,
    FALSE
  ),
  0
)
"),"")</f>
        <v/>
      </c>
      <c r="Z78" s="65" t="str">
        <f>IFERROR(__xludf.DUMMYFUNCTION("IFERROR(
  VLOOKUP(
    A78,
    IMPORTRANGE(
      ""1ZHMy3vVUd_0MrSduXTe1etBb1HNpAlGwQr006ljwMiM"",
      ""GSC最新!A:R""
    ),
    15,
    FALSE
  ),
  0
)
"),"")</f>
        <v/>
      </c>
      <c r="AA78" s="65" t="str">
        <f>IFERROR(__xludf.DUMMYFUNCTION("IFERROR(
  VLOOKUP(
    A78,
    IMPORTRANGE(
      ""1ZHMy3vVUd_0MrSduXTe1etBb1HNpAlGwQr006ljwMiM"",
      ""GSC最新!A:R""
    ),
    18,
    FALSE
  ),
  0
)
"),"")</f>
        <v/>
      </c>
      <c r="AB78" s="65">
        <f t="shared" ref="AB78:AC78" si="384">X78-Z78</f>
        <v>0</v>
      </c>
      <c r="AC78" s="65">
        <f t="shared" si="384"/>
        <v>0</v>
      </c>
      <c r="AD78" s="53">
        <f>IFERROR(__xludf.DUMMYFUNCTION("IFERROR(
  VLOOKUP(
    A78,
    IMPORTRANGE(
      ""1ZHMy3vVUd_0MrSduXTe1etBb1HNpAlGwQr006ljwMiM"",
      ""GSC最新!A:F""
    ),
    6,
    FALSE
  ),
  0
)
"),46081.0)</f>
        <v>46081</v>
      </c>
      <c r="AE78" s="54">
        <f>IFERROR(__xludf.DUMMYFUNCTION("IFERROR(
  VLOOKUP(
    A78,
    IMPORTRANGE(
      ""1SCYQd7_cobOYqT0r_F0IqD4tE4rYn5y8Eup4PJTH8es"",
      ""Snapshot!A:M""
    ),
    5,
    FALSE
  ),
  ""-""
)
"),7.0)</f>
        <v>7</v>
      </c>
      <c r="AF78" s="54">
        <f>IFERROR(__xludf.DUMMYFUNCTION("IFERROR(
  VLOOKUP(
    A78,
    IMPORTRANGE(
      ""1SCYQd7_cobOYqT0r_F0IqD4tE4rYn5y8Eup4PJTH8es"",
      ""Snapshot!A:M""
    ),
    6,
    FALSE
  ),
  0
)
"),11.0)</f>
        <v>11</v>
      </c>
      <c r="AG78" s="54">
        <f>IFERROR(__xludf.DUMMYFUNCTION("IFERROR(
  VLOOKUP(
    A78,
    IMPORTRANGE(
      ""1SCYQd7_cobOYqT0r_F0IqD4tE4rYn5y8Eup4PJTH8es"",
      ""Snapshot!A:M""
    ),
    7,
    FALSE
  ),
  0
)
"),3970.0)</f>
        <v>3970</v>
      </c>
      <c r="AH78" s="54">
        <f>IFERROR(__xludf.DUMMYFUNCTION("IFERROR(
  VLOOKUP(
    A78,
    IMPORTRANGE(
      ""1SCYQd7_cobOYqT0r_F0IqD4tE4rYn5y8Eup4PJTH8es"",
      ""Snapshot!A:M""
    ),
    8,
    FALSE
  ),
  0
)
"),9.0)</f>
        <v>9</v>
      </c>
      <c r="AI78" s="54">
        <f>IFERROR(__xludf.DUMMYFUNCTION("IFERROR(
  VLOOKUP(
    A78,
    IMPORTRANGE(
      ""1SCYQd7_cobOYqT0r_F0IqD4tE4rYn5y8Eup4PJTH8es"",
      ""Snapshot!A:M""
    ),
    9,
    FALSE
  ),
  0
)
"),1.0)</f>
        <v>1</v>
      </c>
      <c r="AJ78" s="54">
        <f>IFERROR(__xludf.DUMMYFUNCTION("IFERROR(
  VLOOKUP(
    A78,
    IMPORTRANGE(
      ""1SCYQd7_cobOYqT0r_F0IqD4tE4rYn5y8Eup4PJTH8es"",
      ""Snapshot!A:M""
    ),
    13,
    FALSE
  ),
  0
)
"),2.0)</f>
        <v>2</v>
      </c>
      <c r="AK78" s="49">
        <f t="shared" ref="AK78:AL78" si="385">LEN(C78)</f>
        <v>70</v>
      </c>
      <c r="AL78" s="49">
        <f t="shared" si="385"/>
        <v>55</v>
      </c>
    </row>
    <row r="79">
      <c r="A79" s="56" t="s">
        <v>1299</v>
      </c>
      <c r="B79" s="1" t="str">
        <f>IFERROR(__xludf.DUMMYFUNCTION("IFERROR(
  VLOOKUP(
    A79,
    IMPORTRANGE(
      ""1ZygntHC1J6IxzKbTidmOyf5nUyW4GCLurHCjexrLm_o"",
      ""HTMLキャッシュ!A:F""
    ),
    2,
    FALSE
  ),
  0
)
"),"MC")</f>
        <v>MC</v>
      </c>
      <c r="C79" s="1" t="str">
        <f>IFERROR(__xludf.DUMMYFUNCTION("IFERROR(
  VLOOKUP(
    A79,
    IMPORTRANGE(
      ""1ZygntHC1J6IxzKbTidmOyf5nUyW4GCLurHCjexrLm_o"",
      ""HTMLキャッシュ!A:F""
    ),
    5,
    FALSE
  ),
  0
)
"),"圧力・水圧・浮力が混乱→比べる量（面積/深さ/体積）を整理して解く - 中学受験 理科の個別指導 | 受験理科専門塾「しゅん吉クエスト」")</f>
        <v>圧力・水圧・浮力が混乱→比べる量（面積/深さ/体積）を整理して解く - 中学受験 理科の個別指導 | 受験理科専門塾「しゅん吉クエスト」</v>
      </c>
      <c r="D79" s="1" t="str">
        <f>IFERROR(__xludf.DUMMYFUNCTION("IFERROR(
  VLOOKUP(
    A79,
    IMPORTRANGE(
      ""1ZygntHC1J6IxzKbTidmOyf5nUyW4GCLurHCjexrLm_o        "",
      ""HTMLキャッシュ!A:F""
    ),
    6,
    FALSE
  ),
  0
)
"),"中学受験理科／物理 テーマ：圧力・水圧・浮力は「比べる量」を一定にして混乱を止める 悩み起点 比べる量の整理")</f>
        <v>中学受験理科／物理 テーマ：圧力・水圧・浮力は「比べる量」を一定にして混乱を止める 悩み起点 比べる量の整理</v>
      </c>
      <c r="E79" s="32">
        <f>IFERROR(__xludf.DUMMYFUNCTION("IFERROR(
  VLOOKUP(
    A79,
    IMPORTRANGE(
      ""1ZygntHC1J6IxzKbTidmOyf5nUyW4GCLurHCjexrLm_o        "",
      ""HTMLキャッシュ!A:F""
    ),
    3,
    FALSE
  ),
  0
)
"),46085.00289351852)</f>
        <v>46085.00289</v>
      </c>
      <c r="F79" s="49">
        <f>IFERROR(__xludf.DUMMYFUNCTION("IFERROR(
  VLOOKUP(
    A79,
    IMPORTRANGE(
      ""1ZHMy3vVUd_0MrSduXTe1etBb1HNpAlGwQr006ljwMiM"",
      ""GSC最新!A:F""
    ),
    2,
    FALSE
  ),
  0
)
"),0.0)</f>
        <v>0</v>
      </c>
      <c r="G79" s="49">
        <f>IFERROR(__xludf.DUMMYFUNCTION("IFERROR(
  VLOOKUP(
    A79,
    IMPORTRANGE(
      ""1ZHMy3vVUd_0MrSduXTe1etBb1HNpAlGwQr006ljwMiM"",
      ""GSC最新!A:F""
    ),
    3,
    FALSE
  ),
  0
)
"),0.0)</f>
        <v>0</v>
      </c>
      <c r="H79" s="49">
        <f>IFERROR(__xludf.DUMMYFUNCTION("IFERROR(
  VLOOKUP(
    A79,
    IMPORTRANGE(
      ""1ZHMy3vVUd_0MrSduXTe1etBb1HNpAlGwQr006ljwMiM"",
      ""GSC最新!A:F""
    ),
    4,
    FALSE
  ),
  0
)
"),0.0)</f>
        <v>0</v>
      </c>
      <c r="I79" s="49">
        <f>IFERROR(__xludf.DUMMYFUNCTION("IFERROR(
  VLOOKUP(
    A79,
    IMPORTRANGE(
      ""1ZHMy3vVUd_0MrSduXTe1etBb1HNpAlGwQr006ljwMiM"",
      ""GSC最新!A:F""
    ),
    5,
    FALSE
  ),
  0
)
"),0.0)</f>
        <v>0</v>
      </c>
      <c r="J79" s="50" t="str">
        <f t="shared" ref="J79:K79" si="386">IFERROR(F79/H79,"-")</f>
        <v>-</v>
      </c>
      <c r="K79" s="50" t="str">
        <f t="shared" si="386"/>
        <v>-</v>
      </c>
      <c r="L79" s="6">
        <f>IFERROR(__xludf.DUMMYFUNCTION("IFERROR(
  VLOOKUP(
    A79,
    IMPORTRANGE(
      ""1ZHMy3vVUd_0MrSduXTe1etBb1HNpAlGwQr006ljwMiM"",
      ""GSC最新!A:R""
    ),
    7,
    FALSE
  ),
  0
)
"),0.0)</f>
        <v>0</v>
      </c>
      <c r="M79" s="6">
        <f>IFERROR(__xludf.DUMMYFUNCTION("IFERROR(
  VLOOKUP(
    A79,
    IMPORTRANGE(
      ""1ZHMy3vVUd_0MrSduXTe1etBb1HNpAlGwQr006ljwMiM"",
      ""GSC最新!A:R""
    ),
    10,
    FALSE
  ),
  0
)
"),0.0)</f>
        <v>0</v>
      </c>
      <c r="N79" s="6">
        <f>IFERROR(__xludf.DUMMYFUNCTION("IFERROR(
  VLOOKUP(
    A79,
    IMPORTRANGE(
      ""1ZHMy3vVUd_0MrSduXTe1etBb1HNpAlGwQr006ljwMiM"",
      ""GSC最新!A:R""
    ),
    13,
    FALSE
  ),
  0
)
"),0.0)</f>
        <v>0</v>
      </c>
      <c r="O79" s="6">
        <f>IFERROR(__xludf.DUMMYFUNCTION("IFERROR(
  VLOOKUP(
    A79,
    IMPORTRANGE(
      ""1ZHMy3vVUd_0MrSduXTe1etBb1HNpAlGwQr006ljwMiM"",
      ""GSC最新!A:R""
    ),
    16,
    FALSE
  ),
  0
)
"),0.0)</f>
        <v>0</v>
      </c>
      <c r="P79" s="51" t="str">
        <f t="shared" ref="P79:Q79" si="387">IFERROR(L79/N79,"-")</f>
        <v>-</v>
      </c>
      <c r="Q79" s="51" t="str">
        <f t="shared" si="387"/>
        <v>-</v>
      </c>
      <c r="R79" s="9">
        <f>IFERROR(__xludf.DUMMYFUNCTION("IFERROR(
  VLOOKUP(
    A79,
    IMPORTRANGE(
      ""1ZHMy3vVUd_0MrSduXTe1etBb1HNpAlGwQr006ljwMiM"",
      ""GSC最新!A:R""
    ),
    8,
    FALSE
  ),
  0
)
"),0.0)</f>
        <v>0</v>
      </c>
      <c r="S79" s="9">
        <f>IFERROR(__xludf.DUMMYFUNCTION("IFERROR(
  VLOOKUP(
    A79,
    IMPORTRANGE(
      ""1ZHMy3vVUd_0MrSduXTe1etBb1HNpAlGwQr006ljwMiM"",
      ""GSC最新!A:R""
    ),
    11,
    FALSE
  ),
  0
)
"),0.0)</f>
        <v>0</v>
      </c>
      <c r="T79" s="9">
        <f>IFERROR(__xludf.DUMMYFUNCTION("IFERROR(
  VLOOKUP(
    A79,
    IMPORTRANGE(
      ""1ZHMy3vVUd_0MrSduXTe1etBb1HNpAlGwQr006ljwMiM"",
      ""GSC最新!A:R""
    ),
    14,
    FALSE
  ),
  0
)
"),0.0)</f>
        <v>0</v>
      </c>
      <c r="U79" s="9">
        <f>IFERROR(__xludf.DUMMYFUNCTION("IFERROR(
  VLOOKUP(
    A79,
    IMPORTRANGE(
      ""1ZHMy3vVUd_0MrSduXTe1etBb1HNpAlGwQr006ljwMiM"",
      ""GSC最新!A:R""
    ),
    17,
    FALSE
  ),
  0
)
"),0.0)</f>
        <v>0</v>
      </c>
      <c r="V79" s="9">
        <f t="shared" ref="V79:W79" si="388">IFERROR(R79-T79,"-")</f>
        <v>0</v>
      </c>
      <c r="W79" s="9">
        <f t="shared" si="388"/>
        <v>0</v>
      </c>
      <c r="X79" s="65" t="str">
        <f>IFERROR(__xludf.DUMMYFUNCTION("IFERROR(
  VLOOKUP(
    A79,
    IMPORTRANGE(
      ""1ZHMy3vVUd_0MrSduXTe1etBb1HNpAlGwQr006ljwMiM"",
      ""GSC最新!A:R""
    ),
    9,
    FALSE
  ),
  0
)
"),"")</f>
        <v/>
      </c>
      <c r="Y79" s="65" t="str">
        <f>IFERROR(__xludf.DUMMYFUNCTION("IFERROR(
  VLOOKUP(
    A79,
    IMPORTRANGE(
      ""1ZHMy3vVUd_0MrSduXTe1etBb1HNpAlGwQr006ljwMiM"",
      ""GSC最新!A:R""
    ),
    12,
    FALSE
  ),
  0
)
"),"")</f>
        <v/>
      </c>
      <c r="Z79" s="65" t="str">
        <f>IFERROR(__xludf.DUMMYFUNCTION("IFERROR(
  VLOOKUP(
    A79,
    IMPORTRANGE(
      ""1ZHMy3vVUd_0MrSduXTe1etBb1HNpAlGwQr006ljwMiM"",
      ""GSC最新!A:R""
    ),
    15,
    FALSE
  ),
  0
)
"),"")</f>
        <v/>
      </c>
      <c r="AA79" s="65" t="str">
        <f>IFERROR(__xludf.DUMMYFUNCTION("IFERROR(
  VLOOKUP(
    A79,
    IMPORTRANGE(
      ""1ZHMy3vVUd_0MrSduXTe1etBb1HNpAlGwQr006ljwMiM"",
      ""GSC最新!A:R""
    ),
    18,
    FALSE
  ),
  0
)
"),"")</f>
        <v/>
      </c>
      <c r="AB79" s="65">
        <f t="shared" ref="AB79:AC79" si="389">X79-Z79</f>
        <v>0</v>
      </c>
      <c r="AC79" s="65">
        <f t="shared" si="389"/>
        <v>0</v>
      </c>
      <c r="AD79" s="53">
        <f>IFERROR(__xludf.DUMMYFUNCTION("IFERROR(
  VLOOKUP(
    A79,
    IMPORTRANGE(
      ""1ZHMy3vVUd_0MrSduXTe1etBb1HNpAlGwQr006ljwMiM"",
      ""GSC最新!A:F""
    ),
    6,
    FALSE
  ),
  0
)
"),46081.0)</f>
        <v>46081</v>
      </c>
      <c r="AE79" s="54">
        <f>IFERROR(__xludf.DUMMYFUNCTION("IFERROR(
  VLOOKUP(
    A79,
    IMPORTRANGE(
      ""1SCYQd7_cobOYqT0r_F0IqD4tE4rYn5y8Eup4PJTH8es"",
      ""Snapshot!A:M""
    ),
    5,
    FALSE
  ),
  ""-""
)
"),7.0)</f>
        <v>7</v>
      </c>
      <c r="AF79" s="54">
        <f>IFERROR(__xludf.DUMMYFUNCTION("IFERROR(
  VLOOKUP(
    A79,
    IMPORTRANGE(
      ""1SCYQd7_cobOYqT0r_F0IqD4tE4rYn5y8Eup4PJTH8es"",
      ""Snapshot!A:M""
    ),
    6,
    FALSE
  ),
  0
)
"),11.0)</f>
        <v>11</v>
      </c>
      <c r="AG79" s="54">
        <f>IFERROR(__xludf.DUMMYFUNCTION("IFERROR(
  VLOOKUP(
    A79,
    IMPORTRANGE(
      ""1SCYQd7_cobOYqT0r_F0IqD4tE4rYn5y8Eup4PJTH8es"",
      ""Snapshot!A:M""
    ),
    7,
    FALSE
  ),
  0
)
"),4054.0)</f>
        <v>4054</v>
      </c>
      <c r="AH79" s="54">
        <f>IFERROR(__xludf.DUMMYFUNCTION("IFERROR(
  VLOOKUP(
    A79,
    IMPORTRANGE(
      ""1SCYQd7_cobOYqT0r_F0IqD4tE4rYn5y8Eup4PJTH8es"",
      ""Snapshot!A:M""
    ),
    8,
    FALSE
  ),
  0
)
"),10.0)</f>
        <v>10</v>
      </c>
      <c r="AI79" s="54">
        <f>IFERROR(__xludf.DUMMYFUNCTION("IFERROR(
  VLOOKUP(
    A79,
    IMPORTRANGE(
      ""1SCYQd7_cobOYqT0r_F0IqD4tE4rYn5y8Eup4PJTH8es"",
      ""Snapshot!A:M""
    ),
    9,
    FALSE
  ),
  0
)
"),1.0)</f>
        <v>1</v>
      </c>
      <c r="AJ79" s="54">
        <f>IFERROR(__xludf.DUMMYFUNCTION("IFERROR(
  VLOOKUP(
    A79,
    IMPORTRANGE(
      ""1SCYQd7_cobOYqT0r_F0IqD4tE4rYn5y8Eup4PJTH8es"",
      ""Snapshot!A:M""
    ),
    13,
    FALSE
  ),
  0
)
"),2.0)</f>
        <v>2</v>
      </c>
      <c r="AK79" s="49">
        <f t="shared" ref="AK79:AL79" si="390">LEN(C79)</f>
        <v>68</v>
      </c>
      <c r="AL79" s="49">
        <f t="shared" si="390"/>
        <v>54</v>
      </c>
    </row>
    <row r="80">
      <c r="A80" s="56" t="s">
        <v>1300</v>
      </c>
      <c r="B80" s="1" t="str">
        <f>IFERROR(__xludf.DUMMYFUNCTION("IFERROR(
  VLOOKUP(
    A80,
    IMPORTRANGE(
      ""1ZygntHC1J6IxzKbTidmOyf5nUyW4GCLurHCjexrLm_o"",
      ""HTMLキャッシュ!A:F""
    ),
    2,
    FALSE
  ),
  0
)
"),"MC")</f>
        <v>MC</v>
      </c>
      <c r="C80" s="1" t="str">
        <f>IFERROR(__xludf.DUMMYFUNCTION("IFERROR(
  VLOOKUP(
    A80,
    IMPORTRANGE(
      ""1ZygntHC1J6IxzKbTidmOyf5nUyW4GCLurHCjexrLm_o"",
      ""HTMLキャッシュ!A:F""
    ),
    5,
    FALSE
  ),
  0
)
"),"復習が回らない→範囲の絞り方／解き直しの型／週次ルーティン（家庭運用） - 中学受験 理科の個別指導 | 受験理科専門塾「しゅん吉クエスト」")</f>
        <v>復習が回らない→範囲の絞り方／解き直しの型／週次ルーティン（家庭運用） - 中学受験 理科の個別指導 | 受験理科専門塾「しゅん吉クエスト」</v>
      </c>
      <c r="D80" s="1" t="str">
        <f>IFERROR(__xludf.DUMMYFUNCTION("IFERROR(
  VLOOKUP(
    A80,
    IMPORTRANGE(
      ""1ZygntHC1J6IxzKbTidmOyf5nUyW4GCLurHCjexrLm_o        "",
      ""HTMLキャッシュ!A:F""
    ),
    6,
    FALSE
  ),
  0
)
"),"中学受験理科／復習 テーマ：範囲を絞る→解き直しのやり方→週で回す 悩み起点 復習が回らない 解き直しのやり方")</f>
        <v>中学受験理科／復習 テーマ：範囲を絞る→解き直しのやり方→週で回す 悩み起点 復習が回らない 解き直しのやり方</v>
      </c>
      <c r="E80" s="32">
        <f>IFERROR(__xludf.DUMMYFUNCTION("IFERROR(
  VLOOKUP(
    A80,
    IMPORTRANGE(
      ""1ZygntHC1J6IxzKbTidmOyf5nUyW4GCLurHCjexrLm_o        "",
      ""HTMLキャッシュ!A:F""
    ),
    3,
    FALSE
  ),
  0
)
"),46081.15850694444)</f>
        <v>46081.15851</v>
      </c>
      <c r="F80" s="49">
        <f>IFERROR(__xludf.DUMMYFUNCTION("IFERROR(
  VLOOKUP(
    A80,
    IMPORTRANGE(
      ""1ZHMy3vVUd_0MrSduXTe1etBb1HNpAlGwQr006ljwMiM"",
      ""GSC最新!A:F""
    ),
    2,
    FALSE
  ),
  0
)
"),0.0)</f>
        <v>0</v>
      </c>
      <c r="G80" s="49">
        <f>IFERROR(__xludf.DUMMYFUNCTION("IFERROR(
  VLOOKUP(
    A80,
    IMPORTRANGE(
      ""1ZHMy3vVUd_0MrSduXTe1etBb1HNpAlGwQr006ljwMiM"",
      ""GSC最新!A:F""
    ),
    3,
    FALSE
  ),
  0
)
"),0.0)</f>
        <v>0</v>
      </c>
      <c r="H80" s="49">
        <f>IFERROR(__xludf.DUMMYFUNCTION("IFERROR(
  VLOOKUP(
    A80,
    IMPORTRANGE(
      ""1ZHMy3vVUd_0MrSduXTe1etBb1HNpAlGwQr006ljwMiM"",
      ""GSC最新!A:F""
    ),
    4,
    FALSE
  ),
  0
)
"),0.0)</f>
        <v>0</v>
      </c>
      <c r="I80" s="49">
        <f>IFERROR(__xludf.DUMMYFUNCTION("IFERROR(
  VLOOKUP(
    A80,
    IMPORTRANGE(
      ""1ZHMy3vVUd_0MrSduXTe1etBb1HNpAlGwQr006ljwMiM"",
      ""GSC最新!A:F""
    ),
    5,
    FALSE
  ),
  0
)
"),0.0)</f>
        <v>0</v>
      </c>
      <c r="J80" s="50" t="str">
        <f t="shared" ref="J80:K80" si="391">IFERROR(F80/H80,"-")</f>
        <v>-</v>
      </c>
      <c r="K80" s="50" t="str">
        <f t="shared" si="391"/>
        <v>-</v>
      </c>
      <c r="L80" s="6">
        <f>IFERROR(__xludf.DUMMYFUNCTION("IFERROR(
  VLOOKUP(
    A80,
    IMPORTRANGE(
      ""1ZHMy3vVUd_0MrSduXTe1etBb1HNpAlGwQr006ljwMiM"",
      ""GSC最新!A:R""
    ),
    7,
    FALSE
  ),
  0
)
"),0.0)</f>
        <v>0</v>
      </c>
      <c r="M80" s="6">
        <f>IFERROR(__xludf.DUMMYFUNCTION("IFERROR(
  VLOOKUP(
    A80,
    IMPORTRANGE(
      ""1ZHMy3vVUd_0MrSduXTe1etBb1HNpAlGwQr006ljwMiM"",
      ""GSC最新!A:R""
    ),
    10,
    FALSE
  ),
  0
)
"),0.0)</f>
        <v>0</v>
      </c>
      <c r="N80" s="6">
        <f>IFERROR(__xludf.DUMMYFUNCTION("IFERROR(
  VLOOKUP(
    A80,
    IMPORTRANGE(
      ""1ZHMy3vVUd_0MrSduXTe1etBb1HNpAlGwQr006ljwMiM"",
      ""GSC最新!A:R""
    ),
    13,
    FALSE
  ),
  0
)
"),0.0)</f>
        <v>0</v>
      </c>
      <c r="O80" s="6">
        <f>IFERROR(__xludf.DUMMYFUNCTION("IFERROR(
  VLOOKUP(
    A80,
    IMPORTRANGE(
      ""1ZHMy3vVUd_0MrSduXTe1etBb1HNpAlGwQr006ljwMiM"",
      ""GSC最新!A:R""
    ),
    16,
    FALSE
  ),
  0
)
"),0.0)</f>
        <v>0</v>
      </c>
      <c r="P80" s="51" t="str">
        <f t="shared" ref="P80:Q80" si="392">IFERROR(L80/N80,"-")</f>
        <v>-</v>
      </c>
      <c r="Q80" s="51" t="str">
        <f t="shared" si="392"/>
        <v>-</v>
      </c>
      <c r="R80" s="9">
        <f>IFERROR(__xludf.DUMMYFUNCTION("IFERROR(
  VLOOKUP(
    A80,
    IMPORTRANGE(
      ""1ZHMy3vVUd_0MrSduXTe1etBb1HNpAlGwQr006ljwMiM"",
      ""GSC最新!A:R""
    ),
    8,
    FALSE
  ),
  0
)
"),0.0)</f>
        <v>0</v>
      </c>
      <c r="S80" s="9">
        <f>IFERROR(__xludf.DUMMYFUNCTION("IFERROR(
  VLOOKUP(
    A80,
    IMPORTRANGE(
      ""1ZHMy3vVUd_0MrSduXTe1etBb1HNpAlGwQr006ljwMiM"",
      ""GSC最新!A:R""
    ),
    11,
    FALSE
  ),
  0
)
"),0.0)</f>
        <v>0</v>
      </c>
      <c r="T80" s="9">
        <f>IFERROR(__xludf.DUMMYFUNCTION("IFERROR(
  VLOOKUP(
    A80,
    IMPORTRANGE(
      ""1ZHMy3vVUd_0MrSduXTe1etBb1HNpAlGwQr006ljwMiM"",
      ""GSC最新!A:R""
    ),
    14,
    FALSE
  ),
  0
)
"),0.0)</f>
        <v>0</v>
      </c>
      <c r="U80" s="9">
        <f>IFERROR(__xludf.DUMMYFUNCTION("IFERROR(
  VLOOKUP(
    A80,
    IMPORTRANGE(
      ""1ZHMy3vVUd_0MrSduXTe1etBb1HNpAlGwQr006ljwMiM"",
      ""GSC最新!A:R""
    ),
    17,
    FALSE
  ),
  0
)
"),0.0)</f>
        <v>0</v>
      </c>
      <c r="V80" s="9">
        <f t="shared" ref="V80:W80" si="393">IFERROR(R80-T80,"-")</f>
        <v>0</v>
      </c>
      <c r="W80" s="9">
        <f t="shared" si="393"/>
        <v>0</v>
      </c>
      <c r="X80" s="65" t="str">
        <f>IFERROR(__xludf.DUMMYFUNCTION("IFERROR(
  VLOOKUP(
    A80,
    IMPORTRANGE(
      ""1ZHMy3vVUd_0MrSduXTe1etBb1HNpAlGwQr006ljwMiM"",
      ""GSC最新!A:R""
    ),
    9,
    FALSE
  ),
  0
)
"),"")</f>
        <v/>
      </c>
      <c r="Y80" s="65" t="str">
        <f>IFERROR(__xludf.DUMMYFUNCTION("IFERROR(
  VLOOKUP(
    A80,
    IMPORTRANGE(
      ""1ZHMy3vVUd_0MrSduXTe1etBb1HNpAlGwQr006ljwMiM"",
      ""GSC最新!A:R""
    ),
    12,
    FALSE
  ),
  0
)
"),"")</f>
        <v/>
      </c>
      <c r="Z80" s="65" t="str">
        <f>IFERROR(__xludf.DUMMYFUNCTION("IFERROR(
  VLOOKUP(
    A80,
    IMPORTRANGE(
      ""1ZHMy3vVUd_0MrSduXTe1etBb1HNpAlGwQr006ljwMiM"",
      ""GSC最新!A:R""
    ),
    15,
    FALSE
  ),
  0
)
"),"")</f>
        <v/>
      </c>
      <c r="AA80" s="65" t="str">
        <f>IFERROR(__xludf.DUMMYFUNCTION("IFERROR(
  VLOOKUP(
    A80,
    IMPORTRANGE(
      ""1ZHMy3vVUd_0MrSduXTe1etBb1HNpAlGwQr006ljwMiM"",
      ""GSC最新!A:R""
    ),
    18,
    FALSE
  ),
  0
)
"),"")</f>
        <v/>
      </c>
      <c r="AB80" s="65">
        <f t="shared" ref="AB80:AC80" si="394">X80-Z80</f>
        <v>0</v>
      </c>
      <c r="AC80" s="65">
        <f t="shared" si="394"/>
        <v>0</v>
      </c>
      <c r="AD80" s="53">
        <f>IFERROR(__xludf.DUMMYFUNCTION("IFERROR(
  VLOOKUP(
    A80,
    IMPORTRANGE(
      ""1ZHMy3vVUd_0MrSduXTe1etBb1HNpAlGwQr006ljwMiM"",
      ""GSC最新!A:F""
    ),
    6,
    FALSE
  ),
  0
)
"),46081.0)</f>
        <v>46081</v>
      </c>
      <c r="AE80" s="54">
        <f>IFERROR(__xludf.DUMMYFUNCTION("IFERROR(
  VLOOKUP(
    A80,
    IMPORTRANGE(
      ""1SCYQd7_cobOYqT0r_F0IqD4tE4rYn5y8Eup4PJTH8es"",
      ""Snapshot!A:M""
    ),
    5,
    FALSE
  ),
  ""-""
)
"),7.0)</f>
        <v>7</v>
      </c>
      <c r="AF80" s="54">
        <f>IFERROR(__xludf.DUMMYFUNCTION("IFERROR(
  VLOOKUP(
    A80,
    IMPORTRANGE(
      ""1SCYQd7_cobOYqT0r_F0IqD4tE4rYn5y8Eup4PJTH8es"",
      ""Snapshot!A:M""
    ),
    6,
    FALSE
  ),
  0
)
"),11.0)</f>
        <v>11</v>
      </c>
      <c r="AG80" s="54">
        <f>IFERROR(__xludf.DUMMYFUNCTION("IFERROR(
  VLOOKUP(
    A80,
    IMPORTRANGE(
      ""1SCYQd7_cobOYqT0r_F0IqD4tE4rYn5y8Eup4PJTH8es"",
      ""Snapshot!A:M""
    ),
    7,
    FALSE
  ),
  0
)
"),3987.0)</f>
        <v>3987</v>
      </c>
      <c r="AH80" s="54">
        <f>IFERROR(__xludf.DUMMYFUNCTION("IFERROR(
  VLOOKUP(
    A80,
    IMPORTRANGE(
      ""1SCYQd7_cobOYqT0r_F0IqD4tE4rYn5y8Eup4PJTH8es"",
      ""Snapshot!A:M""
    ),
    8,
    FALSE
  ),
  0
)
"),10.0)</f>
        <v>10</v>
      </c>
      <c r="AI80" s="54">
        <f>IFERROR(__xludf.DUMMYFUNCTION("IFERROR(
  VLOOKUP(
    A80,
    IMPORTRANGE(
      ""1SCYQd7_cobOYqT0r_F0IqD4tE4rYn5y8Eup4PJTH8es"",
      ""Snapshot!A:M""
    ),
    9,
    FALSE
  ),
  0
)
"),1.0)</f>
        <v>1</v>
      </c>
      <c r="AJ80" s="54">
        <f>IFERROR(__xludf.DUMMYFUNCTION("IFERROR(
  VLOOKUP(
    A80,
    IMPORTRANGE(
      ""1SCYQd7_cobOYqT0r_F0IqD4tE4rYn5y8Eup4PJTH8es"",
      ""Snapshot!A:M""
    ),
    13,
    FALSE
  ),
  0
)
"),2.0)</f>
        <v>2</v>
      </c>
      <c r="AK80" s="49">
        <f t="shared" ref="AK80:AL80" si="395">LEN(C80)</f>
        <v>70</v>
      </c>
      <c r="AL80" s="49">
        <f t="shared" si="395"/>
        <v>55</v>
      </c>
    </row>
    <row r="81">
      <c r="A81" s="56" t="s">
        <v>1301</v>
      </c>
      <c r="B81" s="1" t="str">
        <f>IFERROR(__xludf.DUMMYFUNCTION("IFERROR(
  VLOOKUP(
    A81,
    IMPORTRANGE(
      ""1ZygntHC1J6IxzKbTidmOyf5nUyW4GCLurHCjexrLm_o"",
      ""HTMLキャッシュ!A:F""
    ),
    2,
    FALSE
  ),
  0
)
"),"MC")</f>
        <v>MC</v>
      </c>
      <c r="C81" s="1" t="str">
        <f>IFERROR(__xludf.DUMMYFUNCTION("IFERROR(
  VLOOKUP(
    A81,
    IMPORTRANGE(
      ""1ZygntHC1J6IxzKbTidmOyf5nUyW4GCLurHCjexrLm_o"",
      ""HTMLキャッシュ!A:F""
    ),
    5,
    FALSE
  ),
  0
)
"),"溶解度グラフが読めない→「何が増えると何が起きるか」を言葉→計算へ - 中学受験 理科の個別指導 | 受験理科専門塾「しゅん吉クエスト」")</f>
        <v>溶解度グラフが読めない→「何が増えると何が起きるか」を言葉→計算へ - 中学受験 理科の個別指導 | 受験理科専門塾「しゅん吉クエスト」</v>
      </c>
      <c r="D81" s="1" t="str">
        <f>IFERROR(__xludf.DUMMYFUNCTION("IFERROR(
  VLOOKUP(
    A81,
    IMPORTRANGE(
      ""1ZygntHC1J6IxzKbTidmOyf5nUyW4GCLurHCjexrLm_o        "",
      ""HTMLキャッシュ!A:F""
    ),
    6,
    FALSE
  ),
  0
)
"),"中学受験理科／化学 テーマ：溶解度グラフを「読む→言葉→計算」の順でそろえて点の取りこぼしを止める 悩み起点")</f>
        <v>中学受験理科／化学 テーマ：溶解度グラフを「読む→言葉→計算」の順でそろえて点の取りこぼしを止める 悩み起点</v>
      </c>
      <c r="E81" s="32">
        <f>IFERROR(__xludf.DUMMYFUNCTION("IFERROR(
  VLOOKUP(
    A81,
    IMPORTRANGE(
      ""1ZygntHC1J6IxzKbTidmOyf5nUyW4GCLurHCjexrLm_o        "",
      ""HTMLキャッシュ!A:F""
    ),
    3,
    FALSE
  ),
  0
)
"),46081.136041666665)</f>
        <v>46081.13604</v>
      </c>
      <c r="F81" s="49">
        <f>IFERROR(__xludf.DUMMYFUNCTION("IFERROR(
  VLOOKUP(
    A81,
    IMPORTRANGE(
      ""1ZHMy3vVUd_0MrSduXTe1etBb1HNpAlGwQr006ljwMiM"",
      ""GSC最新!A:F""
    ),
    2,
    FALSE
  ),
  0
)
"),0.0)</f>
        <v>0</v>
      </c>
      <c r="G81" s="49">
        <f>IFERROR(__xludf.DUMMYFUNCTION("IFERROR(
  VLOOKUP(
    A81,
    IMPORTRANGE(
      ""1ZHMy3vVUd_0MrSduXTe1etBb1HNpAlGwQr006ljwMiM"",
      ""GSC最新!A:F""
    ),
    3,
    FALSE
  ),
  0
)
"),0.0)</f>
        <v>0</v>
      </c>
      <c r="H81" s="49">
        <f>IFERROR(__xludf.DUMMYFUNCTION("IFERROR(
  VLOOKUP(
    A81,
    IMPORTRANGE(
      ""1ZHMy3vVUd_0MrSduXTe1etBb1HNpAlGwQr006ljwMiM"",
      ""GSC最新!A:F""
    ),
    4,
    FALSE
  ),
  0
)
"),0.0)</f>
        <v>0</v>
      </c>
      <c r="I81" s="49">
        <f>IFERROR(__xludf.DUMMYFUNCTION("IFERROR(
  VLOOKUP(
    A81,
    IMPORTRANGE(
      ""1ZHMy3vVUd_0MrSduXTe1etBb1HNpAlGwQr006ljwMiM"",
      ""GSC最新!A:F""
    ),
    5,
    FALSE
  ),
  0
)
"),0.0)</f>
        <v>0</v>
      </c>
      <c r="J81" s="50" t="str">
        <f t="shared" ref="J81:K81" si="396">IFERROR(F81/H81,"-")</f>
        <v>-</v>
      </c>
      <c r="K81" s="50" t="str">
        <f t="shared" si="396"/>
        <v>-</v>
      </c>
      <c r="L81" s="6">
        <f>IFERROR(__xludf.DUMMYFUNCTION("IFERROR(
  VLOOKUP(
    A81,
    IMPORTRANGE(
      ""1ZHMy3vVUd_0MrSduXTe1etBb1HNpAlGwQr006ljwMiM"",
      ""GSC最新!A:R""
    ),
    7,
    FALSE
  ),
  0
)
"),0.0)</f>
        <v>0</v>
      </c>
      <c r="M81" s="6">
        <f>IFERROR(__xludf.DUMMYFUNCTION("IFERROR(
  VLOOKUP(
    A81,
    IMPORTRANGE(
      ""1ZHMy3vVUd_0MrSduXTe1etBb1HNpAlGwQr006ljwMiM"",
      ""GSC最新!A:R""
    ),
    10,
    FALSE
  ),
  0
)
"),0.0)</f>
        <v>0</v>
      </c>
      <c r="N81" s="6">
        <f>IFERROR(__xludf.DUMMYFUNCTION("IFERROR(
  VLOOKUP(
    A81,
    IMPORTRANGE(
      ""1ZHMy3vVUd_0MrSduXTe1etBb1HNpAlGwQr006ljwMiM"",
      ""GSC最新!A:R""
    ),
    13,
    FALSE
  ),
  0
)
"),0.0)</f>
        <v>0</v>
      </c>
      <c r="O81" s="6">
        <f>IFERROR(__xludf.DUMMYFUNCTION("IFERROR(
  VLOOKUP(
    A81,
    IMPORTRANGE(
      ""1ZHMy3vVUd_0MrSduXTe1etBb1HNpAlGwQr006ljwMiM"",
      ""GSC最新!A:R""
    ),
    16,
    FALSE
  ),
  0
)
"),0.0)</f>
        <v>0</v>
      </c>
      <c r="P81" s="51" t="str">
        <f t="shared" ref="P81:Q81" si="397">IFERROR(L81/N81,"-")</f>
        <v>-</v>
      </c>
      <c r="Q81" s="51" t="str">
        <f t="shared" si="397"/>
        <v>-</v>
      </c>
      <c r="R81" s="9">
        <f>IFERROR(__xludf.DUMMYFUNCTION("IFERROR(
  VLOOKUP(
    A81,
    IMPORTRANGE(
      ""1ZHMy3vVUd_0MrSduXTe1etBb1HNpAlGwQr006ljwMiM"",
      ""GSC最新!A:R""
    ),
    8,
    FALSE
  ),
  0
)
"),0.0)</f>
        <v>0</v>
      </c>
      <c r="S81" s="9">
        <f>IFERROR(__xludf.DUMMYFUNCTION("IFERROR(
  VLOOKUP(
    A81,
    IMPORTRANGE(
      ""1ZHMy3vVUd_0MrSduXTe1etBb1HNpAlGwQr006ljwMiM"",
      ""GSC最新!A:R""
    ),
    11,
    FALSE
  ),
  0
)
"),0.0)</f>
        <v>0</v>
      </c>
      <c r="T81" s="9">
        <f>IFERROR(__xludf.DUMMYFUNCTION("IFERROR(
  VLOOKUP(
    A81,
    IMPORTRANGE(
      ""1ZHMy3vVUd_0MrSduXTe1etBb1HNpAlGwQr006ljwMiM"",
      ""GSC最新!A:R""
    ),
    14,
    FALSE
  ),
  0
)
"),0.0)</f>
        <v>0</v>
      </c>
      <c r="U81" s="9">
        <f>IFERROR(__xludf.DUMMYFUNCTION("IFERROR(
  VLOOKUP(
    A81,
    IMPORTRANGE(
      ""1ZHMy3vVUd_0MrSduXTe1etBb1HNpAlGwQr006ljwMiM"",
      ""GSC最新!A:R""
    ),
    17,
    FALSE
  ),
  0
)
"),0.0)</f>
        <v>0</v>
      </c>
      <c r="V81" s="9">
        <f t="shared" ref="V81:W81" si="398">IFERROR(R81-T81,"-")</f>
        <v>0</v>
      </c>
      <c r="W81" s="9">
        <f t="shared" si="398"/>
        <v>0</v>
      </c>
      <c r="X81" s="65" t="str">
        <f>IFERROR(__xludf.DUMMYFUNCTION("IFERROR(
  VLOOKUP(
    A81,
    IMPORTRANGE(
      ""1ZHMy3vVUd_0MrSduXTe1etBb1HNpAlGwQr006ljwMiM"",
      ""GSC最新!A:R""
    ),
    9,
    FALSE
  ),
  0
)
"),"")</f>
        <v/>
      </c>
      <c r="Y81" s="65" t="str">
        <f>IFERROR(__xludf.DUMMYFUNCTION("IFERROR(
  VLOOKUP(
    A81,
    IMPORTRANGE(
      ""1ZHMy3vVUd_0MrSduXTe1etBb1HNpAlGwQr006ljwMiM"",
      ""GSC最新!A:R""
    ),
    12,
    FALSE
  ),
  0
)
"),"")</f>
        <v/>
      </c>
      <c r="Z81" s="65" t="str">
        <f>IFERROR(__xludf.DUMMYFUNCTION("IFERROR(
  VLOOKUP(
    A81,
    IMPORTRANGE(
      ""1ZHMy3vVUd_0MrSduXTe1etBb1HNpAlGwQr006ljwMiM"",
      ""GSC最新!A:R""
    ),
    15,
    FALSE
  ),
  0
)
"),"")</f>
        <v/>
      </c>
      <c r="AA81" s="65" t="str">
        <f>IFERROR(__xludf.DUMMYFUNCTION("IFERROR(
  VLOOKUP(
    A81,
    IMPORTRANGE(
      ""1ZHMy3vVUd_0MrSduXTe1etBb1HNpAlGwQr006ljwMiM"",
      ""GSC最新!A:R""
    ),
    18,
    FALSE
  ),
  0
)
"),"")</f>
        <v/>
      </c>
      <c r="AB81" s="65">
        <f t="shared" ref="AB81:AC81" si="399">X81-Z81</f>
        <v>0</v>
      </c>
      <c r="AC81" s="65">
        <f t="shared" si="399"/>
        <v>0</v>
      </c>
      <c r="AD81" s="53">
        <f>IFERROR(__xludf.DUMMYFUNCTION("IFERROR(
  VLOOKUP(
    A81,
    IMPORTRANGE(
      ""1ZHMy3vVUd_0MrSduXTe1etBb1HNpAlGwQr006ljwMiM"",
      ""GSC最新!A:F""
    ),
    6,
    FALSE
  ),
  0
)
"),46081.0)</f>
        <v>46081</v>
      </c>
      <c r="AE81" s="54">
        <f>IFERROR(__xludf.DUMMYFUNCTION("IFERROR(
  VLOOKUP(
    A81,
    IMPORTRANGE(
      ""1SCYQd7_cobOYqT0r_F0IqD4tE4rYn5y8Eup4PJTH8es"",
      ""Snapshot!A:M""
    ),
    5,
    FALSE
  ),
  ""-""
)
"),7.0)</f>
        <v>7</v>
      </c>
      <c r="AF81" s="54">
        <f>IFERROR(__xludf.DUMMYFUNCTION("IFERROR(
  VLOOKUP(
    A81,
    IMPORTRANGE(
      ""1SCYQd7_cobOYqT0r_F0IqD4tE4rYn5y8Eup4PJTH8es"",
      ""Snapshot!A:M""
    ),
    6,
    FALSE
  ),
  0
)
"),11.0)</f>
        <v>11</v>
      </c>
      <c r="AG81" s="54">
        <f>IFERROR(__xludf.DUMMYFUNCTION("IFERROR(
  VLOOKUP(
    A81,
    IMPORTRANGE(
      ""1SCYQd7_cobOYqT0r_F0IqD4tE4rYn5y8Eup4PJTH8es"",
      ""Snapshot!A:M""
    ),
    7,
    FALSE
  ),
  0
)
"),3963.0)</f>
        <v>3963</v>
      </c>
      <c r="AH81" s="54">
        <f>IFERROR(__xludf.DUMMYFUNCTION("IFERROR(
  VLOOKUP(
    A81,
    IMPORTRANGE(
      ""1SCYQd7_cobOYqT0r_F0IqD4tE4rYn5y8Eup4PJTH8es"",
      ""Snapshot!A:M""
    ),
    8,
    FALSE
  ),
  0
)
"),9.0)</f>
        <v>9</v>
      </c>
      <c r="AI81" s="54">
        <f>IFERROR(__xludf.DUMMYFUNCTION("IFERROR(
  VLOOKUP(
    A81,
    IMPORTRANGE(
      ""1SCYQd7_cobOYqT0r_F0IqD4tE4rYn5y8Eup4PJTH8es"",
      ""Snapshot!A:M""
    ),
    9,
    FALSE
  ),
  0
)
"),1.0)</f>
        <v>1</v>
      </c>
      <c r="AJ81" s="54">
        <f>IFERROR(__xludf.DUMMYFUNCTION("IFERROR(
  VLOOKUP(
    A81,
    IMPORTRANGE(
      ""1SCYQd7_cobOYqT0r_F0IqD4tE4rYn5y8Eup4PJTH8es"",
      ""Snapshot!A:M""
    ),
    13,
    FALSE
  ),
  0
)
"),2.0)</f>
        <v>2</v>
      </c>
      <c r="AK81" s="49">
        <f t="shared" ref="AK81:AL81" si="400">LEN(C81)</f>
        <v>68</v>
      </c>
      <c r="AL81" s="49">
        <f t="shared" si="400"/>
        <v>54</v>
      </c>
    </row>
    <row r="82">
      <c r="A82" s="3" t="s">
        <v>1302</v>
      </c>
      <c r="B82" s="1" t="str">
        <f>IFERROR(__xludf.DUMMYFUNCTION("IFERROR(
  VLOOKUP(
    A82,
    IMPORTRANGE(
      ""1ZygntHC1J6IxzKbTidmOyf5nUyW4GCLurHCjexrLm_o"",
      ""HTMLキャッシュ!A:F""
    ),
    2,
    FALSE
  ),
  0
)
"),"NW")</f>
        <v>NW</v>
      </c>
      <c r="C82" s="1" t="str">
        <f>IFERROR(__xludf.DUMMYFUNCTION("IFERROR(
  VLOOKUP(
    A82,
    IMPORTRANGE(
      ""1ZygntHC1J6IxzKbTidmOyf5nUyW4GCLurHCjexrLm_o"",
      ""HTMLキャッシュ!A:F""
    ),
    5,
    FALSE
  ),
  0
)
"),"お知らせ - 中学受験 理科の個別指導 | 受験理科専門塾「しゅん吉クエスト」")</f>
        <v>お知らせ - 中学受験 理科の個別指導 | 受験理科専門塾「しゅん吉クエスト」</v>
      </c>
      <c r="D82" s="1" t="str">
        <f>IFERROR(__xludf.DUMMYFUNCTION("IFERROR(
  VLOOKUP(
    A82,
    IMPORTRANGE(
      ""1ZygntHC1J6IxzKbTidmOyf5nUyW4GCLurHCjexrLm_o        "",
      ""HTMLキャッシュ!A:F""
    ),
    6,
    FALSE
  ),
  0
)
"),"")</f>
        <v/>
      </c>
      <c r="E82" s="32">
        <f>IFERROR(__xludf.DUMMYFUNCTION("IFERROR(
  VLOOKUP(
    A82,
    IMPORTRANGE(
      ""1ZygntHC1J6IxzKbTidmOyf5nUyW4GCLurHCjexrLm_o        "",
      ""HTMLキャッシュ!A:F""
    ),
    3,
    FALSE
  ),
  0
)
"),46076.782685185186)</f>
        <v>46076.78269</v>
      </c>
      <c r="F82" s="49">
        <f>IFERROR(__xludf.DUMMYFUNCTION("IFERROR(
  VLOOKUP(
    A82,
    IMPORTRANGE(
      ""1ZHMy3vVUd_0MrSduXTe1etBb1HNpAlGwQr006ljwMiM"",
      ""GSC最新!A:F""
    ),
    2,
    FALSE
  ),
  0
)
"),0.0)</f>
        <v>0</v>
      </c>
      <c r="G82" s="49">
        <f>IFERROR(__xludf.DUMMYFUNCTION("IFERROR(
  VLOOKUP(
    A82,
    IMPORTRANGE(
      ""1ZHMy3vVUd_0MrSduXTe1etBb1HNpAlGwQr006ljwMiM"",
      ""GSC最新!A:F""
    ),
    3,
    FALSE
  ),
  0
)
"),0.0)</f>
        <v>0</v>
      </c>
      <c r="H82" s="49">
        <f>IFERROR(__xludf.DUMMYFUNCTION("IFERROR(
  VLOOKUP(
    A82,
    IMPORTRANGE(
      ""1ZHMy3vVUd_0MrSduXTe1etBb1HNpAlGwQr006ljwMiM"",
      ""GSC最新!A:F""
    ),
    4,
    FALSE
  ),
  0
)
"),0.0)</f>
        <v>0</v>
      </c>
      <c r="I82" s="49">
        <f>IFERROR(__xludf.DUMMYFUNCTION("IFERROR(
  VLOOKUP(
    A82,
    IMPORTRANGE(
      ""1ZHMy3vVUd_0MrSduXTe1etBb1HNpAlGwQr006ljwMiM"",
      ""GSC最新!A:F""
    ),
    5,
    FALSE
  ),
  0
)
"),0.0)</f>
        <v>0</v>
      </c>
      <c r="J82" s="50" t="str">
        <f t="shared" ref="J82:K82" si="401">IFERROR(F82/H82,"-")</f>
        <v>-</v>
      </c>
      <c r="K82" s="50" t="str">
        <f t="shared" si="401"/>
        <v>-</v>
      </c>
      <c r="L82" s="6">
        <f>IFERROR(__xludf.DUMMYFUNCTION("IFERROR(
  VLOOKUP(
    A82,
    IMPORTRANGE(
      ""1ZHMy3vVUd_0MrSduXTe1etBb1HNpAlGwQr006ljwMiM"",
      ""GSC最新!A:R""
    ),
    7,
    FALSE
  ),
  0
)
"),0.0)</f>
        <v>0</v>
      </c>
      <c r="M82" s="6">
        <f>IFERROR(__xludf.DUMMYFUNCTION("IFERROR(
  VLOOKUP(
    A82,
    IMPORTRANGE(
      ""1ZHMy3vVUd_0MrSduXTe1etBb1HNpAlGwQr006ljwMiM"",
      ""GSC最新!A:R""
    ),
    10,
    FALSE
  ),
  0
)
"),0.0)</f>
        <v>0</v>
      </c>
      <c r="N82" s="6">
        <f>IFERROR(__xludf.DUMMYFUNCTION("IFERROR(
  VLOOKUP(
    A82,
    IMPORTRANGE(
      ""1ZHMy3vVUd_0MrSduXTe1etBb1HNpAlGwQr006ljwMiM"",
      ""GSC最新!A:R""
    ),
    13,
    FALSE
  ),
  0
)
"),0.0)</f>
        <v>0</v>
      </c>
      <c r="O82" s="6">
        <f>IFERROR(__xludf.DUMMYFUNCTION("IFERROR(
  VLOOKUP(
    A82,
    IMPORTRANGE(
      ""1ZHMy3vVUd_0MrSduXTe1etBb1HNpAlGwQr006ljwMiM"",
      ""GSC最新!A:R""
    ),
    16,
    FALSE
  ),
  0
)
"),0.0)</f>
        <v>0</v>
      </c>
      <c r="P82" s="51" t="str">
        <f t="shared" ref="P82:Q82" si="402">IFERROR(L82/N82,"-")</f>
        <v>-</v>
      </c>
      <c r="Q82" s="51" t="str">
        <f t="shared" si="402"/>
        <v>-</v>
      </c>
      <c r="R82" s="9">
        <f>IFERROR(__xludf.DUMMYFUNCTION("IFERROR(
  VLOOKUP(
    A82,
    IMPORTRANGE(
      ""1ZHMy3vVUd_0MrSduXTe1etBb1HNpAlGwQr006ljwMiM"",
      ""GSC最新!A:R""
    ),
    8,
    FALSE
  ),
  0
)
"),0.0)</f>
        <v>0</v>
      </c>
      <c r="S82" s="9">
        <f>IFERROR(__xludf.DUMMYFUNCTION("IFERROR(
  VLOOKUP(
    A82,
    IMPORTRANGE(
      ""1ZHMy3vVUd_0MrSduXTe1etBb1HNpAlGwQr006ljwMiM"",
      ""GSC最新!A:R""
    ),
    11,
    FALSE
  ),
  0
)
"),0.0)</f>
        <v>0</v>
      </c>
      <c r="T82" s="9">
        <f>IFERROR(__xludf.DUMMYFUNCTION("IFERROR(
  VLOOKUP(
    A82,
    IMPORTRANGE(
      ""1ZHMy3vVUd_0MrSduXTe1etBb1HNpAlGwQr006ljwMiM"",
      ""GSC最新!A:R""
    ),
    14,
    FALSE
  ),
  0
)
"),0.0)</f>
        <v>0</v>
      </c>
      <c r="U82" s="9">
        <f>IFERROR(__xludf.DUMMYFUNCTION("IFERROR(
  VLOOKUP(
    A82,
    IMPORTRANGE(
      ""1ZHMy3vVUd_0MrSduXTe1etBb1HNpAlGwQr006ljwMiM"",
      ""GSC最新!A:R""
    ),
    17,
    FALSE
  ),
  0
)
"),0.0)</f>
        <v>0</v>
      </c>
      <c r="V82" s="9">
        <f t="shared" ref="V82:W82" si="403">IFERROR(R82-T82,"-")</f>
        <v>0</v>
      </c>
      <c r="W82" s="9">
        <f t="shared" si="403"/>
        <v>0</v>
      </c>
      <c r="X82" s="65" t="str">
        <f>IFERROR(__xludf.DUMMYFUNCTION("IFERROR(
  VLOOKUP(
    A82,
    IMPORTRANGE(
      ""1ZHMy3vVUd_0MrSduXTe1etBb1HNpAlGwQr006ljwMiM"",
      ""GSC最新!A:R""
    ),
    9,
    FALSE
  ),
  0
)
"),"")</f>
        <v/>
      </c>
      <c r="Y82" s="65" t="str">
        <f>IFERROR(__xludf.DUMMYFUNCTION("IFERROR(
  VLOOKUP(
    A82,
    IMPORTRANGE(
      ""1ZHMy3vVUd_0MrSduXTe1etBb1HNpAlGwQr006ljwMiM"",
      ""GSC最新!A:R""
    ),
    12,
    FALSE
  ),
  0
)
"),"")</f>
        <v/>
      </c>
      <c r="Z82" s="65" t="str">
        <f>IFERROR(__xludf.DUMMYFUNCTION("IFERROR(
  VLOOKUP(
    A82,
    IMPORTRANGE(
      ""1ZHMy3vVUd_0MrSduXTe1etBb1HNpAlGwQr006ljwMiM"",
      ""GSC最新!A:R""
    ),
    15,
    FALSE
  ),
  0
)
"),"")</f>
        <v/>
      </c>
      <c r="AA82" s="65" t="str">
        <f>IFERROR(__xludf.DUMMYFUNCTION("IFERROR(
  VLOOKUP(
    A82,
    IMPORTRANGE(
      ""1ZHMy3vVUd_0MrSduXTe1etBb1HNpAlGwQr006ljwMiM"",
      ""GSC最新!A:R""
    ),
    18,
    FALSE
  ),
  0
)
"),"")</f>
        <v/>
      </c>
      <c r="AB82" s="65">
        <f t="shared" ref="AB82:AC82" si="404">X82-Z82</f>
        <v>0</v>
      </c>
      <c r="AC82" s="65">
        <f t="shared" si="404"/>
        <v>0</v>
      </c>
      <c r="AD82" s="53">
        <f>IFERROR(__xludf.DUMMYFUNCTION("IFERROR(
  VLOOKUP(
    A82,
    IMPORTRANGE(
      ""1ZHMy3vVUd_0MrSduXTe1etBb1HNpAlGwQr006ljwMiM"",
      ""GSC最新!A:F""
    ),
    6,
    FALSE
  ),
  0
)
"),46081.0)</f>
        <v>46081</v>
      </c>
      <c r="AE82" s="54">
        <f>IFERROR(__xludf.DUMMYFUNCTION("IFERROR(
  VLOOKUP(
    A82,
    IMPORTRANGE(
      ""1SCYQd7_cobOYqT0r_F0IqD4tE4rYn5y8Eup4PJTH8es"",
      ""Snapshot!A:M""
    ),
    5,
    FALSE
  ),
  ""-""
)
"),0.0)</f>
        <v>0</v>
      </c>
      <c r="AF82" s="54">
        <f>IFERROR(__xludf.DUMMYFUNCTION("IFERROR(
  VLOOKUP(
    A82,
    IMPORTRANGE(
      ""1SCYQd7_cobOYqT0r_F0IqD4tE4rYn5y8Eup4PJTH8es"",
      ""Snapshot!A:M""
    ),
    6,
    FALSE
  ),
  0
)
"),0.0)</f>
        <v>0</v>
      </c>
      <c r="AG82" s="54">
        <f>IFERROR(__xludf.DUMMYFUNCTION("IFERROR(
  VLOOKUP(
    A82,
    IMPORTRANGE(
      ""1SCYQd7_cobOYqT0r_F0IqD4tE4rYn5y8Eup4PJTH8es"",
      ""Snapshot!A:M""
    ),
    7,
    FALSE
  ),
  0
)
"),0.0)</f>
        <v>0</v>
      </c>
      <c r="AH82" s="54">
        <f>IFERROR(__xludf.DUMMYFUNCTION("IFERROR(
  VLOOKUP(
    A82,
    IMPORTRANGE(
      ""1SCYQd7_cobOYqT0r_F0IqD4tE4rYn5y8Eup4PJTH8es"",
      ""Snapshot!A:M""
    ),
    8,
    FALSE
  ),
  0
)
"),0.0)</f>
        <v>0</v>
      </c>
      <c r="AI82" s="54">
        <f>IFERROR(__xludf.DUMMYFUNCTION("IFERROR(
  VLOOKUP(
    A82,
    IMPORTRANGE(
      ""1SCYQd7_cobOYqT0r_F0IqD4tE4rYn5y8Eup4PJTH8es"",
      ""Snapshot!A:M""
    ),
    9,
    FALSE
  ),
  0
)
"),0.0)</f>
        <v>0</v>
      </c>
      <c r="AJ82" s="54">
        <f>IFERROR(__xludf.DUMMYFUNCTION("IFERROR(
  VLOOKUP(
    A82,
    IMPORTRANGE(
      ""1SCYQd7_cobOYqT0r_F0IqD4tE4rYn5y8Eup4PJTH8es"",
      ""Snapshot!A:M""
    ),
    13,
    FALSE
  ),
  0
)
"),1.0)</f>
        <v>1</v>
      </c>
      <c r="AK82" s="49">
        <f t="shared" ref="AK82:AL82" si="405">LEN(C82)</f>
        <v>39</v>
      </c>
      <c r="AL82" s="49">
        <f t="shared" si="405"/>
        <v>0</v>
      </c>
    </row>
    <row r="83">
      <c r="A83" s="1" t="s">
        <v>1303</v>
      </c>
      <c r="B83" s="1" t="str">
        <f>IFERROR(__xludf.DUMMYFUNCTION("IFERROR(
  VLOOKUP(
    A83,
    IMPORTRANGE(
      ""1ZygntHC1J6IxzKbTidmOyf5nUyW4GCLurHCjexrLm_o"",
      ""HTMLキャッシュ!A:F""
    ),
    2,
    FALSE
  ),
  0
)
"),"NW")</f>
        <v>NW</v>
      </c>
      <c r="C83" s="1" t="str">
        <f>IFERROR(__xludf.DUMMYFUNCTION("IFERROR(
  VLOOKUP(
    A83,
    IMPORTRANGE(
      ""1ZygntHC1J6IxzKbTidmOyf5nUyW4GCLurHCjexrLm_o"",
      ""HTMLキャッシュ!A:F""
    ),
    5,
    FALSE
  ),
  0
)
"),"2024年度冬期講習会のお知らせ - 中学受験 理科の個別指導 | 受験理科専門塾「しゅん吉クエスト」")</f>
        <v>2024年度冬期講習会のお知らせ - 中学受験 理科の個別指導 | 受験理科専門塾「しゅん吉クエスト」</v>
      </c>
      <c r="D83" s="1" t="str">
        <f>IFERROR(__xludf.DUMMYFUNCTION("IFERROR(
  VLOOKUP(
    A83,
    IMPORTRANGE(
      ""1ZygntHC1J6IxzKbTidmOyf5nUyW4GCLurHCjexrLm_o        "",
      ""HTMLキャッシュ!A:F""
    ),
    6,
    FALSE
  ),
  0
)
"),"当塾「しゅん吉クエスト」では、2024年度冬期講習会を実施いたします。現在通塾中の生徒の皆さんはもちろん、他塾")</f>
        <v>当塾「しゅん吉クエスト」では、2024年度冬期講習会を実施いたします。現在通塾中の生徒の皆さんはもちろん、他塾</v>
      </c>
      <c r="E83" s="32">
        <f>IFERROR(__xludf.DUMMYFUNCTION("IFERROR(
  VLOOKUP(
    A83,
    IMPORTRANGE(
      ""1ZygntHC1J6IxzKbTidmOyf5nUyW4GCLurHCjexrLm_o        "",
      ""HTMLキャッシュ!A:F""
    ),
    3,
    FALSE
  ),
  0
)
"),45639.26070601852)</f>
        <v>45639.26071</v>
      </c>
      <c r="F83" s="49">
        <f>IFERROR(__xludf.DUMMYFUNCTION("IFERROR(
  VLOOKUP(
    A83,
    IMPORTRANGE(
      ""1ZHMy3vVUd_0MrSduXTe1etBb1HNpAlGwQr006ljwMiM"",
      ""GSC最新!A:F""
    ),
    2,
    FALSE
  ),
  0
)
"),0.0)</f>
        <v>0</v>
      </c>
      <c r="G83" s="49">
        <f>IFERROR(__xludf.DUMMYFUNCTION("IFERROR(
  VLOOKUP(
    A83,
    IMPORTRANGE(
      ""1ZHMy3vVUd_0MrSduXTe1etBb1HNpAlGwQr006ljwMiM"",
      ""GSC最新!A:F""
    ),
    3,
    FALSE
  ),
  0
)
"),0.0)</f>
        <v>0</v>
      </c>
      <c r="H83" s="49">
        <f>IFERROR(__xludf.DUMMYFUNCTION("IFERROR(
  VLOOKUP(
    A83,
    IMPORTRANGE(
      ""1ZHMy3vVUd_0MrSduXTe1etBb1HNpAlGwQr006ljwMiM"",
      ""GSC最新!A:F""
    ),
    4,
    FALSE
  ),
  0
)
"),0.0)</f>
        <v>0</v>
      </c>
      <c r="I83" s="49">
        <f>IFERROR(__xludf.DUMMYFUNCTION("IFERROR(
  VLOOKUP(
    A83,
    IMPORTRANGE(
      ""1ZHMy3vVUd_0MrSduXTe1etBb1HNpAlGwQr006ljwMiM"",
      ""GSC最新!A:F""
    ),
    5,
    FALSE
  ),
  0
)
"),0.0)</f>
        <v>0</v>
      </c>
      <c r="J83" s="50" t="str">
        <f t="shared" ref="J83:K83" si="406">IFERROR(F83/H83,"-")</f>
        <v>-</v>
      </c>
      <c r="K83" s="50" t="str">
        <f t="shared" si="406"/>
        <v>-</v>
      </c>
      <c r="L83" s="6">
        <f>IFERROR(__xludf.DUMMYFUNCTION("IFERROR(
  VLOOKUP(
    A83,
    IMPORTRANGE(
      ""1ZHMy3vVUd_0MrSduXTe1etBb1HNpAlGwQr006ljwMiM"",
      ""GSC最新!A:R""
    ),
    7,
    FALSE
  ),
  0
)
"),0.0)</f>
        <v>0</v>
      </c>
      <c r="M83" s="6">
        <f>IFERROR(__xludf.DUMMYFUNCTION("IFERROR(
  VLOOKUP(
    A83,
    IMPORTRANGE(
      ""1ZHMy3vVUd_0MrSduXTe1etBb1HNpAlGwQr006ljwMiM"",
      ""GSC最新!A:R""
    ),
    10,
    FALSE
  ),
  0
)
"),0.0)</f>
        <v>0</v>
      </c>
      <c r="N83" s="6">
        <f>IFERROR(__xludf.DUMMYFUNCTION("IFERROR(
  VLOOKUP(
    A83,
    IMPORTRANGE(
      ""1ZHMy3vVUd_0MrSduXTe1etBb1HNpAlGwQr006ljwMiM"",
      ""GSC最新!A:R""
    ),
    13,
    FALSE
  ),
  0
)
"),0.0)</f>
        <v>0</v>
      </c>
      <c r="O83" s="6">
        <f>IFERROR(__xludf.DUMMYFUNCTION("IFERROR(
  VLOOKUP(
    A83,
    IMPORTRANGE(
      ""1ZHMy3vVUd_0MrSduXTe1etBb1HNpAlGwQr006ljwMiM"",
      ""GSC最新!A:R""
    ),
    16,
    FALSE
  ),
  0
)
"),5.0)</f>
        <v>5</v>
      </c>
      <c r="P83" s="51" t="str">
        <f t="shared" ref="P83:Q83" si="407">IFERROR(L83/N83,"-")</f>
        <v>-</v>
      </c>
      <c r="Q83" s="51">
        <f t="shared" si="407"/>
        <v>0</v>
      </c>
      <c r="R83" s="9">
        <f>IFERROR(__xludf.DUMMYFUNCTION("IFERROR(
  VLOOKUP(
    A83,
    IMPORTRANGE(
      ""1ZHMy3vVUd_0MrSduXTe1etBb1HNpAlGwQr006ljwMiM"",
      ""GSC最新!A:R""
    ),
    8,
    FALSE
  ),
  0
)
"),0.0)</f>
        <v>0</v>
      </c>
      <c r="S83" s="9">
        <f>IFERROR(__xludf.DUMMYFUNCTION("IFERROR(
  VLOOKUP(
    A83,
    IMPORTRANGE(
      ""1ZHMy3vVUd_0MrSduXTe1etBb1HNpAlGwQr006ljwMiM"",
      ""GSC最新!A:R""
    ),
    11,
    FALSE
  ),
  0
)
"),0.0)</f>
        <v>0</v>
      </c>
      <c r="T83" s="9">
        <f>IFERROR(__xludf.DUMMYFUNCTION("IFERROR(
  VLOOKUP(
    A83,
    IMPORTRANGE(
      ""1ZHMy3vVUd_0MrSduXTe1etBb1HNpAlGwQr006ljwMiM"",
      ""GSC最新!A:R""
    ),
    14,
    FALSE
  ),
  0
)
"),0.0)</f>
        <v>0</v>
      </c>
      <c r="U83" s="9">
        <f>IFERROR(__xludf.DUMMYFUNCTION("IFERROR(
  VLOOKUP(
    A83,
    IMPORTRANGE(
      ""1ZHMy3vVUd_0MrSduXTe1etBb1HNpAlGwQr006ljwMiM"",
      ""GSC最新!A:R""
    ),
    17,
    FALSE
  ),
  0
)
"),0.0)</f>
        <v>0</v>
      </c>
      <c r="V83" s="9">
        <f t="shared" ref="V83:W83" si="408">IFERROR(R83-T83,"-")</f>
        <v>0</v>
      </c>
      <c r="W83" s="9">
        <f t="shared" si="408"/>
        <v>0</v>
      </c>
      <c r="X83" s="65" t="str">
        <f>IFERROR(__xludf.DUMMYFUNCTION("IFERROR(
  VLOOKUP(
    A83,
    IMPORTRANGE(
      ""1ZHMy3vVUd_0MrSduXTe1etBb1HNpAlGwQr006ljwMiM"",
      ""GSC最新!A:R""
    ),
    9,
    FALSE
  ),
  0
)
"),"")</f>
        <v/>
      </c>
      <c r="Y83" s="65" t="str">
        <f>IFERROR(__xludf.DUMMYFUNCTION("IFERROR(
  VLOOKUP(
    A83,
    IMPORTRANGE(
      ""1ZHMy3vVUd_0MrSduXTe1etBb1HNpAlGwQr006ljwMiM"",
      ""GSC最新!A:R""
    ),
    12,
    FALSE
  ),
  0
)
"),"")</f>
        <v/>
      </c>
      <c r="Z83" s="65" t="str">
        <f>IFERROR(__xludf.DUMMYFUNCTION("IFERROR(
  VLOOKUP(
    A83,
    IMPORTRANGE(
      ""1ZHMy3vVUd_0MrSduXTe1etBb1HNpAlGwQr006ljwMiM"",
      ""GSC最新!A:R""
    ),
    15,
    FALSE
  ),
  0
)
"),"")</f>
        <v/>
      </c>
      <c r="AA83" s="65">
        <f>IFERROR(__xludf.DUMMYFUNCTION("IFERROR(
  VLOOKUP(
    A83,
    IMPORTRANGE(
      ""1ZHMy3vVUd_0MrSduXTe1etBb1HNpAlGwQr006ljwMiM"",
      ""GSC最新!A:R""
    ),
    18,
    FALSE
  ),
  0
)
"),19.6)</f>
        <v>19.6</v>
      </c>
      <c r="AB83" s="65">
        <f t="shared" ref="AB83:AC83" si="409">X83-Z83</f>
        <v>0</v>
      </c>
      <c r="AC83" s="65">
        <f t="shared" si="409"/>
        <v>-19.6</v>
      </c>
      <c r="AD83" s="53">
        <f>IFERROR(__xludf.DUMMYFUNCTION("IFERROR(
  VLOOKUP(
    A83,
    IMPORTRANGE(
      ""1ZHMy3vVUd_0MrSduXTe1etBb1HNpAlGwQr006ljwMiM"",
      ""GSC最新!A:F""
    ),
    6,
    FALSE
  ),
  0
)
"),46081.0)</f>
        <v>46081</v>
      </c>
      <c r="AE83" s="54">
        <f>IFERROR(__xludf.DUMMYFUNCTION("IFERROR(
  VLOOKUP(
    A83,
    IMPORTRANGE(
      ""1SCYQd7_cobOYqT0r_F0IqD4tE4rYn5y8Eup4PJTH8es"",
      ""Snapshot!A:M""
    ),
    5,
    FALSE
  ),
  ""-""
)
"),0.0)</f>
        <v>0</v>
      </c>
      <c r="AF83" s="54">
        <f>IFERROR(__xludf.DUMMYFUNCTION("IFERROR(
  VLOOKUP(
    A83,
    IMPORTRANGE(
      ""1SCYQd7_cobOYqT0r_F0IqD4tE4rYn5y8Eup4PJTH8es"",
      ""Snapshot!A:M""
    ),
    6,
    FALSE
  ),
  0
)
"),1.0)</f>
        <v>1</v>
      </c>
      <c r="AG83" s="54">
        <f>IFERROR(__xludf.DUMMYFUNCTION("IFERROR(
  VLOOKUP(
    A83,
    IMPORTRANGE(
      ""1SCYQd7_cobOYqT0r_F0IqD4tE4rYn5y8Eup4PJTH8es"",
      ""Snapshot!A:M""
    ),
    7,
    FALSE
  ),
  0
)
"),456.0)</f>
        <v>456</v>
      </c>
      <c r="AH83" s="54">
        <f>IFERROR(__xludf.DUMMYFUNCTION("IFERROR(
  VLOOKUP(
    A83,
    IMPORTRANGE(
      ""1SCYQd7_cobOYqT0r_F0IqD4tE4rYn5y8Eup4PJTH8es"",
      ""Snapshot!A:M""
    ),
    8,
    FALSE
  ),
  0
)
"),2.0)</f>
        <v>2</v>
      </c>
      <c r="AI83" s="54">
        <f>IFERROR(__xludf.DUMMYFUNCTION("IFERROR(
  VLOOKUP(
    A83,
    IMPORTRANGE(
      ""1SCYQd7_cobOYqT0r_F0IqD4tE4rYn5y8Eup4PJTH8es"",
      ""Snapshot!A:M""
    ),
    9,
    FALSE
  ),
  0
)
"),0.0)</f>
        <v>0</v>
      </c>
      <c r="AJ83" s="54">
        <f>IFERROR(__xludf.DUMMYFUNCTION("IFERROR(
  VLOOKUP(
    A83,
    IMPORTRANGE(
      ""1SCYQd7_cobOYqT0r_F0IqD4tE4rYn5y8Eup4PJTH8es"",
      ""Snapshot!A:M""
    ),
    13,
    FALSE
  ),
  0
)
"),2.0)</f>
        <v>2</v>
      </c>
      <c r="AK83" s="49">
        <f t="shared" ref="AK83:AL83" si="410">LEN(C83)</f>
        <v>51</v>
      </c>
      <c r="AL83" s="49">
        <f t="shared" si="410"/>
        <v>55</v>
      </c>
    </row>
    <row r="84">
      <c r="A84" s="1" t="s">
        <v>1304</v>
      </c>
      <c r="B84" s="1" t="str">
        <f>IFERROR(__xludf.DUMMYFUNCTION("IFERROR(
  VLOOKUP(
    A84,
    IMPORTRANGE(
      ""1ZygntHC1J6IxzKbTidmOyf5nUyW4GCLurHCjexrLm_o"",
      ""HTMLキャッシュ!A:F""
    ),
    2,
    FALSE
  ),
  0
)
"),"NW")</f>
        <v>NW</v>
      </c>
      <c r="C84" s="1" t="str">
        <f>IFERROR(__xludf.DUMMYFUNCTION("IFERROR(
  VLOOKUP(
    A84,
    IMPORTRANGE(
      ""1ZygntHC1J6IxzKbTidmOyf5nUyW4GCLurHCjexrLm_o"",
      ""HTMLキャッシュ!A:F""
    ),
    5,
    FALSE
  ),
  0
)
"),"2023年度冬期講習開催のお知らせ - 中学受験 理科の個別指導 | 受験理科専門塾「しゅん吉クエスト」")</f>
        <v>2023年度冬期講習開催のお知らせ - 中学受験 理科の個別指導 | 受験理科専門塾「しゅん吉クエスト」</v>
      </c>
      <c r="D84" s="1" t="str">
        <f>IFERROR(__xludf.DUMMYFUNCTION("IFERROR(
  VLOOKUP(
    A84,
    IMPORTRANGE(
      ""1ZygntHC1J6IxzKbTidmOyf5nUyW4GCLurHCjexrLm_o        "",
      ""HTMLキャッシュ!A:F""
    ),
    6,
    FALSE
  ),
  0
)
"),"2023年度 冬期講習会のご案内 当塾「しゅん吉クエスト」では、冬期講習会を実施いたします。現在通塾中の生徒の")</f>
        <v>2023年度 冬期講習会のご案内 当塾「しゅん吉クエスト」では、冬期講習会を実施いたします。現在通塾中の生徒の</v>
      </c>
      <c r="E84" s="32">
        <f>IFERROR(__xludf.DUMMYFUNCTION("IFERROR(
  VLOOKUP(
    A84,
    IMPORTRANGE(
      ""1ZygntHC1J6IxzKbTidmOyf5nUyW4GCLurHCjexrLm_o        "",
      ""HTMLキャッシュ!A:F""
    ),
    3,
    FALSE
  ),
  0
)
"),45600.12732638889)</f>
        <v>45600.12733</v>
      </c>
      <c r="F84" s="49">
        <f>IFERROR(__xludf.DUMMYFUNCTION("IFERROR(
  VLOOKUP(
    A84,
    IMPORTRANGE(
      ""1ZHMy3vVUd_0MrSduXTe1etBb1HNpAlGwQr006ljwMiM"",
      ""GSC最新!A:F""
    ),
    2,
    FALSE
  ),
  0
)
"),0.0)</f>
        <v>0</v>
      </c>
      <c r="G84" s="49">
        <f>IFERROR(__xludf.DUMMYFUNCTION("IFERROR(
  VLOOKUP(
    A84,
    IMPORTRANGE(
      ""1ZHMy3vVUd_0MrSduXTe1etBb1HNpAlGwQr006ljwMiM"",
      ""GSC最新!A:F""
    ),
    3,
    FALSE
  ),
  0
)
"),0.0)</f>
        <v>0</v>
      </c>
      <c r="H84" s="49">
        <f>IFERROR(__xludf.DUMMYFUNCTION("IFERROR(
  VLOOKUP(
    A84,
    IMPORTRANGE(
      ""1ZHMy3vVUd_0MrSduXTe1etBb1HNpAlGwQr006ljwMiM"",
      ""GSC最新!A:F""
    ),
    4,
    FALSE
  ),
  0
)
"),0.0)</f>
        <v>0</v>
      </c>
      <c r="I84" s="49">
        <f>IFERROR(__xludf.DUMMYFUNCTION("IFERROR(
  VLOOKUP(
    A84,
    IMPORTRANGE(
      ""1ZHMy3vVUd_0MrSduXTe1etBb1HNpAlGwQr006ljwMiM"",
      ""GSC最新!A:F""
    ),
    5,
    FALSE
  ),
  0
)
"),0.0)</f>
        <v>0</v>
      </c>
      <c r="J84" s="50" t="str">
        <f t="shared" ref="J84:K84" si="411">IFERROR(F84/H84,"-")</f>
        <v>-</v>
      </c>
      <c r="K84" s="50" t="str">
        <f t="shared" si="411"/>
        <v>-</v>
      </c>
      <c r="L84" s="6">
        <f>IFERROR(__xludf.DUMMYFUNCTION("IFERROR(
  VLOOKUP(
    A84,
    IMPORTRANGE(
      ""1ZHMy3vVUd_0MrSduXTe1etBb1HNpAlGwQr006ljwMiM"",
      ""GSC最新!A:R""
    ),
    7,
    FALSE
  ),
  0
)
"),0.0)</f>
        <v>0</v>
      </c>
      <c r="M84" s="6">
        <f>IFERROR(__xludf.DUMMYFUNCTION("IFERROR(
  VLOOKUP(
    A84,
    IMPORTRANGE(
      ""1ZHMy3vVUd_0MrSduXTe1etBb1HNpAlGwQr006ljwMiM"",
      ""GSC最新!A:R""
    ),
    10,
    FALSE
  ),
  0
)
"),0.0)</f>
        <v>0</v>
      </c>
      <c r="N84" s="6">
        <f>IFERROR(__xludf.DUMMYFUNCTION("IFERROR(
  VLOOKUP(
    A84,
    IMPORTRANGE(
      ""1ZHMy3vVUd_0MrSduXTe1etBb1HNpAlGwQr006ljwMiM"",
      ""GSC最新!A:R""
    ),
    13,
    FALSE
  ),
  0
)
"),0.0)</f>
        <v>0</v>
      </c>
      <c r="O84" s="6">
        <f>IFERROR(__xludf.DUMMYFUNCTION("IFERROR(
  VLOOKUP(
    A84,
    IMPORTRANGE(
      ""1ZHMy3vVUd_0MrSduXTe1etBb1HNpAlGwQr006ljwMiM"",
      ""GSC最新!A:R""
    ),
    16,
    FALSE
  ),
  0
)
"),0.0)</f>
        <v>0</v>
      </c>
      <c r="P84" s="51" t="str">
        <f t="shared" ref="P84:Q84" si="412">IFERROR(L84/N84,"-")</f>
        <v>-</v>
      </c>
      <c r="Q84" s="51" t="str">
        <f t="shared" si="412"/>
        <v>-</v>
      </c>
      <c r="R84" s="9">
        <f>IFERROR(__xludf.DUMMYFUNCTION("IFERROR(
  VLOOKUP(
    A84,
    IMPORTRANGE(
      ""1ZHMy3vVUd_0MrSduXTe1etBb1HNpAlGwQr006ljwMiM"",
      ""GSC最新!A:R""
    ),
    8,
    FALSE
  ),
  0
)
"),0.0)</f>
        <v>0</v>
      </c>
      <c r="S84" s="9">
        <f>IFERROR(__xludf.DUMMYFUNCTION("IFERROR(
  VLOOKUP(
    A84,
    IMPORTRANGE(
      ""1ZHMy3vVUd_0MrSduXTe1etBb1HNpAlGwQr006ljwMiM"",
      ""GSC最新!A:R""
    ),
    11,
    FALSE
  ),
  0
)
"),0.0)</f>
        <v>0</v>
      </c>
      <c r="T84" s="9">
        <f>IFERROR(__xludf.DUMMYFUNCTION("IFERROR(
  VLOOKUP(
    A84,
    IMPORTRANGE(
      ""1ZHMy3vVUd_0MrSduXTe1etBb1HNpAlGwQr006ljwMiM"",
      ""GSC最新!A:R""
    ),
    14,
    FALSE
  ),
  0
)
"),0.0)</f>
        <v>0</v>
      </c>
      <c r="U84" s="9">
        <f>IFERROR(__xludf.DUMMYFUNCTION("IFERROR(
  VLOOKUP(
    A84,
    IMPORTRANGE(
      ""1ZHMy3vVUd_0MrSduXTe1etBb1HNpAlGwQr006ljwMiM"",
      ""GSC最新!A:R""
    ),
    17,
    FALSE
  ),
  0
)
"),0.0)</f>
        <v>0</v>
      </c>
      <c r="V84" s="9">
        <f t="shared" ref="V84:W84" si="413">IFERROR(R84-T84,"-")</f>
        <v>0</v>
      </c>
      <c r="W84" s="9">
        <f t="shared" si="413"/>
        <v>0</v>
      </c>
      <c r="X84" s="65" t="str">
        <f>IFERROR(__xludf.DUMMYFUNCTION("IFERROR(
  VLOOKUP(
    A84,
    IMPORTRANGE(
      ""1ZHMy3vVUd_0MrSduXTe1etBb1HNpAlGwQr006ljwMiM"",
      ""GSC最新!A:R""
    ),
    9,
    FALSE
  ),
  0
)
"),"")</f>
        <v/>
      </c>
      <c r="Y84" s="65" t="str">
        <f>IFERROR(__xludf.DUMMYFUNCTION("IFERROR(
  VLOOKUP(
    A84,
    IMPORTRANGE(
      ""1ZHMy3vVUd_0MrSduXTe1etBb1HNpAlGwQr006ljwMiM"",
      ""GSC最新!A:R""
    ),
    12,
    FALSE
  ),
  0
)
"),"")</f>
        <v/>
      </c>
      <c r="Z84" s="65" t="str">
        <f>IFERROR(__xludf.DUMMYFUNCTION("IFERROR(
  VLOOKUP(
    A84,
    IMPORTRANGE(
      ""1ZHMy3vVUd_0MrSduXTe1etBb1HNpAlGwQr006ljwMiM"",
      ""GSC最新!A:R""
    ),
    15,
    FALSE
  ),
  0
)
"),"")</f>
        <v/>
      </c>
      <c r="AA84" s="65" t="str">
        <f>IFERROR(__xludf.DUMMYFUNCTION("IFERROR(
  VLOOKUP(
    A84,
    IMPORTRANGE(
      ""1ZHMy3vVUd_0MrSduXTe1etBb1HNpAlGwQr006ljwMiM"",
      ""GSC最新!A:R""
    ),
    18,
    FALSE
  ),
  0
)
"),"")</f>
        <v/>
      </c>
      <c r="AB84" s="65">
        <f t="shared" ref="AB84:AC84" si="414">X84-Z84</f>
        <v>0</v>
      </c>
      <c r="AC84" s="65">
        <f t="shared" si="414"/>
        <v>0</v>
      </c>
      <c r="AD84" s="53">
        <f>IFERROR(__xludf.DUMMYFUNCTION("IFERROR(
  VLOOKUP(
    A84,
    IMPORTRANGE(
      ""1ZHMy3vVUd_0MrSduXTe1etBb1HNpAlGwQr006ljwMiM"",
      ""GSC最新!A:F""
    ),
    6,
    FALSE
  ),
  0
)
"),46081.0)</f>
        <v>46081</v>
      </c>
      <c r="AE84" s="54">
        <f>IFERROR(__xludf.DUMMYFUNCTION("IFERROR(
  VLOOKUP(
    A84,
    IMPORTRANGE(
      ""1SCYQd7_cobOYqT0r_F0IqD4tE4rYn5y8Eup4PJTH8es"",
      ""Snapshot!A:M""
    ),
    5,
    FALSE
  ),
  ""-""
)
"),0.0)</f>
        <v>0</v>
      </c>
      <c r="AF84" s="54">
        <f>IFERROR(__xludf.DUMMYFUNCTION("IFERROR(
  VLOOKUP(
    A84,
    IMPORTRANGE(
      ""1SCYQd7_cobOYqT0r_F0IqD4tE4rYn5y8Eup4PJTH8es"",
      ""Snapshot!A:M""
    ),
    6,
    FALSE
  ),
  0
)
"),0.0)</f>
        <v>0</v>
      </c>
      <c r="AG84" s="54">
        <f>IFERROR(__xludf.DUMMYFUNCTION("IFERROR(
  VLOOKUP(
    A84,
    IMPORTRANGE(
      ""1SCYQd7_cobOYqT0r_F0IqD4tE4rYn5y8Eup4PJTH8es"",
      ""Snapshot!A:M""
    ),
    7,
    FALSE
  ),
  0
)
"),489.0)</f>
        <v>489</v>
      </c>
      <c r="AH84" s="54">
        <f>IFERROR(__xludf.DUMMYFUNCTION("IFERROR(
  VLOOKUP(
    A84,
    IMPORTRANGE(
      ""1SCYQd7_cobOYqT0r_F0IqD4tE4rYn5y8Eup4PJTH8es"",
      ""Snapshot!A:M""
    ),
    8,
    FALSE
  ),
  0
)
"),3.0)</f>
        <v>3</v>
      </c>
      <c r="AI84" s="54">
        <f>IFERROR(__xludf.DUMMYFUNCTION("IFERROR(
  VLOOKUP(
    A84,
    IMPORTRANGE(
      ""1SCYQd7_cobOYqT0r_F0IqD4tE4rYn5y8Eup4PJTH8es"",
      ""Snapshot!A:M""
    ),
    9,
    FALSE
  ),
  0
)
"),0.0)</f>
        <v>0</v>
      </c>
      <c r="AJ84" s="54">
        <f>IFERROR(__xludf.DUMMYFUNCTION("IFERROR(
  VLOOKUP(
    A84,
    IMPORTRANGE(
      ""1SCYQd7_cobOYqT0r_F0IqD4tE4rYn5y8Eup4PJTH8es"",
      ""Snapshot!A:M""
    ),
    13,
    FALSE
  ),
  0
)
"),2.0)</f>
        <v>2</v>
      </c>
      <c r="AK84" s="49">
        <f t="shared" ref="AK84:AL84" si="415">LEN(C84)</f>
        <v>52</v>
      </c>
      <c r="AL84" s="49">
        <f t="shared" si="415"/>
        <v>55</v>
      </c>
    </row>
    <row r="85">
      <c r="A85" s="1" t="s">
        <v>1305</v>
      </c>
      <c r="B85" s="1" t="str">
        <f>IFERROR(__xludf.DUMMYFUNCTION("IFERROR(
  VLOOKUP(
    A85,
    IMPORTRANGE(
      ""1ZygntHC1J6IxzKbTidmOyf5nUyW4GCLurHCjexrLm_o"",
      ""HTMLキャッシュ!A:F""
    ),
    2,
    FALSE
  ),
  0
)
"),"NW")</f>
        <v>NW</v>
      </c>
      <c r="C85" s="1" t="str">
        <f>IFERROR(__xludf.DUMMYFUNCTION("IFERROR(
  VLOOKUP(
    A85,
    IMPORTRANGE(
      ""1ZygntHC1J6IxzKbTidmOyf5nUyW4GCLurHCjexrLm_o"",
      ""HTMLキャッシュ!A:F""
    ),
    5,
    FALSE
  ),
  0
)
"),"2023年度春期講習開催のお知らせ - 中学受験 理科の個別指導 | 受験理科専門塾「しゅん吉クエスト」")</f>
        <v>2023年度春期講習開催のお知らせ - 中学受験 理科の個別指導 | 受験理科専門塾「しゅん吉クエスト」</v>
      </c>
      <c r="D85" s="1" t="str">
        <f>IFERROR(__xludf.DUMMYFUNCTION("IFERROR(
  VLOOKUP(
    A85,
    IMPORTRANGE(
      ""1ZygntHC1J6IxzKbTidmOyf5nUyW4GCLurHCjexrLm_o        "",
      ""HTMLキャッシュ!A:F""
    ),
    6,
    FALSE
  ),
  0
)
"),"春休みは、短いながらも日頃の積み残しを消化するのに最適なタイミングです。 当塾では、この春休みを有意義に過ごし")</f>
        <v>春休みは、短いながらも日頃の積み残しを消化するのに最適なタイミングです。 当塾では、この春休みを有意義に過ごし</v>
      </c>
      <c r="E85" s="32">
        <f>IFERROR(__xludf.DUMMYFUNCTION("IFERROR(
  VLOOKUP(
    A85,
    IMPORTRANGE(
      ""1ZygntHC1J6IxzKbTidmOyf5nUyW4GCLurHCjexrLm_o        "",
      ""HTMLキャッシュ!A:F""
    ),
    3,
    FALSE
  ),
  0
)
"),45600.121770833335)</f>
        <v>45600.12177</v>
      </c>
      <c r="F85" s="49">
        <f>IFERROR(__xludf.DUMMYFUNCTION("IFERROR(
  VLOOKUP(
    A85,
    IMPORTRANGE(
      ""1ZHMy3vVUd_0MrSduXTe1etBb1HNpAlGwQr006ljwMiM"",
      ""GSC最新!A:F""
    ),
    2,
    FALSE
  ),
  0
)
"),0.0)</f>
        <v>0</v>
      </c>
      <c r="G85" s="49">
        <f>IFERROR(__xludf.DUMMYFUNCTION("IFERROR(
  VLOOKUP(
    A85,
    IMPORTRANGE(
      ""1ZHMy3vVUd_0MrSduXTe1etBb1HNpAlGwQr006ljwMiM"",
      ""GSC最新!A:F""
    ),
    3,
    FALSE
  ),
  0
)
"),0.0)</f>
        <v>0</v>
      </c>
      <c r="H85" s="49">
        <f>IFERROR(__xludf.DUMMYFUNCTION("IFERROR(
  VLOOKUP(
    A85,
    IMPORTRANGE(
      ""1ZHMy3vVUd_0MrSduXTe1etBb1HNpAlGwQr006ljwMiM"",
      ""GSC最新!A:F""
    ),
    4,
    FALSE
  ),
  0
)
"),0.0)</f>
        <v>0</v>
      </c>
      <c r="I85" s="49">
        <f>IFERROR(__xludf.DUMMYFUNCTION("IFERROR(
  VLOOKUP(
    A85,
    IMPORTRANGE(
      ""1ZHMy3vVUd_0MrSduXTe1etBb1HNpAlGwQr006ljwMiM"",
      ""GSC最新!A:F""
    ),
    5,
    FALSE
  ),
  0
)
"),0.0)</f>
        <v>0</v>
      </c>
      <c r="J85" s="50" t="str">
        <f t="shared" ref="J85:K85" si="416">IFERROR(F85/H85,"-")</f>
        <v>-</v>
      </c>
      <c r="K85" s="50" t="str">
        <f t="shared" si="416"/>
        <v>-</v>
      </c>
      <c r="L85" s="6">
        <f>IFERROR(__xludf.DUMMYFUNCTION("IFERROR(
  VLOOKUP(
    A85,
    IMPORTRANGE(
      ""1ZHMy3vVUd_0MrSduXTe1etBb1HNpAlGwQr006ljwMiM"",
      ""GSC最新!A:R""
    ),
    7,
    FALSE
  ),
  0
)
"),0.0)</f>
        <v>0</v>
      </c>
      <c r="M85" s="6">
        <f>IFERROR(__xludf.DUMMYFUNCTION("IFERROR(
  VLOOKUP(
    A85,
    IMPORTRANGE(
      ""1ZHMy3vVUd_0MrSduXTe1etBb1HNpAlGwQr006ljwMiM"",
      ""GSC最新!A:R""
    ),
    10,
    FALSE
  ),
  0
)
"),0.0)</f>
        <v>0</v>
      </c>
      <c r="N85" s="6">
        <f>IFERROR(__xludf.DUMMYFUNCTION("IFERROR(
  VLOOKUP(
    A85,
    IMPORTRANGE(
      ""1ZHMy3vVUd_0MrSduXTe1etBb1HNpAlGwQr006ljwMiM"",
      ""GSC最新!A:R""
    ),
    13,
    FALSE
  ),
  0
)
"),0.0)</f>
        <v>0</v>
      </c>
      <c r="O85" s="6">
        <f>IFERROR(__xludf.DUMMYFUNCTION("IFERROR(
  VLOOKUP(
    A85,
    IMPORTRANGE(
      ""1ZHMy3vVUd_0MrSduXTe1etBb1HNpAlGwQr006ljwMiM"",
      ""GSC最新!A:R""
    ),
    16,
    FALSE
  ),
  0
)
"),0.0)</f>
        <v>0</v>
      </c>
      <c r="P85" s="51" t="str">
        <f t="shared" ref="P85:Q85" si="417">IFERROR(L85/N85,"-")</f>
        <v>-</v>
      </c>
      <c r="Q85" s="51" t="str">
        <f t="shared" si="417"/>
        <v>-</v>
      </c>
      <c r="R85" s="9">
        <f>IFERROR(__xludf.DUMMYFUNCTION("IFERROR(
  VLOOKUP(
    A85,
    IMPORTRANGE(
      ""1ZHMy3vVUd_0MrSduXTe1etBb1HNpAlGwQr006ljwMiM"",
      ""GSC最新!A:R""
    ),
    8,
    FALSE
  ),
  0
)
"),0.0)</f>
        <v>0</v>
      </c>
      <c r="S85" s="9">
        <f>IFERROR(__xludf.DUMMYFUNCTION("IFERROR(
  VLOOKUP(
    A85,
    IMPORTRANGE(
      ""1ZHMy3vVUd_0MrSduXTe1etBb1HNpAlGwQr006ljwMiM"",
      ""GSC最新!A:R""
    ),
    11,
    FALSE
  ),
  0
)
"),0.0)</f>
        <v>0</v>
      </c>
      <c r="T85" s="9">
        <f>IFERROR(__xludf.DUMMYFUNCTION("IFERROR(
  VLOOKUP(
    A85,
    IMPORTRANGE(
      ""1ZHMy3vVUd_0MrSduXTe1etBb1HNpAlGwQr006ljwMiM"",
      ""GSC最新!A:R""
    ),
    14,
    FALSE
  ),
  0
)
"),0.0)</f>
        <v>0</v>
      </c>
      <c r="U85" s="9">
        <f>IFERROR(__xludf.DUMMYFUNCTION("IFERROR(
  VLOOKUP(
    A85,
    IMPORTRANGE(
      ""1ZHMy3vVUd_0MrSduXTe1etBb1HNpAlGwQr006ljwMiM"",
      ""GSC最新!A:R""
    ),
    17,
    FALSE
  ),
  0
)
"),0.0)</f>
        <v>0</v>
      </c>
      <c r="V85" s="9">
        <f t="shared" ref="V85:W85" si="418">IFERROR(R85-T85,"-")</f>
        <v>0</v>
      </c>
      <c r="W85" s="9">
        <f t="shared" si="418"/>
        <v>0</v>
      </c>
      <c r="X85" s="65" t="str">
        <f>IFERROR(__xludf.DUMMYFUNCTION("IFERROR(
  VLOOKUP(
    A85,
    IMPORTRANGE(
      ""1ZHMy3vVUd_0MrSduXTe1etBb1HNpAlGwQr006ljwMiM"",
      ""GSC最新!A:R""
    ),
    9,
    FALSE
  ),
  0
)
"),"")</f>
        <v/>
      </c>
      <c r="Y85" s="65" t="str">
        <f>IFERROR(__xludf.DUMMYFUNCTION("IFERROR(
  VLOOKUP(
    A85,
    IMPORTRANGE(
      ""1ZHMy3vVUd_0MrSduXTe1etBb1HNpAlGwQr006ljwMiM"",
      ""GSC最新!A:R""
    ),
    12,
    FALSE
  ),
  0
)
"),"")</f>
        <v/>
      </c>
      <c r="Z85" s="65" t="str">
        <f>IFERROR(__xludf.DUMMYFUNCTION("IFERROR(
  VLOOKUP(
    A85,
    IMPORTRANGE(
      ""1ZHMy3vVUd_0MrSduXTe1etBb1HNpAlGwQr006ljwMiM"",
      ""GSC最新!A:R""
    ),
    15,
    FALSE
  ),
  0
)
"),"")</f>
        <v/>
      </c>
      <c r="AA85" s="65" t="str">
        <f>IFERROR(__xludf.DUMMYFUNCTION("IFERROR(
  VLOOKUP(
    A85,
    IMPORTRANGE(
      ""1ZHMy3vVUd_0MrSduXTe1etBb1HNpAlGwQr006ljwMiM"",
      ""GSC最新!A:R""
    ),
    18,
    FALSE
  ),
  0
)
"),"")</f>
        <v/>
      </c>
      <c r="AB85" s="65">
        <f t="shared" ref="AB85:AC85" si="419">X85-Z85</f>
        <v>0</v>
      </c>
      <c r="AC85" s="65">
        <f t="shared" si="419"/>
        <v>0</v>
      </c>
      <c r="AD85" s="53">
        <f>IFERROR(__xludf.DUMMYFUNCTION("IFERROR(
  VLOOKUP(
    A85,
    IMPORTRANGE(
      ""1ZHMy3vVUd_0MrSduXTe1etBb1HNpAlGwQr006ljwMiM"",
      ""GSC最新!A:F""
    ),
    6,
    FALSE
  ),
  0
)
"),46081.0)</f>
        <v>46081</v>
      </c>
      <c r="AE85" s="54">
        <f>IFERROR(__xludf.DUMMYFUNCTION("IFERROR(
  VLOOKUP(
    A85,
    IMPORTRANGE(
      ""1SCYQd7_cobOYqT0r_F0IqD4tE4rYn5y8Eup4PJTH8es"",
      ""Snapshot!A:M""
    ),
    5,
    FALSE
  ),
  ""-""
)
"),0.0)</f>
        <v>0</v>
      </c>
      <c r="AF85" s="54">
        <f>IFERROR(__xludf.DUMMYFUNCTION("IFERROR(
  VLOOKUP(
    A85,
    IMPORTRANGE(
      ""1SCYQd7_cobOYqT0r_F0IqD4tE4rYn5y8Eup4PJTH8es"",
      ""Snapshot!A:M""
    ),
    6,
    FALSE
  ),
  0
)
"),0.0)</f>
        <v>0</v>
      </c>
      <c r="AG85" s="54">
        <f>IFERROR(__xludf.DUMMYFUNCTION("IFERROR(
  VLOOKUP(
    A85,
    IMPORTRANGE(
      ""1SCYQd7_cobOYqT0r_F0IqD4tE4rYn5y8Eup4PJTH8es"",
      ""Snapshot!A:M""
    ),
    7,
    FALSE
  ),
  0
)
"),516.0)</f>
        <v>516</v>
      </c>
      <c r="AH85" s="54">
        <f>IFERROR(__xludf.DUMMYFUNCTION("IFERROR(
  VLOOKUP(
    A85,
    IMPORTRANGE(
      ""1SCYQd7_cobOYqT0r_F0IqD4tE4rYn5y8Eup4PJTH8es"",
      ""Snapshot!A:M""
    ),
    8,
    FALSE
  ),
  0
)
"),3.0)</f>
        <v>3</v>
      </c>
      <c r="AI85" s="54">
        <f>IFERROR(__xludf.DUMMYFUNCTION("IFERROR(
  VLOOKUP(
    A85,
    IMPORTRANGE(
      ""1SCYQd7_cobOYqT0r_F0IqD4tE4rYn5y8Eup4PJTH8es"",
      ""Snapshot!A:M""
    ),
    9,
    FALSE
  ),
  0
)
"),0.0)</f>
        <v>0</v>
      </c>
      <c r="AJ85" s="54">
        <f>IFERROR(__xludf.DUMMYFUNCTION("IFERROR(
  VLOOKUP(
    A85,
    IMPORTRANGE(
      ""1SCYQd7_cobOYqT0r_F0IqD4tE4rYn5y8Eup4PJTH8es"",
      ""Snapshot!A:M""
    ),
    13,
    FALSE
  ),
  0
)
"),2.0)</f>
        <v>2</v>
      </c>
      <c r="AK85" s="49">
        <f t="shared" ref="AK85:AL85" si="420">LEN(C85)</f>
        <v>52</v>
      </c>
      <c r="AL85" s="49">
        <f t="shared" si="420"/>
        <v>55</v>
      </c>
    </row>
    <row r="86">
      <c r="A86" s="1" t="s">
        <v>1306</v>
      </c>
      <c r="B86" s="1" t="str">
        <f>IFERROR(__xludf.DUMMYFUNCTION("IFERROR(
  VLOOKUP(
    A86,
    IMPORTRANGE(
      ""1ZygntHC1J6IxzKbTidmOyf5nUyW4GCLurHCjexrLm_o"",
      ""HTMLキャッシュ!A:F""
    ),
    2,
    FALSE
  ),
  0
)
"),"NW")</f>
        <v>NW</v>
      </c>
      <c r="C86" s="1" t="str">
        <f>IFERROR(__xludf.DUMMYFUNCTION("IFERROR(
  VLOOKUP(
    A86,
    IMPORTRANGE(
      ""1ZygntHC1J6IxzKbTidmOyf5nUyW4GCLurHCjexrLm_o"",
      ""HTMLキャッシュ!A:F""
    ),
    5,
    FALSE
  ),
  0
)
"),"2022年度冬期講習開催のお知らせ - 中学受験 理科の個別指導 | 受験理科専門塾「しゅん吉クエスト」")</f>
        <v>2022年度冬期講習開催のお知らせ - 中学受験 理科の個別指導 | 受験理科専門塾「しゅん吉クエスト」</v>
      </c>
      <c r="D86" s="1" t="str">
        <f>IFERROR(__xludf.DUMMYFUNCTION("IFERROR(
  VLOOKUP(
    A86,
    IMPORTRANGE(
      ""1ZygntHC1J6IxzKbTidmOyf5nUyW4GCLurHCjexrLm_o        "",
      ""HTMLキャッシュ!A:F""
    ),
    6,
    FALSE
  ),
  0
)
"),"2022年度 冬期講習会のご案内 当塾「しゅん吉クエスト」では、冬期講習会を実施いたします。現在通塾中の生徒の")</f>
        <v>2022年度 冬期講習会のご案内 当塾「しゅん吉クエスト」では、冬期講習会を実施いたします。現在通塾中の生徒の</v>
      </c>
      <c r="E86" s="32">
        <f>IFERROR(__xludf.DUMMYFUNCTION("IFERROR(
  VLOOKUP(
    A86,
    IMPORTRANGE(
      ""1ZygntHC1J6IxzKbTidmOyf5nUyW4GCLurHCjexrLm_o        "",
      ""HTMLキャッシュ!A:F""
    ),
    3,
    FALSE
  ),
  0
)
"),45600.11834490741)</f>
        <v>45600.11834</v>
      </c>
      <c r="F86" s="49">
        <f>IFERROR(__xludf.DUMMYFUNCTION("IFERROR(
  VLOOKUP(
    A86,
    IMPORTRANGE(
      ""1ZHMy3vVUd_0MrSduXTe1etBb1HNpAlGwQr006ljwMiM"",
      ""GSC最新!A:F""
    ),
    2,
    FALSE
  ),
  0
)
"),0.0)</f>
        <v>0</v>
      </c>
      <c r="G86" s="49">
        <f>IFERROR(__xludf.DUMMYFUNCTION("IFERROR(
  VLOOKUP(
    A86,
    IMPORTRANGE(
      ""1ZHMy3vVUd_0MrSduXTe1etBb1HNpAlGwQr006ljwMiM"",
      ""GSC最新!A:F""
    ),
    3,
    FALSE
  ),
  0
)
"),0.0)</f>
        <v>0</v>
      </c>
      <c r="H86" s="49">
        <f>IFERROR(__xludf.DUMMYFUNCTION("IFERROR(
  VLOOKUP(
    A86,
    IMPORTRANGE(
      ""1ZHMy3vVUd_0MrSduXTe1etBb1HNpAlGwQr006ljwMiM"",
      ""GSC最新!A:F""
    ),
    4,
    FALSE
  ),
  0
)
"),0.0)</f>
        <v>0</v>
      </c>
      <c r="I86" s="49">
        <f>IFERROR(__xludf.DUMMYFUNCTION("IFERROR(
  VLOOKUP(
    A86,
    IMPORTRANGE(
      ""1ZHMy3vVUd_0MrSduXTe1etBb1HNpAlGwQr006ljwMiM"",
      ""GSC最新!A:F""
    ),
    5,
    FALSE
  ),
  0
)
"),0.0)</f>
        <v>0</v>
      </c>
      <c r="J86" s="50" t="str">
        <f t="shared" ref="J86:K86" si="421">IFERROR(F86/H86,"-")</f>
        <v>-</v>
      </c>
      <c r="K86" s="50" t="str">
        <f t="shared" si="421"/>
        <v>-</v>
      </c>
      <c r="L86" s="6">
        <f>IFERROR(__xludf.DUMMYFUNCTION("IFERROR(
  VLOOKUP(
    A86,
    IMPORTRANGE(
      ""1ZHMy3vVUd_0MrSduXTe1etBb1HNpAlGwQr006ljwMiM"",
      ""GSC最新!A:R""
    ),
    7,
    FALSE
  ),
  0
)
"),0.0)</f>
        <v>0</v>
      </c>
      <c r="M86" s="6">
        <f>IFERROR(__xludf.DUMMYFUNCTION("IFERROR(
  VLOOKUP(
    A86,
    IMPORTRANGE(
      ""1ZHMy3vVUd_0MrSduXTe1etBb1HNpAlGwQr006ljwMiM"",
      ""GSC最新!A:R""
    ),
    10,
    FALSE
  ),
  0
)
"),0.0)</f>
        <v>0</v>
      </c>
      <c r="N86" s="6">
        <f>IFERROR(__xludf.DUMMYFUNCTION("IFERROR(
  VLOOKUP(
    A86,
    IMPORTRANGE(
      ""1ZHMy3vVUd_0MrSduXTe1etBb1HNpAlGwQr006ljwMiM"",
      ""GSC最新!A:R""
    ),
    13,
    FALSE
  ),
  0
)
"),0.0)</f>
        <v>0</v>
      </c>
      <c r="O86" s="6">
        <f>IFERROR(__xludf.DUMMYFUNCTION("IFERROR(
  VLOOKUP(
    A86,
    IMPORTRANGE(
      ""1ZHMy3vVUd_0MrSduXTe1etBb1HNpAlGwQr006ljwMiM"",
      ""GSC最新!A:R""
    ),
    16,
    FALSE
  ),
  0
)
"),0.0)</f>
        <v>0</v>
      </c>
      <c r="P86" s="51" t="str">
        <f t="shared" ref="P86:Q86" si="422">IFERROR(L86/N86,"-")</f>
        <v>-</v>
      </c>
      <c r="Q86" s="51" t="str">
        <f t="shared" si="422"/>
        <v>-</v>
      </c>
      <c r="R86" s="9">
        <f>IFERROR(__xludf.DUMMYFUNCTION("IFERROR(
  VLOOKUP(
    A86,
    IMPORTRANGE(
      ""1ZHMy3vVUd_0MrSduXTe1etBb1HNpAlGwQr006ljwMiM"",
      ""GSC最新!A:R""
    ),
    8,
    FALSE
  ),
  0
)
"),0.0)</f>
        <v>0</v>
      </c>
      <c r="S86" s="9">
        <f>IFERROR(__xludf.DUMMYFUNCTION("IFERROR(
  VLOOKUP(
    A86,
    IMPORTRANGE(
      ""1ZHMy3vVUd_0MrSduXTe1etBb1HNpAlGwQr006ljwMiM"",
      ""GSC最新!A:R""
    ),
    11,
    FALSE
  ),
  0
)
"),0.0)</f>
        <v>0</v>
      </c>
      <c r="T86" s="9">
        <f>IFERROR(__xludf.DUMMYFUNCTION("IFERROR(
  VLOOKUP(
    A86,
    IMPORTRANGE(
      ""1ZHMy3vVUd_0MrSduXTe1etBb1HNpAlGwQr006ljwMiM"",
      ""GSC最新!A:R""
    ),
    14,
    FALSE
  ),
  0
)
"),0.0)</f>
        <v>0</v>
      </c>
      <c r="U86" s="9">
        <f>IFERROR(__xludf.DUMMYFUNCTION("IFERROR(
  VLOOKUP(
    A86,
    IMPORTRANGE(
      ""1ZHMy3vVUd_0MrSduXTe1etBb1HNpAlGwQr006ljwMiM"",
      ""GSC最新!A:R""
    ),
    17,
    FALSE
  ),
  0
)
"),0.0)</f>
        <v>0</v>
      </c>
      <c r="V86" s="9">
        <f t="shared" ref="V86:W86" si="423">IFERROR(R86-T86,"-")</f>
        <v>0</v>
      </c>
      <c r="W86" s="9">
        <f t="shared" si="423"/>
        <v>0</v>
      </c>
      <c r="X86" s="65" t="str">
        <f>IFERROR(__xludf.DUMMYFUNCTION("IFERROR(
  VLOOKUP(
    A86,
    IMPORTRANGE(
      ""1ZHMy3vVUd_0MrSduXTe1etBb1HNpAlGwQr006ljwMiM"",
      ""GSC最新!A:R""
    ),
    9,
    FALSE
  ),
  0
)
"),"")</f>
        <v/>
      </c>
      <c r="Y86" s="65" t="str">
        <f>IFERROR(__xludf.DUMMYFUNCTION("IFERROR(
  VLOOKUP(
    A86,
    IMPORTRANGE(
      ""1ZHMy3vVUd_0MrSduXTe1etBb1HNpAlGwQr006ljwMiM"",
      ""GSC最新!A:R""
    ),
    12,
    FALSE
  ),
  0
)
"),"")</f>
        <v/>
      </c>
      <c r="Z86" s="65" t="str">
        <f>IFERROR(__xludf.DUMMYFUNCTION("IFERROR(
  VLOOKUP(
    A86,
    IMPORTRANGE(
      ""1ZHMy3vVUd_0MrSduXTe1etBb1HNpAlGwQr006ljwMiM"",
      ""GSC最新!A:R""
    ),
    15,
    FALSE
  ),
  0
)
"),"")</f>
        <v/>
      </c>
      <c r="AA86" s="65" t="str">
        <f>IFERROR(__xludf.DUMMYFUNCTION("IFERROR(
  VLOOKUP(
    A86,
    IMPORTRANGE(
      ""1ZHMy3vVUd_0MrSduXTe1etBb1HNpAlGwQr006ljwMiM"",
      ""GSC最新!A:R""
    ),
    18,
    FALSE
  ),
  0
)
"),"")</f>
        <v/>
      </c>
      <c r="AB86" s="65">
        <f t="shared" ref="AB86:AC86" si="424">X86-Z86</f>
        <v>0</v>
      </c>
      <c r="AC86" s="65">
        <f t="shared" si="424"/>
        <v>0</v>
      </c>
      <c r="AD86" s="53">
        <f>IFERROR(__xludf.DUMMYFUNCTION("IFERROR(
  VLOOKUP(
    A86,
    IMPORTRANGE(
      ""1ZHMy3vVUd_0MrSduXTe1etBb1HNpAlGwQr006ljwMiM"",
      ""GSC最新!A:F""
    ),
    6,
    FALSE
  ),
  0
)
"),46081.0)</f>
        <v>46081</v>
      </c>
      <c r="AE86" s="54">
        <f>IFERROR(__xludf.DUMMYFUNCTION("IFERROR(
  VLOOKUP(
    A86,
    IMPORTRANGE(
      ""1SCYQd7_cobOYqT0r_F0IqD4tE4rYn5y8Eup4PJTH8es"",
      ""Snapshot!A:M""
    ),
    5,
    FALSE
  ),
  ""-""
)
"),0.0)</f>
        <v>0</v>
      </c>
      <c r="AF86" s="54">
        <f>IFERROR(__xludf.DUMMYFUNCTION("IFERROR(
  VLOOKUP(
    A86,
    IMPORTRANGE(
      ""1SCYQd7_cobOYqT0r_F0IqD4tE4rYn5y8Eup4PJTH8es"",
      ""Snapshot!A:M""
    ),
    6,
    FALSE
  ),
  0
)
"),0.0)</f>
        <v>0</v>
      </c>
      <c r="AG86" s="54">
        <f>IFERROR(__xludf.DUMMYFUNCTION("IFERROR(
  VLOOKUP(
    A86,
    IMPORTRANGE(
      ""1SCYQd7_cobOYqT0r_F0IqD4tE4rYn5y8Eup4PJTH8es"",
      ""Snapshot!A:M""
    ),
    7,
    FALSE
  ),
  0
)
"),489.0)</f>
        <v>489</v>
      </c>
      <c r="AH86" s="54">
        <f>IFERROR(__xludf.DUMMYFUNCTION("IFERROR(
  VLOOKUP(
    A86,
    IMPORTRANGE(
      ""1SCYQd7_cobOYqT0r_F0IqD4tE4rYn5y8Eup4PJTH8es"",
      ""Snapshot!A:M""
    ),
    8,
    FALSE
  ),
  0
)
"),3.0)</f>
        <v>3</v>
      </c>
      <c r="AI86" s="54">
        <f>IFERROR(__xludf.DUMMYFUNCTION("IFERROR(
  VLOOKUP(
    A86,
    IMPORTRANGE(
      ""1SCYQd7_cobOYqT0r_F0IqD4tE4rYn5y8Eup4PJTH8es"",
      ""Snapshot!A:M""
    ),
    9,
    FALSE
  ),
  0
)
"),0.0)</f>
        <v>0</v>
      </c>
      <c r="AJ86" s="54">
        <f>IFERROR(__xludf.DUMMYFUNCTION("IFERROR(
  VLOOKUP(
    A86,
    IMPORTRANGE(
      ""1SCYQd7_cobOYqT0r_F0IqD4tE4rYn5y8Eup4PJTH8es"",
      ""Snapshot!A:M""
    ),
    13,
    FALSE
  ),
  0
)
"),2.0)</f>
        <v>2</v>
      </c>
      <c r="AK86" s="49">
        <f t="shared" ref="AK86:AL86" si="425">LEN(C86)</f>
        <v>52</v>
      </c>
      <c r="AL86" s="49">
        <f t="shared" si="425"/>
        <v>55</v>
      </c>
    </row>
    <row r="87">
      <c r="A87" s="1" t="s">
        <v>1307</v>
      </c>
      <c r="B87" s="1" t="str">
        <f>IFERROR(__xludf.DUMMYFUNCTION("IFERROR(
  VLOOKUP(
    A87,
    IMPORTRANGE(
      ""1ZygntHC1J6IxzKbTidmOyf5nUyW4GCLurHCjexrLm_o"",
      ""HTMLキャッシュ!A:F""
    ),
    2,
    FALSE
  ),
  0
)
"),"NW")</f>
        <v>NW</v>
      </c>
      <c r="C87" s="1" t="str">
        <f>IFERROR(__xludf.DUMMYFUNCTION("IFERROR(
  VLOOKUP(
    A87,
    IMPORTRANGE(
      ""1ZygntHC1J6IxzKbTidmOyf5nUyW4GCLurHCjexrLm_o"",
      ""HTMLキャッシュ!A:F""
    ),
    5,
    FALSE
  ),
  0
)
"),"2022年度夏期講習開催のお知らせ - 中学受験 理科の個別指導 | 受験理科専門塾「しゅん吉クエスト」")</f>
        <v>2022年度夏期講習開催のお知らせ - 中学受験 理科の個別指導 | 受験理科専門塾「しゅん吉クエスト」</v>
      </c>
      <c r="D87" s="1" t="str">
        <f>IFERROR(__xludf.DUMMYFUNCTION("IFERROR(
  VLOOKUP(
    A87,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87" s="32">
        <f>IFERROR(__xludf.DUMMYFUNCTION("IFERROR(
  VLOOKUP(
    A87,
    IMPORTRANGE(
      ""1ZygntHC1J6IxzKbTidmOyf5nUyW4GCLurHCjexrLm_o        "",
      ""HTMLキャッシュ!A:F""
    ),
    3,
    FALSE
  ),
  0
)
"),45600.11486111111)</f>
        <v>45600.11486</v>
      </c>
      <c r="F87" s="49">
        <f>IFERROR(__xludf.DUMMYFUNCTION("IFERROR(
  VLOOKUP(
    A87,
    IMPORTRANGE(
      ""1ZHMy3vVUd_0MrSduXTe1etBb1HNpAlGwQr006ljwMiM"",
      ""GSC最新!A:F""
    ),
    2,
    FALSE
  ),
  0
)
"),0.0)</f>
        <v>0</v>
      </c>
      <c r="G87" s="49">
        <f>IFERROR(__xludf.DUMMYFUNCTION("IFERROR(
  VLOOKUP(
    A87,
    IMPORTRANGE(
      ""1ZHMy3vVUd_0MrSduXTe1etBb1HNpAlGwQr006ljwMiM"",
      ""GSC最新!A:F""
    ),
    3,
    FALSE
  ),
  0
)
"),0.0)</f>
        <v>0</v>
      </c>
      <c r="H87" s="49">
        <f>IFERROR(__xludf.DUMMYFUNCTION("IFERROR(
  VLOOKUP(
    A87,
    IMPORTRANGE(
      ""1ZHMy3vVUd_0MrSduXTe1etBb1HNpAlGwQr006ljwMiM"",
      ""GSC最新!A:F""
    ),
    4,
    FALSE
  ),
  0
)
"),0.0)</f>
        <v>0</v>
      </c>
      <c r="I87" s="49">
        <f>IFERROR(__xludf.DUMMYFUNCTION("IFERROR(
  VLOOKUP(
    A87,
    IMPORTRANGE(
      ""1ZHMy3vVUd_0MrSduXTe1etBb1HNpAlGwQr006ljwMiM"",
      ""GSC最新!A:F""
    ),
    5,
    FALSE
  ),
  0
)
"),0.0)</f>
        <v>0</v>
      </c>
      <c r="J87" s="50" t="str">
        <f t="shared" ref="J87:K87" si="426">IFERROR(F87/H87,"-")</f>
        <v>-</v>
      </c>
      <c r="K87" s="50" t="str">
        <f t="shared" si="426"/>
        <v>-</v>
      </c>
      <c r="L87" s="6">
        <f>IFERROR(__xludf.DUMMYFUNCTION("IFERROR(
  VLOOKUP(
    A87,
    IMPORTRANGE(
      ""1ZHMy3vVUd_0MrSduXTe1etBb1HNpAlGwQr006ljwMiM"",
      ""GSC最新!A:R""
    ),
    7,
    FALSE
  ),
  0
)
"),0.0)</f>
        <v>0</v>
      </c>
      <c r="M87" s="6">
        <f>IFERROR(__xludf.DUMMYFUNCTION("IFERROR(
  VLOOKUP(
    A87,
    IMPORTRANGE(
      ""1ZHMy3vVUd_0MrSduXTe1etBb1HNpAlGwQr006ljwMiM"",
      ""GSC最新!A:R""
    ),
    10,
    FALSE
  ),
  0
)
"),0.0)</f>
        <v>0</v>
      </c>
      <c r="N87" s="6">
        <f>IFERROR(__xludf.DUMMYFUNCTION("IFERROR(
  VLOOKUP(
    A87,
    IMPORTRANGE(
      ""1ZHMy3vVUd_0MrSduXTe1etBb1HNpAlGwQr006ljwMiM"",
      ""GSC最新!A:R""
    ),
    13,
    FALSE
  ),
  0
)
"),0.0)</f>
        <v>0</v>
      </c>
      <c r="O87" s="6">
        <f>IFERROR(__xludf.DUMMYFUNCTION("IFERROR(
  VLOOKUP(
    A87,
    IMPORTRANGE(
      ""1ZHMy3vVUd_0MrSduXTe1etBb1HNpAlGwQr006ljwMiM"",
      ""GSC最新!A:R""
    ),
    16,
    FALSE
  ),
  0
)
"),0.0)</f>
        <v>0</v>
      </c>
      <c r="P87" s="51" t="str">
        <f t="shared" ref="P87:Q87" si="427">IFERROR(L87/N87,"-")</f>
        <v>-</v>
      </c>
      <c r="Q87" s="51" t="str">
        <f t="shared" si="427"/>
        <v>-</v>
      </c>
      <c r="R87" s="9">
        <f>IFERROR(__xludf.DUMMYFUNCTION("IFERROR(
  VLOOKUP(
    A87,
    IMPORTRANGE(
      ""1ZHMy3vVUd_0MrSduXTe1etBb1HNpAlGwQr006ljwMiM"",
      ""GSC最新!A:R""
    ),
    8,
    FALSE
  ),
  0
)
"),0.0)</f>
        <v>0</v>
      </c>
      <c r="S87" s="9">
        <f>IFERROR(__xludf.DUMMYFUNCTION("IFERROR(
  VLOOKUP(
    A87,
    IMPORTRANGE(
      ""1ZHMy3vVUd_0MrSduXTe1etBb1HNpAlGwQr006ljwMiM"",
      ""GSC最新!A:R""
    ),
    11,
    FALSE
  ),
  0
)
"),0.0)</f>
        <v>0</v>
      </c>
      <c r="T87" s="9">
        <f>IFERROR(__xludf.DUMMYFUNCTION("IFERROR(
  VLOOKUP(
    A87,
    IMPORTRANGE(
      ""1ZHMy3vVUd_0MrSduXTe1etBb1HNpAlGwQr006ljwMiM"",
      ""GSC最新!A:R""
    ),
    14,
    FALSE
  ),
  0
)
"),0.0)</f>
        <v>0</v>
      </c>
      <c r="U87" s="9">
        <f>IFERROR(__xludf.DUMMYFUNCTION("IFERROR(
  VLOOKUP(
    A87,
    IMPORTRANGE(
      ""1ZHMy3vVUd_0MrSduXTe1etBb1HNpAlGwQr006ljwMiM"",
      ""GSC最新!A:R""
    ),
    17,
    FALSE
  ),
  0
)
"),0.0)</f>
        <v>0</v>
      </c>
      <c r="V87" s="9">
        <f t="shared" ref="V87:W87" si="428">IFERROR(R87-T87,"-")</f>
        <v>0</v>
      </c>
      <c r="W87" s="9">
        <f t="shared" si="428"/>
        <v>0</v>
      </c>
      <c r="X87" s="65" t="str">
        <f>IFERROR(__xludf.DUMMYFUNCTION("IFERROR(
  VLOOKUP(
    A87,
    IMPORTRANGE(
      ""1ZHMy3vVUd_0MrSduXTe1etBb1HNpAlGwQr006ljwMiM"",
      ""GSC最新!A:R""
    ),
    9,
    FALSE
  ),
  0
)
"),"")</f>
        <v/>
      </c>
      <c r="Y87" s="65" t="str">
        <f>IFERROR(__xludf.DUMMYFUNCTION("IFERROR(
  VLOOKUP(
    A87,
    IMPORTRANGE(
      ""1ZHMy3vVUd_0MrSduXTe1etBb1HNpAlGwQr006ljwMiM"",
      ""GSC最新!A:R""
    ),
    12,
    FALSE
  ),
  0
)
"),"")</f>
        <v/>
      </c>
      <c r="Z87" s="65" t="str">
        <f>IFERROR(__xludf.DUMMYFUNCTION("IFERROR(
  VLOOKUP(
    A87,
    IMPORTRANGE(
      ""1ZHMy3vVUd_0MrSduXTe1etBb1HNpAlGwQr006ljwMiM"",
      ""GSC最新!A:R""
    ),
    15,
    FALSE
  ),
  0
)
"),"")</f>
        <v/>
      </c>
      <c r="AA87" s="65" t="str">
        <f>IFERROR(__xludf.DUMMYFUNCTION("IFERROR(
  VLOOKUP(
    A87,
    IMPORTRANGE(
      ""1ZHMy3vVUd_0MrSduXTe1etBb1HNpAlGwQr006ljwMiM"",
      ""GSC最新!A:R""
    ),
    18,
    FALSE
  ),
  0
)
"),"")</f>
        <v/>
      </c>
      <c r="AB87" s="65">
        <f t="shared" ref="AB87:AC87" si="429">X87-Z87</f>
        <v>0</v>
      </c>
      <c r="AC87" s="65">
        <f t="shared" si="429"/>
        <v>0</v>
      </c>
      <c r="AD87" s="53">
        <f>IFERROR(__xludf.DUMMYFUNCTION("IFERROR(
  VLOOKUP(
    A87,
    IMPORTRANGE(
      ""1ZHMy3vVUd_0MrSduXTe1etBb1HNpAlGwQr006ljwMiM"",
      ""GSC最新!A:F""
    ),
    6,
    FALSE
  ),
  0
)
"),46081.0)</f>
        <v>46081</v>
      </c>
      <c r="AE87" s="54">
        <f>IFERROR(__xludf.DUMMYFUNCTION("IFERROR(
  VLOOKUP(
    A87,
    IMPORTRANGE(
      ""1SCYQd7_cobOYqT0r_F0IqD4tE4rYn5y8Eup4PJTH8es"",
      ""Snapshot!A:M""
    ),
    5,
    FALSE
  ),
  ""-""
)
"),0.0)</f>
        <v>0</v>
      </c>
      <c r="AF87" s="54">
        <f>IFERROR(__xludf.DUMMYFUNCTION("IFERROR(
  VLOOKUP(
    A87,
    IMPORTRANGE(
      ""1SCYQd7_cobOYqT0r_F0IqD4tE4rYn5y8Eup4PJTH8es"",
      ""Snapshot!A:M""
    ),
    6,
    FALSE
  ),
  0
)
"),0.0)</f>
        <v>0</v>
      </c>
      <c r="AG87" s="54">
        <f>IFERROR(__xludf.DUMMYFUNCTION("IFERROR(
  VLOOKUP(
    A87,
    IMPORTRANGE(
      ""1SCYQd7_cobOYqT0r_F0IqD4tE4rYn5y8Eup4PJTH8es"",
      ""Snapshot!A:M""
    ),
    7,
    FALSE
  ),
  0
)
"),649.0)</f>
        <v>649</v>
      </c>
      <c r="AH87" s="54">
        <f>IFERROR(__xludf.DUMMYFUNCTION("IFERROR(
  VLOOKUP(
    A87,
    IMPORTRANGE(
      ""1SCYQd7_cobOYqT0r_F0IqD4tE4rYn5y8Eup4PJTH8es"",
      ""Snapshot!A:M""
    ),
    8,
    FALSE
  ),
  0
)
"),3.0)</f>
        <v>3</v>
      </c>
      <c r="AI87" s="54">
        <f>IFERROR(__xludf.DUMMYFUNCTION("IFERROR(
  VLOOKUP(
    A87,
    IMPORTRANGE(
      ""1SCYQd7_cobOYqT0r_F0IqD4tE4rYn5y8Eup4PJTH8es"",
      ""Snapshot!A:M""
    ),
    9,
    FALSE
  ),
  0
)
"),0.0)</f>
        <v>0</v>
      </c>
      <c r="AJ87" s="54">
        <f>IFERROR(__xludf.DUMMYFUNCTION("IFERROR(
  VLOOKUP(
    A87,
    IMPORTRANGE(
      ""1SCYQd7_cobOYqT0r_F0IqD4tE4rYn5y8Eup4PJTH8es"",
      ""Snapshot!A:M""
    ),
    13,
    FALSE
  ),
  0
)
"),2.0)</f>
        <v>2</v>
      </c>
      <c r="AK87" s="49">
        <f t="shared" ref="AK87:AL87" si="430">LEN(C87)</f>
        <v>52</v>
      </c>
      <c r="AL87" s="49">
        <f t="shared" si="430"/>
        <v>55</v>
      </c>
    </row>
    <row r="88">
      <c r="A88" s="1" t="s">
        <v>1308</v>
      </c>
      <c r="B88" s="1" t="str">
        <f>IFERROR(__xludf.DUMMYFUNCTION("IFERROR(
  VLOOKUP(
    A88,
    IMPORTRANGE(
      ""1ZygntHC1J6IxzKbTidmOyf5nUyW4GCLurHCjexrLm_o"",
      ""HTMLキャッシュ!A:F""
    ),
    2,
    FALSE
  ),
  0
)
"),"NW")</f>
        <v>NW</v>
      </c>
      <c r="C88" s="1" t="str">
        <f>IFERROR(__xludf.DUMMYFUNCTION("IFERROR(
  VLOOKUP(
    A88,
    IMPORTRANGE(
      ""1ZygntHC1J6IxzKbTidmOyf5nUyW4GCLurHCjexrLm_o"",
      ""HTMLキャッシュ!A:F""
    ),
    5,
    FALSE
  ),
  0
)
"),"2022年度春期講習開催のお知らせ - 中学受験 理科の個別指導 | 受験理科専門塾「しゅん吉クエスト」")</f>
        <v>2022年度春期講習開催のお知らせ - 中学受験 理科の個別指導 | 受験理科専門塾「しゅん吉クエスト」</v>
      </c>
      <c r="D88" s="1" t="str">
        <f>IFERROR(__xludf.DUMMYFUNCTION("IFERROR(
  VLOOKUP(
    A88,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88" s="32">
        <f>IFERROR(__xludf.DUMMYFUNCTION("IFERROR(
  VLOOKUP(
    A88,
    IMPORTRANGE(
      ""1ZygntHC1J6IxzKbTidmOyf5nUyW4GCLurHCjexrLm_o        "",
      ""HTMLキャッシュ!A:F""
    ),
    3,
    FALSE
  ),
  0
)
"),45600.11273148148)</f>
        <v>45600.11273</v>
      </c>
      <c r="F88" s="49">
        <f>IFERROR(__xludf.DUMMYFUNCTION("IFERROR(
  VLOOKUP(
    A88,
    IMPORTRANGE(
      ""1ZHMy3vVUd_0MrSduXTe1etBb1HNpAlGwQr006ljwMiM"",
      ""GSC最新!A:F""
    ),
    2,
    FALSE
  ),
  0
)
"),0.0)</f>
        <v>0</v>
      </c>
      <c r="G88" s="49">
        <f>IFERROR(__xludf.DUMMYFUNCTION("IFERROR(
  VLOOKUP(
    A88,
    IMPORTRANGE(
      ""1ZHMy3vVUd_0MrSduXTe1etBb1HNpAlGwQr006ljwMiM"",
      ""GSC最新!A:F""
    ),
    3,
    FALSE
  ),
  0
)
"),0.0)</f>
        <v>0</v>
      </c>
      <c r="H88" s="49">
        <f>IFERROR(__xludf.DUMMYFUNCTION("IFERROR(
  VLOOKUP(
    A88,
    IMPORTRANGE(
      ""1ZHMy3vVUd_0MrSduXTe1etBb1HNpAlGwQr006ljwMiM"",
      ""GSC最新!A:F""
    ),
    4,
    FALSE
  ),
  0
)
"),0.0)</f>
        <v>0</v>
      </c>
      <c r="I88" s="49">
        <f>IFERROR(__xludf.DUMMYFUNCTION("IFERROR(
  VLOOKUP(
    A88,
    IMPORTRANGE(
      ""1ZHMy3vVUd_0MrSduXTe1etBb1HNpAlGwQr006ljwMiM"",
      ""GSC最新!A:F""
    ),
    5,
    FALSE
  ),
  0
)
"),0.0)</f>
        <v>0</v>
      </c>
      <c r="J88" s="50" t="str">
        <f t="shared" ref="J88:K88" si="431">IFERROR(F88/H88,"-")</f>
        <v>-</v>
      </c>
      <c r="K88" s="50" t="str">
        <f t="shared" si="431"/>
        <v>-</v>
      </c>
      <c r="L88" s="6">
        <f>IFERROR(__xludf.DUMMYFUNCTION("IFERROR(
  VLOOKUP(
    A88,
    IMPORTRANGE(
      ""1ZHMy3vVUd_0MrSduXTe1etBb1HNpAlGwQr006ljwMiM"",
      ""GSC最新!A:R""
    ),
    7,
    FALSE
  ),
  0
)
"),0.0)</f>
        <v>0</v>
      </c>
      <c r="M88" s="6">
        <f>IFERROR(__xludf.DUMMYFUNCTION("IFERROR(
  VLOOKUP(
    A88,
    IMPORTRANGE(
      ""1ZHMy3vVUd_0MrSduXTe1etBb1HNpAlGwQr006ljwMiM"",
      ""GSC最新!A:R""
    ),
    10,
    FALSE
  ),
  0
)
"),0.0)</f>
        <v>0</v>
      </c>
      <c r="N88" s="6">
        <f>IFERROR(__xludf.DUMMYFUNCTION("IFERROR(
  VLOOKUP(
    A88,
    IMPORTRANGE(
      ""1ZHMy3vVUd_0MrSduXTe1etBb1HNpAlGwQr006ljwMiM"",
      ""GSC最新!A:R""
    ),
    13,
    FALSE
  ),
  0
)
"),0.0)</f>
        <v>0</v>
      </c>
      <c r="O88" s="6">
        <f>IFERROR(__xludf.DUMMYFUNCTION("IFERROR(
  VLOOKUP(
    A88,
    IMPORTRANGE(
      ""1ZHMy3vVUd_0MrSduXTe1etBb1HNpAlGwQr006ljwMiM"",
      ""GSC最新!A:R""
    ),
    16,
    FALSE
  ),
  0
)
"),0.0)</f>
        <v>0</v>
      </c>
      <c r="P88" s="51" t="str">
        <f t="shared" ref="P88:Q88" si="432">IFERROR(L88/N88,"-")</f>
        <v>-</v>
      </c>
      <c r="Q88" s="51" t="str">
        <f t="shared" si="432"/>
        <v>-</v>
      </c>
      <c r="R88" s="9">
        <f>IFERROR(__xludf.DUMMYFUNCTION("IFERROR(
  VLOOKUP(
    A88,
    IMPORTRANGE(
      ""1ZHMy3vVUd_0MrSduXTe1etBb1HNpAlGwQr006ljwMiM"",
      ""GSC最新!A:R""
    ),
    8,
    FALSE
  ),
  0
)
"),0.0)</f>
        <v>0</v>
      </c>
      <c r="S88" s="9">
        <f>IFERROR(__xludf.DUMMYFUNCTION("IFERROR(
  VLOOKUP(
    A88,
    IMPORTRANGE(
      ""1ZHMy3vVUd_0MrSduXTe1etBb1HNpAlGwQr006ljwMiM"",
      ""GSC最新!A:R""
    ),
    11,
    FALSE
  ),
  0
)
"),0.0)</f>
        <v>0</v>
      </c>
      <c r="T88" s="9">
        <f>IFERROR(__xludf.DUMMYFUNCTION("IFERROR(
  VLOOKUP(
    A88,
    IMPORTRANGE(
      ""1ZHMy3vVUd_0MrSduXTe1etBb1HNpAlGwQr006ljwMiM"",
      ""GSC最新!A:R""
    ),
    14,
    FALSE
  ),
  0
)
"),0.0)</f>
        <v>0</v>
      </c>
      <c r="U88" s="9">
        <f>IFERROR(__xludf.DUMMYFUNCTION("IFERROR(
  VLOOKUP(
    A88,
    IMPORTRANGE(
      ""1ZHMy3vVUd_0MrSduXTe1etBb1HNpAlGwQr006ljwMiM"",
      ""GSC最新!A:R""
    ),
    17,
    FALSE
  ),
  0
)
"),0.0)</f>
        <v>0</v>
      </c>
      <c r="V88" s="9">
        <f t="shared" ref="V88:W88" si="433">IFERROR(R88-T88,"-")</f>
        <v>0</v>
      </c>
      <c r="W88" s="9">
        <f t="shared" si="433"/>
        <v>0</v>
      </c>
      <c r="X88" s="65" t="str">
        <f>IFERROR(__xludf.DUMMYFUNCTION("IFERROR(
  VLOOKUP(
    A88,
    IMPORTRANGE(
      ""1ZHMy3vVUd_0MrSduXTe1etBb1HNpAlGwQr006ljwMiM"",
      ""GSC最新!A:R""
    ),
    9,
    FALSE
  ),
  0
)
"),"")</f>
        <v/>
      </c>
      <c r="Y88" s="65" t="str">
        <f>IFERROR(__xludf.DUMMYFUNCTION("IFERROR(
  VLOOKUP(
    A88,
    IMPORTRANGE(
      ""1ZHMy3vVUd_0MrSduXTe1etBb1HNpAlGwQr006ljwMiM"",
      ""GSC最新!A:R""
    ),
    12,
    FALSE
  ),
  0
)
"),"")</f>
        <v/>
      </c>
      <c r="Z88" s="65" t="str">
        <f>IFERROR(__xludf.DUMMYFUNCTION("IFERROR(
  VLOOKUP(
    A88,
    IMPORTRANGE(
      ""1ZHMy3vVUd_0MrSduXTe1etBb1HNpAlGwQr006ljwMiM"",
      ""GSC最新!A:R""
    ),
    15,
    FALSE
  ),
  0
)
"),"")</f>
        <v/>
      </c>
      <c r="AA88" s="65" t="str">
        <f>IFERROR(__xludf.DUMMYFUNCTION("IFERROR(
  VLOOKUP(
    A88,
    IMPORTRANGE(
      ""1ZHMy3vVUd_0MrSduXTe1etBb1HNpAlGwQr006ljwMiM"",
      ""GSC最新!A:R""
    ),
    18,
    FALSE
  ),
  0
)
"),"")</f>
        <v/>
      </c>
      <c r="AB88" s="65">
        <f t="shared" ref="AB88:AC88" si="434">X88-Z88</f>
        <v>0</v>
      </c>
      <c r="AC88" s="65">
        <f t="shared" si="434"/>
        <v>0</v>
      </c>
      <c r="AD88" s="53">
        <f>IFERROR(__xludf.DUMMYFUNCTION("IFERROR(
  VLOOKUP(
    A88,
    IMPORTRANGE(
      ""1ZHMy3vVUd_0MrSduXTe1etBb1HNpAlGwQr006ljwMiM"",
      ""GSC最新!A:F""
    ),
    6,
    FALSE
  ),
  0
)
"),46081.0)</f>
        <v>46081</v>
      </c>
      <c r="AE88" s="54">
        <f>IFERROR(__xludf.DUMMYFUNCTION("IFERROR(
  VLOOKUP(
    A88,
    IMPORTRANGE(
      ""1SCYQd7_cobOYqT0r_F0IqD4tE4rYn5y8Eup4PJTH8es"",
      ""Snapshot!A:M""
    ),
    5,
    FALSE
  ),
  ""-""
)
"),0.0)</f>
        <v>0</v>
      </c>
      <c r="AF88" s="54">
        <f>IFERROR(__xludf.DUMMYFUNCTION("IFERROR(
  VLOOKUP(
    A88,
    IMPORTRANGE(
      ""1SCYQd7_cobOYqT0r_F0IqD4tE4rYn5y8Eup4PJTH8es"",
      ""Snapshot!A:M""
    ),
    6,
    FALSE
  ),
  0
)
"),0.0)</f>
        <v>0</v>
      </c>
      <c r="AG88" s="54">
        <f>IFERROR(__xludf.DUMMYFUNCTION("IFERROR(
  VLOOKUP(
    A88,
    IMPORTRANGE(
      ""1SCYQd7_cobOYqT0r_F0IqD4tE4rYn5y8Eup4PJTH8es"",
      ""Snapshot!A:M""
    ),
    7,
    FALSE
  ),
  0
)
"),542.0)</f>
        <v>542</v>
      </c>
      <c r="AH88" s="54">
        <f>IFERROR(__xludf.DUMMYFUNCTION("IFERROR(
  VLOOKUP(
    A88,
    IMPORTRANGE(
      ""1SCYQd7_cobOYqT0r_F0IqD4tE4rYn5y8Eup4PJTH8es"",
      ""Snapshot!A:M""
    ),
    8,
    FALSE
  ),
  0
)
"),3.0)</f>
        <v>3</v>
      </c>
      <c r="AI88" s="54">
        <f>IFERROR(__xludf.DUMMYFUNCTION("IFERROR(
  VLOOKUP(
    A88,
    IMPORTRANGE(
      ""1SCYQd7_cobOYqT0r_F0IqD4tE4rYn5y8Eup4PJTH8es"",
      ""Snapshot!A:M""
    ),
    9,
    FALSE
  ),
  0
)
"),0.0)</f>
        <v>0</v>
      </c>
      <c r="AJ88" s="54">
        <f>IFERROR(__xludf.DUMMYFUNCTION("IFERROR(
  VLOOKUP(
    A88,
    IMPORTRANGE(
      ""1SCYQd7_cobOYqT0r_F0IqD4tE4rYn5y8Eup4PJTH8es"",
      ""Snapshot!A:M""
    ),
    13,
    FALSE
  ),
  0
)
"),2.0)</f>
        <v>2</v>
      </c>
      <c r="AK88" s="49">
        <f t="shared" ref="AK88:AL88" si="435">LEN(C88)</f>
        <v>52</v>
      </c>
      <c r="AL88" s="49">
        <f t="shared" si="435"/>
        <v>55</v>
      </c>
    </row>
    <row r="89">
      <c r="A89" s="1" t="s">
        <v>1309</v>
      </c>
      <c r="B89" s="1" t="str">
        <f>IFERROR(__xludf.DUMMYFUNCTION("IFERROR(
  VLOOKUP(
    A89,
    IMPORTRANGE(
      ""1ZygntHC1J6IxzKbTidmOyf5nUyW4GCLurHCjexrLm_o"",
      ""HTMLキャッシュ!A:F""
    ),
    2,
    FALSE
  ),
  0
)
"),"NW")</f>
        <v>NW</v>
      </c>
      <c r="C89" s="1" t="str">
        <f>IFERROR(__xludf.DUMMYFUNCTION("IFERROR(
  VLOOKUP(
    A89,
    IMPORTRANGE(
      ""1ZygntHC1J6IxzKbTidmOyf5nUyW4GCLurHCjexrLm_o"",
      ""HTMLキャッシュ!A:F""
    ),
    5,
    FALSE
  ),
  0
)
"),"2022年度生徒募集のお知らせ【個別】 - 中学受験 理科の個別指導 | 受験理科専門塾「しゅん吉クエスト」")</f>
        <v>2022年度生徒募集のお知らせ【個別】 - 中学受験 理科の個別指導 | 受験理科専門塾「しゅん吉クエスト」</v>
      </c>
      <c r="D89" s="1" t="str">
        <f>IFERROR(__xludf.DUMMYFUNCTION("IFERROR(
  VLOOKUP(
    A89,
    IMPORTRANGE(
      ""1ZygntHC1J6IxzKbTidmOyf5nUyW4GCLurHCjexrLm_o        "",
      ""HTMLキャッシュ!A:F""
    ),
    6,
    FALSE
  ),
  0
)
"),"本日より、2022年度の生徒募集を開始いたします。 2月開講講座、個別指導の詳細については、下記をご確認くださ")</f>
        <v>本日より、2022年度の生徒募集を開始いたします。 2月開講講座、個別指導の詳細については、下記をご確認くださ</v>
      </c>
      <c r="E89" s="32">
        <f>IFERROR(__xludf.DUMMYFUNCTION("IFERROR(
  VLOOKUP(
    A89,
    IMPORTRANGE(
      ""1ZygntHC1J6IxzKbTidmOyf5nUyW4GCLurHCjexrLm_o        "",
      ""HTMLキャッシュ!A:F""
    ),
    3,
    FALSE
  ),
  0
)
"),45600.10668981481)</f>
        <v>45600.10669</v>
      </c>
      <c r="F89" s="49">
        <f>IFERROR(__xludf.DUMMYFUNCTION("IFERROR(
  VLOOKUP(
    A89,
    IMPORTRANGE(
      ""1ZHMy3vVUd_0MrSduXTe1etBb1HNpAlGwQr006ljwMiM"",
      ""GSC最新!A:F""
    ),
    2,
    FALSE
  ),
  0
)
"),0.0)</f>
        <v>0</v>
      </c>
      <c r="G89" s="49">
        <f>IFERROR(__xludf.DUMMYFUNCTION("IFERROR(
  VLOOKUP(
    A89,
    IMPORTRANGE(
      ""1ZHMy3vVUd_0MrSduXTe1etBb1HNpAlGwQr006ljwMiM"",
      ""GSC最新!A:F""
    ),
    3,
    FALSE
  ),
  0
)
"),0.0)</f>
        <v>0</v>
      </c>
      <c r="H89" s="49">
        <f>IFERROR(__xludf.DUMMYFUNCTION("IFERROR(
  VLOOKUP(
    A89,
    IMPORTRANGE(
      ""1ZHMy3vVUd_0MrSduXTe1etBb1HNpAlGwQr006ljwMiM"",
      ""GSC最新!A:F""
    ),
    4,
    FALSE
  ),
  0
)
"),0.0)</f>
        <v>0</v>
      </c>
      <c r="I89" s="49">
        <f>IFERROR(__xludf.DUMMYFUNCTION("IFERROR(
  VLOOKUP(
    A89,
    IMPORTRANGE(
      ""1ZHMy3vVUd_0MrSduXTe1etBb1HNpAlGwQr006ljwMiM"",
      ""GSC最新!A:F""
    ),
    5,
    FALSE
  ),
  0
)
"),0.0)</f>
        <v>0</v>
      </c>
      <c r="J89" s="50" t="str">
        <f t="shared" ref="J89:K89" si="436">IFERROR(F89/H89,"-")</f>
        <v>-</v>
      </c>
      <c r="K89" s="50" t="str">
        <f t="shared" si="436"/>
        <v>-</v>
      </c>
      <c r="L89" s="6">
        <f>IFERROR(__xludf.DUMMYFUNCTION("IFERROR(
  VLOOKUP(
    A89,
    IMPORTRANGE(
      ""1ZHMy3vVUd_0MrSduXTe1etBb1HNpAlGwQr006ljwMiM"",
      ""GSC最新!A:R""
    ),
    7,
    FALSE
  ),
  0
)
"),0.0)</f>
        <v>0</v>
      </c>
      <c r="M89" s="6">
        <f>IFERROR(__xludf.DUMMYFUNCTION("IFERROR(
  VLOOKUP(
    A89,
    IMPORTRANGE(
      ""1ZHMy3vVUd_0MrSduXTe1etBb1HNpAlGwQr006ljwMiM"",
      ""GSC最新!A:R""
    ),
    10,
    FALSE
  ),
  0
)
"),0.0)</f>
        <v>0</v>
      </c>
      <c r="N89" s="6">
        <f>IFERROR(__xludf.DUMMYFUNCTION("IFERROR(
  VLOOKUP(
    A89,
    IMPORTRANGE(
      ""1ZHMy3vVUd_0MrSduXTe1etBb1HNpAlGwQr006ljwMiM"",
      ""GSC最新!A:R""
    ),
    13,
    FALSE
  ),
  0
)
"),0.0)</f>
        <v>0</v>
      </c>
      <c r="O89" s="6">
        <f>IFERROR(__xludf.DUMMYFUNCTION("IFERROR(
  VLOOKUP(
    A89,
    IMPORTRANGE(
      ""1ZHMy3vVUd_0MrSduXTe1etBb1HNpAlGwQr006ljwMiM"",
      ""GSC最新!A:R""
    ),
    16,
    FALSE
  ),
  0
)
"),0.0)</f>
        <v>0</v>
      </c>
      <c r="P89" s="51" t="str">
        <f t="shared" ref="P89:Q89" si="437">IFERROR(L89/N89,"-")</f>
        <v>-</v>
      </c>
      <c r="Q89" s="51" t="str">
        <f t="shared" si="437"/>
        <v>-</v>
      </c>
      <c r="R89" s="9">
        <f>IFERROR(__xludf.DUMMYFUNCTION("IFERROR(
  VLOOKUP(
    A89,
    IMPORTRANGE(
      ""1ZHMy3vVUd_0MrSduXTe1etBb1HNpAlGwQr006ljwMiM"",
      ""GSC最新!A:R""
    ),
    8,
    FALSE
  ),
  0
)
"),0.0)</f>
        <v>0</v>
      </c>
      <c r="S89" s="9">
        <f>IFERROR(__xludf.DUMMYFUNCTION("IFERROR(
  VLOOKUP(
    A89,
    IMPORTRANGE(
      ""1ZHMy3vVUd_0MrSduXTe1etBb1HNpAlGwQr006ljwMiM"",
      ""GSC最新!A:R""
    ),
    11,
    FALSE
  ),
  0
)
"),0.0)</f>
        <v>0</v>
      </c>
      <c r="T89" s="9">
        <f>IFERROR(__xludf.DUMMYFUNCTION("IFERROR(
  VLOOKUP(
    A89,
    IMPORTRANGE(
      ""1ZHMy3vVUd_0MrSduXTe1etBb1HNpAlGwQr006ljwMiM"",
      ""GSC最新!A:R""
    ),
    14,
    FALSE
  ),
  0
)
"),0.0)</f>
        <v>0</v>
      </c>
      <c r="U89" s="9">
        <f>IFERROR(__xludf.DUMMYFUNCTION("IFERROR(
  VLOOKUP(
    A89,
    IMPORTRANGE(
      ""1ZHMy3vVUd_0MrSduXTe1etBb1HNpAlGwQr006ljwMiM"",
      ""GSC最新!A:R""
    ),
    17,
    FALSE
  ),
  0
)
"),0.0)</f>
        <v>0</v>
      </c>
      <c r="V89" s="9">
        <f t="shared" ref="V89:W89" si="438">IFERROR(R89-T89,"-")</f>
        <v>0</v>
      </c>
      <c r="W89" s="9">
        <f t="shared" si="438"/>
        <v>0</v>
      </c>
      <c r="X89" s="65" t="str">
        <f>IFERROR(__xludf.DUMMYFUNCTION("IFERROR(
  VLOOKUP(
    A89,
    IMPORTRANGE(
      ""1ZHMy3vVUd_0MrSduXTe1etBb1HNpAlGwQr006ljwMiM"",
      ""GSC最新!A:R""
    ),
    9,
    FALSE
  ),
  0
)
"),"")</f>
        <v/>
      </c>
      <c r="Y89" s="65" t="str">
        <f>IFERROR(__xludf.DUMMYFUNCTION("IFERROR(
  VLOOKUP(
    A89,
    IMPORTRANGE(
      ""1ZHMy3vVUd_0MrSduXTe1etBb1HNpAlGwQr006ljwMiM"",
      ""GSC最新!A:R""
    ),
    12,
    FALSE
  ),
  0
)
"),"")</f>
        <v/>
      </c>
      <c r="Z89" s="65" t="str">
        <f>IFERROR(__xludf.DUMMYFUNCTION("IFERROR(
  VLOOKUP(
    A89,
    IMPORTRANGE(
      ""1ZHMy3vVUd_0MrSduXTe1etBb1HNpAlGwQr006ljwMiM"",
      ""GSC最新!A:R""
    ),
    15,
    FALSE
  ),
  0
)
"),"")</f>
        <v/>
      </c>
      <c r="AA89" s="65" t="str">
        <f>IFERROR(__xludf.DUMMYFUNCTION("IFERROR(
  VLOOKUP(
    A89,
    IMPORTRANGE(
      ""1ZHMy3vVUd_0MrSduXTe1etBb1HNpAlGwQr006ljwMiM"",
      ""GSC最新!A:R""
    ),
    18,
    FALSE
  ),
  0
)
"),"")</f>
        <v/>
      </c>
      <c r="AB89" s="65">
        <f t="shared" ref="AB89:AC89" si="439">X89-Z89</f>
        <v>0</v>
      </c>
      <c r="AC89" s="65">
        <f t="shared" si="439"/>
        <v>0</v>
      </c>
      <c r="AD89" s="53">
        <f>IFERROR(__xludf.DUMMYFUNCTION("IFERROR(
  VLOOKUP(
    A89,
    IMPORTRANGE(
      ""1ZHMy3vVUd_0MrSduXTe1etBb1HNpAlGwQr006ljwMiM"",
      ""GSC最新!A:F""
    ),
    6,
    FALSE
  ),
  0
)
"),46081.0)</f>
        <v>46081</v>
      </c>
      <c r="AE89" s="54">
        <f>IFERROR(__xludf.DUMMYFUNCTION("IFERROR(
  VLOOKUP(
    A89,
    IMPORTRANGE(
      ""1SCYQd7_cobOYqT0r_F0IqD4tE4rYn5y8Eup4PJTH8es"",
      ""Snapshot!A:M""
    ),
    5,
    FALSE
  ),
  ""-""
)
"),0.0)</f>
        <v>0</v>
      </c>
      <c r="AF89" s="54">
        <f>IFERROR(__xludf.DUMMYFUNCTION("IFERROR(
  VLOOKUP(
    A89,
    IMPORTRANGE(
      ""1SCYQd7_cobOYqT0r_F0IqD4tE4rYn5y8Eup4PJTH8es"",
      ""Snapshot!A:M""
    ),
    6,
    FALSE
  ),
  0
)
"),0.0)</f>
        <v>0</v>
      </c>
      <c r="AG89" s="54">
        <f>IFERROR(__xludf.DUMMYFUNCTION("IFERROR(
  VLOOKUP(
    A89,
    IMPORTRANGE(
      ""1SCYQd7_cobOYqT0r_F0IqD4tE4rYn5y8Eup4PJTH8es"",
      ""Snapshot!A:M""
    ),
    7,
    FALSE
  ),
  0
)
"),352.0)</f>
        <v>352</v>
      </c>
      <c r="AH89" s="54">
        <f>IFERROR(__xludf.DUMMYFUNCTION("IFERROR(
  VLOOKUP(
    A89,
    IMPORTRANGE(
      ""1SCYQd7_cobOYqT0r_F0IqD4tE4rYn5y8Eup4PJTH8es"",
      ""Snapshot!A:M""
    ),
    8,
    FALSE
  ),
  0
)
"),1.0)</f>
        <v>1</v>
      </c>
      <c r="AI89" s="54">
        <f>IFERROR(__xludf.DUMMYFUNCTION("IFERROR(
  VLOOKUP(
    A89,
    IMPORTRANGE(
      ""1SCYQd7_cobOYqT0r_F0IqD4tE4rYn5y8Eup4PJTH8es"",
      ""Snapshot!A:M""
    ),
    9,
    FALSE
  ),
  0
)
"),0.0)</f>
        <v>0</v>
      </c>
      <c r="AJ89" s="54">
        <f>IFERROR(__xludf.DUMMYFUNCTION("IFERROR(
  VLOOKUP(
    A89,
    IMPORTRANGE(
      ""1SCYQd7_cobOYqT0r_F0IqD4tE4rYn5y8Eup4PJTH8es"",
      ""Snapshot!A:M""
    ),
    13,
    FALSE
  ),
  0
)
"),2.0)</f>
        <v>2</v>
      </c>
      <c r="AK89" s="49">
        <f t="shared" ref="AK89:AL89" si="440">LEN(C89)</f>
        <v>54</v>
      </c>
      <c r="AL89" s="49">
        <f t="shared" si="440"/>
        <v>55</v>
      </c>
    </row>
    <row r="90">
      <c r="A90" s="1" t="s">
        <v>1310</v>
      </c>
      <c r="B90" s="1" t="str">
        <f>IFERROR(__xludf.DUMMYFUNCTION("IFERROR(
  VLOOKUP(
    A90,
    IMPORTRANGE(
      ""1ZygntHC1J6IxzKbTidmOyf5nUyW4GCLurHCjexrLm_o"",
      ""HTMLキャッシュ!A:F""
    ),
    2,
    FALSE
  ),
  0
)
"),"NW")</f>
        <v>NW</v>
      </c>
      <c r="C90" s="1" t="str">
        <f>IFERROR(__xludf.DUMMYFUNCTION("IFERROR(
  VLOOKUP(
    A90,
    IMPORTRANGE(
      ""1ZygntHC1J6IxzKbTidmOyf5nUyW4GCLurHCjexrLm_o"",
      ""HTMLキャッシュ!A:F""
    ),
    5,
    FALSE
  ),
  0
)
"),"2024年度生徒募集のお知らせ【個別】 - 中学受験 理科の個別指導 | 受験理科専門塾「しゅん吉クエスト」")</f>
        <v>2024年度生徒募集のお知らせ【個別】 - 中学受験 理科の個別指導 | 受験理科専門塾「しゅん吉クエスト」</v>
      </c>
      <c r="D90" s="1" t="str">
        <f>IFERROR(__xludf.DUMMYFUNCTION("IFERROR(
  VLOOKUP(
    A90,
    IMPORTRANGE(
      ""1ZygntHC1J6IxzKbTidmOyf5nUyW4GCLurHCjexrLm_o        "",
      ""HTMLキャッシュ!A:F""
    ),
    6,
    FALSE
  ),
  0
)
"),"本日より、2024年度の生徒募集を開始いたします。 2月開講講座、個別指導の詳細については、下記をご確認くださ")</f>
        <v>本日より、2024年度の生徒募集を開始いたします。 2月開講講座、個別指導の詳細については、下記をご確認くださ</v>
      </c>
      <c r="E90" s="32">
        <f>IFERROR(__xludf.DUMMYFUNCTION("IFERROR(
  VLOOKUP(
    A90,
    IMPORTRANGE(
      ""1ZygntHC1J6IxzKbTidmOyf5nUyW4GCLurHCjexrLm_o        "",
      ""HTMLキャッシュ!A:F""
    ),
    3,
    FALSE
  ),
  0
)
"),46027.96707175926)</f>
        <v>46027.96707</v>
      </c>
      <c r="F90" s="49">
        <f>IFERROR(__xludf.DUMMYFUNCTION("IFERROR(
  VLOOKUP(
    A90,
    IMPORTRANGE(
      ""1ZHMy3vVUd_0MrSduXTe1etBb1HNpAlGwQr006ljwMiM"",
      ""GSC最新!A:F""
    ),
    2,
    FALSE
  ),
  0
)
"),0.0)</f>
        <v>0</v>
      </c>
      <c r="G90" s="49">
        <f>IFERROR(__xludf.DUMMYFUNCTION("IFERROR(
  VLOOKUP(
    A90,
    IMPORTRANGE(
      ""1ZHMy3vVUd_0MrSduXTe1etBb1HNpAlGwQr006ljwMiM"",
      ""GSC最新!A:F""
    ),
    3,
    FALSE
  ),
  0
)
"),0.0)</f>
        <v>0</v>
      </c>
      <c r="H90" s="49">
        <f>IFERROR(__xludf.DUMMYFUNCTION("IFERROR(
  VLOOKUP(
    A90,
    IMPORTRANGE(
      ""1ZHMy3vVUd_0MrSduXTe1etBb1HNpAlGwQr006ljwMiM"",
      ""GSC最新!A:F""
    ),
    4,
    FALSE
  ),
  0
)
"),0.0)</f>
        <v>0</v>
      </c>
      <c r="I90" s="49">
        <f>IFERROR(__xludf.DUMMYFUNCTION("IFERROR(
  VLOOKUP(
    A90,
    IMPORTRANGE(
      ""1ZHMy3vVUd_0MrSduXTe1etBb1HNpAlGwQr006ljwMiM"",
      ""GSC最新!A:F""
    ),
    5,
    FALSE
  ),
  0
)
"),0.0)</f>
        <v>0</v>
      </c>
      <c r="J90" s="50" t="str">
        <f t="shared" ref="J90:K90" si="441">IFERROR(F90/H90,"-")</f>
        <v>-</v>
      </c>
      <c r="K90" s="50" t="str">
        <f t="shared" si="441"/>
        <v>-</v>
      </c>
      <c r="L90" s="6">
        <f>IFERROR(__xludf.DUMMYFUNCTION("IFERROR(
  VLOOKUP(
    A90,
    IMPORTRANGE(
      ""1ZHMy3vVUd_0MrSduXTe1etBb1HNpAlGwQr006ljwMiM"",
      ""GSC最新!A:R""
    ),
    7,
    FALSE
  ),
  0
)
"),0.0)</f>
        <v>0</v>
      </c>
      <c r="M90" s="6">
        <f>IFERROR(__xludf.DUMMYFUNCTION("IFERROR(
  VLOOKUP(
    A90,
    IMPORTRANGE(
      ""1ZHMy3vVUd_0MrSduXTe1etBb1HNpAlGwQr006ljwMiM"",
      ""GSC最新!A:R""
    ),
    10,
    FALSE
  ),
  0
)
"),0.0)</f>
        <v>0</v>
      </c>
      <c r="N90" s="6">
        <f>IFERROR(__xludf.DUMMYFUNCTION("IFERROR(
  VLOOKUP(
    A90,
    IMPORTRANGE(
      ""1ZHMy3vVUd_0MrSduXTe1etBb1HNpAlGwQr006ljwMiM"",
      ""GSC最新!A:R""
    ),
    13,
    FALSE
  ),
  0
)
"),0.0)</f>
        <v>0</v>
      </c>
      <c r="O90" s="6">
        <f>IFERROR(__xludf.DUMMYFUNCTION("IFERROR(
  VLOOKUP(
    A90,
    IMPORTRANGE(
      ""1ZHMy3vVUd_0MrSduXTe1etBb1HNpAlGwQr006ljwMiM"",
      ""GSC最新!A:R""
    ),
    16,
    FALSE
  ),
  0
)
"),0.0)</f>
        <v>0</v>
      </c>
      <c r="P90" s="51" t="str">
        <f t="shared" ref="P90:Q90" si="442">IFERROR(L90/N90,"-")</f>
        <v>-</v>
      </c>
      <c r="Q90" s="51" t="str">
        <f t="shared" si="442"/>
        <v>-</v>
      </c>
      <c r="R90" s="9">
        <f>IFERROR(__xludf.DUMMYFUNCTION("IFERROR(
  VLOOKUP(
    A90,
    IMPORTRANGE(
      ""1ZHMy3vVUd_0MrSduXTe1etBb1HNpAlGwQr006ljwMiM"",
      ""GSC最新!A:R""
    ),
    8,
    FALSE
  ),
  0
)
"),0.0)</f>
        <v>0</v>
      </c>
      <c r="S90" s="9">
        <f>IFERROR(__xludf.DUMMYFUNCTION("IFERROR(
  VLOOKUP(
    A90,
    IMPORTRANGE(
      ""1ZHMy3vVUd_0MrSduXTe1etBb1HNpAlGwQr006ljwMiM"",
      ""GSC最新!A:R""
    ),
    11,
    FALSE
  ),
  0
)
"),0.0)</f>
        <v>0</v>
      </c>
      <c r="T90" s="9">
        <f>IFERROR(__xludf.DUMMYFUNCTION("IFERROR(
  VLOOKUP(
    A90,
    IMPORTRANGE(
      ""1ZHMy3vVUd_0MrSduXTe1etBb1HNpAlGwQr006ljwMiM"",
      ""GSC最新!A:R""
    ),
    14,
    FALSE
  ),
  0
)
"),0.0)</f>
        <v>0</v>
      </c>
      <c r="U90" s="9">
        <f>IFERROR(__xludf.DUMMYFUNCTION("IFERROR(
  VLOOKUP(
    A90,
    IMPORTRANGE(
      ""1ZHMy3vVUd_0MrSduXTe1etBb1HNpAlGwQr006ljwMiM"",
      ""GSC最新!A:R""
    ),
    17,
    FALSE
  ),
  0
)
"),0.0)</f>
        <v>0</v>
      </c>
      <c r="V90" s="9">
        <f t="shared" ref="V90:W90" si="443">IFERROR(R90-T90,"-")</f>
        <v>0</v>
      </c>
      <c r="W90" s="9">
        <f t="shared" si="443"/>
        <v>0</v>
      </c>
      <c r="X90" s="65" t="str">
        <f>IFERROR(__xludf.DUMMYFUNCTION("IFERROR(
  VLOOKUP(
    A90,
    IMPORTRANGE(
      ""1ZHMy3vVUd_0MrSduXTe1etBb1HNpAlGwQr006ljwMiM"",
      ""GSC最新!A:R""
    ),
    9,
    FALSE
  ),
  0
)
"),"")</f>
        <v/>
      </c>
      <c r="Y90" s="65" t="str">
        <f>IFERROR(__xludf.DUMMYFUNCTION("IFERROR(
  VLOOKUP(
    A90,
    IMPORTRANGE(
      ""1ZHMy3vVUd_0MrSduXTe1etBb1HNpAlGwQr006ljwMiM"",
      ""GSC最新!A:R""
    ),
    12,
    FALSE
  ),
  0
)
"),"")</f>
        <v/>
      </c>
      <c r="Z90" s="65" t="str">
        <f>IFERROR(__xludf.DUMMYFUNCTION("IFERROR(
  VLOOKUP(
    A90,
    IMPORTRANGE(
      ""1ZHMy3vVUd_0MrSduXTe1etBb1HNpAlGwQr006ljwMiM"",
      ""GSC最新!A:R""
    ),
    15,
    FALSE
  ),
  0
)
"),"")</f>
        <v/>
      </c>
      <c r="AA90" s="65" t="str">
        <f>IFERROR(__xludf.DUMMYFUNCTION("IFERROR(
  VLOOKUP(
    A90,
    IMPORTRANGE(
      ""1ZHMy3vVUd_0MrSduXTe1etBb1HNpAlGwQr006ljwMiM"",
      ""GSC最新!A:R""
    ),
    18,
    FALSE
  ),
  0
)
"),"")</f>
        <v/>
      </c>
      <c r="AB90" s="65">
        <f t="shared" ref="AB90:AC90" si="444">X90-Z90</f>
        <v>0</v>
      </c>
      <c r="AC90" s="65">
        <f t="shared" si="444"/>
        <v>0</v>
      </c>
      <c r="AD90" s="53">
        <f>IFERROR(__xludf.DUMMYFUNCTION("IFERROR(
  VLOOKUP(
    A90,
    IMPORTRANGE(
      ""1ZHMy3vVUd_0MrSduXTe1etBb1HNpAlGwQr006ljwMiM"",
      ""GSC最新!A:F""
    ),
    6,
    FALSE
  ),
  0
)
"),46081.0)</f>
        <v>46081</v>
      </c>
      <c r="AE90" s="54">
        <f>IFERROR(__xludf.DUMMYFUNCTION("IFERROR(
  VLOOKUP(
    A90,
    IMPORTRANGE(
      ""1SCYQd7_cobOYqT0r_F0IqD4tE4rYn5y8Eup4PJTH8es"",
      ""Snapshot!A:M""
    ),
    5,
    FALSE
  ),
  ""-""
)
"),0.0)</f>
        <v>0</v>
      </c>
      <c r="AF90" s="54">
        <f>IFERROR(__xludf.DUMMYFUNCTION("IFERROR(
  VLOOKUP(
    A90,
    IMPORTRANGE(
      ""1SCYQd7_cobOYqT0r_F0IqD4tE4rYn5y8Eup4PJTH8es"",
      ""Snapshot!A:M""
    ),
    6,
    FALSE
  ),
  0
)
"),0.0)</f>
        <v>0</v>
      </c>
      <c r="AG90" s="54">
        <f>IFERROR(__xludf.DUMMYFUNCTION("IFERROR(
  VLOOKUP(
    A90,
    IMPORTRANGE(
      ""1SCYQd7_cobOYqT0r_F0IqD4tE4rYn5y8Eup4PJTH8es"",
      ""Snapshot!A:M""
    ),
    7,
    FALSE
  ),
  0
)
"),357.0)</f>
        <v>357</v>
      </c>
      <c r="AH90" s="54">
        <f>IFERROR(__xludf.DUMMYFUNCTION("IFERROR(
  VLOOKUP(
    A90,
    IMPORTRANGE(
      ""1SCYQd7_cobOYqT0r_F0IqD4tE4rYn5y8Eup4PJTH8es"",
      ""Snapshot!A:M""
    ),
    8,
    FALSE
  ),
  0
)
"),1.0)</f>
        <v>1</v>
      </c>
      <c r="AI90" s="54">
        <f>IFERROR(__xludf.DUMMYFUNCTION("IFERROR(
  VLOOKUP(
    A90,
    IMPORTRANGE(
      ""1SCYQd7_cobOYqT0r_F0IqD4tE4rYn5y8Eup4PJTH8es"",
      ""Snapshot!A:M""
    ),
    9,
    FALSE
  ),
  0
)
"),0.0)</f>
        <v>0</v>
      </c>
      <c r="AJ90" s="54">
        <f>IFERROR(__xludf.DUMMYFUNCTION("IFERROR(
  VLOOKUP(
    A90,
    IMPORTRANGE(
      ""1SCYQd7_cobOYqT0r_F0IqD4tE4rYn5y8Eup4PJTH8es"",
      ""Snapshot!A:M""
    ),
    13,
    FALSE
  ),
  0
)
"),2.0)</f>
        <v>2</v>
      </c>
      <c r="AK90" s="49">
        <f t="shared" ref="AK90:AL90" si="445">LEN(C90)</f>
        <v>54</v>
      </c>
      <c r="AL90" s="49">
        <f t="shared" si="445"/>
        <v>55</v>
      </c>
    </row>
    <row r="91">
      <c r="A91" s="1" t="s">
        <v>1311</v>
      </c>
      <c r="B91" s="1" t="str">
        <f>IFERROR(__xludf.DUMMYFUNCTION("IFERROR(
  VLOOKUP(
    A91,
    IMPORTRANGE(
      ""1ZygntHC1J6IxzKbTidmOyf5nUyW4GCLurHCjexrLm_o"",
      ""HTMLキャッシュ!A:F""
    ),
    2,
    FALSE
  ),
  0
)
"),"NW")</f>
        <v>NW</v>
      </c>
      <c r="C91" s="1" t="str">
        <f>IFERROR(__xludf.DUMMYFUNCTION("IFERROR(
  VLOOKUP(
    A91,
    IMPORTRANGE(
      ""1ZygntHC1J6IxzKbTidmOyf5nUyW4GCLurHCjexrLm_o"",
      ""HTMLキャッシュ!A:F""
    ),
    5,
    FALSE
  ),
  0
)
"),"2023年度生徒募集のお知らせ【個別】 - 中学受験 理科の個別指導 | 受験理科専門塾「しゅん吉クエスト」")</f>
        <v>2023年度生徒募集のお知らせ【個別】 - 中学受験 理科の個別指導 | 受験理科専門塾「しゅん吉クエスト」</v>
      </c>
      <c r="D91" s="1" t="str">
        <f>IFERROR(__xludf.DUMMYFUNCTION("IFERROR(
  VLOOKUP(
    A91,
    IMPORTRANGE(
      ""1ZygntHC1J6IxzKbTidmOyf5nUyW4GCLurHCjexrLm_o        "",
      ""HTMLキャッシュ!A:F""
    ),
    6,
    FALSE
  ),
  0
)
"),"本日より、2023年度の生徒募集を開始いたします。 2月開講講座、個別指導の詳細については、下記をご確認くださ")</f>
        <v>本日より、2023年度の生徒募集を開始いたします。 2月開講講座、個別指導の詳細については、下記をご確認くださ</v>
      </c>
      <c r="E91" s="32">
        <f>IFERROR(__xludf.DUMMYFUNCTION("IFERROR(
  VLOOKUP(
    A91,
    IMPORTRANGE(
      ""1ZygntHC1J6IxzKbTidmOyf5nUyW4GCLurHCjexrLm_o        "",
      ""HTMLキャッシュ!A:F""
    ),
    3,
    FALSE
  ),
  0
)
"),45593.921875)</f>
        <v>45593.92188</v>
      </c>
      <c r="F91" s="49">
        <f>IFERROR(__xludf.DUMMYFUNCTION("IFERROR(
  VLOOKUP(
    A91,
    IMPORTRANGE(
      ""1ZHMy3vVUd_0MrSduXTe1etBb1HNpAlGwQr006ljwMiM"",
      ""GSC最新!A:F""
    ),
    2,
    FALSE
  ),
  0
)
"),0.0)</f>
        <v>0</v>
      </c>
      <c r="G91" s="49">
        <f>IFERROR(__xludf.DUMMYFUNCTION("IFERROR(
  VLOOKUP(
    A91,
    IMPORTRANGE(
      ""1ZHMy3vVUd_0MrSduXTe1etBb1HNpAlGwQr006ljwMiM"",
      ""GSC最新!A:F""
    ),
    3,
    FALSE
  ),
  0
)
"),0.0)</f>
        <v>0</v>
      </c>
      <c r="H91" s="49">
        <f>IFERROR(__xludf.DUMMYFUNCTION("IFERROR(
  VLOOKUP(
    A91,
    IMPORTRANGE(
      ""1ZHMy3vVUd_0MrSduXTe1etBb1HNpAlGwQr006ljwMiM"",
      ""GSC最新!A:F""
    ),
    4,
    FALSE
  ),
  0
)
"),0.0)</f>
        <v>0</v>
      </c>
      <c r="I91" s="49">
        <f>IFERROR(__xludf.DUMMYFUNCTION("IFERROR(
  VLOOKUP(
    A91,
    IMPORTRANGE(
      ""1ZHMy3vVUd_0MrSduXTe1etBb1HNpAlGwQr006ljwMiM"",
      ""GSC最新!A:F""
    ),
    5,
    FALSE
  ),
  0
)
"),0.0)</f>
        <v>0</v>
      </c>
      <c r="J91" s="50" t="str">
        <f t="shared" ref="J91:K91" si="446">IFERROR(F91/H91,"-")</f>
        <v>-</v>
      </c>
      <c r="K91" s="50" t="str">
        <f t="shared" si="446"/>
        <v>-</v>
      </c>
      <c r="L91" s="6">
        <f>IFERROR(__xludf.DUMMYFUNCTION("IFERROR(
  VLOOKUP(
    A91,
    IMPORTRANGE(
      ""1ZHMy3vVUd_0MrSduXTe1etBb1HNpAlGwQr006ljwMiM"",
      ""GSC最新!A:R""
    ),
    7,
    FALSE
  ),
  0
)
"),0.0)</f>
        <v>0</v>
      </c>
      <c r="M91" s="6">
        <f>IFERROR(__xludf.DUMMYFUNCTION("IFERROR(
  VLOOKUP(
    A91,
    IMPORTRANGE(
      ""1ZHMy3vVUd_0MrSduXTe1etBb1HNpAlGwQr006ljwMiM"",
      ""GSC最新!A:R""
    ),
    10,
    FALSE
  ),
  0
)
"),0.0)</f>
        <v>0</v>
      </c>
      <c r="N91" s="6">
        <f>IFERROR(__xludf.DUMMYFUNCTION("IFERROR(
  VLOOKUP(
    A91,
    IMPORTRANGE(
      ""1ZHMy3vVUd_0MrSduXTe1etBb1HNpAlGwQr006ljwMiM"",
      ""GSC最新!A:R""
    ),
    13,
    FALSE
  ),
  0
)
"),0.0)</f>
        <v>0</v>
      </c>
      <c r="O91" s="6">
        <f>IFERROR(__xludf.DUMMYFUNCTION("IFERROR(
  VLOOKUP(
    A91,
    IMPORTRANGE(
      ""1ZHMy3vVUd_0MrSduXTe1etBb1HNpAlGwQr006ljwMiM"",
      ""GSC最新!A:R""
    ),
    16,
    FALSE
  ),
  0
)
"),1.0)</f>
        <v>1</v>
      </c>
      <c r="P91" s="51" t="str">
        <f t="shared" ref="P91:Q91" si="447">IFERROR(L91/N91,"-")</f>
        <v>-</v>
      </c>
      <c r="Q91" s="51">
        <f t="shared" si="447"/>
        <v>0</v>
      </c>
      <c r="R91" s="9">
        <f>IFERROR(__xludf.DUMMYFUNCTION("IFERROR(
  VLOOKUP(
    A91,
    IMPORTRANGE(
      ""1ZHMy3vVUd_0MrSduXTe1etBb1HNpAlGwQr006ljwMiM"",
      ""GSC最新!A:R""
    ),
    8,
    FALSE
  ),
  0
)
"),0.0)</f>
        <v>0</v>
      </c>
      <c r="S91" s="9">
        <f>IFERROR(__xludf.DUMMYFUNCTION("IFERROR(
  VLOOKUP(
    A91,
    IMPORTRANGE(
      ""1ZHMy3vVUd_0MrSduXTe1etBb1HNpAlGwQr006ljwMiM"",
      ""GSC最新!A:R""
    ),
    11,
    FALSE
  ),
  0
)
"),0.0)</f>
        <v>0</v>
      </c>
      <c r="T91" s="9">
        <f>IFERROR(__xludf.DUMMYFUNCTION("IFERROR(
  VLOOKUP(
    A91,
    IMPORTRANGE(
      ""1ZHMy3vVUd_0MrSduXTe1etBb1HNpAlGwQr006ljwMiM"",
      ""GSC最新!A:R""
    ),
    14,
    FALSE
  ),
  0
)
"),0.0)</f>
        <v>0</v>
      </c>
      <c r="U91" s="9">
        <f>IFERROR(__xludf.DUMMYFUNCTION("IFERROR(
  VLOOKUP(
    A91,
    IMPORTRANGE(
      ""1ZHMy3vVUd_0MrSduXTe1etBb1HNpAlGwQr006ljwMiM"",
      ""GSC最新!A:R""
    ),
    17,
    FALSE
  ),
  0
)
"),0.0)</f>
        <v>0</v>
      </c>
      <c r="V91" s="9">
        <f t="shared" ref="V91:W91" si="448">IFERROR(R91-T91,"-")</f>
        <v>0</v>
      </c>
      <c r="W91" s="9">
        <f t="shared" si="448"/>
        <v>0</v>
      </c>
      <c r="X91" s="65" t="str">
        <f>IFERROR(__xludf.DUMMYFUNCTION("IFERROR(
  VLOOKUP(
    A91,
    IMPORTRANGE(
      ""1ZHMy3vVUd_0MrSduXTe1etBb1HNpAlGwQr006ljwMiM"",
      ""GSC最新!A:R""
    ),
    9,
    FALSE
  ),
  0
)
"),"")</f>
        <v/>
      </c>
      <c r="Y91" s="65" t="str">
        <f>IFERROR(__xludf.DUMMYFUNCTION("IFERROR(
  VLOOKUP(
    A91,
    IMPORTRANGE(
      ""1ZHMy3vVUd_0MrSduXTe1etBb1HNpAlGwQr006ljwMiM"",
      ""GSC最新!A:R""
    ),
    12,
    FALSE
  ),
  0
)
"),"")</f>
        <v/>
      </c>
      <c r="Z91" s="65" t="str">
        <f>IFERROR(__xludf.DUMMYFUNCTION("IFERROR(
  VLOOKUP(
    A91,
    IMPORTRANGE(
      ""1ZHMy3vVUd_0MrSduXTe1etBb1HNpAlGwQr006ljwMiM"",
      ""GSC最新!A:R""
    ),
    15,
    FALSE
  ),
  0
)
"),"")</f>
        <v/>
      </c>
      <c r="AA91" s="65">
        <f>IFERROR(__xludf.DUMMYFUNCTION("IFERROR(
  VLOOKUP(
    A91,
    IMPORTRANGE(
      ""1ZHMy3vVUd_0MrSduXTe1etBb1HNpAlGwQr006ljwMiM"",
      ""GSC最新!A:R""
    ),
    18,
    FALSE
  ),
  0
)
"),102.0)</f>
        <v>102</v>
      </c>
      <c r="AB91" s="65">
        <f t="shared" ref="AB91:AC91" si="449">X91-Z91</f>
        <v>0</v>
      </c>
      <c r="AC91" s="65">
        <f t="shared" si="449"/>
        <v>-102</v>
      </c>
      <c r="AD91" s="53">
        <f>IFERROR(__xludf.DUMMYFUNCTION("IFERROR(
  VLOOKUP(
    A91,
    IMPORTRANGE(
      ""1ZHMy3vVUd_0MrSduXTe1etBb1HNpAlGwQr006ljwMiM"",
      ""GSC最新!A:F""
    ),
    6,
    FALSE
  ),
  0
)
"),46081.0)</f>
        <v>46081</v>
      </c>
      <c r="AE91" s="54">
        <f>IFERROR(__xludf.DUMMYFUNCTION("IFERROR(
  VLOOKUP(
    A91,
    IMPORTRANGE(
      ""1SCYQd7_cobOYqT0r_F0IqD4tE4rYn5y8Eup4PJTH8es"",
      ""Snapshot!A:M""
    ),
    5,
    FALSE
  ),
  ""-""
)
"),0.0)</f>
        <v>0</v>
      </c>
      <c r="AF91" s="54">
        <f>IFERROR(__xludf.DUMMYFUNCTION("IFERROR(
  VLOOKUP(
    A91,
    IMPORTRANGE(
      ""1SCYQd7_cobOYqT0r_F0IqD4tE4rYn5y8Eup4PJTH8es"",
      ""Snapshot!A:M""
    ),
    6,
    FALSE
  ),
  0
)
"),0.0)</f>
        <v>0</v>
      </c>
      <c r="AG91" s="54">
        <f>IFERROR(__xludf.DUMMYFUNCTION("IFERROR(
  VLOOKUP(
    A91,
    IMPORTRANGE(
      ""1SCYQd7_cobOYqT0r_F0IqD4tE4rYn5y8Eup4PJTH8es"",
      ""Snapshot!A:M""
    ),
    7,
    FALSE
  ),
  0
)
"),358.0)</f>
        <v>358</v>
      </c>
      <c r="AH91" s="54">
        <f>IFERROR(__xludf.DUMMYFUNCTION("IFERROR(
  VLOOKUP(
    A91,
    IMPORTRANGE(
      ""1SCYQd7_cobOYqT0r_F0IqD4tE4rYn5y8Eup4PJTH8es"",
      ""Snapshot!A:M""
    ),
    8,
    FALSE
  ),
  0
)
"),0.0)</f>
        <v>0</v>
      </c>
      <c r="AI91" s="54">
        <f>IFERROR(__xludf.DUMMYFUNCTION("IFERROR(
  VLOOKUP(
    A91,
    IMPORTRANGE(
      ""1SCYQd7_cobOYqT0r_F0IqD4tE4rYn5y8Eup4PJTH8es"",
      ""Snapshot!A:M""
    ),
    9,
    FALSE
  ),
  0
)
"),0.0)</f>
        <v>0</v>
      </c>
      <c r="AJ91" s="54">
        <f>IFERROR(__xludf.DUMMYFUNCTION("IFERROR(
  VLOOKUP(
    A91,
    IMPORTRANGE(
      ""1SCYQd7_cobOYqT0r_F0IqD4tE4rYn5y8Eup4PJTH8es"",
      ""Snapshot!A:M""
    ),
    13,
    FALSE
  ),
  0
)
"),2.0)</f>
        <v>2</v>
      </c>
      <c r="AK91" s="49">
        <f t="shared" ref="AK91:AL91" si="450">LEN(C91)</f>
        <v>54</v>
      </c>
      <c r="AL91" s="49">
        <f t="shared" si="450"/>
        <v>55</v>
      </c>
    </row>
    <row r="92">
      <c r="A92" s="1" t="s">
        <v>239</v>
      </c>
      <c r="B92" s="1" t="str">
        <f>IFERROR(__xludf.DUMMYFUNCTION("IFERROR(
  VLOOKUP(
    A92,
    IMPORTRANGE(
      ""1ZygntHC1J6IxzKbTidmOyf5nUyW4GCLurHCjexrLm_o"",
      ""HTMLキャッシュ!A:F""
    ),
    2,
    FALSE
  ),
  0
)
"),"-")</f>
        <v>-</v>
      </c>
      <c r="C92" s="1" t="str">
        <f>IFERROR(__xludf.DUMMYFUNCTION("IFERROR(
  VLOOKUP(
    A92,
    IMPORTRANGE(
      ""1ZygntHC1J6IxzKbTidmOyf5nUyW4GCLurHCjexrLm_o"",
      ""HTMLキャッシュ!A:F""
    ),
    5,
    FALSE
  ),
  0
)
"),"理科のコツ - 中学受験 理科の個別指導 | 受験理科専門塾「しゅん吉クエスト」")</f>
        <v>理科のコツ - 中学受験 理科の個別指導 | 受験理科専門塾「しゅん吉クエスト」</v>
      </c>
      <c r="D92" s="1" t="str">
        <f>IFERROR(__xludf.DUMMYFUNCTION("IFERROR(
  VLOOKUP(
    A92,
    IMPORTRANGE(
      ""1ZygntHC1J6IxzKbTidmOyf5nUyW4GCLurHCjexrLm_o        "",
      ""HTMLキャッシュ!A:F""
    ),
    6,
    FALSE
  ),
  0
)
"),"")</f>
        <v/>
      </c>
      <c r="E92" s="32">
        <f>IFERROR(__xludf.DUMMYFUNCTION("IFERROR(
  VLOOKUP(
    A92,
    IMPORTRANGE(
      ""1ZygntHC1J6IxzKbTidmOyf5nUyW4GCLurHCjexrLm_o        "",
      ""HTMLキャッシュ!A:F""
    ),
    3,
    FALSE
  ),
  0
)
"),46030.92387731482)</f>
        <v>46030.92388</v>
      </c>
      <c r="F92" s="49">
        <f>IFERROR(__xludf.DUMMYFUNCTION("IFERROR(
  VLOOKUP(
    A92,
    IMPORTRANGE(
      ""1ZHMy3vVUd_0MrSduXTe1etBb1HNpAlGwQr006ljwMiM"",
      ""GSC最新!A:F""
    ),
    2,
    FALSE
  ),
  0
)
"),0.0)</f>
        <v>0</v>
      </c>
      <c r="G92" s="49">
        <f>IFERROR(__xludf.DUMMYFUNCTION("IFERROR(
  VLOOKUP(
    A92,
    IMPORTRANGE(
      ""1ZHMy3vVUd_0MrSduXTe1etBb1HNpAlGwQr006ljwMiM"",
      ""GSC最新!A:F""
    ),
    3,
    FALSE
  ),
  0
)
"),0.0)</f>
        <v>0</v>
      </c>
      <c r="H92" s="49">
        <f>IFERROR(__xludf.DUMMYFUNCTION("IFERROR(
  VLOOKUP(
    A92,
    IMPORTRANGE(
      ""1ZHMy3vVUd_0MrSduXTe1etBb1HNpAlGwQr006ljwMiM"",
      ""GSC最新!A:F""
    ),
    4,
    FALSE
  ),
  0
)
"),0.0)</f>
        <v>0</v>
      </c>
      <c r="I92" s="49">
        <f>IFERROR(__xludf.DUMMYFUNCTION("IFERROR(
  VLOOKUP(
    A92,
    IMPORTRANGE(
      ""1ZHMy3vVUd_0MrSduXTe1etBb1HNpAlGwQr006ljwMiM"",
      ""GSC最新!A:F""
    ),
    5,
    FALSE
  ),
  0
)
"),0.0)</f>
        <v>0</v>
      </c>
      <c r="J92" s="50" t="str">
        <f t="shared" ref="J92:K92" si="451">IFERROR(F92/H92,"-")</f>
        <v>-</v>
      </c>
      <c r="K92" s="50" t="str">
        <f t="shared" si="451"/>
        <v>-</v>
      </c>
      <c r="L92" s="6">
        <f>IFERROR(__xludf.DUMMYFUNCTION("IFERROR(
  VLOOKUP(
    A92,
    IMPORTRANGE(
      ""1ZHMy3vVUd_0MrSduXTe1etBb1HNpAlGwQr006ljwMiM"",
      ""GSC最新!A:R""
    ),
    7,
    FALSE
  ),
  0
)
"),0.0)</f>
        <v>0</v>
      </c>
      <c r="M92" s="6">
        <f>IFERROR(__xludf.DUMMYFUNCTION("IFERROR(
  VLOOKUP(
    A92,
    IMPORTRANGE(
      ""1ZHMy3vVUd_0MrSduXTe1etBb1HNpAlGwQr006ljwMiM"",
      ""GSC最新!A:R""
    ),
    10,
    FALSE
  ),
  0
)
"),0.0)</f>
        <v>0</v>
      </c>
      <c r="N92" s="6">
        <f>IFERROR(__xludf.DUMMYFUNCTION("IFERROR(
  VLOOKUP(
    A92,
    IMPORTRANGE(
      ""1ZHMy3vVUd_0MrSduXTe1etBb1HNpAlGwQr006ljwMiM"",
      ""GSC最新!A:R""
    ),
    13,
    FALSE
  ),
  0
)
"),0.0)</f>
        <v>0</v>
      </c>
      <c r="O92" s="6">
        <f>IFERROR(__xludf.DUMMYFUNCTION("IFERROR(
  VLOOKUP(
    A92,
    IMPORTRANGE(
      ""1ZHMy3vVUd_0MrSduXTe1etBb1HNpAlGwQr006ljwMiM"",
      ""GSC最新!A:R""
    ),
    16,
    FALSE
  ),
  0
)
"),0.0)</f>
        <v>0</v>
      </c>
      <c r="P92" s="51" t="str">
        <f t="shared" ref="P92:Q92" si="452">IFERROR(L92/N92,"-")</f>
        <v>-</v>
      </c>
      <c r="Q92" s="51" t="str">
        <f t="shared" si="452"/>
        <v>-</v>
      </c>
      <c r="R92" s="9">
        <f>IFERROR(__xludf.DUMMYFUNCTION("IFERROR(
  VLOOKUP(
    A92,
    IMPORTRANGE(
      ""1ZHMy3vVUd_0MrSduXTe1etBb1HNpAlGwQr006ljwMiM"",
      ""GSC最新!A:R""
    ),
    8,
    FALSE
  ),
  0
)
"),0.0)</f>
        <v>0</v>
      </c>
      <c r="S92" s="9">
        <f>IFERROR(__xludf.DUMMYFUNCTION("IFERROR(
  VLOOKUP(
    A92,
    IMPORTRANGE(
      ""1ZHMy3vVUd_0MrSduXTe1etBb1HNpAlGwQr006ljwMiM"",
      ""GSC最新!A:R""
    ),
    11,
    FALSE
  ),
  0
)
"),0.0)</f>
        <v>0</v>
      </c>
      <c r="T92" s="9">
        <f>IFERROR(__xludf.DUMMYFUNCTION("IFERROR(
  VLOOKUP(
    A92,
    IMPORTRANGE(
      ""1ZHMy3vVUd_0MrSduXTe1etBb1HNpAlGwQr006ljwMiM"",
      ""GSC最新!A:R""
    ),
    14,
    FALSE
  ),
  0
)
"),0.0)</f>
        <v>0</v>
      </c>
      <c r="U92" s="9">
        <f>IFERROR(__xludf.DUMMYFUNCTION("IFERROR(
  VLOOKUP(
    A92,
    IMPORTRANGE(
      ""1ZHMy3vVUd_0MrSduXTe1etBb1HNpAlGwQr006ljwMiM"",
      ""GSC最新!A:R""
    ),
    17,
    FALSE
  ),
  0
)
"),0.0)</f>
        <v>0</v>
      </c>
      <c r="V92" s="9">
        <f t="shared" ref="V92:W92" si="453">IFERROR(R92-T92,"-")</f>
        <v>0</v>
      </c>
      <c r="W92" s="9">
        <f t="shared" si="453"/>
        <v>0</v>
      </c>
      <c r="X92" s="65" t="str">
        <f>IFERROR(__xludf.DUMMYFUNCTION("IFERROR(
  VLOOKUP(
    A92,
    IMPORTRANGE(
      ""1ZHMy3vVUd_0MrSduXTe1etBb1HNpAlGwQr006ljwMiM"",
      ""GSC最新!A:R""
    ),
    9,
    FALSE
  ),
  0
)
"),"")</f>
        <v/>
      </c>
      <c r="Y92" s="65" t="str">
        <f>IFERROR(__xludf.DUMMYFUNCTION("IFERROR(
  VLOOKUP(
    A92,
    IMPORTRANGE(
      ""1ZHMy3vVUd_0MrSduXTe1etBb1HNpAlGwQr006ljwMiM"",
      ""GSC最新!A:R""
    ),
    12,
    FALSE
  ),
  0
)
"),"")</f>
        <v/>
      </c>
      <c r="Z92" s="65" t="str">
        <f>IFERROR(__xludf.DUMMYFUNCTION("IFERROR(
  VLOOKUP(
    A92,
    IMPORTRANGE(
      ""1ZHMy3vVUd_0MrSduXTe1etBb1HNpAlGwQr006ljwMiM"",
      ""GSC最新!A:R""
    ),
    15,
    FALSE
  ),
  0
)
"),"")</f>
        <v/>
      </c>
      <c r="AA92" s="65" t="str">
        <f>IFERROR(__xludf.DUMMYFUNCTION("IFERROR(
  VLOOKUP(
    A92,
    IMPORTRANGE(
      ""1ZHMy3vVUd_0MrSduXTe1etBb1HNpAlGwQr006ljwMiM"",
      ""GSC最新!A:R""
    ),
    18,
    FALSE
  ),
  0
)
"),"")</f>
        <v/>
      </c>
      <c r="AB92" s="65">
        <f t="shared" ref="AB92:AC92" si="454">X92-Z92</f>
        <v>0</v>
      </c>
      <c r="AC92" s="65">
        <f t="shared" si="454"/>
        <v>0</v>
      </c>
      <c r="AD92" s="53">
        <f>IFERROR(__xludf.DUMMYFUNCTION("IFERROR(
  VLOOKUP(
    A92,
    IMPORTRANGE(
      ""1ZHMy3vVUd_0MrSduXTe1etBb1HNpAlGwQr006ljwMiM"",
      ""GSC最新!A:F""
    ),
    6,
    FALSE
  ),
  0
)
"),46081.0)</f>
        <v>46081</v>
      </c>
      <c r="AE92" s="54">
        <f>IFERROR(__xludf.DUMMYFUNCTION("IFERROR(
  VLOOKUP(
    A92,
    IMPORTRANGE(
      ""1SCYQd7_cobOYqT0r_F0IqD4tE4rYn5y8Eup4PJTH8es"",
      ""Snapshot!A:M""
    ),
    5,
    FALSE
  ),
  ""-""
)
"),0.0)</f>
        <v>0</v>
      </c>
      <c r="AF92" s="54">
        <f>IFERROR(__xludf.DUMMYFUNCTION("IFERROR(
  VLOOKUP(
    A92,
    IMPORTRANGE(
      ""1SCYQd7_cobOYqT0r_F0IqD4tE4rYn5y8Eup4PJTH8es"",
      ""Snapshot!A:M""
    ),
    6,
    FALSE
  ),
  0
)
"),0.0)</f>
        <v>0</v>
      </c>
      <c r="AG92" s="54">
        <f>IFERROR(__xludf.DUMMYFUNCTION("IFERROR(
  VLOOKUP(
    A92,
    IMPORTRANGE(
      ""1SCYQd7_cobOYqT0r_F0IqD4tE4rYn5y8Eup4PJTH8es"",
      ""Snapshot!A:M""
    ),
    7,
    FALSE
  ),
  0
)
"),0.0)</f>
        <v>0</v>
      </c>
      <c r="AH92" s="54">
        <f>IFERROR(__xludf.DUMMYFUNCTION("IFERROR(
  VLOOKUP(
    A92,
    IMPORTRANGE(
      ""1SCYQd7_cobOYqT0r_F0IqD4tE4rYn5y8Eup4PJTH8es"",
      ""Snapshot!A:M""
    ),
    8,
    FALSE
  ),
  0
)
"),0.0)</f>
        <v>0</v>
      </c>
      <c r="AI92" s="54">
        <f>IFERROR(__xludf.DUMMYFUNCTION("IFERROR(
  VLOOKUP(
    A92,
    IMPORTRANGE(
      ""1SCYQd7_cobOYqT0r_F0IqD4tE4rYn5y8Eup4PJTH8es"",
      ""Snapshot!A:M""
    ),
    9,
    FALSE
  ),
  0
)
"),0.0)</f>
        <v>0</v>
      </c>
      <c r="AJ92" s="54">
        <f>IFERROR(__xludf.DUMMYFUNCTION("IFERROR(
  VLOOKUP(
    A92,
    IMPORTRANGE(
      ""1SCYQd7_cobOYqT0r_F0IqD4tE4rYn5y8Eup4PJTH8es"",
      ""Snapshot!A:M""
    ),
    13,
    FALSE
  ),
  0
)
"),1.0)</f>
        <v>1</v>
      </c>
      <c r="AK92" s="49">
        <f t="shared" ref="AK92:AL92" si="455">LEN(C92)</f>
        <v>40</v>
      </c>
      <c r="AL92" s="49">
        <f t="shared" si="455"/>
        <v>0</v>
      </c>
    </row>
    <row r="93">
      <c r="A93" s="1" t="s">
        <v>241</v>
      </c>
      <c r="B93" s="1" t="str">
        <f>IFERROR(__xludf.DUMMYFUNCTION("IFERROR(
  VLOOKUP(
    A93,
    IMPORTRANGE(
      ""1ZygntHC1J6IxzKbTidmOyf5nUyW4GCLurHCjexrLm_o"",
      ""HTMLキャッシュ!A:F""
    ),
    2,
    FALSE
  ),
  0
)
"),"-")</f>
        <v>-</v>
      </c>
      <c r="C93" s="1" t="str">
        <f>IFERROR(__xludf.DUMMYFUNCTION("IFERROR(
  VLOOKUP(
    A93,
    IMPORTRANGE(
      ""1ZygntHC1J6IxzKbTidmOyf5nUyW4GCLurHCjexrLm_o"",
      ""HTMLキャッシュ!A:F""
    ),
    5,
    FALSE
  ),
  0
)
"),"物理 - 中学受験 理科の個別指導 | 受験理科専門塾「しゅん吉クエスト」")</f>
        <v>物理 - 中学受験 理科の個別指導 | 受験理科専門塾「しゅん吉クエスト」</v>
      </c>
      <c r="D93" s="1" t="str">
        <f>IFERROR(__xludf.DUMMYFUNCTION("IFERROR(
  VLOOKUP(
    A93,
    IMPORTRANGE(
      ""1ZygntHC1J6IxzKbTidmOyf5nUyW4GCLurHCjexrLm_o        "",
      ""HTMLキャッシュ!A:F""
    ),
    6,
    FALSE
  ),
  0
)
"),"")</f>
        <v/>
      </c>
      <c r="E93" s="32">
        <f>IFERROR(__xludf.DUMMYFUNCTION("IFERROR(
  VLOOKUP(
    A93,
    IMPORTRANGE(
      ""1ZygntHC1J6IxzKbTidmOyf5nUyW4GCLurHCjexrLm_o        "",
      ""HTMLキャッシュ!A:F""
    ),
    3,
    FALSE
  ),
  0
)
"),46030.92387731482)</f>
        <v>46030.92388</v>
      </c>
      <c r="F93" s="49">
        <f>IFERROR(__xludf.DUMMYFUNCTION("IFERROR(
  VLOOKUP(
    A93,
    IMPORTRANGE(
      ""1ZHMy3vVUd_0MrSduXTe1etBb1HNpAlGwQr006ljwMiM"",
      ""GSC最新!A:F""
    ),
    2,
    FALSE
  ),
  0
)
"),0.0)</f>
        <v>0</v>
      </c>
      <c r="G93" s="49">
        <f>IFERROR(__xludf.DUMMYFUNCTION("IFERROR(
  VLOOKUP(
    A93,
    IMPORTRANGE(
      ""1ZHMy3vVUd_0MrSduXTe1etBb1HNpAlGwQr006ljwMiM"",
      ""GSC最新!A:F""
    ),
    3,
    FALSE
  ),
  0
)
"),0.0)</f>
        <v>0</v>
      </c>
      <c r="H93" s="49">
        <f>IFERROR(__xludf.DUMMYFUNCTION("IFERROR(
  VLOOKUP(
    A93,
    IMPORTRANGE(
      ""1ZHMy3vVUd_0MrSduXTe1etBb1HNpAlGwQr006ljwMiM"",
      ""GSC最新!A:F""
    ),
    4,
    FALSE
  ),
  0
)
"),0.0)</f>
        <v>0</v>
      </c>
      <c r="I93" s="49">
        <f>IFERROR(__xludf.DUMMYFUNCTION("IFERROR(
  VLOOKUP(
    A93,
    IMPORTRANGE(
      ""1ZHMy3vVUd_0MrSduXTe1etBb1HNpAlGwQr006ljwMiM"",
      ""GSC最新!A:F""
    ),
    5,
    FALSE
  ),
  0
)
"),0.0)</f>
        <v>0</v>
      </c>
      <c r="J93" s="50" t="str">
        <f t="shared" ref="J93:K93" si="456">IFERROR(F93/H93,"-")</f>
        <v>-</v>
      </c>
      <c r="K93" s="50" t="str">
        <f t="shared" si="456"/>
        <v>-</v>
      </c>
      <c r="L93" s="6">
        <f>IFERROR(__xludf.DUMMYFUNCTION("IFERROR(
  VLOOKUP(
    A93,
    IMPORTRANGE(
      ""1ZHMy3vVUd_0MrSduXTe1etBb1HNpAlGwQr006ljwMiM"",
      ""GSC最新!A:R""
    ),
    7,
    FALSE
  ),
  0
)
"),0.0)</f>
        <v>0</v>
      </c>
      <c r="M93" s="6">
        <f>IFERROR(__xludf.DUMMYFUNCTION("IFERROR(
  VLOOKUP(
    A93,
    IMPORTRANGE(
      ""1ZHMy3vVUd_0MrSduXTe1etBb1HNpAlGwQr006ljwMiM"",
      ""GSC最新!A:R""
    ),
    10,
    FALSE
  ),
  0
)
"),0.0)</f>
        <v>0</v>
      </c>
      <c r="N93" s="6">
        <f>IFERROR(__xludf.DUMMYFUNCTION("IFERROR(
  VLOOKUP(
    A93,
    IMPORTRANGE(
      ""1ZHMy3vVUd_0MrSduXTe1etBb1HNpAlGwQr006ljwMiM"",
      ""GSC最新!A:R""
    ),
    13,
    FALSE
  ),
  0
)
"),0.0)</f>
        <v>0</v>
      </c>
      <c r="O93" s="6">
        <f>IFERROR(__xludf.DUMMYFUNCTION("IFERROR(
  VLOOKUP(
    A93,
    IMPORTRANGE(
      ""1ZHMy3vVUd_0MrSduXTe1etBb1HNpAlGwQr006ljwMiM"",
      ""GSC最新!A:R""
    ),
    16,
    FALSE
  ),
  0
)
"),0.0)</f>
        <v>0</v>
      </c>
      <c r="P93" s="51" t="str">
        <f t="shared" ref="P93:Q93" si="457">IFERROR(L93/N93,"-")</f>
        <v>-</v>
      </c>
      <c r="Q93" s="51" t="str">
        <f t="shared" si="457"/>
        <v>-</v>
      </c>
      <c r="R93" s="9">
        <f>IFERROR(__xludf.DUMMYFUNCTION("IFERROR(
  VLOOKUP(
    A93,
    IMPORTRANGE(
      ""1ZHMy3vVUd_0MrSduXTe1etBb1HNpAlGwQr006ljwMiM"",
      ""GSC最新!A:R""
    ),
    8,
    FALSE
  ),
  0
)
"),0.0)</f>
        <v>0</v>
      </c>
      <c r="S93" s="9">
        <f>IFERROR(__xludf.DUMMYFUNCTION("IFERROR(
  VLOOKUP(
    A93,
    IMPORTRANGE(
      ""1ZHMy3vVUd_0MrSduXTe1etBb1HNpAlGwQr006ljwMiM"",
      ""GSC最新!A:R""
    ),
    11,
    FALSE
  ),
  0
)
"),0.0)</f>
        <v>0</v>
      </c>
      <c r="T93" s="9">
        <f>IFERROR(__xludf.DUMMYFUNCTION("IFERROR(
  VLOOKUP(
    A93,
    IMPORTRANGE(
      ""1ZHMy3vVUd_0MrSduXTe1etBb1HNpAlGwQr006ljwMiM"",
      ""GSC最新!A:R""
    ),
    14,
    FALSE
  ),
  0
)
"),0.0)</f>
        <v>0</v>
      </c>
      <c r="U93" s="9">
        <f>IFERROR(__xludf.DUMMYFUNCTION("IFERROR(
  VLOOKUP(
    A93,
    IMPORTRANGE(
      ""1ZHMy3vVUd_0MrSduXTe1etBb1HNpAlGwQr006ljwMiM"",
      ""GSC最新!A:R""
    ),
    17,
    FALSE
  ),
  0
)
"),0.0)</f>
        <v>0</v>
      </c>
      <c r="V93" s="9">
        <f t="shared" ref="V93:W93" si="458">IFERROR(R93-T93,"-")</f>
        <v>0</v>
      </c>
      <c r="W93" s="9">
        <f t="shared" si="458"/>
        <v>0</v>
      </c>
      <c r="X93" s="65" t="str">
        <f>IFERROR(__xludf.DUMMYFUNCTION("IFERROR(
  VLOOKUP(
    A93,
    IMPORTRANGE(
      ""1ZHMy3vVUd_0MrSduXTe1etBb1HNpAlGwQr006ljwMiM"",
      ""GSC最新!A:R""
    ),
    9,
    FALSE
  ),
  0
)
"),"")</f>
        <v/>
      </c>
      <c r="Y93" s="65" t="str">
        <f>IFERROR(__xludf.DUMMYFUNCTION("IFERROR(
  VLOOKUP(
    A93,
    IMPORTRANGE(
      ""1ZHMy3vVUd_0MrSduXTe1etBb1HNpAlGwQr006ljwMiM"",
      ""GSC最新!A:R""
    ),
    12,
    FALSE
  ),
  0
)
"),"")</f>
        <v/>
      </c>
      <c r="Z93" s="65" t="str">
        <f>IFERROR(__xludf.DUMMYFUNCTION("IFERROR(
  VLOOKUP(
    A93,
    IMPORTRANGE(
      ""1ZHMy3vVUd_0MrSduXTe1etBb1HNpAlGwQr006ljwMiM"",
      ""GSC最新!A:R""
    ),
    15,
    FALSE
  ),
  0
)
"),"")</f>
        <v/>
      </c>
      <c r="AA93" s="65" t="str">
        <f>IFERROR(__xludf.DUMMYFUNCTION("IFERROR(
  VLOOKUP(
    A93,
    IMPORTRANGE(
      ""1ZHMy3vVUd_0MrSduXTe1etBb1HNpAlGwQr006ljwMiM"",
      ""GSC最新!A:R""
    ),
    18,
    FALSE
  ),
  0
)
"),"")</f>
        <v/>
      </c>
      <c r="AB93" s="65">
        <f t="shared" ref="AB93:AC93" si="459">X93-Z93</f>
        <v>0</v>
      </c>
      <c r="AC93" s="65">
        <f t="shared" si="459"/>
        <v>0</v>
      </c>
      <c r="AD93" s="53">
        <f>IFERROR(__xludf.DUMMYFUNCTION("IFERROR(
  VLOOKUP(
    A93,
    IMPORTRANGE(
      ""1ZHMy3vVUd_0MrSduXTe1etBb1HNpAlGwQr006ljwMiM"",
      ""GSC最新!A:F""
    ),
    6,
    FALSE
  ),
  0
)
"),46081.0)</f>
        <v>46081</v>
      </c>
      <c r="AE93" s="54">
        <f>IFERROR(__xludf.DUMMYFUNCTION("IFERROR(
  VLOOKUP(
    A93,
    IMPORTRANGE(
      ""1SCYQd7_cobOYqT0r_F0IqD4tE4rYn5y8Eup4PJTH8es"",
      ""Snapshot!A:M""
    ),
    5,
    FALSE
  ),
  ""-""
)
"),0.0)</f>
        <v>0</v>
      </c>
      <c r="AF93" s="54">
        <f>IFERROR(__xludf.DUMMYFUNCTION("IFERROR(
  VLOOKUP(
    A93,
    IMPORTRANGE(
      ""1SCYQd7_cobOYqT0r_F0IqD4tE4rYn5y8Eup4PJTH8es"",
      ""Snapshot!A:M""
    ),
    6,
    FALSE
  ),
  0
)
"),0.0)</f>
        <v>0</v>
      </c>
      <c r="AG93" s="54">
        <f>IFERROR(__xludf.DUMMYFUNCTION("IFERROR(
  VLOOKUP(
    A93,
    IMPORTRANGE(
      ""1SCYQd7_cobOYqT0r_F0IqD4tE4rYn5y8Eup4PJTH8es"",
      ""Snapshot!A:M""
    ),
    7,
    FALSE
  ),
  0
)
"),0.0)</f>
        <v>0</v>
      </c>
      <c r="AH93" s="54">
        <f>IFERROR(__xludf.DUMMYFUNCTION("IFERROR(
  VLOOKUP(
    A93,
    IMPORTRANGE(
      ""1SCYQd7_cobOYqT0r_F0IqD4tE4rYn5y8Eup4PJTH8es"",
      ""Snapshot!A:M""
    ),
    8,
    FALSE
  ),
  0
)
"),0.0)</f>
        <v>0</v>
      </c>
      <c r="AI93" s="54">
        <f>IFERROR(__xludf.DUMMYFUNCTION("IFERROR(
  VLOOKUP(
    A93,
    IMPORTRANGE(
      ""1SCYQd7_cobOYqT0r_F0IqD4tE4rYn5y8Eup4PJTH8es"",
      ""Snapshot!A:M""
    ),
    9,
    FALSE
  ),
  0
)
"),0.0)</f>
        <v>0</v>
      </c>
      <c r="AJ93" s="54">
        <f>IFERROR(__xludf.DUMMYFUNCTION("IFERROR(
  VLOOKUP(
    A93,
    IMPORTRANGE(
      ""1SCYQd7_cobOYqT0r_F0IqD4tE4rYn5y8Eup4PJTH8es"",
      ""Snapshot!A:M""
    ),
    13,
    FALSE
  ),
  0
)
"),1.0)</f>
        <v>1</v>
      </c>
      <c r="AK93" s="49">
        <f t="shared" ref="AK93:AL93" si="460">LEN(C93)</f>
        <v>37</v>
      </c>
      <c r="AL93" s="49">
        <f t="shared" si="460"/>
        <v>0</v>
      </c>
    </row>
    <row r="94">
      <c r="A94" s="56" t="s">
        <v>1312</v>
      </c>
      <c r="B94" s="1" t="str">
        <f>IFERROR(__xludf.DUMMYFUNCTION("IFERROR(
  VLOOKUP(
    A94,
    IMPORTRANGE(
      ""1ZygntHC1J6IxzKbTidmOyf5nUyW4GCLurHCjexrLm_o"",
      ""HTMLキャッシュ!A:F""
    ),
    2,
    FALSE
  ),
  0
)
"),"MC")</f>
        <v>MC</v>
      </c>
      <c r="C94" s="1" t="str">
        <f>IFERROR(__xludf.DUMMYFUNCTION("IFERROR(
  VLOOKUP(
    A94,
    IMPORTRANGE(
      ""1ZygntHC1J6IxzKbTidmOyf5nUyW4GCLurHCjexrLm_o"",
      ""HTMLキャッシュ!A:F""
    ),
    5,
    FALSE
  ),
  0
)
"),"水溶液が覚えられない→分類（性質）→代表例→実験での問われ方 - 中学受験 理科の個別指導 | 受験理科専門塾「しゅん吉クエスト」")</f>
        <v>水溶液が覚えられない→分類（性質）→代表例→実験での問われ方 - 中学受験 理科の個別指導 | 受験理科専門塾「しゅん吉クエスト」</v>
      </c>
      <c r="D94" s="1" t="str">
        <f>IFERROR(__xludf.DUMMYFUNCTION("IFERROR(
  VLOOKUP(
    A94,
    IMPORTRANGE(
      ""1ZygntHC1J6IxzKbTidmOyf5nUyW4GCLurHCjexrLm_o        "",
      ""HTMLキャッシュ!A:F""
    ),
    6,
    FALSE
  ),
  0
)
"),"中学受験理科／化学 テーマ：水溶液は「名前暗記」ではなく「分類→代表→実験での見分け順」を定着させる 悩み起点")</f>
        <v>中学受験理科／化学 テーマ：水溶液は「名前暗記」ではなく「分類→代表→実験での見分け順」を定着させる 悩み起点</v>
      </c>
      <c r="E94" s="32">
        <f>IFERROR(__xludf.DUMMYFUNCTION("IFERROR(
  VLOOKUP(
    A94,
    IMPORTRANGE(
      ""1ZygntHC1J6IxzKbTidmOyf5nUyW4GCLurHCjexrLm_o        "",
      ""HTMLキャッシュ!A:F""
    ),
    3,
    FALSE
  ),
  0
)
"),46081.12458333333)</f>
        <v>46081.12458</v>
      </c>
      <c r="F94" s="49">
        <f>IFERROR(__xludf.DUMMYFUNCTION("IFERROR(
  VLOOKUP(
    A94,
    IMPORTRANGE(
      ""1ZHMy3vVUd_0MrSduXTe1etBb1HNpAlGwQr006ljwMiM"",
      ""GSC最新!A:F""
    ),
    2,
    FALSE
  ),
  0
)
"),0.0)</f>
        <v>0</v>
      </c>
      <c r="G94" s="49">
        <f>IFERROR(__xludf.DUMMYFUNCTION("IFERROR(
  VLOOKUP(
    A94,
    IMPORTRANGE(
      ""1ZHMy3vVUd_0MrSduXTe1etBb1HNpAlGwQr006ljwMiM"",
      ""GSC最新!A:F""
    ),
    3,
    FALSE
  ),
  0
)
"),0.0)</f>
        <v>0</v>
      </c>
      <c r="H94" s="49">
        <f>IFERROR(__xludf.DUMMYFUNCTION("IFERROR(
  VLOOKUP(
    A94,
    IMPORTRANGE(
      ""1ZHMy3vVUd_0MrSduXTe1etBb1HNpAlGwQr006ljwMiM"",
      ""GSC最新!A:F""
    ),
    4,
    FALSE
  ),
  0
)
"),0.0)</f>
        <v>0</v>
      </c>
      <c r="I94" s="49">
        <f>IFERROR(__xludf.DUMMYFUNCTION("IFERROR(
  VLOOKUP(
    A94,
    IMPORTRANGE(
      ""1ZHMy3vVUd_0MrSduXTe1etBb1HNpAlGwQr006ljwMiM"",
      ""GSC最新!A:F""
    ),
    5,
    FALSE
  ),
  0
)
"),0.0)</f>
        <v>0</v>
      </c>
      <c r="J94" s="50" t="str">
        <f t="shared" ref="J94:K94" si="461">IFERROR(F94/H94,"-")</f>
        <v>-</v>
      </c>
      <c r="K94" s="50" t="str">
        <f t="shared" si="461"/>
        <v>-</v>
      </c>
      <c r="L94" s="6">
        <f>IFERROR(__xludf.DUMMYFUNCTION("IFERROR(
  VLOOKUP(
    A94,
    IMPORTRANGE(
      ""1ZHMy3vVUd_0MrSduXTe1etBb1HNpAlGwQr006ljwMiM"",
      ""GSC最新!A:R""
    ),
    7,
    FALSE
  ),
  0
)
"),0.0)</f>
        <v>0</v>
      </c>
      <c r="M94" s="6">
        <f>IFERROR(__xludf.DUMMYFUNCTION("IFERROR(
  VLOOKUP(
    A94,
    IMPORTRANGE(
      ""1ZHMy3vVUd_0MrSduXTe1etBb1HNpAlGwQr006ljwMiM"",
      ""GSC最新!A:R""
    ),
    10,
    FALSE
  ),
  0
)
"),0.0)</f>
        <v>0</v>
      </c>
      <c r="N94" s="6">
        <f>IFERROR(__xludf.DUMMYFUNCTION("IFERROR(
  VLOOKUP(
    A94,
    IMPORTRANGE(
      ""1ZHMy3vVUd_0MrSduXTe1etBb1HNpAlGwQr006ljwMiM"",
      ""GSC最新!A:R""
    ),
    13,
    FALSE
  ),
  0
)
"),0.0)</f>
        <v>0</v>
      </c>
      <c r="O94" s="6">
        <f>IFERROR(__xludf.DUMMYFUNCTION("IFERROR(
  VLOOKUP(
    A94,
    IMPORTRANGE(
      ""1ZHMy3vVUd_0MrSduXTe1etBb1HNpAlGwQr006ljwMiM"",
      ""GSC最新!A:R""
    ),
    16,
    FALSE
  ),
  0
)
"),0.0)</f>
        <v>0</v>
      </c>
      <c r="P94" s="51" t="str">
        <f t="shared" ref="P94:Q94" si="462">IFERROR(L94/N94,"-")</f>
        <v>-</v>
      </c>
      <c r="Q94" s="51" t="str">
        <f t="shared" si="462"/>
        <v>-</v>
      </c>
      <c r="R94" s="9">
        <f>IFERROR(__xludf.DUMMYFUNCTION("IFERROR(
  VLOOKUP(
    A94,
    IMPORTRANGE(
      ""1ZHMy3vVUd_0MrSduXTe1etBb1HNpAlGwQr006ljwMiM"",
      ""GSC最新!A:R""
    ),
    8,
    FALSE
  ),
  0
)
"),0.0)</f>
        <v>0</v>
      </c>
      <c r="S94" s="9">
        <f>IFERROR(__xludf.DUMMYFUNCTION("IFERROR(
  VLOOKUP(
    A94,
    IMPORTRANGE(
      ""1ZHMy3vVUd_0MrSduXTe1etBb1HNpAlGwQr006ljwMiM"",
      ""GSC最新!A:R""
    ),
    11,
    FALSE
  ),
  0
)
"),0.0)</f>
        <v>0</v>
      </c>
      <c r="T94" s="9">
        <f>IFERROR(__xludf.DUMMYFUNCTION("IFERROR(
  VLOOKUP(
    A94,
    IMPORTRANGE(
      ""1ZHMy3vVUd_0MrSduXTe1etBb1HNpAlGwQr006ljwMiM"",
      ""GSC最新!A:R""
    ),
    14,
    FALSE
  ),
  0
)
"),0.0)</f>
        <v>0</v>
      </c>
      <c r="U94" s="9">
        <f>IFERROR(__xludf.DUMMYFUNCTION("IFERROR(
  VLOOKUP(
    A94,
    IMPORTRANGE(
      ""1ZHMy3vVUd_0MrSduXTe1etBb1HNpAlGwQr006ljwMiM"",
      ""GSC最新!A:R""
    ),
    17,
    FALSE
  ),
  0
)
"),0.0)</f>
        <v>0</v>
      </c>
      <c r="V94" s="9">
        <f t="shared" ref="V94:W94" si="463">IFERROR(R94-T94,"-")</f>
        <v>0</v>
      </c>
      <c r="W94" s="9">
        <f t="shared" si="463"/>
        <v>0</v>
      </c>
      <c r="X94" s="65" t="str">
        <f>IFERROR(__xludf.DUMMYFUNCTION("IFERROR(
  VLOOKUP(
    A94,
    IMPORTRANGE(
      ""1ZHMy3vVUd_0MrSduXTe1etBb1HNpAlGwQr006ljwMiM"",
      ""GSC最新!A:R""
    ),
    9,
    FALSE
  ),
  0
)
"),"")</f>
        <v/>
      </c>
      <c r="Y94" s="65" t="str">
        <f>IFERROR(__xludf.DUMMYFUNCTION("IFERROR(
  VLOOKUP(
    A94,
    IMPORTRANGE(
      ""1ZHMy3vVUd_0MrSduXTe1etBb1HNpAlGwQr006ljwMiM"",
      ""GSC最新!A:R""
    ),
    12,
    FALSE
  ),
  0
)
"),"")</f>
        <v/>
      </c>
      <c r="Z94" s="65" t="str">
        <f>IFERROR(__xludf.DUMMYFUNCTION("IFERROR(
  VLOOKUP(
    A94,
    IMPORTRANGE(
      ""1ZHMy3vVUd_0MrSduXTe1etBb1HNpAlGwQr006ljwMiM"",
      ""GSC最新!A:R""
    ),
    15,
    FALSE
  ),
  0
)
"),"")</f>
        <v/>
      </c>
      <c r="AA94" s="65" t="str">
        <f>IFERROR(__xludf.DUMMYFUNCTION("IFERROR(
  VLOOKUP(
    A94,
    IMPORTRANGE(
      ""1ZHMy3vVUd_0MrSduXTe1etBb1HNpAlGwQr006ljwMiM"",
      ""GSC最新!A:R""
    ),
    18,
    FALSE
  ),
  0
)
"),"")</f>
        <v/>
      </c>
      <c r="AB94" s="65">
        <f t="shared" ref="AB94:AC94" si="464">X94-Z94</f>
        <v>0</v>
      </c>
      <c r="AC94" s="65">
        <f t="shared" si="464"/>
        <v>0</v>
      </c>
      <c r="AD94" s="53">
        <f>IFERROR(__xludf.DUMMYFUNCTION("IFERROR(
  VLOOKUP(
    A94,
    IMPORTRANGE(
      ""1ZHMy3vVUd_0MrSduXTe1etBb1HNpAlGwQr006ljwMiM"",
      ""GSC最新!A:F""
    ),
    6,
    FALSE
  ),
  0
)
"),46081.0)</f>
        <v>46081</v>
      </c>
      <c r="AE94" s="54">
        <f>IFERROR(__xludf.DUMMYFUNCTION("IFERROR(
  VLOOKUP(
    A94,
    IMPORTRANGE(
      ""1SCYQd7_cobOYqT0r_F0IqD4tE4rYn5y8Eup4PJTH8es"",
      ""Snapshot!A:M""
    ),
    5,
    FALSE
  ),
  ""-""
)
"),7.0)</f>
        <v>7</v>
      </c>
      <c r="AF94" s="54">
        <f>IFERROR(__xludf.DUMMYFUNCTION("IFERROR(
  VLOOKUP(
    A94,
    IMPORTRANGE(
      ""1SCYQd7_cobOYqT0r_F0IqD4tE4rYn5y8Eup4PJTH8es"",
      ""Snapshot!A:M""
    ),
    6,
    FALSE
  ),
  0
)
"),11.0)</f>
        <v>11</v>
      </c>
      <c r="AG94" s="54">
        <f>IFERROR(__xludf.DUMMYFUNCTION("IFERROR(
  VLOOKUP(
    A94,
    IMPORTRANGE(
      ""1SCYQd7_cobOYqT0r_F0IqD4tE4rYn5y8Eup4PJTH8es"",
      ""Snapshot!A:M""
    ),
    7,
    FALSE
  ),
  0
)
"),4101.0)</f>
        <v>4101</v>
      </c>
      <c r="AH94" s="54">
        <f>IFERROR(__xludf.DUMMYFUNCTION("IFERROR(
  VLOOKUP(
    A94,
    IMPORTRANGE(
      ""1SCYQd7_cobOYqT0r_F0IqD4tE4rYn5y8Eup4PJTH8es"",
      ""Snapshot!A:M""
    ),
    8,
    FALSE
  ),
  0
)
"),9.0)</f>
        <v>9</v>
      </c>
      <c r="AI94" s="54">
        <f>IFERROR(__xludf.DUMMYFUNCTION("IFERROR(
  VLOOKUP(
    A94,
    IMPORTRANGE(
      ""1SCYQd7_cobOYqT0r_F0IqD4tE4rYn5y8Eup4PJTH8es"",
      ""Snapshot!A:M""
    ),
    9,
    FALSE
  ),
  0
)
"),1.0)</f>
        <v>1</v>
      </c>
      <c r="AJ94" s="54">
        <f>IFERROR(__xludf.DUMMYFUNCTION("IFERROR(
  VLOOKUP(
    A94,
    IMPORTRANGE(
      ""1SCYQd7_cobOYqT0r_F0IqD4tE4rYn5y8Eup4PJTH8es"",
      ""Snapshot!A:M""
    ),
    13,
    FALSE
  ),
  0
)
"),2.0)</f>
        <v>2</v>
      </c>
      <c r="AK94" s="49">
        <f t="shared" ref="AK94:AL94" si="465">LEN(C94)</f>
        <v>65</v>
      </c>
      <c r="AL94" s="49">
        <f t="shared" si="465"/>
        <v>55</v>
      </c>
    </row>
    <row r="95">
      <c r="A95" s="56" t="s">
        <v>1313</v>
      </c>
      <c r="B95" s="1" t="str">
        <f>IFERROR(__xludf.DUMMYFUNCTION("IFERROR(
  VLOOKUP(
    A95,
    IMPORTRANGE(
      ""1ZygntHC1J6IxzKbTidmOyf5nUyW4GCLurHCjexrLm_o"",
      ""HTMLキャッシュ!A:F""
    ),
    2,
    FALSE
  ),
  0
)
"),"MC")</f>
        <v>MC</v>
      </c>
      <c r="C95" s="1" t="str">
        <f>IFERROR(__xludf.DUMMYFUNCTION("IFERROR(
  VLOOKUP(
    A95,
    IMPORTRANGE(
      ""1ZygntHC1J6IxzKbTidmOyf5nUyW4GCLurHCjexrLm_o"",
      ""HTMLキャッシュ!A:F""
    ),
    5,
    FALSE
  ),
  0
)
"),"地層・柱状図が読めない→新旧/上下/傾きのルール→読み取り手順 - 中学受験 理科の個別指導 | 受験理科専門塾「しゅん吉クエスト」")</f>
        <v>地層・柱状図が読めない→新旧/上下/傾きのルール→読み取り手順 - 中学受験 理科の個別指導 | 受験理科専門塾「しゅん吉クエスト」</v>
      </c>
      <c r="D95" s="1" t="str">
        <f>IFERROR(__xludf.DUMMYFUNCTION("IFERROR(
  VLOOKUP(
    A95,
    IMPORTRANGE(
      ""1ZygntHC1J6IxzKbTidmOyf5nUyW4GCLurHCjexrLm_o        "",
      ""HTMLキャッシュ!A:F""
    ),
    6,
    FALSE
  ),
  0
)
"),"中学受験理科／地学 テーマ：地層・柱状図の読み取りミスを防ぐ（お悩み解決） 悩み起点 新旧/上下/傾きのルール")</f>
        <v>中学受験理科／地学 テーマ：地層・柱状図の読み取りミスを防ぐ（お悩み解決） 悩み起点 新旧/上下/傾きのルール</v>
      </c>
      <c r="E95" s="32">
        <f>IFERROR(__xludf.DUMMYFUNCTION("IFERROR(
  VLOOKUP(
    A95,
    IMPORTRANGE(
      ""1ZygntHC1J6IxzKbTidmOyf5nUyW4GCLurHCjexrLm_o        "",
      ""HTMLキャッシュ!A:F""
    ),
    3,
    FALSE
  ),
  0
)
"),46081.109872685185)</f>
        <v>46081.10987</v>
      </c>
      <c r="F95" s="49">
        <f>IFERROR(__xludf.DUMMYFUNCTION("IFERROR(
  VLOOKUP(
    A95,
    IMPORTRANGE(
      ""1ZHMy3vVUd_0MrSduXTe1etBb1HNpAlGwQr006ljwMiM"",
      ""GSC最新!A:F""
    ),
    2,
    FALSE
  ),
  0
)
"),0.0)</f>
        <v>0</v>
      </c>
      <c r="G95" s="49">
        <f>IFERROR(__xludf.DUMMYFUNCTION("IFERROR(
  VLOOKUP(
    A95,
    IMPORTRANGE(
      ""1ZHMy3vVUd_0MrSduXTe1etBb1HNpAlGwQr006ljwMiM"",
      ""GSC最新!A:F""
    ),
    3,
    FALSE
  ),
  0
)
"),0.0)</f>
        <v>0</v>
      </c>
      <c r="H95" s="49">
        <f>IFERROR(__xludf.DUMMYFUNCTION("IFERROR(
  VLOOKUP(
    A95,
    IMPORTRANGE(
      ""1ZHMy3vVUd_0MrSduXTe1etBb1HNpAlGwQr006ljwMiM"",
      ""GSC最新!A:F""
    ),
    4,
    FALSE
  ),
  0
)
"),0.0)</f>
        <v>0</v>
      </c>
      <c r="I95" s="49">
        <f>IFERROR(__xludf.DUMMYFUNCTION("IFERROR(
  VLOOKUP(
    A95,
    IMPORTRANGE(
      ""1ZHMy3vVUd_0MrSduXTe1etBb1HNpAlGwQr006ljwMiM"",
      ""GSC最新!A:F""
    ),
    5,
    FALSE
  ),
  0
)
"),0.0)</f>
        <v>0</v>
      </c>
      <c r="J95" s="50" t="str">
        <f t="shared" ref="J95:K95" si="466">IFERROR(F95/H95,"-")</f>
        <v>-</v>
      </c>
      <c r="K95" s="50" t="str">
        <f t="shared" si="466"/>
        <v>-</v>
      </c>
      <c r="L95" s="6">
        <f>IFERROR(__xludf.DUMMYFUNCTION("IFERROR(
  VLOOKUP(
    A95,
    IMPORTRANGE(
      ""1ZHMy3vVUd_0MrSduXTe1etBb1HNpAlGwQr006ljwMiM"",
      ""GSC最新!A:R""
    ),
    7,
    FALSE
  ),
  0
)
"),0.0)</f>
        <v>0</v>
      </c>
      <c r="M95" s="6">
        <f>IFERROR(__xludf.DUMMYFUNCTION("IFERROR(
  VLOOKUP(
    A95,
    IMPORTRANGE(
      ""1ZHMy3vVUd_0MrSduXTe1etBb1HNpAlGwQr006ljwMiM"",
      ""GSC最新!A:R""
    ),
    10,
    FALSE
  ),
  0
)
"),0.0)</f>
        <v>0</v>
      </c>
      <c r="N95" s="6">
        <f>IFERROR(__xludf.DUMMYFUNCTION("IFERROR(
  VLOOKUP(
    A95,
    IMPORTRANGE(
      ""1ZHMy3vVUd_0MrSduXTe1etBb1HNpAlGwQr006ljwMiM"",
      ""GSC最新!A:R""
    ),
    13,
    FALSE
  ),
  0
)
"),0.0)</f>
        <v>0</v>
      </c>
      <c r="O95" s="6">
        <f>IFERROR(__xludf.DUMMYFUNCTION("IFERROR(
  VLOOKUP(
    A95,
    IMPORTRANGE(
      ""1ZHMy3vVUd_0MrSduXTe1etBb1HNpAlGwQr006ljwMiM"",
      ""GSC最新!A:R""
    ),
    16,
    FALSE
  ),
  0
)
"),0.0)</f>
        <v>0</v>
      </c>
      <c r="P95" s="51" t="str">
        <f t="shared" ref="P95:Q95" si="467">IFERROR(L95/N95,"-")</f>
        <v>-</v>
      </c>
      <c r="Q95" s="51" t="str">
        <f t="shared" si="467"/>
        <v>-</v>
      </c>
      <c r="R95" s="9">
        <f>IFERROR(__xludf.DUMMYFUNCTION("IFERROR(
  VLOOKUP(
    A95,
    IMPORTRANGE(
      ""1ZHMy3vVUd_0MrSduXTe1etBb1HNpAlGwQr006ljwMiM"",
      ""GSC最新!A:R""
    ),
    8,
    FALSE
  ),
  0
)
"),0.0)</f>
        <v>0</v>
      </c>
      <c r="S95" s="9">
        <f>IFERROR(__xludf.DUMMYFUNCTION("IFERROR(
  VLOOKUP(
    A95,
    IMPORTRANGE(
      ""1ZHMy3vVUd_0MrSduXTe1etBb1HNpAlGwQr006ljwMiM"",
      ""GSC最新!A:R""
    ),
    11,
    FALSE
  ),
  0
)
"),0.0)</f>
        <v>0</v>
      </c>
      <c r="T95" s="9">
        <f>IFERROR(__xludf.DUMMYFUNCTION("IFERROR(
  VLOOKUP(
    A95,
    IMPORTRANGE(
      ""1ZHMy3vVUd_0MrSduXTe1etBb1HNpAlGwQr006ljwMiM"",
      ""GSC最新!A:R""
    ),
    14,
    FALSE
  ),
  0
)
"),0.0)</f>
        <v>0</v>
      </c>
      <c r="U95" s="9">
        <f>IFERROR(__xludf.DUMMYFUNCTION("IFERROR(
  VLOOKUP(
    A95,
    IMPORTRANGE(
      ""1ZHMy3vVUd_0MrSduXTe1etBb1HNpAlGwQr006ljwMiM"",
      ""GSC最新!A:R""
    ),
    17,
    FALSE
  ),
  0
)
"),0.0)</f>
        <v>0</v>
      </c>
      <c r="V95" s="9">
        <f t="shared" ref="V95:W95" si="468">IFERROR(R95-T95,"-")</f>
        <v>0</v>
      </c>
      <c r="W95" s="9">
        <f t="shared" si="468"/>
        <v>0</v>
      </c>
      <c r="X95" s="65" t="str">
        <f>IFERROR(__xludf.DUMMYFUNCTION("IFERROR(
  VLOOKUP(
    A95,
    IMPORTRANGE(
      ""1ZHMy3vVUd_0MrSduXTe1etBb1HNpAlGwQr006ljwMiM"",
      ""GSC最新!A:R""
    ),
    9,
    FALSE
  ),
  0
)
"),"")</f>
        <v/>
      </c>
      <c r="Y95" s="65" t="str">
        <f>IFERROR(__xludf.DUMMYFUNCTION("IFERROR(
  VLOOKUP(
    A95,
    IMPORTRANGE(
      ""1ZHMy3vVUd_0MrSduXTe1etBb1HNpAlGwQr006ljwMiM"",
      ""GSC最新!A:R""
    ),
    12,
    FALSE
  ),
  0
)
"),"")</f>
        <v/>
      </c>
      <c r="Z95" s="65" t="str">
        <f>IFERROR(__xludf.DUMMYFUNCTION("IFERROR(
  VLOOKUP(
    A95,
    IMPORTRANGE(
      ""1ZHMy3vVUd_0MrSduXTe1etBb1HNpAlGwQr006ljwMiM"",
      ""GSC最新!A:R""
    ),
    15,
    FALSE
  ),
  0
)
"),"")</f>
        <v/>
      </c>
      <c r="AA95" s="65" t="str">
        <f>IFERROR(__xludf.DUMMYFUNCTION("IFERROR(
  VLOOKUP(
    A95,
    IMPORTRANGE(
      ""1ZHMy3vVUd_0MrSduXTe1etBb1HNpAlGwQr006ljwMiM"",
      ""GSC最新!A:R""
    ),
    18,
    FALSE
  ),
  0
)
"),"")</f>
        <v/>
      </c>
      <c r="AB95" s="65">
        <f t="shared" ref="AB95:AC95" si="469">X95-Z95</f>
        <v>0</v>
      </c>
      <c r="AC95" s="65">
        <f t="shared" si="469"/>
        <v>0</v>
      </c>
      <c r="AD95" s="53">
        <f>IFERROR(__xludf.DUMMYFUNCTION("IFERROR(
  VLOOKUP(
    A95,
    IMPORTRANGE(
      ""1ZHMy3vVUd_0MrSduXTe1etBb1HNpAlGwQr006ljwMiM"",
      ""GSC最新!A:F""
    ),
    6,
    FALSE
  ),
  0
)
"),46081.0)</f>
        <v>46081</v>
      </c>
      <c r="AE95" s="54">
        <f>IFERROR(__xludf.DUMMYFUNCTION("IFERROR(
  VLOOKUP(
    A95,
    IMPORTRANGE(
      ""1SCYQd7_cobOYqT0r_F0IqD4tE4rYn5y8Eup4PJTH8es"",
      ""Snapshot!A:M""
    ),
    5,
    FALSE
  ),
  ""-""
)
"),7.0)</f>
        <v>7</v>
      </c>
      <c r="AF95" s="54">
        <f>IFERROR(__xludf.DUMMYFUNCTION("IFERROR(
  VLOOKUP(
    A95,
    IMPORTRANGE(
      ""1SCYQd7_cobOYqT0r_F0IqD4tE4rYn5y8Eup4PJTH8es"",
      ""Snapshot!A:M""
    ),
    6,
    FALSE
  ),
  0
)
"),10.0)</f>
        <v>10</v>
      </c>
      <c r="AG95" s="54">
        <f>IFERROR(__xludf.DUMMYFUNCTION("IFERROR(
  VLOOKUP(
    A95,
    IMPORTRANGE(
      ""1SCYQd7_cobOYqT0r_F0IqD4tE4rYn5y8Eup4PJTH8es"",
      ""Snapshot!A:M""
    ),
    7,
    FALSE
  ),
  0
)
"),4263.0)</f>
        <v>4263</v>
      </c>
      <c r="AH95" s="54">
        <f>IFERROR(__xludf.DUMMYFUNCTION("IFERROR(
  VLOOKUP(
    A95,
    IMPORTRANGE(
      ""1SCYQd7_cobOYqT0r_F0IqD4tE4rYn5y8Eup4PJTH8es"",
      ""Snapshot!A:M""
    ),
    8,
    FALSE
  ),
  0
)
"),8.0)</f>
        <v>8</v>
      </c>
      <c r="AI95" s="54">
        <f>IFERROR(__xludf.DUMMYFUNCTION("IFERROR(
  VLOOKUP(
    A95,
    IMPORTRANGE(
      ""1SCYQd7_cobOYqT0r_F0IqD4tE4rYn5y8Eup4PJTH8es"",
      ""Snapshot!A:M""
    ),
    9,
    FALSE
  ),
  0
)
"),1.0)</f>
        <v>1</v>
      </c>
      <c r="AJ95" s="54">
        <f>IFERROR(__xludf.DUMMYFUNCTION("IFERROR(
  VLOOKUP(
    A95,
    IMPORTRANGE(
      ""1SCYQd7_cobOYqT0r_F0IqD4tE4rYn5y8Eup4PJTH8es"",
      ""Snapshot!A:M""
    ),
    13,
    FALSE
  ),
  0
)
"),2.0)</f>
        <v>2</v>
      </c>
      <c r="AK95" s="49">
        <f t="shared" ref="AK95:AL95" si="470">LEN(C95)</f>
        <v>66</v>
      </c>
      <c r="AL95" s="49">
        <f t="shared" si="470"/>
        <v>55</v>
      </c>
    </row>
    <row r="96">
      <c r="A96" s="56" t="s">
        <v>1314</v>
      </c>
      <c r="B96" s="1" t="str">
        <f>IFERROR(__xludf.DUMMYFUNCTION("IFERROR(
  VLOOKUP(
    A96,
    IMPORTRANGE(
      ""1ZygntHC1J6IxzKbTidmOyf5nUyW4GCLurHCjexrLm_o"",
      ""HTMLキャッシュ!A:F""
    ),
    2,
    FALSE
  ),
  0
)
"),"MC")</f>
        <v>MC</v>
      </c>
      <c r="C96" s="1" t="str">
        <f>IFERROR(__xludf.DUMMYFUNCTION("IFERROR(
  VLOOKUP(
    A96,
    IMPORTRANGE(
      ""1ZygntHC1J6IxzKbTidmOyf5nUyW4GCLurHCjexrLm_o"",
      ""HTMLキャッシュ!A:F""
    ),
    5,
    FALSE
  ),
  0
)
"),"天気図が苦手→観測→前線→風→天気の順で整理し、設問処理に落とす - 中学受験 理科の個別指導 | 受験理科専門塾「しゅん吉クエスト」")</f>
        <v>天気図が苦手→観測→前線→風→天気の順で整理し、設問処理に落とす - 中学受験 理科の個別指導 | 受験理科専門塾「しゅん吉クエスト」</v>
      </c>
      <c r="D96" s="1" t="str">
        <f>IFERROR(__xludf.DUMMYFUNCTION("IFERROR(
  VLOOKUP(
    A96,
    IMPORTRANGE(
      ""1ZygntHC1J6IxzKbTidmOyf5nUyW4GCLurHCjexrLm_o        "",
      ""HTMLキャッシュ!A:F""
    ),
    6,
    FALSE
  ),
  0
)
"),"中学受験理科／地学 テーマ：天気図が「読めない」を止める（悩み起点） 悩み起点 観測→前線→風→天気 設問を解")</f>
        <v>中学受験理科／地学 テーマ：天気図が「読めない」を止める（悩み起点） 悩み起点 観測→前線→風→天気 設問を解</v>
      </c>
      <c r="E96" s="32">
        <f>IFERROR(__xludf.DUMMYFUNCTION("IFERROR(
  VLOOKUP(
    A96,
    IMPORTRANGE(
      ""1ZygntHC1J6IxzKbTidmOyf5nUyW4GCLurHCjexrLm_o        "",
      ""HTMLキャッシュ!A:F""
    ),
    3,
    FALSE
  ),
  0
)
"),46081.11111111111)</f>
        <v>46081.11111</v>
      </c>
      <c r="F96" s="49">
        <f>IFERROR(__xludf.DUMMYFUNCTION("IFERROR(
  VLOOKUP(
    A96,
    IMPORTRANGE(
      ""1ZHMy3vVUd_0MrSduXTe1etBb1HNpAlGwQr006ljwMiM"",
      ""GSC最新!A:F""
    ),
    2,
    FALSE
  ),
  0
)
"),0.0)</f>
        <v>0</v>
      </c>
      <c r="G96" s="49">
        <f>IFERROR(__xludf.DUMMYFUNCTION("IFERROR(
  VLOOKUP(
    A96,
    IMPORTRANGE(
      ""1ZHMy3vVUd_0MrSduXTe1etBb1HNpAlGwQr006ljwMiM"",
      ""GSC最新!A:F""
    ),
    3,
    FALSE
  ),
  0
)
"),0.0)</f>
        <v>0</v>
      </c>
      <c r="H96" s="49">
        <f>IFERROR(__xludf.DUMMYFUNCTION("IFERROR(
  VLOOKUP(
    A96,
    IMPORTRANGE(
      ""1ZHMy3vVUd_0MrSduXTe1etBb1HNpAlGwQr006ljwMiM"",
      ""GSC最新!A:F""
    ),
    4,
    FALSE
  ),
  0
)
"),0.0)</f>
        <v>0</v>
      </c>
      <c r="I96" s="49">
        <f>IFERROR(__xludf.DUMMYFUNCTION("IFERROR(
  VLOOKUP(
    A96,
    IMPORTRANGE(
      ""1ZHMy3vVUd_0MrSduXTe1etBb1HNpAlGwQr006ljwMiM"",
      ""GSC最新!A:F""
    ),
    5,
    FALSE
  ),
  0
)
"),0.0)</f>
        <v>0</v>
      </c>
      <c r="J96" s="50" t="str">
        <f t="shared" ref="J96:K96" si="471">IFERROR(F96/H96,"-")</f>
        <v>-</v>
      </c>
      <c r="K96" s="50" t="str">
        <f t="shared" si="471"/>
        <v>-</v>
      </c>
      <c r="L96" s="6">
        <f>IFERROR(__xludf.DUMMYFUNCTION("IFERROR(
  VLOOKUP(
    A96,
    IMPORTRANGE(
      ""1ZHMy3vVUd_0MrSduXTe1etBb1HNpAlGwQr006ljwMiM"",
      ""GSC最新!A:R""
    ),
    7,
    FALSE
  ),
  0
)
"),0.0)</f>
        <v>0</v>
      </c>
      <c r="M96" s="6">
        <f>IFERROR(__xludf.DUMMYFUNCTION("IFERROR(
  VLOOKUP(
    A96,
    IMPORTRANGE(
      ""1ZHMy3vVUd_0MrSduXTe1etBb1HNpAlGwQr006ljwMiM"",
      ""GSC最新!A:R""
    ),
    10,
    FALSE
  ),
  0
)
"),0.0)</f>
        <v>0</v>
      </c>
      <c r="N96" s="6">
        <f>IFERROR(__xludf.DUMMYFUNCTION("IFERROR(
  VLOOKUP(
    A96,
    IMPORTRANGE(
      ""1ZHMy3vVUd_0MrSduXTe1etBb1HNpAlGwQr006ljwMiM"",
      ""GSC最新!A:R""
    ),
    13,
    FALSE
  ),
  0
)
"),0.0)</f>
        <v>0</v>
      </c>
      <c r="O96" s="6">
        <f>IFERROR(__xludf.DUMMYFUNCTION("IFERROR(
  VLOOKUP(
    A96,
    IMPORTRANGE(
      ""1ZHMy3vVUd_0MrSduXTe1etBb1HNpAlGwQr006ljwMiM"",
      ""GSC最新!A:R""
    ),
    16,
    FALSE
  ),
  0
)
"),0.0)</f>
        <v>0</v>
      </c>
      <c r="P96" s="51" t="str">
        <f t="shared" ref="P96:Q96" si="472">IFERROR(L96/N96,"-")</f>
        <v>-</v>
      </c>
      <c r="Q96" s="51" t="str">
        <f t="shared" si="472"/>
        <v>-</v>
      </c>
      <c r="R96" s="9">
        <f>IFERROR(__xludf.DUMMYFUNCTION("IFERROR(
  VLOOKUP(
    A96,
    IMPORTRANGE(
      ""1ZHMy3vVUd_0MrSduXTe1etBb1HNpAlGwQr006ljwMiM"",
      ""GSC最新!A:R""
    ),
    8,
    FALSE
  ),
  0
)
"),0.0)</f>
        <v>0</v>
      </c>
      <c r="S96" s="9">
        <f>IFERROR(__xludf.DUMMYFUNCTION("IFERROR(
  VLOOKUP(
    A96,
    IMPORTRANGE(
      ""1ZHMy3vVUd_0MrSduXTe1etBb1HNpAlGwQr006ljwMiM"",
      ""GSC最新!A:R""
    ),
    11,
    FALSE
  ),
  0
)
"),0.0)</f>
        <v>0</v>
      </c>
      <c r="T96" s="9">
        <f>IFERROR(__xludf.DUMMYFUNCTION("IFERROR(
  VLOOKUP(
    A96,
    IMPORTRANGE(
      ""1ZHMy3vVUd_0MrSduXTe1etBb1HNpAlGwQr006ljwMiM"",
      ""GSC最新!A:R""
    ),
    14,
    FALSE
  ),
  0
)
"),0.0)</f>
        <v>0</v>
      </c>
      <c r="U96" s="9">
        <f>IFERROR(__xludf.DUMMYFUNCTION("IFERROR(
  VLOOKUP(
    A96,
    IMPORTRANGE(
      ""1ZHMy3vVUd_0MrSduXTe1etBb1HNpAlGwQr006ljwMiM"",
      ""GSC最新!A:R""
    ),
    17,
    FALSE
  ),
  0
)
"),0.0)</f>
        <v>0</v>
      </c>
      <c r="V96" s="9">
        <f t="shared" ref="V96:W96" si="473">IFERROR(R96-T96,"-")</f>
        <v>0</v>
      </c>
      <c r="W96" s="9">
        <f t="shared" si="473"/>
        <v>0</v>
      </c>
      <c r="X96" s="65" t="str">
        <f>IFERROR(__xludf.DUMMYFUNCTION("IFERROR(
  VLOOKUP(
    A96,
    IMPORTRANGE(
      ""1ZHMy3vVUd_0MrSduXTe1etBb1HNpAlGwQr006ljwMiM"",
      ""GSC最新!A:R""
    ),
    9,
    FALSE
  ),
  0
)
"),"")</f>
        <v/>
      </c>
      <c r="Y96" s="65" t="str">
        <f>IFERROR(__xludf.DUMMYFUNCTION("IFERROR(
  VLOOKUP(
    A96,
    IMPORTRANGE(
      ""1ZHMy3vVUd_0MrSduXTe1etBb1HNpAlGwQr006ljwMiM"",
      ""GSC最新!A:R""
    ),
    12,
    FALSE
  ),
  0
)
"),"")</f>
        <v/>
      </c>
      <c r="Z96" s="65" t="str">
        <f>IFERROR(__xludf.DUMMYFUNCTION("IFERROR(
  VLOOKUP(
    A96,
    IMPORTRANGE(
      ""1ZHMy3vVUd_0MrSduXTe1etBb1HNpAlGwQr006ljwMiM"",
      ""GSC最新!A:R""
    ),
    15,
    FALSE
  ),
  0
)
"),"")</f>
        <v/>
      </c>
      <c r="AA96" s="65" t="str">
        <f>IFERROR(__xludf.DUMMYFUNCTION("IFERROR(
  VLOOKUP(
    A96,
    IMPORTRANGE(
      ""1ZHMy3vVUd_0MrSduXTe1etBb1HNpAlGwQr006ljwMiM"",
      ""GSC最新!A:R""
    ),
    18,
    FALSE
  ),
  0
)
"),"")</f>
        <v/>
      </c>
      <c r="AB96" s="65">
        <f t="shared" ref="AB96:AC96" si="474">X96-Z96</f>
        <v>0</v>
      </c>
      <c r="AC96" s="65">
        <f t="shared" si="474"/>
        <v>0</v>
      </c>
      <c r="AD96" s="53">
        <f>IFERROR(__xludf.DUMMYFUNCTION("IFERROR(
  VLOOKUP(
    A96,
    IMPORTRANGE(
      ""1ZHMy3vVUd_0MrSduXTe1etBb1HNpAlGwQr006ljwMiM"",
      ""GSC最新!A:F""
    ),
    6,
    FALSE
  ),
  0
)
"),46081.0)</f>
        <v>46081</v>
      </c>
      <c r="AE96" s="54">
        <f>IFERROR(__xludf.DUMMYFUNCTION("IFERROR(
  VLOOKUP(
    A96,
    IMPORTRANGE(
      ""1SCYQd7_cobOYqT0r_F0IqD4tE4rYn5y8Eup4PJTH8es"",
      ""Snapshot!A:M""
    ),
    5,
    FALSE
  ),
  ""-""
)
"),7.0)</f>
        <v>7</v>
      </c>
      <c r="AF96" s="54">
        <f>IFERROR(__xludf.DUMMYFUNCTION("IFERROR(
  VLOOKUP(
    A96,
    IMPORTRANGE(
      ""1SCYQd7_cobOYqT0r_F0IqD4tE4rYn5y8Eup4PJTH8es"",
      ""Snapshot!A:M""
    ),
    6,
    FALSE
  ),
  0
)
"),10.0)</f>
        <v>10</v>
      </c>
      <c r="AG96" s="54">
        <f>IFERROR(__xludf.DUMMYFUNCTION("IFERROR(
  VLOOKUP(
    A96,
    IMPORTRANGE(
      ""1SCYQd7_cobOYqT0r_F0IqD4tE4rYn5y8Eup4PJTH8es"",
      ""Snapshot!A:M""
    ),
    7,
    FALSE
  ),
  0
)
"),3924.0)</f>
        <v>3924</v>
      </c>
      <c r="AH96" s="54">
        <f>IFERROR(__xludf.DUMMYFUNCTION("IFERROR(
  VLOOKUP(
    A96,
    IMPORTRANGE(
      ""1SCYQd7_cobOYqT0r_F0IqD4tE4rYn5y8Eup4PJTH8es"",
      ""Snapshot!A:M""
    ),
    8,
    FALSE
  ),
  0
)
"),8.0)</f>
        <v>8</v>
      </c>
      <c r="AI96" s="54">
        <f>IFERROR(__xludf.DUMMYFUNCTION("IFERROR(
  VLOOKUP(
    A96,
    IMPORTRANGE(
      ""1SCYQd7_cobOYqT0r_F0IqD4tE4rYn5y8Eup4PJTH8es"",
      ""Snapshot!A:M""
    ),
    9,
    FALSE
  ),
  0
)
"),1.0)</f>
        <v>1</v>
      </c>
      <c r="AJ96" s="54">
        <f>IFERROR(__xludf.DUMMYFUNCTION("IFERROR(
  VLOOKUP(
    A96,
    IMPORTRANGE(
      ""1SCYQd7_cobOYqT0r_F0IqD4tE4rYn5y8Eup4PJTH8es"",
      ""Snapshot!A:M""
    ),
    13,
    FALSE
  ),
  0
)
"),2.0)</f>
        <v>2</v>
      </c>
      <c r="AK96" s="49">
        <f t="shared" ref="AK96:AL96" si="475">LEN(C96)</f>
        <v>67</v>
      </c>
      <c r="AL96" s="49">
        <f t="shared" si="475"/>
        <v>55</v>
      </c>
    </row>
    <row r="97">
      <c r="A97" s="3" t="s">
        <v>1315</v>
      </c>
      <c r="B97" s="1" t="str">
        <f>IFERROR(__xludf.DUMMYFUNCTION("IFERROR(
  VLOOKUP(
    A97,
    IMPORTRANGE(
      ""1ZygntHC1J6IxzKbTidmOyf5nUyW4GCLurHCjexrLm_o"",
      ""HTMLキャッシュ!A:F""
    ),
    2,
    FALSE
  ),
  0
)
"),"MC")</f>
        <v>MC</v>
      </c>
      <c r="C97" s="1" t="str">
        <f>IFERROR(__xludf.DUMMYFUNCTION("IFERROR(
  VLOOKUP(
    A97,
    IMPORTRANGE(
      ""1ZygntHC1J6IxzKbTidmOyf5nUyW4GCLurHCjexrLm_o"",
      ""HTMLキャッシュ!A:F""
    ),
    5,
    FALSE
  ),
  0
)
"),"中学受験理科の悩みを「原因→手順」でほどく総合案内（物理・化学・生物・地学） - 中学受験 理科の個別指導 | 受験理科専門塾「しゅん吉クエスト」")</f>
        <v>中学受験理科の悩みを「原因→手順」でほどく総合案内（物理・化学・生物・地学） - 中学受験 理科の個別指導 | 受験理科専門塾「しゅん吉クエスト」</v>
      </c>
      <c r="D97" s="1" t="str">
        <f>IFERROR(__xludf.DUMMYFUNCTION("IFERROR(
  VLOOKUP(
    A97,
    IMPORTRANGE(
      ""1ZygntHC1J6IxzKbTidmOyf5nUyW4GCLurHCjexrLm_o        "",
      ""HTMLキャッシュ!A:F""
    ),
    6,
    FALSE
  ),
  0
)
"),"中学受験理科の悩みを「原因分析と解決への道筋」でほどく総合案内（物理・化学・生物・地学） 理科が伸びないときは")</f>
        <v>中学受験理科の悩みを「原因分析と解決への道筋」でほどく総合案内（物理・化学・生物・地学） 理科が伸びないときは</v>
      </c>
      <c r="E97" s="32">
        <f>IFERROR(__xludf.DUMMYFUNCTION("IFERROR(
  VLOOKUP(
    A97,
    IMPORTRANGE(
      ""1ZygntHC1J6IxzKbTidmOyf5nUyW4GCLurHCjexrLm_o        "",
      ""HTMLキャッシュ!A:F""
    ),
    3,
    FALSE
  ),
  0
)
"),46081.15023148148)</f>
        <v>46081.15023</v>
      </c>
      <c r="F97" s="49">
        <f>IFERROR(__xludf.DUMMYFUNCTION("IFERROR(
  VLOOKUP(
    A97,
    IMPORTRANGE(
      ""1ZHMy3vVUd_0MrSduXTe1etBb1HNpAlGwQr006ljwMiM"",
      ""GSC最新!A:F""
    ),
    2,
    FALSE
  ),
  0
)
"),0.0)</f>
        <v>0</v>
      </c>
      <c r="G97" s="49">
        <f>IFERROR(__xludf.DUMMYFUNCTION("IFERROR(
  VLOOKUP(
    A97,
    IMPORTRANGE(
      ""1ZHMy3vVUd_0MrSduXTe1etBb1HNpAlGwQr006ljwMiM"",
      ""GSC最新!A:F""
    ),
    3,
    FALSE
  ),
  0
)
"),0.0)</f>
        <v>0</v>
      </c>
      <c r="H97" s="49">
        <f>IFERROR(__xludf.DUMMYFUNCTION("IFERROR(
  VLOOKUP(
    A97,
    IMPORTRANGE(
      ""1ZHMy3vVUd_0MrSduXTe1etBb1HNpAlGwQr006ljwMiM"",
      ""GSC最新!A:F""
    ),
    4,
    FALSE
  ),
  0
)
"),0.0)</f>
        <v>0</v>
      </c>
      <c r="I97" s="49">
        <f>IFERROR(__xludf.DUMMYFUNCTION("IFERROR(
  VLOOKUP(
    A97,
    IMPORTRANGE(
      ""1ZHMy3vVUd_0MrSduXTe1etBb1HNpAlGwQr006ljwMiM"",
      ""GSC最新!A:F""
    ),
    5,
    FALSE
  ),
  0
)
"),0.0)</f>
        <v>0</v>
      </c>
      <c r="J97" s="50" t="str">
        <f t="shared" ref="J97:K97" si="476">IFERROR(F97/H97,"-")</f>
        <v>-</v>
      </c>
      <c r="K97" s="50" t="str">
        <f t="shared" si="476"/>
        <v>-</v>
      </c>
      <c r="L97" s="6">
        <f>IFERROR(__xludf.DUMMYFUNCTION("IFERROR(
  VLOOKUP(
    A97,
    IMPORTRANGE(
      ""1ZHMy3vVUd_0MrSduXTe1etBb1HNpAlGwQr006ljwMiM"",
      ""GSC最新!A:R""
    ),
    7,
    FALSE
  ),
  0
)
"),0.0)</f>
        <v>0</v>
      </c>
      <c r="M97" s="6">
        <f>IFERROR(__xludf.DUMMYFUNCTION("IFERROR(
  VLOOKUP(
    A97,
    IMPORTRANGE(
      ""1ZHMy3vVUd_0MrSduXTe1etBb1HNpAlGwQr006ljwMiM"",
      ""GSC最新!A:R""
    ),
    10,
    FALSE
  ),
  0
)
"),0.0)</f>
        <v>0</v>
      </c>
      <c r="N97" s="6">
        <f>IFERROR(__xludf.DUMMYFUNCTION("IFERROR(
  VLOOKUP(
    A97,
    IMPORTRANGE(
      ""1ZHMy3vVUd_0MrSduXTe1etBb1HNpAlGwQr006ljwMiM"",
      ""GSC最新!A:R""
    ),
    13,
    FALSE
  ),
  0
)
"),0.0)</f>
        <v>0</v>
      </c>
      <c r="O97" s="6">
        <f>IFERROR(__xludf.DUMMYFUNCTION("IFERROR(
  VLOOKUP(
    A97,
    IMPORTRANGE(
      ""1ZHMy3vVUd_0MrSduXTe1etBb1HNpAlGwQr006ljwMiM"",
      ""GSC最新!A:R""
    ),
    16,
    FALSE
  ),
  0
)
"),0.0)</f>
        <v>0</v>
      </c>
      <c r="P97" s="51" t="str">
        <f t="shared" ref="P97:Q97" si="477">IFERROR(L97/N97,"-")</f>
        <v>-</v>
      </c>
      <c r="Q97" s="51" t="str">
        <f t="shared" si="477"/>
        <v>-</v>
      </c>
      <c r="R97" s="9">
        <f>IFERROR(__xludf.DUMMYFUNCTION("IFERROR(
  VLOOKUP(
    A97,
    IMPORTRANGE(
      ""1ZHMy3vVUd_0MrSduXTe1etBb1HNpAlGwQr006ljwMiM"",
      ""GSC最新!A:R""
    ),
    8,
    FALSE
  ),
  0
)
"),0.0)</f>
        <v>0</v>
      </c>
      <c r="S97" s="9">
        <f>IFERROR(__xludf.DUMMYFUNCTION("IFERROR(
  VLOOKUP(
    A97,
    IMPORTRANGE(
      ""1ZHMy3vVUd_0MrSduXTe1etBb1HNpAlGwQr006ljwMiM"",
      ""GSC最新!A:R""
    ),
    11,
    FALSE
  ),
  0
)
"),0.0)</f>
        <v>0</v>
      </c>
      <c r="T97" s="9">
        <f>IFERROR(__xludf.DUMMYFUNCTION("IFERROR(
  VLOOKUP(
    A97,
    IMPORTRANGE(
      ""1ZHMy3vVUd_0MrSduXTe1etBb1HNpAlGwQr006ljwMiM"",
      ""GSC最新!A:R""
    ),
    14,
    FALSE
  ),
  0
)
"),0.0)</f>
        <v>0</v>
      </c>
      <c r="U97" s="9">
        <f>IFERROR(__xludf.DUMMYFUNCTION("IFERROR(
  VLOOKUP(
    A97,
    IMPORTRANGE(
      ""1ZHMy3vVUd_0MrSduXTe1etBb1HNpAlGwQr006ljwMiM"",
      ""GSC最新!A:R""
    ),
    17,
    FALSE
  ),
  0
)
"),0.0)</f>
        <v>0</v>
      </c>
      <c r="V97" s="9">
        <f t="shared" ref="V97:W97" si="478">IFERROR(R97-T97,"-")</f>
        <v>0</v>
      </c>
      <c r="W97" s="9">
        <f t="shared" si="478"/>
        <v>0</v>
      </c>
      <c r="X97" s="65" t="str">
        <f>IFERROR(__xludf.DUMMYFUNCTION("IFERROR(
  VLOOKUP(
    A97,
    IMPORTRANGE(
      ""1ZHMy3vVUd_0MrSduXTe1etBb1HNpAlGwQr006ljwMiM"",
      ""GSC最新!A:R""
    ),
    9,
    FALSE
  ),
  0
)
"),"")</f>
        <v/>
      </c>
      <c r="Y97" s="65" t="str">
        <f>IFERROR(__xludf.DUMMYFUNCTION("IFERROR(
  VLOOKUP(
    A97,
    IMPORTRANGE(
      ""1ZHMy3vVUd_0MrSduXTe1etBb1HNpAlGwQr006ljwMiM"",
      ""GSC最新!A:R""
    ),
    12,
    FALSE
  ),
  0
)
"),"")</f>
        <v/>
      </c>
      <c r="Z97" s="65" t="str">
        <f>IFERROR(__xludf.DUMMYFUNCTION("IFERROR(
  VLOOKUP(
    A97,
    IMPORTRANGE(
      ""1ZHMy3vVUd_0MrSduXTe1etBb1HNpAlGwQr006ljwMiM"",
      ""GSC最新!A:R""
    ),
    15,
    FALSE
  ),
  0
)
"),"")</f>
        <v/>
      </c>
      <c r="AA97" s="65" t="str">
        <f>IFERROR(__xludf.DUMMYFUNCTION("IFERROR(
  VLOOKUP(
    A97,
    IMPORTRANGE(
      ""1ZHMy3vVUd_0MrSduXTe1etBb1HNpAlGwQr006ljwMiM"",
      ""GSC最新!A:R""
    ),
    18,
    FALSE
  ),
  0
)
"),"")</f>
        <v/>
      </c>
      <c r="AB97" s="65">
        <f t="shared" ref="AB97:AC97" si="479">X97-Z97</f>
        <v>0</v>
      </c>
      <c r="AC97" s="65">
        <f t="shared" si="479"/>
        <v>0</v>
      </c>
      <c r="AD97" s="53">
        <f>IFERROR(__xludf.DUMMYFUNCTION("IFERROR(
  VLOOKUP(
    A97,
    IMPORTRANGE(
      ""1ZHMy3vVUd_0MrSduXTe1etBb1HNpAlGwQr006ljwMiM"",
      ""GSC最新!A:F""
    ),
    6,
    FALSE
  ),
  0
)
"),46081.0)</f>
        <v>46081</v>
      </c>
      <c r="AE97" s="54">
        <f>IFERROR(__xludf.DUMMYFUNCTION("IFERROR(
  VLOOKUP(
    A97,
    IMPORTRANGE(
      ""1SCYQd7_cobOYqT0r_F0IqD4tE4rYn5y8Eup4PJTH8es"",
      ""Snapshot!A:M""
    ),
    5,
    FALSE
  ),
  ""-""
)
"),6.0)</f>
        <v>6</v>
      </c>
      <c r="AF97" s="54">
        <f>IFERROR(__xludf.DUMMYFUNCTION("IFERROR(
  VLOOKUP(
    A97,
    IMPORTRANGE(
      ""1SCYQd7_cobOYqT0r_F0IqD4tE4rYn5y8Eup4PJTH8es"",
      ""Snapshot!A:M""
    ),
    6,
    FALSE
  ),
  0
)
"),5.0)</f>
        <v>5</v>
      </c>
      <c r="AG97" s="54">
        <f>IFERROR(__xludf.DUMMYFUNCTION("IFERROR(
  VLOOKUP(
    A97,
    IMPORTRANGE(
      ""1SCYQd7_cobOYqT0r_F0IqD4tE4rYn5y8Eup4PJTH8es"",
      ""Snapshot!A:M""
    ),
    7,
    FALSE
  ),
  0
)
"),3228.0)</f>
        <v>3228</v>
      </c>
      <c r="AH97" s="54">
        <f>IFERROR(__xludf.DUMMYFUNCTION("IFERROR(
  VLOOKUP(
    A97,
    IMPORTRANGE(
      ""1SCYQd7_cobOYqT0r_F0IqD4tE4rYn5y8Eup4PJTH8es"",
      ""Snapshot!A:M""
    ),
    8,
    FALSE
  ),
  0
)
"),21.0)</f>
        <v>21</v>
      </c>
      <c r="AI97" s="54">
        <f>IFERROR(__xludf.DUMMYFUNCTION("IFERROR(
  VLOOKUP(
    A97,
    IMPORTRANGE(
      ""1SCYQd7_cobOYqT0r_F0IqD4tE4rYn5y8Eup4PJTH8es"",
      ""Snapshot!A:M""
    ),
    9,
    FALSE
  ),
  0
)
"),6.0)</f>
        <v>6</v>
      </c>
      <c r="AJ97" s="54">
        <f>IFERROR(__xludf.DUMMYFUNCTION("IFERROR(
  VLOOKUP(
    A97,
    IMPORTRANGE(
      ""1SCYQd7_cobOYqT0r_F0IqD4tE4rYn5y8Eup4PJTH8es"",
      ""Snapshot!A:M""
    ),
    13,
    FALSE
  ),
  0
)
"),2.0)</f>
        <v>2</v>
      </c>
      <c r="AK97" s="49">
        <f t="shared" ref="AK97:AL97" si="480">LEN(C97)</f>
        <v>73</v>
      </c>
      <c r="AL97" s="49">
        <f t="shared" si="480"/>
        <v>55</v>
      </c>
    </row>
    <row r="98">
      <c r="A98" s="1" t="s">
        <v>1316</v>
      </c>
      <c r="B98" s="1" t="str">
        <f>IFERROR(__xludf.DUMMYFUNCTION("IFERROR(
  VLOOKUP(
    A98,
    IMPORTRANGE(
      ""1ZygntHC1J6IxzKbTidmOyf5nUyW4GCLurHCjexrLm_o"",
      ""HTMLキャッシュ!A:F""
    ),
    2,
    FALSE
  ),
  0
)
"),"NW")</f>
        <v>NW</v>
      </c>
      <c r="C98" s="1" t="str">
        <f>IFERROR(__xludf.DUMMYFUNCTION("IFERROR(
  VLOOKUP(
    A98,
    IMPORTRANGE(
      ""1ZygntHC1J6IxzKbTidmOyf5nUyW4GCLurHCjexrLm_o"",
      ""HTMLキャッシュ!A:F""
    ),
    5,
    FALSE
  ),
  0
)
"),"2024年度春期講習開催のお知らせ - 中学受験 理科の個別指導 | 受験理科専門塾「しゅん吉クエスト」")</f>
        <v>2024年度春期講習開催のお知らせ - 中学受験 理科の個別指導 | 受験理科専門塾「しゅん吉クエスト」</v>
      </c>
      <c r="D98" s="1" t="str">
        <f>IFERROR(__xludf.DUMMYFUNCTION("IFERROR(
  VLOOKUP(
    A98,
    IMPORTRANGE(
      ""1ZygntHC1J6IxzKbTidmOyf5nUyW4GCLurHCjexrLm_o        "",
      ""HTMLキャッシュ!A:F""
    ),
    6,
    FALSE
  ),
  0
)
"),"春休みは、短いながらも日頃の積み残しを消化するのに最適なタイミングです。 当塾では、この春休みを有意義に過ごし")</f>
        <v>春休みは、短いながらも日頃の積み残しを消化するのに最適なタイミングです。 当塾では、この春休みを有意義に過ごし</v>
      </c>
      <c r="E98" s="32">
        <f>IFERROR(__xludf.DUMMYFUNCTION("IFERROR(
  VLOOKUP(
    A98,
    IMPORTRANGE(
      ""1ZygntHC1J6IxzKbTidmOyf5nUyW4GCLurHCjexrLm_o        "",
      ""HTMLキャッシュ!A:F""
    ),
    3,
    FALSE
  ),
  0
)
"),45600.129641203705)</f>
        <v>45600.12964</v>
      </c>
      <c r="F98" s="49">
        <f>IFERROR(__xludf.DUMMYFUNCTION("IFERROR(
  VLOOKUP(
    A98,
    IMPORTRANGE(
      ""1ZHMy3vVUd_0MrSduXTe1etBb1HNpAlGwQr006ljwMiM"",
      ""GSC最新!A:F""
    ),
    2,
    FALSE
  ),
  0
)
"),0.0)</f>
        <v>0</v>
      </c>
      <c r="G98" s="49">
        <f>IFERROR(__xludf.DUMMYFUNCTION("IFERROR(
  VLOOKUP(
    A98,
    IMPORTRANGE(
      ""1ZHMy3vVUd_0MrSduXTe1etBb1HNpAlGwQr006ljwMiM"",
      ""GSC最新!A:F""
    ),
    3,
    FALSE
  ),
  0
)
"),0.0)</f>
        <v>0</v>
      </c>
      <c r="H98" s="49">
        <f>IFERROR(__xludf.DUMMYFUNCTION("IFERROR(
  VLOOKUP(
    A98,
    IMPORTRANGE(
      ""1ZHMy3vVUd_0MrSduXTe1etBb1HNpAlGwQr006ljwMiM"",
      ""GSC最新!A:F""
    ),
    4,
    FALSE
  ),
  0
)
"),0.0)</f>
        <v>0</v>
      </c>
      <c r="I98" s="49">
        <f>IFERROR(__xludf.DUMMYFUNCTION("IFERROR(
  VLOOKUP(
    A98,
    IMPORTRANGE(
      ""1ZHMy3vVUd_0MrSduXTe1etBb1HNpAlGwQr006ljwMiM"",
      ""GSC最新!A:F""
    ),
    5,
    FALSE
  ),
  0
)
"),1.0)</f>
        <v>1</v>
      </c>
      <c r="J98" s="50" t="str">
        <f t="shared" ref="J98:K98" si="481">IFERROR(F98/H98,"-")</f>
        <v>-</v>
      </c>
      <c r="K98" s="50">
        <f t="shared" si="481"/>
        <v>0</v>
      </c>
      <c r="L98" s="6">
        <f>IFERROR(__xludf.DUMMYFUNCTION("IFERROR(
  VLOOKUP(
    A98,
    IMPORTRANGE(
      ""1ZHMy3vVUd_0MrSduXTe1etBb1HNpAlGwQr006ljwMiM"",
      ""GSC最新!A:R""
    ),
    7,
    FALSE
  ),
  0
)
"),0.0)</f>
        <v>0</v>
      </c>
      <c r="M98" s="6">
        <f>IFERROR(__xludf.DUMMYFUNCTION("IFERROR(
  VLOOKUP(
    A98,
    IMPORTRANGE(
      ""1ZHMy3vVUd_0MrSduXTe1etBb1HNpAlGwQr006ljwMiM"",
      ""GSC最新!A:R""
    ),
    10,
    FALSE
  ),
  0
)
"),0.0)</f>
        <v>0</v>
      </c>
      <c r="N98" s="6">
        <f>IFERROR(__xludf.DUMMYFUNCTION("IFERROR(
  VLOOKUP(
    A98,
    IMPORTRANGE(
      ""1ZHMy3vVUd_0MrSduXTe1etBb1HNpAlGwQr006ljwMiM"",
      ""GSC最新!A:R""
    ),
    13,
    FALSE
  ),
  0
)
"),7.0)</f>
        <v>7</v>
      </c>
      <c r="O98" s="6">
        <f>IFERROR(__xludf.DUMMYFUNCTION("IFERROR(
  VLOOKUP(
    A98,
    IMPORTRANGE(
      ""1ZHMy3vVUd_0MrSduXTe1etBb1HNpAlGwQr006ljwMiM"",
      ""GSC最新!A:R""
    ),
    16,
    FALSE
  ),
  0
)
"),15.0)</f>
        <v>15</v>
      </c>
      <c r="P98" s="51">
        <f t="shared" ref="P98:Q98" si="482">IFERROR(L98/N98,"-")</f>
        <v>0</v>
      </c>
      <c r="Q98" s="51">
        <f t="shared" si="482"/>
        <v>0</v>
      </c>
      <c r="R98" s="9">
        <f>IFERROR(__xludf.DUMMYFUNCTION("IFERROR(
  VLOOKUP(
    A98,
    IMPORTRANGE(
      ""1ZHMy3vVUd_0MrSduXTe1etBb1HNpAlGwQr006ljwMiM"",
      ""GSC最新!A:R""
    ),
    8,
    FALSE
  ),
  0
)
"),0.0)</f>
        <v>0</v>
      </c>
      <c r="S98" s="9">
        <f>IFERROR(__xludf.DUMMYFUNCTION("IFERROR(
  VLOOKUP(
    A98,
    IMPORTRANGE(
      ""1ZHMy3vVUd_0MrSduXTe1etBb1HNpAlGwQr006ljwMiM"",
      ""GSC最新!A:R""
    ),
    11,
    FALSE
  ),
  0
)
"),0.0)</f>
        <v>0</v>
      </c>
      <c r="T98" s="9">
        <f>IFERROR(__xludf.DUMMYFUNCTION("IFERROR(
  VLOOKUP(
    A98,
    IMPORTRANGE(
      ""1ZHMy3vVUd_0MrSduXTe1etBb1HNpAlGwQr006ljwMiM"",
      ""GSC最新!A:R""
    ),
    14,
    FALSE
  ),
  0
)
"),0.0)</f>
        <v>0</v>
      </c>
      <c r="U98" s="9">
        <f>IFERROR(__xludf.DUMMYFUNCTION("IFERROR(
  VLOOKUP(
    A98,
    IMPORTRANGE(
      ""1ZHMy3vVUd_0MrSduXTe1etBb1HNpAlGwQr006ljwMiM"",
      ""GSC最新!A:R""
    ),
    17,
    FALSE
  ),
  0
)
"),0.06666666666666667)</f>
        <v>0.06666666667</v>
      </c>
      <c r="V98" s="9">
        <f t="shared" ref="V98:W98" si="483">IFERROR(R98-T98,"-")</f>
        <v>0</v>
      </c>
      <c r="W98" s="9">
        <f t="shared" si="483"/>
        <v>-0.06666666667</v>
      </c>
      <c r="X98" s="65" t="str">
        <f>IFERROR(__xludf.DUMMYFUNCTION("IFERROR(
  VLOOKUP(
    A98,
    IMPORTRANGE(
      ""1ZHMy3vVUd_0MrSduXTe1etBb1HNpAlGwQr006ljwMiM"",
      ""GSC最新!A:R""
    ),
    9,
    FALSE
  ),
  0
)
"),"")</f>
        <v/>
      </c>
      <c r="Y98" s="65" t="str">
        <f>IFERROR(__xludf.DUMMYFUNCTION("IFERROR(
  VLOOKUP(
    A98,
    IMPORTRANGE(
      ""1ZHMy3vVUd_0MrSduXTe1etBb1HNpAlGwQr006ljwMiM"",
      ""GSC最新!A:R""
    ),
    12,
    FALSE
  ),
  0
)
"),"")</f>
        <v/>
      </c>
      <c r="Z98" s="65">
        <f>IFERROR(__xludf.DUMMYFUNCTION("IFERROR(
  VLOOKUP(
    A98,
    IMPORTRANGE(
      ""1ZHMy3vVUd_0MrSduXTe1etBb1HNpAlGwQr006ljwMiM"",
      ""GSC最新!A:R""
    ),
    15,
    FALSE
  ),
  0
)
"),50.0)</f>
        <v>50</v>
      </c>
      <c r="AA98" s="65">
        <f>IFERROR(__xludf.DUMMYFUNCTION("IFERROR(
  VLOOKUP(
    A98,
    IMPORTRANGE(
      ""1ZHMy3vVUd_0MrSduXTe1etBb1HNpAlGwQr006ljwMiM"",
      ""GSC最新!A:R""
    ),
    18,
    FALSE
  ),
  0
)
"),40.46666666666667)</f>
        <v>40.46666667</v>
      </c>
      <c r="AB98" s="65">
        <f t="shared" ref="AB98:AC98" si="484">X98-Z98</f>
        <v>-50</v>
      </c>
      <c r="AC98" s="65">
        <f t="shared" si="484"/>
        <v>-40.46666667</v>
      </c>
      <c r="AD98" s="53">
        <f>IFERROR(__xludf.DUMMYFUNCTION("IFERROR(
  VLOOKUP(
    A98,
    IMPORTRANGE(
      ""1ZHMy3vVUd_0MrSduXTe1etBb1HNpAlGwQr006ljwMiM"",
      ""GSC最新!A:F""
    ),
    6,
    FALSE
  ),
  0
)
"),46081.0)</f>
        <v>46081</v>
      </c>
      <c r="AE98" s="54">
        <f>IFERROR(__xludf.DUMMYFUNCTION("IFERROR(
  VLOOKUP(
    A98,
    IMPORTRANGE(
      ""1SCYQd7_cobOYqT0r_F0IqD4tE4rYn5y8Eup4PJTH8es"",
      ""Snapshot!A:M""
    ),
    5,
    FALSE
  ),
  ""-""
)
"),0.0)</f>
        <v>0</v>
      </c>
      <c r="AF98" s="54">
        <f>IFERROR(__xludf.DUMMYFUNCTION("IFERROR(
  VLOOKUP(
    A98,
    IMPORTRANGE(
      ""1SCYQd7_cobOYqT0r_F0IqD4tE4rYn5y8Eup4PJTH8es"",
      ""Snapshot!A:M""
    ),
    6,
    FALSE
  ),
  0
)
"),0.0)</f>
        <v>0</v>
      </c>
      <c r="AG98" s="54">
        <f>IFERROR(__xludf.DUMMYFUNCTION("IFERROR(
  VLOOKUP(
    A98,
    IMPORTRANGE(
      ""1SCYQd7_cobOYqT0r_F0IqD4tE4rYn5y8Eup4PJTH8es"",
      ""Snapshot!A:M""
    ),
    7,
    FALSE
  ),
  0
)
"),523.0)</f>
        <v>523</v>
      </c>
      <c r="AH98" s="54">
        <f>IFERROR(__xludf.DUMMYFUNCTION("IFERROR(
  VLOOKUP(
    A98,
    IMPORTRANGE(
      ""1SCYQd7_cobOYqT0r_F0IqD4tE4rYn5y8Eup4PJTH8es"",
      ""Snapshot!A:M""
    ),
    8,
    FALSE
  ),
  0
)
"),3.0)</f>
        <v>3</v>
      </c>
      <c r="AI98" s="54">
        <f>IFERROR(__xludf.DUMMYFUNCTION("IFERROR(
  VLOOKUP(
    A98,
    IMPORTRANGE(
      ""1SCYQd7_cobOYqT0r_F0IqD4tE4rYn5y8Eup4PJTH8es"",
      ""Snapshot!A:M""
    ),
    9,
    FALSE
  ),
  0
)
"),0.0)</f>
        <v>0</v>
      </c>
      <c r="AJ98" s="54">
        <f>IFERROR(__xludf.DUMMYFUNCTION("IFERROR(
  VLOOKUP(
    A98,
    IMPORTRANGE(
      ""1SCYQd7_cobOYqT0r_F0IqD4tE4rYn5y8Eup4PJTH8es"",
      ""Snapshot!A:M""
    ),
    13,
    FALSE
  ),
  0
)
"),2.0)</f>
        <v>2</v>
      </c>
      <c r="AK98" s="49">
        <f t="shared" ref="AK98:AL98" si="485">LEN(C98)</f>
        <v>52</v>
      </c>
      <c r="AL98" s="49">
        <f t="shared" si="485"/>
        <v>55</v>
      </c>
    </row>
    <row r="99">
      <c r="D99" s="55"/>
      <c r="I99" s="67"/>
      <c r="J99" s="51"/>
      <c r="K99" s="51"/>
    </row>
    <row r="100">
      <c r="D100" s="55"/>
      <c r="I100" s="67"/>
      <c r="J100" s="51"/>
      <c r="K100" s="51"/>
    </row>
    <row r="101">
      <c r="D101" s="55"/>
      <c r="I101" s="67"/>
      <c r="J101" s="51"/>
      <c r="K101" s="51"/>
    </row>
    <row r="102">
      <c r="D102" s="55"/>
      <c r="I102" s="67"/>
      <c r="J102" s="51"/>
      <c r="K102" s="51"/>
    </row>
    <row r="103">
      <c r="D103" s="55"/>
      <c r="I103" s="67"/>
      <c r="J103" s="51"/>
      <c r="K103" s="51"/>
    </row>
    <row r="104">
      <c r="D104" s="55"/>
      <c r="I104" s="67"/>
      <c r="J104" s="51"/>
      <c r="K104" s="51"/>
    </row>
    <row r="105">
      <c r="D105" s="55"/>
      <c r="I105" s="67"/>
      <c r="J105" s="51"/>
      <c r="K105" s="51"/>
    </row>
    <row r="106">
      <c r="D106" s="55"/>
      <c r="I106" s="67"/>
      <c r="J106" s="51"/>
      <c r="K106" s="51"/>
    </row>
    <row r="107">
      <c r="D107" s="55"/>
      <c r="I107" s="67"/>
      <c r="J107" s="51"/>
      <c r="K107" s="51"/>
    </row>
    <row r="108">
      <c r="D108" s="55"/>
      <c r="I108" s="67"/>
      <c r="J108" s="51"/>
      <c r="K108" s="51"/>
    </row>
    <row r="109">
      <c r="D109" s="55"/>
      <c r="I109" s="67"/>
      <c r="J109" s="51"/>
      <c r="K109" s="51"/>
    </row>
    <row r="110">
      <c r="D110" s="55"/>
      <c r="I110" s="67"/>
      <c r="J110" s="51"/>
      <c r="K110" s="51"/>
    </row>
    <row r="111">
      <c r="D111" s="55"/>
      <c r="I111" s="67"/>
      <c r="J111" s="51"/>
      <c r="K111" s="51"/>
    </row>
    <row r="112">
      <c r="D112" s="55"/>
      <c r="I112" s="67"/>
      <c r="J112" s="51"/>
      <c r="K112" s="51"/>
    </row>
    <row r="113">
      <c r="D113" s="55"/>
      <c r="I113" s="67"/>
      <c r="J113" s="51"/>
      <c r="K113" s="51"/>
    </row>
    <row r="114">
      <c r="D114" s="55"/>
      <c r="I114" s="67"/>
      <c r="J114" s="51"/>
      <c r="K114" s="51"/>
    </row>
    <row r="115">
      <c r="D115" s="55"/>
      <c r="I115" s="67"/>
      <c r="J115" s="51"/>
      <c r="K115" s="51"/>
    </row>
    <row r="116">
      <c r="D116" s="55"/>
      <c r="I116" s="67"/>
      <c r="J116" s="51"/>
      <c r="K116" s="51"/>
    </row>
    <row r="117">
      <c r="D117" s="55"/>
      <c r="I117" s="67"/>
      <c r="J117" s="51"/>
      <c r="K117" s="51"/>
    </row>
    <row r="118">
      <c r="D118" s="55"/>
      <c r="I118" s="67"/>
      <c r="J118" s="51"/>
      <c r="K118" s="51"/>
    </row>
    <row r="119">
      <c r="D119" s="55"/>
      <c r="I119" s="67"/>
      <c r="J119" s="51"/>
      <c r="K119" s="51"/>
    </row>
    <row r="120">
      <c r="D120" s="55"/>
      <c r="I120" s="67"/>
      <c r="J120" s="51"/>
      <c r="K120" s="51"/>
    </row>
    <row r="121">
      <c r="D121" s="55"/>
      <c r="I121" s="67"/>
      <c r="J121" s="51"/>
      <c r="K121" s="51"/>
    </row>
    <row r="122">
      <c r="D122" s="55"/>
      <c r="I122" s="67"/>
      <c r="J122" s="51"/>
      <c r="K122" s="51"/>
    </row>
    <row r="123">
      <c r="D123" s="55"/>
      <c r="I123" s="67"/>
      <c r="J123" s="51"/>
      <c r="K123" s="51"/>
    </row>
    <row r="124">
      <c r="D124" s="55"/>
      <c r="I124" s="67"/>
      <c r="J124" s="51"/>
      <c r="K124" s="51"/>
    </row>
    <row r="125">
      <c r="D125" s="55"/>
      <c r="I125" s="67"/>
      <c r="J125" s="51"/>
      <c r="K125" s="51"/>
    </row>
    <row r="126">
      <c r="D126" s="55"/>
      <c r="I126" s="67"/>
      <c r="J126" s="51"/>
      <c r="K126" s="51"/>
    </row>
    <row r="127">
      <c r="D127" s="55"/>
      <c r="I127" s="67"/>
      <c r="J127" s="51"/>
      <c r="K127" s="51"/>
    </row>
    <row r="128">
      <c r="D128" s="55"/>
      <c r="I128" s="67"/>
      <c r="J128" s="51"/>
      <c r="K128" s="51"/>
    </row>
    <row r="129">
      <c r="D129" s="55"/>
      <c r="I129" s="67"/>
      <c r="J129" s="51"/>
      <c r="K129" s="51"/>
    </row>
    <row r="130">
      <c r="D130" s="55"/>
      <c r="I130" s="67"/>
      <c r="J130" s="51"/>
      <c r="K130" s="51"/>
    </row>
    <row r="131">
      <c r="D131" s="55"/>
      <c r="I131" s="67"/>
      <c r="J131" s="51"/>
      <c r="K131" s="51"/>
    </row>
    <row r="132">
      <c r="D132" s="55"/>
      <c r="I132" s="67"/>
      <c r="J132" s="51"/>
      <c r="K132" s="51"/>
    </row>
    <row r="133">
      <c r="D133" s="55"/>
      <c r="I133" s="67"/>
      <c r="J133" s="51"/>
      <c r="K133" s="51"/>
    </row>
    <row r="134">
      <c r="D134" s="55"/>
      <c r="I134" s="67"/>
      <c r="J134" s="51"/>
      <c r="K134" s="51"/>
    </row>
    <row r="135">
      <c r="D135" s="55"/>
      <c r="I135" s="67"/>
      <c r="J135" s="51"/>
      <c r="K135" s="51"/>
    </row>
    <row r="136">
      <c r="D136" s="55"/>
      <c r="I136" s="67"/>
      <c r="J136" s="51"/>
      <c r="K136" s="51"/>
    </row>
    <row r="137">
      <c r="D137" s="55"/>
      <c r="I137" s="67"/>
      <c r="J137" s="51"/>
      <c r="K137" s="51"/>
    </row>
    <row r="138">
      <c r="D138" s="55"/>
      <c r="I138" s="67"/>
      <c r="J138" s="51"/>
      <c r="K138" s="51"/>
    </row>
    <row r="139">
      <c r="D139" s="55"/>
      <c r="I139" s="67"/>
      <c r="J139" s="51"/>
      <c r="K139" s="51"/>
    </row>
    <row r="140">
      <c r="D140" s="55"/>
      <c r="I140" s="67"/>
      <c r="J140" s="51"/>
      <c r="K140" s="51"/>
    </row>
    <row r="141">
      <c r="D141" s="55"/>
      <c r="I141" s="67"/>
      <c r="J141" s="51"/>
      <c r="K141" s="51"/>
    </row>
    <row r="142">
      <c r="D142" s="55"/>
      <c r="I142" s="67"/>
      <c r="J142" s="51"/>
      <c r="K142" s="51"/>
    </row>
    <row r="143">
      <c r="D143" s="55"/>
      <c r="I143" s="67"/>
      <c r="J143" s="51"/>
      <c r="K143" s="51"/>
    </row>
    <row r="144">
      <c r="D144" s="55"/>
      <c r="I144" s="67"/>
      <c r="J144" s="51"/>
      <c r="K144" s="51"/>
    </row>
    <row r="145">
      <c r="D145" s="55"/>
      <c r="I145" s="67"/>
      <c r="J145" s="51"/>
      <c r="K145" s="51"/>
    </row>
    <row r="146">
      <c r="D146" s="55"/>
      <c r="I146" s="67"/>
      <c r="J146" s="51"/>
      <c r="K146" s="51"/>
    </row>
    <row r="147">
      <c r="D147" s="55"/>
      <c r="I147" s="67"/>
      <c r="J147" s="51"/>
      <c r="K147" s="51"/>
    </row>
    <row r="148">
      <c r="D148" s="55"/>
      <c r="I148" s="67"/>
      <c r="J148" s="51"/>
      <c r="K148" s="51"/>
    </row>
    <row r="149">
      <c r="D149" s="55"/>
      <c r="I149" s="67"/>
      <c r="J149" s="51"/>
      <c r="K149" s="51"/>
    </row>
    <row r="150">
      <c r="D150" s="55"/>
      <c r="I150" s="67"/>
      <c r="J150" s="51"/>
      <c r="K150" s="51"/>
    </row>
    <row r="151">
      <c r="D151" s="55"/>
      <c r="I151" s="67"/>
      <c r="J151" s="51"/>
      <c r="K151" s="51"/>
    </row>
    <row r="152">
      <c r="D152" s="55"/>
      <c r="I152" s="67"/>
      <c r="J152" s="51"/>
      <c r="K152" s="51"/>
    </row>
    <row r="153">
      <c r="D153" s="55"/>
      <c r="I153" s="67"/>
      <c r="J153" s="51"/>
      <c r="K153" s="51"/>
    </row>
    <row r="154">
      <c r="D154" s="55"/>
      <c r="I154" s="67"/>
      <c r="J154" s="51"/>
      <c r="K154" s="51"/>
    </row>
    <row r="155">
      <c r="D155" s="55"/>
      <c r="I155" s="67"/>
      <c r="J155" s="51"/>
      <c r="K155" s="51"/>
    </row>
    <row r="156">
      <c r="D156" s="55"/>
      <c r="I156" s="67"/>
      <c r="J156" s="51"/>
      <c r="K156" s="51"/>
    </row>
    <row r="157">
      <c r="D157" s="55"/>
      <c r="I157" s="67"/>
      <c r="J157" s="51"/>
      <c r="K157" s="51"/>
    </row>
    <row r="158">
      <c r="D158" s="55"/>
      <c r="I158" s="67"/>
      <c r="J158" s="51"/>
      <c r="K158" s="51"/>
    </row>
    <row r="159">
      <c r="D159" s="55"/>
      <c r="I159" s="67"/>
      <c r="J159" s="51"/>
      <c r="K159" s="51"/>
    </row>
    <row r="160">
      <c r="D160" s="55"/>
      <c r="I160" s="67"/>
      <c r="J160" s="51"/>
      <c r="K160" s="51"/>
    </row>
    <row r="161">
      <c r="D161" s="55"/>
      <c r="I161" s="67"/>
      <c r="J161" s="51"/>
      <c r="K161" s="51"/>
    </row>
    <row r="162">
      <c r="D162" s="55"/>
      <c r="I162" s="67"/>
      <c r="J162" s="51"/>
      <c r="K162" s="51"/>
    </row>
    <row r="163">
      <c r="D163" s="55"/>
      <c r="I163" s="67"/>
      <c r="J163" s="51"/>
      <c r="K163" s="51"/>
    </row>
    <row r="164">
      <c r="D164" s="55"/>
      <c r="I164" s="67"/>
      <c r="J164" s="51"/>
      <c r="K164" s="51"/>
    </row>
    <row r="165">
      <c r="D165" s="55"/>
      <c r="I165" s="67"/>
      <c r="J165" s="51"/>
      <c r="K165" s="51"/>
    </row>
    <row r="166">
      <c r="D166" s="55"/>
      <c r="I166" s="67"/>
      <c r="J166" s="51"/>
      <c r="K166" s="51"/>
    </row>
    <row r="167">
      <c r="D167" s="55"/>
      <c r="I167" s="67"/>
      <c r="J167" s="51"/>
      <c r="K167" s="51"/>
    </row>
    <row r="168">
      <c r="D168" s="55"/>
      <c r="I168" s="67"/>
      <c r="J168" s="51"/>
      <c r="K168" s="51"/>
    </row>
    <row r="169">
      <c r="D169" s="55"/>
      <c r="I169" s="67"/>
      <c r="J169" s="51"/>
      <c r="K169" s="51"/>
    </row>
    <row r="170">
      <c r="D170" s="55"/>
      <c r="I170" s="67"/>
      <c r="J170" s="51"/>
      <c r="K170" s="51"/>
    </row>
    <row r="171">
      <c r="D171" s="55"/>
      <c r="I171" s="67"/>
      <c r="J171" s="51"/>
      <c r="K171" s="51"/>
    </row>
    <row r="172">
      <c r="D172" s="55"/>
      <c r="I172" s="67"/>
      <c r="J172" s="51"/>
      <c r="K172" s="51"/>
    </row>
    <row r="173">
      <c r="D173" s="55"/>
      <c r="I173" s="67"/>
      <c r="J173" s="51"/>
      <c r="K173" s="51"/>
    </row>
    <row r="174">
      <c r="D174" s="55"/>
      <c r="I174" s="67"/>
      <c r="J174" s="51"/>
      <c r="K174" s="51"/>
    </row>
    <row r="175">
      <c r="D175" s="55"/>
      <c r="I175" s="67"/>
      <c r="J175" s="51"/>
      <c r="K175" s="51"/>
    </row>
    <row r="176">
      <c r="D176" s="55"/>
      <c r="I176" s="67"/>
      <c r="J176" s="51"/>
      <c r="K176" s="51"/>
    </row>
    <row r="177">
      <c r="D177" s="55"/>
      <c r="I177" s="67"/>
      <c r="J177" s="51"/>
      <c r="K177" s="51"/>
    </row>
    <row r="178">
      <c r="D178" s="55"/>
      <c r="I178" s="67"/>
      <c r="J178" s="51"/>
      <c r="K178" s="51"/>
    </row>
    <row r="179">
      <c r="D179" s="55"/>
      <c r="I179" s="67"/>
      <c r="J179" s="51"/>
      <c r="K179" s="51"/>
    </row>
    <row r="180">
      <c r="D180" s="55"/>
      <c r="I180" s="67"/>
      <c r="J180" s="51"/>
      <c r="K180" s="51"/>
    </row>
    <row r="181">
      <c r="D181" s="55"/>
      <c r="I181" s="67"/>
      <c r="J181" s="51"/>
      <c r="K181" s="51"/>
    </row>
    <row r="182">
      <c r="D182" s="55"/>
      <c r="I182" s="67"/>
      <c r="J182" s="51"/>
      <c r="K182" s="51"/>
    </row>
    <row r="183">
      <c r="D183" s="55"/>
      <c r="I183" s="67"/>
      <c r="J183" s="51"/>
      <c r="K183" s="51"/>
    </row>
    <row r="184">
      <c r="D184" s="55"/>
      <c r="I184" s="67"/>
      <c r="J184" s="51"/>
      <c r="K184" s="51"/>
    </row>
    <row r="185">
      <c r="D185" s="55"/>
      <c r="I185" s="67"/>
      <c r="J185" s="51"/>
      <c r="K185" s="51"/>
    </row>
    <row r="186">
      <c r="D186" s="55"/>
      <c r="I186" s="67"/>
      <c r="J186" s="51"/>
      <c r="K186" s="51"/>
    </row>
    <row r="187">
      <c r="D187" s="55"/>
      <c r="I187" s="67"/>
      <c r="J187" s="51"/>
      <c r="K187" s="51"/>
    </row>
    <row r="188">
      <c r="D188" s="55"/>
      <c r="I188" s="67"/>
      <c r="J188" s="51"/>
      <c r="K188" s="51"/>
    </row>
    <row r="189">
      <c r="D189" s="55"/>
      <c r="I189" s="67"/>
      <c r="J189" s="51"/>
      <c r="K189" s="51"/>
    </row>
    <row r="190">
      <c r="D190" s="55"/>
      <c r="I190" s="67"/>
      <c r="J190" s="51"/>
      <c r="K190" s="51"/>
    </row>
    <row r="191">
      <c r="D191" s="55"/>
      <c r="I191" s="67"/>
      <c r="J191" s="51"/>
      <c r="K191" s="51"/>
    </row>
    <row r="192">
      <c r="D192" s="55"/>
      <c r="I192" s="67"/>
      <c r="J192" s="51"/>
      <c r="K192" s="51"/>
    </row>
    <row r="193">
      <c r="D193" s="55"/>
      <c r="I193" s="67"/>
      <c r="J193" s="51"/>
      <c r="K193" s="51"/>
    </row>
    <row r="194">
      <c r="D194" s="55"/>
      <c r="I194" s="67"/>
      <c r="J194" s="51"/>
      <c r="K194" s="51"/>
    </row>
    <row r="195">
      <c r="D195" s="55"/>
      <c r="I195" s="67"/>
      <c r="J195" s="51"/>
      <c r="K195" s="51"/>
    </row>
    <row r="196">
      <c r="D196" s="55"/>
      <c r="I196" s="67"/>
      <c r="J196" s="51"/>
      <c r="K196" s="51"/>
    </row>
    <row r="197">
      <c r="D197" s="55"/>
      <c r="I197" s="67"/>
      <c r="J197" s="51"/>
      <c r="K197" s="51"/>
    </row>
    <row r="198">
      <c r="D198" s="55"/>
      <c r="I198" s="67"/>
      <c r="J198" s="51"/>
      <c r="K198" s="51"/>
    </row>
    <row r="199">
      <c r="D199" s="55"/>
      <c r="I199" s="67"/>
      <c r="J199" s="51"/>
      <c r="K199" s="51"/>
    </row>
    <row r="200">
      <c r="D200" s="55"/>
      <c r="I200" s="67"/>
      <c r="J200" s="51"/>
      <c r="K200" s="51"/>
    </row>
    <row r="201">
      <c r="D201" s="55"/>
      <c r="I201" s="67"/>
      <c r="J201" s="51"/>
      <c r="K201" s="51"/>
    </row>
    <row r="202">
      <c r="D202" s="55"/>
      <c r="I202" s="67"/>
      <c r="J202" s="51"/>
      <c r="K202" s="51"/>
    </row>
    <row r="203">
      <c r="D203" s="55"/>
      <c r="I203" s="67"/>
      <c r="J203" s="51"/>
      <c r="K203" s="51"/>
    </row>
    <row r="204">
      <c r="D204" s="55"/>
      <c r="I204" s="67"/>
      <c r="J204" s="51"/>
      <c r="K204" s="51"/>
    </row>
    <row r="205">
      <c r="D205" s="55"/>
      <c r="I205" s="67"/>
      <c r="J205" s="51"/>
      <c r="K205" s="51"/>
    </row>
    <row r="206">
      <c r="D206" s="55"/>
      <c r="I206" s="67"/>
      <c r="J206" s="51"/>
      <c r="K206" s="51"/>
    </row>
    <row r="207">
      <c r="D207" s="55"/>
      <c r="I207" s="67"/>
      <c r="J207" s="51"/>
      <c r="K207" s="51"/>
    </row>
    <row r="208">
      <c r="D208" s="55"/>
      <c r="I208" s="67"/>
      <c r="J208" s="51"/>
      <c r="K208" s="51"/>
    </row>
    <row r="209">
      <c r="D209" s="55"/>
      <c r="I209" s="67"/>
      <c r="J209" s="51"/>
      <c r="K209" s="51"/>
    </row>
    <row r="210">
      <c r="D210" s="55"/>
      <c r="I210" s="67"/>
      <c r="J210" s="51"/>
      <c r="K210" s="51"/>
    </row>
    <row r="211">
      <c r="D211" s="55"/>
      <c r="I211" s="67"/>
      <c r="J211" s="51"/>
      <c r="K211" s="51"/>
    </row>
    <row r="212">
      <c r="D212" s="55"/>
      <c r="I212" s="67"/>
      <c r="J212" s="51"/>
      <c r="K212" s="51"/>
    </row>
    <row r="213">
      <c r="D213" s="55"/>
      <c r="I213" s="67"/>
      <c r="J213" s="51"/>
      <c r="K213" s="51"/>
    </row>
    <row r="214">
      <c r="D214" s="55"/>
      <c r="I214" s="67"/>
      <c r="J214" s="51"/>
      <c r="K214" s="51"/>
    </row>
    <row r="215">
      <c r="D215" s="55"/>
      <c r="I215" s="67"/>
      <c r="J215" s="51"/>
      <c r="K215" s="51"/>
    </row>
    <row r="216">
      <c r="D216" s="55"/>
      <c r="I216" s="67"/>
      <c r="J216" s="51"/>
      <c r="K216" s="51"/>
    </row>
    <row r="217">
      <c r="D217" s="55"/>
      <c r="I217" s="67"/>
      <c r="J217" s="51"/>
      <c r="K217" s="51"/>
    </row>
    <row r="218">
      <c r="D218" s="55"/>
      <c r="I218" s="67"/>
      <c r="J218" s="51"/>
      <c r="K218" s="51"/>
    </row>
    <row r="219">
      <c r="D219" s="55"/>
      <c r="I219" s="67"/>
      <c r="J219" s="51"/>
      <c r="K219" s="51"/>
    </row>
    <row r="220">
      <c r="D220" s="55"/>
      <c r="I220" s="67"/>
      <c r="J220" s="51"/>
      <c r="K220" s="51"/>
    </row>
    <row r="221">
      <c r="D221" s="55"/>
      <c r="I221" s="67"/>
      <c r="J221" s="51"/>
      <c r="K221" s="51"/>
    </row>
    <row r="222">
      <c r="D222" s="55"/>
      <c r="I222" s="67"/>
      <c r="J222" s="51"/>
      <c r="K222" s="51"/>
    </row>
    <row r="223">
      <c r="D223" s="55"/>
      <c r="I223" s="67"/>
      <c r="J223" s="51"/>
      <c r="K223" s="51"/>
    </row>
    <row r="224">
      <c r="D224" s="55"/>
      <c r="I224" s="67"/>
      <c r="J224" s="51"/>
      <c r="K224" s="51"/>
    </row>
    <row r="225">
      <c r="D225" s="55"/>
      <c r="I225" s="67"/>
      <c r="J225" s="51"/>
      <c r="K225" s="51"/>
    </row>
    <row r="226">
      <c r="D226" s="55"/>
      <c r="I226" s="67"/>
      <c r="J226" s="51"/>
      <c r="K226" s="51"/>
    </row>
    <row r="227">
      <c r="D227" s="55"/>
      <c r="I227" s="67"/>
      <c r="J227" s="51"/>
      <c r="K227" s="51"/>
    </row>
    <row r="228">
      <c r="D228" s="55"/>
      <c r="I228" s="67"/>
      <c r="J228" s="51"/>
      <c r="K228" s="51"/>
    </row>
    <row r="229">
      <c r="D229" s="55"/>
      <c r="I229" s="67"/>
      <c r="J229" s="51"/>
      <c r="K229" s="51"/>
    </row>
    <row r="230">
      <c r="D230" s="55"/>
      <c r="I230" s="67"/>
      <c r="J230" s="51"/>
      <c r="K230" s="51"/>
    </row>
    <row r="231">
      <c r="D231" s="55"/>
      <c r="I231" s="67"/>
      <c r="J231" s="51"/>
      <c r="K231" s="51"/>
    </row>
    <row r="232">
      <c r="D232" s="55"/>
      <c r="I232" s="67"/>
      <c r="J232" s="51"/>
      <c r="K232" s="51"/>
    </row>
    <row r="233">
      <c r="D233" s="55"/>
      <c r="I233" s="67"/>
      <c r="J233" s="51"/>
      <c r="K233" s="51"/>
    </row>
    <row r="234">
      <c r="D234" s="55"/>
      <c r="I234" s="67"/>
      <c r="J234" s="51"/>
      <c r="K234" s="51"/>
    </row>
    <row r="235">
      <c r="D235" s="55"/>
      <c r="I235" s="67"/>
      <c r="J235" s="51"/>
      <c r="K235" s="51"/>
    </row>
    <row r="236">
      <c r="D236" s="55"/>
      <c r="I236" s="67"/>
      <c r="J236" s="51"/>
      <c r="K236" s="51"/>
    </row>
    <row r="237">
      <c r="D237" s="55"/>
      <c r="I237" s="67"/>
      <c r="J237" s="51"/>
      <c r="K237" s="51"/>
    </row>
    <row r="238">
      <c r="D238" s="55"/>
      <c r="I238" s="67"/>
      <c r="J238" s="51"/>
      <c r="K238" s="51"/>
    </row>
    <row r="239">
      <c r="D239" s="55"/>
      <c r="I239" s="67"/>
      <c r="J239" s="51"/>
      <c r="K239" s="51"/>
    </row>
    <row r="240">
      <c r="D240" s="55"/>
      <c r="I240" s="67"/>
      <c r="J240" s="51"/>
      <c r="K240" s="51"/>
    </row>
    <row r="241">
      <c r="D241" s="55"/>
      <c r="I241" s="67"/>
      <c r="J241" s="51"/>
      <c r="K241" s="51"/>
    </row>
    <row r="242">
      <c r="D242" s="55"/>
      <c r="I242" s="67"/>
      <c r="J242" s="51"/>
      <c r="K242" s="51"/>
    </row>
    <row r="243">
      <c r="D243" s="55"/>
      <c r="I243" s="67"/>
      <c r="J243" s="51"/>
      <c r="K243" s="51"/>
    </row>
    <row r="244">
      <c r="D244" s="55"/>
      <c r="I244" s="67"/>
      <c r="J244" s="51"/>
      <c r="K244" s="51"/>
    </row>
    <row r="245">
      <c r="D245" s="55"/>
      <c r="I245" s="67"/>
      <c r="J245" s="51"/>
      <c r="K245" s="51"/>
    </row>
    <row r="246">
      <c r="D246" s="55"/>
      <c r="I246" s="67"/>
      <c r="J246" s="51"/>
      <c r="K246" s="51"/>
    </row>
    <row r="247">
      <c r="D247" s="55"/>
      <c r="I247" s="67"/>
      <c r="J247" s="51"/>
      <c r="K247" s="51"/>
    </row>
    <row r="248">
      <c r="D248" s="55"/>
      <c r="I248" s="67"/>
      <c r="J248" s="51"/>
      <c r="K248" s="51"/>
    </row>
    <row r="249">
      <c r="D249" s="55"/>
      <c r="I249" s="67"/>
      <c r="J249" s="51"/>
      <c r="K249" s="51"/>
    </row>
    <row r="250">
      <c r="D250" s="55"/>
      <c r="I250" s="67"/>
      <c r="J250" s="51"/>
      <c r="K250" s="51"/>
    </row>
    <row r="251">
      <c r="D251" s="55"/>
      <c r="I251" s="67"/>
      <c r="J251" s="51"/>
      <c r="K251" s="51"/>
    </row>
    <row r="252">
      <c r="D252" s="55"/>
      <c r="I252" s="67"/>
      <c r="J252" s="51"/>
      <c r="K252" s="51"/>
    </row>
    <row r="253">
      <c r="D253" s="55"/>
      <c r="I253" s="67"/>
      <c r="J253" s="51"/>
      <c r="K253" s="51"/>
    </row>
    <row r="254">
      <c r="D254" s="55"/>
      <c r="I254" s="67"/>
      <c r="J254" s="51"/>
      <c r="K254" s="51"/>
    </row>
    <row r="255">
      <c r="D255" s="55"/>
      <c r="I255" s="67"/>
      <c r="J255" s="51"/>
      <c r="K255" s="51"/>
    </row>
    <row r="256">
      <c r="D256" s="55"/>
      <c r="I256" s="67"/>
      <c r="J256" s="51"/>
      <c r="K256" s="51"/>
    </row>
    <row r="257">
      <c r="D257" s="55"/>
      <c r="I257" s="67"/>
      <c r="J257" s="51"/>
      <c r="K257" s="51"/>
    </row>
    <row r="258">
      <c r="D258" s="55"/>
      <c r="I258" s="67"/>
      <c r="J258" s="51"/>
      <c r="K258" s="51"/>
    </row>
    <row r="259">
      <c r="D259" s="55"/>
      <c r="I259" s="67"/>
      <c r="J259" s="51"/>
      <c r="K259" s="51"/>
    </row>
    <row r="260">
      <c r="D260" s="55"/>
      <c r="I260" s="67"/>
      <c r="J260" s="51"/>
      <c r="K260" s="51"/>
    </row>
    <row r="261">
      <c r="D261" s="55"/>
      <c r="I261" s="67"/>
      <c r="J261" s="51"/>
      <c r="K261" s="51"/>
    </row>
    <row r="262">
      <c r="D262" s="55"/>
      <c r="I262" s="67"/>
      <c r="J262" s="51"/>
      <c r="K262" s="51"/>
    </row>
    <row r="263">
      <c r="D263" s="55"/>
      <c r="I263" s="67"/>
      <c r="J263" s="51"/>
      <c r="K263" s="51"/>
    </row>
    <row r="264">
      <c r="D264" s="55"/>
      <c r="I264" s="67"/>
      <c r="J264" s="51"/>
      <c r="K264" s="51"/>
    </row>
    <row r="265">
      <c r="D265" s="55"/>
      <c r="I265" s="67"/>
      <c r="J265" s="51"/>
      <c r="K265" s="51"/>
    </row>
    <row r="266">
      <c r="D266" s="55"/>
      <c r="I266" s="67"/>
      <c r="J266" s="51"/>
      <c r="K266" s="51"/>
    </row>
    <row r="267">
      <c r="D267" s="55"/>
      <c r="I267" s="67"/>
      <c r="J267" s="51"/>
      <c r="K267" s="51"/>
    </row>
    <row r="268">
      <c r="D268" s="55"/>
      <c r="I268" s="67"/>
      <c r="J268" s="51"/>
      <c r="K268" s="51"/>
    </row>
    <row r="269">
      <c r="D269" s="55"/>
      <c r="I269" s="67"/>
      <c r="J269" s="51"/>
      <c r="K269" s="51"/>
    </row>
    <row r="270">
      <c r="D270" s="55"/>
      <c r="I270" s="67"/>
      <c r="J270" s="51"/>
      <c r="K270" s="51"/>
    </row>
    <row r="271">
      <c r="D271" s="55"/>
      <c r="I271" s="67"/>
      <c r="J271" s="51"/>
      <c r="K271" s="51"/>
    </row>
    <row r="272">
      <c r="D272" s="55"/>
      <c r="I272" s="67"/>
      <c r="J272" s="51"/>
      <c r="K272" s="51"/>
    </row>
    <row r="273">
      <c r="D273" s="55"/>
      <c r="I273" s="67"/>
      <c r="J273" s="51"/>
      <c r="K273" s="51"/>
    </row>
    <row r="274">
      <c r="D274" s="55"/>
      <c r="I274" s="67"/>
      <c r="J274" s="51"/>
      <c r="K274" s="51"/>
    </row>
    <row r="275">
      <c r="D275" s="55"/>
      <c r="I275" s="67"/>
      <c r="J275" s="51"/>
      <c r="K275" s="51"/>
    </row>
    <row r="276">
      <c r="D276" s="55"/>
      <c r="I276" s="67"/>
      <c r="J276" s="51"/>
      <c r="K276" s="51"/>
    </row>
    <row r="277">
      <c r="D277" s="55"/>
      <c r="I277" s="67"/>
      <c r="J277" s="51"/>
      <c r="K277" s="51"/>
    </row>
    <row r="278">
      <c r="D278" s="55"/>
      <c r="I278" s="67"/>
      <c r="J278" s="51"/>
      <c r="K278" s="51"/>
    </row>
    <row r="279">
      <c r="D279" s="55"/>
      <c r="I279" s="67"/>
      <c r="J279" s="51"/>
      <c r="K279" s="51"/>
    </row>
    <row r="280">
      <c r="D280" s="55"/>
      <c r="I280" s="67"/>
      <c r="J280" s="51"/>
      <c r="K280" s="51"/>
    </row>
    <row r="281">
      <c r="D281" s="55"/>
      <c r="I281" s="67"/>
      <c r="J281" s="51"/>
      <c r="K281" s="51"/>
    </row>
    <row r="282">
      <c r="D282" s="55"/>
      <c r="I282" s="67"/>
      <c r="J282" s="51"/>
      <c r="K282" s="51"/>
    </row>
    <row r="283">
      <c r="D283" s="55"/>
      <c r="I283" s="67"/>
      <c r="J283" s="51"/>
      <c r="K283" s="51"/>
    </row>
    <row r="284">
      <c r="D284" s="55"/>
      <c r="I284" s="67"/>
      <c r="J284" s="51"/>
      <c r="K284" s="51"/>
    </row>
    <row r="285">
      <c r="D285" s="55"/>
      <c r="I285" s="67"/>
      <c r="J285" s="51"/>
      <c r="K285" s="51"/>
    </row>
    <row r="286">
      <c r="D286" s="55"/>
      <c r="I286" s="67"/>
      <c r="J286" s="51"/>
      <c r="K286" s="51"/>
    </row>
    <row r="287">
      <c r="D287" s="55"/>
      <c r="I287" s="67"/>
      <c r="J287" s="51"/>
      <c r="K287" s="51"/>
    </row>
    <row r="288">
      <c r="D288" s="55"/>
      <c r="I288" s="67"/>
      <c r="J288" s="51"/>
      <c r="K288" s="51"/>
    </row>
    <row r="289">
      <c r="D289" s="55"/>
      <c r="I289" s="67"/>
      <c r="J289" s="51"/>
      <c r="K289" s="51"/>
    </row>
    <row r="290">
      <c r="D290" s="55"/>
      <c r="I290" s="67"/>
      <c r="J290" s="51"/>
      <c r="K290" s="51"/>
    </row>
    <row r="291">
      <c r="D291" s="55"/>
      <c r="I291" s="67"/>
      <c r="J291" s="51"/>
      <c r="K291" s="51"/>
    </row>
    <row r="292">
      <c r="D292" s="55"/>
      <c r="I292" s="67"/>
      <c r="J292" s="51"/>
      <c r="K292" s="51"/>
    </row>
    <row r="293">
      <c r="D293" s="55"/>
      <c r="I293" s="67"/>
      <c r="J293" s="51"/>
      <c r="K293" s="51"/>
    </row>
    <row r="294">
      <c r="D294" s="55"/>
      <c r="I294" s="67"/>
      <c r="J294" s="51"/>
      <c r="K294" s="51"/>
    </row>
    <row r="295">
      <c r="D295" s="55"/>
      <c r="I295" s="67"/>
      <c r="J295" s="51"/>
      <c r="K295" s="51"/>
    </row>
    <row r="296">
      <c r="D296" s="55"/>
      <c r="I296" s="67"/>
      <c r="J296" s="51"/>
      <c r="K296" s="51"/>
    </row>
    <row r="297">
      <c r="D297" s="55"/>
      <c r="I297" s="67"/>
      <c r="J297" s="51"/>
      <c r="K297" s="51"/>
    </row>
    <row r="298">
      <c r="D298" s="55"/>
      <c r="I298" s="67"/>
      <c r="J298" s="51"/>
      <c r="K298" s="51"/>
    </row>
    <row r="299">
      <c r="D299" s="55"/>
      <c r="I299" s="67"/>
      <c r="J299" s="51"/>
      <c r="K299" s="51"/>
    </row>
    <row r="300">
      <c r="D300" s="55"/>
      <c r="I300" s="67"/>
      <c r="J300" s="51"/>
      <c r="K300" s="51"/>
    </row>
    <row r="301">
      <c r="D301" s="55"/>
      <c r="I301" s="67"/>
      <c r="J301" s="51"/>
      <c r="K301" s="51"/>
    </row>
    <row r="302">
      <c r="D302" s="55"/>
      <c r="I302" s="67"/>
      <c r="J302" s="51"/>
      <c r="K302" s="51"/>
    </row>
    <row r="303">
      <c r="D303" s="55"/>
      <c r="I303" s="67"/>
      <c r="J303" s="51"/>
      <c r="K303" s="51"/>
    </row>
    <row r="304">
      <c r="D304" s="55"/>
      <c r="I304" s="67"/>
      <c r="J304" s="51"/>
      <c r="K304" s="51"/>
    </row>
    <row r="305">
      <c r="D305" s="55"/>
      <c r="I305" s="67"/>
      <c r="J305" s="51"/>
      <c r="K305" s="51"/>
    </row>
    <row r="306">
      <c r="D306" s="55"/>
      <c r="I306" s="67"/>
      <c r="J306" s="51"/>
      <c r="K306" s="51"/>
    </row>
    <row r="307">
      <c r="D307" s="55"/>
      <c r="I307" s="67"/>
      <c r="J307" s="51"/>
      <c r="K307" s="51"/>
    </row>
    <row r="308">
      <c r="D308" s="55"/>
      <c r="I308" s="67"/>
      <c r="J308" s="51"/>
      <c r="K308" s="51"/>
    </row>
    <row r="309">
      <c r="D309" s="55"/>
      <c r="I309" s="67"/>
      <c r="J309" s="51"/>
      <c r="K309" s="51"/>
    </row>
    <row r="310">
      <c r="D310" s="55"/>
      <c r="I310" s="67"/>
      <c r="J310" s="51"/>
      <c r="K310" s="51"/>
    </row>
    <row r="311">
      <c r="D311" s="55"/>
      <c r="I311" s="67"/>
      <c r="J311" s="51"/>
      <c r="K311" s="51"/>
    </row>
    <row r="312">
      <c r="D312" s="55"/>
      <c r="I312" s="67"/>
      <c r="J312" s="51"/>
      <c r="K312" s="51"/>
    </row>
    <row r="313">
      <c r="D313" s="55"/>
      <c r="I313" s="67"/>
      <c r="J313" s="51"/>
      <c r="K313" s="51"/>
    </row>
    <row r="314">
      <c r="D314" s="55"/>
      <c r="I314" s="67"/>
      <c r="J314" s="51"/>
      <c r="K314" s="51"/>
    </row>
    <row r="315">
      <c r="D315" s="55"/>
      <c r="I315" s="67"/>
      <c r="J315" s="51"/>
      <c r="K315" s="51"/>
    </row>
    <row r="316">
      <c r="D316" s="55"/>
      <c r="I316" s="67"/>
      <c r="J316" s="51"/>
      <c r="K316" s="51"/>
    </row>
    <row r="317">
      <c r="D317" s="55"/>
      <c r="I317" s="67"/>
      <c r="J317" s="51"/>
      <c r="K317" s="51"/>
    </row>
    <row r="318">
      <c r="D318" s="55"/>
      <c r="I318" s="67"/>
      <c r="J318" s="51"/>
      <c r="K318" s="51"/>
    </row>
    <row r="319">
      <c r="D319" s="55"/>
      <c r="I319" s="67"/>
      <c r="J319" s="51"/>
      <c r="K319" s="51"/>
    </row>
    <row r="320">
      <c r="D320" s="55"/>
      <c r="I320" s="67"/>
      <c r="J320" s="51"/>
      <c r="K320" s="51"/>
    </row>
    <row r="321">
      <c r="D321" s="55"/>
      <c r="I321" s="67"/>
      <c r="J321" s="51"/>
      <c r="K321" s="51"/>
    </row>
    <row r="322">
      <c r="D322" s="55"/>
      <c r="I322" s="67"/>
      <c r="J322" s="51"/>
      <c r="K322" s="51"/>
    </row>
    <row r="323">
      <c r="D323" s="55"/>
      <c r="I323" s="67"/>
      <c r="J323" s="51"/>
      <c r="K323" s="51"/>
    </row>
    <row r="324">
      <c r="D324" s="55"/>
      <c r="I324" s="67"/>
      <c r="J324" s="51"/>
      <c r="K324" s="51"/>
    </row>
    <row r="325">
      <c r="D325" s="55"/>
      <c r="I325" s="67"/>
      <c r="J325" s="51"/>
      <c r="K325" s="51"/>
    </row>
    <row r="326">
      <c r="D326" s="55"/>
      <c r="I326" s="67"/>
      <c r="J326" s="51"/>
      <c r="K326" s="51"/>
    </row>
    <row r="327">
      <c r="D327" s="55"/>
      <c r="I327" s="67"/>
      <c r="J327" s="51"/>
      <c r="K327" s="51"/>
    </row>
    <row r="328">
      <c r="D328" s="55"/>
      <c r="I328" s="67"/>
      <c r="J328" s="51"/>
      <c r="K328" s="51"/>
    </row>
    <row r="329">
      <c r="D329" s="55"/>
      <c r="I329" s="67"/>
      <c r="J329" s="51"/>
      <c r="K329" s="51"/>
    </row>
    <row r="330">
      <c r="D330" s="55"/>
      <c r="I330" s="67"/>
      <c r="J330" s="51"/>
      <c r="K330" s="51"/>
    </row>
    <row r="331">
      <c r="D331" s="55"/>
      <c r="I331" s="67"/>
      <c r="J331" s="51"/>
      <c r="K331" s="51"/>
    </row>
    <row r="332">
      <c r="D332" s="55"/>
      <c r="I332" s="67"/>
      <c r="J332" s="51"/>
      <c r="K332" s="51"/>
    </row>
    <row r="333">
      <c r="D333" s="55"/>
      <c r="I333" s="67"/>
      <c r="J333" s="51"/>
      <c r="K333" s="51"/>
    </row>
    <row r="334">
      <c r="D334" s="55"/>
      <c r="I334" s="67"/>
      <c r="J334" s="51"/>
      <c r="K334" s="51"/>
    </row>
    <row r="335">
      <c r="D335" s="55"/>
      <c r="I335" s="67"/>
      <c r="J335" s="51"/>
      <c r="K335" s="51"/>
    </row>
    <row r="336">
      <c r="D336" s="55"/>
      <c r="I336" s="67"/>
      <c r="J336" s="51"/>
      <c r="K336" s="51"/>
    </row>
    <row r="337">
      <c r="D337" s="55"/>
      <c r="I337" s="67"/>
      <c r="J337" s="51"/>
      <c r="K337" s="51"/>
    </row>
    <row r="338">
      <c r="D338" s="55"/>
      <c r="I338" s="67"/>
      <c r="J338" s="51"/>
      <c r="K338" s="51"/>
    </row>
    <row r="339">
      <c r="D339" s="55"/>
      <c r="I339" s="67"/>
      <c r="J339" s="51"/>
      <c r="K339" s="51"/>
    </row>
    <row r="340">
      <c r="D340" s="55"/>
      <c r="I340" s="67"/>
      <c r="J340" s="51"/>
      <c r="K340" s="51"/>
    </row>
    <row r="341">
      <c r="D341" s="55"/>
      <c r="I341" s="67"/>
      <c r="J341" s="51"/>
      <c r="K341" s="51"/>
    </row>
    <row r="342">
      <c r="D342" s="55"/>
      <c r="I342" s="67"/>
      <c r="J342" s="51"/>
      <c r="K342" s="51"/>
    </row>
    <row r="343">
      <c r="D343" s="55"/>
      <c r="I343" s="67"/>
      <c r="J343" s="51"/>
      <c r="K343" s="51"/>
    </row>
    <row r="344">
      <c r="D344" s="55"/>
      <c r="I344" s="67"/>
      <c r="J344" s="51"/>
      <c r="K344" s="51"/>
    </row>
    <row r="345">
      <c r="D345" s="55"/>
      <c r="I345" s="67"/>
      <c r="J345" s="51"/>
      <c r="K345" s="51"/>
    </row>
    <row r="346">
      <c r="D346" s="55"/>
      <c r="I346" s="67"/>
      <c r="J346" s="51"/>
      <c r="K346" s="51"/>
    </row>
    <row r="347">
      <c r="D347" s="55"/>
      <c r="I347" s="67"/>
      <c r="J347" s="51"/>
      <c r="K347" s="51"/>
    </row>
    <row r="348">
      <c r="D348" s="55"/>
      <c r="I348" s="67"/>
      <c r="J348" s="51"/>
      <c r="K348" s="51"/>
    </row>
    <row r="349">
      <c r="D349" s="55"/>
      <c r="I349" s="67"/>
      <c r="J349" s="51"/>
      <c r="K349" s="51"/>
    </row>
    <row r="350">
      <c r="D350" s="55"/>
      <c r="I350" s="67"/>
      <c r="J350" s="51"/>
      <c r="K350" s="51"/>
    </row>
    <row r="351">
      <c r="D351" s="55"/>
      <c r="I351" s="67"/>
      <c r="J351" s="51"/>
      <c r="K351" s="51"/>
    </row>
    <row r="352">
      <c r="D352" s="55"/>
      <c r="I352" s="67"/>
      <c r="J352" s="51"/>
      <c r="K352" s="51"/>
    </row>
    <row r="353">
      <c r="D353" s="55"/>
      <c r="I353" s="67"/>
      <c r="J353" s="51"/>
      <c r="K353" s="51"/>
    </row>
    <row r="354">
      <c r="D354" s="55"/>
      <c r="I354" s="67"/>
      <c r="J354" s="51"/>
      <c r="K354" s="51"/>
    </row>
    <row r="355">
      <c r="D355" s="55"/>
      <c r="I355" s="67"/>
      <c r="J355" s="51"/>
      <c r="K355" s="51"/>
    </row>
    <row r="356">
      <c r="D356" s="55"/>
      <c r="I356" s="67"/>
      <c r="J356" s="51"/>
      <c r="K356" s="51"/>
    </row>
    <row r="357">
      <c r="D357" s="55"/>
      <c r="I357" s="67"/>
      <c r="J357" s="51"/>
      <c r="K357" s="51"/>
    </row>
    <row r="358">
      <c r="D358" s="55"/>
      <c r="I358" s="67"/>
      <c r="J358" s="51"/>
      <c r="K358" s="51"/>
    </row>
    <row r="359">
      <c r="D359" s="55"/>
      <c r="I359" s="67"/>
      <c r="J359" s="51"/>
      <c r="K359" s="51"/>
    </row>
    <row r="360">
      <c r="D360" s="55"/>
      <c r="I360" s="67"/>
      <c r="J360" s="51"/>
      <c r="K360" s="51"/>
    </row>
    <row r="361">
      <c r="D361" s="55"/>
      <c r="I361" s="67"/>
      <c r="J361" s="51"/>
      <c r="K361" s="51"/>
    </row>
    <row r="362">
      <c r="D362" s="55"/>
      <c r="I362" s="67"/>
      <c r="J362" s="51"/>
      <c r="K362" s="51"/>
    </row>
    <row r="363">
      <c r="D363" s="55"/>
      <c r="I363" s="67"/>
      <c r="J363" s="51"/>
      <c r="K363" s="51"/>
    </row>
    <row r="364">
      <c r="D364" s="55"/>
      <c r="I364" s="67"/>
      <c r="J364" s="51"/>
      <c r="K364" s="51"/>
    </row>
    <row r="365">
      <c r="D365" s="55"/>
      <c r="I365" s="67"/>
      <c r="J365" s="51"/>
      <c r="K365" s="51"/>
    </row>
    <row r="366">
      <c r="D366" s="55"/>
      <c r="I366" s="67"/>
      <c r="J366" s="51"/>
      <c r="K366" s="51"/>
    </row>
    <row r="367">
      <c r="D367" s="55"/>
      <c r="I367" s="67"/>
      <c r="J367" s="51"/>
      <c r="K367" s="51"/>
    </row>
    <row r="368">
      <c r="D368" s="55"/>
      <c r="I368" s="67"/>
      <c r="J368" s="51"/>
      <c r="K368" s="51"/>
    </row>
    <row r="369">
      <c r="D369" s="55"/>
      <c r="I369" s="67"/>
      <c r="J369" s="51"/>
      <c r="K369" s="51"/>
    </row>
    <row r="370">
      <c r="D370" s="55"/>
      <c r="I370" s="67"/>
      <c r="J370" s="51"/>
      <c r="K370" s="51"/>
    </row>
    <row r="371">
      <c r="D371" s="55"/>
      <c r="I371" s="67"/>
      <c r="J371" s="51"/>
      <c r="K371" s="51"/>
    </row>
    <row r="372">
      <c r="D372" s="55"/>
      <c r="I372" s="67"/>
      <c r="J372" s="51"/>
      <c r="K372" s="51"/>
    </row>
    <row r="373">
      <c r="D373" s="55"/>
      <c r="I373" s="67"/>
      <c r="J373" s="51"/>
      <c r="K373" s="51"/>
    </row>
    <row r="374">
      <c r="D374" s="55"/>
      <c r="I374" s="67"/>
      <c r="J374" s="51"/>
      <c r="K374" s="51"/>
    </row>
    <row r="375">
      <c r="D375" s="55"/>
      <c r="I375" s="67"/>
      <c r="J375" s="51"/>
      <c r="K375" s="51"/>
    </row>
    <row r="376">
      <c r="D376" s="55"/>
      <c r="I376" s="67"/>
      <c r="J376" s="51"/>
      <c r="K376" s="51"/>
    </row>
    <row r="377">
      <c r="D377" s="55"/>
      <c r="I377" s="67"/>
      <c r="J377" s="51"/>
      <c r="K377" s="51"/>
    </row>
    <row r="378">
      <c r="D378" s="55"/>
      <c r="I378" s="67"/>
      <c r="J378" s="51"/>
      <c r="K378" s="51"/>
    </row>
    <row r="379">
      <c r="D379" s="55"/>
      <c r="I379" s="67"/>
      <c r="J379" s="51"/>
      <c r="K379" s="51"/>
    </row>
    <row r="380">
      <c r="D380" s="55"/>
      <c r="I380" s="67"/>
      <c r="J380" s="51"/>
      <c r="K380" s="51"/>
    </row>
    <row r="381">
      <c r="D381" s="55"/>
      <c r="I381" s="67"/>
      <c r="J381" s="51"/>
      <c r="K381" s="51"/>
    </row>
    <row r="382">
      <c r="D382" s="55"/>
      <c r="I382" s="67"/>
      <c r="J382" s="51"/>
      <c r="K382" s="51"/>
    </row>
    <row r="383">
      <c r="D383" s="55"/>
      <c r="I383" s="67"/>
      <c r="J383" s="51"/>
      <c r="K383" s="51"/>
    </row>
    <row r="384">
      <c r="D384" s="55"/>
      <c r="I384" s="67"/>
      <c r="J384" s="51"/>
      <c r="K384" s="51"/>
    </row>
    <row r="385">
      <c r="D385" s="55"/>
      <c r="I385" s="67"/>
      <c r="J385" s="51"/>
      <c r="K385" s="51"/>
    </row>
    <row r="386">
      <c r="D386" s="55"/>
      <c r="I386" s="67"/>
      <c r="J386" s="51"/>
      <c r="K386" s="51"/>
    </row>
    <row r="387">
      <c r="D387" s="55"/>
      <c r="I387" s="67"/>
      <c r="J387" s="51"/>
      <c r="K387" s="51"/>
    </row>
    <row r="388">
      <c r="D388" s="55"/>
      <c r="I388" s="67"/>
      <c r="J388" s="51"/>
      <c r="K388" s="51"/>
    </row>
    <row r="389">
      <c r="D389" s="55"/>
      <c r="I389" s="67"/>
      <c r="J389" s="51"/>
      <c r="K389" s="51"/>
    </row>
    <row r="390">
      <c r="D390" s="55"/>
      <c r="I390" s="67"/>
      <c r="J390" s="51"/>
      <c r="K390" s="51"/>
    </row>
    <row r="391">
      <c r="D391" s="55"/>
      <c r="I391" s="67"/>
      <c r="J391" s="51"/>
      <c r="K391" s="51"/>
    </row>
    <row r="392">
      <c r="D392" s="55"/>
      <c r="I392" s="67"/>
      <c r="J392" s="51"/>
      <c r="K392" s="51"/>
    </row>
    <row r="393">
      <c r="D393" s="55"/>
      <c r="I393" s="67"/>
      <c r="J393" s="51"/>
      <c r="K393" s="51"/>
    </row>
    <row r="394">
      <c r="D394" s="55"/>
      <c r="I394" s="67"/>
      <c r="J394" s="51"/>
      <c r="K394" s="51"/>
    </row>
    <row r="395">
      <c r="D395" s="55"/>
      <c r="I395" s="67"/>
      <c r="J395" s="51"/>
      <c r="K395" s="51"/>
    </row>
    <row r="396">
      <c r="D396" s="55"/>
      <c r="I396" s="67"/>
      <c r="J396" s="51"/>
      <c r="K396" s="51"/>
    </row>
    <row r="397">
      <c r="D397" s="55"/>
      <c r="I397" s="67"/>
      <c r="J397" s="51"/>
      <c r="K397" s="51"/>
    </row>
    <row r="398">
      <c r="D398" s="55"/>
      <c r="I398" s="67"/>
      <c r="J398" s="51"/>
      <c r="K398" s="51"/>
    </row>
    <row r="399">
      <c r="D399" s="55"/>
      <c r="I399" s="67"/>
      <c r="J399" s="51"/>
      <c r="K399" s="51"/>
    </row>
    <row r="400">
      <c r="D400" s="55"/>
      <c r="I400" s="67"/>
      <c r="J400" s="51"/>
      <c r="K400" s="51"/>
    </row>
    <row r="401">
      <c r="D401" s="55"/>
      <c r="I401" s="67"/>
      <c r="J401" s="51"/>
      <c r="K401" s="51"/>
    </row>
    <row r="402">
      <c r="D402" s="55"/>
      <c r="I402" s="67"/>
      <c r="J402" s="51"/>
      <c r="K402" s="51"/>
    </row>
    <row r="403">
      <c r="D403" s="55"/>
      <c r="I403" s="67"/>
      <c r="J403" s="51"/>
      <c r="K403" s="51"/>
    </row>
    <row r="404">
      <c r="D404" s="55"/>
      <c r="I404" s="67"/>
      <c r="J404" s="51"/>
      <c r="K404" s="51"/>
    </row>
    <row r="405">
      <c r="D405" s="55"/>
      <c r="I405" s="67"/>
      <c r="J405" s="51"/>
      <c r="K405" s="51"/>
    </row>
    <row r="406">
      <c r="D406" s="55"/>
      <c r="I406" s="67"/>
      <c r="J406" s="51"/>
      <c r="K406" s="51"/>
    </row>
    <row r="407">
      <c r="D407" s="55"/>
      <c r="I407" s="67"/>
      <c r="J407" s="51"/>
      <c r="K407" s="51"/>
    </row>
    <row r="408">
      <c r="D408" s="55"/>
      <c r="I408" s="67"/>
      <c r="J408" s="51"/>
      <c r="K408" s="51"/>
    </row>
    <row r="409">
      <c r="D409" s="55"/>
      <c r="I409" s="67"/>
      <c r="J409" s="51"/>
      <c r="K409" s="51"/>
    </row>
    <row r="410">
      <c r="D410" s="55"/>
      <c r="I410" s="67"/>
      <c r="J410" s="51"/>
      <c r="K410" s="51"/>
    </row>
    <row r="411">
      <c r="D411" s="55"/>
      <c r="I411" s="67"/>
      <c r="J411" s="51"/>
      <c r="K411" s="51"/>
    </row>
    <row r="412">
      <c r="D412" s="55"/>
      <c r="I412" s="67"/>
      <c r="J412" s="51"/>
      <c r="K412" s="51"/>
    </row>
    <row r="413">
      <c r="D413" s="55"/>
      <c r="I413" s="67"/>
      <c r="J413" s="51"/>
      <c r="K413" s="51"/>
    </row>
    <row r="414">
      <c r="D414" s="55"/>
      <c r="I414" s="67"/>
      <c r="J414" s="51"/>
      <c r="K414" s="51"/>
    </row>
    <row r="415">
      <c r="D415" s="55"/>
      <c r="I415" s="67"/>
      <c r="J415" s="51"/>
      <c r="K415" s="51"/>
    </row>
    <row r="416">
      <c r="D416" s="55"/>
      <c r="I416" s="67"/>
      <c r="J416" s="51"/>
      <c r="K416" s="51"/>
    </row>
    <row r="417">
      <c r="D417" s="55"/>
      <c r="I417" s="67"/>
      <c r="J417" s="51"/>
      <c r="K417" s="51"/>
    </row>
    <row r="418">
      <c r="D418" s="55"/>
      <c r="I418" s="67"/>
      <c r="J418" s="51"/>
      <c r="K418" s="51"/>
    </row>
    <row r="419">
      <c r="D419" s="55"/>
      <c r="I419" s="67"/>
      <c r="J419" s="51"/>
      <c r="K419" s="51"/>
    </row>
    <row r="420">
      <c r="D420" s="55"/>
      <c r="I420" s="67"/>
      <c r="J420" s="51"/>
      <c r="K420" s="51"/>
    </row>
    <row r="421">
      <c r="D421" s="55"/>
      <c r="I421" s="67"/>
      <c r="J421" s="51"/>
      <c r="K421" s="51"/>
    </row>
    <row r="422">
      <c r="D422" s="55"/>
      <c r="I422" s="67"/>
      <c r="J422" s="51"/>
      <c r="K422" s="51"/>
    </row>
    <row r="423">
      <c r="D423" s="55"/>
      <c r="I423" s="67"/>
      <c r="J423" s="51"/>
      <c r="K423" s="51"/>
    </row>
    <row r="424">
      <c r="D424" s="55"/>
      <c r="I424" s="67"/>
      <c r="J424" s="51"/>
      <c r="K424" s="51"/>
    </row>
    <row r="425">
      <c r="D425" s="55"/>
      <c r="I425" s="67"/>
      <c r="J425" s="51"/>
      <c r="K425" s="51"/>
    </row>
    <row r="426">
      <c r="D426" s="55"/>
      <c r="I426" s="67"/>
      <c r="J426" s="51"/>
      <c r="K426" s="51"/>
    </row>
    <row r="427">
      <c r="D427" s="55"/>
      <c r="I427" s="67"/>
      <c r="J427" s="51"/>
      <c r="K427" s="51"/>
    </row>
    <row r="428">
      <c r="D428" s="55"/>
      <c r="I428" s="67"/>
      <c r="J428" s="51"/>
      <c r="K428" s="51"/>
    </row>
    <row r="429">
      <c r="D429" s="55"/>
      <c r="I429" s="67"/>
      <c r="J429" s="51"/>
      <c r="K429" s="51"/>
    </row>
    <row r="430">
      <c r="D430" s="55"/>
      <c r="I430" s="67"/>
      <c r="J430" s="51"/>
      <c r="K430" s="51"/>
    </row>
    <row r="431">
      <c r="D431" s="55"/>
      <c r="I431" s="67"/>
      <c r="J431" s="51"/>
      <c r="K431" s="51"/>
    </row>
    <row r="432">
      <c r="D432" s="55"/>
      <c r="I432" s="67"/>
      <c r="J432" s="51"/>
      <c r="K432" s="51"/>
    </row>
    <row r="433">
      <c r="D433" s="55"/>
      <c r="I433" s="67"/>
      <c r="J433" s="51"/>
      <c r="K433" s="51"/>
    </row>
    <row r="434">
      <c r="D434" s="55"/>
      <c r="I434" s="67"/>
      <c r="J434" s="51"/>
      <c r="K434" s="51"/>
    </row>
    <row r="435">
      <c r="D435" s="55"/>
      <c r="I435" s="67"/>
      <c r="J435" s="51"/>
      <c r="K435" s="51"/>
    </row>
    <row r="436">
      <c r="D436" s="55"/>
      <c r="I436" s="67"/>
      <c r="J436" s="51"/>
      <c r="K436" s="51"/>
    </row>
    <row r="437">
      <c r="D437" s="55"/>
      <c r="I437" s="67"/>
      <c r="J437" s="51"/>
      <c r="K437" s="51"/>
    </row>
    <row r="438">
      <c r="D438" s="55"/>
      <c r="I438" s="67"/>
      <c r="J438" s="51"/>
      <c r="K438" s="51"/>
    </row>
    <row r="439">
      <c r="D439" s="55"/>
      <c r="I439" s="67"/>
      <c r="J439" s="51"/>
      <c r="K439" s="51"/>
    </row>
    <row r="440">
      <c r="D440" s="55"/>
      <c r="I440" s="67"/>
      <c r="J440" s="51"/>
      <c r="K440" s="51"/>
    </row>
    <row r="441">
      <c r="D441" s="55"/>
      <c r="I441" s="67"/>
      <c r="J441" s="51"/>
      <c r="K441" s="51"/>
    </row>
    <row r="442">
      <c r="D442" s="55"/>
      <c r="I442" s="67"/>
      <c r="J442" s="51"/>
      <c r="K442" s="51"/>
    </row>
    <row r="443">
      <c r="D443" s="55"/>
      <c r="I443" s="67"/>
      <c r="J443" s="51"/>
      <c r="K443" s="51"/>
    </row>
    <row r="444">
      <c r="D444" s="55"/>
      <c r="I444" s="67"/>
      <c r="J444" s="51"/>
      <c r="K444" s="51"/>
    </row>
    <row r="445">
      <c r="D445" s="55"/>
      <c r="I445" s="67"/>
      <c r="J445" s="51"/>
      <c r="K445" s="51"/>
    </row>
    <row r="446">
      <c r="D446" s="55"/>
      <c r="I446" s="67"/>
      <c r="J446" s="51"/>
      <c r="K446" s="51"/>
    </row>
    <row r="447">
      <c r="D447" s="55"/>
      <c r="I447" s="67"/>
      <c r="J447" s="51"/>
      <c r="K447" s="51"/>
    </row>
    <row r="448">
      <c r="D448" s="55"/>
      <c r="I448" s="67"/>
      <c r="J448" s="51"/>
      <c r="K448" s="51"/>
    </row>
    <row r="449">
      <c r="D449" s="55"/>
      <c r="I449" s="67"/>
      <c r="J449" s="51"/>
      <c r="K449" s="51"/>
    </row>
    <row r="450">
      <c r="D450" s="55"/>
      <c r="I450" s="67"/>
      <c r="J450" s="51"/>
      <c r="K450" s="51"/>
    </row>
    <row r="451">
      <c r="D451" s="55"/>
      <c r="I451" s="67"/>
      <c r="J451" s="51"/>
      <c r="K451" s="51"/>
    </row>
    <row r="452">
      <c r="D452" s="55"/>
      <c r="I452" s="67"/>
      <c r="J452" s="51"/>
      <c r="K452" s="51"/>
    </row>
    <row r="453">
      <c r="D453" s="55"/>
      <c r="I453" s="67"/>
      <c r="J453" s="51"/>
      <c r="K453" s="51"/>
    </row>
    <row r="454">
      <c r="D454" s="55"/>
      <c r="I454" s="67"/>
      <c r="J454" s="51"/>
      <c r="K454" s="51"/>
    </row>
    <row r="455">
      <c r="D455" s="55"/>
      <c r="I455" s="67"/>
      <c r="J455" s="51"/>
      <c r="K455" s="51"/>
    </row>
    <row r="456">
      <c r="D456" s="55"/>
      <c r="I456" s="67"/>
      <c r="J456" s="51"/>
      <c r="K456" s="51"/>
    </row>
    <row r="457">
      <c r="D457" s="55"/>
      <c r="I457" s="67"/>
      <c r="J457" s="51"/>
      <c r="K457" s="51"/>
    </row>
    <row r="458">
      <c r="D458" s="55"/>
      <c r="I458" s="67"/>
      <c r="J458" s="51"/>
      <c r="K458" s="51"/>
    </row>
    <row r="459">
      <c r="D459" s="55"/>
      <c r="I459" s="67"/>
      <c r="J459" s="51"/>
      <c r="K459" s="51"/>
    </row>
    <row r="460">
      <c r="D460" s="55"/>
      <c r="I460" s="67"/>
      <c r="J460" s="51"/>
      <c r="K460" s="51"/>
    </row>
    <row r="461">
      <c r="D461" s="55"/>
      <c r="I461" s="67"/>
      <c r="J461" s="51"/>
      <c r="K461" s="51"/>
    </row>
    <row r="462">
      <c r="D462" s="55"/>
      <c r="I462" s="67"/>
      <c r="J462" s="51"/>
      <c r="K462" s="51"/>
    </row>
    <row r="463">
      <c r="D463" s="55"/>
      <c r="I463" s="67"/>
      <c r="J463" s="51"/>
      <c r="K463" s="51"/>
    </row>
    <row r="464">
      <c r="D464" s="55"/>
      <c r="I464" s="67"/>
      <c r="J464" s="51"/>
      <c r="K464" s="51"/>
    </row>
    <row r="465">
      <c r="D465" s="55"/>
      <c r="I465" s="67"/>
      <c r="J465" s="51"/>
      <c r="K465" s="51"/>
    </row>
    <row r="466">
      <c r="D466" s="55"/>
      <c r="I466" s="67"/>
      <c r="J466" s="51"/>
      <c r="K466" s="51"/>
    </row>
    <row r="467">
      <c r="D467" s="55"/>
      <c r="I467" s="67"/>
      <c r="J467" s="51"/>
      <c r="K467" s="51"/>
    </row>
    <row r="468">
      <c r="D468" s="55"/>
      <c r="I468" s="67"/>
      <c r="J468" s="51"/>
      <c r="K468" s="51"/>
    </row>
    <row r="469">
      <c r="D469" s="55"/>
      <c r="I469" s="67"/>
      <c r="J469" s="51"/>
      <c r="K469" s="51"/>
    </row>
    <row r="470">
      <c r="D470" s="55"/>
      <c r="I470" s="67"/>
      <c r="J470" s="51"/>
      <c r="K470" s="51"/>
    </row>
    <row r="471">
      <c r="D471" s="55"/>
      <c r="I471" s="67"/>
      <c r="J471" s="51"/>
      <c r="K471" s="51"/>
    </row>
    <row r="472">
      <c r="D472" s="55"/>
      <c r="I472" s="67"/>
      <c r="J472" s="51"/>
      <c r="K472" s="51"/>
    </row>
    <row r="473">
      <c r="D473" s="55"/>
      <c r="I473" s="67"/>
      <c r="J473" s="51"/>
      <c r="K473" s="51"/>
    </row>
    <row r="474">
      <c r="D474" s="55"/>
      <c r="I474" s="67"/>
      <c r="J474" s="51"/>
      <c r="K474" s="51"/>
    </row>
    <row r="475">
      <c r="D475" s="55"/>
      <c r="I475" s="67"/>
      <c r="J475" s="51"/>
      <c r="K475" s="51"/>
    </row>
    <row r="476">
      <c r="D476" s="55"/>
      <c r="I476" s="67"/>
      <c r="J476" s="51"/>
      <c r="K476" s="51"/>
    </row>
    <row r="477">
      <c r="D477" s="55"/>
      <c r="I477" s="67"/>
      <c r="J477" s="51"/>
      <c r="K477" s="51"/>
    </row>
    <row r="478">
      <c r="D478" s="55"/>
      <c r="I478" s="67"/>
      <c r="J478" s="51"/>
      <c r="K478" s="51"/>
    </row>
    <row r="479">
      <c r="D479" s="55"/>
      <c r="I479" s="67"/>
      <c r="J479" s="51"/>
      <c r="K479" s="51"/>
    </row>
    <row r="480">
      <c r="D480" s="55"/>
      <c r="I480" s="67"/>
      <c r="J480" s="51"/>
      <c r="K480" s="51"/>
    </row>
    <row r="481">
      <c r="D481" s="55"/>
      <c r="I481" s="67"/>
      <c r="J481" s="51"/>
      <c r="K481" s="51"/>
    </row>
    <row r="482">
      <c r="D482" s="55"/>
      <c r="I482" s="67"/>
      <c r="J482" s="51"/>
      <c r="K482" s="51"/>
    </row>
    <row r="483">
      <c r="D483" s="55"/>
      <c r="I483" s="67"/>
      <c r="J483" s="51"/>
      <c r="K483" s="51"/>
    </row>
    <row r="484">
      <c r="D484" s="55"/>
      <c r="I484" s="67"/>
      <c r="J484" s="51"/>
      <c r="K484" s="51"/>
    </row>
    <row r="485">
      <c r="D485" s="55"/>
      <c r="I485" s="67"/>
      <c r="J485" s="51"/>
      <c r="K485" s="51"/>
    </row>
    <row r="486">
      <c r="D486" s="55"/>
      <c r="I486" s="67"/>
      <c r="J486" s="51"/>
      <c r="K486" s="51"/>
    </row>
    <row r="487">
      <c r="D487" s="55"/>
      <c r="I487" s="67"/>
      <c r="J487" s="51"/>
      <c r="K487" s="51"/>
    </row>
    <row r="488">
      <c r="D488" s="55"/>
      <c r="I488" s="67"/>
      <c r="J488" s="51"/>
      <c r="K488" s="51"/>
    </row>
    <row r="489">
      <c r="D489" s="55"/>
      <c r="I489" s="67"/>
      <c r="J489" s="51"/>
      <c r="K489" s="51"/>
    </row>
    <row r="490">
      <c r="D490" s="55"/>
      <c r="I490" s="67"/>
      <c r="J490" s="51"/>
      <c r="K490" s="51"/>
    </row>
    <row r="491">
      <c r="D491" s="55"/>
      <c r="I491" s="67"/>
      <c r="J491" s="51"/>
      <c r="K491" s="51"/>
    </row>
    <row r="492">
      <c r="D492" s="55"/>
      <c r="I492" s="67"/>
      <c r="J492" s="51"/>
      <c r="K492" s="51"/>
    </row>
    <row r="493">
      <c r="D493" s="55"/>
      <c r="I493" s="67"/>
      <c r="J493" s="51"/>
      <c r="K493" s="51"/>
    </row>
    <row r="494">
      <c r="D494" s="55"/>
      <c r="I494" s="67"/>
      <c r="J494" s="51"/>
      <c r="K494" s="51"/>
    </row>
    <row r="495">
      <c r="D495" s="55"/>
      <c r="I495" s="67"/>
      <c r="J495" s="51"/>
      <c r="K495" s="51"/>
    </row>
    <row r="496">
      <c r="D496" s="55"/>
      <c r="I496" s="67"/>
      <c r="J496" s="51"/>
      <c r="K496" s="51"/>
    </row>
    <row r="497">
      <c r="D497" s="55"/>
      <c r="I497" s="67"/>
      <c r="J497" s="51"/>
      <c r="K497" s="51"/>
    </row>
    <row r="498">
      <c r="D498" s="55"/>
      <c r="I498" s="67"/>
      <c r="J498" s="51"/>
      <c r="K498" s="51"/>
    </row>
    <row r="499">
      <c r="D499" s="55"/>
      <c r="I499" s="67"/>
      <c r="J499" s="51"/>
      <c r="K499" s="51"/>
    </row>
    <row r="500">
      <c r="D500" s="55"/>
      <c r="I500" s="67"/>
      <c r="J500" s="51"/>
      <c r="K500" s="51"/>
    </row>
    <row r="501">
      <c r="D501" s="55"/>
      <c r="I501" s="67"/>
      <c r="J501" s="51"/>
      <c r="K501" s="51"/>
    </row>
    <row r="502">
      <c r="D502" s="55"/>
      <c r="I502" s="67"/>
      <c r="J502" s="51"/>
      <c r="K502" s="51"/>
    </row>
    <row r="503">
      <c r="D503" s="55"/>
      <c r="I503" s="67"/>
      <c r="J503" s="51"/>
      <c r="K503" s="51"/>
    </row>
    <row r="504">
      <c r="D504" s="55"/>
      <c r="I504" s="67"/>
      <c r="J504" s="51"/>
      <c r="K504" s="51"/>
    </row>
    <row r="505">
      <c r="D505" s="55"/>
      <c r="I505" s="67"/>
      <c r="J505" s="51"/>
      <c r="K505" s="51"/>
    </row>
    <row r="506">
      <c r="D506" s="55"/>
      <c r="I506" s="67"/>
      <c r="J506" s="51"/>
      <c r="K506" s="51"/>
    </row>
    <row r="507">
      <c r="D507" s="55"/>
      <c r="I507" s="67"/>
      <c r="J507" s="51"/>
      <c r="K507" s="51"/>
    </row>
    <row r="508">
      <c r="D508" s="55"/>
      <c r="I508" s="67"/>
      <c r="J508" s="51"/>
      <c r="K508" s="51"/>
    </row>
    <row r="509">
      <c r="D509" s="55"/>
      <c r="I509" s="67"/>
      <c r="J509" s="51"/>
      <c r="K509" s="51"/>
    </row>
    <row r="510">
      <c r="D510" s="55"/>
      <c r="I510" s="67"/>
      <c r="J510" s="51"/>
      <c r="K510" s="51"/>
    </row>
    <row r="511">
      <c r="D511" s="55"/>
      <c r="I511" s="67"/>
      <c r="J511" s="51"/>
      <c r="K511" s="51"/>
    </row>
    <row r="512">
      <c r="D512" s="55"/>
      <c r="I512" s="67"/>
      <c r="J512" s="51"/>
      <c r="K512" s="51"/>
    </row>
    <row r="513">
      <c r="D513" s="55"/>
      <c r="I513" s="67"/>
      <c r="J513" s="51"/>
      <c r="K513" s="51"/>
    </row>
    <row r="514">
      <c r="D514" s="55"/>
      <c r="I514" s="67"/>
      <c r="J514" s="51"/>
      <c r="K514" s="51"/>
    </row>
    <row r="515">
      <c r="D515" s="55"/>
      <c r="I515" s="67"/>
      <c r="J515" s="51"/>
      <c r="K515" s="51"/>
    </row>
    <row r="516">
      <c r="D516" s="55"/>
      <c r="I516" s="67"/>
      <c r="J516" s="51"/>
      <c r="K516" s="51"/>
    </row>
    <row r="517">
      <c r="D517" s="55"/>
      <c r="I517" s="67"/>
      <c r="J517" s="51"/>
      <c r="K517" s="51"/>
    </row>
    <row r="518">
      <c r="D518" s="55"/>
      <c r="I518" s="67"/>
      <c r="J518" s="51"/>
      <c r="K518" s="51"/>
    </row>
    <row r="519">
      <c r="D519" s="55"/>
      <c r="I519" s="67"/>
      <c r="J519" s="51"/>
      <c r="K519" s="51"/>
    </row>
    <row r="520">
      <c r="D520" s="55"/>
      <c r="I520" s="67"/>
      <c r="J520" s="51"/>
      <c r="K520" s="51"/>
    </row>
    <row r="521">
      <c r="D521" s="55"/>
      <c r="I521" s="67"/>
      <c r="J521" s="51"/>
      <c r="K521" s="51"/>
    </row>
    <row r="522">
      <c r="D522" s="55"/>
      <c r="I522" s="67"/>
      <c r="J522" s="51"/>
      <c r="K522" s="51"/>
    </row>
    <row r="523">
      <c r="D523" s="55"/>
      <c r="I523" s="67"/>
      <c r="J523" s="51"/>
      <c r="K523" s="51"/>
    </row>
    <row r="524">
      <c r="D524" s="55"/>
      <c r="I524" s="67"/>
      <c r="J524" s="51"/>
      <c r="K524" s="51"/>
    </row>
    <row r="525">
      <c r="D525" s="55"/>
      <c r="I525" s="67"/>
      <c r="J525" s="51"/>
      <c r="K525" s="51"/>
    </row>
    <row r="526">
      <c r="D526" s="55"/>
      <c r="I526" s="67"/>
      <c r="J526" s="51"/>
      <c r="K526" s="51"/>
    </row>
    <row r="527">
      <c r="D527" s="55"/>
      <c r="I527" s="67"/>
      <c r="J527" s="51"/>
      <c r="K527" s="51"/>
    </row>
    <row r="528">
      <c r="D528" s="55"/>
      <c r="I528" s="67"/>
      <c r="J528" s="51"/>
      <c r="K528" s="51"/>
    </row>
    <row r="529">
      <c r="D529" s="55"/>
      <c r="I529" s="67"/>
      <c r="J529" s="51"/>
      <c r="K529" s="51"/>
    </row>
    <row r="530">
      <c r="D530" s="55"/>
      <c r="I530" s="67"/>
      <c r="J530" s="51"/>
      <c r="K530" s="51"/>
    </row>
    <row r="531">
      <c r="D531" s="55"/>
      <c r="I531" s="67"/>
      <c r="J531" s="51"/>
      <c r="K531" s="51"/>
    </row>
    <row r="532">
      <c r="D532" s="55"/>
      <c r="I532" s="67"/>
      <c r="J532" s="51"/>
      <c r="K532" s="51"/>
    </row>
    <row r="533">
      <c r="D533" s="55"/>
      <c r="I533" s="67"/>
      <c r="J533" s="51"/>
      <c r="K533" s="51"/>
    </row>
    <row r="534">
      <c r="D534" s="55"/>
      <c r="I534" s="67"/>
      <c r="J534" s="51"/>
      <c r="K534" s="51"/>
    </row>
    <row r="535">
      <c r="D535" s="55"/>
      <c r="I535" s="67"/>
      <c r="J535" s="51"/>
      <c r="K535" s="51"/>
    </row>
    <row r="536">
      <c r="D536" s="55"/>
      <c r="I536" s="67"/>
      <c r="J536" s="51"/>
      <c r="K536" s="51"/>
    </row>
    <row r="537">
      <c r="D537" s="55"/>
      <c r="I537" s="67"/>
      <c r="J537" s="51"/>
      <c r="K537" s="51"/>
    </row>
    <row r="538">
      <c r="D538" s="55"/>
      <c r="I538" s="67"/>
      <c r="J538" s="51"/>
      <c r="K538" s="51"/>
    </row>
    <row r="539">
      <c r="D539" s="55"/>
      <c r="I539" s="67"/>
      <c r="J539" s="51"/>
      <c r="K539" s="51"/>
    </row>
    <row r="540">
      <c r="D540" s="55"/>
      <c r="I540" s="67"/>
      <c r="J540" s="51"/>
      <c r="K540" s="51"/>
    </row>
    <row r="541">
      <c r="D541" s="55"/>
      <c r="I541" s="67"/>
      <c r="J541" s="51"/>
      <c r="K541" s="51"/>
    </row>
    <row r="542">
      <c r="D542" s="55"/>
      <c r="I542" s="67"/>
      <c r="J542" s="51"/>
      <c r="K542" s="51"/>
    </row>
    <row r="543">
      <c r="D543" s="55"/>
      <c r="I543" s="67"/>
      <c r="J543" s="51"/>
      <c r="K543" s="51"/>
    </row>
    <row r="544">
      <c r="D544" s="55"/>
      <c r="I544" s="67"/>
      <c r="J544" s="51"/>
      <c r="K544" s="51"/>
    </row>
    <row r="545">
      <c r="D545" s="55"/>
      <c r="I545" s="67"/>
      <c r="J545" s="51"/>
      <c r="K545" s="51"/>
    </row>
    <row r="546">
      <c r="D546" s="55"/>
      <c r="I546" s="67"/>
      <c r="J546" s="51"/>
      <c r="K546" s="51"/>
    </row>
    <row r="547">
      <c r="D547" s="55"/>
      <c r="I547" s="67"/>
      <c r="J547" s="51"/>
      <c r="K547" s="51"/>
    </row>
    <row r="548">
      <c r="D548" s="55"/>
      <c r="I548" s="67"/>
      <c r="J548" s="51"/>
      <c r="K548" s="51"/>
    </row>
    <row r="549">
      <c r="D549" s="55"/>
      <c r="I549" s="67"/>
      <c r="J549" s="51"/>
      <c r="K549" s="51"/>
    </row>
    <row r="550">
      <c r="D550" s="55"/>
      <c r="I550" s="67"/>
      <c r="J550" s="51"/>
      <c r="K550" s="51"/>
    </row>
    <row r="551">
      <c r="D551" s="55"/>
      <c r="I551" s="67"/>
      <c r="J551" s="51"/>
      <c r="K551" s="51"/>
    </row>
    <row r="552">
      <c r="D552" s="55"/>
      <c r="I552" s="67"/>
      <c r="J552" s="51"/>
      <c r="K552" s="51"/>
    </row>
    <row r="553">
      <c r="D553" s="55"/>
      <c r="I553" s="67"/>
      <c r="J553" s="51"/>
      <c r="K553" s="51"/>
    </row>
    <row r="554">
      <c r="D554" s="55"/>
      <c r="I554" s="67"/>
      <c r="J554" s="51"/>
      <c r="K554" s="51"/>
    </row>
    <row r="555">
      <c r="D555" s="55"/>
      <c r="I555" s="67"/>
      <c r="J555" s="51"/>
      <c r="K555" s="51"/>
    </row>
    <row r="556">
      <c r="D556" s="55"/>
      <c r="I556" s="67"/>
      <c r="J556" s="51"/>
      <c r="K556" s="51"/>
    </row>
    <row r="557">
      <c r="D557" s="55"/>
      <c r="I557" s="67"/>
      <c r="J557" s="51"/>
      <c r="K557" s="51"/>
    </row>
    <row r="558">
      <c r="D558" s="55"/>
      <c r="I558" s="67"/>
      <c r="J558" s="51"/>
      <c r="K558" s="51"/>
    </row>
    <row r="559">
      <c r="D559" s="55"/>
      <c r="I559" s="67"/>
      <c r="J559" s="51"/>
      <c r="K559" s="51"/>
    </row>
    <row r="560">
      <c r="D560" s="55"/>
      <c r="I560" s="67"/>
      <c r="J560" s="51"/>
      <c r="K560" s="51"/>
    </row>
    <row r="561">
      <c r="D561" s="55"/>
      <c r="I561" s="67"/>
      <c r="J561" s="51"/>
      <c r="K561" s="51"/>
    </row>
    <row r="562">
      <c r="D562" s="55"/>
      <c r="I562" s="67"/>
      <c r="J562" s="51"/>
      <c r="K562" s="51"/>
    </row>
    <row r="563">
      <c r="D563" s="55"/>
      <c r="I563" s="67"/>
      <c r="J563" s="51"/>
      <c r="K563" s="51"/>
    </row>
    <row r="564">
      <c r="D564" s="55"/>
      <c r="I564" s="67"/>
      <c r="J564" s="51"/>
      <c r="K564" s="51"/>
    </row>
    <row r="565">
      <c r="D565" s="55"/>
      <c r="I565" s="67"/>
      <c r="J565" s="51"/>
      <c r="K565" s="51"/>
    </row>
    <row r="566">
      <c r="D566" s="55"/>
      <c r="I566" s="67"/>
      <c r="J566" s="51"/>
      <c r="K566" s="51"/>
    </row>
    <row r="567">
      <c r="D567" s="55"/>
      <c r="I567" s="67"/>
      <c r="J567" s="51"/>
      <c r="K567" s="51"/>
    </row>
    <row r="568">
      <c r="D568" s="55"/>
      <c r="I568" s="67"/>
      <c r="J568" s="51"/>
      <c r="K568" s="51"/>
    </row>
    <row r="569">
      <c r="D569" s="55"/>
      <c r="I569" s="67"/>
      <c r="J569" s="51"/>
      <c r="K569" s="51"/>
    </row>
    <row r="570">
      <c r="D570" s="55"/>
      <c r="I570" s="67"/>
      <c r="J570" s="51"/>
      <c r="K570" s="51"/>
    </row>
    <row r="571">
      <c r="D571" s="55"/>
      <c r="I571" s="67"/>
      <c r="J571" s="51"/>
      <c r="K571" s="51"/>
    </row>
    <row r="572">
      <c r="D572" s="55"/>
      <c r="I572" s="67"/>
      <c r="J572" s="51"/>
      <c r="K572" s="51"/>
    </row>
    <row r="573">
      <c r="D573" s="55"/>
      <c r="I573" s="67"/>
      <c r="J573" s="51"/>
      <c r="K573" s="51"/>
    </row>
    <row r="574">
      <c r="D574" s="55"/>
      <c r="I574" s="67"/>
      <c r="J574" s="51"/>
      <c r="K574" s="51"/>
    </row>
    <row r="575">
      <c r="D575" s="55"/>
      <c r="I575" s="67"/>
      <c r="J575" s="51"/>
      <c r="K575" s="51"/>
    </row>
    <row r="576">
      <c r="D576" s="55"/>
      <c r="I576" s="67"/>
      <c r="J576" s="51"/>
      <c r="K576" s="51"/>
    </row>
    <row r="577">
      <c r="D577" s="55"/>
      <c r="I577" s="67"/>
      <c r="J577" s="51"/>
      <c r="K577" s="51"/>
    </row>
    <row r="578">
      <c r="D578" s="55"/>
      <c r="I578" s="67"/>
      <c r="J578" s="51"/>
      <c r="K578" s="51"/>
    </row>
    <row r="579">
      <c r="D579" s="55"/>
      <c r="I579" s="67"/>
      <c r="J579" s="51"/>
      <c r="K579" s="51"/>
    </row>
    <row r="580">
      <c r="D580" s="55"/>
      <c r="I580" s="67"/>
      <c r="J580" s="51"/>
      <c r="K580" s="51"/>
    </row>
    <row r="581">
      <c r="D581" s="55"/>
      <c r="I581" s="67"/>
      <c r="J581" s="51"/>
      <c r="K581" s="51"/>
    </row>
    <row r="582">
      <c r="D582" s="55"/>
      <c r="I582" s="67"/>
      <c r="J582" s="51"/>
      <c r="K582" s="51"/>
    </row>
    <row r="583">
      <c r="D583" s="55"/>
      <c r="I583" s="67"/>
      <c r="J583" s="51"/>
      <c r="K583" s="51"/>
    </row>
    <row r="584">
      <c r="D584" s="55"/>
      <c r="I584" s="67"/>
      <c r="J584" s="51"/>
      <c r="K584" s="51"/>
    </row>
    <row r="585">
      <c r="D585" s="55"/>
      <c r="I585" s="67"/>
      <c r="J585" s="51"/>
      <c r="K585" s="51"/>
    </row>
    <row r="586">
      <c r="D586" s="55"/>
      <c r="I586" s="67"/>
      <c r="J586" s="51"/>
      <c r="K586" s="51"/>
    </row>
    <row r="587">
      <c r="D587" s="55"/>
      <c r="I587" s="67"/>
      <c r="J587" s="51"/>
      <c r="K587" s="51"/>
    </row>
    <row r="588">
      <c r="D588" s="55"/>
      <c r="I588" s="67"/>
      <c r="J588" s="51"/>
      <c r="K588" s="51"/>
    </row>
    <row r="589">
      <c r="D589" s="55"/>
      <c r="I589" s="67"/>
      <c r="J589" s="51"/>
      <c r="K589" s="51"/>
    </row>
    <row r="590">
      <c r="D590" s="55"/>
      <c r="I590" s="67"/>
      <c r="J590" s="51"/>
      <c r="K590" s="51"/>
    </row>
    <row r="591">
      <c r="D591" s="55"/>
      <c r="I591" s="67"/>
      <c r="J591" s="51"/>
      <c r="K591" s="51"/>
    </row>
    <row r="592">
      <c r="D592" s="55"/>
      <c r="I592" s="67"/>
      <c r="J592" s="51"/>
      <c r="K592" s="51"/>
    </row>
    <row r="593">
      <c r="D593" s="55"/>
      <c r="I593" s="67"/>
      <c r="J593" s="51"/>
      <c r="K593" s="51"/>
    </row>
    <row r="594">
      <c r="D594" s="55"/>
      <c r="I594" s="67"/>
      <c r="J594" s="51"/>
      <c r="K594" s="51"/>
    </row>
    <row r="595">
      <c r="D595" s="55"/>
      <c r="I595" s="67"/>
      <c r="J595" s="51"/>
      <c r="K595" s="51"/>
    </row>
    <row r="596">
      <c r="D596" s="55"/>
      <c r="I596" s="67"/>
      <c r="J596" s="51"/>
      <c r="K596" s="51"/>
    </row>
    <row r="597">
      <c r="D597" s="55"/>
      <c r="I597" s="67"/>
      <c r="J597" s="51"/>
      <c r="K597" s="51"/>
    </row>
    <row r="598">
      <c r="D598" s="55"/>
      <c r="I598" s="67"/>
      <c r="J598" s="51"/>
      <c r="K598" s="51"/>
    </row>
    <row r="599">
      <c r="D599" s="55"/>
      <c r="I599" s="67"/>
      <c r="J599" s="51"/>
      <c r="K599" s="51"/>
    </row>
    <row r="600">
      <c r="D600" s="55"/>
      <c r="I600" s="67"/>
      <c r="J600" s="51"/>
      <c r="K600" s="51"/>
    </row>
    <row r="601">
      <c r="D601" s="55"/>
      <c r="I601" s="67"/>
      <c r="J601" s="51"/>
      <c r="K601" s="51"/>
    </row>
    <row r="602">
      <c r="D602" s="55"/>
      <c r="I602" s="67"/>
      <c r="J602" s="51"/>
      <c r="K602" s="51"/>
    </row>
    <row r="603">
      <c r="D603" s="55"/>
      <c r="I603" s="67"/>
      <c r="J603" s="51"/>
      <c r="K603" s="51"/>
    </row>
    <row r="604">
      <c r="D604" s="55"/>
      <c r="I604" s="67"/>
      <c r="J604" s="51"/>
      <c r="K604" s="51"/>
    </row>
    <row r="605">
      <c r="D605" s="55"/>
      <c r="I605" s="67"/>
      <c r="J605" s="51"/>
      <c r="K605" s="51"/>
    </row>
    <row r="606">
      <c r="D606" s="55"/>
      <c r="I606" s="67"/>
      <c r="J606" s="51"/>
      <c r="K606" s="51"/>
    </row>
    <row r="607">
      <c r="D607" s="55"/>
      <c r="I607" s="67"/>
      <c r="J607" s="51"/>
      <c r="K607" s="51"/>
    </row>
    <row r="608">
      <c r="D608" s="55"/>
      <c r="I608" s="67"/>
      <c r="J608" s="51"/>
      <c r="K608" s="51"/>
    </row>
    <row r="609">
      <c r="D609" s="55"/>
      <c r="I609" s="67"/>
      <c r="J609" s="51"/>
      <c r="K609" s="51"/>
    </row>
    <row r="610">
      <c r="D610" s="55"/>
      <c r="I610" s="67"/>
      <c r="J610" s="51"/>
      <c r="K610" s="51"/>
    </row>
    <row r="611">
      <c r="D611" s="55"/>
      <c r="I611" s="67"/>
      <c r="J611" s="51"/>
      <c r="K611" s="51"/>
    </row>
    <row r="612">
      <c r="D612" s="55"/>
      <c r="I612" s="67"/>
      <c r="J612" s="51"/>
      <c r="K612" s="51"/>
    </row>
    <row r="613">
      <c r="D613" s="55"/>
      <c r="I613" s="67"/>
      <c r="J613" s="51"/>
      <c r="K613" s="51"/>
    </row>
    <row r="614">
      <c r="D614" s="55"/>
      <c r="I614" s="67"/>
      <c r="J614" s="51"/>
      <c r="K614" s="51"/>
    </row>
    <row r="615">
      <c r="D615" s="55"/>
      <c r="I615" s="67"/>
      <c r="J615" s="51"/>
      <c r="K615" s="51"/>
    </row>
    <row r="616">
      <c r="D616" s="55"/>
      <c r="I616" s="67"/>
      <c r="J616" s="51"/>
      <c r="K616" s="51"/>
    </row>
    <row r="617">
      <c r="D617" s="55"/>
      <c r="I617" s="67"/>
      <c r="J617" s="51"/>
      <c r="K617" s="51"/>
    </row>
    <row r="618">
      <c r="D618" s="55"/>
      <c r="I618" s="67"/>
      <c r="J618" s="51"/>
      <c r="K618" s="51"/>
    </row>
    <row r="619">
      <c r="D619" s="55"/>
      <c r="I619" s="67"/>
      <c r="J619" s="51"/>
      <c r="K619" s="51"/>
    </row>
    <row r="620">
      <c r="D620" s="55"/>
      <c r="I620" s="67"/>
      <c r="J620" s="51"/>
      <c r="K620" s="51"/>
    </row>
    <row r="621">
      <c r="D621" s="55"/>
      <c r="I621" s="67"/>
      <c r="J621" s="51"/>
      <c r="K621" s="51"/>
    </row>
    <row r="622">
      <c r="D622" s="55"/>
      <c r="I622" s="67"/>
      <c r="J622" s="51"/>
      <c r="K622" s="51"/>
    </row>
    <row r="623">
      <c r="D623" s="55"/>
      <c r="I623" s="67"/>
      <c r="J623" s="51"/>
      <c r="K623" s="51"/>
    </row>
    <row r="624">
      <c r="D624" s="55"/>
      <c r="I624" s="67"/>
      <c r="J624" s="51"/>
      <c r="K624" s="51"/>
    </row>
    <row r="625">
      <c r="D625" s="55"/>
      <c r="I625" s="67"/>
      <c r="J625" s="51"/>
      <c r="K625" s="51"/>
    </row>
    <row r="626">
      <c r="D626" s="55"/>
      <c r="I626" s="67"/>
      <c r="J626" s="51"/>
      <c r="K626" s="51"/>
    </row>
    <row r="627">
      <c r="D627" s="55"/>
      <c r="I627" s="67"/>
      <c r="J627" s="51"/>
      <c r="K627" s="51"/>
    </row>
    <row r="628">
      <c r="D628" s="55"/>
      <c r="I628" s="67"/>
      <c r="J628" s="51"/>
      <c r="K628" s="51"/>
    </row>
    <row r="629">
      <c r="D629" s="55"/>
      <c r="I629" s="67"/>
      <c r="J629" s="51"/>
      <c r="K629" s="51"/>
    </row>
    <row r="630">
      <c r="D630" s="55"/>
      <c r="I630" s="67"/>
      <c r="J630" s="51"/>
      <c r="K630" s="51"/>
    </row>
    <row r="631">
      <c r="D631" s="55"/>
      <c r="I631" s="67"/>
      <c r="J631" s="51"/>
      <c r="K631" s="51"/>
    </row>
    <row r="632">
      <c r="D632" s="55"/>
      <c r="I632" s="67"/>
      <c r="J632" s="51"/>
      <c r="K632" s="51"/>
    </row>
    <row r="633">
      <c r="D633" s="55"/>
      <c r="I633" s="67"/>
      <c r="J633" s="51"/>
      <c r="K633" s="51"/>
    </row>
    <row r="634">
      <c r="D634" s="55"/>
      <c r="I634" s="67"/>
      <c r="J634" s="51"/>
      <c r="K634" s="51"/>
    </row>
    <row r="635">
      <c r="D635" s="55"/>
      <c r="I635" s="67"/>
      <c r="J635" s="51"/>
      <c r="K635" s="51"/>
    </row>
    <row r="636">
      <c r="D636" s="55"/>
      <c r="I636" s="67"/>
      <c r="J636" s="51"/>
      <c r="K636" s="51"/>
    </row>
    <row r="637">
      <c r="D637" s="55"/>
      <c r="I637" s="67"/>
      <c r="J637" s="51"/>
      <c r="K637" s="51"/>
    </row>
    <row r="638">
      <c r="D638" s="55"/>
      <c r="I638" s="67"/>
      <c r="J638" s="51"/>
      <c r="K638" s="51"/>
    </row>
    <row r="639">
      <c r="D639" s="55"/>
      <c r="I639" s="67"/>
      <c r="J639" s="51"/>
      <c r="K639" s="51"/>
    </row>
    <row r="640">
      <c r="D640" s="55"/>
      <c r="I640" s="67"/>
      <c r="J640" s="51"/>
      <c r="K640" s="51"/>
    </row>
    <row r="641">
      <c r="D641" s="55"/>
      <c r="I641" s="67"/>
      <c r="J641" s="51"/>
      <c r="K641" s="51"/>
    </row>
    <row r="642">
      <c r="D642" s="55"/>
      <c r="I642" s="67"/>
      <c r="J642" s="51"/>
      <c r="K642" s="51"/>
    </row>
    <row r="643">
      <c r="D643" s="55"/>
      <c r="I643" s="67"/>
      <c r="J643" s="51"/>
      <c r="K643" s="51"/>
    </row>
    <row r="644">
      <c r="D644" s="55"/>
      <c r="I644" s="67"/>
      <c r="J644" s="51"/>
      <c r="K644" s="51"/>
    </row>
    <row r="645">
      <c r="D645" s="55"/>
      <c r="I645" s="67"/>
      <c r="J645" s="51"/>
      <c r="K645" s="51"/>
    </row>
    <row r="646">
      <c r="D646" s="55"/>
      <c r="I646" s="67"/>
      <c r="J646" s="51"/>
      <c r="K646" s="51"/>
    </row>
    <row r="647">
      <c r="D647" s="55"/>
      <c r="I647" s="67"/>
      <c r="J647" s="51"/>
      <c r="K647" s="51"/>
    </row>
    <row r="648">
      <c r="D648" s="55"/>
      <c r="I648" s="67"/>
      <c r="J648" s="51"/>
      <c r="K648" s="51"/>
    </row>
    <row r="649">
      <c r="D649" s="55"/>
      <c r="I649" s="67"/>
      <c r="J649" s="51"/>
      <c r="K649" s="51"/>
    </row>
    <row r="650">
      <c r="D650" s="55"/>
      <c r="I650" s="67"/>
      <c r="J650" s="51"/>
      <c r="K650" s="51"/>
    </row>
    <row r="651">
      <c r="D651" s="55"/>
      <c r="I651" s="67"/>
      <c r="J651" s="51"/>
      <c r="K651" s="51"/>
    </row>
    <row r="652">
      <c r="D652" s="55"/>
      <c r="I652" s="67"/>
      <c r="J652" s="51"/>
      <c r="K652" s="51"/>
    </row>
    <row r="653">
      <c r="D653" s="55"/>
      <c r="I653" s="67"/>
      <c r="J653" s="51"/>
      <c r="K653" s="51"/>
    </row>
    <row r="654">
      <c r="D654" s="55"/>
      <c r="I654" s="67"/>
      <c r="J654" s="51"/>
      <c r="K654" s="51"/>
    </row>
    <row r="655">
      <c r="D655" s="55"/>
      <c r="I655" s="67"/>
      <c r="J655" s="51"/>
      <c r="K655" s="51"/>
    </row>
    <row r="656">
      <c r="D656" s="55"/>
      <c r="I656" s="67"/>
      <c r="J656" s="51"/>
      <c r="K656" s="51"/>
    </row>
    <row r="657">
      <c r="D657" s="55"/>
      <c r="I657" s="67"/>
      <c r="J657" s="51"/>
      <c r="K657" s="51"/>
    </row>
    <row r="658">
      <c r="D658" s="55"/>
      <c r="I658" s="67"/>
      <c r="J658" s="51"/>
      <c r="K658" s="51"/>
    </row>
    <row r="659">
      <c r="D659" s="55"/>
      <c r="I659" s="67"/>
      <c r="J659" s="51"/>
      <c r="K659" s="51"/>
    </row>
    <row r="660">
      <c r="D660" s="55"/>
      <c r="I660" s="67"/>
      <c r="J660" s="51"/>
      <c r="K660" s="51"/>
    </row>
    <row r="661">
      <c r="D661" s="55"/>
      <c r="I661" s="67"/>
      <c r="J661" s="51"/>
      <c r="K661" s="51"/>
    </row>
    <row r="662">
      <c r="D662" s="55"/>
      <c r="I662" s="67"/>
      <c r="J662" s="51"/>
      <c r="K662" s="51"/>
    </row>
    <row r="663">
      <c r="D663" s="55"/>
      <c r="I663" s="67"/>
      <c r="J663" s="51"/>
      <c r="K663" s="51"/>
    </row>
    <row r="664">
      <c r="D664" s="55"/>
      <c r="I664" s="67"/>
      <c r="J664" s="51"/>
      <c r="K664" s="51"/>
    </row>
    <row r="665">
      <c r="D665" s="55"/>
      <c r="I665" s="67"/>
      <c r="J665" s="51"/>
      <c r="K665" s="51"/>
    </row>
    <row r="666">
      <c r="D666" s="55"/>
      <c r="I666" s="67"/>
      <c r="J666" s="51"/>
      <c r="K666" s="51"/>
    </row>
    <row r="667">
      <c r="D667" s="55"/>
      <c r="I667" s="67"/>
      <c r="J667" s="51"/>
      <c r="K667" s="51"/>
    </row>
    <row r="668">
      <c r="D668" s="55"/>
      <c r="I668" s="67"/>
      <c r="J668" s="51"/>
      <c r="K668" s="51"/>
    </row>
    <row r="669">
      <c r="D669" s="55"/>
      <c r="I669" s="67"/>
      <c r="J669" s="51"/>
      <c r="K669" s="51"/>
    </row>
    <row r="670">
      <c r="D670" s="55"/>
      <c r="I670" s="67"/>
      <c r="J670" s="51"/>
      <c r="K670" s="51"/>
    </row>
    <row r="671">
      <c r="D671" s="55"/>
      <c r="I671" s="67"/>
      <c r="J671" s="51"/>
      <c r="K671" s="51"/>
    </row>
    <row r="672">
      <c r="D672" s="55"/>
      <c r="I672" s="67"/>
      <c r="J672" s="51"/>
      <c r="K672" s="51"/>
    </row>
    <row r="673">
      <c r="D673" s="55"/>
      <c r="I673" s="67"/>
      <c r="J673" s="51"/>
      <c r="K673" s="51"/>
    </row>
    <row r="674">
      <c r="D674" s="55"/>
      <c r="I674" s="67"/>
      <c r="J674" s="51"/>
      <c r="K674" s="51"/>
    </row>
    <row r="675">
      <c r="D675" s="55"/>
      <c r="I675" s="67"/>
      <c r="J675" s="51"/>
      <c r="K675" s="51"/>
    </row>
    <row r="676">
      <c r="D676" s="55"/>
      <c r="I676" s="67"/>
      <c r="J676" s="51"/>
      <c r="K676" s="51"/>
    </row>
    <row r="677">
      <c r="D677" s="55"/>
      <c r="I677" s="67"/>
      <c r="J677" s="51"/>
      <c r="K677" s="51"/>
    </row>
    <row r="678">
      <c r="D678" s="55"/>
      <c r="I678" s="67"/>
      <c r="J678" s="51"/>
      <c r="K678" s="51"/>
    </row>
    <row r="679">
      <c r="D679" s="55"/>
      <c r="I679" s="67"/>
      <c r="J679" s="51"/>
      <c r="K679" s="51"/>
    </row>
    <row r="680">
      <c r="D680" s="55"/>
      <c r="I680" s="67"/>
      <c r="J680" s="51"/>
      <c r="K680" s="51"/>
    </row>
    <row r="681">
      <c r="D681" s="55"/>
      <c r="I681" s="67"/>
      <c r="J681" s="51"/>
      <c r="K681" s="51"/>
    </row>
    <row r="682">
      <c r="D682" s="55"/>
      <c r="I682" s="67"/>
      <c r="J682" s="51"/>
      <c r="K682" s="51"/>
    </row>
    <row r="683">
      <c r="D683" s="55"/>
      <c r="I683" s="67"/>
      <c r="J683" s="51"/>
      <c r="K683" s="51"/>
    </row>
    <row r="684">
      <c r="D684" s="55"/>
      <c r="I684" s="67"/>
      <c r="J684" s="51"/>
      <c r="K684" s="51"/>
    </row>
    <row r="685">
      <c r="D685" s="55"/>
      <c r="I685" s="67"/>
      <c r="J685" s="51"/>
      <c r="K685" s="51"/>
    </row>
    <row r="686">
      <c r="D686" s="55"/>
      <c r="I686" s="67"/>
      <c r="J686" s="51"/>
      <c r="K686" s="51"/>
    </row>
    <row r="687">
      <c r="D687" s="55"/>
      <c r="I687" s="67"/>
      <c r="J687" s="51"/>
      <c r="K687" s="51"/>
    </row>
    <row r="688">
      <c r="D688" s="55"/>
      <c r="I688" s="67"/>
      <c r="J688" s="51"/>
      <c r="K688" s="51"/>
    </row>
    <row r="689">
      <c r="D689" s="55"/>
      <c r="I689" s="67"/>
      <c r="J689" s="51"/>
      <c r="K689" s="51"/>
    </row>
    <row r="690">
      <c r="D690" s="55"/>
      <c r="I690" s="67"/>
      <c r="J690" s="51"/>
      <c r="K690" s="51"/>
    </row>
    <row r="691">
      <c r="D691" s="55"/>
      <c r="I691" s="67"/>
      <c r="J691" s="51"/>
      <c r="K691" s="51"/>
    </row>
    <row r="692">
      <c r="D692" s="55"/>
      <c r="I692" s="67"/>
      <c r="J692" s="51"/>
      <c r="K692" s="51"/>
    </row>
    <row r="693">
      <c r="D693" s="55"/>
      <c r="I693" s="67"/>
      <c r="J693" s="51"/>
      <c r="K693" s="51"/>
    </row>
    <row r="694">
      <c r="D694" s="55"/>
      <c r="I694" s="67"/>
      <c r="J694" s="51"/>
      <c r="K694" s="51"/>
    </row>
    <row r="695">
      <c r="D695" s="55"/>
      <c r="I695" s="67"/>
      <c r="J695" s="51"/>
      <c r="K695" s="51"/>
    </row>
    <row r="696">
      <c r="D696" s="55"/>
      <c r="I696" s="67"/>
      <c r="J696" s="51"/>
      <c r="K696" s="51"/>
    </row>
    <row r="697">
      <c r="D697" s="55"/>
      <c r="I697" s="67"/>
      <c r="J697" s="51"/>
      <c r="K697" s="51"/>
    </row>
    <row r="698">
      <c r="D698" s="55"/>
      <c r="I698" s="67"/>
      <c r="J698" s="51"/>
      <c r="K698" s="51"/>
    </row>
    <row r="699">
      <c r="D699" s="55"/>
      <c r="I699" s="67"/>
      <c r="J699" s="51"/>
      <c r="K699" s="51"/>
    </row>
    <row r="700">
      <c r="D700" s="55"/>
      <c r="I700" s="67"/>
      <c r="J700" s="51"/>
      <c r="K700" s="51"/>
    </row>
    <row r="701">
      <c r="D701" s="55"/>
      <c r="I701" s="67"/>
      <c r="J701" s="51"/>
      <c r="K701" s="51"/>
    </row>
    <row r="702">
      <c r="D702" s="55"/>
      <c r="I702" s="67"/>
      <c r="J702" s="51"/>
      <c r="K702" s="51"/>
    </row>
    <row r="703">
      <c r="D703" s="55"/>
      <c r="I703" s="67"/>
      <c r="J703" s="51"/>
      <c r="K703" s="51"/>
    </row>
    <row r="704">
      <c r="D704" s="55"/>
      <c r="I704" s="67"/>
      <c r="J704" s="51"/>
      <c r="K704" s="51"/>
    </row>
    <row r="705">
      <c r="D705" s="55"/>
      <c r="I705" s="67"/>
      <c r="J705" s="51"/>
      <c r="K705" s="51"/>
    </row>
    <row r="706">
      <c r="D706" s="55"/>
      <c r="I706" s="67"/>
      <c r="J706" s="51"/>
      <c r="K706" s="51"/>
    </row>
    <row r="707">
      <c r="D707" s="55"/>
      <c r="I707" s="67"/>
      <c r="J707" s="51"/>
      <c r="K707" s="51"/>
    </row>
    <row r="708">
      <c r="D708" s="55"/>
      <c r="I708" s="67"/>
      <c r="J708" s="51"/>
      <c r="K708" s="51"/>
    </row>
    <row r="709">
      <c r="D709" s="55"/>
      <c r="I709" s="67"/>
      <c r="J709" s="51"/>
      <c r="K709" s="51"/>
    </row>
    <row r="710">
      <c r="D710" s="55"/>
      <c r="I710" s="67"/>
      <c r="J710" s="51"/>
      <c r="K710" s="51"/>
    </row>
    <row r="711">
      <c r="D711" s="55"/>
      <c r="I711" s="67"/>
      <c r="J711" s="51"/>
      <c r="K711" s="51"/>
    </row>
    <row r="712">
      <c r="D712" s="55"/>
      <c r="I712" s="67"/>
      <c r="J712" s="51"/>
      <c r="K712" s="51"/>
    </row>
    <row r="713">
      <c r="D713" s="55"/>
      <c r="I713" s="67"/>
      <c r="J713" s="51"/>
      <c r="K713" s="51"/>
    </row>
    <row r="714">
      <c r="D714" s="55"/>
      <c r="I714" s="67"/>
      <c r="J714" s="51"/>
      <c r="K714" s="51"/>
    </row>
    <row r="715">
      <c r="D715" s="55"/>
      <c r="I715" s="67"/>
      <c r="J715" s="51"/>
      <c r="K715" s="51"/>
    </row>
    <row r="716">
      <c r="D716" s="55"/>
      <c r="I716" s="67"/>
      <c r="J716" s="51"/>
      <c r="K716" s="51"/>
    </row>
    <row r="717">
      <c r="D717" s="55"/>
      <c r="I717" s="67"/>
      <c r="J717" s="51"/>
      <c r="K717" s="51"/>
    </row>
    <row r="718">
      <c r="D718" s="55"/>
      <c r="I718" s="67"/>
      <c r="J718" s="51"/>
      <c r="K718" s="51"/>
    </row>
    <row r="719">
      <c r="D719" s="55"/>
      <c r="I719" s="67"/>
      <c r="J719" s="51"/>
      <c r="K719" s="51"/>
    </row>
    <row r="720">
      <c r="D720" s="55"/>
      <c r="I720" s="67"/>
      <c r="J720" s="51"/>
      <c r="K720" s="51"/>
    </row>
    <row r="721">
      <c r="D721" s="55"/>
      <c r="I721" s="67"/>
      <c r="J721" s="51"/>
      <c r="K721" s="51"/>
    </row>
    <row r="722">
      <c r="D722" s="55"/>
      <c r="I722" s="67"/>
      <c r="J722" s="51"/>
      <c r="K722" s="51"/>
    </row>
    <row r="723">
      <c r="D723" s="55"/>
      <c r="I723" s="67"/>
      <c r="J723" s="51"/>
      <c r="K723" s="51"/>
    </row>
    <row r="724">
      <c r="D724" s="55"/>
      <c r="I724" s="67"/>
      <c r="J724" s="51"/>
      <c r="K724" s="51"/>
    </row>
    <row r="725">
      <c r="D725" s="55"/>
      <c r="I725" s="67"/>
      <c r="J725" s="51"/>
      <c r="K725" s="51"/>
    </row>
    <row r="726">
      <c r="D726" s="55"/>
      <c r="I726" s="67"/>
      <c r="J726" s="51"/>
      <c r="K726" s="51"/>
    </row>
    <row r="727">
      <c r="D727" s="55"/>
      <c r="I727" s="67"/>
      <c r="J727" s="51"/>
      <c r="K727" s="51"/>
    </row>
    <row r="728">
      <c r="D728" s="55"/>
      <c r="I728" s="67"/>
      <c r="J728" s="51"/>
      <c r="K728" s="51"/>
    </row>
    <row r="729">
      <c r="D729" s="55"/>
      <c r="I729" s="67"/>
      <c r="J729" s="51"/>
      <c r="K729" s="51"/>
    </row>
    <row r="730">
      <c r="D730" s="55"/>
      <c r="I730" s="67"/>
      <c r="J730" s="51"/>
      <c r="K730" s="51"/>
    </row>
    <row r="731">
      <c r="D731" s="55"/>
      <c r="I731" s="67"/>
      <c r="J731" s="51"/>
      <c r="K731" s="51"/>
    </row>
    <row r="732">
      <c r="D732" s="55"/>
      <c r="I732" s="67"/>
      <c r="J732" s="51"/>
      <c r="K732" s="51"/>
    </row>
    <row r="733">
      <c r="D733" s="55"/>
      <c r="I733" s="67"/>
      <c r="J733" s="51"/>
      <c r="K733" s="51"/>
    </row>
    <row r="734">
      <c r="D734" s="55"/>
      <c r="I734" s="67"/>
      <c r="J734" s="51"/>
      <c r="K734" s="51"/>
    </row>
    <row r="735">
      <c r="D735" s="55"/>
      <c r="I735" s="67"/>
      <c r="J735" s="51"/>
      <c r="K735" s="51"/>
    </row>
    <row r="736">
      <c r="D736" s="55"/>
      <c r="I736" s="67"/>
      <c r="J736" s="51"/>
      <c r="K736" s="51"/>
    </row>
    <row r="737">
      <c r="D737" s="55"/>
      <c r="I737" s="67"/>
      <c r="J737" s="51"/>
      <c r="K737" s="51"/>
    </row>
    <row r="738">
      <c r="D738" s="55"/>
      <c r="I738" s="67"/>
      <c r="J738" s="51"/>
      <c r="K738" s="51"/>
    </row>
    <row r="739">
      <c r="D739" s="55"/>
      <c r="I739" s="67"/>
      <c r="J739" s="51"/>
      <c r="K739" s="51"/>
    </row>
    <row r="740">
      <c r="D740" s="55"/>
      <c r="I740" s="67"/>
      <c r="J740" s="51"/>
      <c r="K740" s="51"/>
    </row>
    <row r="741">
      <c r="D741" s="55"/>
      <c r="I741" s="67"/>
      <c r="J741" s="51"/>
      <c r="K741" s="51"/>
    </row>
    <row r="742">
      <c r="D742" s="55"/>
      <c r="I742" s="67"/>
      <c r="J742" s="51"/>
      <c r="K742" s="51"/>
    </row>
    <row r="743">
      <c r="D743" s="55"/>
      <c r="I743" s="67"/>
      <c r="J743" s="51"/>
      <c r="K743" s="51"/>
    </row>
    <row r="744">
      <c r="D744" s="55"/>
      <c r="I744" s="67"/>
      <c r="J744" s="51"/>
      <c r="K744" s="51"/>
    </row>
    <row r="745">
      <c r="D745" s="55"/>
      <c r="I745" s="67"/>
      <c r="J745" s="51"/>
      <c r="K745" s="51"/>
    </row>
    <row r="746">
      <c r="D746" s="55"/>
      <c r="I746" s="67"/>
      <c r="J746" s="51"/>
      <c r="K746" s="51"/>
    </row>
    <row r="747">
      <c r="D747" s="55"/>
      <c r="I747" s="67"/>
      <c r="J747" s="51"/>
      <c r="K747" s="51"/>
    </row>
    <row r="748">
      <c r="D748" s="55"/>
      <c r="I748" s="67"/>
      <c r="J748" s="51"/>
      <c r="K748" s="51"/>
    </row>
    <row r="749">
      <c r="D749" s="55"/>
      <c r="I749" s="67"/>
      <c r="J749" s="51"/>
      <c r="K749" s="51"/>
    </row>
    <row r="750">
      <c r="D750" s="55"/>
      <c r="I750" s="67"/>
      <c r="J750" s="51"/>
      <c r="K750" s="51"/>
    </row>
    <row r="751">
      <c r="D751" s="55"/>
      <c r="I751" s="67"/>
      <c r="J751" s="51"/>
      <c r="K751" s="51"/>
    </row>
    <row r="752">
      <c r="D752" s="55"/>
      <c r="I752" s="67"/>
      <c r="J752" s="51"/>
      <c r="K752" s="51"/>
    </row>
    <row r="753">
      <c r="D753" s="55"/>
      <c r="I753" s="67"/>
      <c r="J753" s="51"/>
      <c r="K753" s="51"/>
    </row>
    <row r="754">
      <c r="D754" s="55"/>
      <c r="I754" s="67"/>
      <c r="J754" s="51"/>
      <c r="K754" s="51"/>
    </row>
    <row r="755">
      <c r="D755" s="55"/>
      <c r="I755" s="67"/>
      <c r="J755" s="51"/>
      <c r="K755" s="51"/>
    </row>
    <row r="756">
      <c r="D756" s="55"/>
      <c r="I756" s="67"/>
      <c r="J756" s="51"/>
      <c r="K756" s="51"/>
    </row>
    <row r="757">
      <c r="D757" s="55"/>
      <c r="I757" s="67"/>
      <c r="J757" s="51"/>
      <c r="K757" s="51"/>
    </row>
    <row r="758">
      <c r="D758" s="55"/>
      <c r="I758" s="67"/>
      <c r="J758" s="51"/>
      <c r="K758" s="51"/>
    </row>
    <row r="759">
      <c r="D759" s="55"/>
      <c r="I759" s="67"/>
      <c r="J759" s="51"/>
      <c r="K759" s="51"/>
    </row>
    <row r="760">
      <c r="D760" s="55"/>
      <c r="I760" s="67"/>
      <c r="J760" s="51"/>
      <c r="K760" s="51"/>
    </row>
    <row r="761">
      <c r="D761" s="55"/>
      <c r="I761" s="67"/>
      <c r="J761" s="51"/>
      <c r="K761" s="51"/>
    </row>
    <row r="762">
      <c r="D762" s="55"/>
      <c r="I762" s="67"/>
      <c r="J762" s="51"/>
      <c r="K762" s="51"/>
    </row>
    <row r="763">
      <c r="D763" s="55"/>
      <c r="I763" s="67"/>
      <c r="J763" s="51"/>
      <c r="K763" s="51"/>
    </row>
    <row r="764">
      <c r="D764" s="55"/>
      <c r="I764" s="67"/>
      <c r="J764" s="51"/>
      <c r="K764" s="51"/>
    </row>
    <row r="765">
      <c r="D765" s="55"/>
      <c r="I765" s="67"/>
      <c r="J765" s="51"/>
      <c r="K765" s="51"/>
    </row>
    <row r="766">
      <c r="D766" s="55"/>
      <c r="I766" s="67"/>
      <c r="J766" s="51"/>
      <c r="K766" s="51"/>
    </row>
    <row r="767">
      <c r="D767" s="55"/>
      <c r="I767" s="67"/>
      <c r="J767" s="51"/>
      <c r="K767" s="51"/>
    </row>
    <row r="768">
      <c r="D768" s="55"/>
      <c r="I768" s="67"/>
      <c r="J768" s="51"/>
      <c r="K768" s="51"/>
    </row>
    <row r="769">
      <c r="D769" s="55"/>
      <c r="I769" s="67"/>
      <c r="J769" s="51"/>
      <c r="K769" s="51"/>
    </row>
    <row r="770">
      <c r="D770" s="55"/>
      <c r="I770" s="67"/>
      <c r="J770" s="51"/>
      <c r="K770" s="51"/>
    </row>
    <row r="771">
      <c r="D771" s="55"/>
      <c r="I771" s="67"/>
      <c r="J771" s="51"/>
      <c r="K771" s="51"/>
    </row>
    <row r="772">
      <c r="D772" s="55"/>
      <c r="I772" s="67"/>
      <c r="J772" s="51"/>
      <c r="K772" s="51"/>
    </row>
    <row r="773">
      <c r="D773" s="55"/>
      <c r="I773" s="67"/>
      <c r="J773" s="51"/>
      <c r="K773" s="51"/>
    </row>
    <row r="774">
      <c r="D774" s="55"/>
      <c r="I774" s="67"/>
      <c r="J774" s="51"/>
      <c r="K774" s="51"/>
    </row>
    <row r="775">
      <c r="D775" s="55"/>
      <c r="I775" s="67"/>
      <c r="J775" s="51"/>
      <c r="K775" s="51"/>
    </row>
    <row r="776">
      <c r="D776" s="55"/>
      <c r="I776" s="67"/>
      <c r="J776" s="51"/>
      <c r="K776" s="51"/>
    </row>
    <row r="777">
      <c r="D777" s="55"/>
      <c r="I777" s="67"/>
      <c r="J777" s="51"/>
      <c r="K777" s="51"/>
    </row>
    <row r="778">
      <c r="D778" s="55"/>
      <c r="I778" s="67"/>
      <c r="J778" s="51"/>
      <c r="K778" s="51"/>
    </row>
    <row r="779">
      <c r="D779" s="55"/>
      <c r="I779" s="67"/>
      <c r="J779" s="51"/>
      <c r="K779" s="51"/>
    </row>
    <row r="780">
      <c r="D780" s="55"/>
      <c r="I780" s="67"/>
      <c r="J780" s="51"/>
      <c r="K780" s="51"/>
    </row>
    <row r="781">
      <c r="D781" s="55"/>
      <c r="I781" s="67"/>
      <c r="J781" s="51"/>
      <c r="K781" s="51"/>
    </row>
    <row r="782">
      <c r="D782" s="55"/>
      <c r="I782" s="67"/>
      <c r="J782" s="51"/>
      <c r="K782" s="51"/>
    </row>
    <row r="783">
      <c r="D783" s="55"/>
      <c r="I783" s="67"/>
      <c r="J783" s="51"/>
      <c r="K783" s="51"/>
    </row>
    <row r="784">
      <c r="D784" s="55"/>
      <c r="I784" s="67"/>
      <c r="J784" s="51"/>
      <c r="K784" s="51"/>
    </row>
    <row r="785">
      <c r="D785" s="55"/>
      <c r="I785" s="67"/>
      <c r="J785" s="51"/>
      <c r="K785" s="51"/>
    </row>
    <row r="786">
      <c r="D786" s="55"/>
      <c r="I786" s="67"/>
      <c r="J786" s="51"/>
      <c r="K786" s="51"/>
    </row>
    <row r="787">
      <c r="D787" s="55"/>
      <c r="I787" s="67"/>
      <c r="J787" s="51"/>
      <c r="K787" s="51"/>
    </row>
    <row r="788">
      <c r="D788" s="55"/>
      <c r="I788" s="67"/>
      <c r="J788" s="51"/>
      <c r="K788" s="51"/>
    </row>
    <row r="789">
      <c r="D789" s="55"/>
      <c r="I789" s="67"/>
      <c r="J789" s="51"/>
      <c r="K789" s="51"/>
    </row>
    <row r="790">
      <c r="D790" s="55"/>
      <c r="I790" s="67"/>
      <c r="J790" s="51"/>
      <c r="K790" s="51"/>
    </row>
    <row r="791">
      <c r="D791" s="55"/>
      <c r="I791" s="67"/>
      <c r="J791" s="51"/>
      <c r="K791" s="51"/>
    </row>
    <row r="792">
      <c r="D792" s="55"/>
      <c r="I792" s="67"/>
      <c r="J792" s="51"/>
      <c r="K792" s="51"/>
    </row>
    <row r="793">
      <c r="D793" s="55"/>
      <c r="I793" s="67"/>
      <c r="J793" s="51"/>
      <c r="K793" s="51"/>
    </row>
    <row r="794">
      <c r="D794" s="55"/>
      <c r="I794" s="67"/>
      <c r="J794" s="51"/>
      <c r="K794" s="51"/>
    </row>
    <row r="795">
      <c r="D795" s="55"/>
      <c r="I795" s="67"/>
      <c r="J795" s="51"/>
      <c r="K795" s="51"/>
    </row>
    <row r="796">
      <c r="D796" s="55"/>
      <c r="I796" s="67"/>
      <c r="J796" s="51"/>
      <c r="K796" s="51"/>
    </row>
    <row r="797">
      <c r="D797" s="55"/>
      <c r="I797" s="67"/>
      <c r="J797" s="51"/>
      <c r="K797" s="51"/>
    </row>
    <row r="798">
      <c r="D798" s="55"/>
      <c r="I798" s="67"/>
      <c r="J798" s="51"/>
      <c r="K798" s="51"/>
    </row>
    <row r="799">
      <c r="D799" s="55"/>
      <c r="I799" s="67"/>
      <c r="J799" s="51"/>
      <c r="K799" s="51"/>
    </row>
    <row r="800">
      <c r="D800" s="55"/>
      <c r="I800" s="67"/>
      <c r="J800" s="51"/>
      <c r="K800" s="51"/>
    </row>
    <row r="801">
      <c r="D801" s="55"/>
      <c r="I801" s="67"/>
      <c r="J801" s="51"/>
      <c r="K801" s="51"/>
    </row>
    <row r="802">
      <c r="D802" s="55"/>
      <c r="I802" s="67"/>
      <c r="J802" s="51"/>
      <c r="K802" s="51"/>
    </row>
    <row r="803">
      <c r="D803" s="55"/>
      <c r="I803" s="67"/>
      <c r="J803" s="51"/>
      <c r="K803" s="51"/>
    </row>
    <row r="804">
      <c r="D804" s="55"/>
      <c r="I804" s="67"/>
      <c r="J804" s="51"/>
      <c r="K804" s="51"/>
    </row>
    <row r="805">
      <c r="D805" s="55"/>
      <c r="I805" s="67"/>
      <c r="J805" s="51"/>
      <c r="K805" s="51"/>
    </row>
    <row r="806">
      <c r="D806" s="55"/>
      <c r="I806" s="67"/>
      <c r="J806" s="51"/>
      <c r="K806" s="51"/>
    </row>
    <row r="807">
      <c r="D807" s="55"/>
      <c r="I807" s="67"/>
      <c r="J807" s="51"/>
      <c r="K807" s="51"/>
    </row>
    <row r="808">
      <c r="D808" s="55"/>
      <c r="I808" s="67"/>
      <c r="J808" s="51"/>
      <c r="K808" s="51"/>
    </row>
    <row r="809">
      <c r="D809" s="55"/>
      <c r="I809" s="67"/>
      <c r="J809" s="51"/>
      <c r="K809" s="51"/>
    </row>
    <row r="810">
      <c r="D810" s="55"/>
      <c r="I810" s="67"/>
      <c r="J810" s="51"/>
      <c r="K810" s="51"/>
    </row>
    <row r="811">
      <c r="D811" s="55"/>
      <c r="I811" s="67"/>
      <c r="J811" s="51"/>
      <c r="K811" s="51"/>
    </row>
    <row r="812">
      <c r="D812" s="55"/>
      <c r="I812" s="67"/>
      <c r="J812" s="51"/>
      <c r="K812" s="51"/>
    </row>
    <row r="813">
      <c r="D813" s="55"/>
      <c r="I813" s="67"/>
      <c r="J813" s="51"/>
      <c r="K813" s="51"/>
    </row>
    <row r="814">
      <c r="D814" s="55"/>
      <c r="I814" s="67"/>
      <c r="J814" s="51"/>
      <c r="K814" s="51"/>
    </row>
    <row r="815">
      <c r="D815" s="55"/>
      <c r="I815" s="67"/>
      <c r="J815" s="51"/>
      <c r="K815" s="51"/>
    </row>
    <row r="816">
      <c r="D816" s="55"/>
      <c r="I816" s="67"/>
      <c r="J816" s="51"/>
      <c r="K816" s="51"/>
    </row>
    <row r="817">
      <c r="D817" s="55"/>
      <c r="I817" s="67"/>
      <c r="J817" s="51"/>
      <c r="K817" s="51"/>
    </row>
    <row r="818">
      <c r="D818" s="55"/>
      <c r="I818" s="67"/>
      <c r="J818" s="51"/>
      <c r="K818" s="51"/>
    </row>
    <row r="819">
      <c r="D819" s="55"/>
      <c r="I819" s="67"/>
      <c r="J819" s="51"/>
      <c r="K819" s="51"/>
    </row>
    <row r="820">
      <c r="D820" s="55"/>
      <c r="I820" s="67"/>
      <c r="J820" s="51"/>
      <c r="K820" s="51"/>
    </row>
    <row r="821">
      <c r="D821" s="55"/>
      <c r="I821" s="67"/>
      <c r="J821" s="51"/>
      <c r="K821" s="51"/>
    </row>
    <row r="822">
      <c r="D822" s="55"/>
      <c r="I822" s="67"/>
      <c r="J822" s="51"/>
      <c r="K822" s="51"/>
    </row>
    <row r="823">
      <c r="D823" s="55"/>
      <c r="I823" s="67"/>
      <c r="J823" s="51"/>
      <c r="K823" s="51"/>
    </row>
    <row r="824">
      <c r="D824" s="55"/>
      <c r="I824" s="67"/>
      <c r="J824" s="51"/>
      <c r="K824" s="51"/>
    </row>
    <row r="825">
      <c r="D825" s="55"/>
      <c r="I825" s="67"/>
      <c r="J825" s="51"/>
      <c r="K825" s="51"/>
    </row>
    <row r="826">
      <c r="D826" s="55"/>
      <c r="I826" s="67"/>
      <c r="J826" s="51"/>
      <c r="K826" s="51"/>
    </row>
    <row r="827">
      <c r="D827" s="55"/>
      <c r="I827" s="67"/>
      <c r="J827" s="51"/>
      <c r="K827" s="51"/>
    </row>
    <row r="828">
      <c r="D828" s="55"/>
      <c r="I828" s="67"/>
      <c r="J828" s="51"/>
      <c r="K828" s="51"/>
    </row>
    <row r="829">
      <c r="D829" s="55"/>
      <c r="I829" s="67"/>
      <c r="J829" s="51"/>
      <c r="K829" s="51"/>
    </row>
    <row r="830">
      <c r="D830" s="55"/>
      <c r="I830" s="67"/>
      <c r="J830" s="51"/>
      <c r="K830" s="51"/>
    </row>
    <row r="831">
      <c r="D831" s="55"/>
      <c r="I831" s="67"/>
      <c r="J831" s="51"/>
      <c r="K831" s="51"/>
    </row>
    <row r="832">
      <c r="D832" s="55"/>
      <c r="I832" s="67"/>
      <c r="J832" s="51"/>
      <c r="K832" s="51"/>
    </row>
    <row r="833">
      <c r="D833" s="55"/>
      <c r="I833" s="67"/>
      <c r="J833" s="51"/>
      <c r="K833" s="51"/>
    </row>
    <row r="834">
      <c r="D834" s="55"/>
      <c r="I834" s="67"/>
      <c r="J834" s="51"/>
      <c r="K834" s="51"/>
    </row>
    <row r="835">
      <c r="D835" s="55"/>
      <c r="I835" s="67"/>
      <c r="J835" s="51"/>
      <c r="K835" s="51"/>
    </row>
    <row r="836">
      <c r="D836" s="55"/>
      <c r="I836" s="67"/>
      <c r="J836" s="51"/>
      <c r="K836" s="51"/>
    </row>
    <row r="837">
      <c r="D837" s="55"/>
      <c r="I837" s="67"/>
      <c r="J837" s="51"/>
      <c r="K837" s="51"/>
    </row>
    <row r="838">
      <c r="D838" s="55"/>
      <c r="I838" s="67"/>
      <c r="J838" s="51"/>
      <c r="K838" s="51"/>
    </row>
    <row r="839">
      <c r="D839" s="55"/>
      <c r="I839" s="67"/>
      <c r="J839" s="51"/>
      <c r="K839" s="51"/>
    </row>
    <row r="840">
      <c r="D840" s="55"/>
      <c r="I840" s="67"/>
      <c r="J840" s="51"/>
      <c r="K840" s="51"/>
    </row>
    <row r="841">
      <c r="D841" s="55"/>
      <c r="I841" s="67"/>
      <c r="J841" s="51"/>
      <c r="K841" s="51"/>
    </row>
    <row r="842">
      <c r="D842" s="55"/>
      <c r="I842" s="67"/>
      <c r="J842" s="51"/>
      <c r="K842" s="51"/>
    </row>
    <row r="843">
      <c r="D843" s="55"/>
      <c r="I843" s="67"/>
      <c r="J843" s="51"/>
      <c r="K843" s="51"/>
    </row>
    <row r="844">
      <c r="D844" s="55"/>
      <c r="I844" s="67"/>
      <c r="J844" s="51"/>
      <c r="K844" s="51"/>
    </row>
    <row r="845">
      <c r="D845" s="55"/>
      <c r="I845" s="67"/>
      <c r="J845" s="51"/>
      <c r="K845" s="51"/>
    </row>
    <row r="846">
      <c r="D846" s="55"/>
      <c r="I846" s="67"/>
      <c r="J846" s="51"/>
      <c r="K846" s="51"/>
    </row>
    <row r="847">
      <c r="D847" s="55"/>
      <c r="I847" s="67"/>
      <c r="J847" s="51"/>
      <c r="K847" s="51"/>
    </row>
    <row r="848">
      <c r="D848" s="55"/>
      <c r="I848" s="67"/>
      <c r="J848" s="51"/>
      <c r="K848" s="51"/>
    </row>
    <row r="849">
      <c r="D849" s="55"/>
      <c r="I849" s="67"/>
      <c r="J849" s="51"/>
      <c r="K849" s="51"/>
    </row>
    <row r="850">
      <c r="D850" s="55"/>
      <c r="I850" s="67"/>
      <c r="J850" s="51"/>
      <c r="K850" s="51"/>
    </row>
    <row r="851">
      <c r="D851" s="55"/>
      <c r="I851" s="67"/>
      <c r="J851" s="51"/>
      <c r="K851" s="51"/>
    </row>
    <row r="852">
      <c r="D852" s="55"/>
      <c r="I852" s="67"/>
      <c r="J852" s="51"/>
      <c r="K852" s="51"/>
    </row>
    <row r="853">
      <c r="D853" s="55"/>
      <c r="I853" s="67"/>
      <c r="J853" s="51"/>
      <c r="K853" s="51"/>
    </row>
    <row r="854">
      <c r="D854" s="55"/>
      <c r="I854" s="67"/>
      <c r="J854" s="51"/>
      <c r="K854" s="51"/>
    </row>
    <row r="855">
      <c r="D855" s="55"/>
      <c r="I855" s="67"/>
      <c r="J855" s="51"/>
      <c r="K855" s="51"/>
    </row>
    <row r="856">
      <c r="D856" s="55"/>
      <c r="I856" s="67"/>
      <c r="J856" s="51"/>
      <c r="K856" s="51"/>
    </row>
    <row r="857">
      <c r="D857" s="55"/>
      <c r="I857" s="67"/>
      <c r="J857" s="51"/>
      <c r="K857" s="51"/>
    </row>
    <row r="858">
      <c r="D858" s="55"/>
      <c r="I858" s="67"/>
      <c r="J858" s="51"/>
      <c r="K858" s="51"/>
    </row>
    <row r="859">
      <c r="D859" s="55"/>
      <c r="I859" s="67"/>
      <c r="J859" s="51"/>
      <c r="K859" s="51"/>
    </row>
    <row r="860">
      <c r="D860" s="55"/>
      <c r="I860" s="67"/>
      <c r="J860" s="51"/>
      <c r="K860" s="51"/>
    </row>
    <row r="861">
      <c r="D861" s="55"/>
      <c r="I861" s="67"/>
      <c r="J861" s="51"/>
      <c r="K861" s="51"/>
    </row>
    <row r="862">
      <c r="D862" s="55"/>
      <c r="I862" s="67"/>
      <c r="J862" s="51"/>
      <c r="K862" s="51"/>
    </row>
    <row r="863">
      <c r="D863" s="55"/>
      <c r="I863" s="67"/>
      <c r="J863" s="51"/>
      <c r="K863" s="51"/>
    </row>
    <row r="864">
      <c r="D864" s="55"/>
      <c r="I864" s="67"/>
      <c r="J864" s="51"/>
      <c r="K864" s="51"/>
    </row>
    <row r="865">
      <c r="D865" s="55"/>
      <c r="I865" s="67"/>
      <c r="J865" s="51"/>
      <c r="K865" s="51"/>
    </row>
    <row r="866">
      <c r="D866" s="55"/>
      <c r="I866" s="67"/>
      <c r="J866" s="51"/>
      <c r="K866" s="51"/>
    </row>
    <row r="867">
      <c r="D867" s="55"/>
      <c r="I867" s="67"/>
      <c r="J867" s="51"/>
      <c r="K867" s="51"/>
    </row>
    <row r="868">
      <c r="D868" s="55"/>
      <c r="I868" s="67"/>
      <c r="J868" s="51"/>
      <c r="K868" s="51"/>
    </row>
    <row r="869">
      <c r="D869" s="55"/>
      <c r="I869" s="67"/>
      <c r="J869" s="51"/>
      <c r="K869" s="51"/>
    </row>
    <row r="870">
      <c r="D870" s="55"/>
      <c r="I870" s="67"/>
      <c r="J870" s="51"/>
      <c r="K870" s="51"/>
    </row>
    <row r="871">
      <c r="D871" s="55"/>
      <c r="I871" s="67"/>
      <c r="J871" s="51"/>
      <c r="K871" s="51"/>
    </row>
    <row r="872">
      <c r="D872" s="55"/>
      <c r="I872" s="67"/>
      <c r="J872" s="51"/>
      <c r="K872" s="51"/>
    </row>
    <row r="873">
      <c r="D873" s="55"/>
      <c r="I873" s="67"/>
      <c r="J873" s="51"/>
      <c r="K873" s="51"/>
    </row>
    <row r="874">
      <c r="D874" s="55"/>
      <c r="I874" s="67"/>
      <c r="J874" s="51"/>
      <c r="K874" s="51"/>
    </row>
    <row r="875">
      <c r="D875" s="55"/>
      <c r="I875" s="67"/>
      <c r="J875" s="51"/>
      <c r="K875" s="51"/>
    </row>
    <row r="876">
      <c r="D876" s="55"/>
      <c r="I876" s="67"/>
      <c r="J876" s="51"/>
      <c r="K876" s="51"/>
    </row>
    <row r="877">
      <c r="D877" s="55"/>
      <c r="I877" s="67"/>
      <c r="J877" s="51"/>
      <c r="K877" s="51"/>
    </row>
    <row r="878">
      <c r="D878" s="55"/>
      <c r="I878" s="67"/>
      <c r="J878" s="51"/>
      <c r="K878" s="51"/>
    </row>
    <row r="879">
      <c r="D879" s="55"/>
      <c r="I879" s="67"/>
      <c r="J879" s="51"/>
      <c r="K879" s="51"/>
    </row>
    <row r="880">
      <c r="D880" s="55"/>
      <c r="I880" s="67"/>
      <c r="J880" s="51"/>
      <c r="K880" s="51"/>
    </row>
    <row r="881">
      <c r="D881" s="55"/>
      <c r="I881" s="67"/>
      <c r="J881" s="51"/>
      <c r="K881" s="51"/>
    </row>
    <row r="882">
      <c r="D882" s="55"/>
      <c r="I882" s="67"/>
      <c r="J882" s="51"/>
      <c r="K882" s="51"/>
    </row>
    <row r="883">
      <c r="D883" s="55"/>
      <c r="I883" s="67"/>
      <c r="J883" s="51"/>
      <c r="K883" s="51"/>
    </row>
    <row r="884">
      <c r="D884" s="55"/>
      <c r="I884" s="67"/>
      <c r="J884" s="51"/>
      <c r="K884" s="51"/>
    </row>
    <row r="885">
      <c r="D885" s="55"/>
      <c r="I885" s="67"/>
      <c r="J885" s="51"/>
      <c r="K885" s="51"/>
    </row>
    <row r="886">
      <c r="D886" s="55"/>
      <c r="I886" s="67"/>
      <c r="J886" s="51"/>
      <c r="K886" s="51"/>
    </row>
    <row r="887">
      <c r="D887" s="55"/>
      <c r="I887" s="67"/>
      <c r="J887" s="51"/>
      <c r="K887" s="51"/>
    </row>
    <row r="888">
      <c r="D888" s="55"/>
      <c r="I888" s="67"/>
      <c r="J888" s="51"/>
      <c r="K888" s="51"/>
    </row>
    <row r="889">
      <c r="D889" s="55"/>
      <c r="I889" s="67"/>
      <c r="J889" s="51"/>
      <c r="K889" s="51"/>
    </row>
    <row r="890">
      <c r="D890" s="55"/>
      <c r="I890" s="67"/>
      <c r="J890" s="51"/>
      <c r="K890" s="51"/>
    </row>
    <row r="891">
      <c r="D891" s="55"/>
      <c r="I891" s="67"/>
      <c r="J891" s="51"/>
      <c r="K891" s="51"/>
    </row>
    <row r="892">
      <c r="D892" s="55"/>
      <c r="I892" s="67"/>
      <c r="J892" s="51"/>
      <c r="K892" s="51"/>
    </row>
    <row r="893">
      <c r="D893" s="55"/>
      <c r="I893" s="67"/>
      <c r="J893" s="51"/>
      <c r="K893" s="51"/>
    </row>
    <row r="894">
      <c r="D894" s="55"/>
      <c r="I894" s="67"/>
      <c r="J894" s="51"/>
      <c r="K894" s="51"/>
    </row>
    <row r="895">
      <c r="D895" s="55"/>
      <c r="I895" s="67"/>
      <c r="J895" s="51"/>
      <c r="K895" s="51"/>
    </row>
    <row r="896">
      <c r="D896" s="55"/>
      <c r="I896" s="67"/>
      <c r="J896" s="51"/>
      <c r="K896" s="51"/>
    </row>
    <row r="897">
      <c r="D897" s="55"/>
      <c r="I897" s="67"/>
      <c r="J897" s="51"/>
      <c r="K897" s="51"/>
    </row>
    <row r="898">
      <c r="D898" s="55"/>
      <c r="I898" s="67"/>
      <c r="J898" s="51"/>
      <c r="K898" s="51"/>
    </row>
    <row r="899">
      <c r="D899" s="55"/>
      <c r="I899" s="67"/>
      <c r="J899" s="51"/>
      <c r="K899" s="51"/>
    </row>
    <row r="900">
      <c r="D900" s="55"/>
      <c r="I900" s="67"/>
      <c r="J900" s="51"/>
      <c r="K900" s="51"/>
    </row>
    <row r="901">
      <c r="D901" s="55"/>
      <c r="I901" s="67"/>
      <c r="J901" s="51"/>
      <c r="K901" s="51"/>
    </row>
    <row r="902">
      <c r="D902" s="55"/>
      <c r="I902" s="67"/>
      <c r="J902" s="51"/>
      <c r="K902" s="51"/>
    </row>
    <row r="903">
      <c r="D903" s="55"/>
      <c r="I903" s="67"/>
      <c r="J903" s="51"/>
      <c r="K903" s="51"/>
    </row>
    <row r="904">
      <c r="D904" s="55"/>
      <c r="I904" s="67"/>
      <c r="J904" s="51"/>
      <c r="K904" s="51"/>
    </row>
    <row r="905">
      <c r="D905" s="55"/>
      <c r="I905" s="67"/>
      <c r="J905" s="51"/>
      <c r="K905" s="51"/>
    </row>
    <row r="906">
      <c r="D906" s="55"/>
      <c r="I906" s="67"/>
      <c r="J906" s="51"/>
      <c r="K906" s="51"/>
    </row>
    <row r="907">
      <c r="D907" s="55"/>
      <c r="I907" s="67"/>
      <c r="J907" s="51"/>
      <c r="K907" s="51"/>
    </row>
    <row r="908">
      <c r="D908" s="55"/>
      <c r="I908" s="67"/>
      <c r="J908" s="51"/>
      <c r="K908" s="51"/>
    </row>
    <row r="909">
      <c r="D909" s="55"/>
      <c r="I909" s="67"/>
      <c r="J909" s="51"/>
      <c r="K909" s="51"/>
    </row>
    <row r="910">
      <c r="D910" s="55"/>
      <c r="I910" s="67"/>
      <c r="J910" s="51"/>
      <c r="K910" s="51"/>
    </row>
    <row r="911">
      <c r="D911" s="55"/>
      <c r="I911" s="67"/>
      <c r="J911" s="51"/>
      <c r="K911" s="51"/>
    </row>
    <row r="912">
      <c r="D912" s="55"/>
      <c r="I912" s="67"/>
      <c r="J912" s="51"/>
      <c r="K912" s="51"/>
    </row>
    <row r="913">
      <c r="D913" s="55"/>
      <c r="I913" s="67"/>
      <c r="J913" s="51"/>
      <c r="K913" s="51"/>
    </row>
    <row r="914">
      <c r="D914" s="55"/>
      <c r="I914" s="67"/>
      <c r="J914" s="51"/>
      <c r="K914" s="51"/>
    </row>
    <row r="915">
      <c r="D915" s="55"/>
      <c r="I915" s="67"/>
      <c r="J915" s="51"/>
      <c r="K915" s="51"/>
    </row>
    <row r="916">
      <c r="D916" s="55"/>
      <c r="I916" s="67"/>
      <c r="J916" s="51"/>
      <c r="K916" s="51"/>
    </row>
    <row r="917">
      <c r="D917" s="55"/>
      <c r="I917" s="67"/>
      <c r="J917" s="51"/>
      <c r="K917" s="51"/>
    </row>
    <row r="918">
      <c r="D918" s="55"/>
      <c r="I918" s="67"/>
      <c r="J918" s="51"/>
      <c r="K918" s="51"/>
    </row>
    <row r="919">
      <c r="D919" s="55"/>
      <c r="I919" s="67"/>
      <c r="J919" s="51"/>
      <c r="K919" s="51"/>
    </row>
    <row r="920">
      <c r="D920" s="55"/>
      <c r="I920" s="67"/>
      <c r="J920" s="51"/>
      <c r="K920" s="51"/>
    </row>
    <row r="921">
      <c r="D921" s="55"/>
      <c r="I921" s="67"/>
      <c r="J921" s="51"/>
      <c r="K921" s="51"/>
    </row>
    <row r="922">
      <c r="D922" s="55"/>
      <c r="I922" s="67"/>
      <c r="J922" s="51"/>
      <c r="K922" s="51"/>
    </row>
    <row r="923">
      <c r="D923" s="55"/>
      <c r="I923" s="67"/>
      <c r="J923" s="51"/>
      <c r="K923" s="51"/>
    </row>
    <row r="924">
      <c r="D924" s="55"/>
      <c r="I924" s="67"/>
      <c r="J924" s="51"/>
      <c r="K924" s="51"/>
    </row>
    <row r="925">
      <c r="D925" s="55"/>
      <c r="I925" s="67"/>
      <c r="J925" s="51"/>
      <c r="K925" s="51"/>
    </row>
    <row r="926">
      <c r="D926" s="55"/>
      <c r="I926" s="67"/>
      <c r="J926" s="51"/>
      <c r="K926" s="51"/>
    </row>
    <row r="927">
      <c r="D927" s="55"/>
      <c r="I927" s="67"/>
      <c r="J927" s="51"/>
      <c r="K927" s="51"/>
    </row>
    <row r="928">
      <c r="D928" s="55"/>
      <c r="I928" s="67"/>
      <c r="J928" s="51"/>
      <c r="K928" s="51"/>
    </row>
    <row r="929">
      <c r="D929" s="55"/>
      <c r="I929" s="67"/>
      <c r="J929" s="51"/>
      <c r="K929" s="51"/>
    </row>
    <row r="930">
      <c r="D930" s="55"/>
      <c r="I930" s="67"/>
      <c r="J930" s="51"/>
      <c r="K930" s="51"/>
    </row>
    <row r="931">
      <c r="D931" s="55"/>
      <c r="I931" s="67"/>
      <c r="J931" s="51"/>
      <c r="K931" s="51"/>
    </row>
    <row r="932">
      <c r="D932" s="55"/>
      <c r="I932" s="67"/>
      <c r="J932" s="51"/>
      <c r="K932" s="51"/>
    </row>
    <row r="933">
      <c r="D933" s="55"/>
      <c r="I933" s="67"/>
      <c r="J933" s="51"/>
      <c r="K933" s="51"/>
    </row>
    <row r="934">
      <c r="D934" s="55"/>
      <c r="I934" s="67"/>
      <c r="J934" s="51"/>
      <c r="K934" s="51"/>
    </row>
    <row r="935">
      <c r="D935" s="55"/>
      <c r="I935" s="67"/>
      <c r="J935" s="51"/>
      <c r="K935" s="51"/>
    </row>
    <row r="936">
      <c r="D936" s="55"/>
      <c r="I936" s="67"/>
      <c r="J936" s="51"/>
      <c r="K936" s="51"/>
    </row>
    <row r="937">
      <c r="D937" s="55"/>
      <c r="I937" s="67"/>
      <c r="J937" s="51"/>
      <c r="K937" s="51"/>
    </row>
    <row r="938">
      <c r="D938" s="55"/>
      <c r="I938" s="67"/>
      <c r="J938" s="51"/>
      <c r="K938" s="51"/>
    </row>
    <row r="939">
      <c r="D939" s="55"/>
      <c r="I939" s="67"/>
      <c r="J939" s="51"/>
      <c r="K939" s="51"/>
    </row>
    <row r="940">
      <c r="D940" s="55"/>
      <c r="I940" s="67"/>
      <c r="J940" s="51"/>
      <c r="K940" s="51"/>
    </row>
    <row r="941">
      <c r="D941" s="55"/>
      <c r="I941" s="67"/>
      <c r="J941" s="51"/>
      <c r="K941" s="51"/>
    </row>
    <row r="942">
      <c r="D942" s="55"/>
      <c r="I942" s="67"/>
      <c r="J942" s="51"/>
      <c r="K942" s="51"/>
    </row>
    <row r="943">
      <c r="D943" s="55"/>
      <c r="I943" s="67"/>
      <c r="J943" s="51"/>
      <c r="K943" s="51"/>
    </row>
    <row r="944">
      <c r="D944" s="55"/>
      <c r="I944" s="67"/>
      <c r="J944" s="51"/>
      <c r="K944" s="51"/>
    </row>
    <row r="945">
      <c r="D945" s="55"/>
      <c r="I945" s="67"/>
      <c r="J945" s="51"/>
      <c r="K945" s="51"/>
    </row>
    <row r="946">
      <c r="D946" s="55"/>
      <c r="I946" s="67"/>
      <c r="J946" s="51"/>
      <c r="K946" s="51"/>
    </row>
    <row r="947">
      <c r="D947" s="55"/>
      <c r="I947" s="67"/>
      <c r="J947" s="51"/>
      <c r="K947" s="51"/>
    </row>
    <row r="948">
      <c r="D948" s="55"/>
      <c r="I948" s="67"/>
      <c r="J948" s="51"/>
      <c r="K948" s="51"/>
    </row>
    <row r="949">
      <c r="D949" s="55"/>
      <c r="I949" s="67"/>
      <c r="J949" s="51"/>
      <c r="K949" s="51"/>
    </row>
    <row r="950">
      <c r="D950" s="55"/>
      <c r="I950" s="67"/>
      <c r="J950" s="51"/>
      <c r="K950" s="51"/>
    </row>
    <row r="951">
      <c r="D951" s="55"/>
      <c r="I951" s="67"/>
      <c r="J951" s="51"/>
      <c r="K951" s="51"/>
    </row>
    <row r="952">
      <c r="D952" s="55"/>
      <c r="I952" s="67"/>
      <c r="J952" s="51"/>
      <c r="K952" s="51"/>
    </row>
    <row r="953">
      <c r="D953" s="55"/>
      <c r="I953" s="67"/>
      <c r="J953" s="51"/>
      <c r="K953" s="51"/>
    </row>
    <row r="954">
      <c r="D954" s="55"/>
      <c r="I954" s="67"/>
      <c r="J954" s="51"/>
      <c r="K954" s="51"/>
    </row>
    <row r="955">
      <c r="D955" s="55"/>
      <c r="I955" s="67"/>
      <c r="J955" s="51"/>
      <c r="K955" s="51"/>
    </row>
    <row r="956">
      <c r="D956" s="55"/>
      <c r="I956" s="67"/>
      <c r="J956" s="51"/>
      <c r="K956" s="51"/>
    </row>
    <row r="957">
      <c r="D957" s="55"/>
      <c r="I957" s="67"/>
      <c r="J957" s="51"/>
      <c r="K957" s="51"/>
    </row>
    <row r="958">
      <c r="D958" s="55"/>
      <c r="I958" s="67"/>
      <c r="J958" s="51"/>
      <c r="K958" s="51"/>
    </row>
    <row r="959">
      <c r="D959" s="55"/>
      <c r="I959" s="67"/>
      <c r="J959" s="51"/>
      <c r="K959" s="51"/>
    </row>
    <row r="960">
      <c r="D960" s="55"/>
      <c r="I960" s="67"/>
      <c r="J960" s="51"/>
      <c r="K960" s="51"/>
    </row>
    <row r="961">
      <c r="D961" s="55"/>
      <c r="I961" s="67"/>
      <c r="J961" s="51"/>
      <c r="K961" s="51"/>
    </row>
    <row r="962">
      <c r="D962" s="55"/>
      <c r="I962" s="67"/>
      <c r="J962" s="51"/>
      <c r="K962" s="51"/>
    </row>
    <row r="963">
      <c r="D963" s="55"/>
      <c r="I963" s="67"/>
      <c r="J963" s="51"/>
      <c r="K963" s="51"/>
    </row>
    <row r="964">
      <c r="D964" s="55"/>
      <c r="I964" s="67"/>
      <c r="J964" s="51"/>
      <c r="K964" s="51"/>
    </row>
    <row r="965">
      <c r="D965" s="55"/>
      <c r="I965" s="67"/>
      <c r="J965" s="51"/>
      <c r="K965" s="51"/>
    </row>
    <row r="966">
      <c r="D966" s="55"/>
      <c r="I966" s="67"/>
      <c r="J966" s="51"/>
      <c r="K966" s="51"/>
    </row>
    <row r="967">
      <c r="D967" s="55"/>
      <c r="I967" s="67"/>
      <c r="J967" s="51"/>
      <c r="K967" s="51"/>
    </row>
    <row r="968">
      <c r="D968" s="55"/>
      <c r="I968" s="67"/>
      <c r="J968" s="51"/>
      <c r="K968" s="51"/>
    </row>
    <row r="969">
      <c r="D969" s="55"/>
      <c r="I969" s="67"/>
      <c r="J969" s="51"/>
      <c r="K969" s="51"/>
    </row>
    <row r="970">
      <c r="D970" s="55"/>
      <c r="I970" s="67"/>
      <c r="J970" s="51"/>
      <c r="K970" s="51"/>
    </row>
    <row r="971">
      <c r="D971" s="55"/>
      <c r="I971" s="67"/>
      <c r="J971" s="51"/>
      <c r="K971" s="51"/>
    </row>
    <row r="972">
      <c r="D972" s="55"/>
      <c r="I972" s="67"/>
      <c r="J972" s="51"/>
      <c r="K972" s="51"/>
    </row>
    <row r="973">
      <c r="D973" s="55"/>
      <c r="I973" s="67"/>
      <c r="J973" s="51"/>
      <c r="K973" s="51"/>
    </row>
    <row r="974">
      <c r="D974" s="55"/>
      <c r="I974" s="67"/>
      <c r="J974" s="51"/>
      <c r="K974" s="51"/>
    </row>
    <row r="975">
      <c r="D975" s="55"/>
      <c r="I975" s="67"/>
      <c r="J975" s="51"/>
      <c r="K975" s="51"/>
    </row>
    <row r="976">
      <c r="D976" s="55"/>
      <c r="I976" s="67"/>
      <c r="J976" s="51"/>
      <c r="K976" s="51"/>
    </row>
    <row r="977">
      <c r="D977" s="55"/>
      <c r="I977" s="67"/>
      <c r="J977" s="51"/>
      <c r="K977" s="51"/>
    </row>
    <row r="978">
      <c r="D978" s="55"/>
      <c r="I978" s="67"/>
      <c r="J978" s="51"/>
      <c r="K978" s="51"/>
    </row>
    <row r="979">
      <c r="D979" s="55"/>
      <c r="I979" s="67"/>
      <c r="J979" s="51"/>
      <c r="K979" s="51"/>
    </row>
    <row r="980">
      <c r="D980" s="55"/>
      <c r="I980" s="67"/>
      <c r="J980" s="51"/>
      <c r="K980" s="51"/>
    </row>
    <row r="981">
      <c r="D981" s="55"/>
      <c r="I981" s="67"/>
      <c r="J981" s="51"/>
      <c r="K981" s="51"/>
    </row>
    <row r="982">
      <c r="D982" s="55"/>
      <c r="I982" s="67"/>
      <c r="J982" s="51"/>
      <c r="K982" s="51"/>
    </row>
    <row r="983">
      <c r="D983" s="55"/>
      <c r="I983" s="67"/>
      <c r="J983" s="51"/>
      <c r="K983" s="51"/>
    </row>
    <row r="984">
      <c r="D984" s="55"/>
      <c r="I984" s="67"/>
      <c r="J984" s="51"/>
      <c r="K984" s="51"/>
    </row>
    <row r="985">
      <c r="D985" s="55"/>
      <c r="I985" s="67"/>
      <c r="J985" s="51"/>
      <c r="K985" s="51"/>
    </row>
    <row r="986">
      <c r="D986" s="55"/>
      <c r="I986" s="67"/>
      <c r="J986" s="51"/>
      <c r="K986" s="51"/>
    </row>
    <row r="987">
      <c r="D987" s="55"/>
      <c r="I987" s="67"/>
      <c r="J987" s="51"/>
      <c r="K987" s="51"/>
    </row>
    <row r="988">
      <c r="D988" s="55"/>
      <c r="I988" s="67"/>
      <c r="J988" s="51"/>
      <c r="K988" s="51"/>
    </row>
    <row r="989">
      <c r="D989" s="55"/>
      <c r="I989" s="67"/>
      <c r="J989" s="51"/>
      <c r="K989" s="51"/>
    </row>
    <row r="990">
      <c r="D990" s="55"/>
      <c r="I990" s="67"/>
      <c r="J990" s="51"/>
      <c r="K990" s="51"/>
    </row>
    <row r="991">
      <c r="D991" s="55"/>
      <c r="I991" s="67"/>
      <c r="J991" s="51"/>
      <c r="K991" s="51"/>
    </row>
    <row r="992">
      <c r="D992" s="55"/>
      <c r="I992" s="67"/>
      <c r="J992" s="51"/>
      <c r="K992" s="51"/>
    </row>
    <row r="993">
      <c r="D993" s="55"/>
      <c r="I993" s="67"/>
      <c r="J993" s="51"/>
      <c r="K993" s="51"/>
    </row>
    <row r="994">
      <c r="D994" s="55"/>
      <c r="I994" s="67"/>
      <c r="J994" s="51"/>
      <c r="K994" s="51"/>
    </row>
    <row r="995">
      <c r="D995" s="55"/>
      <c r="I995" s="67"/>
      <c r="J995" s="51"/>
      <c r="K995" s="51"/>
    </row>
    <row r="996">
      <c r="D996" s="55"/>
      <c r="I996" s="67"/>
      <c r="J996" s="51"/>
      <c r="K996" s="51"/>
    </row>
    <row r="997">
      <c r="D997" s="55"/>
      <c r="I997" s="67"/>
      <c r="J997" s="51"/>
      <c r="K997" s="51"/>
    </row>
    <row r="998">
      <c r="D998" s="55"/>
      <c r="I998" s="67"/>
      <c r="J998" s="51"/>
      <c r="K998" s="51"/>
    </row>
    <row r="999">
      <c r="D999" s="55"/>
      <c r="I999" s="67"/>
      <c r="J999" s="51"/>
      <c r="K999" s="51"/>
    </row>
  </sheetData>
  <autoFilter ref="$A$1:$Q$98">
    <sortState ref="A1:Q98">
      <sortCondition descending="1" ref="G1:G98"/>
      <sortCondition descending="1" ref="M1:M98"/>
      <sortCondition descending="1" ref="K1:K98"/>
      <sortCondition ref="A1:A98"/>
      <sortCondition descending="1" ref="I1:I98"/>
      <sortCondition descending="1" ref="H1:H98"/>
      <sortCondition descending="1" ref="D1:D98"/>
    </sortState>
  </autoFilter>
  <conditionalFormatting sqref="AB1:AC1">
    <cfRule type="colorScale" priority="1">
      <colorScale>
        <cfvo type="min"/>
        <cfvo type="percentile" val="50"/>
        <cfvo type="max"/>
        <color rgb="FF57BB8A"/>
        <color rgb="FFFFFFFF"/>
        <color rgb="FFE67C73"/>
      </colorScale>
    </cfRule>
  </conditionalFormatting>
  <conditionalFormatting sqref="J1:K98 P1:Q98">
    <cfRule type="colorScale" priority="2">
      <colorScale>
        <cfvo type="formula" val="0"/>
        <cfvo type="formula" val="1"/>
        <cfvo type="formula" val="2"/>
        <color rgb="FFE67C73"/>
        <color rgb="FFFFFFFF"/>
        <color rgb="FF57BB8A"/>
      </colorScale>
    </cfRule>
  </conditionalFormatting>
  <conditionalFormatting sqref="AG1:AG98">
    <cfRule type="colorScale" priority="3">
      <colorScale>
        <cfvo type="min"/>
        <cfvo type="formula" val="3000"/>
        <cfvo type="formula" val="6000"/>
        <color rgb="FFE67C73"/>
        <color rgb="FFFFFFFF"/>
        <color rgb="FF57BB8A"/>
      </colorScale>
    </cfRule>
  </conditionalFormatting>
  <conditionalFormatting sqref="G1:G98 I1:I98">
    <cfRule type="colorScale" priority="4">
      <colorScale>
        <cfvo type="min"/>
        <cfvo type="formula" val="10"/>
        <cfvo type="max"/>
        <color rgb="FFE67C73"/>
        <color rgb="FFFFFFFF"/>
        <color rgb="FF57BB8A"/>
      </colorScale>
    </cfRule>
  </conditionalFormatting>
  <conditionalFormatting sqref="AK1:AK98 AL1">
    <cfRule type="colorScale" priority="5">
      <colorScale>
        <cfvo type="min"/>
        <cfvo type="percentile" val="50"/>
        <cfvo type="max"/>
        <color rgb="FFE67C73"/>
        <color rgb="FFFFFFFF"/>
        <color rgb="FF57BB8A"/>
      </colorScale>
    </cfRule>
  </conditionalFormatting>
  <conditionalFormatting sqref="AL1:AL98">
    <cfRule type="colorScale" priority="6">
      <colorScale>
        <cfvo type="min"/>
        <cfvo type="percentile" val="50"/>
        <cfvo type="max"/>
        <color rgb="FFE67C73"/>
        <color rgb="FFFFFFFF"/>
        <color rgb="FF57BB8A"/>
      </colorScale>
    </cfRule>
  </conditionalFormatting>
  <conditionalFormatting sqref="E1:E98">
    <cfRule type="colorScale" priority="7">
      <colorScale>
        <cfvo type="formula" val="45500"/>
        <cfvo type="percentile" val="50"/>
        <cfvo type="max"/>
        <color rgb="FFE67C73"/>
        <color rgb="FFFFFFFF"/>
        <color rgb="FF57BB8A"/>
      </colorScale>
    </cfRule>
  </conditionalFormatting>
  <conditionalFormatting sqref="V1:W98 AB1:AC1">
    <cfRule type="colorScale" priority="8">
      <colorScale>
        <cfvo type="formula" val="-0.1"/>
        <cfvo type="formula" val="0"/>
        <cfvo type="formula" val="0.1"/>
        <color rgb="FFE67C73"/>
        <color rgb="FFFFFFFF"/>
        <color rgb="FF57BB8A"/>
      </colorScale>
    </cfRule>
  </conditionalFormatting>
  <conditionalFormatting sqref="M1:M98 O1:O98">
    <cfRule type="colorScale" priority="9">
      <colorScale>
        <cfvo type="min"/>
        <cfvo type="percentile" val="80"/>
        <cfvo type="max"/>
        <color rgb="FFE67C73"/>
        <color rgb="FFFFFFFF"/>
        <color rgb="FF57BB8A"/>
      </colorScale>
    </cfRule>
  </conditionalFormatting>
  <conditionalFormatting sqref="AB1:AC98">
    <cfRule type="colorScale" priority="10">
      <colorScale>
        <cfvo type="formula" val="-10"/>
        <cfvo type="formula" val="0"/>
        <cfvo type="formula" val="10"/>
        <color rgb="FF57BB8A"/>
        <color rgb="FFFFFFFF"/>
        <color rgb="FFE67C73"/>
      </colorScale>
    </cfRule>
  </conditionalFormatting>
  <conditionalFormatting sqref="A2:A199">
    <cfRule type="expression" dxfId="0" priority="11">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2"/>
    <hyperlink r:id="rId51" ref="A54"/>
    <hyperlink r:id="rId52" ref="A57"/>
    <hyperlink r:id="rId53" ref="A58"/>
    <hyperlink r:id="rId54" ref="A59"/>
    <hyperlink r:id="rId55" ref="A60"/>
    <hyperlink r:id="rId56" ref="A61"/>
    <hyperlink r:id="rId57" ref="A62"/>
    <hyperlink r:id="rId58" ref="A63"/>
    <hyperlink r:id="rId59" ref="A64"/>
    <hyperlink r:id="rId60" ref="A65"/>
    <hyperlink r:id="rId61" ref="A66"/>
    <hyperlink r:id="rId62" ref="A67"/>
    <hyperlink r:id="rId63" ref="A68"/>
    <hyperlink r:id="rId64" ref="A69"/>
    <hyperlink r:id="rId65" ref="A70"/>
    <hyperlink r:id="rId66" ref="A71"/>
    <hyperlink r:id="rId67" ref="A72"/>
    <hyperlink r:id="rId68" ref="A73"/>
    <hyperlink r:id="rId69" ref="A74"/>
    <hyperlink r:id="rId70" ref="A75"/>
    <hyperlink r:id="rId71" ref="A76"/>
    <hyperlink r:id="rId72" ref="A77"/>
    <hyperlink r:id="rId73" ref="A78"/>
    <hyperlink r:id="rId74" ref="A79"/>
    <hyperlink r:id="rId75" ref="A80"/>
    <hyperlink r:id="rId76" ref="A81"/>
    <hyperlink r:id="rId77" ref="A82"/>
    <hyperlink r:id="rId78" ref="A94"/>
    <hyperlink r:id="rId79" ref="A95"/>
    <hyperlink r:id="rId80" ref="A96"/>
    <hyperlink r:id="rId81" ref="A97"/>
  </hyperlinks>
  <drawing r:id="rId8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8.25"/>
    <col customWidth="1" min="2" max="2" width="4.38"/>
    <col customWidth="1" min="3" max="3" width="9.63"/>
    <col customWidth="1" min="4" max="4" width="21.25"/>
    <col customWidth="1" min="5" max="5" width="10.0"/>
    <col customWidth="1" min="6" max="6" width="3.38"/>
    <col customWidth="1" min="7" max="7" width="6.13"/>
    <col customWidth="1" min="8" max="8" width="5.25"/>
    <col customWidth="1" min="9" max="12" width="3.88"/>
    <col customWidth="1" min="13" max="13" width="7.0"/>
    <col customWidth="1" min="14" max="32" width="3.88"/>
    <col customWidth="1" min="33" max="33" width="7.0"/>
    <col customWidth="1" min="34" max="38" width="3.88"/>
  </cols>
  <sheetData>
    <row r="1">
      <c r="A1" s="1" t="s">
        <v>61</v>
      </c>
      <c r="B1" s="1" t="s">
        <v>29</v>
      </c>
      <c r="C1" s="1" t="s">
        <v>63</v>
      </c>
      <c r="D1" s="1" t="s">
        <v>243</v>
      </c>
      <c r="E1" s="32" t="s">
        <v>246</v>
      </c>
      <c r="F1" s="62" t="s">
        <v>65</v>
      </c>
      <c r="G1" s="62" t="s">
        <v>247</v>
      </c>
      <c r="H1" s="62" t="s">
        <v>248</v>
      </c>
      <c r="I1" s="62" t="s">
        <v>249</v>
      </c>
      <c r="J1" s="63" t="s">
        <v>250</v>
      </c>
      <c r="K1" s="63" t="s">
        <v>251</v>
      </c>
      <c r="L1" s="64" t="s">
        <v>64</v>
      </c>
      <c r="M1" s="62" t="s">
        <v>252</v>
      </c>
      <c r="N1" s="62" t="s">
        <v>253</v>
      </c>
      <c r="O1" s="62" t="s">
        <v>254</v>
      </c>
      <c r="P1" s="63" t="s">
        <v>255</v>
      </c>
      <c r="Q1" s="63" t="s">
        <v>256</v>
      </c>
      <c r="R1" s="64" t="s">
        <v>257</v>
      </c>
      <c r="S1" s="62" t="s">
        <v>258</v>
      </c>
      <c r="T1" s="62" t="s">
        <v>259</v>
      </c>
      <c r="U1" s="62" t="s">
        <v>260</v>
      </c>
      <c r="V1" s="63" t="s">
        <v>261</v>
      </c>
      <c r="W1" s="63" t="s">
        <v>262</v>
      </c>
      <c r="X1" s="64" t="s">
        <v>263</v>
      </c>
      <c r="Y1" s="62" t="s">
        <v>264</v>
      </c>
      <c r="Z1" s="62" t="s">
        <v>265</v>
      </c>
      <c r="AA1" s="62" t="s">
        <v>266</v>
      </c>
      <c r="AB1" s="63" t="s">
        <v>267</v>
      </c>
      <c r="AC1" s="63" t="s">
        <v>268</v>
      </c>
      <c r="AD1" s="46" t="s">
        <v>269</v>
      </c>
      <c r="AE1" s="47" t="s">
        <v>270</v>
      </c>
      <c r="AF1" s="47" t="s">
        <v>271</v>
      </c>
      <c r="AG1" s="47" t="s">
        <v>272</v>
      </c>
      <c r="AH1" s="47" t="s">
        <v>273</v>
      </c>
      <c r="AI1" s="47" t="s">
        <v>274</v>
      </c>
      <c r="AJ1" s="1" t="s">
        <v>275</v>
      </c>
      <c r="AK1" s="1" t="s">
        <v>244</v>
      </c>
      <c r="AL1" s="1" t="s">
        <v>245</v>
      </c>
    </row>
    <row r="2">
      <c r="A2" s="3" t="s">
        <v>283</v>
      </c>
      <c r="B2" s="1" t="str">
        <f>IFERROR(__xludf.DUMMYFUNCTION("IFERROR(
  VLOOKUP(
    A2,
    IMPORTRANGE(
      ""1ZygntHC1J6IxzKbTidmOyf5nUyW4GCLurHCjexrLm_o"",
      ""HTMLキャッシュ!A:F""
    ),
    2,
    FALSE
  ),
  0
)
"),"TP")</f>
        <v>TP</v>
      </c>
      <c r="C2" s="1" t="str">
        <f>IFERROR(__xludf.DUMMYFUNCTION("IFERROR(
  VLOOKUP(
    A2,
    IMPORTRANGE(
      ""1ZygntHC1J6IxzKbTidmOyf5nUyW4GCLurHCjexrLm_o"",
      ""HTMLキャッシュ!A:F""
    ),
    5,
    FALSE
  ),
  0
)
"),"中学受験 国語専門塾 オンライン｜完全1対1個別｜四ツ谷")</f>
        <v>中学受験 国語専門塾 オンライン｜完全1対1個別｜四ツ谷</v>
      </c>
      <c r="D2" s="1" t="str">
        <f>IFERROR(__xludf.DUMMYFUNCTION("IFERROR(
  VLOOKUP(
    A2,
    IMPORTRANGE(
      ""1ZygntHC1J6IxzKbTidmOyf5nUyW4GCLurHCjexrLm_o        "",
      ""HTMLキャッシュ!A:F""
    ),
    6,
    FALSE
  ),
  0
)
"),"中学受験の国語専門塾を探している方向け。オンライン・四ツ谷の完全1対1で、漢字・語彙・文法の土台から読解・記述まで、学年と課題に合わせて個別に対応します。")</f>
        <v>中学受験の国語専門塾を探している方向け。オンライン・四ツ谷の完全1対1で、漢字・語彙・文法の土台から読解・記述まで、学年と課題に合わせて個別に対応します。</v>
      </c>
      <c r="E2" s="32">
        <f>IFERROR(__xludf.DUMMYFUNCTION("IFERROR(
  VLOOKUP(
    A2,
    IMPORTRANGE(
      ""1ZygntHC1J6IxzKbTidmOyf5nUyW4GCLurHCjexrLm_o        "",
      ""HTMLキャッシュ!A:F""
    ),
    3,
    FALSE
  ),
  0
)
"),46083.72991898148)</f>
        <v>46083.72992</v>
      </c>
      <c r="F2" s="49">
        <f>IFERROR(__xludf.DUMMYFUNCTION("IFERROR(
  VLOOKUP(
    A2,
    IMPORTRANGE(
      ""1ZHMy3vVUd_0MrSduXTe1etBb1HNpAlGwQr006ljwMiM"",
      ""GSC最新!A:F""
    ),
    2,
    FALSE
  ),
  0
)
"),7.0)</f>
        <v>7</v>
      </c>
      <c r="G2" s="49">
        <f>IFERROR(__xludf.DUMMYFUNCTION("IFERROR(
  VLOOKUP(
    A2,
    IMPORTRANGE(
      ""1ZHMy3vVUd_0MrSduXTe1etBb1HNpAlGwQr006ljwMiM"",
      ""GSC最新!A:F""
    ),
    3,
    FALSE
  ),
  0
)
"),23.0)</f>
        <v>23</v>
      </c>
      <c r="H2" s="49">
        <f>IFERROR(__xludf.DUMMYFUNCTION("IFERROR(
  VLOOKUP(
    A2,
    IMPORTRANGE(
      ""1ZHMy3vVUd_0MrSduXTe1etBb1HNpAlGwQr006ljwMiM"",
      ""GSC最新!A:F""
    ),
    4,
    FALSE
  ),
  0
)
"),3.0)</f>
        <v>3</v>
      </c>
      <c r="I2" s="49">
        <f>IFERROR(__xludf.DUMMYFUNCTION("IFERROR(
  VLOOKUP(
    A2,
    IMPORTRANGE(
      ""1ZHMy3vVUd_0MrSduXTe1etBb1HNpAlGwQr006ljwMiM"",
      ""GSC最新!A:F""
    ),
    5,
    FALSE
  ),
  0
)
"),10.0)</f>
        <v>10</v>
      </c>
      <c r="J2" s="50">
        <f t="shared" ref="J2:K2" si="1">IFERROR(F2/H2,"-")</f>
        <v>2.333333333</v>
      </c>
      <c r="K2" s="50">
        <f t="shared" si="1"/>
        <v>2.3</v>
      </c>
      <c r="L2" s="6">
        <f>IFERROR(__xludf.DUMMYFUNCTION("IFERROR(
  VLOOKUP(
    A2,
    IMPORTRANGE(
      ""1ZHMy3vVUd_0MrSduXTe1etBb1HNpAlGwQr006ljwMiM"",
      ""GSC最新!A:R""
    ),
    7,
    FALSE
  ),
  0
)
"),268.0)</f>
        <v>268</v>
      </c>
      <c r="M2" s="6">
        <f>IFERROR(__xludf.DUMMYFUNCTION("IFERROR(
  VLOOKUP(
    A2,
    IMPORTRANGE(
      ""1ZHMy3vVUd_0MrSduXTe1etBb1HNpAlGwQr006ljwMiM"",
      ""GSC最新!A:R""
    ),
    10,
    FALSE
  ),
  0
)
"),508.0)</f>
        <v>508</v>
      </c>
      <c r="N2" s="6">
        <f>IFERROR(__xludf.DUMMYFUNCTION("IFERROR(
  VLOOKUP(
    A2,
    IMPORTRANGE(
      ""1ZHMy3vVUd_0MrSduXTe1etBb1HNpAlGwQr006ljwMiM"",
      ""GSC最新!A:R""
    ),
    13,
    FALSE
  ),
  0
)
"),13.0)</f>
        <v>13</v>
      </c>
      <c r="O2" s="6">
        <f>IFERROR(__xludf.DUMMYFUNCTION("IFERROR(
  VLOOKUP(
    A2,
    IMPORTRANGE(
      ""1ZHMy3vVUd_0MrSduXTe1etBb1HNpAlGwQr006ljwMiM"",
      ""GSC最新!A:R""
    ),
    16,
    FALSE
  ),
  0
)
"),52.0)</f>
        <v>52</v>
      </c>
      <c r="P2" s="51">
        <f t="shared" ref="P2:Q2" si="2">IFERROR(L2/N2,"-")</f>
        <v>20.61538462</v>
      </c>
      <c r="Q2" s="51">
        <f t="shared" si="2"/>
        <v>9.769230769</v>
      </c>
      <c r="R2" s="9">
        <f>IFERROR(__xludf.DUMMYFUNCTION("IFERROR(
  VLOOKUP(
    A2,
    IMPORTRANGE(
      ""1ZHMy3vVUd_0MrSduXTe1etBb1HNpAlGwQr006ljwMiM"",
      ""GSC最新!A:R""
    ),
    8,
    FALSE
  ),
  0
)
"),0.026119402985074626)</f>
        <v>0.02611940299</v>
      </c>
      <c r="S2" s="9">
        <f>IFERROR(__xludf.DUMMYFUNCTION("IFERROR(
  VLOOKUP(
    A2,
    IMPORTRANGE(
      ""1ZHMy3vVUd_0MrSduXTe1etBb1HNpAlGwQr006ljwMiM"",
      ""GSC最新!A:R""
    ),
    11,
    FALSE
  ),
  0
)
"),0.045275590551181105)</f>
        <v>0.04527559055</v>
      </c>
      <c r="T2" s="9">
        <f>IFERROR(__xludf.DUMMYFUNCTION("IFERROR(
  VLOOKUP(
    A2,
    IMPORTRANGE(
      ""1ZHMy3vVUd_0MrSduXTe1etBb1HNpAlGwQr006ljwMiM"",
      ""GSC最新!A:R""
    ),
    14,
    FALSE
  ),
  0
)
"),0.23076923076923078)</f>
        <v>0.2307692308</v>
      </c>
      <c r="U2" s="9">
        <f>IFERROR(__xludf.DUMMYFUNCTION("IFERROR(
  VLOOKUP(
    A2,
    IMPORTRANGE(
      ""1ZHMy3vVUd_0MrSduXTe1etBb1HNpAlGwQr006ljwMiM"",
      ""GSC最新!A:R""
    ),
    17,
    FALSE
  ),
  0
)
"),0.19230769230769232)</f>
        <v>0.1923076923</v>
      </c>
      <c r="V2" s="9">
        <f t="shared" ref="V2:W2" si="3">IFERROR(R2-T2,"-")</f>
        <v>-0.2046498278</v>
      </c>
      <c r="W2" s="9">
        <f t="shared" si="3"/>
        <v>-0.1470321018</v>
      </c>
      <c r="X2" s="65">
        <f>IFERROR(__xludf.DUMMYFUNCTION("IFERROR(
  VLOOKUP(
    A2,
    IMPORTRANGE(
      ""1ZHMy3vVUd_0MrSduXTe1etBb1HNpAlGwQr006ljwMiM"",
      ""GSC最新!A:R""
    ),
    9,
    FALSE
  ),
  0
)
"),22.220149253731343)</f>
        <v>22.22014925</v>
      </c>
      <c r="Y2" s="65">
        <f>IFERROR(__xludf.DUMMYFUNCTION("IFERROR(
  VLOOKUP(
    A2,
    IMPORTRANGE(
      ""1ZHMy3vVUd_0MrSduXTe1etBb1HNpAlGwQr006ljwMiM"",
      ""GSC最新!A:R""
    ),
    12,
    FALSE
  ),
  0
)
"),25.59251968503937)</f>
        <v>25.59251969</v>
      </c>
      <c r="Z2" s="65">
        <f>IFERROR(__xludf.DUMMYFUNCTION("IFERROR(
  VLOOKUP(
    A2,
    IMPORTRANGE(
      ""1ZHMy3vVUd_0MrSduXTe1etBb1HNpAlGwQr006ljwMiM"",
      ""GSC最新!A:R""
    ),
    15,
    FALSE
  ),
  0
)
"),5.153846153846154)</f>
        <v>5.153846154</v>
      </c>
      <c r="AA2" s="65">
        <f>IFERROR(__xludf.DUMMYFUNCTION("IFERROR(
  VLOOKUP(
    A2,
    IMPORTRANGE(
      ""1ZHMy3vVUd_0MrSduXTe1etBb1HNpAlGwQr006ljwMiM"",
      ""GSC最新!A:R""
    ),
    18,
    FALSE
  ),
  0
)
"),6.788461538461538)</f>
        <v>6.788461538</v>
      </c>
      <c r="AB2" s="65">
        <f t="shared" ref="AB2:AC2" si="4">X2-Z2</f>
        <v>17.0663031</v>
      </c>
      <c r="AC2" s="65">
        <f t="shared" si="4"/>
        <v>18.80405815</v>
      </c>
      <c r="AD2" s="53">
        <f>IFERROR(__xludf.DUMMYFUNCTION("IFERROR(
  VLOOKUP(
    A2,
    IMPORTRANGE(
      ""1ZHMy3vVUd_0MrSduXTe1etBb1HNpAlGwQr006ljwMiM"",
      ""GSC最新!A:F""
    ),
    6,
    FALSE
  ),
  0
)
"),46081.0)</f>
        <v>46081</v>
      </c>
      <c r="AE2" s="54">
        <f>IFERROR(__xludf.DUMMYFUNCTION("IFERROR(
  VLOOKUP(
    A2,
    IMPORTRANGE(
      ""1SCYQd7_cobOYqT0r_F0IqD4tE4rYn5y8Eup4PJTH8es"",
      ""Snapshot!A:M""
    ),
    5,
    FALSE
  ),
  ""-""
)
"),7.0)</f>
        <v>7</v>
      </c>
      <c r="AF2" s="54">
        <f>IFERROR(__xludf.DUMMYFUNCTION("IFERROR(
  VLOOKUP(
    A2,
    IMPORTRANGE(
      ""1SCYQd7_cobOYqT0r_F0IqD4tE4rYn5y8Eup4PJTH8es"",
      ""Snapshot!A:M""
    ),
    6,
    FALSE
  ),
  0
)
"),5.0)</f>
        <v>5</v>
      </c>
      <c r="AG2" s="54">
        <f>IFERROR(__xludf.DUMMYFUNCTION("IFERROR(
  VLOOKUP(
    A2,
    IMPORTRANGE(
      ""1SCYQd7_cobOYqT0r_F0IqD4tE4rYn5y8Eup4PJTH8es"",
      ""Snapshot!A:M""
    ),
    7,
    FALSE
  ),
  0
)
"),1357.0)</f>
        <v>1357</v>
      </c>
      <c r="AH2" s="54">
        <f>IFERROR(__xludf.DUMMYFUNCTION("IFERROR(
  VLOOKUP(
    A2,
    IMPORTRANGE(
      ""1SCYQd7_cobOYqT0r_F0IqD4tE4rYn5y8Eup4PJTH8es"",
      ""Snapshot!A:M""
    ),
    8,
    FALSE
  ),
  0
)
"),6.0)</f>
        <v>6</v>
      </c>
      <c r="AI2" s="54">
        <f>IFERROR(__xludf.DUMMYFUNCTION("IFERROR(
  VLOOKUP(
    A2,
    IMPORTRANGE(
      ""1SCYQd7_cobOYqT0r_F0IqD4tE4rYn5y8Eup4PJTH8es"",
      ""Snapshot!A:M""
    ),
    9,
    FALSE
  ),
  0
)
"),5.0)</f>
        <v>5</v>
      </c>
      <c r="AJ2" s="54">
        <f>IFERROR(__xludf.DUMMYFUNCTION("IFERROR(
  VLOOKUP(
    A2,
    IMPORTRANGE(
      ""1SCYQd7_cobOYqT0r_F0IqD4tE4rYn5y8Eup4PJTH8es"",
      ""Snapshot!A:M""
    ),
    13,
    FALSE
  ),
  0
)
"),1.0)</f>
        <v>1</v>
      </c>
      <c r="AK2" s="49">
        <f t="shared" ref="AK2:AL2" si="5">LEN(C2)</f>
        <v>28</v>
      </c>
      <c r="AL2" s="49">
        <f t="shared" si="5"/>
        <v>77</v>
      </c>
    </row>
    <row r="3">
      <c r="A3" s="3" t="s">
        <v>1317</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"),"国語テスト時間配分｜目安表と解く順番で時間切れ防止｜中学生")</f>
        <v>国語テスト時間配分｜目安表と解く順番で時間切れ防止｜中学生</v>
      </c>
      <c r="D3" s="1" t="str">
        <f>IFERROR(__xludf.DUMMYFUNCTION("IFERROR(
  VLOOKUP(
    A3,
    IMPORTRANGE(
      ""1ZygntHC1J6IxzKbTidmOyf5nUyW4GCLurHCjexrLm_o        "",
      ""HTMLキャッシュ!A:F""
    ),
    6,
    FALSE
  ),
  0
)
"),"中学生の国語定期テストの時間配分を固定。読む35〜45％・解く50〜60％の目安表と、飛ばす→印→戻る手順で時間切れ防止。記述は結論→理由→具体で空欄を減らす。")</f>
        <v>中学生の国語定期テストの時間配分を固定。読む35〜45％・解く50〜60％の目安表と、飛ばす→印→戻る手順で時間切れ防止。記述は結論→理由→具体で空欄を減らす。</v>
      </c>
      <c r="E3" s="32">
        <f>IFERROR(__xludf.DUMMYFUNCTION("IFERROR(
  VLOOKUP(
    A3,
    IMPORTRANGE(
      ""1ZygntHC1J6IxzKbTidmOyf5nUyW4GCLurHCjexrLm_o        "",
      ""HTMLキャッシュ!A:F""
    ),
    3,
    FALSE
  ),
  0
)
"),46055.81780092593)</f>
        <v>46055.8178</v>
      </c>
      <c r="F3" s="49">
        <f>IFERROR(__xludf.DUMMYFUNCTION("IFERROR(
  VLOOKUP(
    A3,
    IMPORTRANGE(
      ""1ZHMy3vVUd_0MrSduXTe1etBb1HNpAlGwQr006ljwMiM"",
      ""GSC最新!A:F""
    ),
    2,
    FALSE
  ),
  0
)
"),12.0)</f>
        <v>12</v>
      </c>
      <c r="G3" s="49">
        <f>IFERROR(__xludf.DUMMYFUNCTION("IFERROR(
  VLOOKUP(
    A3,
    IMPORTRANGE(
      ""1ZHMy3vVUd_0MrSduXTe1etBb1HNpAlGwQr006ljwMiM"",
      ""GSC最新!A:F""
    ),
    3,
    FALSE
  ),
  0
)
"),13.0)</f>
        <v>13</v>
      </c>
      <c r="H3" s="49">
        <f>IFERROR(__xludf.DUMMYFUNCTION("IFERROR(
  VLOOKUP(
    A3,
    IMPORTRANGE(
      ""1ZHMy3vVUd_0MrSduXTe1etBb1HNpAlGwQr006ljwMiM"",
      ""GSC最新!A:F""
    ),
    4,
    FALSE
  ),
  0
)
"),3.0)</f>
        <v>3</v>
      </c>
      <c r="I3" s="49">
        <f>IFERROR(__xludf.DUMMYFUNCTION("IFERROR(
  VLOOKUP(
    A3,
    IMPORTRANGE(
      ""1ZHMy3vVUd_0MrSduXTe1etBb1HNpAlGwQr006ljwMiM"",
      ""GSC最新!A:F""
    ),
    5,
    FALSE
  ),
  0
)
"),5.0)</f>
        <v>5</v>
      </c>
      <c r="J3" s="50">
        <f t="shared" ref="J3:K3" si="6">IFERROR(F3/H3,"-")</f>
        <v>4</v>
      </c>
      <c r="K3" s="50">
        <f t="shared" si="6"/>
        <v>2.6</v>
      </c>
      <c r="L3" s="6">
        <f>IFERROR(__xludf.DUMMYFUNCTION("IFERROR(
  VLOOKUP(
    A3,
    IMPORTRANGE(
      ""1ZHMy3vVUd_0MrSduXTe1etBb1HNpAlGwQr006ljwMiM"",
      ""GSC最新!A:R""
    ),
    7,
    FALSE
  ),
  0
)
"),661.0)</f>
        <v>661</v>
      </c>
      <c r="M3" s="6">
        <f>IFERROR(__xludf.DUMMYFUNCTION("IFERROR(
  VLOOKUP(
    A3,
    IMPORTRANGE(
      ""1ZHMy3vVUd_0MrSduXTe1etBb1HNpAlGwQr006ljwMiM"",
      ""GSC最新!A:R""
    ),
    10,
    FALSE
  ),
  0
)
"),910.0)</f>
        <v>910</v>
      </c>
      <c r="N3" s="6">
        <f>IFERROR(__xludf.DUMMYFUNCTION("IFERROR(
  VLOOKUP(
    A3,
    IMPORTRANGE(
      ""1ZHMy3vVUd_0MrSduXTe1etBb1HNpAlGwQr006ljwMiM"",
      ""GSC最新!A:R""
    ),
    13,
    FALSE
  ),
  0
)
"),36.0)</f>
        <v>36</v>
      </c>
      <c r="O3" s="6">
        <f>IFERROR(__xludf.DUMMYFUNCTION("IFERROR(
  VLOOKUP(
    A3,
    IMPORTRANGE(
      ""1ZHMy3vVUd_0MrSduXTe1etBb1HNpAlGwQr006ljwMiM"",
      ""GSC最新!A:R""
    ),
    16,
    FALSE
  ),
  0
)
"),102.0)</f>
        <v>102</v>
      </c>
      <c r="P3" s="51">
        <f t="shared" ref="P3:Q3" si="7">IFERROR(L3/N3,"-")</f>
        <v>18.36111111</v>
      </c>
      <c r="Q3" s="51">
        <f t="shared" si="7"/>
        <v>8.921568627</v>
      </c>
      <c r="R3" s="9">
        <f>IFERROR(__xludf.DUMMYFUNCTION("IFERROR(
  VLOOKUP(
    A3,
    IMPORTRANGE(
      ""1ZHMy3vVUd_0MrSduXTe1etBb1HNpAlGwQr006ljwMiM"",
      ""GSC最新!A:R""
    ),
    8,
    FALSE
  ),
  0
)
"),0.018154311649016642)</f>
        <v>0.01815431165</v>
      </c>
      <c r="S3" s="9">
        <f>IFERROR(__xludf.DUMMYFUNCTION("IFERROR(
  VLOOKUP(
    A3,
    IMPORTRANGE(
      ""1ZHMy3vVUd_0MrSduXTe1etBb1HNpAlGwQr006ljwMiM"",
      ""GSC最新!A:R""
    ),
    11,
    FALSE
  ),
  0
)
"),0.014285714285714285)</f>
        <v>0.01428571429</v>
      </c>
      <c r="T3" s="9">
        <f>IFERROR(__xludf.DUMMYFUNCTION("IFERROR(
  VLOOKUP(
    A3,
    IMPORTRANGE(
      ""1ZHMy3vVUd_0MrSduXTe1etBb1HNpAlGwQr006ljwMiM"",
      ""GSC最新!A:R""
    ),
    14,
    FALSE
  ),
  0
)
"),0.08333333333333333)</f>
        <v>0.08333333333</v>
      </c>
      <c r="U3" s="9">
        <f>IFERROR(__xludf.DUMMYFUNCTION("IFERROR(
  VLOOKUP(
    A3,
    IMPORTRANGE(
      ""1ZHMy3vVUd_0MrSduXTe1etBb1HNpAlGwQr006ljwMiM"",
      ""GSC最新!A:R""
    ),
    17,
    FALSE
  ),
  0
)
"),0.049019607843137254)</f>
        <v>0.04901960784</v>
      </c>
      <c r="V3" s="9">
        <f t="shared" ref="V3:W3" si="8">IFERROR(R3-T3,"-")</f>
        <v>-0.06517902168</v>
      </c>
      <c r="W3" s="9">
        <f t="shared" si="8"/>
        <v>-0.03473389356</v>
      </c>
      <c r="X3" s="65">
        <f>IFERROR(__xludf.DUMMYFUNCTION("IFERROR(
  VLOOKUP(
    A3,
    IMPORTRANGE(
      ""1ZHMy3vVUd_0MrSduXTe1etBb1HNpAlGwQr006ljwMiM"",
      ""GSC最新!A:R""
    ),
    9,
    FALSE
  ),
  0
)
"),5.706505295007564)</f>
        <v>5.706505295</v>
      </c>
      <c r="Y3" s="65">
        <f>IFERROR(__xludf.DUMMYFUNCTION("IFERROR(
  VLOOKUP(
    A3,
    IMPORTRANGE(
      ""1ZHMy3vVUd_0MrSduXTe1etBb1HNpAlGwQr006ljwMiM"",
      ""GSC最新!A:R""
    ),
    12,
    FALSE
  ),
  0
)
"),7.103296703296703)</f>
        <v>7.103296703</v>
      </c>
      <c r="Z3" s="65">
        <f>IFERROR(__xludf.DUMMYFUNCTION("IFERROR(
  VLOOKUP(
    A3,
    IMPORTRANGE(
      ""1ZHMy3vVUd_0MrSduXTe1etBb1HNpAlGwQr006ljwMiM"",
      ""GSC最新!A:R""
    ),
    15,
    FALSE
  ),
  0
)
"),7.305555555555555)</f>
        <v>7.305555556</v>
      </c>
      <c r="AA3" s="65">
        <f>IFERROR(__xludf.DUMMYFUNCTION("IFERROR(
  VLOOKUP(
    A3,
    IMPORTRANGE(
      ""1ZHMy3vVUd_0MrSduXTe1etBb1HNpAlGwQr006ljwMiM"",
      ""GSC最新!A:R""
    ),
    18,
    FALSE
  ),
  0
)
"),8.186274509803923)</f>
        <v>8.18627451</v>
      </c>
      <c r="AB3" s="65">
        <f t="shared" ref="AB3:AC3" si="9">X3-Z3</f>
        <v>-1.599050261</v>
      </c>
      <c r="AC3" s="65">
        <f t="shared" si="9"/>
        <v>-1.082977807</v>
      </c>
      <c r="AD3" s="53">
        <f>IFERROR(__xludf.DUMMYFUNCTION("IFERROR(
  VLOOKUP(
    A3,
    IMPORTRANGE(
      ""1ZHMy3vVUd_0MrSduXTe1etBb1HNpAlGwQr006ljwMiM"",
      ""GSC最新!A:F""
    ),
    6,
    FALSE
  ),
  0
)
"),46081.0)</f>
        <v>46081</v>
      </c>
      <c r="AE3" s="54">
        <f>IFERROR(__xludf.DUMMYFUNCTION("IFERROR(
  VLOOKUP(
    A3,
    IMPORTRANGE(
      ""1SCYQd7_cobOYqT0r_F0IqD4tE4rYn5y8Eup4PJTH8es"",
      ""Snapshot!A:M""
    ),
    5,
    FALSE
  ),
  ""-""
)
"),13.0)</f>
        <v>13</v>
      </c>
      <c r="AF3" s="54">
        <f>IFERROR(__xludf.DUMMYFUNCTION("IFERROR(
  VLOOKUP(
    A3,
    IMPORTRANGE(
      ""1SCYQd7_cobOYqT0r_F0IqD4tE4rYn5y8Eup4PJTH8es"",
      ""Snapshot!A:M""
    ),
    6,
    FALSE
  ),
  0
)
"),18.0)</f>
        <v>18</v>
      </c>
      <c r="AG3" s="54">
        <f>IFERROR(__xludf.DUMMYFUNCTION("IFERROR(
  VLOOKUP(
    A3,
    IMPORTRANGE(
      ""1SCYQd7_cobOYqT0r_F0IqD4tE4rYn5y8Eup4PJTH8es"",
      ""Snapshot!A:M""
    ),
    7,
    FALSE
  ),
  0
)
"),3576.0)</f>
        <v>3576</v>
      </c>
      <c r="AH3" s="54">
        <f>IFERROR(__xludf.DUMMYFUNCTION("IFERROR(
  VLOOKUP(
    A3,
    IMPORTRANGE(
      ""1SCYQd7_cobOYqT0r_F0IqD4tE4rYn5y8Eup4PJTH8es"",
      ""Snapshot!A:M""
    ),
    8,
    FALSE
  ),
  0
)
"),0.0)</f>
        <v>0</v>
      </c>
      <c r="AI3" s="54">
        <f>IFERROR(__xludf.DUMMYFUNCTION("IFERROR(
  VLOOKUP(
    A3,
    IMPORTRANGE(
      ""1SCYQd7_cobOYqT0r_F0IqD4tE4rYn5y8Eup4PJTH8es"",
      ""Snapshot!A:M""
    ),
    9,
    FALSE
  ),
  0
)
"),1.0)</f>
        <v>1</v>
      </c>
      <c r="AJ3" s="54">
        <f>IFERROR(__xludf.DUMMYFUNCTION("IFERROR(
  VLOOKUP(
    A3,
    IMPORTRANGE(
      ""1SCYQd7_cobOYqT0r_F0IqD4tE4rYn5y8Eup4PJTH8es"",
      ""Snapshot!A:M""
    ),
    13,
    FALSE
  ),
  0
)
"),1.0)</f>
        <v>1</v>
      </c>
      <c r="AK3" s="49">
        <f t="shared" ref="AK3:AL3" si="10">LEN(C3)</f>
        <v>29</v>
      </c>
      <c r="AL3" s="49">
        <f t="shared" si="10"/>
        <v>80</v>
      </c>
    </row>
    <row r="4">
      <c r="A4" s="3" t="s">
        <v>1318</v>
      </c>
      <c r="B4" s="1" t="str">
        <f>IFERROR(__xludf.DUMMYFUNCTION("IFERROR(
  VLOOKUP(
    A4,
    IMPORTRANGE(
      ""1ZygntHC1J6IxzKbTidmOyf5nUyW4GCLurHCjexrLm_o"",
      ""HTMLキャッシュ!A:F""
    ),
    2,
    FALSE
  ),
  0
)
"),"ST")</f>
        <v>ST</v>
      </c>
      <c r="C4" s="1" t="str">
        <f>IFERROR(__xludf.DUMMYFUNCTION("IFERROR(
  VLOOKUP(
    A4,
    IMPORTRANGE(
      ""1ZygntHC1J6IxzKbTidmOyf5nUyW4GCLurHCjexrLm_o"",
      ""HTMLキャッシュ!A:F""
    ),
    5,
    FALSE
  ),
  0
)
"),"代表プロフィール - 基礎力Stadium「国語のトリガー」")</f>
        <v>代表プロフィール - 基礎力Stadium「国語のトリガー」</v>
      </c>
      <c r="D4" s="1" t="str">
        <f>IFERROR(__xludf.DUMMYFUNCTION("IFERROR(
  VLOOKUP(
    A4,
    IMPORTRANGE(
      ""1ZygntHC1J6IxzKbTidmOyf5nUyW4GCLurHCjexrLm_o        "",
      ""HTMLキャッシュ!A:F""
    ),
    6,
    FALSE
  ),
  0
)
"),"代表講師・長島康二のプロフィール。SAPIXや進学塾での豊富な指導経験を活かし、体系化された国語指導で得点力を養成。中学・大学受験生に圧倒的支持！")</f>
        <v>代表講師・長島康二のプロフィール。SAPIXや進学塾での豊富な指導経験を活かし、体系化された国語指導で得点力を養成。中学・大学受験生に圧倒的支持！</v>
      </c>
      <c r="E4" s="32">
        <f>IFERROR(__xludf.DUMMYFUNCTION("IFERROR(
  VLOOKUP(
    A4,
    IMPORTRANGE(
      ""1ZygntHC1J6IxzKbTidmOyf5nUyW4GCLurHCjexrLm_o        "",
      ""HTMLキャッシュ!A:F""
    ),
    3,
    FALSE
  ),
  0
)
"),45682.62163194444)</f>
        <v>45682.62163</v>
      </c>
      <c r="F4" s="49">
        <f>IFERROR(__xludf.DUMMYFUNCTION("IFERROR(
  VLOOKUP(
    A4,
    IMPORTRANGE(
      ""1ZHMy3vVUd_0MrSduXTe1etBb1HNpAlGwQr006ljwMiM"",
      ""GSC最新!A:F""
    ),
    2,
    FALSE
  ),
  0
)
"),1.0)</f>
        <v>1</v>
      </c>
      <c r="G4" s="49">
        <f>IFERROR(__xludf.DUMMYFUNCTION("IFERROR(
  VLOOKUP(
    A4,
    IMPORTRANGE(
      ""1ZHMy3vVUd_0MrSduXTe1etBb1HNpAlGwQr006ljwMiM"",
      ""GSC最新!A:F""
    ),
    3,
    FALSE
  ),
  0
)
"),5.0)</f>
        <v>5</v>
      </c>
      <c r="H4" s="49">
        <f>IFERROR(__xludf.DUMMYFUNCTION("IFERROR(
  VLOOKUP(
    A4,
    IMPORTRANGE(
      ""1ZHMy3vVUd_0MrSduXTe1etBb1HNpAlGwQr006ljwMiM"",
      ""GSC最新!A:F""
    ),
    4,
    FALSE
  ),
  0
)
"),1.0)</f>
        <v>1</v>
      </c>
      <c r="I4" s="49">
        <f>IFERROR(__xludf.DUMMYFUNCTION("IFERROR(
  VLOOKUP(
    A4,
    IMPORTRANGE(
      ""1ZHMy3vVUd_0MrSduXTe1etBb1HNpAlGwQr006ljwMiM"",
      ""GSC最新!A:F""
    ),
    5,
    FALSE
  ),
  0
)
"),1.0)</f>
        <v>1</v>
      </c>
      <c r="J4" s="50">
        <f t="shared" ref="J4:K4" si="11">IFERROR(F4/H4,"-")</f>
        <v>1</v>
      </c>
      <c r="K4" s="50">
        <f t="shared" si="11"/>
        <v>5</v>
      </c>
      <c r="L4" s="6">
        <f>IFERROR(__xludf.DUMMYFUNCTION("IFERROR(
  VLOOKUP(
    A4,
    IMPORTRANGE(
      ""1ZHMy3vVUd_0MrSduXTe1etBb1HNpAlGwQr006ljwMiM"",
      ""GSC最新!A:R""
    ),
    7,
    FALSE
  ),
  0
)
"),32.0)</f>
        <v>32</v>
      </c>
      <c r="M4" s="6">
        <f>IFERROR(__xludf.DUMMYFUNCTION("IFERROR(
  VLOOKUP(
    A4,
    IMPORTRANGE(
      ""1ZHMy3vVUd_0MrSduXTe1etBb1HNpAlGwQr006ljwMiM"",
      ""GSC最新!A:R""
    ),
    10,
    FALSE
  ),
  0
)
"),98.0)</f>
        <v>98</v>
      </c>
      <c r="N4" s="6">
        <f>IFERROR(__xludf.DUMMYFUNCTION("IFERROR(
  VLOOKUP(
    A4,
    IMPORTRANGE(
      ""1ZHMy3vVUd_0MrSduXTe1etBb1HNpAlGwQr006ljwMiM"",
      ""GSC最新!A:R""
    ),
    13,
    FALSE
  ),
  0
)
"),6.0)</f>
        <v>6</v>
      </c>
      <c r="O4" s="6">
        <f>IFERROR(__xludf.DUMMYFUNCTION("IFERROR(
  VLOOKUP(
    A4,
    IMPORTRANGE(
      ""1ZHMy3vVUd_0MrSduXTe1etBb1HNpAlGwQr006ljwMiM"",
      ""GSC最新!A:R""
    ),
    16,
    FALSE
  ),
  0
)
"),19.0)</f>
        <v>19</v>
      </c>
      <c r="P4" s="51">
        <f t="shared" ref="P4:Q4" si="12">IFERROR(L4/N4,"-")</f>
        <v>5.333333333</v>
      </c>
      <c r="Q4" s="51">
        <f t="shared" si="12"/>
        <v>5.157894737</v>
      </c>
      <c r="R4" s="9">
        <f>IFERROR(__xludf.DUMMYFUNCTION("IFERROR(
  VLOOKUP(
    A4,
    IMPORTRANGE(
      ""1ZHMy3vVUd_0MrSduXTe1etBb1HNpAlGwQr006ljwMiM"",
      ""GSC最新!A:R""
    ),
    8,
    FALSE
  ),
  0
)
"),0.03125)</f>
        <v>0.03125</v>
      </c>
      <c r="S4" s="9">
        <f>IFERROR(__xludf.DUMMYFUNCTION("IFERROR(
  VLOOKUP(
    A4,
    IMPORTRANGE(
      ""1ZHMy3vVUd_0MrSduXTe1etBb1HNpAlGwQr006ljwMiM"",
      ""GSC最新!A:R""
    ),
    11,
    FALSE
  ),
  0
)
"),0.05102040816326531)</f>
        <v>0.05102040816</v>
      </c>
      <c r="T4" s="9">
        <f>IFERROR(__xludf.DUMMYFUNCTION("IFERROR(
  VLOOKUP(
    A4,
    IMPORTRANGE(
      ""1ZHMy3vVUd_0MrSduXTe1etBb1HNpAlGwQr006ljwMiM"",
      ""GSC最新!A:R""
    ),
    14,
    FALSE
  ),
  0
)
"),0.16666666666666666)</f>
        <v>0.1666666667</v>
      </c>
      <c r="U4" s="9">
        <f>IFERROR(__xludf.DUMMYFUNCTION("IFERROR(
  VLOOKUP(
    A4,
    IMPORTRANGE(
      ""1ZHMy3vVUd_0MrSduXTe1etBb1HNpAlGwQr006ljwMiM"",
      ""GSC最新!A:R""
    ),
    17,
    FALSE
  ),
  0
)
"),0.05263157894736842)</f>
        <v>0.05263157895</v>
      </c>
      <c r="V4" s="9">
        <f t="shared" ref="V4:W4" si="13">IFERROR(R4-T4,"-")</f>
        <v>-0.1354166667</v>
      </c>
      <c r="W4" s="9">
        <f t="shared" si="13"/>
        <v>-0.001611170784</v>
      </c>
      <c r="X4" s="65">
        <f>IFERROR(__xludf.DUMMYFUNCTION("IFERROR(
  VLOOKUP(
    A4,
    IMPORTRANGE(
      ""1ZHMy3vVUd_0MrSduXTe1etBb1HNpAlGwQr006ljwMiM"",
      ""GSC最新!A:R""
    ),
    9,
    FALSE
  ),
  0
)
"),6.71875)</f>
        <v>6.71875</v>
      </c>
      <c r="Y4" s="65">
        <f>IFERROR(__xludf.DUMMYFUNCTION("IFERROR(
  VLOOKUP(
    A4,
    IMPORTRANGE(
      ""1ZHMy3vVUd_0MrSduXTe1etBb1HNpAlGwQr006ljwMiM"",
      ""GSC最新!A:R""
    ),
    12,
    FALSE
  ),
  0
)
"),5.3979591836734695)</f>
        <v>5.397959184</v>
      </c>
      <c r="Z4" s="65">
        <f>IFERROR(__xludf.DUMMYFUNCTION("IFERROR(
  VLOOKUP(
    A4,
    IMPORTRANGE(
      ""1ZHMy3vVUd_0MrSduXTe1etBb1HNpAlGwQr006ljwMiM"",
      ""GSC最新!A:R""
    ),
    15,
    FALSE
  ),
  0
)
"),2.833333333333333)</f>
        <v>2.833333333</v>
      </c>
      <c r="AA4" s="65">
        <f>IFERROR(__xludf.DUMMYFUNCTION("IFERROR(
  VLOOKUP(
    A4,
    IMPORTRANGE(
      ""1ZHMy3vVUd_0MrSduXTe1etBb1HNpAlGwQr006ljwMiM"",
      ""GSC最新!A:R""
    ),
    18,
    FALSE
  ),
  0
)
"),4.315789473684211)</f>
        <v>4.315789474</v>
      </c>
      <c r="AB4" s="65">
        <f t="shared" ref="AB4:AC4" si="14">X4-Z4</f>
        <v>3.885416667</v>
      </c>
      <c r="AC4" s="65">
        <f t="shared" si="14"/>
        <v>1.08216971</v>
      </c>
      <c r="AD4" s="53">
        <f>IFERROR(__xludf.DUMMYFUNCTION("IFERROR(
  VLOOKUP(
    A4,
    IMPORTRANGE(
      ""1ZHMy3vVUd_0MrSduXTe1etBb1HNpAlGwQr006ljwMiM"",
      ""GSC最新!A:F""
    ),
    6,
    FALSE
  ),
  0
)
"),46081.0)</f>
        <v>46081</v>
      </c>
      <c r="AE4" s="54">
        <f>IFERROR(__xludf.DUMMYFUNCTION("IFERROR(
  VLOOKUP(
    A4,
    IMPORTRANGE(
      ""1SCYQd7_cobOYqT0r_F0IqD4tE4rYn5y8Eup4PJTH8es"",
      ""Snapshot!A:M""
    ),
    5,
    FALSE
  ),
  ""-""
)
"),1.0)</f>
        <v>1</v>
      </c>
      <c r="AF4" s="54">
        <f>IFERROR(__xludf.DUMMYFUNCTION("IFERROR(
  VLOOKUP(
    A4,
    IMPORTRANGE(
      ""1SCYQd7_cobOYqT0r_F0IqD4tE4rYn5y8Eup4PJTH8es"",
      ""Snapshot!A:M""
    ),
    6,
    FALSE
  ),
  0
)
"),1.0)</f>
        <v>1</v>
      </c>
      <c r="AG4" s="54">
        <f>IFERROR(__xludf.DUMMYFUNCTION("IFERROR(
  VLOOKUP(
    A4,
    IMPORTRANGE(
      ""1SCYQd7_cobOYqT0r_F0IqD4tE4rYn5y8Eup4PJTH8es"",
      ""Snapshot!A:M""
    ),
    7,
    FALSE
  ),
  0
)
"),371.0)</f>
        <v>371</v>
      </c>
      <c r="AH4" s="54">
        <f>IFERROR(__xludf.DUMMYFUNCTION("IFERROR(
  VLOOKUP(
    A4,
    IMPORTRANGE(
      ""1SCYQd7_cobOYqT0r_F0IqD4tE4rYn5y8Eup4PJTH8es"",
      ""Snapshot!A:M""
    ),
    8,
    FALSE
  ),
  0
)
"),0.0)</f>
        <v>0</v>
      </c>
      <c r="AI4" s="54">
        <f>IFERROR(__xludf.DUMMYFUNCTION("IFERROR(
  VLOOKUP(
    A4,
    IMPORTRANGE(
      ""1SCYQd7_cobOYqT0r_F0IqD4tE4rYn5y8Eup4PJTH8es"",
      ""Snapshot!A:M""
    ),
    9,
    FALSE
  ),
  0
)
"),1.0)</f>
        <v>1</v>
      </c>
      <c r="AJ4" s="54">
        <f>IFERROR(__xludf.DUMMYFUNCTION("IFERROR(
  VLOOKUP(
    A4,
    IMPORTRANGE(
      ""1SCYQd7_cobOYqT0r_F0IqD4tE4rYn5y8Eup4PJTH8es"",
      ""Snapshot!A:M""
    ),
    13,
    FALSE
  ),
  0
)
"),1.0)</f>
        <v>1</v>
      </c>
      <c r="AK4" s="49">
        <f t="shared" ref="AK4:AL4" si="15">LEN(C4)</f>
        <v>30</v>
      </c>
      <c r="AL4" s="49">
        <f t="shared" si="15"/>
        <v>73</v>
      </c>
    </row>
    <row r="5">
      <c r="A5" s="3" t="s">
        <v>1319</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"),"国語が苦手｜家庭で克服する手順｜中学受験（急にできなくなった時も）")</f>
        <v>国語が苦手｜家庭で克服する手順｜中学受験（急にできなくなった時も）</v>
      </c>
      <c r="D5" s="1" t="str">
        <f>IFERROR(__xludf.DUMMYFUNCTION("IFERROR(
  VLOOKUP(
    A5,
    IMPORTRANGE(
      ""1ZygntHC1J6IxzKbTidmOyf5nUyW4GCLurHCjexrLm_o        "",
      ""HTMLキャッシュ!A:F""
    ),
    6,
    FALSE
  ),
  0
)
"),"国語が苦手な中学受験生向けに、家庭で回せる克服手順を整理。会話→短文読書→音読→漢字→設問条件→記述の型。急にできなくなった時の立て直しにも対応。")</f>
        <v>国語が苦手な中学受験生向けに、家庭で回せる克服手順を整理。会話→短文読書→音読→漢字→設問条件→記述の型。急にできなくなった時の立て直しにも対応。</v>
      </c>
      <c r="E5" s="32">
        <f>IFERROR(__xludf.DUMMYFUNCTION("IFERROR(
  VLOOKUP(
    A5,
    IMPORTRANGE(
      ""1ZygntHC1J6IxzKbTidmOyf5nUyW4GCLurHCjexrLm_o        "",
      ""HTMLキャッシュ!A:F""
    ),
    3,
    FALSE
  ),
  0
)
"),46076.599386574075)</f>
        <v>46076.59939</v>
      </c>
      <c r="F5" s="49">
        <f>IFERROR(__xludf.DUMMYFUNCTION("IFERROR(
  VLOOKUP(
    A5,
    IMPORTRANGE(
      ""1ZHMy3vVUd_0MrSduXTe1etBb1HNpAlGwQr006ljwMiM"",
      ""GSC最新!A:F""
    ),
    2,
    FALSE
  ),
  0
)
"),1.0)</f>
        <v>1</v>
      </c>
      <c r="G5" s="49">
        <f>IFERROR(__xludf.DUMMYFUNCTION("IFERROR(
  VLOOKUP(
    A5,
    IMPORTRANGE(
      ""1ZHMy3vVUd_0MrSduXTe1etBb1HNpAlGwQr006ljwMiM"",
      ""GSC最新!A:F""
    ),
    3,
    FALSE
  ),
  0
)
"),1.0)</f>
        <v>1</v>
      </c>
      <c r="H5" s="49">
        <f>IFERROR(__xludf.DUMMYFUNCTION("IFERROR(
  VLOOKUP(
    A5,
    IMPORTRANGE(
      ""1ZHMy3vVUd_0MrSduXTe1etBb1HNpAlGwQr006ljwMiM"",
      ""GSC最新!A:F""
    ),
    4,
    FALSE
  ),
  0
)
"),0.0)</f>
        <v>0</v>
      </c>
      <c r="I5" s="49">
        <f>IFERROR(__xludf.DUMMYFUNCTION("IFERROR(
  VLOOKUP(
    A5,
    IMPORTRANGE(
      ""1ZHMy3vVUd_0MrSduXTe1etBb1HNpAlGwQr006ljwMiM"",
      ""GSC最新!A:F""
    ),
    5,
    FALSE
  ),
  0
)
"),0.0)</f>
        <v>0</v>
      </c>
      <c r="J5" s="50" t="str">
        <f t="shared" ref="J5:K5" si="16">IFERROR(F5/H5,"-")</f>
        <v>-</v>
      </c>
      <c r="K5" s="50" t="str">
        <f t="shared" si="16"/>
        <v>-</v>
      </c>
      <c r="L5" s="6">
        <f>IFERROR(__xludf.DUMMYFUNCTION("IFERROR(
  VLOOKUP(
    A5,
    IMPORTRANGE(
      ""1ZHMy3vVUd_0MrSduXTe1etBb1HNpAlGwQr006ljwMiM"",
      ""GSC最新!A:R""
    ),
    7,
    FALSE
  ),
  0
)
"),170.0)</f>
        <v>170</v>
      </c>
      <c r="M5" s="6">
        <f>IFERROR(__xludf.DUMMYFUNCTION("IFERROR(
  VLOOKUP(
    A5,
    IMPORTRANGE(
      ""1ZHMy3vVUd_0MrSduXTe1etBb1HNpAlGwQr006ljwMiM"",
      ""GSC最新!A:R""
    ),
    10,
    FALSE
  ),
  0
)
"),439.0)</f>
        <v>439</v>
      </c>
      <c r="N5" s="6">
        <f>IFERROR(__xludf.DUMMYFUNCTION("IFERROR(
  VLOOKUP(
    A5,
    IMPORTRANGE(
      ""1ZHMy3vVUd_0MrSduXTe1etBb1HNpAlGwQr006ljwMiM"",
      ""GSC最新!A:R""
    ),
    13,
    FALSE
  ),
  0
)
"),31.0)</f>
        <v>31</v>
      </c>
      <c r="O5" s="6">
        <f>IFERROR(__xludf.DUMMYFUNCTION("IFERROR(
  VLOOKUP(
    A5,
    IMPORTRANGE(
      ""1ZHMy3vVUd_0MrSduXTe1etBb1HNpAlGwQr006ljwMiM"",
      ""GSC最新!A:R""
    ),
    16,
    FALSE
  ),
  0
)
"),290.0)</f>
        <v>290</v>
      </c>
      <c r="P5" s="51">
        <f t="shared" ref="P5:Q5" si="17">IFERROR(L5/N5,"-")</f>
        <v>5.483870968</v>
      </c>
      <c r="Q5" s="51">
        <f t="shared" si="17"/>
        <v>1.513793103</v>
      </c>
      <c r="R5" s="9">
        <f>IFERROR(__xludf.DUMMYFUNCTION("IFERROR(
  VLOOKUP(
    A5,
    IMPORTRANGE(
      ""1ZHMy3vVUd_0MrSduXTe1etBb1HNpAlGwQr006ljwMiM"",
      ""GSC最新!A:R""
    ),
    8,
    FALSE
  ),
  0
)
"),0.0058823529411764705)</f>
        <v>0.005882352941</v>
      </c>
      <c r="S5" s="9">
        <f>IFERROR(__xludf.DUMMYFUNCTION("IFERROR(
  VLOOKUP(
    A5,
    IMPORTRANGE(
      ""1ZHMy3vVUd_0MrSduXTe1etBb1HNpAlGwQr006ljwMiM"",
      ""GSC最新!A:R""
    ),
    11,
    FALSE
  ),
  0
)
"),0.002277904328018223)</f>
        <v>0.002277904328</v>
      </c>
      <c r="T5" s="9">
        <f>IFERROR(__xludf.DUMMYFUNCTION("IFERROR(
  VLOOKUP(
    A5,
    IMPORTRANGE(
      ""1ZHMy3vVUd_0MrSduXTe1etBb1HNpAlGwQr006ljwMiM"",
      ""GSC最新!A:R""
    ),
    14,
    FALSE
  ),
  0
)
"),0.0)</f>
        <v>0</v>
      </c>
      <c r="U5" s="9">
        <f>IFERROR(__xludf.DUMMYFUNCTION("IFERROR(
  VLOOKUP(
    A5,
    IMPORTRANGE(
      ""1ZHMy3vVUd_0MrSduXTe1etBb1HNpAlGwQr006ljwMiM"",
      ""GSC最新!A:R""
    ),
    17,
    FALSE
  ),
  0
)
"),0.0)</f>
        <v>0</v>
      </c>
      <c r="V5" s="9">
        <f t="shared" ref="V5:W5" si="18">IFERROR(R5-T5,"-")</f>
        <v>0.005882352941</v>
      </c>
      <c r="W5" s="9">
        <f t="shared" si="18"/>
        <v>0.002277904328</v>
      </c>
      <c r="X5" s="65">
        <f>IFERROR(__xludf.DUMMYFUNCTION("IFERROR(
  VLOOKUP(
    A5,
    IMPORTRANGE(
      ""1ZHMy3vVUd_0MrSduXTe1etBb1HNpAlGwQr006ljwMiM"",
      ""GSC最新!A:R""
    ),
    9,
    FALSE
  ),
  0
)
"),6.117647058823529)</f>
        <v>6.117647059</v>
      </c>
      <c r="Y5" s="65">
        <f>IFERROR(__xludf.DUMMYFUNCTION("IFERROR(
  VLOOKUP(
    A5,
    IMPORTRANGE(
      ""1ZHMy3vVUd_0MrSduXTe1etBb1HNpAlGwQr006ljwMiM"",
      ""GSC最新!A:R""
    ),
    12,
    FALSE
  ),
  0
)
"),8.15261958997722)</f>
        <v>8.15261959</v>
      </c>
      <c r="Z5" s="65">
        <f>IFERROR(__xludf.DUMMYFUNCTION("IFERROR(
  VLOOKUP(
    A5,
    IMPORTRANGE(
      ""1ZHMy3vVUd_0MrSduXTe1etBb1HNpAlGwQr006ljwMiM"",
      ""GSC最新!A:R""
    ),
    15,
    FALSE
  ),
  0
)
"),55.483870967741936)</f>
        <v>55.48387097</v>
      </c>
      <c r="AA5" s="65">
        <f>IFERROR(__xludf.DUMMYFUNCTION("IFERROR(
  VLOOKUP(
    A5,
    IMPORTRANGE(
      ""1ZHMy3vVUd_0MrSduXTe1etBb1HNpAlGwQr006ljwMiM"",
      ""GSC最新!A:R""
    ),
    18,
    FALSE
  ),
  0
)
"),62.38620689655173)</f>
        <v>62.3862069</v>
      </c>
      <c r="AB5" s="65">
        <f t="shared" ref="AB5:AC5" si="19">X5-Z5</f>
        <v>-49.36622391</v>
      </c>
      <c r="AC5" s="65">
        <f t="shared" si="19"/>
        <v>-54.23358731</v>
      </c>
      <c r="AD5" s="53">
        <f>IFERROR(__xludf.DUMMYFUNCTION("IFERROR(
  VLOOKUP(
    A5,
    IMPORTRANGE(
      ""1ZHMy3vVUd_0MrSduXTe1etBb1HNpAlGwQr006ljwMiM"",
      ""GSC最新!A:F""
    ),
    6,
    FALSE
  ),
  0
)
"),46081.0)</f>
        <v>46081</v>
      </c>
      <c r="AE5" s="54">
        <f>IFERROR(__xludf.DUMMYFUNCTION("IFERROR(
  VLOOKUP(
    A5,
    IMPORTRANGE(
      ""1SCYQd7_cobOYqT0r_F0IqD4tE4rYn5y8Eup4PJTH8es"",
      ""Snapshot!A:M""
    ),
    5,
    FALSE
  ),
  ""-""
)
"),17.0)</f>
        <v>17</v>
      </c>
      <c r="AF5" s="54">
        <f>IFERROR(__xludf.DUMMYFUNCTION("IFERROR(
  VLOOKUP(
    A5,
    IMPORTRANGE(
      ""1SCYQd7_cobOYqT0r_F0IqD4tE4rYn5y8Eup4PJTH8es"",
      ""Snapshot!A:M""
    ),
    6,
    FALSE
  ),
  0
)
"),14.0)</f>
        <v>14</v>
      </c>
      <c r="AG5" s="54">
        <f>IFERROR(__xludf.DUMMYFUNCTION("IFERROR(
  VLOOKUP(
    A5,
    IMPORTRANGE(
      ""1SCYQd7_cobOYqT0r_F0IqD4tE4rYn5y8Eup4PJTH8es"",
      ""Snapshot!A:M""
    ),
    7,
    FALSE
  ),
  0
)
"),4650.0)</f>
        <v>4650</v>
      </c>
      <c r="AH5" s="54">
        <f>IFERROR(__xludf.DUMMYFUNCTION("IFERROR(
  VLOOKUP(
    A5,
    IMPORTRANGE(
      ""1SCYQd7_cobOYqT0r_F0IqD4tE4rYn5y8Eup4PJTH8es"",
      ""Snapshot!A:M""
    ),
    8,
    FALSE
  ),
  0
)
"),0.0)</f>
        <v>0</v>
      </c>
      <c r="AI5" s="54">
        <f>IFERROR(__xludf.DUMMYFUNCTION("IFERROR(
  VLOOKUP(
    A5,
    IMPORTRANGE(
      ""1SCYQd7_cobOYqT0r_F0IqD4tE4rYn5y8Eup4PJTH8es"",
      ""Snapshot!A:M""
    ),
    9,
    FALSE
  ),
  0
)
"),1.0)</f>
        <v>1</v>
      </c>
      <c r="AJ5" s="54">
        <f>IFERROR(__xludf.DUMMYFUNCTION("IFERROR(
  VLOOKUP(
    A5,
    IMPORTRANGE(
      ""1SCYQd7_cobOYqT0r_F0IqD4tE4rYn5y8Eup4PJTH8es"",
      ""Snapshot!A:M""
    ),
    13,
    FALSE
  ),
  0
)
"),1.0)</f>
        <v>1</v>
      </c>
      <c r="AK5" s="49">
        <f t="shared" ref="AK5:AL5" si="20">LEN(C5)</f>
        <v>33</v>
      </c>
      <c r="AL5" s="49">
        <f t="shared" si="20"/>
        <v>73</v>
      </c>
    </row>
    <row r="6">
      <c r="A6" s="3" t="s">
        <v>1320</v>
      </c>
      <c r="B6" s="1" t="str">
        <f>IFERROR(__xludf.DUMMYFUNCTION("IFERROR(
  VLOOKUP(
    A6,
    IMPORTRANGE(
      ""1ZygntHC1J6IxzKbTidmOyf5nUyW4GCLurHCjexrLm_o"",
      ""HTMLキャッシュ!A:F""
    ),
    2,
    FALSE
  ),
  0
)
"),"ST")</f>
        <v>ST</v>
      </c>
      <c r="C6" s="1" t="str">
        <f>IFERROR(__xludf.DUMMYFUNCTION("IFERROR(
  VLOOKUP(
    A6,
    IMPORTRANGE(
      ""1ZygntHC1J6IxzKbTidmOyf5nUyW4GCLurHCjexrLm_o"",
      ""HTMLキャッシュ!A:F""
    ),
    5,
    FALSE
  ),
  0
)
"),"アクセス - 基礎力Stadium「国語のトリガー」")</f>
        <v>アクセス - 基礎力Stadium「国語のトリガー」</v>
      </c>
      <c r="D6" s="1" t="str">
        <f>IFERROR(__xludf.DUMMYFUNCTION("IFERROR(
  VLOOKUP(
    A6,
    IMPORTRANGE(
      ""1ZygntHC1J6IxzKbTidmOyf5nUyW4GCLurHCjexrLm_o        "",
      ""HTMLキャッシュ!A:F""
    ),
    6,
    FALSE
  ),
  0
)
"),"四谷教室へのアクセス案内。JR・東京メトロ四ツ谷駅から徒歩2分の好立地。詳しい道順や目印を画像付きで解説。スムーズにご来訪いただけます！")</f>
        <v>四谷教室へのアクセス案内。JR・東京メトロ四ツ谷駅から徒歩2分の好立地。詳しい道順や目印を画像付きで解説。スムーズにご来訪いただけます！</v>
      </c>
      <c r="E6" s="32">
        <f>IFERROR(__xludf.DUMMYFUNCTION("IFERROR(
  VLOOKUP(
    A6,
    IMPORTRANGE(
      ""1ZygntHC1J6IxzKbTidmOyf5nUyW4GCLurHCjexrLm_o        "",
      ""HTMLキャッシュ!A:F""
    ),
    3,
    FALSE
  ),
  0
)
"),45682.61372685185)</f>
        <v>45682.61373</v>
      </c>
      <c r="F6" s="49">
        <f>IFERROR(__xludf.DUMMYFUNCTION("IFERROR(
  VLOOKUP(
    A6,
    IMPORTRANGE(
      ""1ZHMy3vVUd_0MrSduXTe1etBb1HNpAlGwQr006ljwMiM"",
      ""GSC最新!A:F""
    ),
    2,
    FALSE
  ),
  0
)
"),0.0)</f>
        <v>0</v>
      </c>
      <c r="G6" s="49">
        <f>IFERROR(__xludf.DUMMYFUNCTION("IFERROR(
  VLOOKUP(
    A6,
    IMPORTRANGE(
      ""1ZHMy3vVUd_0MrSduXTe1etBb1HNpAlGwQr006ljwMiM"",
      ""GSC最新!A:F""
    ),
    3,
    FALSE
  ),
  0
)
"),1.0)</f>
        <v>1</v>
      </c>
      <c r="H6" s="49">
        <f>IFERROR(__xludf.DUMMYFUNCTION("IFERROR(
  VLOOKUP(
    A6,
    IMPORTRANGE(
      ""1ZHMy3vVUd_0MrSduXTe1etBb1HNpAlGwQr006ljwMiM"",
      ""GSC最新!A:F""
    ),
    4,
    FALSE
  ),
  0
)
"),0.0)</f>
        <v>0</v>
      </c>
      <c r="I6" s="49">
        <f>IFERROR(__xludf.DUMMYFUNCTION("IFERROR(
  VLOOKUP(
    A6,
    IMPORTRANGE(
      ""1ZHMy3vVUd_0MrSduXTe1etBb1HNpAlGwQr006ljwMiM"",
      ""GSC最新!A:F""
    ),
    5,
    FALSE
  ),
  0
)
"),1.0)</f>
        <v>1</v>
      </c>
      <c r="J6" s="50" t="str">
        <f t="shared" ref="J6:K6" si="21">IFERROR(F6/H6,"-")</f>
        <v>-</v>
      </c>
      <c r="K6" s="50">
        <f t="shared" si="21"/>
        <v>1</v>
      </c>
      <c r="L6" s="6">
        <f>IFERROR(__xludf.DUMMYFUNCTION("IFERROR(
  VLOOKUP(
    A6,
    IMPORTRANGE(
      ""1ZHMy3vVUd_0MrSduXTe1etBb1HNpAlGwQr006ljwMiM"",
      ""GSC最新!A:R""
    ),
    7,
    FALSE
  ),
  0
)
"),34.0)</f>
        <v>34</v>
      </c>
      <c r="M6" s="6">
        <f>IFERROR(__xludf.DUMMYFUNCTION("IFERROR(
  VLOOKUP(
    A6,
    IMPORTRANGE(
      ""1ZHMy3vVUd_0MrSduXTe1etBb1HNpAlGwQr006ljwMiM"",
      ""GSC最新!A:R""
    ),
    10,
    FALSE
  ),
  0
)
"),76.0)</f>
        <v>76</v>
      </c>
      <c r="N6" s="6">
        <f>IFERROR(__xludf.DUMMYFUNCTION("IFERROR(
  VLOOKUP(
    A6,
    IMPORTRANGE(
      ""1ZHMy3vVUd_0MrSduXTe1etBb1HNpAlGwQr006ljwMiM"",
      ""GSC最新!A:R""
    ),
    13,
    FALSE
  ),
  0
)
"),21.0)</f>
        <v>21</v>
      </c>
      <c r="O6" s="6">
        <f>IFERROR(__xludf.DUMMYFUNCTION("IFERROR(
  VLOOKUP(
    A6,
    IMPORTRANGE(
      ""1ZHMy3vVUd_0MrSduXTe1etBb1HNpAlGwQr006ljwMiM"",
      ""GSC最新!A:R""
    ),
    16,
    FALSE
  ),
  0
)
"),82.0)</f>
        <v>82</v>
      </c>
      <c r="P6" s="51">
        <f t="shared" ref="P6:Q6" si="22">IFERROR(L6/N6,"-")</f>
        <v>1.619047619</v>
      </c>
      <c r="Q6" s="51">
        <f t="shared" si="22"/>
        <v>0.9268292683</v>
      </c>
      <c r="R6" s="9">
        <f>IFERROR(__xludf.DUMMYFUNCTION("IFERROR(
  VLOOKUP(
    A6,
    IMPORTRANGE(
      ""1ZHMy3vVUd_0MrSduXTe1etBb1HNpAlGwQr006ljwMiM"",
      ""GSC最新!A:R""
    ),
    8,
    FALSE
  ),
  0
)
"),0.0)</f>
        <v>0</v>
      </c>
      <c r="S6" s="9">
        <f>IFERROR(__xludf.DUMMYFUNCTION("IFERROR(
  VLOOKUP(
    A6,
    IMPORTRANGE(
      ""1ZHMy3vVUd_0MrSduXTe1etBb1HNpAlGwQr006ljwMiM"",
      ""GSC最新!A:R""
    ),
    11,
    FALSE
  ),
  0
)
"),0.013157894736842105)</f>
        <v>0.01315789474</v>
      </c>
      <c r="T6" s="9">
        <f>IFERROR(__xludf.DUMMYFUNCTION("IFERROR(
  VLOOKUP(
    A6,
    IMPORTRANGE(
      ""1ZHMy3vVUd_0MrSduXTe1etBb1HNpAlGwQr006ljwMiM"",
      ""GSC最新!A:R""
    ),
    14,
    FALSE
  ),
  0
)
"),0.0)</f>
        <v>0</v>
      </c>
      <c r="U6" s="9">
        <f>IFERROR(__xludf.DUMMYFUNCTION("IFERROR(
  VLOOKUP(
    A6,
    IMPORTRANGE(
      ""1ZHMy3vVUd_0MrSduXTe1etBb1HNpAlGwQr006ljwMiM"",
      ""GSC最新!A:R""
    ),
    17,
    FALSE
  ),
  0
)
"),0.012195121951219513)</f>
        <v>0.01219512195</v>
      </c>
      <c r="V6" s="9">
        <f t="shared" ref="V6:W6" si="23">IFERROR(R6-T6,"-")</f>
        <v>0</v>
      </c>
      <c r="W6" s="9">
        <f t="shared" si="23"/>
        <v>0.0009627727856</v>
      </c>
      <c r="X6" s="65">
        <f>IFERROR(__xludf.DUMMYFUNCTION("IFERROR(
  VLOOKUP(
    A6,
    IMPORTRANGE(
      ""1ZHMy3vVUd_0MrSduXTe1etBb1HNpAlGwQr006ljwMiM"",
      ""GSC最新!A:R""
    ),
    9,
    FALSE
  ),
  0
)
"),11.970588235294118)</f>
        <v>11.97058824</v>
      </c>
      <c r="Y6" s="65">
        <f>IFERROR(__xludf.DUMMYFUNCTION("IFERROR(
  VLOOKUP(
    A6,
    IMPORTRANGE(
      ""1ZHMy3vVUd_0MrSduXTe1etBb1HNpAlGwQr006ljwMiM"",
      ""GSC最新!A:R""
    ),
    12,
    FALSE
  ),
  0
)
"),8.881578947368421)</f>
        <v>8.881578947</v>
      </c>
      <c r="Z6" s="65">
        <f>IFERROR(__xludf.DUMMYFUNCTION("IFERROR(
  VLOOKUP(
    A6,
    IMPORTRANGE(
      ""1ZHMy3vVUd_0MrSduXTe1etBb1HNpAlGwQr006ljwMiM"",
      ""GSC最新!A:R""
    ),
    15,
    FALSE
  ),
  0
)
"),22.80952380952381)</f>
        <v>22.80952381</v>
      </c>
      <c r="AA6" s="65">
        <f>IFERROR(__xludf.DUMMYFUNCTION("IFERROR(
  VLOOKUP(
    A6,
    IMPORTRANGE(
      ""1ZHMy3vVUd_0MrSduXTe1etBb1HNpAlGwQr006ljwMiM"",
      ""GSC最新!A:R""
    ),
    18,
    FALSE
  ),
  0
)
"),38.451219512195124)</f>
        <v>38.45121951</v>
      </c>
      <c r="AB6" s="65">
        <f t="shared" ref="AB6:AC6" si="24">X6-Z6</f>
        <v>-10.83893557</v>
      </c>
      <c r="AC6" s="65">
        <f t="shared" si="24"/>
        <v>-29.56964056</v>
      </c>
      <c r="AD6" s="53">
        <f>IFERROR(__xludf.DUMMYFUNCTION("IFERROR(
  VLOOKUP(
    A6,
    IMPORTRANGE(
      ""1ZHMy3vVUd_0MrSduXTe1etBb1HNpAlGwQr006ljwMiM"",
      ""GSC最新!A:F""
    ),
    6,
    FALSE
  ),
  0
)
"),46081.0)</f>
        <v>46081</v>
      </c>
      <c r="AE6" s="54">
        <f>IFERROR(__xludf.DUMMYFUNCTION("IFERROR(
  VLOOKUP(
    A6,
    IMPORTRANGE(
      ""1SCYQd7_cobOYqT0r_F0IqD4tE4rYn5y8Eup4PJTH8es"",
      ""Snapshot!A:M""
    ),
    5,
    FALSE
  ),
  ""-""
)
"),1.0)</f>
        <v>1</v>
      </c>
      <c r="AF6" s="54">
        <f>IFERROR(__xludf.DUMMYFUNCTION("IFERROR(
  VLOOKUP(
    A6,
    IMPORTRANGE(
      ""1SCYQd7_cobOYqT0r_F0IqD4tE4rYn5y8Eup4PJTH8es"",
      ""Snapshot!A:M""
    ),
    6,
    FALSE
  ),
  0
)
"),4.0)</f>
        <v>4</v>
      </c>
      <c r="AG6" s="54">
        <f>IFERROR(__xludf.DUMMYFUNCTION("IFERROR(
  VLOOKUP(
    A6,
    IMPORTRANGE(
      ""1SCYQd7_cobOYqT0r_F0IqD4tE4rYn5y8Eup4PJTH8es"",
      ""Snapshot!A:M""
    ),
    7,
    FALSE
  ),
  0
)
"),208.0)</f>
        <v>208</v>
      </c>
      <c r="AH6" s="54">
        <f>IFERROR(__xludf.DUMMYFUNCTION("IFERROR(
  VLOOKUP(
    A6,
    IMPORTRANGE(
      ""1SCYQd7_cobOYqT0r_F0IqD4tE4rYn5y8Eup4PJTH8es"",
      ""Snapshot!A:M""
    ),
    8,
    FALSE
  ),
  0
)
"),0.0)</f>
        <v>0</v>
      </c>
      <c r="AI6" s="54">
        <f>IFERROR(__xludf.DUMMYFUNCTION("IFERROR(
  VLOOKUP(
    A6,
    IMPORTRANGE(
      ""1SCYQd7_cobOYqT0r_F0IqD4tE4rYn5y8Eup4PJTH8es"",
      ""Snapshot!A:M""
    ),
    9,
    FALSE
  ),
  0
)
"),1.0)</f>
        <v>1</v>
      </c>
      <c r="AJ6" s="54">
        <f>IFERROR(__xludf.DUMMYFUNCTION("IFERROR(
  VLOOKUP(
    A6,
    IMPORTRANGE(
      ""1SCYQd7_cobOYqT0r_F0IqD4tE4rYn5y8Eup4PJTH8es"",
      ""Snapshot!A:M""
    ),
    13,
    FALSE
  ),
  0
)
"),1.0)</f>
        <v>1</v>
      </c>
      <c r="AK6" s="49">
        <f t="shared" ref="AK6:AL6" si="25">LEN(C6)</f>
        <v>26</v>
      </c>
      <c r="AL6" s="49">
        <f t="shared" si="25"/>
        <v>68</v>
      </c>
    </row>
    <row r="7">
      <c r="A7" s="3" t="s">
        <v>323</v>
      </c>
      <c r="B7" s="1" t="str">
        <f>IFERROR(__xludf.DUMMYFUNCTION("IFERROR(
  VLOOKUP(
    A7,
    IMPORTRANGE(
      ""1ZygntHC1J6IxzKbTidmOyf5nUyW4GCLurHCjexrLm_o"",
      ""HTMLキャッシュ!A:F""
    ),
    2,
    FALSE
  ),
  0
)
"),"SP")</f>
        <v>SP</v>
      </c>
      <c r="C7" s="1" t="str">
        <f>IFERROR(__xludf.DUMMYFUNCTION("IFERROR(
  VLOOKUP(
    A7,
    IMPORTRANGE(
      ""1ZygntHC1J6IxzKbTidmOyf5nUyW4GCLurHCjexrLm_o"",
      ""HTMLキャッシュ!A:F""
    ),
    5,
    FALSE
  ),
  0
)
"),"国語苦手克服と得点力強化の個別指導講座｜オンライン対応塾")</f>
        <v>国語苦手克服と得点力強化の個別指導講座｜オンライン対応塾</v>
      </c>
      <c r="D7" s="1" t="str">
        <f>IFERROR(__xludf.DUMMYFUNCTION("IFERROR(
  VLOOKUP(
    A7,
    IMPORTRANGE(
      ""1ZygntHC1J6IxzKbTidmOyf5nUyW4GCLurHCjexrLm_o        "",
      ""HTMLキャッシュ!A:F""
    ),
    6,
    FALSE
  ),
  0
)
"),"国語が伸びない原因を診断し、知識・演習・読解の弱点を個別指導で改善。教室・オンライン対応、体験相談から申込まで安心サポート")</f>
        <v>国語が伸びない原因を診断し、知識・演習・読解の弱点を個別指導で改善。教室・オンライン対応、体験相談から申込まで安心サポート</v>
      </c>
      <c r="E7" s="32">
        <f>IFERROR(__xludf.DUMMYFUNCTION("IFERROR(
  VLOOKUP(
    A7,
    IMPORTRANGE(
      ""1ZygntHC1J6IxzKbTidmOyf5nUyW4GCLurHCjexrLm_o        "",
      ""HTMLキャッシュ!A:F""
    ),
    3,
    FALSE
  ),
  0
)
"),46081.78480324074)</f>
        <v>46081.7848</v>
      </c>
      <c r="F7" s="49">
        <f>IFERROR(__xludf.DUMMYFUNCTION("IFERROR(
  VLOOKUP(
    A7,
    IMPORTRANGE(
      ""1ZHMy3vVUd_0MrSduXTe1etBb1HNpAlGwQr006ljwMiM"",
      ""GSC最新!A:F""
    ),
    2,
    FALSE
  ),
  0
)
"),0.0)</f>
        <v>0</v>
      </c>
      <c r="G7" s="49">
        <f>IFERROR(__xludf.DUMMYFUNCTION("IFERROR(
  VLOOKUP(
    A7,
    IMPORTRANGE(
      ""1ZHMy3vVUd_0MrSduXTe1etBb1HNpAlGwQr006ljwMiM"",
      ""GSC最新!A:F""
    ),
    3,
    FALSE
  ),
  0
)
"),1.0)</f>
        <v>1</v>
      </c>
      <c r="H7" s="49">
        <f>IFERROR(__xludf.DUMMYFUNCTION("IFERROR(
  VLOOKUP(
    A7,
    IMPORTRANGE(
      ""1ZHMy3vVUd_0MrSduXTe1etBb1HNpAlGwQr006ljwMiM"",
      ""GSC最新!A:F""
    ),
    4,
    FALSE
  ),
  0
)
"),0.0)</f>
        <v>0</v>
      </c>
      <c r="I7" s="49">
        <f>IFERROR(__xludf.DUMMYFUNCTION("IFERROR(
  VLOOKUP(
    A7,
    IMPORTRANGE(
      ""1ZHMy3vVUd_0MrSduXTe1etBb1HNpAlGwQr006ljwMiM"",
      ""GSC最新!A:F""
    ),
    5,
    FALSE
  ),
  0
)
"),0.0)</f>
        <v>0</v>
      </c>
      <c r="J7" s="50" t="str">
        <f t="shared" ref="J7:K7" si="26">IFERROR(F7/H7,"-")</f>
        <v>-</v>
      </c>
      <c r="K7" s="50" t="str">
        <f t="shared" si="26"/>
        <v>-</v>
      </c>
      <c r="L7" s="6">
        <f>IFERROR(__xludf.DUMMYFUNCTION("IFERROR(
  VLOOKUP(
    A7,
    IMPORTRANGE(
      ""1ZHMy3vVUd_0MrSduXTe1etBb1HNpAlGwQr006ljwMiM"",
      ""GSC最新!A:R""
    ),
    7,
    FALSE
  ),
  0
)
"),23.0)</f>
        <v>23</v>
      </c>
      <c r="M7" s="6">
        <f>IFERROR(__xludf.DUMMYFUNCTION("IFERROR(
  VLOOKUP(
    A7,
    IMPORTRANGE(
      ""1ZHMy3vVUd_0MrSduXTe1etBb1HNpAlGwQr006ljwMiM"",
      ""GSC最新!A:R""
    ),
    10,
    FALSE
  ),
  0
)
"),60.0)</f>
        <v>60</v>
      </c>
      <c r="N7" s="6">
        <f>IFERROR(__xludf.DUMMYFUNCTION("IFERROR(
  VLOOKUP(
    A7,
    IMPORTRANGE(
      ""1ZHMy3vVUd_0MrSduXTe1etBb1HNpAlGwQr006ljwMiM"",
      ""GSC最新!A:R""
    ),
    13,
    FALSE
  ),
  0
)
"),11.0)</f>
        <v>11</v>
      </c>
      <c r="O7" s="6">
        <f>IFERROR(__xludf.DUMMYFUNCTION("IFERROR(
  VLOOKUP(
    A7,
    IMPORTRANGE(
      ""1ZHMy3vVUd_0MrSduXTe1etBb1HNpAlGwQr006ljwMiM"",
      ""GSC最新!A:R""
    ),
    16,
    FALSE
  ),
  0
)
"),20.0)</f>
        <v>20</v>
      </c>
      <c r="P7" s="51">
        <f t="shared" ref="P7:Q7" si="27">IFERROR(L7/N7,"-")</f>
        <v>2.090909091</v>
      </c>
      <c r="Q7" s="51">
        <f t="shared" si="27"/>
        <v>3</v>
      </c>
      <c r="R7" s="9">
        <f>IFERROR(__xludf.DUMMYFUNCTION("IFERROR(
  VLOOKUP(
    A7,
    IMPORTRANGE(
      ""1ZHMy3vVUd_0MrSduXTe1etBb1HNpAlGwQr006ljwMiM"",
      ""GSC最新!A:R""
    ),
    8,
    FALSE
  ),
  0
)
"),0.0)</f>
        <v>0</v>
      </c>
      <c r="S7" s="9">
        <f>IFERROR(__xludf.DUMMYFUNCTION("IFERROR(
  VLOOKUP(
    A7,
    IMPORTRANGE(
      ""1ZHMy3vVUd_0MrSduXTe1etBb1HNpAlGwQr006ljwMiM"",
      ""GSC最新!A:R""
    ),
    11,
    FALSE
  ),
  0
)
"),0.016666666666666666)</f>
        <v>0.01666666667</v>
      </c>
      <c r="T7" s="9">
        <f>IFERROR(__xludf.DUMMYFUNCTION("IFERROR(
  VLOOKUP(
    A7,
    IMPORTRANGE(
      ""1ZHMy3vVUd_0MrSduXTe1etBb1HNpAlGwQr006ljwMiM"",
      ""GSC最新!A:R""
    ),
    14,
    FALSE
  ),
  0
)
"),0.0)</f>
        <v>0</v>
      </c>
      <c r="U7" s="9">
        <f>IFERROR(__xludf.DUMMYFUNCTION("IFERROR(
  VLOOKUP(
    A7,
    IMPORTRANGE(
      ""1ZHMy3vVUd_0MrSduXTe1etBb1HNpAlGwQr006ljwMiM"",
      ""GSC最新!A:R""
    ),
    17,
    FALSE
  ),
  0
)
"),0.0)</f>
        <v>0</v>
      </c>
      <c r="V7" s="9">
        <f t="shared" ref="V7:W7" si="28">IFERROR(R7-T7,"-")</f>
        <v>0</v>
      </c>
      <c r="W7" s="9">
        <f t="shared" si="28"/>
        <v>0.01666666667</v>
      </c>
      <c r="X7" s="65">
        <f>IFERROR(__xludf.DUMMYFUNCTION("IFERROR(
  VLOOKUP(
    A7,
    IMPORTRANGE(
      ""1ZHMy3vVUd_0MrSduXTe1etBb1HNpAlGwQr006ljwMiM"",
      ""GSC最新!A:R""
    ),
    9,
    FALSE
  ),
  0
)
"),19.347826086956523)</f>
        <v>19.34782609</v>
      </c>
      <c r="Y7" s="65">
        <f>IFERROR(__xludf.DUMMYFUNCTION("IFERROR(
  VLOOKUP(
    A7,
    IMPORTRANGE(
      ""1ZHMy3vVUd_0MrSduXTe1etBb1HNpAlGwQr006ljwMiM"",
      ""GSC最新!A:R""
    ),
    12,
    FALSE
  ),
  0
)
"),11.733333333333333)</f>
        <v>11.73333333</v>
      </c>
      <c r="Z7" s="65">
        <f>IFERROR(__xludf.DUMMYFUNCTION("IFERROR(
  VLOOKUP(
    A7,
    IMPORTRANGE(
      ""1ZHMy3vVUd_0MrSduXTe1etBb1HNpAlGwQr006ljwMiM"",
      ""GSC最新!A:R""
    ),
    15,
    FALSE
  ),
  0
)
"),9.454545454545455)</f>
        <v>9.454545455</v>
      </c>
      <c r="AA7" s="65">
        <f>IFERROR(__xludf.DUMMYFUNCTION("IFERROR(
  VLOOKUP(
    A7,
    IMPORTRANGE(
      ""1ZHMy3vVUd_0MrSduXTe1etBb1HNpAlGwQr006ljwMiM"",
      ""GSC最新!A:R""
    ),
    18,
    FALSE
  ),
  0
)
"),6.55)</f>
        <v>6.55</v>
      </c>
      <c r="AB7" s="65">
        <f t="shared" ref="AB7:AC7" si="29">X7-Z7</f>
        <v>9.893280632</v>
      </c>
      <c r="AC7" s="65">
        <f t="shared" si="29"/>
        <v>5.183333333</v>
      </c>
      <c r="AD7" s="53">
        <f>IFERROR(__xludf.DUMMYFUNCTION("IFERROR(
  VLOOKUP(
    A7,
    IMPORTRANGE(
      ""1ZHMy3vVUd_0MrSduXTe1etBb1HNpAlGwQr006ljwMiM"",
      ""GSC最新!A:F""
    ),
    6,
    FALSE
  ),
  0
)
"),46081.0)</f>
        <v>46081</v>
      </c>
      <c r="AE7" s="54">
        <f>IFERROR(__xludf.DUMMYFUNCTION("IFERROR(
  VLOOKUP(
    A7,
    IMPORTRANGE(
      ""1SCYQd7_cobOYqT0r_F0IqD4tE4rYn5y8Eup4PJTH8es"",
      ""Snapshot!A:M""
    ),
    5,
    FALSE
  ),
  ""-""
)
"),4.0)</f>
        <v>4</v>
      </c>
      <c r="AF7" s="54">
        <f>IFERROR(__xludf.DUMMYFUNCTION("IFERROR(
  VLOOKUP(
    A7,
    IMPORTRANGE(
      ""1SCYQd7_cobOYqT0r_F0IqD4tE4rYn5y8Eup4PJTH8es"",
      ""Snapshot!A:M""
    ),
    6,
    FALSE
  ),
  0
)
"),7.0)</f>
        <v>7</v>
      </c>
      <c r="AG7" s="54">
        <f>IFERROR(__xludf.DUMMYFUNCTION("IFERROR(
  VLOOKUP(
    A7,
    IMPORTRANGE(
      ""1SCYQd7_cobOYqT0r_F0IqD4tE4rYn5y8Eup4PJTH8es"",
      ""Snapshot!A:M""
    ),
    7,
    FALSE
  ),
  0
)
"),3339.0)</f>
        <v>3339</v>
      </c>
      <c r="AH7" s="54">
        <f>IFERROR(__xludf.DUMMYFUNCTION("IFERROR(
  VLOOKUP(
    A7,
    IMPORTRANGE(
      ""1SCYQd7_cobOYqT0r_F0IqD4tE4rYn5y8Eup4PJTH8es"",
      ""Snapshot!A:M""
    ),
    8,
    FALSE
  ),
  0
)
"),0.0)</f>
        <v>0</v>
      </c>
      <c r="AI7" s="54">
        <f>IFERROR(__xludf.DUMMYFUNCTION("IFERROR(
  VLOOKUP(
    A7,
    IMPORTRANGE(
      ""1SCYQd7_cobOYqT0r_F0IqD4tE4rYn5y8Eup4PJTH8es"",
      ""Snapshot!A:M""
    ),
    9,
    FALSE
  ),
  0
)
"),1.0)</f>
        <v>1</v>
      </c>
      <c r="AJ7" s="54">
        <f>IFERROR(__xludf.DUMMYFUNCTION("IFERROR(
  VLOOKUP(
    A7,
    IMPORTRANGE(
      ""1SCYQd7_cobOYqT0r_F0IqD4tE4rYn5y8Eup4PJTH8es"",
      ""Snapshot!A:M""
    ),
    13,
    FALSE
  ),
  0
)
"),1.0)</f>
        <v>1</v>
      </c>
      <c r="AK7" s="49">
        <f t="shared" ref="AK7:AL7" si="30">LEN(C7)</f>
        <v>28</v>
      </c>
      <c r="AL7" s="49">
        <f t="shared" si="30"/>
        <v>61</v>
      </c>
    </row>
    <row r="8">
      <c r="A8" s="3" t="s">
        <v>1321</v>
      </c>
      <c r="B8" s="1" t="str">
        <f>IFERROR(__xludf.DUMMYFUNCTION("IFERROR(
  VLOOKUP(
    A8,
    IMPORTRANGE(
      ""1ZygntHC1J6IxzKbTidmOyf5nUyW4GCLurHCjexrLm_o"",
      ""HTMLキャッシュ!A:F""
    ),
    2,
    FALSE
  ),
  0
)
"),"ST")</f>
        <v>ST</v>
      </c>
      <c r="C8" s="1" t="str">
        <f>IFERROR(__xludf.DUMMYFUNCTION("IFERROR(
  VLOOKUP(
    A8,
    IMPORTRANGE(
      ""1ZygntHC1J6IxzKbTidmOyf5nUyW4GCLurHCjexrLm_o"",
      ""HTMLキャッシュ!A:F""
    ),
    5,
    FALSE
  ),
  0
)
"),"会社概要 - 基礎力Stadium「国語のトリガー」")</f>
        <v>会社概要 - 基礎力Stadium「国語のトリガー」</v>
      </c>
      <c r="D8" s="1" t="str">
        <f>IFERROR(__xludf.DUMMYFUNCTION("IFERROR(
  VLOOKUP(
    A8,
    IMPORTRANGE(
      ""1ZygntHC1J6IxzKbTidmOyf5nUyW4GCLurHCjexrLm_o        "",
      ""HTMLキャッシュ!A:F""
    ),
    6,
    FALSE
  ),
  0
)
"),"基礎力Stadium「国語のトリガー」は株式会社アリスメティカジャパンにより運営されております。 会社概要 社")</f>
        <v>基礎力Stadium「国語のトリガー」は株式会社アリスメティカジャパンにより運営されております。 会社概要 社</v>
      </c>
      <c r="E8" s="32">
        <f>IFERROR(__xludf.DUMMYFUNCTION("IFERROR(
  VLOOKUP(
    A8,
    IMPORTRANGE(
      ""1ZygntHC1J6IxzKbTidmOyf5nUyW4GCLurHCjexrLm_o        "",
      ""HTMLキャッシュ!A:F""
    ),
    3,
    FALSE
  ),
  0
)
"),45159.59814814815)</f>
        <v>45159.59815</v>
      </c>
      <c r="F8" s="49">
        <f>IFERROR(__xludf.DUMMYFUNCTION("IFERROR(
  VLOOKUP(
    A8,
    IMPORTRANGE(
      ""1ZHMy3vVUd_0MrSduXTe1etBb1HNpAlGwQr006ljwMiM"",
      ""GSC最新!A:F""
    ),
    2,
    FALSE
  ),
  0
)
"),0.0)</f>
        <v>0</v>
      </c>
      <c r="G8" s="49">
        <f>IFERROR(__xludf.DUMMYFUNCTION("IFERROR(
  VLOOKUP(
    A8,
    IMPORTRANGE(
      ""1ZHMy3vVUd_0MrSduXTe1etBb1HNpAlGwQr006ljwMiM"",
      ""GSC最新!A:F""
    ),
    3,
    FALSE
  ),
  0
)
"),1.0)</f>
        <v>1</v>
      </c>
      <c r="H8" s="49">
        <f>IFERROR(__xludf.DUMMYFUNCTION("IFERROR(
  VLOOKUP(
    A8,
    IMPORTRANGE(
      ""1ZHMy3vVUd_0MrSduXTe1etBb1HNpAlGwQr006ljwMiM"",
      ""GSC最新!A:F""
    ),
    4,
    FALSE
  ),
  0
)
"),0.0)</f>
        <v>0</v>
      </c>
      <c r="I8" s="49">
        <f>IFERROR(__xludf.DUMMYFUNCTION("IFERROR(
  VLOOKUP(
    A8,
    IMPORTRANGE(
      ""1ZHMy3vVUd_0MrSduXTe1etBb1HNpAlGwQr006ljwMiM"",
      ""GSC最新!A:F""
    ),
    5,
    FALSE
  ),
  0
)
"),0.0)</f>
        <v>0</v>
      </c>
      <c r="J8" s="50" t="str">
        <f t="shared" ref="J8:K8" si="31">IFERROR(F8/H8,"-")</f>
        <v>-</v>
      </c>
      <c r="K8" s="50" t="str">
        <f t="shared" si="31"/>
        <v>-</v>
      </c>
      <c r="L8" s="6">
        <f>IFERROR(__xludf.DUMMYFUNCTION("IFERROR(
  VLOOKUP(
    A8,
    IMPORTRANGE(
      ""1ZHMy3vVUd_0MrSduXTe1etBb1HNpAlGwQr006ljwMiM"",
      ""GSC最新!A:R""
    ),
    7,
    FALSE
  ),
  0
)
"),21.0)</f>
        <v>21</v>
      </c>
      <c r="M8" s="6">
        <f>IFERROR(__xludf.DUMMYFUNCTION("IFERROR(
  VLOOKUP(
    A8,
    IMPORTRANGE(
      ""1ZHMy3vVUd_0MrSduXTe1etBb1HNpAlGwQr006ljwMiM"",
      ""GSC最新!A:R""
    ),
    10,
    FALSE
  ),
  0
)
"),46.0)</f>
        <v>46</v>
      </c>
      <c r="N8" s="6">
        <f>IFERROR(__xludf.DUMMYFUNCTION("IFERROR(
  VLOOKUP(
    A8,
    IMPORTRANGE(
      ""1ZHMy3vVUd_0MrSduXTe1etBb1HNpAlGwQr006ljwMiM"",
      ""GSC最新!A:R""
    ),
    13,
    FALSE
  ),
  0
)
"),2.0)</f>
        <v>2</v>
      </c>
      <c r="O8" s="6">
        <f>IFERROR(__xludf.DUMMYFUNCTION("IFERROR(
  VLOOKUP(
    A8,
    IMPORTRANGE(
      ""1ZHMy3vVUd_0MrSduXTe1etBb1HNpAlGwQr006ljwMiM"",
      ""GSC最新!A:R""
    ),
    16,
    FALSE
  ),
  0
)
"),12.0)</f>
        <v>12</v>
      </c>
      <c r="P8" s="51">
        <f t="shared" ref="P8:Q8" si="32">IFERROR(L8/N8,"-")</f>
        <v>10.5</v>
      </c>
      <c r="Q8" s="51">
        <f t="shared" si="32"/>
        <v>3.833333333</v>
      </c>
      <c r="R8" s="9">
        <f>IFERROR(__xludf.DUMMYFUNCTION("IFERROR(
  VLOOKUP(
    A8,
    IMPORTRANGE(
      ""1ZHMy3vVUd_0MrSduXTe1etBb1HNpAlGwQr006ljwMiM"",
      ""GSC最新!A:R""
    ),
    8,
    FALSE
  ),
  0
)
"),0.0)</f>
        <v>0</v>
      </c>
      <c r="S8" s="9">
        <f>IFERROR(__xludf.DUMMYFUNCTION("IFERROR(
  VLOOKUP(
    A8,
    IMPORTRANGE(
      ""1ZHMy3vVUd_0MrSduXTe1etBb1HNpAlGwQr006ljwMiM"",
      ""GSC最新!A:R""
    ),
    11,
    FALSE
  ),
  0
)
"),0.021739130434782608)</f>
        <v>0.02173913043</v>
      </c>
      <c r="T8" s="9">
        <f>IFERROR(__xludf.DUMMYFUNCTION("IFERROR(
  VLOOKUP(
    A8,
    IMPORTRANGE(
      ""1ZHMy3vVUd_0MrSduXTe1etBb1HNpAlGwQr006ljwMiM"",
      ""GSC最新!A:R""
    ),
    14,
    FALSE
  ),
  0
)
"),0.0)</f>
        <v>0</v>
      </c>
      <c r="U8" s="9">
        <f>IFERROR(__xludf.DUMMYFUNCTION("IFERROR(
  VLOOKUP(
    A8,
    IMPORTRANGE(
      ""1ZHMy3vVUd_0MrSduXTe1etBb1HNpAlGwQr006ljwMiM"",
      ""GSC最新!A:R""
    ),
    17,
    FALSE
  ),
  0
)
"),0.0)</f>
        <v>0</v>
      </c>
      <c r="V8" s="9">
        <f t="shared" ref="V8:W8" si="33">IFERROR(R8-T8,"-")</f>
        <v>0</v>
      </c>
      <c r="W8" s="9">
        <f t="shared" si="33"/>
        <v>0.02173913043</v>
      </c>
      <c r="X8" s="65">
        <f>IFERROR(__xludf.DUMMYFUNCTION("IFERROR(
  VLOOKUP(
    A8,
    IMPORTRANGE(
      ""1ZHMy3vVUd_0MrSduXTe1etBb1HNpAlGwQr006ljwMiM"",
      ""GSC最新!A:R""
    ),
    9,
    FALSE
  ),
  0
)
"),8.285714285714285)</f>
        <v>8.285714286</v>
      </c>
      <c r="Y8" s="65">
        <f>IFERROR(__xludf.DUMMYFUNCTION("IFERROR(
  VLOOKUP(
    A8,
    IMPORTRANGE(
      ""1ZHMy3vVUd_0MrSduXTe1etBb1HNpAlGwQr006ljwMiM"",
      ""GSC最新!A:R""
    ),
    12,
    FALSE
  ),
  0
)
"),7.673913043478261)</f>
        <v>7.673913043</v>
      </c>
      <c r="Z8" s="65">
        <f>IFERROR(__xludf.DUMMYFUNCTION("IFERROR(
  VLOOKUP(
    A8,
    IMPORTRANGE(
      ""1ZHMy3vVUd_0MrSduXTe1etBb1HNpAlGwQr006ljwMiM"",
      ""GSC最新!A:R""
    ),
    15,
    FALSE
  ),
  0
)
"),3.0)</f>
        <v>3</v>
      </c>
      <c r="AA8" s="65">
        <f>IFERROR(__xludf.DUMMYFUNCTION("IFERROR(
  VLOOKUP(
    A8,
    IMPORTRANGE(
      ""1ZHMy3vVUd_0MrSduXTe1etBb1HNpAlGwQr006ljwMiM"",
      ""GSC最新!A:R""
    ),
    18,
    FALSE
  ),
  0
)
"),11.0)</f>
        <v>11</v>
      </c>
      <c r="AB8" s="65">
        <f t="shared" ref="AB8:AC8" si="34">X8-Z8</f>
        <v>5.285714286</v>
      </c>
      <c r="AC8" s="65">
        <f t="shared" si="34"/>
        <v>-3.326086957</v>
      </c>
      <c r="AD8" s="53">
        <f>IFERROR(__xludf.DUMMYFUNCTION("IFERROR(
  VLOOKUP(
    A8,
    IMPORTRANGE(
      ""1ZHMy3vVUd_0MrSduXTe1etBb1HNpAlGwQr006ljwMiM"",
      ""GSC最新!A:F""
    ),
    6,
    FALSE
  ),
  0
)
"),46081.0)</f>
        <v>46081</v>
      </c>
      <c r="AE8" s="54">
        <f>IFERROR(__xludf.DUMMYFUNCTION("IFERROR(
  VLOOKUP(
    A8,
    IMPORTRANGE(
      ""1SCYQd7_cobOYqT0r_F0IqD4tE4rYn5y8Eup4PJTH8es"",
      ""Snapshot!A:M""
    ),
    5,
    FALSE
  ),
  ""-""
)
"),1.0)</f>
        <v>1</v>
      </c>
      <c r="AF8" s="54">
        <f>IFERROR(__xludf.DUMMYFUNCTION("IFERROR(
  VLOOKUP(
    A8,
    IMPORTRANGE(
      ""1SCYQd7_cobOYqT0r_F0IqD4tE4rYn5y8Eup4PJTH8es"",
      ""Snapshot!A:M""
    ),
    6,
    FALSE
  ),
  0
)
"),6.0)</f>
        <v>6</v>
      </c>
      <c r="AG8" s="54">
        <f>IFERROR(__xludf.DUMMYFUNCTION("IFERROR(
  VLOOKUP(
    A8,
    IMPORTRANGE(
      ""1SCYQd7_cobOYqT0r_F0IqD4tE4rYn5y8Eup4PJTH8es"",
      ""Snapshot!A:M""
    ),
    7,
    FALSE
  ),
  0
)
"),689.0)</f>
        <v>689</v>
      </c>
      <c r="AH8" s="54">
        <f>IFERROR(__xludf.DUMMYFUNCTION("IFERROR(
  VLOOKUP(
    A8,
    IMPORTRANGE(
      ""1SCYQd7_cobOYqT0r_F0IqD4tE4rYn5y8Eup4PJTH8es"",
      ""Snapshot!A:M""
    ),
    8,
    FALSE
  ),
  0
)
"),1.0)</f>
        <v>1</v>
      </c>
      <c r="AI8" s="54">
        <f>IFERROR(__xludf.DUMMYFUNCTION("IFERROR(
  VLOOKUP(
    A8,
    IMPORTRANGE(
      ""1SCYQd7_cobOYqT0r_F0IqD4tE4rYn5y8Eup4PJTH8es"",
      ""Snapshot!A:M""
    ),
    9,
    FALSE
  ),
  0
)
"),1.0)</f>
        <v>1</v>
      </c>
      <c r="AJ8" s="54">
        <f>IFERROR(__xludf.DUMMYFUNCTION("IFERROR(
  VLOOKUP(
    A8,
    IMPORTRANGE(
      ""1SCYQd7_cobOYqT0r_F0IqD4tE4rYn5y8Eup4PJTH8es"",
      ""Snapshot!A:M""
    ),
    13,
    FALSE
  ),
  0
)
"),1.0)</f>
        <v>1</v>
      </c>
      <c r="AK8" s="49">
        <f t="shared" ref="AK8:AL8" si="35">LEN(C8)</f>
        <v>26</v>
      </c>
      <c r="AL8" s="49">
        <f t="shared" si="35"/>
        <v>55</v>
      </c>
    </row>
    <row r="9">
      <c r="A9" s="3" t="s">
        <v>1322</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"),"四ツ谷の国語専門塾｜国語が苦手な受験生専門の完全1対1個別指導（教室・オンライン）")</f>
        <v>四ツ谷の国語専門塾｜国語が苦手な受験生専門の完全1対1個別指導（教室・オンライン）</v>
      </c>
      <c r="D9" s="1" t="str">
        <f>IFERROR(__xludf.DUMMYFUNCTION("IFERROR(
  VLOOKUP(
    A9,
    IMPORTRANGE(
      ""1ZygntHC1J6IxzKbTidmOyf5nUyW4GCLurHCjexrLm_o        "",
      ""HTMLキャッシュ!A:F""
    ),
    6,
    FALSE
  ),
  0
)
"),"国語のトリガーは四ツ谷駅徒歩2分の国語専門塾。国語が苦手な受験生専門に、完全1対1個別指導で知識の土台→思考→読解の手順を整え、“理解できた”を“解ける”へ。知識分野フォローアップ／演習徹底／思考力養成など、教室・オンラインで受講可能。学習相談も受付。")</f>
        <v>国語のトリガーは四ツ谷駅徒歩2分の国語専門塾。国語が苦手な受験生専門に、完全1対1個別指導で知識の土台→思考→読解の手順を整え、“理解できた”を“解ける”へ。知識分野フォローアップ／演習徹底／思考力養成など、教室・オンラインで受講可能。学習相談も受付。</v>
      </c>
      <c r="E9" s="32">
        <f>IFERROR(__xludf.DUMMYFUNCTION("IFERROR(
  VLOOKUP(
    A9,
    IMPORTRANGE(
      ""1ZygntHC1J6IxzKbTidmOyf5nUyW4GCLurHCjexrLm_o        "",
      ""HTMLキャッシュ!A:F""
    ),
    3,
    FALSE
  ),
  0
)
"),46052.766226851854)</f>
        <v>46052.76623</v>
      </c>
      <c r="F9" s="49">
        <f>IFERROR(__xludf.DUMMYFUNCTION("IFERROR(
  VLOOKUP(
    A9,
    IMPORTRANGE(
      ""1ZHMy3vVUd_0MrSduXTe1etBb1HNpAlGwQr006ljwMiM"",
      ""GSC最新!A:F""
    ),
    2,
    FALSE
  ),
  0
)
"),1.0)</f>
        <v>1</v>
      </c>
      <c r="G9" s="49">
        <f>IFERROR(__xludf.DUMMYFUNCTION("IFERROR(
  VLOOKUP(
    A9,
    IMPORTRANGE(
      ""1ZHMy3vVUd_0MrSduXTe1etBb1HNpAlGwQr006ljwMiM"",
      ""GSC最新!A:F""
    ),
    3,
    FALSE
  ),
  0
)
"),1.0)</f>
        <v>1</v>
      </c>
      <c r="H9" s="49">
        <f>IFERROR(__xludf.DUMMYFUNCTION("IFERROR(
  VLOOKUP(
    A9,
    IMPORTRANGE(
      ""1ZHMy3vVUd_0MrSduXTe1etBb1HNpAlGwQr006ljwMiM"",
      ""GSC最新!A:F""
    ),
    4,
    FALSE
  ),
  0
)
"),0.0)</f>
        <v>0</v>
      </c>
      <c r="I9" s="49">
        <f>IFERROR(__xludf.DUMMYFUNCTION("IFERROR(
  VLOOKUP(
    A9,
    IMPORTRANGE(
      ""1ZHMy3vVUd_0MrSduXTe1etBb1HNpAlGwQr006ljwMiM"",
      ""GSC最新!A:F""
    ),
    5,
    FALSE
  ),
  0
)
"),0.0)</f>
        <v>0</v>
      </c>
      <c r="J9" s="50" t="str">
        <f t="shared" ref="J9:K9" si="36">IFERROR(F9/H9,"-")</f>
        <v>-</v>
      </c>
      <c r="K9" s="50" t="str">
        <f t="shared" si="36"/>
        <v>-</v>
      </c>
      <c r="L9" s="6">
        <f>IFERROR(__xludf.DUMMYFUNCTION("IFERROR(
  VLOOKUP(
    A9,
    IMPORTRANGE(
      ""1ZHMy3vVUd_0MrSduXTe1etBb1HNpAlGwQr006ljwMiM"",
      ""GSC最新!A:R""
    ),
    7,
    FALSE
  ),
  0
)
"),10.0)</f>
        <v>10</v>
      </c>
      <c r="M9" s="6">
        <f>IFERROR(__xludf.DUMMYFUNCTION("IFERROR(
  VLOOKUP(
    A9,
    IMPORTRANGE(
      ""1ZHMy3vVUd_0MrSduXTe1etBb1HNpAlGwQr006ljwMiM"",
      ""GSC最新!A:R""
    ),
    10,
    FALSE
  ),
  0
)
"),17.0)</f>
        <v>17</v>
      </c>
      <c r="N9" s="6">
        <f>IFERROR(__xludf.DUMMYFUNCTION("IFERROR(
  VLOOKUP(
    A9,
    IMPORTRANGE(
      ""1ZHMy3vVUd_0MrSduXTe1etBb1HNpAlGwQr006ljwMiM"",
      ""GSC最新!A:R""
    ),
    13,
    FALSE
  ),
  0
)
"),1.0)</f>
        <v>1</v>
      </c>
      <c r="O9" s="6">
        <f>IFERROR(__xludf.DUMMYFUNCTION("IFERROR(
  VLOOKUP(
    A9,
    IMPORTRANGE(
      ""1ZHMy3vVUd_0MrSduXTe1etBb1HNpAlGwQr006ljwMiM"",
      ""GSC最新!A:R""
    ),
    16,
    FALSE
  ),
  0
)
"),2.0)</f>
        <v>2</v>
      </c>
      <c r="P9" s="51">
        <f t="shared" ref="P9:Q9" si="37">IFERROR(L9/N9,"-")</f>
        <v>10</v>
      </c>
      <c r="Q9" s="51">
        <f t="shared" si="37"/>
        <v>8.5</v>
      </c>
      <c r="R9" s="9">
        <f>IFERROR(__xludf.DUMMYFUNCTION("IFERROR(
  VLOOKUP(
    A9,
    IMPORTRANGE(
      ""1ZHMy3vVUd_0MrSduXTe1etBb1HNpAlGwQr006ljwMiM"",
      ""GSC最新!A:R""
    ),
    8,
    FALSE
  ),
  0
)
"),0.1)</f>
        <v>0.1</v>
      </c>
      <c r="S9" s="9">
        <f>IFERROR(__xludf.DUMMYFUNCTION("IFERROR(
  VLOOKUP(
    A9,
    IMPORTRANGE(
      ""1ZHMy3vVUd_0MrSduXTe1etBb1HNpAlGwQr006ljwMiM"",
      ""GSC最新!A:R""
    ),
    11,
    FALSE
  ),
  0
)
"),0.058823529411764705)</f>
        <v>0.05882352941</v>
      </c>
      <c r="T9" s="9">
        <f>IFERROR(__xludf.DUMMYFUNCTION("IFERROR(
  VLOOKUP(
    A9,
    IMPORTRANGE(
      ""1ZHMy3vVUd_0MrSduXTe1etBb1HNpAlGwQr006ljwMiM"",
      ""GSC最新!A:R""
    ),
    14,
    FALSE
  ),
  0
)
"),0.0)</f>
        <v>0</v>
      </c>
      <c r="U9" s="9">
        <f>IFERROR(__xludf.DUMMYFUNCTION("IFERROR(
  VLOOKUP(
    A9,
    IMPORTRANGE(
      ""1ZHMy3vVUd_0MrSduXTe1etBb1HNpAlGwQr006ljwMiM"",
      ""GSC最新!A:R""
    ),
    17,
    FALSE
  ),
  0
)
"),0.0)</f>
        <v>0</v>
      </c>
      <c r="V9" s="9">
        <f t="shared" ref="V9:W9" si="38">IFERROR(R9-T9,"-")</f>
        <v>0.1</v>
      </c>
      <c r="W9" s="9">
        <f t="shared" si="38"/>
        <v>0.05882352941</v>
      </c>
      <c r="X9" s="65">
        <f>IFERROR(__xludf.DUMMYFUNCTION("IFERROR(
  VLOOKUP(
    A9,
    IMPORTRANGE(
      ""1ZHMy3vVUd_0MrSduXTe1etBb1HNpAlGwQr006ljwMiM"",
      ""GSC最新!A:R""
    ),
    9,
    FALSE
  ),
  0
)
"),7.4)</f>
        <v>7.4</v>
      </c>
      <c r="Y9" s="65">
        <f>IFERROR(__xludf.DUMMYFUNCTION("IFERROR(
  VLOOKUP(
    A9,
    IMPORTRANGE(
      ""1ZHMy3vVUd_0MrSduXTe1etBb1HNpAlGwQr006ljwMiM"",
      ""GSC最新!A:R""
    ),
    12,
    FALSE
  ),
  0
)
"),7.529411764705882)</f>
        <v>7.529411765</v>
      </c>
      <c r="Z9" s="65">
        <f>IFERROR(__xludf.DUMMYFUNCTION("IFERROR(
  VLOOKUP(
    A9,
    IMPORTRANGE(
      ""1ZHMy3vVUd_0MrSduXTe1etBb1HNpAlGwQr006ljwMiM"",
      ""GSC最新!A:R""
    ),
    15,
    FALSE
  ),
  0
)
"),7.0)</f>
        <v>7</v>
      </c>
      <c r="AA9" s="65">
        <f>IFERROR(__xludf.DUMMYFUNCTION("IFERROR(
  VLOOKUP(
    A9,
    IMPORTRANGE(
      ""1ZHMy3vVUd_0MrSduXTe1etBb1HNpAlGwQr006ljwMiM"",
      ""GSC最新!A:R""
    ),
    18,
    FALSE
  ),
  0
)
"),7.5)</f>
        <v>7.5</v>
      </c>
      <c r="AB9" s="65">
        <f t="shared" ref="AB9:AC9" si="39">X9-Z9</f>
        <v>0.4</v>
      </c>
      <c r="AC9" s="65">
        <f t="shared" si="39"/>
        <v>0.02941176471</v>
      </c>
      <c r="AD9" s="53">
        <f>IFERROR(__xludf.DUMMYFUNCTION("IFERROR(
  VLOOKUP(
    A9,
    IMPORTRANGE(
      ""1ZHMy3vVUd_0MrSduXTe1etBb1HNpAlGwQr006ljwMiM"",
      ""GSC最新!A:F""
    ),
    6,
    FALSE
  ),
  0
)
"),46081.0)</f>
        <v>46081</v>
      </c>
      <c r="AE9" s="54">
        <f>IFERROR(__xludf.DUMMYFUNCTION("IFERROR(
  VLOOKUP(
    A9,
    IMPORTRANGE(
      ""1SCYQd7_cobOYqT0r_F0IqD4tE4rYn5y8Eup4PJTH8es"",
      ""Snapshot!A:M""
    ),
    5,
    FALSE
  ),
  ""-""
)
"),7.0)</f>
        <v>7</v>
      </c>
      <c r="AF9" s="54">
        <f>IFERROR(__xludf.DUMMYFUNCTION("IFERROR(
  VLOOKUP(
    A9,
    IMPORTRANGE(
      ""1SCYQd7_cobOYqT0r_F0IqD4tE4rYn5y8Eup4PJTH8es"",
      ""Snapshot!A:M""
    ),
    6,
    FALSE
  ),
  0
)
"),17.0)</f>
        <v>17</v>
      </c>
      <c r="AG9" s="54">
        <f>IFERROR(__xludf.DUMMYFUNCTION("IFERROR(
  VLOOKUP(
    A9,
    IMPORTRANGE(
      ""1SCYQd7_cobOYqT0r_F0IqD4tE4rYn5y8Eup4PJTH8es"",
      ""Snapshot!A:M""
    ),
    7,
    FALSE
  ),
  0
)
"),4350.0)</f>
        <v>4350</v>
      </c>
      <c r="AH9" s="54">
        <f>IFERROR(__xludf.DUMMYFUNCTION("IFERROR(
  VLOOKUP(
    A9,
    IMPORTRANGE(
      ""1SCYQd7_cobOYqT0r_F0IqD4tE4rYn5y8Eup4PJTH8es"",
      ""Snapshot!A:M""
    ),
    8,
    FALSE
  ),
  0
)
"),0.0)</f>
        <v>0</v>
      </c>
      <c r="AI9" s="54">
        <f>IFERROR(__xludf.DUMMYFUNCTION("IFERROR(
  VLOOKUP(
    A9,
    IMPORTRANGE(
      ""1SCYQd7_cobOYqT0r_F0IqD4tE4rYn5y8Eup4PJTH8es"",
      ""Snapshot!A:M""
    ),
    9,
    FALSE
  ),
  0
)
"),1.0)</f>
        <v>1</v>
      </c>
      <c r="AJ9" s="54">
        <f>IFERROR(__xludf.DUMMYFUNCTION("IFERROR(
  VLOOKUP(
    A9,
    IMPORTRANGE(
      ""1SCYQd7_cobOYqT0r_F0IqD4tE4rYn5y8Eup4PJTH8es"",
      ""Snapshot!A:M""
    ),
    13,
    FALSE
  ),
  0
)
"),1.0)</f>
        <v>1</v>
      </c>
      <c r="AK9" s="49">
        <f t="shared" ref="AK9:AL9" si="40">LEN(C9)</f>
        <v>41</v>
      </c>
      <c r="AL9" s="49">
        <f t="shared" si="40"/>
        <v>126</v>
      </c>
    </row>
    <row r="10">
      <c r="A10" s="3" t="s">
        <v>1323</v>
      </c>
      <c r="B10" s="1" t="str">
        <f>IFERROR(__xludf.DUMMYFUNCTION("IFERROR(
  VLOOKUP(
    A10,
    IMPORTRANGE(
      ""1ZygntHC1J6IxzKbTidmOyf5nUyW4GCLurHCjexrLm_o"",
      ""HTMLキャッシュ!A:F""
    ),
    2,
    FALSE
  ),
  0
)
"),"ST")</f>
        <v>ST</v>
      </c>
      <c r="C10" s="1" t="str">
        <f>IFERROR(__xludf.DUMMYFUNCTION("IFERROR(
  VLOOKUP(
    A10,
    IMPORTRANGE(
      ""1ZygntHC1J6IxzKbTidmOyf5nUyW4GCLurHCjexrLm_o"",
      ""HTMLキャッシュ!A:F""
    ),
    5,
    FALSE
  ),
  0
)
"),"コンセプト - 基礎力Stadium「国語のトリガー」")</f>
        <v>コンセプト - 基礎力Stadium「国語のトリガー」</v>
      </c>
      <c r="D10" s="1" t="str">
        <f>IFERROR(__xludf.DUMMYFUNCTION("IFERROR(
  VLOOKUP(
    A10,
    IMPORTRANGE(
      ""1ZygntHC1J6IxzKbTidmOyf5nUyW4GCLurHCjexrLm_o        "",
      ""HTMLキャッシュ!A:F""
    ),
    6,
    FALSE
  ),
  0
)
"),"国語が苦手な受験生のための専門塾。分かりやすい教材と豊富な演習量で思考力を育成。宿題の徹底管理で語彙力も強化。苦手を克服し自信を育てましょう！")</f>
        <v>国語が苦手な受験生のための専門塾。分かりやすい教材と豊富な演習量で思考力を育成。宿題の徹底管理で語彙力も強化。苦手を克服し自信を育てましょう！</v>
      </c>
      <c r="E10" s="32">
        <f>IFERROR(__xludf.DUMMYFUNCTION("IFERROR(
  VLOOKUP(
    A10,
    IMPORTRANGE(
      ""1ZygntHC1J6IxzKbTidmOyf5nUyW4GCLurHCjexrLm_o        "",
      ""HTMLキャッシュ!A:F""
    ),
    3,
    FALSE
  ),
  0
)
"),45682.61677083333)</f>
        <v>45682.61677</v>
      </c>
      <c r="F10" s="49">
        <f>IFERROR(__xludf.DUMMYFUNCTION("IFERROR(
  VLOOKUP(
    A10,
    IMPORTRANGE(
      ""1ZHMy3vVUd_0MrSduXTe1etBb1HNpAlGwQr006ljwMiM"",
      ""GSC最新!A:F""
    ),
    2,
    FALSE
  ),
  0
)
"),0.0)</f>
        <v>0</v>
      </c>
      <c r="G10" s="49">
        <f>IFERROR(__xludf.DUMMYFUNCTION("IFERROR(
  VLOOKUP(
    A10,
    IMPORTRANGE(
      ""1ZHMy3vVUd_0MrSduXTe1etBb1HNpAlGwQr006ljwMiM"",
      ""GSC最新!A:F""
    ),
    3,
    FALSE
  ),
  0
)
"),0.0)</f>
        <v>0</v>
      </c>
      <c r="H10" s="49">
        <f>IFERROR(__xludf.DUMMYFUNCTION("IFERROR(
  VLOOKUP(
    A10,
    IMPORTRANGE(
      ""1ZHMy3vVUd_0MrSduXTe1etBb1HNpAlGwQr006ljwMiM"",
      ""GSC最新!A:F""
    ),
    4,
    FALSE
  ),
  0
)
"),0.0)</f>
        <v>0</v>
      </c>
      <c r="I10" s="49">
        <f>IFERROR(__xludf.DUMMYFUNCTION("IFERROR(
  VLOOKUP(
    A10,
    IMPORTRANGE(
      ""1ZHMy3vVUd_0MrSduXTe1etBb1HNpAlGwQr006ljwMiM"",
      ""GSC最新!A:F""
    ),
    5,
    FALSE
  ),
  0
)
"),1.0)</f>
        <v>1</v>
      </c>
      <c r="J10" s="50" t="str">
        <f t="shared" ref="J10:K10" si="41">IFERROR(F10/H10,"-")</f>
        <v>-</v>
      </c>
      <c r="K10" s="50">
        <f t="shared" si="41"/>
        <v>0</v>
      </c>
      <c r="L10" s="6">
        <f>IFERROR(__xludf.DUMMYFUNCTION("IFERROR(
  VLOOKUP(
    A10,
    IMPORTRANGE(
      ""1ZHMy3vVUd_0MrSduXTe1etBb1HNpAlGwQr006ljwMiM"",
      ""GSC最新!A:R""
    ),
    7,
    FALSE
  ),
  0
)
"),14.0)</f>
        <v>14</v>
      </c>
      <c r="M10" s="6">
        <f>IFERROR(__xludf.DUMMYFUNCTION("IFERROR(
  VLOOKUP(
    A10,
    IMPORTRANGE(
      ""1ZHMy3vVUd_0MrSduXTe1etBb1HNpAlGwQr006ljwMiM"",
      ""GSC最新!A:R""
    ),
    10,
    FALSE
  ),
  0
)
"),38.0)</f>
        <v>38</v>
      </c>
      <c r="N10" s="6">
        <f>IFERROR(__xludf.DUMMYFUNCTION("IFERROR(
  VLOOKUP(
    A10,
    IMPORTRANGE(
      ""1ZHMy3vVUd_0MrSduXTe1etBb1HNpAlGwQr006ljwMiM"",
      ""GSC最新!A:R""
    ),
    13,
    FALSE
  ),
  0
)
"),6.0)</f>
        <v>6</v>
      </c>
      <c r="O10" s="6">
        <f>IFERROR(__xludf.DUMMYFUNCTION("IFERROR(
  VLOOKUP(
    A10,
    IMPORTRANGE(
      ""1ZHMy3vVUd_0MrSduXTe1etBb1HNpAlGwQr006ljwMiM"",
      ""GSC最新!A:R""
    ),
    16,
    FALSE
  ),
  0
)
"),20.0)</f>
        <v>20</v>
      </c>
      <c r="P10" s="51">
        <f t="shared" ref="P10:Q10" si="42">IFERROR(L10/N10,"-")</f>
        <v>2.333333333</v>
      </c>
      <c r="Q10" s="51">
        <f t="shared" si="42"/>
        <v>1.9</v>
      </c>
      <c r="R10" s="9">
        <f>IFERROR(__xludf.DUMMYFUNCTION("IFERROR(
  VLOOKUP(
    A10,
    IMPORTRANGE(
      ""1ZHMy3vVUd_0MrSduXTe1etBb1HNpAlGwQr006ljwMiM"",
      ""GSC最新!A:R""
    ),
    8,
    FALSE
  ),
  0
)
"),0.0)</f>
        <v>0</v>
      </c>
      <c r="S10" s="9">
        <f>IFERROR(__xludf.DUMMYFUNCTION("IFERROR(
  VLOOKUP(
    A10,
    IMPORTRANGE(
      ""1ZHMy3vVUd_0MrSduXTe1etBb1HNpAlGwQr006ljwMiM"",
      ""GSC最新!A:R""
    ),
    11,
    FALSE
  ),
  0
)
"),0.0)</f>
        <v>0</v>
      </c>
      <c r="T10" s="9">
        <f>IFERROR(__xludf.DUMMYFUNCTION("IFERROR(
  VLOOKUP(
    A10,
    IMPORTRANGE(
      ""1ZHMy3vVUd_0MrSduXTe1etBb1HNpAlGwQr006ljwMiM"",
      ""GSC最新!A:R""
    ),
    14,
    FALSE
  ),
  0
)
"),0.0)</f>
        <v>0</v>
      </c>
      <c r="U10" s="9">
        <f>IFERROR(__xludf.DUMMYFUNCTION("IFERROR(
  VLOOKUP(
    A10,
    IMPORTRANGE(
      ""1ZHMy3vVUd_0MrSduXTe1etBb1HNpAlGwQr006ljwMiM"",
      ""GSC最新!A:R""
    ),
    17,
    FALSE
  ),
  0
)
"),0.05)</f>
        <v>0.05</v>
      </c>
      <c r="V10" s="9">
        <f t="shared" ref="V10:W10" si="43">IFERROR(R10-T10,"-")</f>
        <v>0</v>
      </c>
      <c r="W10" s="9">
        <f t="shared" si="43"/>
        <v>-0.05</v>
      </c>
      <c r="X10" s="65">
        <f>IFERROR(__xludf.DUMMYFUNCTION("IFERROR(
  VLOOKUP(
    A10,
    IMPORTRANGE(
      ""1ZHMy3vVUd_0MrSduXTe1etBb1HNpAlGwQr006ljwMiM"",
      ""GSC最新!A:R""
    ),
    9,
    FALSE
  ),
  0
)
"),12.428571428571429)</f>
        <v>12.42857143</v>
      </c>
      <c r="Y10" s="65">
        <f>IFERROR(__xludf.DUMMYFUNCTION("IFERROR(
  VLOOKUP(
    A10,
    IMPORTRANGE(
      ""1ZHMy3vVUd_0MrSduXTe1etBb1HNpAlGwQr006ljwMiM"",
      ""GSC最新!A:R""
    ),
    12,
    FALSE
  ),
  0
)
"),7.2894736842105265)</f>
        <v>7.289473684</v>
      </c>
      <c r="Z10" s="65">
        <f>IFERROR(__xludf.DUMMYFUNCTION("IFERROR(
  VLOOKUP(
    A10,
    IMPORTRANGE(
      ""1ZHMy3vVUd_0MrSduXTe1etBb1HNpAlGwQr006ljwMiM"",
      ""GSC最新!A:R""
    ),
    15,
    FALSE
  ),
  0
)
"),1.0)</f>
        <v>1</v>
      </c>
      <c r="AA10" s="65">
        <f>IFERROR(__xludf.DUMMYFUNCTION("IFERROR(
  VLOOKUP(
    A10,
    IMPORTRANGE(
      ""1ZHMy3vVUd_0MrSduXTe1etBb1HNpAlGwQr006ljwMiM"",
      ""GSC最新!A:R""
    ),
    18,
    FALSE
  ),
  0
)
"),11.9)</f>
        <v>11.9</v>
      </c>
      <c r="AB10" s="65">
        <f t="shared" ref="AB10:AC10" si="44">X10-Z10</f>
        <v>11.42857143</v>
      </c>
      <c r="AC10" s="65">
        <f t="shared" si="44"/>
        <v>-4.610526316</v>
      </c>
      <c r="AD10" s="53">
        <f>IFERROR(__xludf.DUMMYFUNCTION("IFERROR(
  VLOOKUP(
    A10,
    IMPORTRANGE(
      ""1ZHMy3vVUd_0MrSduXTe1etBb1HNpAlGwQr006ljwMiM"",
      ""GSC最新!A:F""
    ),
    6,
    FALSE
  ),
  0
)
"),46081.0)</f>
        <v>46081</v>
      </c>
      <c r="AE10" s="54">
        <f>IFERROR(__xludf.DUMMYFUNCTION("IFERROR(
  VLOOKUP(
    A10,
    IMPORTRANGE(
      ""1SCYQd7_cobOYqT0r_F0IqD4tE4rYn5y8Eup4PJTH8es"",
      ""Snapshot!A:M""
    ),
    5,
    FALSE
  ),
  ""-""
)
"),0.0)</f>
        <v>0</v>
      </c>
      <c r="AF10" s="54">
        <f>IFERROR(__xludf.DUMMYFUNCTION("IFERROR(
  VLOOKUP(
    A10,
    IMPORTRANGE(
      ""1SCYQd7_cobOYqT0r_F0IqD4tE4rYn5y8Eup4PJTH8es"",
      ""Snapshot!A:M""
    ),
    6,
    FALSE
  ),
  0
)
"),3.0)</f>
        <v>3</v>
      </c>
      <c r="AG10" s="54">
        <f>IFERROR(__xludf.DUMMYFUNCTION("IFERROR(
  VLOOKUP(
    A10,
    IMPORTRANGE(
      ""1SCYQd7_cobOYqT0r_F0IqD4tE4rYn5y8Eup4PJTH8es"",
      ""Snapshot!A:M""
    ),
    7,
    FALSE
  ),
  0
)
"),1414.0)</f>
        <v>1414</v>
      </c>
      <c r="AH10" s="54">
        <f>IFERROR(__xludf.DUMMYFUNCTION("IFERROR(
  VLOOKUP(
    A10,
    IMPORTRANGE(
      ""1SCYQd7_cobOYqT0r_F0IqD4tE4rYn5y8Eup4PJTH8es"",
      ""Snapshot!A:M""
    ),
    8,
    FALSE
  ),
  0
)
"),0.0)</f>
        <v>0</v>
      </c>
      <c r="AI10" s="54">
        <f>IFERROR(__xludf.DUMMYFUNCTION("IFERROR(
  VLOOKUP(
    A10,
    IMPORTRANGE(
      ""1SCYQd7_cobOYqT0r_F0IqD4tE4rYn5y8Eup4PJTH8es"",
      ""Snapshot!A:M""
    ),
    9,
    FALSE
  ),
  0
)
"),1.0)</f>
        <v>1</v>
      </c>
      <c r="AJ10" s="54">
        <f>IFERROR(__xludf.DUMMYFUNCTION("IFERROR(
  VLOOKUP(
    A10,
    IMPORTRANGE(
      ""1SCYQd7_cobOYqT0r_F0IqD4tE4rYn5y8Eup4PJTH8es"",
      ""Snapshot!A:M""
    ),
    13,
    FALSE
  ),
  0
)
"),1.0)</f>
        <v>1</v>
      </c>
      <c r="AK10" s="49">
        <f t="shared" ref="AK10:AL10" si="45">LEN(C10)</f>
        <v>27</v>
      </c>
      <c r="AL10" s="49">
        <f t="shared" si="45"/>
        <v>71</v>
      </c>
    </row>
    <row r="11">
      <c r="A11" s="3" t="s">
        <v>1324</v>
      </c>
      <c r="B11" s="1" t="str">
        <f>IFERROR(__xludf.DUMMYFUNCTION("IFERROR(
  VLOOKUP(
    A11,
    IMPORTRANGE(
      ""1ZygntHC1J6IxzKbTidmOyf5nUyW4GCLurHCjexrLm_o"",
      ""HTMLキャッシュ!A:F""
    ),
    2,
    FALSE
  ),
  0
)
"),"ST")</f>
        <v>ST</v>
      </c>
      <c r="C11" s="1" t="str">
        <f>IFERROR(__xludf.DUMMYFUNCTION("IFERROR(
  VLOOKUP(
    A11,
    IMPORTRANGE(
      ""1ZygntHC1J6IxzKbTidmOyf5nUyW4GCLurHCjexrLm_o"",
      ""HTMLキャッシュ!A:F""
    ),
    5,
    FALSE
  ),
  0
)
"),"読解の集中力と記述答案の再現性を育てる完全1対1 - 国語のトリガー")</f>
        <v>読解の集中力と記述答案の再現性を育てる完全1対1 - 国語のトリガー</v>
      </c>
      <c r="D11" s="1" t="str">
        <f>IFERROR(__xludf.DUMMYFUNCTION("IFERROR(
  VLOOKUP(
    A11,
    IMPORTRANGE(
      ""1ZygntHC1J6IxzKbTidmOyf5nUyW4GCLurHCjexrLm_o        "",
      ""HTMLキャッシュ!A:F""
    ),
    6,
    FALSE
  ),
  0
)
"),"指導方針。読解は「答えは本文中にある」を前提に、抜き出し・選択肢・理由説明で必要な根拠探索の型を整理。加えて授業冒頭の短文課題で集中力を養成。記述は要素採点を意識し、解説後に自分の手で満点答案まで仕上げます。")</f>
        <v>指導方針。読解は「答えは本文中にある」を前提に、抜き出し・選択肢・理由説明で必要な根拠探索の型を整理。加えて授業冒頭の短文課題で集中力を養成。記述は要素採点を意識し、解説後に自分の手で満点答案まで仕上げます。</v>
      </c>
      <c r="E11" s="32">
        <f>IFERROR(__xludf.DUMMYFUNCTION("IFERROR(
  VLOOKUP(
    A11,
    IMPORTRANGE(
      ""1ZygntHC1J6IxzKbTidmOyf5nUyW4GCLurHCjexrLm_o        "",
      ""HTMLキャッシュ!A:F""
    ),
    3,
    FALSE
  ),
  0
)
"),46010.78827546296)</f>
        <v>46010.78828</v>
      </c>
      <c r="F11" s="49">
        <f>IFERROR(__xludf.DUMMYFUNCTION("IFERROR(
  VLOOKUP(
    A11,
    IMPORTRANGE(
      ""1ZHMy3vVUd_0MrSduXTe1etBb1HNpAlGwQr006ljwMiM"",
      ""GSC最新!A:F""
    ),
    2,
    FALSE
  ),
  0
)
"),0.0)</f>
        <v>0</v>
      </c>
      <c r="G11" s="49">
        <f>IFERROR(__xludf.DUMMYFUNCTION("IFERROR(
  VLOOKUP(
    A11,
    IMPORTRANGE(
      ""1ZHMy3vVUd_0MrSduXTe1etBb1HNpAlGwQr006ljwMiM"",
      ""GSC最新!A:F""
    ),
    3,
    FALSE
  ),
  0
)
"),0.0)</f>
        <v>0</v>
      </c>
      <c r="H11" s="49">
        <f>IFERROR(__xludf.DUMMYFUNCTION("IFERROR(
  VLOOKUP(
    A11,
    IMPORTRANGE(
      ""1ZHMy3vVUd_0MrSduXTe1etBb1HNpAlGwQr006ljwMiM"",
      ""GSC最新!A:F""
    ),
    4,
    FALSE
  ),
  0
)
"),0.0)</f>
        <v>0</v>
      </c>
      <c r="I11" s="49">
        <f>IFERROR(__xludf.DUMMYFUNCTION("IFERROR(
  VLOOKUP(
    A11,
    IMPORTRANGE(
      ""1ZHMy3vVUd_0MrSduXTe1etBb1HNpAlGwQr006ljwMiM"",
      ""GSC最新!A:F""
    ),
    5,
    FALSE
  ),
  0
)
"),0.0)</f>
        <v>0</v>
      </c>
      <c r="J11" s="50" t="str">
        <f t="shared" ref="J11:K11" si="46">IFERROR(F11/H11,"-")</f>
        <v>-</v>
      </c>
      <c r="K11" s="50" t="str">
        <f t="shared" si="46"/>
        <v>-</v>
      </c>
      <c r="L11" s="6">
        <f>IFERROR(__xludf.DUMMYFUNCTION("IFERROR(
  VLOOKUP(
    A11,
    IMPORTRANGE(
      ""1ZHMy3vVUd_0MrSduXTe1etBb1HNpAlGwQr006ljwMiM"",
      ""GSC最新!A:R""
    ),
    7,
    FALSE
  ),
  0
)
"),16.0)</f>
        <v>16</v>
      </c>
      <c r="M11" s="6">
        <f>IFERROR(__xludf.DUMMYFUNCTION("IFERROR(
  VLOOKUP(
    A11,
    IMPORTRANGE(
      ""1ZHMy3vVUd_0MrSduXTe1etBb1HNpAlGwQr006ljwMiM"",
      ""GSC最新!A:R""
    ),
    10,
    FALSE
  ),
  0
)
"),35.0)</f>
        <v>35</v>
      </c>
      <c r="N11" s="6">
        <f>IFERROR(__xludf.DUMMYFUNCTION("IFERROR(
  VLOOKUP(
    A11,
    IMPORTRANGE(
      ""1ZHMy3vVUd_0MrSduXTe1etBb1HNpAlGwQr006ljwMiM"",
      ""GSC最新!A:R""
    ),
    13,
    FALSE
  ),
  0
)
"),4.0)</f>
        <v>4</v>
      </c>
      <c r="O11" s="6">
        <f>IFERROR(__xludf.DUMMYFUNCTION("IFERROR(
  VLOOKUP(
    A11,
    IMPORTRANGE(
      ""1ZHMy3vVUd_0MrSduXTe1etBb1HNpAlGwQr006ljwMiM"",
      ""GSC最新!A:R""
    ),
    16,
    FALSE
  ),
  0
)
"),9.0)</f>
        <v>9</v>
      </c>
      <c r="P11" s="51">
        <f t="shared" ref="P11:Q11" si="47">IFERROR(L11/N11,"-")</f>
        <v>4</v>
      </c>
      <c r="Q11" s="51">
        <f t="shared" si="47"/>
        <v>3.888888889</v>
      </c>
      <c r="R11" s="9">
        <f>IFERROR(__xludf.DUMMYFUNCTION("IFERROR(
  VLOOKUP(
    A11,
    IMPORTRANGE(
      ""1ZHMy3vVUd_0MrSduXTe1etBb1HNpAlGwQr006ljwMiM"",
      ""GSC最新!A:R""
    ),
    8,
    FALSE
  ),
  0
)
"),0.0)</f>
        <v>0</v>
      </c>
      <c r="S11" s="9">
        <f>IFERROR(__xludf.DUMMYFUNCTION("IFERROR(
  VLOOKUP(
    A11,
    IMPORTRANGE(
      ""1ZHMy3vVUd_0MrSduXTe1etBb1HNpAlGwQr006ljwMiM"",
      ""GSC最新!A:R""
    ),
    11,
    FALSE
  ),
  0
)
"),0.0)</f>
        <v>0</v>
      </c>
      <c r="T11" s="9">
        <f>IFERROR(__xludf.DUMMYFUNCTION("IFERROR(
  VLOOKUP(
    A11,
    IMPORTRANGE(
      ""1ZHMy3vVUd_0MrSduXTe1etBb1HNpAlGwQr006ljwMiM"",
      ""GSC最新!A:R""
    ),
    14,
    FALSE
  ),
  0
)
"),0.0)</f>
        <v>0</v>
      </c>
      <c r="U11" s="9">
        <f>IFERROR(__xludf.DUMMYFUNCTION("IFERROR(
  VLOOKUP(
    A11,
    IMPORTRANGE(
      ""1ZHMy3vVUd_0MrSduXTe1etBb1HNpAlGwQr006ljwMiM"",
      ""GSC最新!A:R""
    ),
    17,
    FALSE
  ),
  0
)
"),0.0)</f>
        <v>0</v>
      </c>
      <c r="V11" s="9">
        <f t="shared" ref="V11:W11" si="48">IFERROR(R11-T11,"-")</f>
        <v>0</v>
      </c>
      <c r="W11" s="9">
        <f t="shared" si="48"/>
        <v>0</v>
      </c>
      <c r="X11" s="65">
        <f>IFERROR(__xludf.DUMMYFUNCTION("IFERROR(
  VLOOKUP(
    A11,
    IMPORTRANGE(
      ""1ZHMy3vVUd_0MrSduXTe1etBb1HNpAlGwQr006ljwMiM"",
      ""GSC最新!A:R""
    ),
    9,
    FALSE
  ),
  0
)
"),5.625)</f>
        <v>5.625</v>
      </c>
      <c r="Y11" s="65">
        <f>IFERROR(__xludf.DUMMYFUNCTION("IFERROR(
  VLOOKUP(
    A11,
    IMPORTRANGE(
      ""1ZHMy3vVUd_0MrSduXTe1etBb1HNpAlGwQr006ljwMiM"",
      ""GSC最新!A:R""
    ),
    12,
    FALSE
  ),
  0
)
"),4.342857142857143)</f>
        <v>4.342857143</v>
      </c>
      <c r="Z11" s="65">
        <f>IFERROR(__xludf.DUMMYFUNCTION("IFERROR(
  VLOOKUP(
    A11,
    IMPORTRANGE(
      ""1ZHMy3vVUd_0MrSduXTe1etBb1HNpAlGwQr006ljwMiM"",
      ""GSC最新!A:R""
    ),
    15,
    FALSE
  ),
  0
)
"),1.0)</f>
        <v>1</v>
      </c>
      <c r="AA11" s="65">
        <f>IFERROR(__xludf.DUMMYFUNCTION("IFERROR(
  VLOOKUP(
    A11,
    IMPORTRANGE(
      ""1ZHMy3vVUd_0MrSduXTe1etBb1HNpAlGwQr006ljwMiM"",
      ""GSC最新!A:R""
    ),
    18,
    FALSE
  ),
  0
)
"),1.0)</f>
        <v>1</v>
      </c>
      <c r="AB11" s="65">
        <f t="shared" ref="AB11:AC11" si="49">X11-Z11</f>
        <v>4.625</v>
      </c>
      <c r="AC11" s="65">
        <f t="shared" si="49"/>
        <v>3.342857143</v>
      </c>
      <c r="AD11" s="53">
        <f>IFERROR(__xludf.DUMMYFUNCTION("IFERROR(
  VLOOKUP(
    A11,
    IMPORTRANGE(
      ""1ZHMy3vVUd_0MrSduXTe1etBb1HNpAlGwQr006ljwMiM"",
      ""GSC最新!A:F""
    ),
    6,
    FALSE
  ),
  0
)
"),46081.0)</f>
        <v>46081</v>
      </c>
      <c r="AE11" s="54">
        <f>IFERROR(__xludf.DUMMYFUNCTION("IFERROR(
  VLOOKUP(
    A11,
    IMPORTRANGE(
      ""1SCYQd7_cobOYqT0r_F0IqD4tE4rYn5y8Eup4PJTH8es"",
      ""Snapshot!A:M""
    ),
    5,
    FALSE
  ),
  ""-""
)
"),0.0)</f>
        <v>0</v>
      </c>
      <c r="AF11" s="54">
        <f>IFERROR(__xludf.DUMMYFUNCTION("IFERROR(
  VLOOKUP(
    A11,
    IMPORTRANGE(
      ""1SCYQd7_cobOYqT0r_F0IqD4tE4rYn5y8Eup4PJTH8es"",
      ""Snapshot!A:M""
    ),
    6,
    FALSE
  ),
  0
)
"),2.0)</f>
        <v>2</v>
      </c>
      <c r="AG11" s="54">
        <f>IFERROR(__xludf.DUMMYFUNCTION("IFERROR(
  VLOOKUP(
    A11,
    IMPORTRANGE(
      ""1SCYQd7_cobOYqT0r_F0IqD4tE4rYn5y8Eup4PJTH8es"",
      ""Snapshot!A:M""
    ),
    7,
    FALSE
  ),
  0
)
"),1236.0)</f>
        <v>1236</v>
      </c>
      <c r="AH11" s="54">
        <f>IFERROR(__xludf.DUMMYFUNCTION("IFERROR(
  VLOOKUP(
    A11,
    IMPORTRANGE(
      ""1SCYQd7_cobOYqT0r_F0IqD4tE4rYn5y8Eup4PJTH8es"",
      ""Snapshot!A:M""
    ),
    8,
    FALSE
  ),
  0
)
"),0.0)</f>
        <v>0</v>
      </c>
      <c r="AI11" s="54">
        <f>IFERROR(__xludf.DUMMYFUNCTION("IFERROR(
  VLOOKUP(
    A11,
    IMPORTRANGE(
      ""1SCYQd7_cobOYqT0r_F0IqD4tE4rYn5y8Eup4PJTH8es"",
      ""Snapshot!A:M""
    ),
    9,
    FALSE
  ),
  0
)
"),1.0)</f>
        <v>1</v>
      </c>
      <c r="AJ11" s="54">
        <f>IFERROR(__xludf.DUMMYFUNCTION("IFERROR(
  VLOOKUP(
    A11,
    IMPORTRANGE(
      ""1SCYQd7_cobOYqT0r_F0IqD4tE4rYn5y8Eup4PJTH8es"",
      ""Snapshot!A:M""
    ),
    13,
    FALSE
  ),
  0
)
"),1.0)</f>
        <v>1</v>
      </c>
      <c r="AK11" s="49">
        <f t="shared" ref="AK11:AL11" si="50">LEN(C11)</f>
        <v>34</v>
      </c>
      <c r="AL11" s="49">
        <f t="shared" si="50"/>
        <v>104</v>
      </c>
    </row>
    <row r="12">
      <c r="A12" s="3" t="s">
        <v>233</v>
      </c>
      <c r="B12" s="1" t="str">
        <f>IFERROR(__xludf.DUMMYFUNCTION("IFERROR(
  VLOOKUP(
    A12,
    IMPORTRANGE(
      ""1ZygntHC1J6IxzKbTidmOyf5nUyW4GCLurHCjexrLm_o"",
      ""HTMLキャッシュ!A:F""
    ),
    2,
    FALSE
  ),
  0
)
"),"-")</f>
        <v>-</v>
      </c>
      <c r="C12" s="1" t="str">
        <f>IFERROR(__xludf.DUMMYFUNCTION("IFERROR(
  VLOOKUP(
    A12,
    IMPORTRANGE(
      ""1ZygntHC1J6IxzKbTidmOyf5nUyW4GCLurHCjexrLm_o"",
      ""HTMLキャッシュ!A:F""
    ),
    5,
    FALSE
  ),
  0
)
"),"コラム - 基礎力Stadium「国語のトリガー」")</f>
        <v>コラム - 基礎力Stadium「国語のトリガー」</v>
      </c>
      <c r="D12" s="1" t="str">
        <f>IFERROR(__xludf.DUMMYFUNCTION("IFERROR(
  VLOOKUP(
    A12,
    IMPORTRANGE(
      ""1ZygntHC1J6IxzKbTidmOyf5nUyW4GCLurHCjexrLm_o        "",
      ""HTMLキャッシュ!A:F""
    ),
    6,
    FALSE
  ),
  0
)
"),"コラム の記事 基礎力Stadium「国語のトリガー」 ～お子様に必要なのはカリスマ講師の指導ですか？～当塾は「国語が苦手な受験生」専門の国語塾です。")</f>
        <v>コラム の記事 基礎力Stadium「国語のトリガー」 ～お子様に必要なのはカリスマ講師の指導ですか？～当塾は「国語が苦手な受験生」専門の国語塾です。</v>
      </c>
      <c r="E12" s="32">
        <f>IFERROR(__xludf.DUMMYFUNCTION("IFERROR(
  VLOOKUP(
    A12,
    IMPORTRANGE(
      ""1ZygntHC1J6IxzKbTidmOyf5nUyW4GCLurHCjexrLm_o        "",
      ""HTMLキャッシュ!A:F""
    ),
    3,
    FALSE
  ),
  0
)
"),46020.79491898148)</f>
        <v>46020.79492</v>
      </c>
      <c r="F12" s="49">
        <f>IFERROR(__xludf.DUMMYFUNCTION("IFERROR(
  VLOOKUP(
    A12,
    IMPORTRANGE(
      ""1ZHMy3vVUd_0MrSduXTe1etBb1HNpAlGwQr006ljwMiM"",
      ""GSC最新!A:F""
    ),
    2,
    FALSE
  ),
  0
)
"),0.0)</f>
        <v>0</v>
      </c>
      <c r="G12" s="49">
        <f>IFERROR(__xludf.DUMMYFUNCTION("IFERROR(
  VLOOKUP(
    A12,
    IMPORTRANGE(
      ""1ZHMy3vVUd_0MrSduXTe1etBb1HNpAlGwQr006ljwMiM"",
      ""GSC最新!A:F""
    ),
    3,
    FALSE
  ),
  0
)
"),0.0)</f>
        <v>0</v>
      </c>
      <c r="H12" s="49">
        <f>IFERROR(__xludf.DUMMYFUNCTION("IFERROR(
  VLOOKUP(
    A12,
    IMPORTRANGE(
      ""1ZHMy3vVUd_0MrSduXTe1etBb1HNpAlGwQr006ljwMiM"",
      ""GSC最新!A:F""
    ),
    4,
    FALSE
  ),
  0
)
"),0.0)</f>
        <v>0</v>
      </c>
      <c r="I12" s="49">
        <f>IFERROR(__xludf.DUMMYFUNCTION("IFERROR(
  VLOOKUP(
    A12,
    IMPORTRANGE(
      ""1ZHMy3vVUd_0MrSduXTe1etBb1HNpAlGwQr006ljwMiM"",
      ""GSC最新!A:F""
    ),
    5,
    FALSE
  ),
  0
)
"),0.0)</f>
        <v>0</v>
      </c>
      <c r="J12" s="50" t="str">
        <f t="shared" ref="J12:K12" si="51">IFERROR(F12/H12,"-")</f>
        <v>-</v>
      </c>
      <c r="K12" s="50" t="str">
        <f t="shared" si="51"/>
        <v>-</v>
      </c>
      <c r="L12" s="6">
        <f>IFERROR(__xludf.DUMMYFUNCTION("IFERROR(
  VLOOKUP(
    A12,
    IMPORTRANGE(
      ""1ZHMy3vVUd_0MrSduXTe1etBb1HNpAlGwQr006ljwMiM"",
      ""GSC最新!A:R""
    ),
    7,
    FALSE
  ),
  0
)
"),8.0)</f>
        <v>8</v>
      </c>
      <c r="M12" s="6">
        <f>IFERROR(__xludf.DUMMYFUNCTION("IFERROR(
  VLOOKUP(
    A12,
    IMPORTRANGE(
      ""1ZHMy3vVUd_0MrSduXTe1etBb1HNpAlGwQr006ljwMiM"",
      ""GSC最新!A:R""
    ),
    10,
    FALSE
  ),
  0
)
"),34.0)</f>
        <v>34</v>
      </c>
      <c r="N12" s="6">
        <f>IFERROR(__xludf.DUMMYFUNCTION("IFERROR(
  VLOOKUP(
    A12,
    IMPORTRANGE(
      ""1ZHMy3vVUd_0MrSduXTe1etBb1HNpAlGwQr006ljwMiM"",
      ""GSC最新!A:R""
    ),
    13,
    FALSE
  ),
  0
)
"),1.0)</f>
        <v>1</v>
      </c>
      <c r="O12" s="6">
        <f>IFERROR(__xludf.DUMMYFUNCTION("IFERROR(
  VLOOKUP(
    A12,
    IMPORTRANGE(
      ""1ZHMy3vVUd_0MrSduXTe1etBb1HNpAlGwQr006ljwMiM"",
      ""GSC最新!A:R""
    ),
    16,
    FALSE
  ),
  0
)
"),1.0)</f>
        <v>1</v>
      </c>
      <c r="P12" s="51">
        <f t="shared" ref="P12:Q12" si="52">IFERROR(L12/N12,"-")</f>
        <v>8</v>
      </c>
      <c r="Q12" s="51">
        <f t="shared" si="52"/>
        <v>34</v>
      </c>
      <c r="R12" s="9">
        <f>IFERROR(__xludf.DUMMYFUNCTION("IFERROR(
  VLOOKUP(
    A12,
    IMPORTRANGE(
      ""1ZHMy3vVUd_0MrSduXTe1etBb1HNpAlGwQr006ljwMiM"",
      ""GSC最新!A:R""
    ),
    8,
    FALSE
  ),
  0
)
"),0.0)</f>
        <v>0</v>
      </c>
      <c r="S12" s="9">
        <f>IFERROR(__xludf.DUMMYFUNCTION("IFERROR(
  VLOOKUP(
    A12,
    IMPORTRANGE(
      ""1ZHMy3vVUd_0MrSduXTe1etBb1HNpAlGwQr006ljwMiM"",
      ""GSC最新!A:R""
    ),
    11,
    FALSE
  ),
  0
)
"),0.0)</f>
        <v>0</v>
      </c>
      <c r="T12" s="9">
        <f>IFERROR(__xludf.DUMMYFUNCTION("IFERROR(
  VLOOKUP(
    A12,
    IMPORTRANGE(
      ""1ZHMy3vVUd_0MrSduXTe1etBb1HNpAlGwQr006ljwMiM"",
      ""GSC最新!A:R""
    ),
    14,
    FALSE
  ),
  0
)
"),0.0)</f>
        <v>0</v>
      </c>
      <c r="U12" s="9">
        <f>IFERROR(__xludf.DUMMYFUNCTION("IFERROR(
  VLOOKUP(
    A12,
    IMPORTRANGE(
      ""1ZHMy3vVUd_0MrSduXTe1etBb1HNpAlGwQr006ljwMiM"",
      ""GSC最新!A:R""
    ),
    17,
    FALSE
  ),
  0
)
"),0.0)</f>
        <v>0</v>
      </c>
      <c r="V12" s="9">
        <f t="shared" ref="V12:W12" si="53">IFERROR(R12-T12,"-")</f>
        <v>0</v>
      </c>
      <c r="W12" s="9">
        <f t="shared" si="53"/>
        <v>0</v>
      </c>
      <c r="X12" s="65">
        <f>IFERROR(__xludf.DUMMYFUNCTION("IFERROR(
  VLOOKUP(
    A12,
    IMPORTRANGE(
      ""1ZHMy3vVUd_0MrSduXTe1etBb1HNpAlGwQr006ljwMiM"",
      ""GSC最新!A:R""
    ),
    9,
    FALSE
  ),
  0
)
"),7.375)</f>
        <v>7.375</v>
      </c>
      <c r="Y12" s="65">
        <f>IFERROR(__xludf.DUMMYFUNCTION("IFERROR(
  VLOOKUP(
    A12,
    IMPORTRANGE(
      ""1ZHMy3vVUd_0MrSduXTe1etBb1HNpAlGwQr006ljwMiM"",
      ""GSC最新!A:R""
    ),
    12,
    FALSE
  ),
  0
)
"),5.9411764705882355)</f>
        <v>5.941176471</v>
      </c>
      <c r="Z12" s="65">
        <f>IFERROR(__xludf.DUMMYFUNCTION("IFERROR(
  VLOOKUP(
    A12,
    IMPORTRANGE(
      ""1ZHMy3vVUd_0MrSduXTe1etBb1HNpAlGwQr006ljwMiM"",
      ""GSC最新!A:R""
    ),
    15,
    FALSE
  ),
  0
)
"),1.0)</f>
        <v>1</v>
      </c>
      <c r="AA12" s="65">
        <f>IFERROR(__xludf.DUMMYFUNCTION("IFERROR(
  VLOOKUP(
    A12,
    IMPORTRANGE(
      ""1ZHMy3vVUd_0MrSduXTe1etBb1HNpAlGwQr006ljwMiM"",
      ""GSC最新!A:R""
    ),
    18,
    FALSE
  ),
  0
)
"),1.0)</f>
        <v>1</v>
      </c>
      <c r="AB12" s="65">
        <f t="shared" ref="AB12:AC12" si="54">X12-Z12</f>
        <v>6.375</v>
      </c>
      <c r="AC12" s="65">
        <f t="shared" si="54"/>
        <v>4.941176471</v>
      </c>
      <c r="AD12" s="53">
        <f>IFERROR(__xludf.DUMMYFUNCTION("IFERROR(
  VLOOKUP(
    A12,
    IMPORTRANGE(
      ""1ZHMy3vVUd_0MrSduXTe1etBb1HNpAlGwQr006ljwMiM"",
      ""GSC最新!A:F""
    ),
    6,
    FALSE
  ),
  0
)
"),46081.0)</f>
        <v>46081</v>
      </c>
      <c r="AE12" s="54">
        <f>IFERROR(__xludf.DUMMYFUNCTION("IFERROR(
  VLOOKUP(
    A12,
    IMPORTRANGE(
      ""1SCYQd7_cobOYqT0r_F0IqD4tE4rYn5y8Eup4PJTH8es"",
      ""Snapshot!A:M""
    ),
    5,
    FALSE
  ),
  ""-""
)
"),0.0)</f>
        <v>0</v>
      </c>
      <c r="AF12" s="54">
        <f>IFERROR(__xludf.DUMMYFUNCTION("IFERROR(
  VLOOKUP(
    A12,
    IMPORTRANGE(
      ""1SCYQd7_cobOYqT0r_F0IqD4tE4rYn5y8Eup4PJTH8es"",
      ""Snapshot!A:M""
    ),
    6,
    FALSE
  ),
  0
)
"),0.0)</f>
        <v>0</v>
      </c>
      <c r="AG12" s="54">
        <f>IFERROR(__xludf.DUMMYFUNCTION("IFERROR(
  VLOOKUP(
    A12,
    IMPORTRANGE(
      ""1SCYQd7_cobOYqT0r_F0IqD4tE4rYn5y8Eup4PJTH8es"",
      ""Snapshot!A:M""
    ),
    7,
    FALSE
  ),
  0
)
"),0.0)</f>
        <v>0</v>
      </c>
      <c r="AH12" s="54">
        <f>IFERROR(__xludf.DUMMYFUNCTION("IFERROR(
  VLOOKUP(
    A12,
    IMPORTRANGE(
      ""1SCYQd7_cobOYqT0r_F0IqD4tE4rYn5y8Eup4PJTH8es"",
      ""Snapshot!A:M""
    ),
    8,
    FALSE
  ),
  0
)
"),0.0)</f>
        <v>0</v>
      </c>
      <c r="AI12" s="54">
        <f>IFERROR(__xludf.DUMMYFUNCTION("IFERROR(
  VLOOKUP(
    A12,
    IMPORTRANGE(
      ""1SCYQd7_cobOYqT0r_F0IqD4tE4rYn5y8Eup4PJTH8es"",
      ""Snapshot!A:M""
    ),
    9,
    FALSE
  ),
  0
)
"),0.0)</f>
        <v>0</v>
      </c>
      <c r="AJ12" s="54">
        <f>IFERROR(__xludf.DUMMYFUNCTION("IFERROR(
  VLOOKUP(
    A12,
    IMPORTRANGE(
      ""1SCYQd7_cobOYqT0r_F0IqD4tE4rYn5y8Eup4PJTH8es"",
      ""Snapshot!A:M""
    ),
    13,
    FALSE
  ),
  0
)
"),1.0)</f>
        <v>1</v>
      </c>
      <c r="AK12" s="49">
        <f t="shared" ref="AK12:AL12" si="55">LEN(C12)</f>
        <v>25</v>
      </c>
      <c r="AL12" s="49">
        <f t="shared" si="55"/>
        <v>75</v>
      </c>
    </row>
    <row r="13">
      <c r="A13" s="3" t="s">
        <v>1325</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"),"中学受験 国語の長文で時間が足りない対策｜時間計測と読む速度｜国語のトリガー")</f>
        <v>中学受験 国語の長文で時間が足りない対策｜時間計測と読む速度｜国語のトリガー</v>
      </c>
      <c r="D13" s="1" t="str">
        <f>IFERROR(__xludf.DUMMYFUNCTION("IFERROR(
  VLOOKUP(
    A13,
    IMPORTRANGE(
      ""1ZygntHC1J6IxzKbTidmOyf5nUyW4GCLurHCjexrLm_o        "",
      ""HTMLキャッシュ!A:F""
    ),
    6,
    FALSE
  ),
  0
)
"),"国語の長文読解で時間が足りない中学受験生向け。読む時間・解く時間を分けて計測し、自分が理解できる最適な読む速度を把握する練習法を整理します。物語文・説明文の得意不得意も踏まえ、焦りとケアレスミスを減らして最後まで解き切る訓練につなげます。")</f>
        <v>国語の長文読解で時間が足りない中学受験生向け。読む時間・解く時間を分けて計測し、自分が理解できる最適な読む速度を把握する練習法を整理します。物語文・説明文の得意不得意も踏まえ、焦りとケアレスミスを減らして最後まで解き切る訓練につなげます。</v>
      </c>
      <c r="E13" s="32">
        <f>IFERROR(__xludf.DUMMYFUNCTION("IFERROR(
  VLOOKUP(
    A13,
    IMPORTRANGE(
      ""1ZygntHC1J6IxzKbTidmOyf5nUyW4GCLurHCjexrLm_o        "",
      ""HTMLキャッシュ!A:F""
    ),
    3,
    FALSE
  ),
  0
)
"),46076.624976851854)</f>
        <v>46076.62498</v>
      </c>
      <c r="F13" s="49">
        <f>IFERROR(__xludf.DUMMYFUNCTION("IFERROR(
  VLOOKUP(
    A13,
    IMPORTRANGE(
      ""1ZHMy3vVUd_0MrSduXTe1etBb1HNpAlGwQr006ljwMiM"",
      ""GSC最新!A:F""
    ),
    2,
    FALSE
  ),
  0
)
"),0.0)</f>
        <v>0</v>
      </c>
      <c r="G13" s="49">
        <f>IFERROR(__xludf.DUMMYFUNCTION("IFERROR(
  VLOOKUP(
    A13,
    IMPORTRANGE(
      ""1ZHMy3vVUd_0MrSduXTe1etBb1HNpAlGwQr006ljwMiM"",
      ""GSC最新!A:F""
    ),
    3,
    FALSE
  ),
  0
)
"),0.0)</f>
        <v>0</v>
      </c>
      <c r="H13" s="49">
        <f>IFERROR(__xludf.DUMMYFUNCTION("IFERROR(
  VLOOKUP(
    A13,
    IMPORTRANGE(
      ""1ZHMy3vVUd_0MrSduXTe1etBb1HNpAlGwQr006ljwMiM"",
      ""GSC最新!A:F""
    ),
    4,
    FALSE
  ),
  0
)
"),0.0)</f>
        <v>0</v>
      </c>
      <c r="I13" s="49">
        <f>IFERROR(__xludf.DUMMYFUNCTION("IFERROR(
  VLOOKUP(
    A13,
    IMPORTRANGE(
      ""1ZHMy3vVUd_0MrSduXTe1etBb1HNpAlGwQr006ljwMiM"",
      ""GSC最新!A:F""
    ),
    5,
    FALSE
  ),
  0
)
"),0.0)</f>
        <v>0</v>
      </c>
      <c r="J13" s="50" t="str">
        <f t="shared" ref="J13:K13" si="56">IFERROR(F13/H13,"-")</f>
        <v>-</v>
      </c>
      <c r="K13" s="50" t="str">
        <f t="shared" si="56"/>
        <v>-</v>
      </c>
      <c r="L13" s="6">
        <f>IFERROR(__xludf.DUMMYFUNCTION("IFERROR(
  VLOOKUP(
    A13,
    IMPORTRANGE(
      ""1ZHMy3vVUd_0MrSduXTe1etBb1HNpAlGwQr006ljwMiM"",
      ""GSC最新!A:R""
    ),
    7,
    FALSE
  ),
  0
)
"),12.0)</f>
        <v>12</v>
      </c>
      <c r="M13" s="6">
        <f>IFERROR(__xludf.DUMMYFUNCTION("IFERROR(
  VLOOKUP(
    A13,
    IMPORTRANGE(
      ""1ZHMy3vVUd_0MrSduXTe1etBb1HNpAlGwQr006ljwMiM"",
      ""GSC最新!A:R""
    ),
    10,
    FALSE
  ),
  0
)
"),26.0)</f>
        <v>26</v>
      </c>
      <c r="N13" s="6">
        <f>IFERROR(__xludf.DUMMYFUNCTION("IFERROR(
  VLOOKUP(
    A13,
    IMPORTRANGE(
      ""1ZHMy3vVUd_0MrSduXTe1etBb1HNpAlGwQr006ljwMiM"",
      ""GSC最新!A:R""
    ),
    13,
    FALSE
  ),
  0
)
"),2.0)</f>
        <v>2</v>
      </c>
      <c r="O13" s="6">
        <f>IFERROR(__xludf.DUMMYFUNCTION("IFERROR(
  VLOOKUP(
    A13,
    IMPORTRANGE(
      ""1ZHMy3vVUd_0MrSduXTe1etBb1HNpAlGwQr006ljwMiM"",
      ""GSC最新!A:R""
    ),
    16,
    FALSE
  ),
  0
)
"),10.0)</f>
        <v>10</v>
      </c>
      <c r="P13" s="51">
        <f t="shared" ref="P13:Q13" si="57">IFERROR(L13/N13,"-")</f>
        <v>6</v>
      </c>
      <c r="Q13" s="51">
        <f t="shared" si="57"/>
        <v>2.6</v>
      </c>
      <c r="R13" s="9">
        <f>IFERROR(__xludf.DUMMYFUNCTION("IFERROR(
  VLOOKUP(
    A13,
    IMPORTRANGE(
      ""1ZHMy3vVUd_0MrSduXTe1etBb1HNpAlGwQr006ljwMiM"",
      ""GSC最新!A:R""
    ),
    8,
    FALSE
  ),
  0
)
"),0.0)</f>
        <v>0</v>
      </c>
      <c r="S13" s="9">
        <f>IFERROR(__xludf.DUMMYFUNCTION("IFERROR(
  VLOOKUP(
    A13,
    IMPORTRANGE(
      ""1ZHMy3vVUd_0MrSduXTe1etBb1HNpAlGwQr006ljwMiM"",
      ""GSC最新!A:R""
    ),
    11,
    FALSE
  ),
  0
)
"),0.0)</f>
        <v>0</v>
      </c>
      <c r="T13" s="9">
        <f>IFERROR(__xludf.DUMMYFUNCTION("IFERROR(
  VLOOKUP(
    A13,
    IMPORTRANGE(
      ""1ZHMy3vVUd_0MrSduXTe1etBb1HNpAlGwQr006ljwMiM"",
      ""GSC最新!A:R""
    ),
    14,
    FALSE
  ),
  0
)
"),0.0)</f>
        <v>0</v>
      </c>
      <c r="U13" s="9">
        <f>IFERROR(__xludf.DUMMYFUNCTION("IFERROR(
  VLOOKUP(
    A13,
    IMPORTRANGE(
      ""1ZHMy3vVUd_0MrSduXTe1etBb1HNpAlGwQr006ljwMiM"",
      ""GSC最新!A:R""
    ),
    17,
    FALSE
  ),
  0
)
"),0.0)</f>
        <v>0</v>
      </c>
      <c r="V13" s="9">
        <f t="shared" ref="V13:W13" si="58">IFERROR(R13-T13,"-")</f>
        <v>0</v>
      </c>
      <c r="W13" s="9">
        <f t="shared" si="58"/>
        <v>0</v>
      </c>
      <c r="X13" s="65">
        <f>IFERROR(__xludf.DUMMYFUNCTION("IFERROR(
  VLOOKUP(
    A13,
    IMPORTRANGE(
      ""1ZHMy3vVUd_0MrSduXTe1etBb1HNpAlGwQr006ljwMiM"",
      ""GSC最新!A:R""
    ),
    9,
    FALSE
  ),
  0
)
"),5.333333333333333)</f>
        <v>5.333333333</v>
      </c>
      <c r="Y13" s="65">
        <f>IFERROR(__xludf.DUMMYFUNCTION("IFERROR(
  VLOOKUP(
    A13,
    IMPORTRANGE(
      ""1ZHMy3vVUd_0MrSduXTe1etBb1HNpAlGwQr006ljwMiM"",
      ""GSC最新!A:R""
    ),
    12,
    FALSE
  ),
  0
)
"),5.115384615384615)</f>
        <v>5.115384615</v>
      </c>
      <c r="Z13" s="65">
        <f>IFERROR(__xludf.DUMMYFUNCTION("IFERROR(
  VLOOKUP(
    A13,
    IMPORTRANGE(
      ""1ZHMy3vVUd_0MrSduXTe1etBb1HNpAlGwQr006ljwMiM"",
      ""GSC最新!A:R""
    ),
    15,
    FALSE
  ),
  0
)
"),3.5)</f>
        <v>3.5</v>
      </c>
      <c r="AA13" s="65">
        <f>IFERROR(__xludf.DUMMYFUNCTION("IFERROR(
  VLOOKUP(
    A13,
    IMPORTRANGE(
      ""1ZHMy3vVUd_0MrSduXTe1etBb1HNpAlGwQr006ljwMiM"",
      ""GSC最新!A:R""
    ),
    18,
    FALSE
  ),
  0
)
"),7.9)</f>
        <v>7.9</v>
      </c>
      <c r="AB13" s="65">
        <f t="shared" ref="AB13:AC13" si="59">X13-Z13</f>
        <v>1.833333333</v>
      </c>
      <c r="AC13" s="65">
        <f t="shared" si="59"/>
        <v>-2.784615385</v>
      </c>
      <c r="AD13" s="53">
        <f>IFERROR(__xludf.DUMMYFUNCTION("IFERROR(
  VLOOKUP(
    A13,
    IMPORTRANGE(
      ""1ZHMy3vVUd_0MrSduXTe1etBb1HNpAlGwQr006ljwMiM"",
      ""GSC最新!A:F""
    ),
    6,
    FALSE
  ),
  0
)
"),46081.0)</f>
        <v>46081</v>
      </c>
      <c r="AE13" s="54">
        <f>IFERROR(__xludf.DUMMYFUNCTION("IFERROR(
  VLOOKUP(
    A13,
    IMPORTRANGE(
      ""1SCYQd7_cobOYqT0r_F0IqD4tE4rYn5y8Eup4PJTH8es"",
      ""Snapshot!A:M""
    ),
    5,
    FALSE
  ),
  ""-""
)
"),9.0)</f>
        <v>9</v>
      </c>
      <c r="AF13" s="54">
        <f>IFERROR(__xludf.DUMMYFUNCTION("IFERROR(
  VLOOKUP(
    A13,
    IMPORTRANGE(
      ""1SCYQd7_cobOYqT0r_F0IqD4tE4rYn5y8Eup4PJTH8es"",
      ""Snapshot!A:M""
    ),
    6,
    FALSE
  ),
  0
)
"),5.0)</f>
        <v>5</v>
      </c>
      <c r="AG13" s="54">
        <f>IFERROR(__xludf.DUMMYFUNCTION("IFERROR(
  VLOOKUP(
    A13,
    IMPORTRANGE(
      ""1SCYQd7_cobOYqT0r_F0IqD4tE4rYn5y8Eup4PJTH8es"",
      ""Snapshot!A:M""
    ),
    7,
    FALSE
  ),
  0
)
"),2927.0)</f>
        <v>2927</v>
      </c>
      <c r="AH13" s="54">
        <f>IFERROR(__xludf.DUMMYFUNCTION("IFERROR(
  VLOOKUP(
    A13,
    IMPORTRANGE(
      ""1SCYQd7_cobOYqT0r_F0IqD4tE4rYn5y8Eup4PJTH8es"",
      ""Snapshot!A:M""
    ),
    8,
    FALSE
  ),
  0
)
"),0.0)</f>
        <v>0</v>
      </c>
      <c r="AI13" s="54">
        <f>IFERROR(__xludf.DUMMYFUNCTION("IFERROR(
  VLOOKUP(
    A13,
    IMPORTRANGE(
      ""1SCYQd7_cobOYqT0r_F0IqD4tE4rYn5y8Eup4PJTH8es"",
      ""Snapshot!A:M""
    ),
    9,
    FALSE
  ),
  0
)
"),1.0)</f>
        <v>1</v>
      </c>
      <c r="AJ13" s="54">
        <f>IFERROR(__xludf.DUMMYFUNCTION("IFERROR(
  VLOOKUP(
    A13,
    IMPORTRANGE(
      ""1SCYQd7_cobOYqT0r_F0IqD4tE4rYn5y8Eup4PJTH8es"",
      ""Snapshot!A:M""
    ),
    13,
    FALSE
  ),
  0
)
"),1.0)</f>
        <v>1</v>
      </c>
      <c r="AK13" s="49">
        <f t="shared" ref="AK13:AL13" si="60">LEN(C13)</f>
        <v>38</v>
      </c>
      <c r="AL13" s="49">
        <f t="shared" si="60"/>
        <v>119</v>
      </c>
    </row>
    <row r="14">
      <c r="A14" s="3" t="s">
        <v>1326</v>
      </c>
      <c r="B14" s="1" t="str">
        <f>IFERROR(__xludf.DUMMYFUNCTION("IFERROR(
  VLOOKUP(
    A14,
    IMPORTRANGE(
      ""1ZygntHC1J6IxzKbTidmOyf5nUyW4GCLurHCjexrLm_o"",
      ""HTMLキャッシュ!A:F""
    ),
    2,
    FALSE
  ),
  0
)
"),"ST")</f>
        <v>ST</v>
      </c>
      <c r="C14" s="1" t="str">
        <f>IFERROR(__xludf.DUMMYFUNCTION("IFERROR(
  VLOOKUP(
    A14,
    IMPORTRANGE(
      ""1ZygntHC1J6IxzKbTidmOyf5nUyW4GCLurHCjexrLm_o"",
      ""HTMLキャッシュ!A:F""
    ),
    5,
    FALSE
  ),
  0
)
"),"お問い合わせ - 基礎力Stadium「国語のトリガー」")</f>
        <v>お問い合わせ - 基礎力Stadium「国語のトリガー」</v>
      </c>
      <c r="D14" s="1" t="str">
        <f>IFERROR(__xludf.DUMMYFUNCTION("IFERROR(
  VLOOKUP(
    A14,
    IMPORTRANGE(
      ""1ZygntHC1J6IxzKbTidmOyf5nUyW4GCLurHCjexrLm_o        "",
      ""HTMLキャッシュ!A:F""
    ),
    6,
    FALSE
  ),
  0
)
"),"")</f>
        <v/>
      </c>
      <c r="E14" s="32">
        <f>IFERROR(__xludf.DUMMYFUNCTION("IFERROR(
  VLOOKUP(
    A14,
    IMPORTRANGE(
      ""1ZygntHC1J6IxzKbTidmOyf5nUyW4GCLurHCjexrLm_o        "",
      ""HTMLキャッシュ!A:F""
    ),
    3,
    FALSE
  ),
  0
)
"),44180.566782407404)</f>
        <v>44180.56678</v>
      </c>
      <c r="F14" s="49">
        <f>IFERROR(__xludf.DUMMYFUNCTION("IFERROR(
  VLOOKUP(
    A14,
    IMPORTRANGE(
      ""1ZHMy3vVUd_0MrSduXTe1etBb1HNpAlGwQr006ljwMiM"",
      ""GSC最新!A:F""
    ),
    2,
    FALSE
  ),
  0
)
"),0.0)</f>
        <v>0</v>
      </c>
      <c r="G14" s="49">
        <f>IFERROR(__xludf.DUMMYFUNCTION("IFERROR(
  VLOOKUP(
    A14,
    IMPORTRANGE(
      ""1ZHMy3vVUd_0MrSduXTe1etBb1HNpAlGwQr006ljwMiM"",
      ""GSC最新!A:F""
    ),
    3,
    FALSE
  ),
  0
)
"),0.0)</f>
        <v>0</v>
      </c>
      <c r="H14" s="49">
        <f>IFERROR(__xludf.DUMMYFUNCTION("IFERROR(
  VLOOKUP(
    A14,
    IMPORTRANGE(
      ""1ZHMy3vVUd_0MrSduXTe1etBb1HNpAlGwQr006ljwMiM"",
      ""GSC最新!A:F""
    ),
    4,
    FALSE
  ),
  0
)
"),0.0)</f>
        <v>0</v>
      </c>
      <c r="I14" s="49">
        <f>IFERROR(__xludf.DUMMYFUNCTION("IFERROR(
  VLOOKUP(
    A14,
    IMPORTRANGE(
      ""1ZHMy3vVUd_0MrSduXTe1etBb1HNpAlGwQr006ljwMiM"",
      ""GSC最新!A:F""
    ),
    5,
    FALSE
  ),
  0
)
"),0.0)</f>
        <v>0</v>
      </c>
      <c r="J14" s="50" t="str">
        <f t="shared" ref="J14:K14" si="61">IFERROR(F14/H14,"-")</f>
        <v>-</v>
      </c>
      <c r="K14" s="50" t="str">
        <f t="shared" si="61"/>
        <v>-</v>
      </c>
      <c r="L14" s="6">
        <f>IFERROR(__xludf.DUMMYFUNCTION("IFERROR(
  VLOOKUP(
    A14,
    IMPORTRANGE(
      ""1ZHMy3vVUd_0MrSduXTe1etBb1HNpAlGwQr006ljwMiM"",
      ""GSC最新!A:R""
    ),
    7,
    FALSE
  ),
  0
)
"),7.0)</f>
        <v>7</v>
      </c>
      <c r="M14" s="6">
        <f>IFERROR(__xludf.DUMMYFUNCTION("IFERROR(
  VLOOKUP(
    A14,
    IMPORTRANGE(
      ""1ZHMy3vVUd_0MrSduXTe1etBb1HNpAlGwQr006ljwMiM"",
      ""GSC最新!A:R""
    ),
    10,
    FALSE
  ),
  0
)
"),24.0)</f>
        <v>24</v>
      </c>
      <c r="N14" s="6">
        <f>IFERROR(__xludf.DUMMYFUNCTION("IFERROR(
  VLOOKUP(
    A14,
    IMPORTRANGE(
      ""1ZHMy3vVUd_0MrSduXTe1etBb1HNpAlGwQr006ljwMiM"",
      ""GSC最新!A:R""
    ),
    13,
    FALSE
  ),
  0
)
"),2.0)</f>
        <v>2</v>
      </c>
      <c r="O14" s="6">
        <f>IFERROR(__xludf.DUMMYFUNCTION("IFERROR(
  VLOOKUP(
    A14,
    IMPORTRANGE(
      ""1ZHMy3vVUd_0MrSduXTe1etBb1HNpAlGwQr006ljwMiM"",
      ""GSC最新!A:R""
    ),
    16,
    FALSE
  ),
  0
)
"),2.0)</f>
        <v>2</v>
      </c>
      <c r="P14" s="51">
        <f t="shared" ref="P14:Q14" si="62">IFERROR(L14/N14,"-")</f>
        <v>3.5</v>
      </c>
      <c r="Q14" s="51">
        <f t="shared" si="62"/>
        <v>12</v>
      </c>
      <c r="R14" s="9">
        <f>IFERROR(__xludf.DUMMYFUNCTION("IFERROR(
  VLOOKUP(
    A14,
    IMPORTRANGE(
      ""1ZHMy3vVUd_0MrSduXTe1etBb1HNpAlGwQr006ljwMiM"",
      ""GSC最新!A:R""
    ),
    8,
    FALSE
  ),
  0
)
"),0.0)</f>
        <v>0</v>
      </c>
      <c r="S14" s="9">
        <f>IFERROR(__xludf.DUMMYFUNCTION("IFERROR(
  VLOOKUP(
    A14,
    IMPORTRANGE(
      ""1ZHMy3vVUd_0MrSduXTe1etBb1HNpAlGwQr006ljwMiM"",
      ""GSC最新!A:R""
    ),
    11,
    FALSE
  ),
  0
)
"),0.0)</f>
        <v>0</v>
      </c>
      <c r="T14" s="9">
        <f>IFERROR(__xludf.DUMMYFUNCTION("IFERROR(
  VLOOKUP(
    A14,
    IMPORTRANGE(
      ""1ZHMy3vVUd_0MrSduXTe1etBb1HNpAlGwQr006ljwMiM"",
      ""GSC最新!A:R""
    ),
    14,
    FALSE
  ),
  0
)
"),0.0)</f>
        <v>0</v>
      </c>
      <c r="U14" s="9">
        <f>IFERROR(__xludf.DUMMYFUNCTION("IFERROR(
  VLOOKUP(
    A14,
    IMPORTRANGE(
      ""1ZHMy3vVUd_0MrSduXTe1etBb1HNpAlGwQr006ljwMiM"",
      ""GSC最新!A:R""
    ),
    17,
    FALSE
  ),
  0
)
"),0.0)</f>
        <v>0</v>
      </c>
      <c r="V14" s="9">
        <f t="shared" ref="V14:W14" si="63">IFERROR(R14-T14,"-")</f>
        <v>0</v>
      </c>
      <c r="W14" s="9">
        <f t="shared" si="63"/>
        <v>0</v>
      </c>
      <c r="X14" s="65">
        <f>IFERROR(__xludf.DUMMYFUNCTION("IFERROR(
  VLOOKUP(
    A14,
    IMPORTRANGE(
      ""1ZHMy3vVUd_0MrSduXTe1etBb1HNpAlGwQr006ljwMiM"",
      ""GSC最新!A:R""
    ),
    9,
    FALSE
  ),
  0
)
"),6.571428571428571)</f>
        <v>6.571428571</v>
      </c>
      <c r="Y14" s="65">
        <f>IFERROR(__xludf.DUMMYFUNCTION("IFERROR(
  VLOOKUP(
    A14,
    IMPORTRANGE(
      ""1ZHMy3vVUd_0MrSduXTe1etBb1HNpAlGwQr006ljwMiM"",
      ""GSC最新!A:R""
    ),
    12,
    FALSE
  ),
  0
)
"),4.583333333333334)</f>
        <v>4.583333333</v>
      </c>
      <c r="Z14" s="65">
        <f>IFERROR(__xludf.DUMMYFUNCTION("IFERROR(
  VLOOKUP(
    A14,
    IMPORTRANGE(
      ""1ZHMy3vVUd_0MrSduXTe1etBb1HNpAlGwQr006ljwMiM"",
      ""GSC最新!A:R""
    ),
    15,
    FALSE
  ),
  0
)
"),1.0)</f>
        <v>1</v>
      </c>
      <c r="AA14" s="65">
        <f>IFERROR(__xludf.DUMMYFUNCTION("IFERROR(
  VLOOKUP(
    A14,
    IMPORTRANGE(
      ""1ZHMy3vVUd_0MrSduXTe1etBb1HNpAlGwQr006ljwMiM"",
      ""GSC最新!A:R""
    ),
    18,
    FALSE
  ),
  0
)
"),1.0)</f>
        <v>1</v>
      </c>
      <c r="AB14" s="65">
        <f t="shared" ref="AB14:AC14" si="64">X14-Z14</f>
        <v>5.571428571</v>
      </c>
      <c r="AC14" s="65">
        <f t="shared" si="64"/>
        <v>3.583333333</v>
      </c>
      <c r="AD14" s="53">
        <f>IFERROR(__xludf.DUMMYFUNCTION("IFERROR(
  VLOOKUP(
    A14,
    IMPORTRANGE(
      ""1ZHMy3vVUd_0MrSduXTe1etBb1HNpAlGwQr006ljwMiM"",
      ""GSC最新!A:F""
    ),
    6,
    FALSE
  ),
  0
)
"),46081.0)</f>
        <v>46081</v>
      </c>
      <c r="AE14" s="54">
        <f>IFERROR(__xludf.DUMMYFUNCTION("IFERROR(
  VLOOKUP(
    A14,
    IMPORTRANGE(
      ""1SCYQd7_cobOYqT0r_F0IqD4tE4rYn5y8Eup4PJTH8es"",
      ""Snapshot!A:M""
    ),
    5,
    FALSE
  ),
  ""-""
)
"),0.0)</f>
        <v>0</v>
      </c>
      <c r="AF14" s="54">
        <f>IFERROR(__xludf.DUMMYFUNCTION("IFERROR(
  VLOOKUP(
    A14,
    IMPORTRANGE(
      ""1SCYQd7_cobOYqT0r_F0IqD4tE4rYn5y8Eup4PJTH8es"",
      ""Snapshot!A:M""
    ),
    6,
    FALSE
  ),
  0
)
"),0.0)</f>
        <v>0</v>
      </c>
      <c r="AG14" s="54">
        <f>IFERROR(__xludf.DUMMYFUNCTION("IFERROR(
  VLOOKUP(
    A14,
    IMPORTRANGE(
      ""1SCYQd7_cobOYqT0r_F0IqD4tE4rYn5y8Eup4PJTH8es"",
      ""Snapshot!A:M""
    ),
    7,
    FALSE
  ),
  0
)
"),58.0)</f>
        <v>58</v>
      </c>
      <c r="AH14" s="54">
        <f>IFERROR(__xludf.DUMMYFUNCTION("IFERROR(
  VLOOKUP(
    A14,
    IMPORTRANGE(
      ""1SCYQd7_cobOYqT0r_F0IqD4tE4rYn5y8Eup4PJTH8es"",
      ""Snapshot!A:M""
    ),
    8,
    FALSE
  ),
  0
)
"),0.0)</f>
        <v>0</v>
      </c>
      <c r="AI14" s="54">
        <f>IFERROR(__xludf.DUMMYFUNCTION("IFERROR(
  VLOOKUP(
    A14,
    IMPORTRANGE(
      ""1SCYQd7_cobOYqT0r_F0IqD4tE4rYn5y8Eup4PJTH8es"",
      ""Snapshot!A:M""
    ),
    9,
    FALSE
  ),
  0
)
"),1.0)</f>
        <v>1</v>
      </c>
      <c r="AJ14" s="54">
        <f>IFERROR(__xludf.DUMMYFUNCTION("IFERROR(
  VLOOKUP(
    A14,
    IMPORTRANGE(
      ""1SCYQd7_cobOYqT0r_F0IqD4tE4rYn5y8Eup4PJTH8es"",
      ""Snapshot!A:M""
    ),
    13,
    FALSE
  ),
  0
)
"),1.0)</f>
        <v>1</v>
      </c>
      <c r="AK14" s="49">
        <f t="shared" ref="AK14:AL14" si="65">LEN(C14)</f>
        <v>28</v>
      </c>
      <c r="AL14" s="49">
        <f t="shared" si="65"/>
        <v>0</v>
      </c>
    </row>
    <row r="15">
      <c r="A15" s="3" t="s">
        <v>1327</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"),"国語の基礎読解力を鍛える｜意味把握と要点整理の基本ルール")</f>
        <v>国語の基礎読解力を鍛える｜意味把握と要点整理の基本ルール</v>
      </c>
      <c r="D15" s="1" t="str">
        <f>IFERROR(__xludf.DUMMYFUNCTION("IFERROR(
  VLOOKUP(
    A15,
    IMPORTRANGE(
      ""1ZygntHC1J6IxzKbTidmOyf5nUyW4GCLurHCjexrLm_o        "",
      ""HTMLキャッシュ!A:F""
    ),
    6,
    FALSE
  ),
  0
)
"),"国語の基礎は習慣×語彙×解説。毎日10〜15分＋週2〜3回の読解で回す1週間モデル、語彙の3ステップ、迷いの原因メモを整理。")</f>
        <v>国語の基礎は習慣×語彙×解説。毎日10〜15分＋週2〜3回の読解で回す1週間モデル、語彙の3ステップ、迷いの原因メモを整理。</v>
      </c>
      <c r="E15" s="32">
        <f>IFERROR(__xludf.DUMMYFUNCTION("IFERROR(
  VLOOKUP(
    A15,
    IMPORTRANGE(
      ""1ZygntHC1J6IxzKbTidmOyf5nUyW4GCLurHCjexrLm_o        "",
      ""HTMLキャッシュ!A:F""
    ),
    3,
    FALSE
  ),
  0
)
"),46074.59305555555)</f>
        <v>46074.59306</v>
      </c>
      <c r="F15" s="49">
        <f>IFERROR(__xludf.DUMMYFUNCTION("IFERROR(
  VLOOKUP(
    A15,
    IMPORTRANGE(
      ""1ZHMy3vVUd_0MrSduXTe1etBb1HNpAlGwQr006ljwMiM"",
      ""GSC最新!A:F""
    ),
    2,
    FALSE
  ),
  0
)
"),0.0)</f>
        <v>0</v>
      </c>
      <c r="G15" s="49">
        <f>IFERROR(__xludf.DUMMYFUNCTION("IFERROR(
  VLOOKUP(
    A15,
    IMPORTRANGE(
      ""1ZHMy3vVUd_0MrSduXTe1etBb1HNpAlGwQr006ljwMiM"",
      ""GSC最新!A:F""
    ),
    3,
    FALSE
  ),
  0
)
"),0.0)</f>
        <v>0</v>
      </c>
      <c r="H15" s="49">
        <f>IFERROR(__xludf.DUMMYFUNCTION("IFERROR(
  VLOOKUP(
    A15,
    IMPORTRANGE(
      ""1ZHMy3vVUd_0MrSduXTe1etBb1HNpAlGwQr006ljwMiM"",
      ""GSC最新!A:F""
    ),
    4,
    FALSE
  ),
  0
)
"),2.0)</f>
        <v>2</v>
      </c>
      <c r="I15" s="49">
        <f>IFERROR(__xludf.DUMMYFUNCTION("IFERROR(
  VLOOKUP(
    A15,
    IMPORTRANGE(
      ""1ZHMy3vVUd_0MrSduXTe1etBb1HNpAlGwQr006ljwMiM"",
      ""GSC最新!A:F""
    ),
    5,
    FALSE
  ),
  0
)
"),3.0)</f>
        <v>3</v>
      </c>
      <c r="J15" s="50">
        <f t="shared" ref="J15:K15" si="66">IFERROR(F15/H15,"-")</f>
        <v>0</v>
      </c>
      <c r="K15" s="50">
        <f t="shared" si="66"/>
        <v>0</v>
      </c>
      <c r="L15" s="6">
        <f>IFERROR(__xludf.DUMMYFUNCTION("IFERROR(
  VLOOKUP(
    A15,
    IMPORTRANGE(
      ""1ZHMy3vVUd_0MrSduXTe1etBb1HNpAlGwQr006ljwMiM"",
      ""GSC最新!A:R""
    ),
    7,
    FALSE
  ),
  0
)
"),2.0)</f>
        <v>2</v>
      </c>
      <c r="M15" s="6">
        <f>IFERROR(__xludf.DUMMYFUNCTION("IFERROR(
  VLOOKUP(
    A15,
    IMPORTRANGE(
      ""1ZHMy3vVUd_0MrSduXTe1etBb1HNpAlGwQr006ljwMiM"",
      ""GSC最新!A:R""
    ),
    10,
    FALSE
  ),
  0
)
"),17.0)</f>
        <v>17</v>
      </c>
      <c r="N15" s="6">
        <f>IFERROR(__xludf.DUMMYFUNCTION("IFERROR(
  VLOOKUP(
    A15,
    IMPORTRANGE(
      ""1ZHMy3vVUd_0MrSduXTe1etBb1HNpAlGwQr006ljwMiM"",
      ""GSC最新!A:R""
    ),
    13,
    FALSE
  ),
  0
)
"),34.0)</f>
        <v>34</v>
      </c>
      <c r="O15" s="6">
        <f>IFERROR(__xludf.DUMMYFUNCTION("IFERROR(
  VLOOKUP(
    A15,
    IMPORTRANGE(
      ""1ZHMy3vVUd_0MrSduXTe1etBb1HNpAlGwQr006ljwMiM"",
      ""GSC最新!A:R""
    ),
    16,
    FALSE
  ),
  0
)
"),97.0)</f>
        <v>97</v>
      </c>
      <c r="P15" s="51">
        <f t="shared" ref="P15:Q15" si="67">IFERROR(L15/N15,"-")</f>
        <v>0.05882352941</v>
      </c>
      <c r="Q15" s="51">
        <f t="shared" si="67"/>
        <v>0.175257732</v>
      </c>
      <c r="R15" s="9">
        <f>IFERROR(__xludf.DUMMYFUNCTION("IFERROR(
  VLOOKUP(
    A15,
    IMPORTRANGE(
      ""1ZHMy3vVUd_0MrSduXTe1etBb1HNpAlGwQr006ljwMiM"",
      ""GSC最新!A:R""
    ),
    8,
    FALSE
  ),
  0
)
"),0.0)</f>
        <v>0</v>
      </c>
      <c r="S15" s="9">
        <f>IFERROR(__xludf.DUMMYFUNCTION("IFERROR(
  VLOOKUP(
    A15,
    IMPORTRANGE(
      ""1ZHMy3vVUd_0MrSduXTe1etBb1HNpAlGwQr006ljwMiM"",
      ""GSC最新!A:R""
    ),
    11,
    FALSE
  ),
  0
)
"),0.0)</f>
        <v>0</v>
      </c>
      <c r="T15" s="9">
        <f>IFERROR(__xludf.DUMMYFUNCTION("IFERROR(
  VLOOKUP(
    A15,
    IMPORTRANGE(
      ""1ZHMy3vVUd_0MrSduXTe1etBb1HNpAlGwQr006ljwMiM"",
      ""GSC最新!A:R""
    ),
    14,
    FALSE
  ),
  0
)
"),0.058823529411764705)</f>
        <v>0.05882352941</v>
      </c>
      <c r="U15" s="9">
        <f>IFERROR(__xludf.DUMMYFUNCTION("IFERROR(
  VLOOKUP(
    A15,
    IMPORTRANGE(
      ""1ZHMy3vVUd_0MrSduXTe1etBb1HNpAlGwQr006ljwMiM"",
      ""GSC最新!A:R""
    ),
    17,
    FALSE
  ),
  0
)
"),0.030927835051546393)</f>
        <v>0.03092783505</v>
      </c>
      <c r="V15" s="9">
        <f t="shared" ref="V15:W15" si="68">IFERROR(R15-T15,"-")</f>
        <v>-0.05882352941</v>
      </c>
      <c r="W15" s="9">
        <f t="shared" si="68"/>
        <v>-0.03092783505</v>
      </c>
      <c r="X15" s="65">
        <f>IFERROR(__xludf.DUMMYFUNCTION("IFERROR(
  VLOOKUP(
    A15,
    IMPORTRANGE(
      ""1ZHMy3vVUd_0MrSduXTe1etBb1HNpAlGwQr006ljwMiM"",
      ""GSC最新!A:R""
    ),
    9,
    FALSE
  ),
  0
)
"),8.5)</f>
        <v>8.5</v>
      </c>
      <c r="Y15" s="65">
        <f>IFERROR(__xludf.DUMMYFUNCTION("IFERROR(
  VLOOKUP(
    A15,
    IMPORTRANGE(
      ""1ZHMy3vVUd_0MrSduXTe1etBb1HNpAlGwQr006ljwMiM"",
      ""GSC最新!A:R""
    ),
    12,
    FALSE
  ),
  0
)
"),6.0)</f>
        <v>6</v>
      </c>
      <c r="Z15" s="65">
        <f>IFERROR(__xludf.DUMMYFUNCTION("IFERROR(
  VLOOKUP(
    A15,
    IMPORTRANGE(
      ""1ZHMy3vVUd_0MrSduXTe1etBb1HNpAlGwQr006ljwMiM"",
      ""GSC最新!A:R""
    ),
    15,
    FALSE
  ),
  0
)
"),8.264705882352942)</f>
        <v>8.264705882</v>
      </c>
      <c r="AA15" s="65">
        <f>IFERROR(__xludf.DUMMYFUNCTION("IFERROR(
  VLOOKUP(
    A15,
    IMPORTRANGE(
      ""1ZHMy3vVUd_0MrSduXTe1etBb1HNpAlGwQr006ljwMiM"",
      ""GSC最新!A:R""
    ),
    18,
    FALSE
  ),
  0
)
"),9.051546391752577)</f>
        <v>9.051546392</v>
      </c>
      <c r="AB15" s="65">
        <f t="shared" ref="AB15:AC15" si="69">X15-Z15</f>
        <v>0.2352941176</v>
      </c>
      <c r="AC15" s="65">
        <f t="shared" si="69"/>
        <v>-3.051546392</v>
      </c>
      <c r="AD15" s="53">
        <f>IFERROR(__xludf.DUMMYFUNCTION("IFERROR(
  VLOOKUP(
    A15,
    IMPORTRANGE(
      ""1ZHMy3vVUd_0MrSduXTe1etBb1HNpAlGwQr006ljwMiM"",
      ""GSC最新!A:F""
    ),
    6,
    FALSE
  ),
  0
)
"),46081.0)</f>
        <v>46081</v>
      </c>
      <c r="AE15" s="54">
        <f>IFERROR(__xludf.DUMMYFUNCTION("IFERROR(
  VLOOKUP(
    A15,
    IMPORTRANGE(
      ""1SCYQd7_cobOYqT0r_F0IqD4tE4rYn5y8Eup4PJTH8es"",
      ""Snapshot!A:M""
    ),
    5,
    FALSE
  ),
  ""-""
)
"),13.0)</f>
        <v>13</v>
      </c>
      <c r="AF15" s="54">
        <f>IFERROR(__xludf.DUMMYFUNCTION("IFERROR(
  VLOOKUP(
    A15,
    IMPORTRANGE(
      ""1SCYQd7_cobOYqT0r_F0IqD4tE4rYn5y8Eup4PJTH8es"",
      ""Snapshot!A:M""
    ),
    6,
    FALSE
  ),
  0
)
"),14.0)</f>
        <v>14</v>
      </c>
      <c r="AG15" s="54">
        <f>IFERROR(__xludf.DUMMYFUNCTION("IFERROR(
  VLOOKUP(
    A15,
    IMPORTRANGE(
      ""1SCYQd7_cobOYqT0r_F0IqD4tE4rYn5y8Eup4PJTH8es"",
      ""Snapshot!A:M""
    ),
    7,
    FALSE
  ),
  0
)
"),3419.0)</f>
        <v>3419</v>
      </c>
      <c r="AH15" s="54">
        <f>IFERROR(__xludf.DUMMYFUNCTION("IFERROR(
  VLOOKUP(
    A15,
    IMPORTRANGE(
      ""1SCYQd7_cobOYqT0r_F0IqD4tE4rYn5y8Eup4PJTH8es"",
      ""Snapshot!A:M""
    ),
    8,
    FALSE
  ),
  0
)
"),0.0)</f>
        <v>0</v>
      </c>
      <c r="AI15" s="54">
        <f>IFERROR(__xludf.DUMMYFUNCTION("IFERROR(
  VLOOKUP(
    A15,
    IMPORTRANGE(
      ""1SCYQd7_cobOYqT0r_F0IqD4tE4rYn5y8Eup4PJTH8es"",
      ""Snapshot!A:M""
    ),
    9,
    FALSE
  ),
  0
)
"),1.0)</f>
        <v>1</v>
      </c>
      <c r="AJ15" s="54">
        <f>IFERROR(__xludf.DUMMYFUNCTION("IFERROR(
  VLOOKUP(
    A15,
    IMPORTRANGE(
      ""1SCYQd7_cobOYqT0r_F0IqD4tE4rYn5y8Eup4PJTH8es"",
      ""Snapshot!A:M""
    ),
    13,
    FALSE
  ),
  0
)
"),1.0)</f>
        <v>1</v>
      </c>
      <c r="AK15" s="49">
        <f t="shared" ref="AK15:AL15" si="70">LEN(C15)</f>
        <v>28</v>
      </c>
      <c r="AL15" s="49">
        <f t="shared" si="70"/>
        <v>62</v>
      </c>
    </row>
    <row r="16">
      <c r="A16" s="1" t="s">
        <v>1328</v>
      </c>
      <c r="B16" s="1" t="str">
        <f>IFERROR(__xludf.DUMMYFUNCTION("IFERROR(
  VLOOKUP(
    A16,
    IMPORTRANGE(
      ""1ZygntHC1J6IxzKbTidmOyf5nUyW4GCLurHCjexrLm_o"",
      ""HTMLキャッシュ!A:F""
    ),
    2,
    FALSE
  ),
  0
)
"),"NW")</f>
        <v>NW</v>
      </c>
      <c r="C16" s="1" t="str">
        <f>IFERROR(__xludf.DUMMYFUNCTION("IFERROR(
  VLOOKUP(
    A16,
    IMPORTRANGE(
      ""1ZygntHC1J6IxzKbTidmOyf5nUyW4GCLurHCjexrLm_o"",
      ""HTMLキャッシュ!A:F""
    ),
    5,
    FALSE
  ),
  0
)
"),"2025年度冬期講習会のお知らせ - 基礎力Stadium「国語のトリガー」")</f>
        <v>2025年度冬期講習会のお知らせ - 基礎力Stadium「国語のトリガー」</v>
      </c>
      <c r="D16" s="1" t="str">
        <f>IFERROR(__xludf.DUMMYFUNCTION("IFERROR(
  VLOOKUP(
    A16,
    IMPORTRANGE(
      ""1ZygntHC1J6IxzKbTidmOyf5nUyW4GCLurHCjexrLm_o        "",
      ""HTMLキャッシュ!A:F""
    ),
    6,
    FALSE
  ),
  0
)
"),"当塾「国語のトリガー」では、2025年度冬期講習会を実施いたします。 現在通塾中の生徒の皆さんはもちろん、他塾")</f>
        <v>当塾「国語のトリガー」では、2025年度冬期講習会を実施いたします。 現在通塾中の生徒の皆さんはもちろん、他塾</v>
      </c>
      <c r="E16" s="32">
        <f>IFERROR(__xludf.DUMMYFUNCTION("IFERROR(
  VLOOKUP(
    A16,
    IMPORTRANGE(
      ""1ZygntHC1J6IxzKbTidmOyf5nUyW4GCLurHCjexrLm_o        "",
      ""HTMLキャッシュ!A:F""
    ),
    3,
    FALSE
  ),
  0
)
"),46010.781122685185)</f>
        <v>46010.78112</v>
      </c>
      <c r="F16" s="49">
        <f>IFERROR(__xludf.DUMMYFUNCTION("IFERROR(
  VLOOKUP(
    A16,
    IMPORTRANGE(
      ""1ZHMy3vVUd_0MrSduXTe1etBb1HNpAlGwQr006ljwMiM"",
      ""GSC最新!A:F""
    ),
    2,
    FALSE
  ),
  0
)
"),0.0)</f>
        <v>0</v>
      </c>
      <c r="G16" s="49">
        <f>IFERROR(__xludf.DUMMYFUNCTION("IFERROR(
  VLOOKUP(
    A16,
    IMPORTRANGE(
      ""1ZHMy3vVUd_0MrSduXTe1etBb1HNpAlGwQr006ljwMiM"",
      ""GSC最新!A:F""
    ),
    3,
    FALSE
  ),
  0
)
"),0.0)</f>
        <v>0</v>
      </c>
      <c r="H16" s="49">
        <f>IFERROR(__xludf.DUMMYFUNCTION("IFERROR(
  VLOOKUP(
    A16,
    IMPORTRANGE(
      ""1ZHMy3vVUd_0MrSduXTe1etBb1HNpAlGwQr006ljwMiM"",
      ""GSC最新!A:F""
    ),
    4,
    FALSE
  ),
  0
)
"),0.0)</f>
        <v>0</v>
      </c>
      <c r="I16" s="49">
        <f>IFERROR(__xludf.DUMMYFUNCTION("IFERROR(
  VLOOKUP(
    A16,
    IMPORTRANGE(
      ""1ZHMy3vVUd_0MrSduXTe1etBb1HNpAlGwQr006ljwMiM"",
      ""GSC最新!A:F""
    ),
    5,
    FALSE
  ),
  0
)
"),0.0)</f>
        <v>0</v>
      </c>
      <c r="J16" s="50" t="str">
        <f t="shared" ref="J16:K16" si="71">IFERROR(F16/H16,"-")</f>
        <v>-</v>
      </c>
      <c r="K16" s="50" t="str">
        <f t="shared" si="71"/>
        <v>-</v>
      </c>
      <c r="L16" s="6">
        <f>IFERROR(__xludf.DUMMYFUNCTION("IFERROR(
  VLOOKUP(
    A16,
    IMPORTRANGE(
      ""1ZHMy3vVUd_0MrSduXTe1etBb1HNpAlGwQr006ljwMiM"",
      ""GSC最新!A:R""
    ),
    7,
    FALSE
  ),
  0
)
"),3.0)</f>
        <v>3</v>
      </c>
      <c r="M16" s="6">
        <f>IFERROR(__xludf.DUMMYFUNCTION("IFERROR(
  VLOOKUP(
    A16,
    IMPORTRANGE(
      ""1ZHMy3vVUd_0MrSduXTe1etBb1HNpAlGwQr006ljwMiM"",
      ""GSC最新!A:R""
    ),
    10,
    FALSE
  ),
  0
)
"),17.0)</f>
        <v>17</v>
      </c>
      <c r="N16" s="6">
        <f>IFERROR(__xludf.DUMMYFUNCTION("IFERROR(
  VLOOKUP(
    A16,
    IMPORTRANGE(
      ""1ZHMy3vVUd_0MrSduXTe1etBb1HNpAlGwQr006ljwMiM"",
      ""GSC最新!A:R""
    ),
    13,
    FALSE
  ),
  0
)
"),0.0)</f>
        <v>0</v>
      </c>
      <c r="O16" s="6">
        <f>IFERROR(__xludf.DUMMYFUNCTION("IFERROR(
  VLOOKUP(
    A16,
    IMPORTRANGE(
      ""1ZHMy3vVUd_0MrSduXTe1etBb1HNpAlGwQr006ljwMiM"",
      ""GSC最新!A:R""
    ),
    16,
    FALSE
  ),
  0
)
"),0.0)</f>
        <v>0</v>
      </c>
      <c r="P16" s="51" t="str">
        <f t="shared" ref="P16:Q16" si="72">IFERROR(L16/N16,"-")</f>
        <v>-</v>
      </c>
      <c r="Q16" s="51" t="str">
        <f t="shared" si="72"/>
        <v>-</v>
      </c>
      <c r="R16" s="9">
        <f>IFERROR(__xludf.DUMMYFUNCTION("IFERROR(
  VLOOKUP(
    A16,
    IMPORTRANGE(
      ""1ZHMy3vVUd_0MrSduXTe1etBb1HNpAlGwQr006ljwMiM"",
      ""GSC最新!A:R""
    ),
    8,
    FALSE
  ),
  0
)
"),0.0)</f>
        <v>0</v>
      </c>
      <c r="S16" s="9">
        <f>IFERROR(__xludf.DUMMYFUNCTION("IFERROR(
  VLOOKUP(
    A16,
    IMPORTRANGE(
      ""1ZHMy3vVUd_0MrSduXTe1etBb1HNpAlGwQr006ljwMiM"",
      ""GSC最新!A:R""
    ),
    11,
    FALSE
  ),
  0
)
"),0.0)</f>
        <v>0</v>
      </c>
      <c r="T16" s="9">
        <f>IFERROR(__xludf.DUMMYFUNCTION("IFERROR(
  VLOOKUP(
    A16,
    IMPORTRANGE(
      ""1ZHMy3vVUd_0MrSduXTe1etBb1HNpAlGwQr006ljwMiM"",
      ""GSC最新!A:R""
    ),
    14,
    FALSE
  ),
  0
)
"),0.0)</f>
        <v>0</v>
      </c>
      <c r="U16" s="9">
        <f>IFERROR(__xludf.DUMMYFUNCTION("IFERROR(
  VLOOKUP(
    A16,
    IMPORTRANGE(
      ""1ZHMy3vVUd_0MrSduXTe1etBb1HNpAlGwQr006ljwMiM"",
      ""GSC最新!A:R""
    ),
    17,
    FALSE
  ),
  0
)
"),0.0)</f>
        <v>0</v>
      </c>
      <c r="V16" s="9">
        <f t="shared" ref="V16:W16" si="73">IFERROR(R16-T16,"-")</f>
        <v>0</v>
      </c>
      <c r="W16" s="9">
        <f t="shared" si="73"/>
        <v>0</v>
      </c>
      <c r="X16" s="65">
        <f>IFERROR(__xludf.DUMMYFUNCTION("IFERROR(
  VLOOKUP(
    A16,
    IMPORTRANGE(
      ""1ZHMy3vVUd_0MrSduXTe1etBb1HNpAlGwQr006ljwMiM"",
      ""GSC最新!A:R""
    ),
    9,
    FALSE
  ),
  0
)
"),8.333333333333332)</f>
        <v>8.333333333</v>
      </c>
      <c r="Y16" s="65">
        <f>IFERROR(__xludf.DUMMYFUNCTION("IFERROR(
  VLOOKUP(
    A16,
    IMPORTRANGE(
      ""1ZHMy3vVUd_0MrSduXTe1etBb1HNpAlGwQr006ljwMiM"",
      ""GSC最新!A:R""
    ),
    12,
    FALSE
  ),
  0
)
"),5.882352941176471)</f>
        <v>5.882352941</v>
      </c>
      <c r="Z16" s="65" t="str">
        <f>IFERROR(__xludf.DUMMYFUNCTION("IFERROR(
  VLOOKUP(
    A16,
    IMPORTRANGE(
      ""1ZHMy3vVUd_0MrSduXTe1etBb1HNpAlGwQr006ljwMiM"",
      ""GSC最新!A:R""
    ),
    15,
    FALSE
  ),
  0
)
"),"")</f>
        <v/>
      </c>
      <c r="AA16" s="65" t="str">
        <f>IFERROR(__xludf.DUMMYFUNCTION("IFERROR(
  VLOOKUP(
    A16,
    IMPORTRANGE(
      ""1ZHMy3vVUd_0MrSduXTe1etBb1HNpAlGwQr006ljwMiM"",
      ""GSC最新!A:R""
    ),
    18,
    FALSE
  ),
  0
)
"),"")</f>
        <v/>
      </c>
      <c r="AB16" s="65">
        <f t="shared" ref="AB16:AC16" si="74">X16-Z16</f>
        <v>8.333333333</v>
      </c>
      <c r="AC16" s="65">
        <f t="shared" si="74"/>
        <v>5.882352941</v>
      </c>
      <c r="AD16" s="53">
        <f>IFERROR(__xludf.DUMMYFUNCTION("IFERROR(
  VLOOKUP(
    A16,
    IMPORTRANGE(
      ""1ZHMy3vVUd_0MrSduXTe1etBb1HNpAlGwQr006ljwMiM"",
      ""GSC最新!A:F""
    ),
    6,
    FALSE
  ),
  0
)
"),46081.0)</f>
        <v>46081</v>
      </c>
      <c r="AE16" s="54">
        <f>IFERROR(__xludf.DUMMYFUNCTION("IFERROR(
  VLOOKUP(
    A16,
    IMPORTRANGE(
      ""1SCYQd7_cobOYqT0r_F0IqD4tE4rYn5y8Eup4PJTH8es"",
      ""Snapshot!A:M""
    ),
    5,
    FALSE
  ),
  ""-""
)
"),0.0)</f>
        <v>0</v>
      </c>
      <c r="AF16" s="54">
        <f>IFERROR(__xludf.DUMMYFUNCTION("IFERROR(
  VLOOKUP(
    A16,
    IMPORTRANGE(
      ""1SCYQd7_cobOYqT0r_F0IqD4tE4rYn5y8Eup4PJTH8es"",
      ""Snapshot!A:M""
    ),
    6,
    FALSE
  ),
  0
)
"),0.0)</f>
        <v>0</v>
      </c>
      <c r="AG16" s="54">
        <f>IFERROR(__xludf.DUMMYFUNCTION("IFERROR(
  VLOOKUP(
    A16,
    IMPORTRANGE(
      ""1SCYQd7_cobOYqT0r_F0IqD4tE4rYn5y8Eup4PJTH8es"",
      ""Snapshot!A:M""
    ),
    7,
    FALSE
  ),
  0
)
"),428.0)</f>
        <v>428</v>
      </c>
      <c r="AH16" s="54">
        <f>IFERROR(__xludf.DUMMYFUNCTION("IFERROR(
  VLOOKUP(
    A16,
    IMPORTRANGE(
      ""1SCYQd7_cobOYqT0r_F0IqD4tE4rYn5y8Eup4PJTH8es"",
      ""Snapshot!A:M""
    ),
    8,
    FALSE
  ),
  0
)
"),2.0)</f>
        <v>2</v>
      </c>
      <c r="AI16" s="54">
        <f>IFERROR(__xludf.DUMMYFUNCTION("IFERROR(
  VLOOKUP(
    A16,
    IMPORTRANGE(
      ""1SCYQd7_cobOYqT0r_F0IqD4tE4rYn5y8Eup4PJTH8es"",
      ""Snapshot!A:M""
    ),
    9,
    FALSE
  ),
  0
)
"),0.0)</f>
        <v>0</v>
      </c>
      <c r="AJ16" s="54">
        <f>IFERROR(__xludf.DUMMYFUNCTION("IFERROR(
  VLOOKUP(
    A16,
    IMPORTRANGE(
      ""1SCYQd7_cobOYqT0r_F0IqD4tE4rYn5y8Eup4PJTH8es"",
      ""Snapshot!A:M""
    ),
    13,
    FALSE
  ),
  0
)
"),1.0)</f>
        <v>1</v>
      </c>
      <c r="AK16" s="49">
        <f t="shared" ref="AK16:AL16" si="75">LEN(C16)</f>
        <v>38</v>
      </c>
      <c r="AL16" s="49">
        <f t="shared" si="75"/>
        <v>55</v>
      </c>
    </row>
    <row r="17">
      <c r="A17" s="3" t="s">
        <v>1329</v>
      </c>
      <c r="B17" s="1" t="str">
        <f>IFERROR(__xludf.DUMMYFUNCTION("IFERROR(
  VLOOKUP(
    A17,
    IMPORTRANGE(
      ""1ZygntHC1J6IxzKbTidmOyf5nUyW4GCLurHCjexrLm_o"",
      ""HTMLキャッシュ!A:F""
    ),
    2,
    FALSE
  ),
  0
)
"),"NW")</f>
        <v>NW</v>
      </c>
      <c r="C17" s="1" t="str">
        <f>IFERROR(__xludf.DUMMYFUNCTION("IFERROR(
  VLOOKUP(
    A17,
    IMPORTRANGE(
      ""1ZygntHC1J6IxzKbTidmOyf5nUyW4GCLurHCjexrLm_o"",
      ""HTMLキャッシュ!A:F""
    ),
    5,
    FALSE
  ),
  0
)
"),"お知らせ - 基礎力Stadium「国語のトリガー」")</f>
        <v>お知らせ - 基礎力Stadium「国語のトリガー」</v>
      </c>
      <c r="D17" s="1" t="str">
        <f>IFERROR(__xludf.DUMMYFUNCTION("IFERROR(
  VLOOKUP(
    A17,
    IMPORTRANGE(
      ""1ZygntHC1J6IxzKbTidmOyf5nUyW4GCLurHCjexrLm_o        "",
      ""HTMLキャッシュ!A:F""
    ),
    6,
    FALSE
  ),
  0
)
"),"[1ページ目] お知らせ の記事 基礎力Stadium「国語のトリガー」 ～お子様に必要なのはカリスマ講師の指導ですか？～当塾は「国語が苦手な受験生」専門の国語塾です。")</f>
        <v>[1ページ目] お知らせ の記事 基礎力Stadium「国語のトリガー」 ～お子様に必要なのはカリスマ講師の指導ですか？～当塾は「国語が苦手な受験生」専門の国語塾です。</v>
      </c>
      <c r="E17" s="32">
        <f>IFERROR(__xludf.DUMMYFUNCTION("IFERROR(
  VLOOKUP(
    A17,
    IMPORTRANGE(
      ""1ZygntHC1J6IxzKbTidmOyf5nUyW4GCLurHCjexrLm_o        "",
      ""HTMLキャッシュ!A:F""
    ),
    3,
    FALSE
  ),
  0
)
"),46027.58587962963)</f>
        <v>46027.58588</v>
      </c>
      <c r="F17" s="49">
        <f>IFERROR(__xludf.DUMMYFUNCTION("IFERROR(
  VLOOKUP(
    A17,
    IMPORTRANGE(
      ""1ZHMy3vVUd_0MrSduXTe1etBb1HNpAlGwQr006ljwMiM"",
      ""GSC最新!A:F""
    ),
    2,
    FALSE
  ),
  0
)
"),0.0)</f>
        <v>0</v>
      </c>
      <c r="G17" s="49">
        <f>IFERROR(__xludf.DUMMYFUNCTION("IFERROR(
  VLOOKUP(
    A17,
    IMPORTRANGE(
      ""1ZHMy3vVUd_0MrSduXTe1etBb1HNpAlGwQr006ljwMiM"",
      ""GSC最新!A:F""
    ),
    3,
    FALSE
  ),
  0
)
"),0.0)</f>
        <v>0</v>
      </c>
      <c r="H17" s="49">
        <f>IFERROR(__xludf.DUMMYFUNCTION("IFERROR(
  VLOOKUP(
    A17,
    IMPORTRANGE(
      ""1ZHMy3vVUd_0MrSduXTe1etBb1HNpAlGwQr006ljwMiM"",
      ""GSC最新!A:F""
    ),
    4,
    FALSE
  ),
  0
)
"),0.0)</f>
        <v>0</v>
      </c>
      <c r="I17" s="49">
        <f>IFERROR(__xludf.DUMMYFUNCTION("IFERROR(
  VLOOKUP(
    A17,
    IMPORTRANGE(
      ""1ZHMy3vVUd_0MrSduXTe1etBb1HNpAlGwQr006ljwMiM"",
      ""GSC最新!A:F""
    ),
    5,
    FALSE
  ),
  0
)
"),0.0)</f>
        <v>0</v>
      </c>
      <c r="J17" s="50" t="str">
        <f t="shared" ref="J17:K17" si="76">IFERROR(F17/H17,"-")</f>
        <v>-</v>
      </c>
      <c r="K17" s="50" t="str">
        <f t="shared" si="76"/>
        <v>-</v>
      </c>
      <c r="L17" s="6">
        <f>IFERROR(__xludf.DUMMYFUNCTION("IFERROR(
  VLOOKUP(
    A17,
    IMPORTRANGE(
      ""1ZHMy3vVUd_0MrSduXTe1etBb1HNpAlGwQr006ljwMiM"",
      ""GSC最新!A:R""
    ),
    7,
    FALSE
  ),
  0
)
"),3.0)</f>
        <v>3</v>
      </c>
      <c r="M17" s="6">
        <f>IFERROR(__xludf.DUMMYFUNCTION("IFERROR(
  VLOOKUP(
    A17,
    IMPORTRANGE(
      ""1ZHMy3vVUd_0MrSduXTe1etBb1HNpAlGwQr006ljwMiM"",
      ""GSC最新!A:R""
    ),
    10,
    FALSE
  ),
  0
)
"),11.0)</f>
        <v>11</v>
      </c>
      <c r="N17" s="6">
        <f>IFERROR(__xludf.DUMMYFUNCTION("IFERROR(
  VLOOKUP(
    A17,
    IMPORTRANGE(
      ""1ZHMy3vVUd_0MrSduXTe1etBb1HNpAlGwQr006ljwMiM"",
      ""GSC最新!A:R""
    ),
    13,
    FALSE
  ),
  0
)
"),0.0)</f>
        <v>0</v>
      </c>
      <c r="O17" s="6">
        <f>IFERROR(__xludf.DUMMYFUNCTION("IFERROR(
  VLOOKUP(
    A17,
    IMPORTRANGE(
      ""1ZHMy3vVUd_0MrSduXTe1etBb1HNpAlGwQr006ljwMiM"",
      ""GSC最新!A:R""
    ),
    16,
    FALSE
  ),
  0
)
"),2.0)</f>
        <v>2</v>
      </c>
      <c r="P17" s="51" t="str">
        <f t="shared" ref="P17:Q17" si="77">IFERROR(L17/N17,"-")</f>
        <v>-</v>
      </c>
      <c r="Q17" s="51">
        <f t="shared" si="77"/>
        <v>5.5</v>
      </c>
      <c r="R17" s="9">
        <f>IFERROR(__xludf.DUMMYFUNCTION("IFERROR(
  VLOOKUP(
    A17,
    IMPORTRANGE(
      ""1ZHMy3vVUd_0MrSduXTe1etBb1HNpAlGwQr006ljwMiM"",
      ""GSC最新!A:R""
    ),
    8,
    FALSE
  ),
  0
)
"),0.0)</f>
        <v>0</v>
      </c>
      <c r="S17" s="9">
        <f>IFERROR(__xludf.DUMMYFUNCTION("IFERROR(
  VLOOKUP(
    A17,
    IMPORTRANGE(
      ""1ZHMy3vVUd_0MrSduXTe1etBb1HNpAlGwQr006ljwMiM"",
      ""GSC最新!A:R""
    ),
    11,
    FALSE
  ),
  0
)
"),0.0)</f>
        <v>0</v>
      </c>
      <c r="T17" s="9">
        <f>IFERROR(__xludf.DUMMYFUNCTION("IFERROR(
  VLOOKUP(
    A17,
    IMPORTRANGE(
      ""1ZHMy3vVUd_0MrSduXTe1etBb1HNpAlGwQr006ljwMiM"",
      ""GSC最新!A:R""
    ),
    14,
    FALSE
  ),
  0
)
"),0.0)</f>
        <v>0</v>
      </c>
      <c r="U17" s="9">
        <f>IFERROR(__xludf.DUMMYFUNCTION("IFERROR(
  VLOOKUP(
    A17,
    IMPORTRANGE(
      ""1ZHMy3vVUd_0MrSduXTe1etBb1HNpAlGwQr006ljwMiM"",
      ""GSC最新!A:R""
    ),
    17,
    FALSE
  ),
  0
)
"),0.0)</f>
        <v>0</v>
      </c>
      <c r="V17" s="9">
        <f t="shared" ref="V17:W17" si="78">IFERROR(R17-T17,"-")</f>
        <v>0</v>
      </c>
      <c r="W17" s="9">
        <f t="shared" si="78"/>
        <v>0</v>
      </c>
      <c r="X17" s="65">
        <f>IFERROR(__xludf.DUMMYFUNCTION("IFERROR(
  VLOOKUP(
    A17,
    IMPORTRANGE(
      ""1ZHMy3vVUd_0MrSduXTe1etBb1HNpAlGwQr006ljwMiM"",
      ""GSC最新!A:R""
    ),
    9,
    FALSE
  ),
  0
)
"),4.333333333333334)</f>
        <v>4.333333333</v>
      </c>
      <c r="Y17" s="65">
        <f>IFERROR(__xludf.DUMMYFUNCTION("IFERROR(
  VLOOKUP(
    A17,
    IMPORTRANGE(
      ""1ZHMy3vVUd_0MrSduXTe1etBb1HNpAlGwQr006ljwMiM"",
      ""GSC最新!A:R""
    ),
    12,
    FALSE
  ),
  0
)
"),6.636363636363637)</f>
        <v>6.636363636</v>
      </c>
      <c r="Z17" s="65" t="str">
        <f>IFERROR(__xludf.DUMMYFUNCTION("IFERROR(
  VLOOKUP(
    A17,
    IMPORTRANGE(
      ""1ZHMy3vVUd_0MrSduXTe1etBb1HNpAlGwQr006ljwMiM"",
      ""GSC最新!A:R""
    ),
    15,
    FALSE
  ),
  0
)
"),"")</f>
        <v/>
      </c>
      <c r="AA17" s="65">
        <f>IFERROR(__xludf.DUMMYFUNCTION("IFERROR(
  VLOOKUP(
    A17,
    IMPORTRANGE(
      ""1ZHMy3vVUd_0MrSduXTe1etBb1HNpAlGwQr006ljwMiM"",
      ""GSC最新!A:R""
    ),
    18,
    FALSE
  ),
  0
)
"),12.0)</f>
        <v>12</v>
      </c>
      <c r="AB17" s="65">
        <f t="shared" ref="AB17:AC17" si="79">X17-Z17</f>
        <v>4.333333333</v>
      </c>
      <c r="AC17" s="65">
        <f t="shared" si="79"/>
        <v>-5.363636364</v>
      </c>
      <c r="AD17" s="53">
        <f>IFERROR(__xludf.DUMMYFUNCTION("IFERROR(
  VLOOKUP(
    A17,
    IMPORTRANGE(
      ""1ZHMy3vVUd_0MrSduXTe1etBb1HNpAlGwQr006ljwMiM"",
      ""GSC最新!A:F""
    ),
    6,
    FALSE
  ),
  0
)
"),46081.0)</f>
        <v>46081</v>
      </c>
      <c r="AE17" s="54">
        <f>IFERROR(__xludf.DUMMYFUNCTION("IFERROR(
  VLOOKUP(
    A17,
    IMPORTRANGE(
      ""1SCYQd7_cobOYqT0r_F0IqD4tE4rYn5y8Eup4PJTH8es"",
      ""Snapshot!A:M""
    ),
    5,
    FALSE
  ),
  ""-""
)
"),0.0)</f>
        <v>0</v>
      </c>
      <c r="AF17" s="54">
        <f>IFERROR(__xludf.DUMMYFUNCTION("IFERROR(
  VLOOKUP(
    A17,
    IMPORTRANGE(
      ""1SCYQd7_cobOYqT0r_F0IqD4tE4rYn5y8Eup4PJTH8es"",
      ""Snapshot!A:M""
    ),
    6,
    FALSE
  ),
  0
)
"),0.0)</f>
        <v>0</v>
      </c>
      <c r="AG17" s="54">
        <f>IFERROR(__xludf.DUMMYFUNCTION("IFERROR(
  VLOOKUP(
    A17,
    IMPORTRANGE(
      ""1SCYQd7_cobOYqT0r_F0IqD4tE4rYn5y8Eup4PJTH8es"",
      ""Snapshot!A:M""
    ),
    7,
    FALSE
  ),
  0
)
"),0.0)</f>
        <v>0</v>
      </c>
      <c r="AH17" s="54">
        <f>IFERROR(__xludf.DUMMYFUNCTION("IFERROR(
  VLOOKUP(
    A17,
    IMPORTRANGE(
      ""1SCYQd7_cobOYqT0r_F0IqD4tE4rYn5y8Eup4PJTH8es"",
      ""Snapshot!A:M""
    ),
    8,
    FALSE
  ),
  0
)
"),0.0)</f>
        <v>0</v>
      </c>
      <c r="AI17" s="54">
        <f>IFERROR(__xludf.DUMMYFUNCTION("IFERROR(
  VLOOKUP(
    A17,
    IMPORTRANGE(
      ""1SCYQd7_cobOYqT0r_F0IqD4tE4rYn5y8Eup4PJTH8es"",
      ""Snapshot!A:M""
    ),
    9,
    FALSE
  ),
  0
)
"),0.0)</f>
        <v>0</v>
      </c>
      <c r="AJ17" s="54">
        <f>IFERROR(__xludf.DUMMYFUNCTION("IFERROR(
  VLOOKUP(
    A17,
    IMPORTRANGE(
      ""1SCYQd7_cobOYqT0r_F0IqD4tE4rYn5y8Eup4PJTH8es"",
      ""Snapshot!A:M""
    ),
    13,
    FALSE
  ),
  0
)
"),1.0)</f>
        <v>1</v>
      </c>
      <c r="AK17" s="49">
        <f t="shared" ref="AK17:AL17" si="80">LEN(C17)</f>
        <v>26</v>
      </c>
      <c r="AL17" s="49">
        <f t="shared" si="80"/>
        <v>84</v>
      </c>
    </row>
    <row r="18">
      <c r="A18" s="1" t="s">
        <v>1330</v>
      </c>
      <c r="B18" s="1" t="str">
        <f>IFERROR(__xludf.DUMMYFUNCTION("IFERROR(
  VLOOKUP(
    A18,
    IMPORTRANGE(
      ""1ZygntHC1J6IxzKbTidmOyf5nUyW4GCLurHCjexrLm_o"",
      ""HTMLキャッシュ!A:F""
    ),
    2,
    FALSE
  ),
  0
)
"),"NW")</f>
        <v>NW</v>
      </c>
      <c r="C18" s="1" t="str">
        <f>IFERROR(__xludf.DUMMYFUNCTION("IFERROR(
  VLOOKUP(
    A18,
    IMPORTRANGE(
      ""1ZygntHC1J6IxzKbTidmOyf5nUyW4GCLurHCjexrLm_o"",
      ""HTMLキャッシュ!A:F""
    ),
    5,
    FALSE
  ),
  0
)
"),"2024年度冬期講習会のお知らせ - 基礎力Stadium「国語のトリガー」")</f>
        <v>2024年度冬期講習会のお知らせ - 基礎力Stadium「国語のトリガー」</v>
      </c>
      <c r="D18" s="1" t="str">
        <f>IFERROR(__xludf.DUMMYFUNCTION("IFERROR(
  VLOOKUP(
    A18,
    IMPORTRANGE(
      ""1ZygntHC1J6IxzKbTidmOyf5nUyW4GCLurHCjexrLm_o        "",
      ""HTMLキャッシュ!A:F""
    ),
    6,
    FALSE
  ),
  0
)
"),"当塾「国語のトリガー」では、2024年度冬期講習会を実施いたします。 現在通塾中の生徒の皆さんはもちろん、他塾")</f>
        <v>当塾「国語のトリガー」では、2024年度冬期講習会を実施いたします。 現在通塾中の生徒の皆さんはもちろん、他塾</v>
      </c>
      <c r="E18" s="32">
        <f>IFERROR(__xludf.DUMMYFUNCTION("IFERROR(
  VLOOKUP(
    A18,
    IMPORTRANGE(
      ""1ZygntHC1J6IxzKbTidmOyf5nUyW4GCLurHCjexrLm_o        "",
      ""HTMLキャッシュ!A:F""
    ),
    3,
    FALSE
  ),
  0
)
"),45638.87826388889)</f>
        <v>45638.87826</v>
      </c>
      <c r="F18" s="49">
        <f>IFERROR(__xludf.DUMMYFUNCTION("IFERROR(
  VLOOKUP(
    A18,
    IMPORTRANGE(
      ""1ZHMy3vVUd_0MrSduXTe1etBb1HNpAlGwQr006ljwMiM"",
      ""GSC最新!A:F""
    ),
    2,
    FALSE
  ),
  0
)
"),0.0)</f>
        <v>0</v>
      </c>
      <c r="G18" s="49">
        <f>IFERROR(__xludf.DUMMYFUNCTION("IFERROR(
  VLOOKUP(
    A18,
    IMPORTRANGE(
      ""1ZHMy3vVUd_0MrSduXTe1etBb1HNpAlGwQr006ljwMiM"",
      ""GSC最新!A:F""
    ),
    3,
    FALSE
  ),
  0
)
"),0.0)</f>
        <v>0</v>
      </c>
      <c r="H18" s="49">
        <f>IFERROR(__xludf.DUMMYFUNCTION("IFERROR(
  VLOOKUP(
    A18,
    IMPORTRANGE(
      ""1ZHMy3vVUd_0MrSduXTe1etBb1HNpAlGwQr006ljwMiM"",
      ""GSC最新!A:F""
    ),
    4,
    FALSE
  ),
  0
)
"),0.0)</f>
        <v>0</v>
      </c>
      <c r="I18" s="49">
        <f>IFERROR(__xludf.DUMMYFUNCTION("IFERROR(
  VLOOKUP(
    A18,
    IMPORTRANGE(
      ""1ZHMy3vVUd_0MrSduXTe1etBb1HNpAlGwQr006ljwMiM"",
      ""GSC最新!A:F""
    ),
    5,
    FALSE
  ),
  0
)
"),0.0)</f>
        <v>0</v>
      </c>
      <c r="J18" s="50" t="str">
        <f t="shared" ref="J18:K18" si="81">IFERROR(F18/H18,"-")</f>
        <v>-</v>
      </c>
      <c r="K18" s="50" t="str">
        <f t="shared" si="81"/>
        <v>-</v>
      </c>
      <c r="L18" s="6">
        <f>IFERROR(__xludf.DUMMYFUNCTION("IFERROR(
  VLOOKUP(
    A18,
    IMPORTRANGE(
      ""1ZHMy3vVUd_0MrSduXTe1etBb1HNpAlGwQr006ljwMiM"",
      ""GSC最新!A:R""
    ),
    7,
    FALSE
  ),
  0
)
"),2.0)</f>
        <v>2</v>
      </c>
      <c r="M18" s="6">
        <f>IFERROR(__xludf.DUMMYFUNCTION("IFERROR(
  VLOOKUP(
    A18,
    IMPORTRANGE(
      ""1ZHMy3vVUd_0MrSduXTe1etBb1HNpAlGwQr006ljwMiM"",
      ""GSC最新!A:R""
    ),
    10,
    FALSE
  ),
  0
)
"),7.0)</f>
        <v>7</v>
      </c>
      <c r="N18" s="6">
        <f>IFERROR(__xludf.DUMMYFUNCTION("IFERROR(
  VLOOKUP(
    A18,
    IMPORTRANGE(
      ""1ZHMy3vVUd_0MrSduXTe1etBb1HNpAlGwQr006ljwMiM"",
      ""GSC最新!A:R""
    ),
    13,
    FALSE
  ),
  0
)
"),0.0)</f>
        <v>0</v>
      </c>
      <c r="O18" s="6">
        <f>IFERROR(__xludf.DUMMYFUNCTION("IFERROR(
  VLOOKUP(
    A18,
    IMPORTRANGE(
      ""1ZHMy3vVUd_0MrSduXTe1etBb1HNpAlGwQr006ljwMiM"",
      ""GSC最新!A:R""
    ),
    16,
    FALSE
  ),
  0
)
"),0.0)</f>
        <v>0</v>
      </c>
      <c r="P18" s="51" t="str">
        <f t="shared" ref="P18:Q18" si="82">IFERROR(L18/N18,"-")</f>
        <v>-</v>
      </c>
      <c r="Q18" s="51" t="str">
        <f t="shared" si="82"/>
        <v>-</v>
      </c>
      <c r="R18" s="9">
        <f>IFERROR(__xludf.DUMMYFUNCTION("IFERROR(
  VLOOKUP(
    A18,
    IMPORTRANGE(
      ""1ZHMy3vVUd_0MrSduXTe1etBb1HNpAlGwQr006ljwMiM"",
      ""GSC最新!A:R""
    ),
    8,
    FALSE
  ),
  0
)
"),0.0)</f>
        <v>0</v>
      </c>
      <c r="S18" s="9">
        <f>IFERROR(__xludf.DUMMYFUNCTION("IFERROR(
  VLOOKUP(
    A18,
    IMPORTRANGE(
      ""1ZHMy3vVUd_0MrSduXTe1etBb1HNpAlGwQr006ljwMiM"",
      ""GSC最新!A:R""
    ),
    11,
    FALSE
  ),
  0
)
"),0.0)</f>
        <v>0</v>
      </c>
      <c r="T18" s="9">
        <f>IFERROR(__xludf.DUMMYFUNCTION("IFERROR(
  VLOOKUP(
    A18,
    IMPORTRANGE(
      ""1ZHMy3vVUd_0MrSduXTe1etBb1HNpAlGwQr006ljwMiM"",
      ""GSC最新!A:R""
    ),
    14,
    FALSE
  ),
  0
)
"),0.0)</f>
        <v>0</v>
      </c>
      <c r="U18" s="9">
        <f>IFERROR(__xludf.DUMMYFUNCTION("IFERROR(
  VLOOKUP(
    A18,
    IMPORTRANGE(
      ""1ZHMy3vVUd_0MrSduXTe1etBb1HNpAlGwQr006ljwMiM"",
      ""GSC最新!A:R""
    ),
    17,
    FALSE
  ),
  0
)
"),0.0)</f>
        <v>0</v>
      </c>
      <c r="V18" s="9">
        <f t="shared" ref="V18:W18" si="83">IFERROR(R18-T18,"-")</f>
        <v>0</v>
      </c>
      <c r="W18" s="9">
        <f t="shared" si="83"/>
        <v>0</v>
      </c>
      <c r="X18" s="65">
        <f>IFERROR(__xludf.DUMMYFUNCTION("IFERROR(
  VLOOKUP(
    A18,
    IMPORTRANGE(
      ""1ZHMy3vVUd_0MrSduXTe1etBb1HNpAlGwQr006ljwMiM"",
      ""GSC最新!A:R""
    ),
    9,
    FALSE
  ),
  0
)
"),9.5)</f>
        <v>9.5</v>
      </c>
      <c r="Y18" s="65">
        <f>IFERROR(__xludf.DUMMYFUNCTION("IFERROR(
  VLOOKUP(
    A18,
    IMPORTRANGE(
      ""1ZHMy3vVUd_0MrSduXTe1etBb1HNpAlGwQr006ljwMiM"",
      ""GSC最新!A:R""
    ),
    12,
    FALSE
  ),
  0
)
"),8.428571428571429)</f>
        <v>8.428571429</v>
      </c>
      <c r="Z18" s="65" t="str">
        <f>IFERROR(__xludf.DUMMYFUNCTION("IFERROR(
  VLOOKUP(
    A18,
    IMPORTRANGE(
      ""1ZHMy3vVUd_0MrSduXTe1etBb1HNpAlGwQr006ljwMiM"",
      ""GSC最新!A:R""
    ),
    15,
    FALSE
  ),
  0
)
"),"")</f>
        <v/>
      </c>
      <c r="AA18" s="65" t="str">
        <f>IFERROR(__xludf.DUMMYFUNCTION("IFERROR(
  VLOOKUP(
    A18,
    IMPORTRANGE(
      ""1ZHMy3vVUd_0MrSduXTe1etBb1HNpAlGwQr006ljwMiM"",
      ""GSC最新!A:R""
    ),
    18,
    FALSE
  ),
  0
)
"),"")</f>
        <v/>
      </c>
      <c r="AB18" s="65">
        <f t="shared" ref="AB18:AC18" si="84">X18-Z18</f>
        <v>9.5</v>
      </c>
      <c r="AC18" s="65">
        <f t="shared" si="84"/>
        <v>8.428571429</v>
      </c>
      <c r="AD18" s="53">
        <f>IFERROR(__xludf.DUMMYFUNCTION("IFERROR(
  VLOOKUP(
    A18,
    IMPORTRANGE(
      ""1ZHMy3vVUd_0MrSduXTe1etBb1HNpAlGwQr006ljwMiM"",
      ""GSC最新!A:F""
    ),
    6,
    FALSE
  ),
  0
)
"),46081.0)</f>
        <v>46081</v>
      </c>
      <c r="AE18" s="54">
        <f>IFERROR(__xludf.DUMMYFUNCTION("IFERROR(
  VLOOKUP(
    A18,
    IMPORTRANGE(
      ""1SCYQd7_cobOYqT0r_F0IqD4tE4rYn5y8Eup4PJTH8es"",
      ""Snapshot!A:M""
    ),
    5,
    FALSE
  ),
  ""-""
)
"),0.0)</f>
        <v>0</v>
      </c>
      <c r="AF18" s="54">
        <f>IFERROR(__xludf.DUMMYFUNCTION("IFERROR(
  VLOOKUP(
    A18,
    IMPORTRANGE(
      ""1SCYQd7_cobOYqT0r_F0IqD4tE4rYn5y8Eup4PJTH8es"",
      ""Snapshot!A:M""
    ),
    6,
    FALSE
  ),
  0
)
"),0.0)</f>
        <v>0</v>
      </c>
      <c r="AG18" s="54">
        <f>IFERROR(__xludf.DUMMYFUNCTION("IFERROR(
  VLOOKUP(
    A18,
    IMPORTRANGE(
      ""1SCYQd7_cobOYqT0r_F0IqD4tE4rYn5y8Eup4PJTH8es"",
      ""Snapshot!A:M""
    ),
    7,
    FALSE
  ),
  0
)
"),434.0)</f>
        <v>434</v>
      </c>
      <c r="AH18" s="54">
        <f>IFERROR(__xludf.DUMMYFUNCTION("IFERROR(
  VLOOKUP(
    A18,
    IMPORTRANGE(
      ""1SCYQd7_cobOYqT0r_F0IqD4tE4rYn5y8Eup4PJTH8es"",
      ""Snapshot!A:M""
    ),
    8,
    FALSE
  ),
  0
)
"),1.0)</f>
        <v>1</v>
      </c>
      <c r="AI18" s="54">
        <f>IFERROR(__xludf.DUMMYFUNCTION("IFERROR(
  VLOOKUP(
    A18,
    IMPORTRANGE(
      ""1SCYQd7_cobOYqT0r_F0IqD4tE4rYn5y8Eup4PJTH8es"",
      ""Snapshot!A:M""
    ),
    9,
    FALSE
  ),
  0
)
"),0.0)</f>
        <v>0</v>
      </c>
      <c r="AJ18" s="54">
        <f>IFERROR(__xludf.DUMMYFUNCTION("IFERROR(
  VLOOKUP(
    A18,
    IMPORTRANGE(
      ""1SCYQd7_cobOYqT0r_F0IqD4tE4rYn5y8Eup4PJTH8es"",
      ""Snapshot!A:M""
    ),
    13,
    FALSE
  ),
  0
)
"),1.0)</f>
        <v>1</v>
      </c>
      <c r="AK18" s="49">
        <f t="shared" ref="AK18:AL18" si="85">LEN(C18)</f>
        <v>38</v>
      </c>
      <c r="AL18" s="49">
        <f t="shared" si="85"/>
        <v>55</v>
      </c>
    </row>
    <row r="19">
      <c r="A19" s="1" t="s">
        <v>1331</v>
      </c>
      <c r="B19" s="1" t="str">
        <f>IFERROR(__xludf.DUMMYFUNCTION("IFERROR(
  VLOOKUP(
    A19,
    IMPORTRANGE(
      ""1ZygntHC1J6IxzKbTidmOyf5nUyW4GCLurHCjexrLm_o"",
      ""HTMLキャッシュ!A:F""
    ),
    2,
    FALSE
  ),
  0
)
"),"NW")</f>
        <v>NW</v>
      </c>
      <c r="C19" s="1" t="str">
        <f>IFERROR(__xludf.DUMMYFUNCTION("IFERROR(
  VLOOKUP(
    A19,
    IMPORTRANGE(
      ""1ZygntHC1J6IxzKbTidmOyf5nUyW4GCLurHCjexrLm_o"",
      ""HTMLキャッシュ!A:F""
    ),
    5,
    FALSE
  ),
  0
)
"),"2022年度春期講習開催のお知らせ - 基礎力Stadium「国語のトリガー」")</f>
        <v>2022年度春期講習開催のお知らせ - 基礎力Stadium「国語のトリガー」</v>
      </c>
      <c r="D19" s="1" t="str">
        <f>IFERROR(__xludf.DUMMYFUNCTION("IFERROR(
  VLOOKUP(
    A19,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9" s="32">
        <f>IFERROR(__xludf.DUMMYFUNCTION("IFERROR(
  VLOOKUP(
    A19,
    IMPORTRANGE(
      ""1ZygntHC1J6IxzKbTidmOyf5nUyW4GCLurHCjexrLm_o        "",
      ""HTMLキャッシュ!A:F""
    ),
    3,
    FALSE
  ),
  0
)
"),45598.49056712963)</f>
        <v>45598.49057</v>
      </c>
      <c r="F19" s="49">
        <f>IFERROR(__xludf.DUMMYFUNCTION("IFERROR(
  VLOOKUP(
    A19,
    IMPORTRANGE(
      ""1ZHMy3vVUd_0MrSduXTe1etBb1HNpAlGwQr006ljwMiM"",
      ""GSC最新!A:F""
    ),
    2,
    FALSE
  ),
  0
)
"),0.0)</f>
        <v>0</v>
      </c>
      <c r="G19" s="49">
        <f>IFERROR(__xludf.DUMMYFUNCTION("IFERROR(
  VLOOKUP(
    A19,
    IMPORTRANGE(
      ""1ZHMy3vVUd_0MrSduXTe1etBb1HNpAlGwQr006ljwMiM"",
      ""GSC最新!A:F""
    ),
    3,
    FALSE
  ),
  0
)
"),0.0)</f>
        <v>0</v>
      </c>
      <c r="H19" s="49">
        <f>IFERROR(__xludf.DUMMYFUNCTION("IFERROR(
  VLOOKUP(
    A19,
    IMPORTRANGE(
      ""1ZHMy3vVUd_0MrSduXTe1etBb1HNpAlGwQr006ljwMiM"",
      ""GSC最新!A:F""
    ),
    4,
    FALSE
  ),
  0
)
"),0.0)</f>
        <v>0</v>
      </c>
      <c r="I19" s="49">
        <f>IFERROR(__xludf.DUMMYFUNCTION("IFERROR(
  VLOOKUP(
    A19,
    IMPORTRANGE(
      ""1ZHMy3vVUd_0MrSduXTe1etBb1HNpAlGwQr006ljwMiM"",
      ""GSC最新!A:F""
    ),
    5,
    FALSE
  ),
  0
)
"),0.0)</f>
        <v>0</v>
      </c>
      <c r="J19" s="50" t="str">
        <f t="shared" ref="J19:K19" si="86">IFERROR(F19/H19,"-")</f>
        <v>-</v>
      </c>
      <c r="K19" s="50" t="str">
        <f t="shared" si="86"/>
        <v>-</v>
      </c>
      <c r="L19" s="6">
        <f>IFERROR(__xludf.DUMMYFUNCTION("IFERROR(
  VLOOKUP(
    A19,
    IMPORTRANGE(
      ""1ZHMy3vVUd_0MrSduXTe1etBb1HNpAlGwQr006ljwMiM"",
      ""GSC最新!A:R""
    ),
    7,
    FALSE
  ),
  0
)
"),2.0)</f>
        <v>2</v>
      </c>
      <c r="M19" s="6">
        <f>IFERROR(__xludf.DUMMYFUNCTION("IFERROR(
  VLOOKUP(
    A19,
    IMPORTRANGE(
      ""1ZHMy3vVUd_0MrSduXTe1etBb1HNpAlGwQr006ljwMiM"",
      ""GSC最新!A:R""
    ),
    10,
    FALSE
  ),
  0
)
"),5.0)</f>
        <v>5</v>
      </c>
      <c r="N19" s="6">
        <f>IFERROR(__xludf.DUMMYFUNCTION("IFERROR(
  VLOOKUP(
    A19,
    IMPORTRANGE(
      ""1ZHMy3vVUd_0MrSduXTe1etBb1HNpAlGwQr006ljwMiM"",
      ""GSC最新!A:R""
    ),
    13,
    FALSE
  ),
  0
)
"),1.0)</f>
        <v>1</v>
      </c>
      <c r="O19" s="6">
        <f>IFERROR(__xludf.DUMMYFUNCTION("IFERROR(
  VLOOKUP(
    A19,
    IMPORTRANGE(
      ""1ZHMy3vVUd_0MrSduXTe1etBb1HNpAlGwQr006ljwMiM"",
      ""GSC最新!A:R""
    ),
    16,
    FALSE
  ),
  0
)
"),1.0)</f>
        <v>1</v>
      </c>
      <c r="P19" s="51">
        <f t="shared" ref="P19:Q19" si="87">IFERROR(L19/N19,"-")</f>
        <v>2</v>
      </c>
      <c r="Q19" s="51">
        <f t="shared" si="87"/>
        <v>5</v>
      </c>
      <c r="R19" s="9">
        <f>IFERROR(__xludf.DUMMYFUNCTION("IFERROR(
  VLOOKUP(
    A19,
    IMPORTRANGE(
      ""1ZHMy3vVUd_0MrSduXTe1etBb1HNpAlGwQr006ljwMiM"",
      ""GSC最新!A:R""
    ),
    8,
    FALSE
  ),
  0
)
"),0.0)</f>
        <v>0</v>
      </c>
      <c r="S19" s="9">
        <f>IFERROR(__xludf.DUMMYFUNCTION("IFERROR(
  VLOOKUP(
    A19,
    IMPORTRANGE(
      ""1ZHMy3vVUd_0MrSduXTe1etBb1HNpAlGwQr006ljwMiM"",
      ""GSC最新!A:R""
    ),
    11,
    FALSE
  ),
  0
)
"),0.0)</f>
        <v>0</v>
      </c>
      <c r="T19" s="9">
        <f>IFERROR(__xludf.DUMMYFUNCTION("IFERROR(
  VLOOKUP(
    A19,
    IMPORTRANGE(
      ""1ZHMy3vVUd_0MrSduXTe1etBb1HNpAlGwQr006ljwMiM"",
      ""GSC最新!A:R""
    ),
    14,
    FALSE
  ),
  0
)
"),0.0)</f>
        <v>0</v>
      </c>
      <c r="U19" s="9">
        <f>IFERROR(__xludf.DUMMYFUNCTION("IFERROR(
  VLOOKUP(
    A19,
    IMPORTRANGE(
      ""1ZHMy3vVUd_0MrSduXTe1etBb1HNpAlGwQr006ljwMiM"",
      ""GSC最新!A:R""
    ),
    17,
    FALSE
  ),
  0
)
"),0.0)</f>
        <v>0</v>
      </c>
      <c r="V19" s="9">
        <f t="shared" ref="V19:W19" si="88">IFERROR(R19-T19,"-")</f>
        <v>0</v>
      </c>
      <c r="W19" s="9">
        <f t="shared" si="88"/>
        <v>0</v>
      </c>
      <c r="X19" s="65">
        <f>IFERROR(__xludf.DUMMYFUNCTION("IFERROR(
  VLOOKUP(
    A19,
    IMPORTRANGE(
      ""1ZHMy3vVUd_0MrSduXTe1etBb1HNpAlGwQr006ljwMiM"",
      ""GSC最新!A:R""
    ),
    9,
    FALSE
  ),
  0
)
"),11.0)</f>
        <v>11</v>
      </c>
      <c r="Y19" s="65">
        <f>IFERROR(__xludf.DUMMYFUNCTION("IFERROR(
  VLOOKUP(
    A19,
    IMPORTRANGE(
      ""1ZHMy3vVUd_0MrSduXTe1etBb1HNpAlGwQr006ljwMiM"",
      ""GSC最新!A:R""
    ),
    12,
    FALSE
  ),
  0
)
"),7.6)</f>
        <v>7.6</v>
      </c>
      <c r="Z19" s="65">
        <f>IFERROR(__xludf.DUMMYFUNCTION("IFERROR(
  VLOOKUP(
    A19,
    IMPORTRANGE(
      ""1ZHMy3vVUd_0MrSduXTe1etBb1HNpAlGwQr006ljwMiM"",
      ""GSC最新!A:R""
    ),
    15,
    FALSE
  ),
  0
)
"),24.0)</f>
        <v>24</v>
      </c>
      <c r="AA19" s="65">
        <f>IFERROR(__xludf.DUMMYFUNCTION("IFERROR(
  VLOOKUP(
    A19,
    IMPORTRANGE(
      ""1ZHMy3vVUd_0MrSduXTe1etBb1HNpAlGwQr006ljwMiM"",
      ""GSC最新!A:R""
    ),
    18,
    FALSE
  ),
  0
)
"),24.0)</f>
        <v>24</v>
      </c>
      <c r="AB19" s="65">
        <f t="shared" ref="AB19:AC19" si="89">X19-Z19</f>
        <v>-13</v>
      </c>
      <c r="AC19" s="65">
        <f t="shared" si="89"/>
        <v>-16.4</v>
      </c>
      <c r="AD19" s="53">
        <f>IFERROR(__xludf.DUMMYFUNCTION("IFERROR(
  VLOOKUP(
    A19,
    IMPORTRANGE(
      ""1ZHMy3vVUd_0MrSduXTe1etBb1HNpAlGwQr006ljwMiM"",
      ""GSC最新!A:F""
    ),
    6,
    FALSE
  ),
  0
)
"),46081.0)</f>
        <v>46081</v>
      </c>
      <c r="AE19" s="54">
        <f>IFERROR(__xludf.DUMMYFUNCTION("IFERROR(
  VLOOKUP(
    A19,
    IMPORTRANGE(
      ""1SCYQd7_cobOYqT0r_F0IqD4tE4rYn5y8Eup4PJTH8es"",
      ""Snapshot!A:M""
    ),
    5,
    FALSE
  ),
  ""-""
)
"),0.0)</f>
        <v>0</v>
      </c>
      <c r="AF19" s="54">
        <f>IFERROR(__xludf.DUMMYFUNCTION("IFERROR(
  VLOOKUP(
    A19,
    IMPORTRANGE(
      ""1SCYQd7_cobOYqT0r_F0IqD4tE4rYn5y8Eup4PJTH8es"",
      ""Snapshot!A:M""
    ),
    6,
    FALSE
  ),
  0
)
"),0.0)</f>
        <v>0</v>
      </c>
      <c r="AG19" s="54">
        <f>IFERROR(__xludf.DUMMYFUNCTION("IFERROR(
  VLOOKUP(
    A19,
    IMPORTRANGE(
      ""1SCYQd7_cobOYqT0r_F0IqD4tE4rYn5y8Eup4PJTH8es"",
      ""Snapshot!A:M""
    ),
    7,
    FALSE
  ),
  0
)
"),546.0)</f>
        <v>546</v>
      </c>
      <c r="AH19" s="54">
        <f>IFERROR(__xludf.DUMMYFUNCTION("IFERROR(
  VLOOKUP(
    A19,
    IMPORTRANGE(
      ""1SCYQd7_cobOYqT0r_F0IqD4tE4rYn5y8Eup4PJTH8es"",
      ""Snapshot!A:M""
    ),
    8,
    FALSE
  ),
  0
)
"),1.0)</f>
        <v>1</v>
      </c>
      <c r="AI19" s="54">
        <f>IFERROR(__xludf.DUMMYFUNCTION("IFERROR(
  VLOOKUP(
    A19,
    IMPORTRANGE(
      ""1SCYQd7_cobOYqT0r_F0IqD4tE4rYn5y8Eup4PJTH8es"",
      ""Snapshot!A:M""
    ),
    9,
    FALSE
  ),
  0
)
"),0.0)</f>
        <v>0</v>
      </c>
      <c r="AJ19" s="54">
        <f>IFERROR(__xludf.DUMMYFUNCTION("IFERROR(
  VLOOKUP(
    A19,
    IMPORTRANGE(
      ""1SCYQd7_cobOYqT0r_F0IqD4tE4rYn5y8Eup4PJTH8es"",
      ""Snapshot!A:M""
    ),
    13,
    FALSE
  ),
  0
)
"),1.0)</f>
        <v>1</v>
      </c>
      <c r="AK19" s="49">
        <f t="shared" ref="AK19:AL19" si="90">LEN(C19)</f>
        <v>39</v>
      </c>
      <c r="AL19" s="49">
        <f t="shared" si="90"/>
        <v>55</v>
      </c>
    </row>
    <row r="20">
      <c r="A20" s="1" t="s">
        <v>1332</v>
      </c>
      <c r="B20" s="1" t="str">
        <f>IFERROR(__xludf.DUMMYFUNCTION("IFERROR(
  VLOOKUP(
    A20,
    IMPORTRANGE(
      ""1ZygntHC1J6IxzKbTidmOyf5nUyW4GCLurHCjexrLm_o"",
      ""HTMLキャッシュ!A:F""
    ),
    2,
    FALSE
  ),
  0
)
"),"NW")</f>
        <v>NW</v>
      </c>
      <c r="C20" s="1" t="str">
        <f>IFERROR(__xludf.DUMMYFUNCTION("IFERROR(
  VLOOKUP(
    A20,
    IMPORTRANGE(
      ""1ZygntHC1J6IxzKbTidmOyf5nUyW4GCLurHCjexrLm_o"",
      ""HTMLキャッシュ!A:F""
    ),
    5,
    FALSE
  ),
  0
)
"),"2023年度夏期講習開催のお知らせ - 基礎力Stadium「国語のトリガー」")</f>
        <v>2023年度夏期講習開催のお知らせ - 基礎力Stadium「国語のトリガー」</v>
      </c>
      <c r="D20" s="1" t="str">
        <f>IFERROR(__xludf.DUMMYFUNCTION("IFERROR(
  VLOOKUP(
    A20,
    IMPORTRANGE(
      ""1ZygntHC1J6IxzKbTidmOyf5nUyW4GCLurHCjexrLm_o        "",
      ""HTMLキャッシュ!A:F""
    ),
    6,
    FALSE
  ),
  0
)
"),"夏休みは、受験生にとってはまさに天王山、受験を１年以上先に控えているお子様にとっては、日頃忙しくて取り組むこと")</f>
        <v>夏休みは、受験生にとってはまさに天王山、受験を１年以上先に控えているお子様にとっては、日頃忙しくて取り組むこと</v>
      </c>
      <c r="E20" s="32">
        <f>IFERROR(__xludf.DUMMYFUNCTION("IFERROR(
  VLOOKUP(
    A20,
    IMPORTRANGE(
      ""1ZygntHC1J6IxzKbTidmOyf5nUyW4GCLurHCjexrLm_o        "",
      ""HTMLキャッシュ!A:F""
    ),
    3,
    FALSE
  ),
  0
)
"),45598.49145833333)</f>
        <v>45598.49146</v>
      </c>
      <c r="F20" s="49">
        <f>IFERROR(__xludf.DUMMYFUNCTION("IFERROR(
  VLOOKUP(
    A20,
    IMPORTRANGE(
      ""1ZHMy3vVUd_0MrSduXTe1etBb1HNpAlGwQr006ljwMiM"",
      ""GSC最新!A:F""
    ),
    2,
    FALSE
  ),
  0
)
"),0.0)</f>
        <v>0</v>
      </c>
      <c r="G20" s="49">
        <f>IFERROR(__xludf.DUMMYFUNCTION("IFERROR(
  VLOOKUP(
    A20,
    IMPORTRANGE(
      ""1ZHMy3vVUd_0MrSduXTe1etBb1HNpAlGwQr006ljwMiM"",
      ""GSC最新!A:F""
    ),
    3,
    FALSE
  ),
  0
)
"),0.0)</f>
        <v>0</v>
      </c>
      <c r="H20" s="49">
        <f>IFERROR(__xludf.DUMMYFUNCTION("IFERROR(
  VLOOKUP(
    A20,
    IMPORTRANGE(
      ""1ZHMy3vVUd_0MrSduXTe1etBb1HNpAlGwQr006ljwMiM"",
      ""GSC最新!A:F""
    ),
    4,
    FALSE
  ),
  0
)
"),0.0)</f>
        <v>0</v>
      </c>
      <c r="I20" s="49">
        <f>IFERROR(__xludf.DUMMYFUNCTION("IFERROR(
  VLOOKUP(
    A20,
    IMPORTRANGE(
      ""1ZHMy3vVUd_0MrSduXTe1etBb1HNpAlGwQr006ljwMiM"",
      ""GSC最新!A:F""
    ),
    5,
    FALSE
  ),
  0
)
"),0.0)</f>
        <v>0</v>
      </c>
      <c r="J20" s="50" t="str">
        <f t="shared" ref="J20:K20" si="91">IFERROR(F20/H20,"-")</f>
        <v>-</v>
      </c>
      <c r="K20" s="50" t="str">
        <f t="shared" si="91"/>
        <v>-</v>
      </c>
      <c r="L20" s="6">
        <f>IFERROR(__xludf.DUMMYFUNCTION("IFERROR(
  VLOOKUP(
    A20,
    IMPORTRANGE(
      ""1ZHMy3vVUd_0MrSduXTe1etBb1HNpAlGwQr006ljwMiM"",
      ""GSC最新!A:R""
    ),
    7,
    FALSE
  ),
  0
)
"),0.0)</f>
        <v>0</v>
      </c>
      <c r="M20" s="6">
        <f>IFERROR(__xludf.DUMMYFUNCTION("IFERROR(
  VLOOKUP(
    A20,
    IMPORTRANGE(
      ""1ZHMy3vVUd_0MrSduXTe1etBb1HNpAlGwQr006ljwMiM"",
      ""GSC最新!A:R""
    ),
    10,
    FALSE
  ),
  0
)
"),1.0)</f>
        <v>1</v>
      </c>
      <c r="N20" s="6">
        <f>IFERROR(__xludf.DUMMYFUNCTION("IFERROR(
  VLOOKUP(
    A20,
    IMPORTRANGE(
      ""1ZHMy3vVUd_0MrSduXTe1etBb1HNpAlGwQr006ljwMiM"",
      ""GSC最新!A:R""
    ),
    13,
    FALSE
  ),
  0
)
"),0.0)</f>
        <v>0</v>
      </c>
      <c r="O20" s="6">
        <f>IFERROR(__xludf.DUMMYFUNCTION("IFERROR(
  VLOOKUP(
    A20,
    IMPORTRANGE(
      ""1ZHMy3vVUd_0MrSduXTe1etBb1HNpAlGwQr006ljwMiM"",
      ""GSC最新!A:R""
    ),
    16,
    FALSE
  ),
  0
)
"),0.0)</f>
        <v>0</v>
      </c>
      <c r="P20" s="51" t="str">
        <f t="shared" ref="P20:Q20" si="92">IFERROR(L20/N20,"-")</f>
        <v>-</v>
      </c>
      <c r="Q20" s="51" t="str">
        <f t="shared" si="92"/>
        <v>-</v>
      </c>
      <c r="R20" s="9">
        <f>IFERROR(__xludf.DUMMYFUNCTION("IFERROR(
  VLOOKUP(
    A20,
    IMPORTRANGE(
      ""1ZHMy3vVUd_0MrSduXTe1etBb1HNpAlGwQr006ljwMiM"",
      ""GSC最新!A:R""
    ),
    8,
    FALSE
  ),
  0
)
"),0.0)</f>
        <v>0</v>
      </c>
      <c r="S20" s="9">
        <f>IFERROR(__xludf.DUMMYFUNCTION("IFERROR(
  VLOOKUP(
    A20,
    IMPORTRANGE(
      ""1ZHMy3vVUd_0MrSduXTe1etBb1HNpAlGwQr006ljwMiM"",
      ""GSC最新!A:R""
    ),
    11,
    FALSE
  ),
  0
)
"),0.0)</f>
        <v>0</v>
      </c>
      <c r="T20" s="9">
        <f>IFERROR(__xludf.DUMMYFUNCTION("IFERROR(
  VLOOKUP(
    A20,
    IMPORTRANGE(
      ""1ZHMy3vVUd_0MrSduXTe1etBb1HNpAlGwQr006ljwMiM"",
      ""GSC最新!A:R""
    ),
    14,
    FALSE
  ),
  0
)
"),0.0)</f>
        <v>0</v>
      </c>
      <c r="U20" s="9">
        <f>IFERROR(__xludf.DUMMYFUNCTION("IFERROR(
  VLOOKUP(
    A20,
    IMPORTRANGE(
      ""1ZHMy3vVUd_0MrSduXTe1etBb1HNpAlGwQr006ljwMiM"",
      ""GSC最新!A:R""
    ),
    17,
    FALSE
  ),
  0
)
"),0.0)</f>
        <v>0</v>
      </c>
      <c r="V20" s="9">
        <f t="shared" ref="V20:W20" si="93">IFERROR(R20-T20,"-")</f>
        <v>0</v>
      </c>
      <c r="W20" s="9">
        <f t="shared" si="93"/>
        <v>0</v>
      </c>
      <c r="X20" s="65" t="str">
        <f>IFERROR(__xludf.DUMMYFUNCTION("IFERROR(
  VLOOKUP(
    A20,
    IMPORTRANGE(
      ""1ZHMy3vVUd_0MrSduXTe1etBb1HNpAlGwQr006ljwMiM"",
      ""GSC最新!A:R""
    ),
    9,
    FALSE
  ),
  0
)
"),"")</f>
        <v/>
      </c>
      <c r="Y20" s="65">
        <f>IFERROR(__xludf.DUMMYFUNCTION("IFERROR(
  VLOOKUP(
    A20,
    IMPORTRANGE(
      ""1ZHMy3vVUd_0MrSduXTe1etBb1HNpAlGwQr006ljwMiM"",
      ""GSC最新!A:R""
    ),
    12,
    FALSE
  ),
  0
)
"),5.0)</f>
        <v>5</v>
      </c>
      <c r="Z20" s="65" t="str">
        <f>IFERROR(__xludf.DUMMYFUNCTION("IFERROR(
  VLOOKUP(
    A20,
    IMPORTRANGE(
      ""1ZHMy3vVUd_0MrSduXTe1etBb1HNpAlGwQr006ljwMiM"",
      ""GSC最新!A:R""
    ),
    15,
    FALSE
  ),
  0
)
"),"")</f>
        <v/>
      </c>
      <c r="AA20" s="65" t="str">
        <f>IFERROR(__xludf.DUMMYFUNCTION("IFERROR(
  VLOOKUP(
    A20,
    IMPORTRANGE(
      ""1ZHMy3vVUd_0MrSduXTe1etBb1HNpAlGwQr006ljwMiM"",
      ""GSC最新!A:R""
    ),
    18,
    FALSE
  ),
  0
)
"),"")</f>
        <v/>
      </c>
      <c r="AB20" s="65">
        <f t="shared" ref="AB20:AC20" si="94">X20-Z20</f>
        <v>0</v>
      </c>
      <c r="AC20" s="65">
        <f t="shared" si="94"/>
        <v>5</v>
      </c>
      <c r="AD20" s="53">
        <f>IFERROR(__xludf.DUMMYFUNCTION("IFERROR(
  VLOOKUP(
    A20,
    IMPORTRANGE(
      ""1ZHMy3vVUd_0MrSduXTe1etBb1HNpAlGwQr006ljwMiM"",
      ""GSC最新!A:F""
    ),
    6,
    FALSE
  ),
  0
)
"),46081.0)</f>
        <v>46081</v>
      </c>
      <c r="AE20" s="54">
        <f>IFERROR(__xludf.DUMMYFUNCTION("IFERROR(
  VLOOKUP(
    A20,
    IMPORTRANGE(
      ""1SCYQd7_cobOYqT0r_F0IqD4tE4rYn5y8Eup4PJTH8es"",
      ""Snapshot!A:M""
    ),
    5,
    FALSE
  ),
  ""-""
)
"),0.0)</f>
        <v>0</v>
      </c>
      <c r="AF20" s="54">
        <f>IFERROR(__xludf.DUMMYFUNCTION("IFERROR(
  VLOOKUP(
    A20,
    IMPORTRANGE(
      ""1SCYQd7_cobOYqT0r_F0IqD4tE4rYn5y8Eup4PJTH8es"",
      ""Snapshot!A:M""
    ),
    6,
    FALSE
  ),
  0
)
"),0.0)</f>
        <v>0</v>
      </c>
      <c r="AG20" s="54">
        <f>IFERROR(__xludf.DUMMYFUNCTION("IFERROR(
  VLOOKUP(
    A20,
    IMPORTRANGE(
      ""1SCYQd7_cobOYqT0r_F0IqD4tE4rYn5y8Eup4PJTH8es"",
      ""Snapshot!A:M""
    ),
    7,
    FALSE
  ),
  0
)
"),598.0)</f>
        <v>598</v>
      </c>
      <c r="AH20" s="54">
        <f>IFERROR(__xludf.DUMMYFUNCTION("IFERROR(
  VLOOKUP(
    A20,
    IMPORTRANGE(
      ""1SCYQd7_cobOYqT0r_F0IqD4tE4rYn5y8Eup4PJTH8es"",
      ""Snapshot!A:M""
    ),
    8,
    FALSE
  ),
  0
)
"),0.0)</f>
        <v>0</v>
      </c>
      <c r="AI20" s="54">
        <f>IFERROR(__xludf.DUMMYFUNCTION("IFERROR(
  VLOOKUP(
    A20,
    IMPORTRANGE(
      ""1SCYQd7_cobOYqT0r_F0IqD4tE4rYn5y8Eup4PJTH8es"",
      ""Snapshot!A:M""
    ),
    9,
    FALSE
  ),
  0
)
"),0.0)</f>
        <v>0</v>
      </c>
      <c r="AJ20" s="54">
        <f>IFERROR(__xludf.DUMMYFUNCTION("IFERROR(
  VLOOKUP(
    A20,
    IMPORTRANGE(
      ""1SCYQd7_cobOYqT0r_F0IqD4tE4rYn5y8Eup4PJTH8es"",
      ""Snapshot!A:M""
    ),
    13,
    FALSE
  ),
  0
)
"),1.0)</f>
        <v>1</v>
      </c>
      <c r="AK20" s="49">
        <f t="shared" ref="AK20:AL20" si="95">LEN(C20)</f>
        <v>39</v>
      </c>
      <c r="AL20" s="49">
        <f t="shared" si="95"/>
        <v>55</v>
      </c>
    </row>
    <row r="21">
      <c r="A21" s="3" t="s">
        <v>1333</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"),"国語を得意にするために必要な力とは - 基礎力Stadium「国語のトリガー」")</f>
        <v>国語を得意にするために必要な力とは - 基礎力Stadium「国語のトリガー」</v>
      </c>
      <c r="D21" s="1" t="str">
        <f>IFERROR(__xludf.DUMMYFUNCTION("IFERROR(
  VLOOKUP(
    A21,
    IMPORTRANGE(
      ""1ZygntHC1J6IxzKbTidmOyf5nUyW4GCLurHCjexrLm_o        "",
      ""HTMLキャッシュ!A:F""
    ),
    6,
    FALSE
  ),
  0
)
"),"国語力向上の鍵は集中力。学習環境を整え、短時間集中→休憩を繰り返す効率的な勉強法で成果をアップ。まずは集中力を鍛え、国語の実力を伸ばしましょう！")</f>
        <v>国語力向上の鍵は集中力。学習環境を整え、短時間集中→休憩を繰り返す効率的な勉強法で成果をアップ。まずは集中力を鍛え、国語の実力を伸ばしましょう！</v>
      </c>
      <c r="E21" s="32">
        <f>IFERROR(__xludf.DUMMYFUNCTION("IFERROR(
  VLOOKUP(
    A21,
    IMPORTRANGE(
      ""1ZygntHC1J6IxzKbTidmOyf5nUyW4GCLurHCjexrLm_o        "",
      ""HTMLキャッシュ!A:F""
    ),
    3,
    FALSE
  ),
  0
)
"),45682.61243055556)</f>
        <v>45682.61243</v>
      </c>
      <c r="F21" s="49">
        <f>IFERROR(__xludf.DUMMYFUNCTION("IFERROR(
  VLOOKUP(
    A21,
    IMPORTRANGE(
      ""1ZHMy3vVUd_0MrSduXTe1etBb1HNpAlGwQr006ljwMiM"",
      ""GSC最新!A:F""
    ),
    2,
    FALSE
  ),
  0
)
"),0.0)</f>
        <v>0</v>
      </c>
      <c r="G21" s="49">
        <f>IFERROR(__xludf.DUMMYFUNCTION("IFERROR(
  VLOOKUP(
    A21,
    IMPORTRANGE(
      ""1ZHMy3vVUd_0MrSduXTe1etBb1HNpAlGwQr006ljwMiM"",
      ""GSC最新!A:F""
    ),
    3,
    FALSE
  ),
  0
)
"),0.0)</f>
        <v>0</v>
      </c>
      <c r="H21" s="49">
        <f>IFERROR(__xludf.DUMMYFUNCTION("IFERROR(
  VLOOKUP(
    A21,
    IMPORTRANGE(
      ""1ZHMy3vVUd_0MrSduXTe1etBb1HNpAlGwQr006ljwMiM"",
      ""GSC最新!A:F""
    ),
    4,
    FALSE
  ),
  0
)
"),0.0)</f>
        <v>0</v>
      </c>
      <c r="I21" s="49">
        <f>IFERROR(__xludf.DUMMYFUNCTION("IFERROR(
  VLOOKUP(
    A21,
    IMPORTRANGE(
      ""1ZHMy3vVUd_0MrSduXTe1etBb1HNpAlGwQr006ljwMiM"",
      ""GSC最新!A:F""
    ),
    5,
    FALSE
  ),
  0
)
"),0.0)</f>
        <v>0</v>
      </c>
      <c r="J21" s="50" t="str">
        <f t="shared" ref="J21:K21" si="96">IFERROR(F21/H21,"-")</f>
        <v>-</v>
      </c>
      <c r="K21" s="50" t="str">
        <f t="shared" si="96"/>
        <v>-</v>
      </c>
      <c r="L21" s="6">
        <f>IFERROR(__xludf.DUMMYFUNCTION("IFERROR(
  VLOOKUP(
    A21,
    IMPORTRANGE(
      ""1ZHMy3vVUd_0MrSduXTe1etBb1HNpAlGwQr006ljwMiM"",
      ""GSC最新!A:R""
    ),
    7,
    FALSE
  ),
  0
)
"),0.0)</f>
        <v>0</v>
      </c>
      <c r="M21" s="6">
        <f>IFERROR(__xludf.DUMMYFUNCTION("IFERROR(
  VLOOKUP(
    A21,
    IMPORTRANGE(
      ""1ZHMy3vVUd_0MrSduXTe1etBb1HNpAlGwQr006ljwMiM"",
      ""GSC最新!A:R""
    ),
    10,
    FALSE
  ),
  0
)
"),0.0)</f>
        <v>0</v>
      </c>
      <c r="N21" s="6">
        <f>IFERROR(__xludf.DUMMYFUNCTION("IFERROR(
  VLOOKUP(
    A21,
    IMPORTRANGE(
      ""1ZHMy3vVUd_0MrSduXTe1etBb1HNpAlGwQr006ljwMiM"",
      ""GSC最新!A:R""
    ),
    13,
    FALSE
  ),
  0
)
"),4.0)</f>
        <v>4</v>
      </c>
      <c r="O21" s="6">
        <f>IFERROR(__xludf.DUMMYFUNCTION("IFERROR(
  VLOOKUP(
    A21,
    IMPORTRANGE(
      ""1ZHMy3vVUd_0MrSduXTe1etBb1HNpAlGwQr006ljwMiM"",
      ""GSC最新!A:R""
    ),
    16,
    FALSE
  ),
  0
)
"),17.0)</f>
        <v>17</v>
      </c>
      <c r="P21" s="51">
        <f t="shared" ref="P21:Q21" si="97">IFERROR(L21/N21,"-")</f>
        <v>0</v>
      </c>
      <c r="Q21" s="51">
        <f t="shared" si="97"/>
        <v>0</v>
      </c>
      <c r="R21" s="9">
        <f>IFERROR(__xludf.DUMMYFUNCTION("IFERROR(
  VLOOKUP(
    A21,
    IMPORTRANGE(
      ""1ZHMy3vVUd_0MrSduXTe1etBb1HNpAlGwQr006ljwMiM"",
      ""GSC最新!A:R""
    ),
    8,
    FALSE
  ),
  0
)
"),0.0)</f>
        <v>0</v>
      </c>
      <c r="S21" s="9">
        <f>IFERROR(__xludf.DUMMYFUNCTION("IFERROR(
  VLOOKUP(
    A21,
    IMPORTRANGE(
      ""1ZHMy3vVUd_0MrSduXTe1etBb1HNpAlGwQr006ljwMiM"",
      ""GSC最新!A:R""
    ),
    11,
    FALSE
  ),
  0
)
"),0.0)</f>
        <v>0</v>
      </c>
      <c r="T21" s="9">
        <f>IFERROR(__xludf.DUMMYFUNCTION("IFERROR(
  VLOOKUP(
    A21,
    IMPORTRANGE(
      ""1ZHMy3vVUd_0MrSduXTe1etBb1HNpAlGwQr006ljwMiM"",
      ""GSC最新!A:R""
    ),
    14,
    FALSE
  ),
  0
)
"),0.0)</f>
        <v>0</v>
      </c>
      <c r="U21" s="9">
        <f>IFERROR(__xludf.DUMMYFUNCTION("IFERROR(
  VLOOKUP(
    A21,
    IMPORTRANGE(
      ""1ZHMy3vVUd_0MrSduXTe1etBb1HNpAlGwQr006ljwMiM"",
      ""GSC最新!A:R""
    ),
    17,
    FALSE
  ),
  0
)
"),0.0)</f>
        <v>0</v>
      </c>
      <c r="V21" s="9">
        <f t="shared" ref="V21:W21" si="98">IFERROR(R21-T21,"-")</f>
        <v>0</v>
      </c>
      <c r="W21" s="9">
        <f t="shared" si="98"/>
        <v>0</v>
      </c>
      <c r="X21" s="65" t="str">
        <f>IFERROR(__xludf.DUMMYFUNCTION("IFERROR(
  VLOOKUP(
    A21,
    IMPORTRANGE(
      ""1ZHMy3vVUd_0MrSduXTe1etBb1HNpAlGwQr006ljwMiM"",
      ""GSC最新!A:R""
    ),
    9,
    FALSE
  ),
  0
)
"),"")</f>
        <v/>
      </c>
      <c r="Y21" s="65" t="str">
        <f>IFERROR(__xludf.DUMMYFUNCTION("IFERROR(
  VLOOKUP(
    A21,
    IMPORTRANGE(
      ""1ZHMy3vVUd_0MrSduXTe1etBb1HNpAlGwQr006ljwMiM"",
      ""GSC最新!A:R""
    ),
    12,
    FALSE
  ),
  0
)
"),"")</f>
        <v/>
      </c>
      <c r="Z21" s="65">
        <f>IFERROR(__xludf.DUMMYFUNCTION("IFERROR(
  VLOOKUP(
    A21,
    IMPORTRANGE(
      ""1ZHMy3vVUd_0MrSduXTe1etBb1HNpAlGwQr006ljwMiM"",
      ""GSC最新!A:R""
    ),
    15,
    FALSE
  ),
  0
)
"),41.0)</f>
        <v>41</v>
      </c>
      <c r="AA21" s="65">
        <f>IFERROR(__xludf.DUMMYFUNCTION("IFERROR(
  VLOOKUP(
    A21,
    IMPORTRANGE(
      ""1ZHMy3vVUd_0MrSduXTe1etBb1HNpAlGwQr006ljwMiM"",
      ""GSC最新!A:R""
    ),
    18,
    FALSE
  ),
  0
)
"),29.705882352941178)</f>
        <v>29.70588235</v>
      </c>
      <c r="AB21" s="65">
        <f t="shared" ref="AB21:AC21" si="99">X21-Z21</f>
        <v>-41</v>
      </c>
      <c r="AC21" s="65">
        <f t="shared" si="99"/>
        <v>-29.70588235</v>
      </c>
      <c r="AD21" s="53">
        <f>IFERROR(__xludf.DUMMYFUNCTION("IFERROR(
  VLOOKUP(
    A21,
    IMPORTRANGE(
      ""1ZHMy3vVUd_0MrSduXTe1etBb1HNpAlGwQr006ljwMiM"",
      ""GSC最新!A:F""
    ),
    6,
    FALSE
  ),
  0
)
"),46081.0)</f>
        <v>46081</v>
      </c>
      <c r="AE21" s="54">
        <f>IFERROR(__xludf.DUMMYFUNCTION("IFERROR(
  VLOOKUP(
    A21,
    IMPORTRANGE(
      ""1SCYQd7_cobOYqT0r_F0IqD4tE4rYn5y8Eup4PJTH8es"",
      ""Snapshot!A:M""
    ),
    5,
    FALSE
  ),
  ""-""
)
"),0.0)</f>
        <v>0</v>
      </c>
      <c r="AF21" s="54">
        <f>IFERROR(__xludf.DUMMYFUNCTION("IFERROR(
  VLOOKUP(
    A21,
    IMPORTRANGE(
      ""1SCYQd7_cobOYqT0r_F0IqD4tE4rYn5y8Eup4PJTH8es"",
      ""Snapshot!A:M""
    ),
    6,
    FALSE
  ),
  0
)
"),3.0)</f>
        <v>3</v>
      </c>
      <c r="AG21" s="54">
        <f>IFERROR(__xludf.DUMMYFUNCTION("IFERROR(
  VLOOKUP(
    A21,
    IMPORTRANGE(
      ""1SCYQd7_cobOYqT0r_F0IqD4tE4rYn5y8Eup4PJTH8es"",
      ""Snapshot!A:M""
    ),
    7,
    FALSE
  ),
  0
)
"),1112.0)</f>
        <v>1112</v>
      </c>
      <c r="AH21" s="54">
        <f>IFERROR(__xludf.DUMMYFUNCTION("IFERROR(
  VLOOKUP(
    A21,
    IMPORTRANGE(
      ""1SCYQd7_cobOYqT0r_F0IqD4tE4rYn5y8Eup4PJTH8es"",
      ""Snapshot!A:M""
    ),
    8,
    FALSE
  ),
  0
)
"),0.0)</f>
        <v>0</v>
      </c>
      <c r="AI21" s="54">
        <f>IFERROR(__xludf.DUMMYFUNCTION("IFERROR(
  VLOOKUP(
    A21,
    IMPORTRANGE(
      ""1SCYQd7_cobOYqT0r_F0IqD4tE4rYn5y8Eup4PJTH8es"",
      ""Snapshot!A:M""
    ),
    9,
    FALSE
  ),
  0
)
"),0.0)</f>
        <v>0</v>
      </c>
      <c r="AJ21" s="54">
        <f>IFERROR(__xludf.DUMMYFUNCTION("IFERROR(
  VLOOKUP(
    A21,
    IMPORTRANGE(
      ""1SCYQd7_cobOYqT0r_F0IqD4tE4rYn5y8Eup4PJTH8es"",
      ""Snapshot!A:M""
    ),
    13,
    FALSE
  ),
  0
)
"),1.0)</f>
        <v>1</v>
      </c>
      <c r="AK21" s="49">
        <f t="shared" ref="AK21:AL21" si="100">LEN(C21)</f>
        <v>39</v>
      </c>
      <c r="AL21" s="49">
        <f t="shared" si="100"/>
        <v>72</v>
      </c>
    </row>
    <row r="22">
      <c r="A22" s="3" t="s">
        <v>1334</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"),"中学受験の国語に塾は必要？独学の限界と個別指導で伸ばす方法｜国語のトリガー")</f>
        <v>中学受験の国語に塾は必要？独学の限界と個別指導で伸ばす方法｜国語のトリガー</v>
      </c>
      <c r="D22" s="1" t="str">
        <f>IFERROR(__xludf.DUMMYFUNCTION("IFERROR(
  VLOOKUP(
    A22,
    IMPORTRANGE(
      ""1ZygntHC1J6IxzKbTidmOyf5nUyW4GCLurHCjexrLm_o        "",
      ""HTMLキャッシュ!A:F""
    ),
    6,
    FALSE
  ),
  0
)
"),"中学受験の国語は文章量・設問条件・記述の採点基準が絡み、独学だけでは原因特定と改善が難しいことがあります。過去問でのつまずき分析、語彙・漢字の定着チェック、苦手ジャンルに合わせた教材選定まで、国語塾を活用するメリットと注意点を整理します。")</f>
        <v>中学受験の国語は文章量・設問条件・記述の採点基準が絡み、独学だけでは原因特定と改善が難しいことがあります。過去問でのつまずき分析、語彙・漢字の定着チェック、苦手ジャンルに合わせた教材選定まで、国語塾を活用するメリットと注意点を整理します。</v>
      </c>
      <c r="E22" s="32">
        <f>IFERROR(__xludf.DUMMYFUNCTION("IFERROR(
  VLOOKUP(
    A22,
    IMPORTRANGE(
      ""1ZygntHC1J6IxzKbTidmOyf5nUyW4GCLurHCjexrLm_o        "",
      ""HTMLキャッシュ!A:F""
    ),
    3,
    FALSE
  ),
  0
)
"),46059.77564814815)</f>
        <v>46059.77565</v>
      </c>
      <c r="F22" s="49">
        <f>IFERROR(__xludf.DUMMYFUNCTION("IFERROR(
  VLOOKUP(
    A22,
    IMPORTRANGE(
      ""1ZHMy3vVUd_0MrSduXTe1etBb1HNpAlGwQr006ljwMiM"",
      ""GSC最新!A:F""
    ),
    2,
    FALSE
  ),
  0
)
"),0.0)</f>
        <v>0</v>
      </c>
      <c r="G22" s="49">
        <f>IFERROR(__xludf.DUMMYFUNCTION("IFERROR(
  VLOOKUP(
    A22,
    IMPORTRANGE(
      ""1ZHMy3vVUd_0MrSduXTe1etBb1HNpAlGwQr006ljwMiM"",
      ""GSC最新!A:F""
    ),
    3,
    FALSE
  ),
  0
)
"),0.0)</f>
        <v>0</v>
      </c>
      <c r="H22" s="49">
        <f>IFERROR(__xludf.DUMMYFUNCTION("IFERROR(
  VLOOKUP(
    A22,
    IMPORTRANGE(
      ""1ZHMy3vVUd_0MrSduXTe1etBb1HNpAlGwQr006ljwMiM"",
      ""GSC最新!A:F""
    ),
    4,
    FALSE
  ),
  0
)
"),0.0)</f>
        <v>0</v>
      </c>
      <c r="I22" s="49">
        <f>IFERROR(__xludf.DUMMYFUNCTION("IFERROR(
  VLOOKUP(
    A22,
    IMPORTRANGE(
      ""1ZHMy3vVUd_0MrSduXTe1etBb1HNpAlGwQr006ljwMiM"",
      ""GSC最新!A:F""
    ),
    5,
    FALSE
  ),
  0
)
"),0.0)</f>
        <v>0</v>
      </c>
      <c r="J22" s="50" t="str">
        <f t="shared" ref="J22:K22" si="101">IFERROR(F22/H22,"-")</f>
        <v>-</v>
      </c>
      <c r="K22" s="50" t="str">
        <f t="shared" si="101"/>
        <v>-</v>
      </c>
      <c r="L22" s="6">
        <f>IFERROR(__xludf.DUMMYFUNCTION("IFERROR(
  VLOOKUP(
    A22,
    IMPORTRANGE(
      ""1ZHMy3vVUd_0MrSduXTe1etBb1HNpAlGwQr006ljwMiM"",
      ""GSC最新!A:R""
    ),
    7,
    FALSE
  ),
  0
)
"),0.0)</f>
        <v>0</v>
      </c>
      <c r="M22" s="6">
        <f>IFERROR(__xludf.DUMMYFUNCTION("IFERROR(
  VLOOKUP(
    A22,
    IMPORTRANGE(
      ""1ZHMy3vVUd_0MrSduXTe1etBb1HNpAlGwQr006ljwMiM"",
      ""GSC最新!A:R""
    ),
    10,
    FALSE
  ),
  0
)
"),0.0)</f>
        <v>0</v>
      </c>
      <c r="N22" s="6">
        <f>IFERROR(__xludf.DUMMYFUNCTION("IFERROR(
  VLOOKUP(
    A22,
    IMPORTRANGE(
      ""1ZHMy3vVUd_0MrSduXTe1etBb1HNpAlGwQr006ljwMiM"",
      ""GSC最新!A:R""
    ),
    13,
    FALSE
  ),
  0
)
"),0.0)</f>
        <v>0</v>
      </c>
      <c r="O22" s="6">
        <f>IFERROR(__xludf.DUMMYFUNCTION("IFERROR(
  VLOOKUP(
    A22,
    IMPORTRANGE(
      ""1ZHMy3vVUd_0MrSduXTe1etBb1HNpAlGwQr006ljwMiM"",
      ""GSC最新!A:R""
    ),
    16,
    FALSE
  ),
  0
)
"),0.0)</f>
        <v>0</v>
      </c>
      <c r="P22" s="51" t="str">
        <f t="shared" ref="P22:Q22" si="102">IFERROR(L22/N22,"-")</f>
        <v>-</v>
      </c>
      <c r="Q22" s="51" t="str">
        <f t="shared" si="102"/>
        <v>-</v>
      </c>
      <c r="R22" s="9">
        <f>IFERROR(__xludf.DUMMYFUNCTION("IFERROR(
  VLOOKUP(
    A22,
    IMPORTRANGE(
      ""1ZHMy3vVUd_0MrSduXTe1etBb1HNpAlGwQr006ljwMiM"",
      ""GSC最新!A:R""
    ),
    8,
    FALSE
  ),
  0
)
"),0.0)</f>
        <v>0</v>
      </c>
      <c r="S22" s="9">
        <f>IFERROR(__xludf.DUMMYFUNCTION("IFERROR(
  VLOOKUP(
    A22,
    IMPORTRANGE(
      ""1ZHMy3vVUd_0MrSduXTe1etBb1HNpAlGwQr006ljwMiM"",
      ""GSC最新!A:R""
    ),
    11,
    FALSE
  ),
  0
)
"),0.0)</f>
        <v>0</v>
      </c>
      <c r="T22" s="9">
        <f>IFERROR(__xludf.DUMMYFUNCTION("IFERROR(
  VLOOKUP(
    A22,
    IMPORTRANGE(
      ""1ZHMy3vVUd_0MrSduXTe1etBb1HNpAlGwQr006ljwMiM"",
      ""GSC最新!A:R""
    ),
    14,
    FALSE
  ),
  0
)
"),0.0)</f>
        <v>0</v>
      </c>
      <c r="U22" s="9">
        <f>IFERROR(__xludf.DUMMYFUNCTION("IFERROR(
  VLOOKUP(
    A22,
    IMPORTRANGE(
      ""1ZHMy3vVUd_0MrSduXTe1etBb1HNpAlGwQr006ljwMiM"",
      ""GSC最新!A:R""
    ),
    17,
    FALSE
  ),
  0
)
"),0.0)</f>
        <v>0</v>
      </c>
      <c r="V22" s="9">
        <f t="shared" ref="V22:W22" si="103">IFERROR(R22-T22,"-")</f>
        <v>0</v>
      </c>
      <c r="W22" s="9">
        <f t="shared" si="103"/>
        <v>0</v>
      </c>
      <c r="X22" s="65" t="str">
        <f>IFERROR(__xludf.DUMMYFUNCTION("IFERROR(
  VLOOKUP(
    A22,
    IMPORTRANGE(
      ""1ZHMy3vVUd_0MrSduXTe1etBb1HNpAlGwQr006ljwMiM"",
      ""GSC最新!A:R""
    ),
    9,
    FALSE
  ),
  0
)
"),"")</f>
        <v/>
      </c>
      <c r="Y22" s="65" t="str">
        <f>IFERROR(__xludf.DUMMYFUNCTION("IFERROR(
  VLOOKUP(
    A22,
    IMPORTRANGE(
      ""1ZHMy3vVUd_0MrSduXTe1etBb1HNpAlGwQr006ljwMiM"",
      ""GSC最新!A:R""
    ),
    12,
    FALSE
  ),
  0
)
"),"")</f>
        <v/>
      </c>
      <c r="Z22" s="65" t="str">
        <f>IFERROR(__xludf.DUMMYFUNCTION("IFERROR(
  VLOOKUP(
    A22,
    IMPORTRANGE(
      ""1ZHMy3vVUd_0MrSduXTe1etBb1HNpAlGwQr006ljwMiM"",
      ""GSC最新!A:R""
    ),
    15,
    FALSE
  ),
  0
)
"),"")</f>
        <v/>
      </c>
      <c r="AA22" s="65" t="str">
        <f>IFERROR(__xludf.DUMMYFUNCTION("IFERROR(
  VLOOKUP(
    A22,
    IMPORTRANGE(
      ""1ZHMy3vVUd_0MrSduXTe1etBb1HNpAlGwQr006ljwMiM"",
      ""GSC最新!A:R""
    ),
    18,
    FALSE
  ),
  0
)
"),"")</f>
        <v/>
      </c>
      <c r="AB22" s="65">
        <f t="shared" ref="AB22:AC22" si="104">X22-Z22</f>
        <v>0</v>
      </c>
      <c r="AC22" s="65">
        <f t="shared" si="104"/>
        <v>0</v>
      </c>
      <c r="AD22" s="53">
        <f>IFERROR(__xludf.DUMMYFUNCTION("IFERROR(
  VLOOKUP(
    A22,
    IMPORTRANGE(
      ""1ZHMy3vVUd_0MrSduXTe1etBb1HNpAlGwQr006ljwMiM"",
      ""GSC最新!A:F""
    ),
    6,
    FALSE
  ),
  0
)
"),46081.0)</f>
        <v>46081</v>
      </c>
      <c r="AE22" s="54">
        <f>IFERROR(__xludf.DUMMYFUNCTION("IFERROR(
  VLOOKUP(
    A22,
    IMPORTRANGE(
      ""1SCYQd7_cobOYqT0r_F0IqD4tE4rYn5y8Eup4PJTH8es"",
      ""Snapshot!A:M""
    ),
    5,
    FALSE
  ),
  ""-""
)
"),6.0)</f>
        <v>6</v>
      </c>
      <c r="AF22" s="54">
        <f>IFERROR(__xludf.DUMMYFUNCTION("IFERROR(
  VLOOKUP(
    A22,
    IMPORTRANGE(
      ""1SCYQd7_cobOYqT0r_F0IqD4tE4rYn5y8Eup4PJTH8es"",
      ""Snapshot!A:M""
    ),
    6,
    FALSE
  ),
  0
)
"),5.0)</f>
        <v>5</v>
      </c>
      <c r="AG22" s="54">
        <f>IFERROR(__xludf.DUMMYFUNCTION("IFERROR(
  VLOOKUP(
    A22,
    IMPORTRANGE(
      ""1SCYQd7_cobOYqT0r_F0IqD4tE4rYn5y8Eup4PJTH8es"",
      ""Snapshot!A:M""
    ),
    7,
    FALSE
  ),
  0
)
"),2054.0)</f>
        <v>2054</v>
      </c>
      <c r="AH22" s="54">
        <f>IFERROR(__xludf.DUMMYFUNCTION("IFERROR(
  VLOOKUP(
    A22,
    IMPORTRANGE(
      ""1SCYQd7_cobOYqT0r_F0IqD4tE4rYn5y8Eup4PJTH8es"",
      ""Snapshot!A:M""
    ),
    8,
    FALSE
  ),
  0
)
"),0.0)</f>
        <v>0</v>
      </c>
      <c r="AI22" s="54">
        <f>IFERROR(__xludf.DUMMYFUNCTION("IFERROR(
  VLOOKUP(
    A22,
    IMPORTRANGE(
      ""1SCYQd7_cobOYqT0r_F0IqD4tE4rYn5y8Eup4PJTH8es"",
      ""Snapshot!A:M""
    ),
    9,
    FALSE
  ),
  0
)
"),2.0)</f>
        <v>2</v>
      </c>
      <c r="AJ22" s="54">
        <f>IFERROR(__xludf.DUMMYFUNCTION("IFERROR(
  VLOOKUP(
    A22,
    IMPORTRANGE(
      ""1SCYQd7_cobOYqT0r_F0IqD4tE4rYn5y8Eup4PJTH8es"",
      ""Snapshot!A:M""
    ),
    13,
    FALSE
  ),
  0
)
"),1.0)</f>
        <v>1</v>
      </c>
      <c r="AK22" s="49">
        <f t="shared" ref="AK22:AL22" si="105">LEN(C22)</f>
        <v>37</v>
      </c>
      <c r="AL22" s="49">
        <f t="shared" si="105"/>
        <v>119</v>
      </c>
    </row>
    <row r="23">
      <c r="A23" s="3" t="s">
        <v>1335</v>
      </c>
      <c r="B23" s="1" t="str">
        <f>IFERROR(__xludf.DUMMYFUNCTION("IFERROR(
  VLOOKUP(
    A23,
    IMPORTRANGE(
      ""1ZygntHC1J6IxzKbTidmOyf5nUyW4GCLurHCjexrLm_o"",
      ""HTMLキャッシュ!A:F""
    ),
    2,
    FALSE
  ),
  0
)
"),"MC")</f>
        <v>MC</v>
      </c>
      <c r="C23" s="1" t="str">
        <f>IFERROR(__xludf.DUMMYFUNCTION("IFERROR(
  VLOOKUP(
    A23,
    IMPORTRANGE(
      ""1ZygntHC1J6IxzKbTidmOyf5nUyW4GCLurHCjexrLm_o"",
      ""HTMLキャッシュ!A:F""
    ),
    5,
    FALSE
  ),
  0
)
"),"中学受験 国語の勉強法｜語彙・文法・時間配分・記述を2週間で整える｜国語のトリガー")</f>
        <v>中学受験 国語の勉強法｜語彙・文法・時間配分・記述を2週間で整える｜国語のトリガー</v>
      </c>
      <c r="D23" s="1" t="str">
        <f>IFERROR(__xludf.DUMMYFUNCTION("IFERROR(
  VLOOKUP(
    A23,
    IMPORTRANGE(
      ""1ZygntHC1J6IxzKbTidmOyf5nUyW4GCLurHCjexrLm_o        "",
      ""HTMLキャッシュ!A:F""
    ),
    6,
    FALSE
  ),
  0
)
"),"国語は「センス」ではなく、手順化して回せば点につながります。中学受験生・保護者向けに、語彙（調べる→一言→例文→翌日復習）、文法（主語述語・指示語・接続語）、工程別の時間配分、ミス分類、記述の型まで整理。1週間モデル、FAQ・チェック表つき。")</f>
        <v>国語は「センス」ではなく、手順化して回せば点につながります。中学受験生・保護者向けに、語彙（調べる→一言→例文→翌日復習）、文法（主語述語・指示語・接続語）、工程別の時間配分、ミス分類、記述の型まで整理。1週間モデル、FAQ・チェック表つき。</v>
      </c>
      <c r="E23" s="32">
        <f>IFERROR(__xludf.DUMMYFUNCTION("IFERROR(
  VLOOKUP(
    A23,
    IMPORTRANGE(
      ""1ZygntHC1J6IxzKbTidmOyf5nUyW4GCLurHCjexrLm_o        "",
      ""HTMLキャッシュ!A:F""
    ),
    3,
    FALSE
  ),
  0
)
"),46059.683275462965)</f>
        <v>46059.68328</v>
      </c>
      <c r="F23" s="49">
        <f>IFERROR(__xludf.DUMMYFUNCTION("IFERROR(
  VLOOKUP(
    A23,
    IMPORTRANGE(
      ""1ZHMy3vVUd_0MrSduXTe1etBb1HNpAlGwQr006ljwMiM"",
      ""GSC最新!A:F""
    ),
    2,
    FALSE
  ),
  0
)
"),0.0)</f>
        <v>0</v>
      </c>
      <c r="G23" s="49">
        <f>IFERROR(__xludf.DUMMYFUNCTION("IFERROR(
  VLOOKUP(
    A23,
    IMPORTRANGE(
      ""1ZHMy3vVUd_0MrSduXTe1etBb1HNpAlGwQr006ljwMiM"",
      ""GSC最新!A:F""
    ),
    3,
    FALSE
  ),
  0
)
"),0.0)</f>
        <v>0</v>
      </c>
      <c r="H23" s="49">
        <f>IFERROR(__xludf.DUMMYFUNCTION("IFERROR(
  VLOOKUP(
    A23,
    IMPORTRANGE(
      ""1ZHMy3vVUd_0MrSduXTe1etBb1HNpAlGwQr006ljwMiM"",
      ""GSC最新!A:F""
    ),
    4,
    FALSE
  ),
  0
)
"),0.0)</f>
        <v>0</v>
      </c>
      <c r="I23" s="49">
        <f>IFERROR(__xludf.DUMMYFUNCTION("IFERROR(
  VLOOKUP(
    A23,
    IMPORTRANGE(
      ""1ZHMy3vVUd_0MrSduXTe1etBb1HNpAlGwQr006ljwMiM"",
      ""GSC最新!A:F""
    ),
    5,
    FALSE
  ),
  0
)
"),0.0)</f>
        <v>0</v>
      </c>
      <c r="J23" s="50" t="str">
        <f t="shared" ref="J23:K23" si="106">IFERROR(F23/H23,"-")</f>
        <v>-</v>
      </c>
      <c r="K23" s="50" t="str">
        <f t="shared" si="106"/>
        <v>-</v>
      </c>
      <c r="L23" s="6">
        <f>IFERROR(__xludf.DUMMYFUNCTION("IFERROR(
  VLOOKUP(
    A23,
    IMPORTRANGE(
      ""1ZHMy3vVUd_0MrSduXTe1etBb1HNpAlGwQr006ljwMiM"",
      ""GSC最新!A:R""
    ),
    7,
    FALSE
  ),
  0
)
"),0.0)</f>
        <v>0</v>
      </c>
      <c r="M23" s="6">
        <f>IFERROR(__xludf.DUMMYFUNCTION("IFERROR(
  VLOOKUP(
    A23,
    IMPORTRANGE(
      ""1ZHMy3vVUd_0MrSduXTe1etBb1HNpAlGwQr006ljwMiM"",
      ""GSC最新!A:R""
    ),
    10,
    FALSE
  ),
  0
)
"),0.0)</f>
        <v>0</v>
      </c>
      <c r="N23" s="6">
        <f>IFERROR(__xludf.DUMMYFUNCTION("IFERROR(
  VLOOKUP(
    A23,
    IMPORTRANGE(
      ""1ZHMy3vVUd_0MrSduXTe1etBb1HNpAlGwQr006ljwMiM"",
      ""GSC最新!A:R""
    ),
    13,
    FALSE
  ),
  0
)
"),1.0)</f>
        <v>1</v>
      </c>
      <c r="O23" s="6">
        <f>IFERROR(__xludf.DUMMYFUNCTION("IFERROR(
  VLOOKUP(
    A23,
    IMPORTRANGE(
      ""1ZHMy3vVUd_0MrSduXTe1etBb1HNpAlGwQr006ljwMiM"",
      ""GSC最新!A:R""
    ),
    16,
    FALSE
  ),
  0
)
"),1.0)</f>
        <v>1</v>
      </c>
      <c r="P23" s="51">
        <f t="shared" ref="P23:Q23" si="107">IFERROR(L23/N23,"-")</f>
        <v>0</v>
      </c>
      <c r="Q23" s="51">
        <f t="shared" si="107"/>
        <v>0</v>
      </c>
      <c r="R23" s="9">
        <f>IFERROR(__xludf.DUMMYFUNCTION("IFERROR(
  VLOOKUP(
    A23,
    IMPORTRANGE(
      ""1ZHMy3vVUd_0MrSduXTe1etBb1HNpAlGwQr006ljwMiM"",
      ""GSC最新!A:R""
    ),
    8,
    FALSE
  ),
  0
)
"),0.0)</f>
        <v>0</v>
      </c>
      <c r="S23" s="9">
        <f>IFERROR(__xludf.DUMMYFUNCTION("IFERROR(
  VLOOKUP(
    A23,
    IMPORTRANGE(
      ""1ZHMy3vVUd_0MrSduXTe1etBb1HNpAlGwQr006ljwMiM"",
      ""GSC最新!A:R""
    ),
    11,
    FALSE
  ),
  0
)
"),0.0)</f>
        <v>0</v>
      </c>
      <c r="T23" s="9">
        <f>IFERROR(__xludf.DUMMYFUNCTION("IFERROR(
  VLOOKUP(
    A23,
    IMPORTRANGE(
      ""1ZHMy3vVUd_0MrSduXTe1etBb1HNpAlGwQr006ljwMiM"",
      ""GSC最新!A:R""
    ),
    14,
    FALSE
  ),
  0
)
"),0.0)</f>
        <v>0</v>
      </c>
      <c r="U23" s="9">
        <f>IFERROR(__xludf.DUMMYFUNCTION("IFERROR(
  VLOOKUP(
    A23,
    IMPORTRANGE(
      ""1ZHMy3vVUd_0MrSduXTe1etBb1HNpAlGwQr006ljwMiM"",
      ""GSC最新!A:R""
    ),
    17,
    FALSE
  ),
  0
)
"),0.0)</f>
        <v>0</v>
      </c>
      <c r="V23" s="9">
        <f t="shared" ref="V23:W23" si="108">IFERROR(R23-T23,"-")</f>
        <v>0</v>
      </c>
      <c r="W23" s="9">
        <f t="shared" si="108"/>
        <v>0</v>
      </c>
      <c r="X23" s="65" t="str">
        <f>IFERROR(__xludf.DUMMYFUNCTION("IFERROR(
  VLOOKUP(
    A23,
    IMPORTRANGE(
      ""1ZHMy3vVUd_0MrSduXTe1etBb1HNpAlGwQr006ljwMiM"",
      ""GSC最新!A:R""
    ),
    9,
    FALSE
  ),
  0
)
"),"")</f>
        <v/>
      </c>
      <c r="Y23" s="65" t="str">
        <f>IFERROR(__xludf.DUMMYFUNCTION("IFERROR(
  VLOOKUP(
    A23,
    IMPORTRANGE(
      ""1ZHMy3vVUd_0MrSduXTe1etBb1HNpAlGwQr006ljwMiM"",
      ""GSC最新!A:R""
    ),
    12,
    FALSE
  ),
  0
)
"),"")</f>
        <v/>
      </c>
      <c r="Z23" s="65">
        <f>IFERROR(__xludf.DUMMYFUNCTION("IFERROR(
  VLOOKUP(
    A23,
    IMPORTRANGE(
      ""1ZHMy3vVUd_0MrSduXTe1etBb1HNpAlGwQr006ljwMiM"",
      ""GSC最新!A:R""
    ),
    15,
    FALSE
  ),
  0
)
"),10.0)</f>
        <v>10</v>
      </c>
      <c r="AA23" s="65">
        <f>IFERROR(__xludf.DUMMYFUNCTION("IFERROR(
  VLOOKUP(
    A23,
    IMPORTRANGE(
      ""1ZHMy3vVUd_0MrSduXTe1etBb1HNpAlGwQr006ljwMiM"",
      ""GSC最新!A:R""
    ),
    18,
    FALSE
  ),
  0
)
"),10.0)</f>
        <v>10</v>
      </c>
      <c r="AB23" s="65">
        <f t="shared" ref="AB23:AC23" si="109">X23-Z23</f>
        <v>-10</v>
      </c>
      <c r="AC23" s="65">
        <f t="shared" si="109"/>
        <v>-10</v>
      </c>
      <c r="AD23" s="53">
        <f>IFERROR(__xludf.DUMMYFUNCTION("IFERROR(
  VLOOKUP(
    A23,
    IMPORTRANGE(
      ""1ZHMy3vVUd_0MrSduXTe1etBb1HNpAlGwQr006ljwMiM"",
      ""GSC最新!A:F""
    ),
    6,
    FALSE
  ),
  0
)
"),46081.0)</f>
        <v>46081</v>
      </c>
      <c r="AE23" s="54">
        <f>IFERROR(__xludf.DUMMYFUNCTION("IFERROR(
  VLOOKUP(
    A23,
    IMPORTRANGE(
      ""1SCYQd7_cobOYqT0r_F0IqD4tE4rYn5y8Eup4PJTH8es"",
      ""Snapshot!A:M""
    ),
    5,
    FALSE
  ),
  ""-""
)
"),9.0)</f>
        <v>9</v>
      </c>
      <c r="AF23" s="54">
        <f>IFERROR(__xludf.DUMMYFUNCTION("IFERROR(
  VLOOKUP(
    A23,
    IMPORTRANGE(
      ""1SCYQd7_cobOYqT0r_F0IqD4tE4rYn5y8Eup4PJTH8es"",
      ""Snapshot!A:M""
    ),
    6,
    FALSE
  ),
  0
)
"),9.0)</f>
        <v>9</v>
      </c>
      <c r="AG23" s="54">
        <f>IFERROR(__xludf.DUMMYFUNCTION("IFERROR(
  VLOOKUP(
    A23,
    IMPORTRANGE(
      ""1SCYQd7_cobOYqT0r_F0IqD4tE4rYn5y8Eup4PJTH8es"",
      ""Snapshot!A:M""
    ),
    7,
    FALSE
  ),
  0
)
"),3355.0)</f>
        <v>3355</v>
      </c>
      <c r="AH23" s="54">
        <f>IFERROR(__xludf.DUMMYFUNCTION("IFERROR(
  VLOOKUP(
    A23,
    IMPORTRANGE(
      ""1SCYQd7_cobOYqT0r_F0IqD4tE4rYn5y8Eup4PJTH8es"",
      ""Snapshot!A:M""
    ),
    8,
    FALSE
  ),
  0
)
"),0.0)</f>
        <v>0</v>
      </c>
      <c r="AI23" s="54">
        <f>IFERROR(__xludf.DUMMYFUNCTION("IFERROR(
  VLOOKUP(
    A23,
    IMPORTRANGE(
      ""1SCYQd7_cobOYqT0r_F0IqD4tE4rYn5y8Eup4PJTH8es"",
      ""Snapshot!A:M""
    ),
    9,
    FALSE
  ),
  0
)
"),1.0)</f>
        <v>1</v>
      </c>
      <c r="AJ23" s="54">
        <f>IFERROR(__xludf.DUMMYFUNCTION("IFERROR(
  VLOOKUP(
    A23,
    IMPORTRANGE(
      ""1SCYQd7_cobOYqT0r_F0IqD4tE4rYn5y8Eup4PJTH8es"",
      ""Snapshot!A:M""
    ),
    13,
    FALSE
  ),
  0
)
"),1.0)</f>
        <v>1</v>
      </c>
      <c r="AK23" s="49">
        <f t="shared" ref="AK23:AL23" si="110">LEN(C23)</f>
        <v>41</v>
      </c>
      <c r="AL23" s="49">
        <f t="shared" si="110"/>
        <v>121</v>
      </c>
    </row>
    <row r="24">
      <c r="A24" s="1" t="s">
        <v>1336</v>
      </c>
      <c r="B24" s="1" t="str">
        <f>IFERROR(__xludf.DUMMYFUNCTION("IFERROR(
  VLOOKUP(
    A24,
    IMPORTRANGE(
      ""1ZygntHC1J6IxzKbTidmOyf5nUyW4GCLurHCjexrLm_o"",
      ""HTMLキャッシュ!A:F""
    ),
    2,
    FALSE
  ),
  0
)
"),"NW")</f>
        <v>NW</v>
      </c>
      <c r="C24" s="1" t="str">
        <f>IFERROR(__xludf.DUMMYFUNCTION("IFERROR(
  VLOOKUP(
    A24,
    IMPORTRANGE(
      ""1ZygntHC1J6IxzKbTidmOyf5nUyW4GCLurHCjexrLm_o"",
      ""HTMLキャッシュ!A:F""
    ),
    5,
    FALSE
  ),
  0
)
"),"2022年度生徒募集のお知らせ【個別】 - 基礎力Stadium「国語のトリガー」")</f>
        <v>2022年度生徒募集のお知らせ【個別】 - 基礎力Stadium「国語のトリガー」</v>
      </c>
      <c r="D24" s="1" t="str">
        <f>IFERROR(__xludf.DUMMYFUNCTION("IFERROR(
  VLOOKUP(
    A24,
    IMPORTRANGE(
      ""1ZygntHC1J6IxzKbTidmOyf5nUyW4GCLurHCjexrLm_o        "",
      ""HTMLキャッシュ!A:F""
    ),
    6,
    FALSE
  ),
  0
)
"),"本日より、2022年度、「完全１対１」の個別指導の生徒募集を開始致します。 詳細については、下記をご覧下さいま")</f>
        <v>本日より、2022年度、「完全１対１」の個別指導の生徒募集を開始致します。 詳細については、下記をご覧下さいま</v>
      </c>
      <c r="E24" s="32">
        <f>IFERROR(__xludf.DUMMYFUNCTION("IFERROR(
  VLOOKUP(
    A24,
    IMPORTRANGE(
      ""1ZygntHC1J6IxzKbTidmOyf5nUyW4GCLurHCjexrLm_o        "",
      ""HTMLキャッシュ!A:F""
    ),
    3,
    FALSE
  ),
  0
)
"),45598.50951388889)</f>
        <v>45598.50951</v>
      </c>
      <c r="F24" s="49">
        <f>IFERROR(__xludf.DUMMYFUNCTION("IFERROR(
  VLOOKUP(
    A24,
    IMPORTRANGE(
      ""1ZHMy3vVUd_0MrSduXTe1etBb1HNpAlGwQr006ljwMiM"",
      ""GSC最新!A:F""
    ),
    2,
    FALSE
  ),
  0
)
"),0.0)</f>
        <v>0</v>
      </c>
      <c r="G24" s="49">
        <f>IFERROR(__xludf.DUMMYFUNCTION("IFERROR(
  VLOOKUP(
    A24,
    IMPORTRANGE(
      ""1ZHMy3vVUd_0MrSduXTe1etBb1HNpAlGwQr006ljwMiM"",
      ""GSC最新!A:F""
    ),
    3,
    FALSE
  ),
  0
)
"),0.0)</f>
        <v>0</v>
      </c>
      <c r="H24" s="49">
        <f>IFERROR(__xludf.DUMMYFUNCTION("IFERROR(
  VLOOKUP(
    A24,
    IMPORTRANGE(
      ""1ZHMy3vVUd_0MrSduXTe1etBb1HNpAlGwQr006ljwMiM"",
      ""GSC最新!A:F""
    ),
    4,
    FALSE
  ),
  0
)
"),0.0)</f>
        <v>0</v>
      </c>
      <c r="I24" s="49">
        <f>IFERROR(__xludf.DUMMYFUNCTION("IFERROR(
  VLOOKUP(
    A24,
    IMPORTRANGE(
      ""1ZHMy3vVUd_0MrSduXTe1etBb1HNpAlGwQr006ljwMiM"",
      ""GSC最新!A:F""
    ),
    5,
    FALSE
  ),
  0
)
"),0.0)</f>
        <v>0</v>
      </c>
      <c r="J24" s="50" t="str">
        <f t="shared" ref="J24:K24" si="111">IFERROR(F24/H24,"-")</f>
        <v>-</v>
      </c>
      <c r="K24" s="50" t="str">
        <f t="shared" si="111"/>
        <v>-</v>
      </c>
      <c r="L24" s="6">
        <f>IFERROR(__xludf.DUMMYFUNCTION("IFERROR(
  VLOOKUP(
    A24,
    IMPORTRANGE(
      ""1ZHMy3vVUd_0MrSduXTe1etBb1HNpAlGwQr006ljwMiM"",
      ""GSC最新!A:R""
    ),
    7,
    FALSE
  ),
  0
)
"),0.0)</f>
        <v>0</v>
      </c>
      <c r="M24" s="6">
        <f>IFERROR(__xludf.DUMMYFUNCTION("IFERROR(
  VLOOKUP(
    A24,
    IMPORTRANGE(
      ""1ZHMy3vVUd_0MrSduXTe1etBb1HNpAlGwQr006ljwMiM"",
      ""GSC最新!A:R""
    ),
    10,
    FALSE
  ),
  0
)
"),0.0)</f>
        <v>0</v>
      </c>
      <c r="N24" s="6">
        <f>IFERROR(__xludf.DUMMYFUNCTION("IFERROR(
  VLOOKUP(
    A24,
    IMPORTRANGE(
      ""1ZHMy3vVUd_0MrSduXTe1etBb1HNpAlGwQr006ljwMiM"",
      ""GSC最新!A:R""
    ),
    13,
    FALSE
  ),
  0
)
"),0.0)</f>
        <v>0</v>
      </c>
      <c r="O24" s="6">
        <f>IFERROR(__xludf.DUMMYFUNCTION("IFERROR(
  VLOOKUP(
    A24,
    IMPORTRANGE(
      ""1ZHMy3vVUd_0MrSduXTe1etBb1HNpAlGwQr006ljwMiM"",
      ""GSC最新!A:R""
    ),
    16,
    FALSE
  ),
  0
)
"),0.0)</f>
        <v>0</v>
      </c>
      <c r="P24" s="51" t="str">
        <f t="shared" ref="P24:Q24" si="112">IFERROR(L24/N24,"-")</f>
        <v>-</v>
      </c>
      <c r="Q24" s="51" t="str">
        <f t="shared" si="112"/>
        <v>-</v>
      </c>
      <c r="R24" s="9">
        <f>IFERROR(__xludf.DUMMYFUNCTION("IFERROR(
  VLOOKUP(
    A24,
    IMPORTRANGE(
      ""1ZHMy3vVUd_0MrSduXTe1etBb1HNpAlGwQr006ljwMiM"",
      ""GSC最新!A:R""
    ),
    8,
    FALSE
  ),
  0
)
"),0.0)</f>
        <v>0</v>
      </c>
      <c r="S24" s="9">
        <f>IFERROR(__xludf.DUMMYFUNCTION("IFERROR(
  VLOOKUP(
    A24,
    IMPORTRANGE(
      ""1ZHMy3vVUd_0MrSduXTe1etBb1HNpAlGwQr006ljwMiM"",
      ""GSC最新!A:R""
    ),
    11,
    FALSE
  ),
  0
)
"),0.0)</f>
        <v>0</v>
      </c>
      <c r="T24" s="9">
        <f>IFERROR(__xludf.DUMMYFUNCTION("IFERROR(
  VLOOKUP(
    A24,
    IMPORTRANGE(
      ""1ZHMy3vVUd_0MrSduXTe1etBb1HNpAlGwQr006ljwMiM"",
      ""GSC最新!A:R""
    ),
    14,
    FALSE
  ),
  0
)
"),0.0)</f>
        <v>0</v>
      </c>
      <c r="U24" s="9">
        <f>IFERROR(__xludf.DUMMYFUNCTION("IFERROR(
  VLOOKUP(
    A24,
    IMPORTRANGE(
      ""1ZHMy3vVUd_0MrSduXTe1etBb1HNpAlGwQr006ljwMiM"",
      ""GSC最新!A:R""
    ),
    17,
    FALSE
  ),
  0
)
"),0.0)</f>
        <v>0</v>
      </c>
      <c r="V24" s="9">
        <f t="shared" ref="V24:W24" si="113">IFERROR(R24-T24,"-")</f>
        <v>0</v>
      </c>
      <c r="W24" s="9">
        <f t="shared" si="113"/>
        <v>0</v>
      </c>
      <c r="X24" s="65" t="str">
        <f>IFERROR(__xludf.DUMMYFUNCTION("IFERROR(
  VLOOKUP(
    A24,
    IMPORTRANGE(
      ""1ZHMy3vVUd_0MrSduXTe1etBb1HNpAlGwQr006ljwMiM"",
      ""GSC最新!A:R""
    ),
    9,
    FALSE
  ),
  0
)
"),"")</f>
        <v/>
      </c>
      <c r="Y24" s="65" t="str">
        <f>IFERROR(__xludf.DUMMYFUNCTION("IFERROR(
  VLOOKUP(
    A24,
    IMPORTRANGE(
      ""1ZHMy3vVUd_0MrSduXTe1etBb1HNpAlGwQr006ljwMiM"",
      ""GSC最新!A:R""
    ),
    12,
    FALSE
  ),
  0
)
"),"")</f>
        <v/>
      </c>
      <c r="Z24" s="65" t="str">
        <f>IFERROR(__xludf.DUMMYFUNCTION("IFERROR(
  VLOOKUP(
    A24,
    IMPORTRANGE(
      ""1ZHMy3vVUd_0MrSduXTe1etBb1HNpAlGwQr006ljwMiM"",
      ""GSC最新!A:R""
    ),
    15,
    FALSE
  ),
  0
)
"),"")</f>
        <v/>
      </c>
      <c r="AA24" s="65" t="str">
        <f>IFERROR(__xludf.DUMMYFUNCTION("IFERROR(
  VLOOKUP(
    A24,
    IMPORTRANGE(
      ""1ZHMy3vVUd_0MrSduXTe1etBb1HNpAlGwQr006ljwMiM"",
      ""GSC最新!A:R""
    ),
    18,
    FALSE
  ),
  0
)
"),"")</f>
        <v/>
      </c>
      <c r="AB24" s="65">
        <f t="shared" ref="AB24:AC24" si="114">X24-Z24</f>
        <v>0</v>
      </c>
      <c r="AC24" s="65">
        <f t="shared" si="114"/>
        <v>0</v>
      </c>
      <c r="AD24" s="53">
        <f>IFERROR(__xludf.DUMMYFUNCTION("IFERROR(
  VLOOKUP(
    A24,
    IMPORTRANGE(
      ""1ZHMy3vVUd_0MrSduXTe1etBb1HNpAlGwQr006ljwMiM"",
      ""GSC最新!A:F""
    ),
    6,
    FALSE
  ),
  0
)
"),46081.0)</f>
        <v>46081</v>
      </c>
      <c r="AE24" s="54">
        <f>IFERROR(__xludf.DUMMYFUNCTION("IFERROR(
  VLOOKUP(
    A24,
    IMPORTRANGE(
      ""1SCYQd7_cobOYqT0r_F0IqD4tE4rYn5y8Eup4PJTH8es"",
      ""Snapshot!A:M""
    ),
    5,
    FALSE
  ),
  ""-""
)
"),0.0)</f>
        <v>0</v>
      </c>
      <c r="AF24" s="54">
        <f>IFERROR(__xludf.DUMMYFUNCTION("IFERROR(
  VLOOKUP(
    A24,
    IMPORTRANGE(
      ""1SCYQd7_cobOYqT0r_F0IqD4tE4rYn5y8Eup4PJTH8es"",
      ""Snapshot!A:M""
    ),
    6,
    FALSE
  ),
  0
)
"),0.0)</f>
        <v>0</v>
      </c>
      <c r="AG24" s="54">
        <f>IFERROR(__xludf.DUMMYFUNCTION("IFERROR(
  VLOOKUP(
    A24,
    IMPORTRANGE(
      ""1SCYQd7_cobOYqT0r_F0IqD4tE4rYn5y8Eup4PJTH8es"",
      ""Snapshot!A:M""
    ),
    7,
    FALSE
  ),
  0
)
"),431.0)</f>
        <v>431</v>
      </c>
      <c r="AH24" s="54">
        <f>IFERROR(__xludf.DUMMYFUNCTION("IFERROR(
  VLOOKUP(
    A24,
    IMPORTRANGE(
      ""1SCYQd7_cobOYqT0r_F0IqD4tE4rYn5y8Eup4PJTH8es"",
      ""Snapshot!A:M""
    ),
    8,
    FALSE
  ),
  0
)
"),1.0)</f>
        <v>1</v>
      </c>
      <c r="AI24" s="54">
        <f>IFERROR(__xludf.DUMMYFUNCTION("IFERROR(
  VLOOKUP(
    A24,
    IMPORTRANGE(
      ""1SCYQd7_cobOYqT0r_F0IqD4tE4rYn5y8Eup4PJTH8es"",
      ""Snapshot!A:M""
    ),
    9,
    FALSE
  ),
  0
)
"),0.0)</f>
        <v>0</v>
      </c>
      <c r="AJ24" s="54">
        <f>IFERROR(__xludf.DUMMYFUNCTION("IFERROR(
  VLOOKUP(
    A24,
    IMPORTRANGE(
      ""1SCYQd7_cobOYqT0r_F0IqD4tE4rYn5y8Eup4PJTH8es"",
      ""Snapshot!A:M""
    ),
    13,
    FALSE
  ),
  0
)
"),1.0)</f>
        <v>1</v>
      </c>
      <c r="AK24" s="49">
        <f t="shared" ref="AK24:AL24" si="115">LEN(C24)</f>
        <v>41</v>
      </c>
      <c r="AL24" s="49">
        <f t="shared" si="115"/>
        <v>55</v>
      </c>
    </row>
    <row r="25">
      <c r="A25" s="1" t="s">
        <v>1337</v>
      </c>
      <c r="B25" s="1" t="str">
        <f>IFERROR(__xludf.DUMMYFUNCTION("IFERROR(
  VLOOKUP(
    A25,
    IMPORTRANGE(
      ""1ZygntHC1J6IxzKbTidmOyf5nUyW4GCLurHCjexrLm_o"",
      ""HTMLキャッシュ!A:F""
    ),
    2,
    FALSE
  ),
  0
)
"),"NW")</f>
        <v>NW</v>
      </c>
      <c r="C25" s="1" t="str">
        <f>IFERROR(__xludf.DUMMYFUNCTION("IFERROR(
  VLOOKUP(
    A25,
    IMPORTRANGE(
      ""1ZygntHC1J6IxzKbTidmOyf5nUyW4GCLurHCjexrLm_o"",
      ""HTMLキャッシュ!A:F""
    ),
    5,
    FALSE
  ),
  0
)
"),"2024年度夏期講習開催のお知らせ - 基礎力Stadium「国語のトリガー」")</f>
        <v>2024年度夏期講習開催のお知らせ - 基礎力Stadium「国語のトリガー」</v>
      </c>
      <c r="D25" s="1" t="str">
        <f>IFERROR(__xludf.DUMMYFUNCTION("IFERROR(
  VLOOKUP(
    A25,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25" s="32">
        <f>IFERROR(__xludf.DUMMYFUNCTION("IFERROR(
  VLOOKUP(
    A25,
    IMPORTRANGE(
      ""1ZygntHC1J6IxzKbTidmOyf5nUyW4GCLurHCjexrLm_o        "",
      ""HTMLキャッシュ!A:F""
    ),
    3,
    FALSE
  ),
  0
)
"),45598.49298611111)</f>
        <v>45598.49299</v>
      </c>
      <c r="F25" s="49">
        <f>IFERROR(__xludf.DUMMYFUNCTION("IFERROR(
  VLOOKUP(
    A25,
    IMPORTRANGE(
      ""1ZHMy3vVUd_0MrSduXTe1etBb1HNpAlGwQr006ljwMiM"",
      ""GSC最新!A:F""
    ),
    2,
    FALSE
  ),
  0
)
"),0.0)</f>
        <v>0</v>
      </c>
      <c r="G25" s="49">
        <f>IFERROR(__xludf.DUMMYFUNCTION("IFERROR(
  VLOOKUP(
    A25,
    IMPORTRANGE(
      ""1ZHMy3vVUd_0MrSduXTe1etBb1HNpAlGwQr006ljwMiM"",
      ""GSC最新!A:F""
    ),
    3,
    FALSE
  ),
  0
)
"),0.0)</f>
        <v>0</v>
      </c>
      <c r="H25" s="49">
        <f>IFERROR(__xludf.DUMMYFUNCTION("IFERROR(
  VLOOKUP(
    A25,
    IMPORTRANGE(
      ""1ZHMy3vVUd_0MrSduXTe1etBb1HNpAlGwQr006ljwMiM"",
      ""GSC最新!A:F""
    ),
    4,
    FALSE
  ),
  0
)
"),0.0)</f>
        <v>0</v>
      </c>
      <c r="I25" s="49">
        <f>IFERROR(__xludf.DUMMYFUNCTION("IFERROR(
  VLOOKUP(
    A25,
    IMPORTRANGE(
      ""1ZHMy3vVUd_0MrSduXTe1etBb1HNpAlGwQr006ljwMiM"",
      ""GSC最新!A:F""
    ),
    5,
    FALSE
  ),
  0
)
"),0.0)</f>
        <v>0</v>
      </c>
      <c r="J25" s="50" t="str">
        <f t="shared" ref="J25:K25" si="116">IFERROR(F25/H25,"-")</f>
        <v>-</v>
      </c>
      <c r="K25" s="50" t="str">
        <f t="shared" si="116"/>
        <v>-</v>
      </c>
      <c r="L25" s="6">
        <f>IFERROR(__xludf.DUMMYFUNCTION("IFERROR(
  VLOOKUP(
    A25,
    IMPORTRANGE(
      ""1ZHMy3vVUd_0MrSduXTe1etBb1HNpAlGwQr006ljwMiM"",
      ""GSC最新!A:R""
    ),
    7,
    FALSE
  ),
  0
)
"),0.0)</f>
        <v>0</v>
      </c>
      <c r="M25" s="6">
        <f>IFERROR(__xludf.DUMMYFUNCTION("IFERROR(
  VLOOKUP(
    A25,
    IMPORTRANGE(
      ""1ZHMy3vVUd_0MrSduXTe1etBb1HNpAlGwQr006ljwMiM"",
      ""GSC最新!A:R""
    ),
    10,
    FALSE
  ),
  0
)
"),0.0)</f>
        <v>0</v>
      </c>
      <c r="N25" s="6">
        <f>IFERROR(__xludf.DUMMYFUNCTION("IFERROR(
  VLOOKUP(
    A25,
    IMPORTRANGE(
      ""1ZHMy3vVUd_0MrSduXTe1etBb1HNpAlGwQr006ljwMiM"",
      ""GSC最新!A:R""
    ),
    13,
    FALSE
  ),
  0
)
"),0.0)</f>
        <v>0</v>
      </c>
      <c r="O25" s="6">
        <f>IFERROR(__xludf.DUMMYFUNCTION("IFERROR(
  VLOOKUP(
    A25,
    IMPORTRANGE(
      ""1ZHMy3vVUd_0MrSduXTe1etBb1HNpAlGwQr006ljwMiM"",
      ""GSC最新!A:R""
    ),
    16,
    FALSE
  ),
  0
)
"),0.0)</f>
        <v>0</v>
      </c>
      <c r="P25" s="51" t="str">
        <f t="shared" ref="P25:Q25" si="117">IFERROR(L25/N25,"-")</f>
        <v>-</v>
      </c>
      <c r="Q25" s="51" t="str">
        <f t="shared" si="117"/>
        <v>-</v>
      </c>
      <c r="R25" s="9">
        <f>IFERROR(__xludf.DUMMYFUNCTION("IFERROR(
  VLOOKUP(
    A25,
    IMPORTRANGE(
      ""1ZHMy3vVUd_0MrSduXTe1etBb1HNpAlGwQr006ljwMiM"",
      ""GSC最新!A:R""
    ),
    8,
    FALSE
  ),
  0
)
"),0.0)</f>
        <v>0</v>
      </c>
      <c r="S25" s="9">
        <f>IFERROR(__xludf.DUMMYFUNCTION("IFERROR(
  VLOOKUP(
    A25,
    IMPORTRANGE(
      ""1ZHMy3vVUd_0MrSduXTe1etBb1HNpAlGwQr006ljwMiM"",
      ""GSC最新!A:R""
    ),
    11,
    FALSE
  ),
  0
)
"),0.0)</f>
        <v>0</v>
      </c>
      <c r="T25" s="9">
        <f>IFERROR(__xludf.DUMMYFUNCTION("IFERROR(
  VLOOKUP(
    A25,
    IMPORTRANGE(
      ""1ZHMy3vVUd_0MrSduXTe1etBb1HNpAlGwQr006ljwMiM"",
      ""GSC最新!A:R""
    ),
    14,
    FALSE
  ),
  0
)
"),0.0)</f>
        <v>0</v>
      </c>
      <c r="U25" s="9">
        <f>IFERROR(__xludf.DUMMYFUNCTION("IFERROR(
  VLOOKUP(
    A25,
    IMPORTRANGE(
      ""1ZHMy3vVUd_0MrSduXTe1etBb1HNpAlGwQr006ljwMiM"",
      ""GSC最新!A:R""
    ),
    17,
    FALSE
  ),
  0
)
"),0.0)</f>
        <v>0</v>
      </c>
      <c r="V25" s="9">
        <f t="shared" ref="V25:W25" si="118">IFERROR(R25-T25,"-")</f>
        <v>0</v>
      </c>
      <c r="W25" s="9">
        <f t="shared" si="118"/>
        <v>0</v>
      </c>
      <c r="X25" s="65" t="str">
        <f>IFERROR(__xludf.DUMMYFUNCTION("IFERROR(
  VLOOKUP(
    A25,
    IMPORTRANGE(
      ""1ZHMy3vVUd_0MrSduXTe1etBb1HNpAlGwQr006ljwMiM"",
      ""GSC最新!A:R""
    ),
    9,
    FALSE
  ),
  0
)
"),"")</f>
        <v/>
      </c>
      <c r="Y25" s="65" t="str">
        <f>IFERROR(__xludf.DUMMYFUNCTION("IFERROR(
  VLOOKUP(
    A25,
    IMPORTRANGE(
      ""1ZHMy3vVUd_0MrSduXTe1etBb1HNpAlGwQr006ljwMiM"",
      ""GSC最新!A:R""
    ),
    12,
    FALSE
  ),
  0
)
"),"")</f>
        <v/>
      </c>
      <c r="Z25" s="65" t="str">
        <f>IFERROR(__xludf.DUMMYFUNCTION("IFERROR(
  VLOOKUP(
    A25,
    IMPORTRANGE(
      ""1ZHMy3vVUd_0MrSduXTe1etBb1HNpAlGwQr006ljwMiM"",
      ""GSC最新!A:R""
    ),
    15,
    FALSE
  ),
  0
)
"),"")</f>
        <v/>
      </c>
      <c r="AA25" s="65" t="str">
        <f>IFERROR(__xludf.DUMMYFUNCTION("IFERROR(
  VLOOKUP(
    A25,
    IMPORTRANGE(
      ""1ZHMy3vVUd_0MrSduXTe1etBb1HNpAlGwQr006ljwMiM"",
      ""GSC最新!A:R""
    ),
    18,
    FALSE
  ),
  0
)
"),"")</f>
        <v/>
      </c>
      <c r="AB25" s="65">
        <f t="shared" ref="AB25:AC25" si="119">X25-Z25</f>
        <v>0</v>
      </c>
      <c r="AC25" s="65">
        <f t="shared" si="119"/>
        <v>0</v>
      </c>
      <c r="AD25" s="53">
        <f>IFERROR(__xludf.DUMMYFUNCTION("IFERROR(
  VLOOKUP(
    A25,
    IMPORTRANGE(
      ""1ZHMy3vVUd_0MrSduXTe1etBb1HNpAlGwQr006ljwMiM"",
      ""GSC最新!A:F""
    ),
    6,
    FALSE
  ),
  0
)
"),46081.0)</f>
        <v>46081</v>
      </c>
      <c r="AE25" s="54">
        <f>IFERROR(__xludf.DUMMYFUNCTION("IFERROR(
  VLOOKUP(
    A25,
    IMPORTRANGE(
      ""1SCYQd7_cobOYqT0r_F0IqD4tE4rYn5y8Eup4PJTH8es"",
      ""Snapshot!A:M""
    ),
    5,
    FALSE
  ),
  ""-""
)
"),0.0)</f>
        <v>0</v>
      </c>
      <c r="AF25" s="54">
        <f>IFERROR(__xludf.DUMMYFUNCTION("IFERROR(
  VLOOKUP(
    A25,
    IMPORTRANGE(
      ""1SCYQd7_cobOYqT0r_F0IqD4tE4rYn5y8Eup4PJTH8es"",
      ""Snapshot!A:M""
    ),
    6,
    FALSE
  ),
  0
)
"),0.0)</f>
        <v>0</v>
      </c>
      <c r="AG25" s="54">
        <f>IFERROR(__xludf.DUMMYFUNCTION("IFERROR(
  VLOOKUP(
    A25,
    IMPORTRANGE(
      ""1SCYQd7_cobOYqT0r_F0IqD4tE4rYn5y8Eup4PJTH8es"",
      ""Snapshot!A:M""
    ),
    7,
    FALSE
  ),
  0
)
"),606.0)</f>
        <v>606</v>
      </c>
      <c r="AH25" s="54">
        <f>IFERROR(__xludf.DUMMYFUNCTION("IFERROR(
  VLOOKUP(
    A25,
    IMPORTRANGE(
      ""1SCYQd7_cobOYqT0r_F0IqD4tE4rYn5y8Eup4PJTH8es"",
      ""Snapshot!A:M""
    ),
    8,
    FALSE
  ),
  0
)
"),0.0)</f>
        <v>0</v>
      </c>
      <c r="AI25" s="54">
        <f>IFERROR(__xludf.DUMMYFUNCTION("IFERROR(
  VLOOKUP(
    A25,
    IMPORTRANGE(
      ""1SCYQd7_cobOYqT0r_F0IqD4tE4rYn5y8Eup4PJTH8es"",
      ""Snapshot!A:M""
    ),
    9,
    FALSE
  ),
  0
)
"),0.0)</f>
        <v>0</v>
      </c>
      <c r="AJ25" s="54">
        <f>IFERROR(__xludf.DUMMYFUNCTION("IFERROR(
  VLOOKUP(
    A25,
    IMPORTRANGE(
      ""1SCYQd7_cobOYqT0r_F0IqD4tE4rYn5y8Eup4PJTH8es"",
      ""Snapshot!A:M""
    ),
    13,
    FALSE
  ),
  0
)
"),1.0)</f>
        <v>1</v>
      </c>
      <c r="AK25" s="49">
        <f t="shared" ref="AK25:AL25" si="120">LEN(C25)</f>
        <v>39</v>
      </c>
      <c r="AL25" s="49">
        <f t="shared" si="120"/>
        <v>55</v>
      </c>
    </row>
    <row r="26">
      <c r="A26" s="1" t="s">
        <v>1338</v>
      </c>
      <c r="B26" s="1" t="str">
        <f>IFERROR(__xludf.DUMMYFUNCTION("IFERROR(
  VLOOKUP(
    A26,
    IMPORTRANGE(
      ""1ZygntHC1J6IxzKbTidmOyf5nUyW4GCLurHCjexrLm_o"",
      ""HTMLキャッシュ!A:F""
    ),
    2,
    FALSE
  ),
  0
)
"),"NW")</f>
        <v>NW</v>
      </c>
      <c r="C26" s="1" t="str">
        <f>IFERROR(__xludf.DUMMYFUNCTION("IFERROR(
  VLOOKUP(
    A26,
    IMPORTRANGE(
      ""1ZygntHC1J6IxzKbTidmOyf5nUyW4GCLurHCjexrLm_o"",
      ""HTMLキャッシュ!A:F""
    ),
    5,
    FALSE
  ),
  0
)
"),"2024年度春期講習開催のお知らせ - 基礎力Stadium「国語のトリガー」")</f>
        <v>2024年度春期講習開催のお知らせ - 基礎力Stadium「国語のトリガー」</v>
      </c>
      <c r="D26" s="1" t="str">
        <f>IFERROR(__xludf.DUMMYFUNCTION("IFERROR(
  VLOOKUP(
    A26,
    IMPORTRANGE(
      ""1ZygntHC1J6IxzKbTidmOyf5nUyW4GCLurHCjexrLm_o        "",
      ""HTMLキャッシュ!A:F""
    ),
    6,
    FALSE
  ),
  0
)
"),"2024年度 春期講習会のご案内 春休みは短期間ですが、日頃の学習で積み残した課題を消化するには最適のタイミン")</f>
        <v>2024年度 春期講習会のご案内 春休みは短期間ですが、日頃の学習で積み残した課題を消化するには最適のタイミン</v>
      </c>
      <c r="E26" s="32">
        <f>IFERROR(__xludf.DUMMYFUNCTION("IFERROR(
  VLOOKUP(
    A26,
    IMPORTRANGE(
      ""1ZygntHC1J6IxzKbTidmOyf5nUyW4GCLurHCjexrLm_o        "",
      ""HTMLキャッシュ!A:F""
    ),
    3,
    FALSE
  ),
  0
)
"),45598.4927662037)</f>
        <v>45598.49277</v>
      </c>
      <c r="F26" s="49">
        <f>IFERROR(__xludf.DUMMYFUNCTION("IFERROR(
  VLOOKUP(
    A26,
    IMPORTRANGE(
      ""1ZHMy3vVUd_0MrSduXTe1etBb1HNpAlGwQr006ljwMiM"",
      ""GSC最新!A:F""
    ),
    2,
    FALSE
  ),
  0
)
"),0.0)</f>
        <v>0</v>
      </c>
      <c r="G26" s="49">
        <f>IFERROR(__xludf.DUMMYFUNCTION("IFERROR(
  VLOOKUP(
    A26,
    IMPORTRANGE(
      ""1ZHMy3vVUd_0MrSduXTe1etBb1HNpAlGwQr006ljwMiM"",
      ""GSC最新!A:F""
    ),
    3,
    FALSE
  ),
  0
)
"),0.0)</f>
        <v>0</v>
      </c>
      <c r="H26" s="49">
        <f>IFERROR(__xludf.DUMMYFUNCTION("IFERROR(
  VLOOKUP(
    A26,
    IMPORTRANGE(
      ""1ZHMy3vVUd_0MrSduXTe1etBb1HNpAlGwQr006ljwMiM"",
      ""GSC最新!A:F""
    ),
    4,
    FALSE
  ),
  0
)
"),0.0)</f>
        <v>0</v>
      </c>
      <c r="I26" s="49">
        <f>IFERROR(__xludf.DUMMYFUNCTION("IFERROR(
  VLOOKUP(
    A26,
    IMPORTRANGE(
      ""1ZHMy3vVUd_0MrSduXTe1etBb1HNpAlGwQr006ljwMiM"",
      ""GSC最新!A:F""
    ),
    5,
    FALSE
  ),
  0
)
"),0.0)</f>
        <v>0</v>
      </c>
      <c r="J26" s="50" t="str">
        <f t="shared" ref="J26:K26" si="121">IFERROR(F26/H26,"-")</f>
        <v>-</v>
      </c>
      <c r="K26" s="50" t="str">
        <f t="shared" si="121"/>
        <v>-</v>
      </c>
      <c r="L26" s="6">
        <f>IFERROR(__xludf.DUMMYFUNCTION("IFERROR(
  VLOOKUP(
    A26,
    IMPORTRANGE(
      ""1ZHMy3vVUd_0MrSduXTe1etBb1HNpAlGwQr006ljwMiM"",
      ""GSC最新!A:R""
    ),
    7,
    FALSE
  ),
  0
)
"),0.0)</f>
        <v>0</v>
      </c>
      <c r="M26" s="6">
        <f>IFERROR(__xludf.DUMMYFUNCTION("IFERROR(
  VLOOKUP(
    A26,
    IMPORTRANGE(
      ""1ZHMy3vVUd_0MrSduXTe1etBb1HNpAlGwQr006ljwMiM"",
      ""GSC最新!A:R""
    ),
    10,
    FALSE
  ),
  0
)
"),0.0)</f>
        <v>0</v>
      </c>
      <c r="N26" s="6">
        <f>IFERROR(__xludf.DUMMYFUNCTION("IFERROR(
  VLOOKUP(
    A26,
    IMPORTRANGE(
      ""1ZHMy3vVUd_0MrSduXTe1etBb1HNpAlGwQr006ljwMiM"",
      ""GSC最新!A:R""
    ),
    13,
    FALSE
  ),
  0
)
"),0.0)</f>
        <v>0</v>
      </c>
      <c r="O26" s="6">
        <f>IFERROR(__xludf.DUMMYFUNCTION("IFERROR(
  VLOOKUP(
    A26,
    IMPORTRANGE(
      ""1ZHMy3vVUd_0MrSduXTe1etBb1HNpAlGwQr006ljwMiM"",
      ""GSC最新!A:R""
    ),
    16,
    FALSE
  ),
  0
)
"),0.0)</f>
        <v>0</v>
      </c>
      <c r="P26" s="51" t="str">
        <f t="shared" ref="P26:Q26" si="122">IFERROR(L26/N26,"-")</f>
        <v>-</v>
      </c>
      <c r="Q26" s="51" t="str">
        <f t="shared" si="122"/>
        <v>-</v>
      </c>
      <c r="R26" s="9">
        <f>IFERROR(__xludf.DUMMYFUNCTION("IFERROR(
  VLOOKUP(
    A26,
    IMPORTRANGE(
      ""1ZHMy3vVUd_0MrSduXTe1etBb1HNpAlGwQr006ljwMiM"",
      ""GSC最新!A:R""
    ),
    8,
    FALSE
  ),
  0
)
"),0.0)</f>
        <v>0</v>
      </c>
      <c r="S26" s="9">
        <f>IFERROR(__xludf.DUMMYFUNCTION("IFERROR(
  VLOOKUP(
    A26,
    IMPORTRANGE(
      ""1ZHMy3vVUd_0MrSduXTe1etBb1HNpAlGwQr006ljwMiM"",
      ""GSC最新!A:R""
    ),
    11,
    FALSE
  ),
  0
)
"),0.0)</f>
        <v>0</v>
      </c>
      <c r="T26" s="9">
        <f>IFERROR(__xludf.DUMMYFUNCTION("IFERROR(
  VLOOKUP(
    A26,
    IMPORTRANGE(
      ""1ZHMy3vVUd_0MrSduXTe1etBb1HNpAlGwQr006ljwMiM"",
      ""GSC最新!A:R""
    ),
    14,
    FALSE
  ),
  0
)
"),0.0)</f>
        <v>0</v>
      </c>
      <c r="U26" s="9">
        <f>IFERROR(__xludf.DUMMYFUNCTION("IFERROR(
  VLOOKUP(
    A26,
    IMPORTRANGE(
      ""1ZHMy3vVUd_0MrSduXTe1etBb1HNpAlGwQr006ljwMiM"",
      ""GSC最新!A:R""
    ),
    17,
    FALSE
  ),
  0
)
"),0.0)</f>
        <v>0</v>
      </c>
      <c r="V26" s="9">
        <f t="shared" ref="V26:W26" si="123">IFERROR(R26-T26,"-")</f>
        <v>0</v>
      </c>
      <c r="W26" s="9">
        <f t="shared" si="123"/>
        <v>0</v>
      </c>
      <c r="X26" s="65" t="str">
        <f>IFERROR(__xludf.DUMMYFUNCTION("IFERROR(
  VLOOKUP(
    A26,
    IMPORTRANGE(
      ""1ZHMy3vVUd_0MrSduXTe1etBb1HNpAlGwQr006ljwMiM"",
      ""GSC最新!A:R""
    ),
    9,
    FALSE
  ),
  0
)
"),"")</f>
        <v/>
      </c>
      <c r="Y26" s="65" t="str">
        <f>IFERROR(__xludf.DUMMYFUNCTION("IFERROR(
  VLOOKUP(
    A26,
    IMPORTRANGE(
      ""1ZHMy3vVUd_0MrSduXTe1etBb1HNpAlGwQr006ljwMiM"",
      ""GSC最新!A:R""
    ),
    12,
    FALSE
  ),
  0
)
"),"")</f>
        <v/>
      </c>
      <c r="Z26" s="65" t="str">
        <f>IFERROR(__xludf.DUMMYFUNCTION("IFERROR(
  VLOOKUP(
    A26,
    IMPORTRANGE(
      ""1ZHMy3vVUd_0MrSduXTe1etBb1HNpAlGwQr006ljwMiM"",
      ""GSC最新!A:R""
    ),
    15,
    FALSE
  ),
  0
)
"),"")</f>
        <v/>
      </c>
      <c r="AA26" s="65" t="str">
        <f>IFERROR(__xludf.DUMMYFUNCTION("IFERROR(
  VLOOKUP(
    A26,
    IMPORTRANGE(
      ""1ZHMy3vVUd_0MrSduXTe1etBb1HNpAlGwQr006ljwMiM"",
      ""GSC最新!A:R""
    ),
    18,
    FALSE
  ),
  0
)
"),"")</f>
        <v/>
      </c>
      <c r="AB26" s="65">
        <f t="shared" ref="AB26:AC26" si="124">X26-Z26</f>
        <v>0</v>
      </c>
      <c r="AC26" s="65">
        <f t="shared" si="124"/>
        <v>0</v>
      </c>
      <c r="AD26" s="53">
        <f>IFERROR(__xludf.DUMMYFUNCTION("IFERROR(
  VLOOKUP(
    A26,
    IMPORTRANGE(
      ""1ZHMy3vVUd_0MrSduXTe1etBb1HNpAlGwQr006ljwMiM"",
      ""GSC最新!A:F""
    ),
    6,
    FALSE
  ),
  0
)
"),46081.0)</f>
        <v>46081</v>
      </c>
      <c r="AE26" s="54">
        <f>IFERROR(__xludf.DUMMYFUNCTION("IFERROR(
  VLOOKUP(
    A26,
    IMPORTRANGE(
      ""1SCYQd7_cobOYqT0r_F0IqD4tE4rYn5y8Eup4PJTH8es"",
      ""Snapshot!A:M""
    ),
    5,
    FALSE
  ),
  ""-""
)
"),0.0)</f>
        <v>0</v>
      </c>
      <c r="AF26" s="54">
        <f>IFERROR(__xludf.DUMMYFUNCTION("IFERROR(
  VLOOKUP(
    A26,
    IMPORTRANGE(
      ""1SCYQd7_cobOYqT0r_F0IqD4tE4rYn5y8Eup4PJTH8es"",
      ""Snapshot!A:M""
    ),
    6,
    FALSE
  ),
  0
)
"),0.0)</f>
        <v>0</v>
      </c>
      <c r="AG26" s="54">
        <f>IFERROR(__xludf.DUMMYFUNCTION("IFERROR(
  VLOOKUP(
    A26,
    IMPORTRANGE(
      ""1SCYQd7_cobOYqT0r_F0IqD4tE4rYn5y8Eup4PJTH8es"",
      ""Snapshot!A:M""
    ),
    7,
    FALSE
  ),
  0
)
"),543.0)</f>
        <v>543</v>
      </c>
      <c r="AH26" s="54">
        <f>IFERROR(__xludf.DUMMYFUNCTION("IFERROR(
  VLOOKUP(
    A26,
    IMPORTRANGE(
      ""1SCYQd7_cobOYqT0r_F0IqD4tE4rYn5y8Eup4PJTH8es"",
      ""Snapshot!A:M""
    ),
    8,
    FALSE
  ),
  0
)
"),1.0)</f>
        <v>1</v>
      </c>
      <c r="AI26" s="54">
        <f>IFERROR(__xludf.DUMMYFUNCTION("IFERROR(
  VLOOKUP(
    A26,
    IMPORTRANGE(
      ""1SCYQd7_cobOYqT0r_F0IqD4tE4rYn5y8Eup4PJTH8es"",
      ""Snapshot!A:M""
    ),
    9,
    FALSE
  ),
  0
)
"),0.0)</f>
        <v>0</v>
      </c>
      <c r="AJ26" s="54">
        <f>IFERROR(__xludf.DUMMYFUNCTION("IFERROR(
  VLOOKUP(
    A26,
    IMPORTRANGE(
      ""1SCYQd7_cobOYqT0r_F0IqD4tE4rYn5y8Eup4PJTH8es"",
      ""Snapshot!A:M""
    ),
    13,
    FALSE
  ),
  0
)
"),1.0)</f>
        <v>1</v>
      </c>
      <c r="AK26" s="49">
        <f t="shared" ref="AK26:AL26" si="125">LEN(C26)</f>
        <v>39</v>
      </c>
      <c r="AL26" s="49">
        <f t="shared" si="125"/>
        <v>55</v>
      </c>
    </row>
    <row r="27">
      <c r="A27" s="1" t="s">
        <v>1339</v>
      </c>
      <c r="B27" s="1" t="str">
        <f>IFERROR(__xludf.DUMMYFUNCTION("IFERROR(
  VLOOKUP(
    A27,
    IMPORTRANGE(
      ""1ZygntHC1J6IxzKbTidmOyf5nUyW4GCLurHCjexrLm_o"",
      ""HTMLキャッシュ!A:F""
    ),
    2,
    FALSE
  ),
  0
)
"),"NW")</f>
        <v>NW</v>
      </c>
      <c r="C27" s="1" t="str">
        <f>IFERROR(__xludf.DUMMYFUNCTION("IFERROR(
  VLOOKUP(
    A27,
    IMPORTRANGE(
      ""1ZygntHC1J6IxzKbTidmOyf5nUyW4GCLurHCjexrLm_o"",
      ""HTMLキャッシュ!A:F""
    ),
    5,
    FALSE
  ),
  0
)
"),"2024年度生徒募集のお知らせ【個別】 - 基礎力Stadium「国語のトリガー」")</f>
        <v>2024年度生徒募集のお知らせ【個別】 - 基礎力Stadium「国語のトリガー」</v>
      </c>
      <c r="D27" s="1" t="str">
        <f>IFERROR(__xludf.DUMMYFUNCTION("IFERROR(
  VLOOKUP(
    A27,
    IMPORTRANGE(
      ""1ZygntHC1J6IxzKbTidmOyf5nUyW4GCLurHCjexrLm_o        "",
      ""HTMLキャッシュ!A:F""
    ),
    6,
    FALSE
  ),
  0
)
"),"本日より、2024年度、「完全１対１」の個別指導の生徒募集を開始致します。 ２月開講講座および個別指導の詳細は")</f>
        <v>本日より、2024年度、「完全１対１」の個別指導の生徒募集を開始致します。 ２月開講講座および個別指導の詳細は</v>
      </c>
      <c r="E27" s="32">
        <f>IFERROR(__xludf.DUMMYFUNCTION("IFERROR(
  VLOOKUP(
    A27,
    IMPORTRANGE(
      ""1ZygntHC1J6IxzKbTidmOyf5nUyW4GCLurHCjexrLm_o        "",
      ""HTMLキャッシュ!A:F""
    ),
    3,
    FALSE
  ),
  0
)
"),46027.58587962963)</f>
        <v>46027.58588</v>
      </c>
      <c r="F27" s="49">
        <f>IFERROR(__xludf.DUMMYFUNCTION("IFERROR(
  VLOOKUP(
    A27,
    IMPORTRANGE(
      ""1ZHMy3vVUd_0MrSduXTe1etBb1HNpAlGwQr006ljwMiM"",
      ""GSC最新!A:F""
    ),
    2,
    FALSE
  ),
  0
)
"),0.0)</f>
        <v>0</v>
      </c>
      <c r="G27" s="49">
        <f>IFERROR(__xludf.DUMMYFUNCTION("IFERROR(
  VLOOKUP(
    A27,
    IMPORTRANGE(
      ""1ZHMy3vVUd_0MrSduXTe1etBb1HNpAlGwQr006ljwMiM"",
      ""GSC最新!A:F""
    ),
    3,
    FALSE
  ),
  0
)
"),0.0)</f>
        <v>0</v>
      </c>
      <c r="H27" s="49">
        <f>IFERROR(__xludf.DUMMYFUNCTION("IFERROR(
  VLOOKUP(
    A27,
    IMPORTRANGE(
      ""1ZHMy3vVUd_0MrSduXTe1etBb1HNpAlGwQr006ljwMiM"",
      ""GSC最新!A:F""
    ),
    4,
    FALSE
  ),
  0
)
"),0.0)</f>
        <v>0</v>
      </c>
      <c r="I27" s="49">
        <f>IFERROR(__xludf.DUMMYFUNCTION("IFERROR(
  VLOOKUP(
    A27,
    IMPORTRANGE(
      ""1ZHMy3vVUd_0MrSduXTe1etBb1HNpAlGwQr006ljwMiM"",
      ""GSC最新!A:F""
    ),
    5,
    FALSE
  ),
  0
)
"),0.0)</f>
        <v>0</v>
      </c>
      <c r="J27" s="50" t="str">
        <f t="shared" ref="J27:K27" si="126">IFERROR(F27/H27,"-")</f>
        <v>-</v>
      </c>
      <c r="K27" s="50" t="str">
        <f t="shared" si="126"/>
        <v>-</v>
      </c>
      <c r="L27" s="6">
        <f>IFERROR(__xludf.DUMMYFUNCTION("IFERROR(
  VLOOKUP(
    A27,
    IMPORTRANGE(
      ""1ZHMy3vVUd_0MrSduXTe1etBb1HNpAlGwQr006ljwMiM"",
      ""GSC最新!A:R""
    ),
    7,
    FALSE
  ),
  0
)
"),0.0)</f>
        <v>0</v>
      </c>
      <c r="M27" s="6">
        <f>IFERROR(__xludf.DUMMYFUNCTION("IFERROR(
  VLOOKUP(
    A27,
    IMPORTRANGE(
      ""1ZHMy3vVUd_0MrSduXTe1etBb1HNpAlGwQr006ljwMiM"",
      ""GSC最新!A:R""
    ),
    10,
    FALSE
  ),
  0
)
"),0.0)</f>
        <v>0</v>
      </c>
      <c r="N27" s="6">
        <f>IFERROR(__xludf.DUMMYFUNCTION("IFERROR(
  VLOOKUP(
    A27,
    IMPORTRANGE(
      ""1ZHMy3vVUd_0MrSduXTe1etBb1HNpAlGwQr006ljwMiM"",
      ""GSC最新!A:R""
    ),
    13,
    FALSE
  ),
  0
)
"),0.0)</f>
        <v>0</v>
      </c>
      <c r="O27" s="6">
        <f>IFERROR(__xludf.DUMMYFUNCTION("IFERROR(
  VLOOKUP(
    A27,
    IMPORTRANGE(
      ""1ZHMy3vVUd_0MrSduXTe1etBb1HNpAlGwQr006ljwMiM"",
      ""GSC最新!A:R""
    ),
    16,
    FALSE
  ),
  0
)
"),0.0)</f>
        <v>0</v>
      </c>
      <c r="P27" s="51" t="str">
        <f t="shared" ref="P27:Q27" si="127">IFERROR(L27/N27,"-")</f>
        <v>-</v>
      </c>
      <c r="Q27" s="51" t="str">
        <f t="shared" si="127"/>
        <v>-</v>
      </c>
      <c r="R27" s="9">
        <f>IFERROR(__xludf.DUMMYFUNCTION("IFERROR(
  VLOOKUP(
    A27,
    IMPORTRANGE(
      ""1ZHMy3vVUd_0MrSduXTe1etBb1HNpAlGwQr006ljwMiM"",
      ""GSC最新!A:R""
    ),
    8,
    FALSE
  ),
  0
)
"),0.0)</f>
        <v>0</v>
      </c>
      <c r="S27" s="9">
        <f>IFERROR(__xludf.DUMMYFUNCTION("IFERROR(
  VLOOKUP(
    A27,
    IMPORTRANGE(
      ""1ZHMy3vVUd_0MrSduXTe1etBb1HNpAlGwQr006ljwMiM"",
      ""GSC最新!A:R""
    ),
    11,
    FALSE
  ),
  0
)
"),0.0)</f>
        <v>0</v>
      </c>
      <c r="T27" s="9">
        <f>IFERROR(__xludf.DUMMYFUNCTION("IFERROR(
  VLOOKUP(
    A27,
    IMPORTRANGE(
      ""1ZHMy3vVUd_0MrSduXTe1etBb1HNpAlGwQr006ljwMiM"",
      ""GSC最新!A:R""
    ),
    14,
    FALSE
  ),
  0
)
"),0.0)</f>
        <v>0</v>
      </c>
      <c r="U27" s="9">
        <f>IFERROR(__xludf.DUMMYFUNCTION("IFERROR(
  VLOOKUP(
    A27,
    IMPORTRANGE(
      ""1ZHMy3vVUd_0MrSduXTe1etBb1HNpAlGwQr006ljwMiM"",
      ""GSC最新!A:R""
    ),
    17,
    FALSE
  ),
  0
)
"),0.0)</f>
        <v>0</v>
      </c>
      <c r="V27" s="9">
        <f t="shared" ref="V27:W27" si="128">IFERROR(R27-T27,"-")</f>
        <v>0</v>
      </c>
      <c r="W27" s="9">
        <f t="shared" si="128"/>
        <v>0</v>
      </c>
      <c r="X27" s="65" t="str">
        <f>IFERROR(__xludf.DUMMYFUNCTION("IFERROR(
  VLOOKUP(
    A27,
    IMPORTRANGE(
      ""1ZHMy3vVUd_0MrSduXTe1etBb1HNpAlGwQr006ljwMiM"",
      ""GSC最新!A:R""
    ),
    9,
    FALSE
  ),
  0
)
"),"")</f>
        <v/>
      </c>
      <c r="Y27" s="65" t="str">
        <f>IFERROR(__xludf.DUMMYFUNCTION("IFERROR(
  VLOOKUP(
    A27,
    IMPORTRANGE(
      ""1ZHMy3vVUd_0MrSduXTe1etBb1HNpAlGwQr006ljwMiM"",
      ""GSC最新!A:R""
    ),
    12,
    FALSE
  ),
  0
)
"),"")</f>
        <v/>
      </c>
      <c r="Z27" s="65" t="str">
        <f>IFERROR(__xludf.DUMMYFUNCTION("IFERROR(
  VLOOKUP(
    A27,
    IMPORTRANGE(
      ""1ZHMy3vVUd_0MrSduXTe1etBb1HNpAlGwQr006ljwMiM"",
      ""GSC最新!A:R""
    ),
    15,
    FALSE
  ),
  0
)
"),"")</f>
        <v/>
      </c>
      <c r="AA27" s="65" t="str">
        <f>IFERROR(__xludf.DUMMYFUNCTION("IFERROR(
  VLOOKUP(
    A27,
    IMPORTRANGE(
      ""1ZHMy3vVUd_0MrSduXTe1etBb1HNpAlGwQr006ljwMiM"",
      ""GSC最新!A:R""
    ),
    18,
    FALSE
  ),
  0
)
"),"")</f>
        <v/>
      </c>
      <c r="AB27" s="65">
        <f t="shared" ref="AB27:AC27" si="129">X27-Z27</f>
        <v>0</v>
      </c>
      <c r="AC27" s="65">
        <f t="shared" si="129"/>
        <v>0</v>
      </c>
      <c r="AD27" s="53">
        <f>IFERROR(__xludf.DUMMYFUNCTION("IFERROR(
  VLOOKUP(
    A27,
    IMPORTRANGE(
      ""1ZHMy3vVUd_0MrSduXTe1etBb1HNpAlGwQr006ljwMiM"",
      ""GSC最新!A:F""
    ),
    6,
    FALSE
  ),
  0
)
"),46081.0)</f>
        <v>46081</v>
      </c>
      <c r="AE27" s="54">
        <f>IFERROR(__xludf.DUMMYFUNCTION("IFERROR(
  VLOOKUP(
    A27,
    IMPORTRANGE(
      ""1SCYQd7_cobOYqT0r_F0IqD4tE4rYn5y8Eup4PJTH8es"",
      ""Snapshot!A:M""
    ),
    5,
    FALSE
  ),
  ""-""
)
"),0.0)</f>
        <v>0</v>
      </c>
      <c r="AF27" s="54">
        <f>IFERROR(__xludf.DUMMYFUNCTION("IFERROR(
  VLOOKUP(
    A27,
    IMPORTRANGE(
      ""1SCYQd7_cobOYqT0r_F0IqD4tE4rYn5y8Eup4PJTH8es"",
      ""Snapshot!A:M""
    ),
    6,
    FALSE
  ),
  0
)
"),0.0)</f>
        <v>0</v>
      </c>
      <c r="AG27" s="54">
        <f>IFERROR(__xludf.DUMMYFUNCTION("IFERROR(
  VLOOKUP(
    A27,
    IMPORTRANGE(
      ""1SCYQd7_cobOYqT0r_F0IqD4tE4rYn5y8Eup4PJTH8es"",
      ""Snapshot!A:M""
    ),
    7,
    FALSE
  ),
  0
)
"),483.0)</f>
        <v>483</v>
      </c>
      <c r="AH27" s="54">
        <f>IFERROR(__xludf.DUMMYFUNCTION("IFERROR(
  VLOOKUP(
    A27,
    IMPORTRANGE(
      ""1SCYQd7_cobOYqT0r_F0IqD4tE4rYn5y8Eup4PJTH8es"",
      ""Snapshot!A:M""
    ),
    8,
    FALSE
  ),
  0
)
"),3.0)</f>
        <v>3</v>
      </c>
      <c r="AI27" s="54">
        <f>IFERROR(__xludf.DUMMYFUNCTION("IFERROR(
  VLOOKUP(
    A27,
    IMPORTRANGE(
      ""1SCYQd7_cobOYqT0r_F0IqD4tE4rYn5y8Eup4PJTH8es"",
      ""Snapshot!A:M""
    ),
    9,
    FALSE
  ),
  0
)
"),0.0)</f>
        <v>0</v>
      </c>
      <c r="AJ27" s="54">
        <f>IFERROR(__xludf.DUMMYFUNCTION("IFERROR(
  VLOOKUP(
    A27,
    IMPORTRANGE(
      ""1SCYQd7_cobOYqT0r_F0IqD4tE4rYn5y8Eup4PJTH8es"",
      ""Snapshot!A:M""
    ),
    13,
    FALSE
  ),
  0
)
"),1.0)</f>
        <v>1</v>
      </c>
      <c r="AK27" s="49">
        <f t="shared" ref="AK27:AL27" si="130">LEN(C27)</f>
        <v>41</v>
      </c>
      <c r="AL27" s="49">
        <f t="shared" si="130"/>
        <v>55</v>
      </c>
    </row>
    <row r="28">
      <c r="A28" s="1" t="s">
        <v>1340</v>
      </c>
      <c r="B28" s="1" t="str">
        <f>IFERROR(__xludf.DUMMYFUNCTION("IFERROR(
  VLOOKUP(
    A28,
    IMPORTRANGE(
      ""1ZygntHC1J6IxzKbTidmOyf5nUyW4GCLurHCjexrLm_o"",
      ""HTMLキャッシュ!A:F""
    ),
    2,
    FALSE
  ),
  0
)
"),"NW")</f>
        <v>NW</v>
      </c>
      <c r="C28" s="1" t="str">
        <f>IFERROR(__xludf.DUMMYFUNCTION("IFERROR(
  VLOOKUP(
    A28,
    IMPORTRANGE(
      ""1ZygntHC1J6IxzKbTidmOyf5nUyW4GCLurHCjexrLm_o"",
      ""HTMLキャッシュ!A:F""
    ),
    5,
    FALSE
  ),
  0
)
"),"2023年度冬期講習開講のお知らせ - 基礎力Stadium「国語のトリガー」")</f>
        <v>2023年度冬期講習開講のお知らせ - 基礎力Stadium「国語のトリガー」</v>
      </c>
      <c r="D28" s="1" t="str">
        <f>IFERROR(__xludf.DUMMYFUNCTION("IFERROR(
  VLOOKUP(
    A28,
    IMPORTRANGE(
      ""1ZygntHC1J6IxzKbTidmOyf5nUyW4GCLurHCjexrLm_o        "",
      ""HTMLキャッシュ!A:F""
    ),
    6,
    FALSE
  ),
  0
)
"),"2023年度冬期講習会のご案内 当塾「国語のトリガー」では、2023年度冬期講習会を実施いたします。現在通塾中")</f>
        <v>2023年度冬期講習会のご案内 当塾「国語のトリガー」では、2023年度冬期講習会を実施いたします。現在通塾中</v>
      </c>
      <c r="E28" s="32">
        <f>IFERROR(__xludf.DUMMYFUNCTION("IFERROR(
  VLOOKUP(
    A28,
    IMPORTRANGE(
      ""1ZygntHC1J6IxzKbTidmOyf5nUyW4GCLurHCjexrLm_o        "",
      ""HTMLキャッシュ!A:F""
    ),
    3,
    FALSE
  ),
  0
)
"),45598.492164351854)</f>
        <v>45598.49216</v>
      </c>
      <c r="F28" s="49">
        <f>IFERROR(__xludf.DUMMYFUNCTION("IFERROR(
  VLOOKUP(
    A28,
    IMPORTRANGE(
      ""1ZHMy3vVUd_0MrSduXTe1etBb1HNpAlGwQr006ljwMiM"",
      ""GSC最新!A:F""
    ),
    2,
    FALSE
  ),
  0
)
"),0.0)</f>
        <v>0</v>
      </c>
      <c r="G28" s="49">
        <f>IFERROR(__xludf.DUMMYFUNCTION("IFERROR(
  VLOOKUP(
    A28,
    IMPORTRANGE(
      ""1ZHMy3vVUd_0MrSduXTe1etBb1HNpAlGwQr006ljwMiM"",
      ""GSC最新!A:F""
    ),
    3,
    FALSE
  ),
  0
)
"),0.0)</f>
        <v>0</v>
      </c>
      <c r="H28" s="49">
        <f>IFERROR(__xludf.DUMMYFUNCTION("IFERROR(
  VLOOKUP(
    A28,
    IMPORTRANGE(
      ""1ZHMy3vVUd_0MrSduXTe1etBb1HNpAlGwQr006ljwMiM"",
      ""GSC最新!A:F""
    ),
    4,
    FALSE
  ),
  0
)
"),0.0)</f>
        <v>0</v>
      </c>
      <c r="I28" s="49">
        <f>IFERROR(__xludf.DUMMYFUNCTION("IFERROR(
  VLOOKUP(
    A28,
    IMPORTRANGE(
      ""1ZHMy3vVUd_0MrSduXTe1etBb1HNpAlGwQr006ljwMiM"",
      ""GSC最新!A:F""
    ),
    5,
    FALSE
  ),
  0
)
"),0.0)</f>
        <v>0</v>
      </c>
      <c r="J28" s="50" t="str">
        <f t="shared" ref="J28:K28" si="131">IFERROR(F28/H28,"-")</f>
        <v>-</v>
      </c>
      <c r="K28" s="50" t="str">
        <f t="shared" si="131"/>
        <v>-</v>
      </c>
      <c r="L28" s="6">
        <f>IFERROR(__xludf.DUMMYFUNCTION("IFERROR(
  VLOOKUP(
    A28,
    IMPORTRANGE(
      ""1ZHMy3vVUd_0MrSduXTe1etBb1HNpAlGwQr006ljwMiM"",
      ""GSC最新!A:R""
    ),
    7,
    FALSE
  ),
  0
)
"),0.0)</f>
        <v>0</v>
      </c>
      <c r="M28" s="6">
        <f>IFERROR(__xludf.DUMMYFUNCTION("IFERROR(
  VLOOKUP(
    A28,
    IMPORTRANGE(
      ""1ZHMy3vVUd_0MrSduXTe1etBb1HNpAlGwQr006ljwMiM"",
      ""GSC最新!A:R""
    ),
    10,
    FALSE
  ),
  0
)
"),0.0)</f>
        <v>0</v>
      </c>
      <c r="N28" s="6">
        <f>IFERROR(__xludf.DUMMYFUNCTION("IFERROR(
  VLOOKUP(
    A28,
    IMPORTRANGE(
      ""1ZHMy3vVUd_0MrSduXTe1etBb1HNpAlGwQr006ljwMiM"",
      ""GSC最新!A:R""
    ),
    13,
    FALSE
  ),
  0
)
"),0.0)</f>
        <v>0</v>
      </c>
      <c r="O28" s="6">
        <f>IFERROR(__xludf.DUMMYFUNCTION("IFERROR(
  VLOOKUP(
    A28,
    IMPORTRANGE(
      ""1ZHMy3vVUd_0MrSduXTe1etBb1HNpAlGwQr006ljwMiM"",
      ""GSC最新!A:R""
    ),
    16,
    FALSE
  ),
  0
)
"),0.0)</f>
        <v>0</v>
      </c>
      <c r="P28" s="51" t="str">
        <f t="shared" ref="P28:Q28" si="132">IFERROR(L28/N28,"-")</f>
        <v>-</v>
      </c>
      <c r="Q28" s="51" t="str">
        <f t="shared" si="132"/>
        <v>-</v>
      </c>
      <c r="R28" s="9">
        <f>IFERROR(__xludf.DUMMYFUNCTION("IFERROR(
  VLOOKUP(
    A28,
    IMPORTRANGE(
      ""1ZHMy3vVUd_0MrSduXTe1etBb1HNpAlGwQr006ljwMiM"",
      ""GSC最新!A:R""
    ),
    8,
    FALSE
  ),
  0
)
"),0.0)</f>
        <v>0</v>
      </c>
      <c r="S28" s="9">
        <f>IFERROR(__xludf.DUMMYFUNCTION("IFERROR(
  VLOOKUP(
    A28,
    IMPORTRANGE(
      ""1ZHMy3vVUd_0MrSduXTe1etBb1HNpAlGwQr006ljwMiM"",
      ""GSC最新!A:R""
    ),
    11,
    FALSE
  ),
  0
)
"),0.0)</f>
        <v>0</v>
      </c>
      <c r="T28" s="9">
        <f>IFERROR(__xludf.DUMMYFUNCTION("IFERROR(
  VLOOKUP(
    A28,
    IMPORTRANGE(
      ""1ZHMy3vVUd_0MrSduXTe1etBb1HNpAlGwQr006ljwMiM"",
      ""GSC最新!A:R""
    ),
    14,
    FALSE
  ),
  0
)
"),0.0)</f>
        <v>0</v>
      </c>
      <c r="U28" s="9">
        <f>IFERROR(__xludf.DUMMYFUNCTION("IFERROR(
  VLOOKUP(
    A28,
    IMPORTRANGE(
      ""1ZHMy3vVUd_0MrSduXTe1etBb1HNpAlGwQr006ljwMiM"",
      ""GSC最新!A:R""
    ),
    17,
    FALSE
  ),
  0
)
"),0.0)</f>
        <v>0</v>
      </c>
      <c r="V28" s="9">
        <f t="shared" ref="V28:W28" si="133">IFERROR(R28-T28,"-")</f>
        <v>0</v>
      </c>
      <c r="W28" s="9">
        <f t="shared" si="133"/>
        <v>0</v>
      </c>
      <c r="X28" s="65" t="str">
        <f>IFERROR(__xludf.DUMMYFUNCTION("IFERROR(
  VLOOKUP(
    A28,
    IMPORTRANGE(
      ""1ZHMy3vVUd_0MrSduXTe1etBb1HNpAlGwQr006ljwMiM"",
      ""GSC最新!A:R""
    ),
    9,
    FALSE
  ),
  0
)
"),"")</f>
        <v/>
      </c>
      <c r="Y28" s="65" t="str">
        <f>IFERROR(__xludf.DUMMYFUNCTION("IFERROR(
  VLOOKUP(
    A28,
    IMPORTRANGE(
      ""1ZHMy3vVUd_0MrSduXTe1etBb1HNpAlGwQr006ljwMiM"",
      ""GSC最新!A:R""
    ),
    12,
    FALSE
  ),
  0
)
"),"")</f>
        <v/>
      </c>
      <c r="Z28" s="65" t="str">
        <f>IFERROR(__xludf.DUMMYFUNCTION("IFERROR(
  VLOOKUP(
    A28,
    IMPORTRANGE(
      ""1ZHMy3vVUd_0MrSduXTe1etBb1HNpAlGwQr006ljwMiM"",
      ""GSC最新!A:R""
    ),
    15,
    FALSE
  ),
  0
)
"),"")</f>
        <v/>
      </c>
      <c r="AA28" s="65" t="str">
        <f>IFERROR(__xludf.DUMMYFUNCTION("IFERROR(
  VLOOKUP(
    A28,
    IMPORTRANGE(
      ""1ZHMy3vVUd_0MrSduXTe1etBb1HNpAlGwQr006ljwMiM"",
      ""GSC最新!A:R""
    ),
    18,
    FALSE
  ),
  0
)
"),"")</f>
        <v/>
      </c>
      <c r="AB28" s="65">
        <f t="shared" ref="AB28:AC28" si="134">X28-Z28</f>
        <v>0</v>
      </c>
      <c r="AC28" s="65">
        <f t="shared" si="134"/>
        <v>0</v>
      </c>
      <c r="AD28" s="53">
        <f>IFERROR(__xludf.DUMMYFUNCTION("IFERROR(
  VLOOKUP(
    A28,
    IMPORTRANGE(
      ""1ZHMy3vVUd_0MrSduXTe1etBb1HNpAlGwQr006ljwMiM"",
      ""GSC最新!A:F""
    ),
    6,
    FALSE
  ),
  0
)
"),46081.0)</f>
        <v>46081</v>
      </c>
      <c r="AE28" s="54">
        <f>IFERROR(__xludf.DUMMYFUNCTION("IFERROR(
  VLOOKUP(
    A28,
    IMPORTRANGE(
      ""1SCYQd7_cobOYqT0r_F0IqD4tE4rYn5y8Eup4PJTH8es"",
      ""Snapshot!A:M""
    ),
    5,
    FALSE
  ),
  ""-""
)
"),0.0)</f>
        <v>0</v>
      </c>
      <c r="AF28" s="54">
        <f>IFERROR(__xludf.DUMMYFUNCTION("IFERROR(
  VLOOKUP(
    A28,
    IMPORTRANGE(
      ""1SCYQd7_cobOYqT0r_F0IqD4tE4rYn5y8Eup4PJTH8es"",
      ""Snapshot!A:M""
    ),
    6,
    FALSE
  ),
  0
)
"),0.0)</f>
        <v>0</v>
      </c>
      <c r="AG28" s="54">
        <f>IFERROR(__xludf.DUMMYFUNCTION("IFERROR(
  VLOOKUP(
    A28,
    IMPORTRANGE(
      ""1SCYQd7_cobOYqT0r_F0IqD4tE4rYn5y8Eup4PJTH8es"",
      ""Snapshot!A:M""
    ),
    7,
    FALSE
  ),
  0
)
"),442.0)</f>
        <v>442</v>
      </c>
      <c r="AH28" s="54">
        <f>IFERROR(__xludf.DUMMYFUNCTION("IFERROR(
  VLOOKUP(
    A28,
    IMPORTRANGE(
      ""1SCYQd7_cobOYqT0r_F0IqD4tE4rYn5y8Eup4PJTH8es"",
      ""Snapshot!A:M""
    ),
    8,
    FALSE
  ),
  0
)
"),1.0)</f>
        <v>1</v>
      </c>
      <c r="AI28" s="54">
        <f>IFERROR(__xludf.DUMMYFUNCTION("IFERROR(
  VLOOKUP(
    A28,
    IMPORTRANGE(
      ""1SCYQd7_cobOYqT0r_F0IqD4tE4rYn5y8Eup4PJTH8es"",
      ""Snapshot!A:M""
    ),
    9,
    FALSE
  ),
  0
)
"),0.0)</f>
        <v>0</v>
      </c>
      <c r="AJ28" s="54">
        <f>IFERROR(__xludf.DUMMYFUNCTION("IFERROR(
  VLOOKUP(
    A28,
    IMPORTRANGE(
      ""1SCYQd7_cobOYqT0r_F0IqD4tE4rYn5y8Eup4PJTH8es"",
      ""Snapshot!A:M""
    ),
    13,
    FALSE
  ),
  0
)
"),1.0)</f>
        <v>1</v>
      </c>
      <c r="AK28" s="49">
        <f t="shared" ref="AK28:AL28" si="135">LEN(C28)</f>
        <v>39</v>
      </c>
      <c r="AL28" s="49">
        <f t="shared" si="135"/>
        <v>55</v>
      </c>
    </row>
    <row r="29">
      <c r="A29" s="1" t="s">
        <v>1341</v>
      </c>
      <c r="B29" s="1" t="str">
        <f>IFERROR(__xludf.DUMMYFUNCTION("IFERROR(
  VLOOKUP(
    A29,
    IMPORTRANGE(
      ""1ZygntHC1J6IxzKbTidmOyf5nUyW4GCLurHCjexrLm_o"",
      ""HTMLキャッシュ!A:F""
    ),
    2,
    FALSE
  ),
  0
)
"),"NW")</f>
        <v>NW</v>
      </c>
      <c r="C29" s="1" t="str">
        <f>IFERROR(__xludf.DUMMYFUNCTION("IFERROR(
  VLOOKUP(
    A29,
    IMPORTRANGE(
      ""1ZygntHC1J6IxzKbTidmOyf5nUyW4GCLurHCjexrLm_o"",
      ""HTMLキャッシュ!A:F""
    ),
    5,
    FALSE
  ),
  0
)
"),"2023年度春期講習開催のお知らせ - 基礎力Stadium「国語のトリガー」")</f>
        <v>2023年度春期講習開催のお知らせ - 基礎力Stadium「国語のトリガー」</v>
      </c>
      <c r="D29" s="1" t="str">
        <f>IFERROR(__xludf.DUMMYFUNCTION("IFERROR(
  VLOOKUP(
    A29,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29" s="32">
        <f>IFERROR(__xludf.DUMMYFUNCTION("IFERROR(
  VLOOKUP(
    A29,
    IMPORTRANGE(
      ""1ZygntHC1J6IxzKbTidmOyf5nUyW4GCLurHCjexrLm_o        "",
      ""HTMLキャッシュ!A:F""
    ),
    3,
    FALSE
  ),
  0
)
"),45598.4912962963)</f>
        <v>45598.4913</v>
      </c>
      <c r="F29" s="49">
        <f>IFERROR(__xludf.DUMMYFUNCTION("IFERROR(
  VLOOKUP(
    A29,
    IMPORTRANGE(
      ""1ZHMy3vVUd_0MrSduXTe1etBb1HNpAlGwQr006ljwMiM"",
      ""GSC最新!A:F""
    ),
    2,
    FALSE
  ),
  0
)
"),0.0)</f>
        <v>0</v>
      </c>
      <c r="G29" s="49">
        <f>IFERROR(__xludf.DUMMYFUNCTION("IFERROR(
  VLOOKUP(
    A29,
    IMPORTRANGE(
      ""1ZHMy3vVUd_0MrSduXTe1etBb1HNpAlGwQr006ljwMiM"",
      ""GSC最新!A:F""
    ),
    3,
    FALSE
  ),
  0
)
"),0.0)</f>
        <v>0</v>
      </c>
      <c r="H29" s="49">
        <f>IFERROR(__xludf.DUMMYFUNCTION("IFERROR(
  VLOOKUP(
    A29,
    IMPORTRANGE(
      ""1ZHMy3vVUd_0MrSduXTe1etBb1HNpAlGwQr006ljwMiM"",
      ""GSC最新!A:F""
    ),
    4,
    FALSE
  ),
  0
)
"),0.0)</f>
        <v>0</v>
      </c>
      <c r="I29" s="49">
        <f>IFERROR(__xludf.DUMMYFUNCTION("IFERROR(
  VLOOKUP(
    A29,
    IMPORTRANGE(
      ""1ZHMy3vVUd_0MrSduXTe1etBb1HNpAlGwQr006ljwMiM"",
      ""GSC最新!A:F""
    ),
    5,
    FALSE
  ),
  0
)
"),0.0)</f>
        <v>0</v>
      </c>
      <c r="J29" s="50" t="str">
        <f t="shared" ref="J29:K29" si="136">IFERROR(F29/H29,"-")</f>
        <v>-</v>
      </c>
      <c r="K29" s="50" t="str">
        <f t="shared" si="136"/>
        <v>-</v>
      </c>
      <c r="L29" s="6">
        <f>IFERROR(__xludf.DUMMYFUNCTION("IFERROR(
  VLOOKUP(
    A29,
    IMPORTRANGE(
      ""1ZHMy3vVUd_0MrSduXTe1etBb1HNpAlGwQr006ljwMiM"",
      ""GSC最新!A:R""
    ),
    7,
    FALSE
  ),
  0
)
"),0.0)</f>
        <v>0</v>
      </c>
      <c r="M29" s="6">
        <f>IFERROR(__xludf.DUMMYFUNCTION("IFERROR(
  VLOOKUP(
    A29,
    IMPORTRANGE(
      ""1ZHMy3vVUd_0MrSduXTe1etBb1HNpAlGwQr006ljwMiM"",
      ""GSC最新!A:R""
    ),
    10,
    FALSE
  ),
  0
)
"),0.0)</f>
        <v>0</v>
      </c>
      <c r="N29" s="6">
        <f>IFERROR(__xludf.DUMMYFUNCTION("IFERROR(
  VLOOKUP(
    A29,
    IMPORTRANGE(
      ""1ZHMy3vVUd_0MrSduXTe1etBb1HNpAlGwQr006ljwMiM"",
      ""GSC最新!A:R""
    ),
    13,
    FALSE
  ),
  0
)
"),0.0)</f>
        <v>0</v>
      </c>
      <c r="O29" s="6">
        <f>IFERROR(__xludf.DUMMYFUNCTION("IFERROR(
  VLOOKUP(
    A29,
    IMPORTRANGE(
      ""1ZHMy3vVUd_0MrSduXTe1etBb1HNpAlGwQr006ljwMiM"",
      ""GSC最新!A:R""
    ),
    16,
    FALSE
  ),
  0
)
"),0.0)</f>
        <v>0</v>
      </c>
      <c r="P29" s="51" t="str">
        <f t="shared" ref="P29:Q29" si="137">IFERROR(L29/N29,"-")</f>
        <v>-</v>
      </c>
      <c r="Q29" s="51" t="str">
        <f t="shared" si="137"/>
        <v>-</v>
      </c>
      <c r="R29" s="9">
        <f>IFERROR(__xludf.DUMMYFUNCTION("IFERROR(
  VLOOKUP(
    A29,
    IMPORTRANGE(
      ""1ZHMy3vVUd_0MrSduXTe1etBb1HNpAlGwQr006ljwMiM"",
      ""GSC最新!A:R""
    ),
    8,
    FALSE
  ),
  0
)
"),0.0)</f>
        <v>0</v>
      </c>
      <c r="S29" s="9">
        <f>IFERROR(__xludf.DUMMYFUNCTION("IFERROR(
  VLOOKUP(
    A29,
    IMPORTRANGE(
      ""1ZHMy3vVUd_0MrSduXTe1etBb1HNpAlGwQr006ljwMiM"",
      ""GSC最新!A:R""
    ),
    11,
    FALSE
  ),
  0
)
"),0.0)</f>
        <v>0</v>
      </c>
      <c r="T29" s="9">
        <f>IFERROR(__xludf.DUMMYFUNCTION("IFERROR(
  VLOOKUP(
    A29,
    IMPORTRANGE(
      ""1ZHMy3vVUd_0MrSduXTe1etBb1HNpAlGwQr006ljwMiM"",
      ""GSC最新!A:R""
    ),
    14,
    FALSE
  ),
  0
)
"),0.0)</f>
        <v>0</v>
      </c>
      <c r="U29" s="9">
        <f>IFERROR(__xludf.DUMMYFUNCTION("IFERROR(
  VLOOKUP(
    A29,
    IMPORTRANGE(
      ""1ZHMy3vVUd_0MrSduXTe1etBb1HNpAlGwQr006ljwMiM"",
      ""GSC最新!A:R""
    ),
    17,
    FALSE
  ),
  0
)
"),0.0)</f>
        <v>0</v>
      </c>
      <c r="V29" s="9">
        <f t="shared" ref="V29:W29" si="138">IFERROR(R29-T29,"-")</f>
        <v>0</v>
      </c>
      <c r="W29" s="9">
        <f t="shared" si="138"/>
        <v>0</v>
      </c>
      <c r="X29" s="65" t="str">
        <f>IFERROR(__xludf.DUMMYFUNCTION("IFERROR(
  VLOOKUP(
    A29,
    IMPORTRANGE(
      ""1ZHMy3vVUd_0MrSduXTe1etBb1HNpAlGwQr006ljwMiM"",
      ""GSC最新!A:R""
    ),
    9,
    FALSE
  ),
  0
)
"),"")</f>
        <v/>
      </c>
      <c r="Y29" s="65" t="str">
        <f>IFERROR(__xludf.DUMMYFUNCTION("IFERROR(
  VLOOKUP(
    A29,
    IMPORTRANGE(
      ""1ZHMy3vVUd_0MrSduXTe1etBb1HNpAlGwQr006ljwMiM"",
      ""GSC最新!A:R""
    ),
    12,
    FALSE
  ),
  0
)
"),"")</f>
        <v/>
      </c>
      <c r="Z29" s="65" t="str">
        <f>IFERROR(__xludf.DUMMYFUNCTION("IFERROR(
  VLOOKUP(
    A29,
    IMPORTRANGE(
      ""1ZHMy3vVUd_0MrSduXTe1etBb1HNpAlGwQr006ljwMiM"",
      ""GSC最新!A:R""
    ),
    15,
    FALSE
  ),
  0
)
"),"")</f>
        <v/>
      </c>
      <c r="AA29" s="65" t="str">
        <f>IFERROR(__xludf.DUMMYFUNCTION("IFERROR(
  VLOOKUP(
    A29,
    IMPORTRANGE(
      ""1ZHMy3vVUd_0MrSduXTe1etBb1HNpAlGwQr006ljwMiM"",
      ""GSC最新!A:R""
    ),
    18,
    FALSE
  ),
  0
)
"),"")</f>
        <v/>
      </c>
      <c r="AB29" s="65">
        <f t="shared" ref="AB29:AC29" si="139">X29-Z29</f>
        <v>0</v>
      </c>
      <c r="AC29" s="65">
        <f t="shared" si="139"/>
        <v>0</v>
      </c>
      <c r="AD29" s="53">
        <f>IFERROR(__xludf.DUMMYFUNCTION("IFERROR(
  VLOOKUP(
    A29,
    IMPORTRANGE(
      ""1ZHMy3vVUd_0MrSduXTe1etBb1HNpAlGwQr006ljwMiM"",
      ""GSC最新!A:F""
    ),
    6,
    FALSE
  ),
  0
)
"),46081.0)</f>
        <v>46081</v>
      </c>
      <c r="AE29" s="54">
        <f>IFERROR(__xludf.DUMMYFUNCTION("IFERROR(
  VLOOKUP(
    A29,
    IMPORTRANGE(
      ""1SCYQd7_cobOYqT0r_F0IqD4tE4rYn5y8Eup4PJTH8es"",
      ""Snapshot!A:M""
    ),
    5,
    FALSE
  ),
  ""-""
)
"),0.0)</f>
        <v>0</v>
      </c>
      <c r="AF29" s="54">
        <f>IFERROR(__xludf.DUMMYFUNCTION("IFERROR(
  VLOOKUP(
    A29,
    IMPORTRANGE(
      ""1SCYQd7_cobOYqT0r_F0IqD4tE4rYn5y8Eup4PJTH8es"",
      ""Snapshot!A:M""
    ),
    6,
    FALSE
  ),
  0
)
"),0.0)</f>
        <v>0</v>
      </c>
      <c r="AG29" s="54">
        <f>IFERROR(__xludf.DUMMYFUNCTION("IFERROR(
  VLOOKUP(
    A29,
    IMPORTRANGE(
      ""1SCYQd7_cobOYqT0r_F0IqD4tE4rYn5y8Eup4PJTH8es"",
      ""Snapshot!A:M""
    ),
    7,
    FALSE
  ),
  0
)
"),541.0)</f>
        <v>541</v>
      </c>
      <c r="AH29" s="54">
        <f>IFERROR(__xludf.DUMMYFUNCTION("IFERROR(
  VLOOKUP(
    A29,
    IMPORTRANGE(
      ""1SCYQd7_cobOYqT0r_F0IqD4tE4rYn5y8Eup4PJTH8es"",
      ""Snapshot!A:M""
    ),
    8,
    FALSE
  ),
  0
)
"),1.0)</f>
        <v>1</v>
      </c>
      <c r="AI29" s="54">
        <f>IFERROR(__xludf.DUMMYFUNCTION("IFERROR(
  VLOOKUP(
    A29,
    IMPORTRANGE(
      ""1SCYQd7_cobOYqT0r_F0IqD4tE4rYn5y8Eup4PJTH8es"",
      ""Snapshot!A:M""
    ),
    9,
    FALSE
  ),
  0
)
"),0.0)</f>
        <v>0</v>
      </c>
      <c r="AJ29" s="54">
        <f>IFERROR(__xludf.DUMMYFUNCTION("IFERROR(
  VLOOKUP(
    A29,
    IMPORTRANGE(
      ""1SCYQd7_cobOYqT0r_F0IqD4tE4rYn5y8Eup4PJTH8es"",
      ""Snapshot!A:M""
    ),
    13,
    FALSE
  ),
  0
)
"),1.0)</f>
        <v>1</v>
      </c>
      <c r="AK29" s="49">
        <f t="shared" ref="AK29:AL29" si="140">LEN(C29)</f>
        <v>39</v>
      </c>
      <c r="AL29" s="49">
        <f t="shared" si="140"/>
        <v>55</v>
      </c>
    </row>
    <row r="30">
      <c r="A30" s="1" t="s">
        <v>1342</v>
      </c>
      <c r="B30" s="1" t="str">
        <f>IFERROR(__xludf.DUMMYFUNCTION("IFERROR(
  VLOOKUP(
    A30,
    IMPORTRANGE(
      ""1ZygntHC1J6IxzKbTidmOyf5nUyW4GCLurHCjexrLm_o"",
      ""HTMLキャッシュ!A:F""
    ),
    2,
    FALSE
  ),
  0
)
"),"NW")</f>
        <v>NW</v>
      </c>
      <c r="C30" s="1" t="str">
        <f>IFERROR(__xludf.DUMMYFUNCTION("IFERROR(
  VLOOKUP(
    A30,
    IMPORTRANGE(
      ""1ZygntHC1J6IxzKbTidmOyf5nUyW4GCLurHCjexrLm_o"",
      ""HTMLキャッシュ!A:F""
    ),
    5,
    FALSE
  ),
  0
)
"),"2023年度生徒募集のお知らせ【個別】 - 基礎力Stadium「国語のトリガー」")</f>
        <v>2023年度生徒募集のお知らせ【個別】 - 基礎力Stadium「国語のトリガー」</v>
      </c>
      <c r="D30" s="1" t="str">
        <f>IFERROR(__xludf.DUMMYFUNCTION("IFERROR(
  VLOOKUP(
    A30,
    IMPORTRANGE(
      ""1ZygntHC1J6IxzKbTidmOyf5nUyW4GCLurHCjexrLm_o        "",
      ""HTMLキャッシュ!A:F""
    ),
    6,
    FALSE
  ),
  0
)
"),"本日より、2023年度、「完全１対１」の個別指導の生徒募集を開始致します。 詳細については、下記をご覧下さいま")</f>
        <v>本日より、2023年度、「完全１対１」の個別指導の生徒募集を開始致します。 詳細については、下記をご覧下さいま</v>
      </c>
      <c r="E30" s="32">
        <f>IFERROR(__xludf.DUMMYFUNCTION("IFERROR(
  VLOOKUP(
    A30,
    IMPORTRANGE(
      ""1ZygntHC1J6IxzKbTidmOyf5nUyW4GCLurHCjexrLm_o        "",
      ""HTMLキャッシュ!A:F""
    ),
    3,
    FALSE
  ),
  0
)
"),45598.49105324074)</f>
        <v>45598.49105</v>
      </c>
      <c r="F30" s="49">
        <f>IFERROR(__xludf.DUMMYFUNCTION("IFERROR(
  VLOOKUP(
    A30,
    IMPORTRANGE(
      ""1ZHMy3vVUd_0MrSduXTe1etBb1HNpAlGwQr006ljwMiM"",
      ""GSC最新!A:F""
    ),
    2,
    FALSE
  ),
  0
)
"),0.0)</f>
        <v>0</v>
      </c>
      <c r="G30" s="49">
        <f>IFERROR(__xludf.DUMMYFUNCTION("IFERROR(
  VLOOKUP(
    A30,
    IMPORTRANGE(
      ""1ZHMy3vVUd_0MrSduXTe1etBb1HNpAlGwQr006ljwMiM"",
      ""GSC最新!A:F""
    ),
    3,
    FALSE
  ),
  0
)
"),0.0)</f>
        <v>0</v>
      </c>
      <c r="H30" s="49">
        <f>IFERROR(__xludf.DUMMYFUNCTION("IFERROR(
  VLOOKUP(
    A30,
    IMPORTRANGE(
      ""1ZHMy3vVUd_0MrSduXTe1etBb1HNpAlGwQr006ljwMiM"",
      ""GSC最新!A:F""
    ),
    4,
    FALSE
  ),
  0
)
"),0.0)</f>
        <v>0</v>
      </c>
      <c r="I30" s="49">
        <f>IFERROR(__xludf.DUMMYFUNCTION("IFERROR(
  VLOOKUP(
    A30,
    IMPORTRANGE(
      ""1ZHMy3vVUd_0MrSduXTe1etBb1HNpAlGwQr006ljwMiM"",
      ""GSC最新!A:F""
    ),
    5,
    FALSE
  ),
  0
)
"),0.0)</f>
        <v>0</v>
      </c>
      <c r="J30" s="50" t="str">
        <f t="shared" ref="J30:K30" si="141">IFERROR(F30/H30,"-")</f>
        <v>-</v>
      </c>
      <c r="K30" s="50" t="str">
        <f t="shared" si="141"/>
        <v>-</v>
      </c>
      <c r="L30" s="6">
        <f>IFERROR(__xludf.DUMMYFUNCTION("IFERROR(
  VLOOKUP(
    A30,
    IMPORTRANGE(
      ""1ZHMy3vVUd_0MrSduXTe1etBb1HNpAlGwQr006ljwMiM"",
      ""GSC最新!A:R""
    ),
    7,
    FALSE
  ),
  0
)
"),0.0)</f>
        <v>0</v>
      </c>
      <c r="M30" s="6">
        <f>IFERROR(__xludf.DUMMYFUNCTION("IFERROR(
  VLOOKUP(
    A30,
    IMPORTRANGE(
      ""1ZHMy3vVUd_0MrSduXTe1etBb1HNpAlGwQr006ljwMiM"",
      ""GSC最新!A:R""
    ),
    10,
    FALSE
  ),
  0
)
"),0.0)</f>
        <v>0</v>
      </c>
      <c r="N30" s="6">
        <f>IFERROR(__xludf.DUMMYFUNCTION("IFERROR(
  VLOOKUP(
    A30,
    IMPORTRANGE(
      ""1ZHMy3vVUd_0MrSduXTe1etBb1HNpAlGwQr006ljwMiM"",
      ""GSC最新!A:R""
    ),
    13,
    FALSE
  ),
  0
)
"),0.0)</f>
        <v>0</v>
      </c>
      <c r="O30" s="6">
        <f>IFERROR(__xludf.DUMMYFUNCTION("IFERROR(
  VLOOKUP(
    A30,
    IMPORTRANGE(
      ""1ZHMy3vVUd_0MrSduXTe1etBb1HNpAlGwQr006ljwMiM"",
      ""GSC最新!A:R""
    ),
    16,
    FALSE
  ),
  0
)
"),0.0)</f>
        <v>0</v>
      </c>
      <c r="P30" s="51" t="str">
        <f t="shared" ref="P30:Q30" si="142">IFERROR(L30/N30,"-")</f>
        <v>-</v>
      </c>
      <c r="Q30" s="51" t="str">
        <f t="shared" si="142"/>
        <v>-</v>
      </c>
      <c r="R30" s="9">
        <f>IFERROR(__xludf.DUMMYFUNCTION("IFERROR(
  VLOOKUP(
    A30,
    IMPORTRANGE(
      ""1ZHMy3vVUd_0MrSduXTe1etBb1HNpAlGwQr006ljwMiM"",
      ""GSC最新!A:R""
    ),
    8,
    FALSE
  ),
  0
)
"),0.0)</f>
        <v>0</v>
      </c>
      <c r="S30" s="9">
        <f>IFERROR(__xludf.DUMMYFUNCTION("IFERROR(
  VLOOKUP(
    A30,
    IMPORTRANGE(
      ""1ZHMy3vVUd_0MrSduXTe1etBb1HNpAlGwQr006ljwMiM"",
      ""GSC最新!A:R""
    ),
    11,
    FALSE
  ),
  0
)
"),0.0)</f>
        <v>0</v>
      </c>
      <c r="T30" s="9">
        <f>IFERROR(__xludf.DUMMYFUNCTION("IFERROR(
  VLOOKUP(
    A30,
    IMPORTRANGE(
      ""1ZHMy3vVUd_0MrSduXTe1etBb1HNpAlGwQr006ljwMiM"",
      ""GSC最新!A:R""
    ),
    14,
    FALSE
  ),
  0
)
"),0.0)</f>
        <v>0</v>
      </c>
      <c r="U30" s="9">
        <f>IFERROR(__xludf.DUMMYFUNCTION("IFERROR(
  VLOOKUP(
    A30,
    IMPORTRANGE(
      ""1ZHMy3vVUd_0MrSduXTe1etBb1HNpAlGwQr006ljwMiM"",
      ""GSC最新!A:R""
    ),
    17,
    FALSE
  ),
  0
)
"),0.0)</f>
        <v>0</v>
      </c>
      <c r="V30" s="9">
        <f t="shared" ref="V30:W30" si="143">IFERROR(R30-T30,"-")</f>
        <v>0</v>
      </c>
      <c r="W30" s="9">
        <f t="shared" si="143"/>
        <v>0</v>
      </c>
      <c r="X30" s="65" t="str">
        <f>IFERROR(__xludf.DUMMYFUNCTION("IFERROR(
  VLOOKUP(
    A30,
    IMPORTRANGE(
      ""1ZHMy3vVUd_0MrSduXTe1etBb1HNpAlGwQr006ljwMiM"",
      ""GSC最新!A:R""
    ),
    9,
    FALSE
  ),
  0
)
"),"")</f>
        <v/>
      </c>
      <c r="Y30" s="65" t="str">
        <f>IFERROR(__xludf.DUMMYFUNCTION("IFERROR(
  VLOOKUP(
    A30,
    IMPORTRANGE(
      ""1ZHMy3vVUd_0MrSduXTe1etBb1HNpAlGwQr006ljwMiM"",
      ""GSC最新!A:R""
    ),
    12,
    FALSE
  ),
  0
)
"),"")</f>
        <v/>
      </c>
      <c r="Z30" s="65" t="str">
        <f>IFERROR(__xludf.DUMMYFUNCTION("IFERROR(
  VLOOKUP(
    A30,
    IMPORTRANGE(
      ""1ZHMy3vVUd_0MrSduXTe1etBb1HNpAlGwQr006ljwMiM"",
      ""GSC最新!A:R""
    ),
    15,
    FALSE
  ),
  0
)
"),"")</f>
        <v/>
      </c>
      <c r="AA30" s="65" t="str">
        <f>IFERROR(__xludf.DUMMYFUNCTION("IFERROR(
  VLOOKUP(
    A30,
    IMPORTRANGE(
      ""1ZHMy3vVUd_0MrSduXTe1etBb1HNpAlGwQr006ljwMiM"",
      ""GSC最新!A:R""
    ),
    18,
    FALSE
  ),
  0
)
"),"")</f>
        <v/>
      </c>
      <c r="AB30" s="65">
        <f t="shared" ref="AB30:AC30" si="144">X30-Z30</f>
        <v>0</v>
      </c>
      <c r="AC30" s="65">
        <f t="shared" si="144"/>
        <v>0</v>
      </c>
      <c r="AD30" s="53">
        <f>IFERROR(__xludf.DUMMYFUNCTION("IFERROR(
  VLOOKUP(
    A30,
    IMPORTRANGE(
      ""1ZHMy3vVUd_0MrSduXTe1etBb1HNpAlGwQr006ljwMiM"",
      ""GSC最新!A:F""
    ),
    6,
    FALSE
  ),
  0
)
"),46081.0)</f>
        <v>46081</v>
      </c>
      <c r="AE30" s="54">
        <f>IFERROR(__xludf.DUMMYFUNCTION("IFERROR(
  VLOOKUP(
    A30,
    IMPORTRANGE(
      ""1SCYQd7_cobOYqT0r_F0IqD4tE4rYn5y8Eup4PJTH8es"",
      ""Snapshot!A:M""
    ),
    5,
    FALSE
  ),
  ""-""
)
"),0.0)</f>
        <v>0</v>
      </c>
      <c r="AF30" s="54">
        <f>IFERROR(__xludf.DUMMYFUNCTION("IFERROR(
  VLOOKUP(
    A30,
    IMPORTRANGE(
      ""1SCYQd7_cobOYqT0r_F0IqD4tE4rYn5y8Eup4PJTH8es"",
      ""Snapshot!A:M""
    ),
    6,
    FALSE
  ),
  0
)
"),0.0)</f>
        <v>0</v>
      </c>
      <c r="AG30" s="54">
        <f>IFERROR(__xludf.DUMMYFUNCTION("IFERROR(
  VLOOKUP(
    A30,
    IMPORTRANGE(
      ""1SCYQd7_cobOYqT0r_F0IqD4tE4rYn5y8Eup4PJTH8es"",
      ""Snapshot!A:M""
    ),
    7,
    FALSE
  ),
  0
)
"),431.0)</f>
        <v>431</v>
      </c>
      <c r="AH30" s="54">
        <f>IFERROR(__xludf.DUMMYFUNCTION("IFERROR(
  VLOOKUP(
    A30,
    IMPORTRANGE(
      ""1SCYQd7_cobOYqT0r_F0IqD4tE4rYn5y8Eup4PJTH8es"",
      ""Snapshot!A:M""
    ),
    8,
    FALSE
  ),
  0
)
"),0.0)</f>
        <v>0</v>
      </c>
      <c r="AI30" s="54">
        <f>IFERROR(__xludf.DUMMYFUNCTION("IFERROR(
  VLOOKUP(
    A30,
    IMPORTRANGE(
      ""1SCYQd7_cobOYqT0r_F0IqD4tE4rYn5y8Eup4PJTH8es"",
      ""Snapshot!A:M""
    ),
    9,
    FALSE
  ),
  0
)
"),0.0)</f>
        <v>0</v>
      </c>
      <c r="AJ30" s="54">
        <f>IFERROR(__xludf.DUMMYFUNCTION("IFERROR(
  VLOOKUP(
    A30,
    IMPORTRANGE(
      ""1SCYQd7_cobOYqT0r_F0IqD4tE4rYn5y8Eup4PJTH8es"",
      ""Snapshot!A:M""
    ),
    13,
    FALSE
  ),
  0
)
"),1.0)</f>
        <v>1</v>
      </c>
      <c r="AK30" s="49">
        <f t="shared" ref="AK30:AL30" si="145">LEN(C30)</f>
        <v>41</v>
      </c>
      <c r="AL30" s="49">
        <f t="shared" si="145"/>
        <v>55</v>
      </c>
    </row>
    <row r="31">
      <c r="A31" s="1" t="s">
        <v>1343</v>
      </c>
      <c r="B31" s="1" t="str">
        <f>IFERROR(__xludf.DUMMYFUNCTION("IFERROR(
  VLOOKUP(
    A31,
    IMPORTRANGE(
      ""1ZygntHC1J6IxzKbTidmOyf5nUyW4GCLurHCjexrLm_o"",
      ""HTMLキャッシュ!A:F""
    ),
    2,
    FALSE
  ),
  0
)
"),"NW")</f>
        <v>NW</v>
      </c>
      <c r="C31" s="1" t="str">
        <f>IFERROR(__xludf.DUMMYFUNCTION("IFERROR(
  VLOOKUP(
    A31,
    IMPORTRANGE(
      ""1ZygntHC1J6IxzKbTidmOyf5nUyW4GCLurHCjexrLm_o"",
      ""HTMLキャッシュ!A:F""
    ),
    5,
    FALSE
  ),
  0
)
"),"2022年度冬期講習開講のお知らせ - 基礎力Stadium「国語のトリガー」")</f>
        <v>2022年度冬期講習開講のお知らせ - 基礎力Stadium「国語のトリガー」</v>
      </c>
      <c r="D31" s="1" t="str">
        <f>IFERROR(__xludf.DUMMYFUNCTION("IFERROR(
  VLOOKUP(
    A31,
    IMPORTRANGE(
      ""1ZygntHC1J6IxzKbTidmOyf5nUyW4GCLurHCjexrLm_o        "",
      ""HTMLキャッシュ!A:F""
    ),
    6,
    FALSE
  ),
  0
)
"),"当塾では冬期講習会を実施いたします。現在、当塾に通う生徒の皆さんはもちろん、普段他塾に通われている生徒さんにも")</f>
        <v>当塾では冬期講習会を実施いたします。現在、当塾に通う生徒の皆さんはもちろん、普段他塾に通われている生徒さんにも</v>
      </c>
      <c r="E31" s="32">
        <f>IFERROR(__xludf.DUMMYFUNCTION("IFERROR(
  VLOOKUP(
    A31,
    IMPORTRANGE(
      ""1ZygntHC1J6IxzKbTidmOyf5nUyW4GCLurHCjexrLm_o        "",
      ""HTMLキャッシュ!A:F""
    ),
    3,
    FALSE
  ),
  0
)
"),45598.49083333334)</f>
        <v>45598.49083</v>
      </c>
      <c r="F31" s="49">
        <f>IFERROR(__xludf.DUMMYFUNCTION("IFERROR(
  VLOOKUP(
    A31,
    IMPORTRANGE(
      ""1ZHMy3vVUd_0MrSduXTe1etBb1HNpAlGwQr006ljwMiM"",
      ""GSC最新!A:F""
    ),
    2,
    FALSE
  ),
  0
)
"),0.0)</f>
        <v>0</v>
      </c>
      <c r="G31" s="49">
        <f>IFERROR(__xludf.DUMMYFUNCTION("IFERROR(
  VLOOKUP(
    A31,
    IMPORTRANGE(
      ""1ZHMy3vVUd_0MrSduXTe1etBb1HNpAlGwQr006ljwMiM"",
      ""GSC最新!A:F""
    ),
    3,
    FALSE
  ),
  0
)
"),0.0)</f>
        <v>0</v>
      </c>
      <c r="H31" s="49">
        <f>IFERROR(__xludf.DUMMYFUNCTION("IFERROR(
  VLOOKUP(
    A31,
    IMPORTRANGE(
      ""1ZHMy3vVUd_0MrSduXTe1etBb1HNpAlGwQr006ljwMiM"",
      ""GSC最新!A:F""
    ),
    4,
    FALSE
  ),
  0
)
"),0.0)</f>
        <v>0</v>
      </c>
      <c r="I31" s="49">
        <f>IFERROR(__xludf.DUMMYFUNCTION("IFERROR(
  VLOOKUP(
    A31,
    IMPORTRANGE(
      ""1ZHMy3vVUd_0MrSduXTe1etBb1HNpAlGwQr006ljwMiM"",
      ""GSC最新!A:F""
    ),
    5,
    FALSE
  ),
  0
)
"),0.0)</f>
        <v>0</v>
      </c>
      <c r="J31" s="50" t="str">
        <f t="shared" ref="J31:K31" si="146">IFERROR(F31/H31,"-")</f>
        <v>-</v>
      </c>
      <c r="K31" s="50" t="str">
        <f t="shared" si="146"/>
        <v>-</v>
      </c>
      <c r="L31" s="6">
        <f>IFERROR(__xludf.DUMMYFUNCTION("IFERROR(
  VLOOKUP(
    A31,
    IMPORTRANGE(
      ""1ZHMy3vVUd_0MrSduXTe1etBb1HNpAlGwQr006ljwMiM"",
      ""GSC最新!A:R""
    ),
    7,
    FALSE
  ),
  0
)
"),0.0)</f>
        <v>0</v>
      </c>
      <c r="M31" s="6">
        <f>IFERROR(__xludf.DUMMYFUNCTION("IFERROR(
  VLOOKUP(
    A31,
    IMPORTRANGE(
      ""1ZHMy3vVUd_0MrSduXTe1etBb1HNpAlGwQr006ljwMiM"",
      ""GSC最新!A:R""
    ),
    10,
    FALSE
  ),
  0
)
"),0.0)</f>
        <v>0</v>
      </c>
      <c r="N31" s="6">
        <f>IFERROR(__xludf.DUMMYFUNCTION("IFERROR(
  VLOOKUP(
    A31,
    IMPORTRANGE(
      ""1ZHMy3vVUd_0MrSduXTe1etBb1HNpAlGwQr006ljwMiM"",
      ""GSC最新!A:R""
    ),
    13,
    FALSE
  ),
  0
)
"),0.0)</f>
        <v>0</v>
      </c>
      <c r="O31" s="6">
        <f>IFERROR(__xludf.DUMMYFUNCTION("IFERROR(
  VLOOKUP(
    A31,
    IMPORTRANGE(
      ""1ZHMy3vVUd_0MrSduXTe1etBb1HNpAlGwQr006ljwMiM"",
      ""GSC最新!A:R""
    ),
    16,
    FALSE
  ),
  0
)
"),0.0)</f>
        <v>0</v>
      </c>
      <c r="P31" s="51" t="str">
        <f t="shared" ref="P31:Q31" si="147">IFERROR(L31/N31,"-")</f>
        <v>-</v>
      </c>
      <c r="Q31" s="51" t="str">
        <f t="shared" si="147"/>
        <v>-</v>
      </c>
      <c r="R31" s="9">
        <f>IFERROR(__xludf.DUMMYFUNCTION("IFERROR(
  VLOOKUP(
    A31,
    IMPORTRANGE(
      ""1ZHMy3vVUd_0MrSduXTe1etBb1HNpAlGwQr006ljwMiM"",
      ""GSC最新!A:R""
    ),
    8,
    FALSE
  ),
  0
)
"),0.0)</f>
        <v>0</v>
      </c>
      <c r="S31" s="9">
        <f>IFERROR(__xludf.DUMMYFUNCTION("IFERROR(
  VLOOKUP(
    A31,
    IMPORTRANGE(
      ""1ZHMy3vVUd_0MrSduXTe1etBb1HNpAlGwQr006ljwMiM"",
      ""GSC最新!A:R""
    ),
    11,
    FALSE
  ),
  0
)
"),0.0)</f>
        <v>0</v>
      </c>
      <c r="T31" s="9">
        <f>IFERROR(__xludf.DUMMYFUNCTION("IFERROR(
  VLOOKUP(
    A31,
    IMPORTRANGE(
      ""1ZHMy3vVUd_0MrSduXTe1etBb1HNpAlGwQr006ljwMiM"",
      ""GSC最新!A:R""
    ),
    14,
    FALSE
  ),
  0
)
"),0.0)</f>
        <v>0</v>
      </c>
      <c r="U31" s="9">
        <f>IFERROR(__xludf.DUMMYFUNCTION("IFERROR(
  VLOOKUP(
    A31,
    IMPORTRANGE(
      ""1ZHMy3vVUd_0MrSduXTe1etBb1HNpAlGwQr006ljwMiM"",
      ""GSC最新!A:R""
    ),
    17,
    FALSE
  ),
  0
)
"),0.0)</f>
        <v>0</v>
      </c>
      <c r="V31" s="9">
        <f t="shared" ref="V31:W31" si="148">IFERROR(R31-T31,"-")</f>
        <v>0</v>
      </c>
      <c r="W31" s="9">
        <f t="shared" si="148"/>
        <v>0</v>
      </c>
      <c r="X31" s="65" t="str">
        <f>IFERROR(__xludf.DUMMYFUNCTION("IFERROR(
  VLOOKUP(
    A31,
    IMPORTRANGE(
      ""1ZHMy3vVUd_0MrSduXTe1etBb1HNpAlGwQr006ljwMiM"",
      ""GSC最新!A:R""
    ),
    9,
    FALSE
  ),
  0
)
"),"")</f>
        <v/>
      </c>
      <c r="Y31" s="65" t="str">
        <f>IFERROR(__xludf.DUMMYFUNCTION("IFERROR(
  VLOOKUP(
    A31,
    IMPORTRANGE(
      ""1ZHMy3vVUd_0MrSduXTe1etBb1HNpAlGwQr006ljwMiM"",
      ""GSC最新!A:R""
    ),
    12,
    FALSE
  ),
  0
)
"),"")</f>
        <v/>
      </c>
      <c r="Z31" s="65" t="str">
        <f>IFERROR(__xludf.DUMMYFUNCTION("IFERROR(
  VLOOKUP(
    A31,
    IMPORTRANGE(
      ""1ZHMy3vVUd_0MrSduXTe1etBb1HNpAlGwQr006ljwMiM"",
      ""GSC最新!A:R""
    ),
    15,
    FALSE
  ),
  0
)
"),"")</f>
        <v/>
      </c>
      <c r="AA31" s="65" t="str">
        <f>IFERROR(__xludf.DUMMYFUNCTION("IFERROR(
  VLOOKUP(
    A31,
    IMPORTRANGE(
      ""1ZHMy3vVUd_0MrSduXTe1etBb1HNpAlGwQr006ljwMiM"",
      ""GSC最新!A:R""
    ),
    18,
    FALSE
  ),
  0
)
"),"")</f>
        <v/>
      </c>
      <c r="AB31" s="65">
        <f t="shared" ref="AB31:AC31" si="149">X31-Z31</f>
        <v>0</v>
      </c>
      <c r="AC31" s="65">
        <f t="shared" si="149"/>
        <v>0</v>
      </c>
      <c r="AD31" s="53">
        <f>IFERROR(__xludf.DUMMYFUNCTION("IFERROR(
  VLOOKUP(
    A31,
    IMPORTRANGE(
      ""1ZHMy3vVUd_0MrSduXTe1etBb1HNpAlGwQr006ljwMiM"",
      ""GSC最新!A:F""
    ),
    6,
    FALSE
  ),
  0
)
"),46081.0)</f>
        <v>46081</v>
      </c>
      <c r="AE31" s="54">
        <f>IFERROR(__xludf.DUMMYFUNCTION("IFERROR(
  VLOOKUP(
    A31,
    IMPORTRANGE(
      ""1SCYQd7_cobOYqT0r_F0IqD4tE4rYn5y8Eup4PJTH8es"",
      ""Snapshot!A:M""
    ),
    5,
    FALSE
  ),
  ""-""
)
"),0.0)</f>
        <v>0</v>
      </c>
      <c r="AF31" s="54">
        <f>IFERROR(__xludf.DUMMYFUNCTION("IFERROR(
  VLOOKUP(
    A31,
    IMPORTRANGE(
      ""1SCYQd7_cobOYqT0r_F0IqD4tE4rYn5y8Eup4PJTH8es"",
      ""Snapshot!A:M""
    ),
    6,
    FALSE
  ),
  0
)
"),0.0)</f>
        <v>0</v>
      </c>
      <c r="AG31" s="54">
        <f>IFERROR(__xludf.DUMMYFUNCTION("IFERROR(
  VLOOKUP(
    A31,
    IMPORTRANGE(
      ""1SCYQd7_cobOYqT0r_F0IqD4tE4rYn5y8Eup4PJTH8es"",
      ""Snapshot!A:M""
    ),
    7,
    FALSE
  ),
  0
)
"),448.0)</f>
        <v>448</v>
      </c>
      <c r="AH31" s="54">
        <f>IFERROR(__xludf.DUMMYFUNCTION("IFERROR(
  VLOOKUP(
    A31,
    IMPORTRANGE(
      ""1SCYQd7_cobOYqT0r_F0IqD4tE4rYn5y8Eup4PJTH8es"",
      ""Snapshot!A:M""
    ),
    8,
    FALSE
  ),
  0
)
"),1.0)</f>
        <v>1</v>
      </c>
      <c r="AI31" s="54">
        <f>IFERROR(__xludf.DUMMYFUNCTION("IFERROR(
  VLOOKUP(
    A31,
    IMPORTRANGE(
      ""1SCYQd7_cobOYqT0r_F0IqD4tE4rYn5y8Eup4PJTH8es"",
      ""Snapshot!A:M""
    ),
    9,
    FALSE
  ),
  0
)
"),0.0)</f>
        <v>0</v>
      </c>
      <c r="AJ31" s="54">
        <f>IFERROR(__xludf.DUMMYFUNCTION("IFERROR(
  VLOOKUP(
    A31,
    IMPORTRANGE(
      ""1SCYQd7_cobOYqT0r_F0IqD4tE4rYn5y8Eup4PJTH8es"",
      ""Snapshot!A:M""
    ),
    13,
    FALSE
  ),
  0
)
"),1.0)</f>
        <v>1</v>
      </c>
      <c r="AK31" s="49">
        <f t="shared" ref="AK31:AL31" si="150">LEN(C31)</f>
        <v>39</v>
      </c>
      <c r="AL31" s="49">
        <f t="shared" si="150"/>
        <v>55</v>
      </c>
    </row>
    <row r="32">
      <c r="A32" s="1" t="s">
        <v>1344</v>
      </c>
      <c r="B32" s="1" t="str">
        <f>IFERROR(__xludf.DUMMYFUNCTION("IFERROR(
  VLOOKUP(
    A32,
    IMPORTRANGE(
      ""1ZygntHC1J6IxzKbTidmOyf5nUyW4GCLurHCjexrLm_o"",
      ""HTMLキャッシュ!A:F""
    ),
    2,
    FALSE
  ),
  0
)
"),"NW")</f>
        <v>NW</v>
      </c>
      <c r="C32" s="1" t="str">
        <f>IFERROR(__xludf.DUMMYFUNCTION("IFERROR(
  VLOOKUP(
    A32,
    IMPORTRANGE(
      ""1ZygntHC1J6IxzKbTidmOyf5nUyW4GCLurHCjexrLm_o"",
      ""HTMLキャッシュ!A:F""
    ),
    5,
    FALSE
  ),
  0
)
"),"2022年度夏期講習開催のお知らせ - 基礎力Stadium「国語のトリガー」")</f>
        <v>2022年度夏期講習開催のお知らせ - 基礎力Stadium「国語のトリガー」</v>
      </c>
      <c r="D32" s="1" t="str">
        <f>IFERROR(__xludf.DUMMYFUNCTION("IFERROR(
  VLOOKUP(
    A32,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32" s="32">
        <f>IFERROR(__xludf.DUMMYFUNCTION("IFERROR(
  VLOOKUP(
    A32,
    IMPORTRANGE(
      ""1ZygntHC1J6IxzKbTidmOyf5nUyW4GCLurHCjexrLm_o        "",
      ""HTMLキャッシュ!A:F""
    ),
    3,
    FALSE
  ),
  0
)
"),45598.49070601852)</f>
        <v>45598.49071</v>
      </c>
      <c r="F32" s="49">
        <f>IFERROR(__xludf.DUMMYFUNCTION("IFERROR(
  VLOOKUP(
    A32,
    IMPORTRANGE(
      ""1ZHMy3vVUd_0MrSduXTe1etBb1HNpAlGwQr006ljwMiM"",
      ""GSC最新!A:F""
    ),
    2,
    FALSE
  ),
  0
)
"),0.0)</f>
        <v>0</v>
      </c>
      <c r="G32" s="49">
        <f>IFERROR(__xludf.DUMMYFUNCTION("IFERROR(
  VLOOKUP(
    A32,
    IMPORTRANGE(
      ""1ZHMy3vVUd_0MrSduXTe1etBb1HNpAlGwQr006ljwMiM"",
      ""GSC最新!A:F""
    ),
    3,
    FALSE
  ),
  0
)
"),0.0)</f>
        <v>0</v>
      </c>
      <c r="H32" s="49">
        <f>IFERROR(__xludf.DUMMYFUNCTION("IFERROR(
  VLOOKUP(
    A32,
    IMPORTRANGE(
      ""1ZHMy3vVUd_0MrSduXTe1etBb1HNpAlGwQr006ljwMiM"",
      ""GSC最新!A:F""
    ),
    4,
    FALSE
  ),
  0
)
"),0.0)</f>
        <v>0</v>
      </c>
      <c r="I32" s="49">
        <f>IFERROR(__xludf.DUMMYFUNCTION("IFERROR(
  VLOOKUP(
    A32,
    IMPORTRANGE(
      ""1ZHMy3vVUd_0MrSduXTe1etBb1HNpAlGwQr006ljwMiM"",
      ""GSC最新!A:F""
    ),
    5,
    FALSE
  ),
  0
)
"),0.0)</f>
        <v>0</v>
      </c>
      <c r="J32" s="50" t="str">
        <f t="shared" ref="J32:K32" si="151">IFERROR(F32/H32,"-")</f>
        <v>-</v>
      </c>
      <c r="K32" s="50" t="str">
        <f t="shared" si="151"/>
        <v>-</v>
      </c>
      <c r="L32" s="6">
        <f>IFERROR(__xludf.DUMMYFUNCTION("IFERROR(
  VLOOKUP(
    A32,
    IMPORTRANGE(
      ""1ZHMy3vVUd_0MrSduXTe1etBb1HNpAlGwQr006ljwMiM"",
      ""GSC最新!A:R""
    ),
    7,
    FALSE
  ),
  0
)
"),0.0)</f>
        <v>0</v>
      </c>
      <c r="M32" s="6">
        <f>IFERROR(__xludf.DUMMYFUNCTION("IFERROR(
  VLOOKUP(
    A32,
    IMPORTRANGE(
      ""1ZHMy3vVUd_0MrSduXTe1etBb1HNpAlGwQr006ljwMiM"",
      ""GSC最新!A:R""
    ),
    10,
    FALSE
  ),
  0
)
"),0.0)</f>
        <v>0</v>
      </c>
      <c r="N32" s="6">
        <f>IFERROR(__xludf.DUMMYFUNCTION("IFERROR(
  VLOOKUP(
    A32,
    IMPORTRANGE(
      ""1ZHMy3vVUd_0MrSduXTe1etBb1HNpAlGwQr006ljwMiM"",
      ""GSC最新!A:R""
    ),
    13,
    FALSE
  ),
  0
)
"),0.0)</f>
        <v>0</v>
      </c>
      <c r="O32" s="6">
        <f>IFERROR(__xludf.DUMMYFUNCTION("IFERROR(
  VLOOKUP(
    A32,
    IMPORTRANGE(
      ""1ZHMy3vVUd_0MrSduXTe1etBb1HNpAlGwQr006ljwMiM"",
      ""GSC最新!A:R""
    ),
    16,
    FALSE
  ),
  0
)
"),0.0)</f>
        <v>0</v>
      </c>
      <c r="P32" s="51" t="str">
        <f t="shared" ref="P32:Q32" si="152">IFERROR(L32/N32,"-")</f>
        <v>-</v>
      </c>
      <c r="Q32" s="51" t="str">
        <f t="shared" si="152"/>
        <v>-</v>
      </c>
      <c r="R32" s="9">
        <f>IFERROR(__xludf.DUMMYFUNCTION("IFERROR(
  VLOOKUP(
    A32,
    IMPORTRANGE(
      ""1ZHMy3vVUd_0MrSduXTe1etBb1HNpAlGwQr006ljwMiM"",
      ""GSC最新!A:R""
    ),
    8,
    FALSE
  ),
  0
)
"),0.0)</f>
        <v>0</v>
      </c>
      <c r="S32" s="9">
        <f>IFERROR(__xludf.DUMMYFUNCTION("IFERROR(
  VLOOKUP(
    A32,
    IMPORTRANGE(
      ""1ZHMy3vVUd_0MrSduXTe1etBb1HNpAlGwQr006ljwMiM"",
      ""GSC最新!A:R""
    ),
    11,
    FALSE
  ),
  0
)
"),0.0)</f>
        <v>0</v>
      </c>
      <c r="T32" s="9">
        <f>IFERROR(__xludf.DUMMYFUNCTION("IFERROR(
  VLOOKUP(
    A32,
    IMPORTRANGE(
      ""1ZHMy3vVUd_0MrSduXTe1etBb1HNpAlGwQr006ljwMiM"",
      ""GSC最新!A:R""
    ),
    14,
    FALSE
  ),
  0
)
"),0.0)</f>
        <v>0</v>
      </c>
      <c r="U32" s="9">
        <f>IFERROR(__xludf.DUMMYFUNCTION("IFERROR(
  VLOOKUP(
    A32,
    IMPORTRANGE(
      ""1ZHMy3vVUd_0MrSduXTe1etBb1HNpAlGwQr006ljwMiM"",
      ""GSC最新!A:R""
    ),
    17,
    FALSE
  ),
  0
)
"),0.0)</f>
        <v>0</v>
      </c>
      <c r="V32" s="9">
        <f t="shared" ref="V32:W32" si="153">IFERROR(R32-T32,"-")</f>
        <v>0</v>
      </c>
      <c r="W32" s="9">
        <f t="shared" si="153"/>
        <v>0</v>
      </c>
      <c r="X32" s="65" t="str">
        <f>IFERROR(__xludf.DUMMYFUNCTION("IFERROR(
  VLOOKUP(
    A32,
    IMPORTRANGE(
      ""1ZHMy3vVUd_0MrSduXTe1etBb1HNpAlGwQr006ljwMiM"",
      ""GSC最新!A:R""
    ),
    9,
    FALSE
  ),
  0
)
"),"")</f>
        <v/>
      </c>
      <c r="Y32" s="65" t="str">
        <f>IFERROR(__xludf.DUMMYFUNCTION("IFERROR(
  VLOOKUP(
    A32,
    IMPORTRANGE(
      ""1ZHMy3vVUd_0MrSduXTe1etBb1HNpAlGwQr006ljwMiM"",
      ""GSC最新!A:R""
    ),
    12,
    FALSE
  ),
  0
)
"),"")</f>
        <v/>
      </c>
      <c r="Z32" s="65" t="str">
        <f>IFERROR(__xludf.DUMMYFUNCTION("IFERROR(
  VLOOKUP(
    A32,
    IMPORTRANGE(
      ""1ZHMy3vVUd_0MrSduXTe1etBb1HNpAlGwQr006ljwMiM"",
      ""GSC最新!A:R""
    ),
    15,
    FALSE
  ),
  0
)
"),"")</f>
        <v/>
      </c>
      <c r="AA32" s="65" t="str">
        <f>IFERROR(__xludf.DUMMYFUNCTION("IFERROR(
  VLOOKUP(
    A32,
    IMPORTRANGE(
      ""1ZHMy3vVUd_0MrSduXTe1etBb1HNpAlGwQr006ljwMiM"",
      ""GSC最新!A:R""
    ),
    18,
    FALSE
  ),
  0
)
"),"")</f>
        <v/>
      </c>
      <c r="AB32" s="65">
        <f t="shared" ref="AB32:AC32" si="154">X32-Z32</f>
        <v>0</v>
      </c>
      <c r="AC32" s="65">
        <f t="shared" si="154"/>
        <v>0</v>
      </c>
      <c r="AD32" s="53">
        <f>IFERROR(__xludf.DUMMYFUNCTION("IFERROR(
  VLOOKUP(
    A32,
    IMPORTRANGE(
      ""1ZHMy3vVUd_0MrSduXTe1etBb1HNpAlGwQr006ljwMiM"",
      ""GSC最新!A:F""
    ),
    6,
    FALSE
  ),
  0
)
"),46081.0)</f>
        <v>46081</v>
      </c>
      <c r="AE32" s="54">
        <f>IFERROR(__xludf.DUMMYFUNCTION("IFERROR(
  VLOOKUP(
    A32,
    IMPORTRANGE(
      ""1SCYQd7_cobOYqT0r_F0IqD4tE4rYn5y8Eup4PJTH8es"",
      ""Snapshot!A:M""
    ),
    5,
    FALSE
  ),
  ""-""
)
"),0.0)</f>
        <v>0</v>
      </c>
      <c r="AF32" s="54">
        <f>IFERROR(__xludf.DUMMYFUNCTION("IFERROR(
  VLOOKUP(
    A32,
    IMPORTRANGE(
      ""1SCYQd7_cobOYqT0r_F0IqD4tE4rYn5y8Eup4PJTH8es"",
      ""Snapshot!A:M""
    ),
    6,
    FALSE
  ),
  0
)
"),0.0)</f>
        <v>0</v>
      </c>
      <c r="AG32" s="54">
        <f>IFERROR(__xludf.DUMMYFUNCTION("IFERROR(
  VLOOKUP(
    A32,
    IMPORTRANGE(
      ""1SCYQd7_cobOYqT0r_F0IqD4tE4rYn5y8Eup4PJTH8es"",
      ""Snapshot!A:M""
    ),
    7,
    FALSE
  ),
  0
)
"),604.0)</f>
        <v>604</v>
      </c>
      <c r="AH32" s="54">
        <f>IFERROR(__xludf.DUMMYFUNCTION("IFERROR(
  VLOOKUP(
    A32,
    IMPORTRANGE(
      ""1SCYQd7_cobOYqT0r_F0IqD4tE4rYn5y8Eup4PJTH8es"",
      ""Snapshot!A:M""
    ),
    8,
    FALSE
  ),
  0
)
"),0.0)</f>
        <v>0</v>
      </c>
      <c r="AI32" s="54">
        <f>IFERROR(__xludf.DUMMYFUNCTION("IFERROR(
  VLOOKUP(
    A32,
    IMPORTRANGE(
      ""1SCYQd7_cobOYqT0r_F0IqD4tE4rYn5y8Eup4PJTH8es"",
      ""Snapshot!A:M""
    ),
    9,
    FALSE
  ),
  0
)
"),0.0)</f>
        <v>0</v>
      </c>
      <c r="AJ32" s="54">
        <f>IFERROR(__xludf.DUMMYFUNCTION("IFERROR(
  VLOOKUP(
    A32,
    IMPORTRANGE(
      ""1SCYQd7_cobOYqT0r_F0IqD4tE4rYn5y8Eup4PJTH8es"",
      ""Snapshot!A:M""
    ),
    13,
    FALSE
  ),
  0
)
"),1.0)</f>
        <v>1</v>
      </c>
      <c r="AK32" s="49">
        <f t="shared" ref="AK32:AL32" si="155">LEN(C32)</f>
        <v>39</v>
      </c>
      <c r="AL32" s="49">
        <f t="shared" si="155"/>
        <v>55</v>
      </c>
    </row>
    <row r="33">
      <c r="A33" s="1" t="s">
        <v>1345</v>
      </c>
      <c r="B33" s="1" t="str">
        <f>IFERROR(__xludf.DUMMYFUNCTION("IFERROR(
  VLOOKUP(
    A33,
    IMPORTRANGE(
      ""1ZygntHC1J6IxzKbTidmOyf5nUyW4GCLurHCjexrLm_o"",
      ""HTMLキャッシュ!A:F""
    ),
    2,
    FALSE
  ),
  0
)
"),"NW")</f>
        <v>NW</v>
      </c>
      <c r="C33" s="1" t="str">
        <f>IFERROR(__xludf.DUMMYFUNCTION("IFERROR(
  VLOOKUP(
    A33,
    IMPORTRANGE(
      ""1ZygntHC1J6IxzKbTidmOyf5nUyW4GCLurHCjexrLm_o"",
      ""HTMLキャッシュ!A:F""
    ),
    5,
    FALSE
  ),
  0
)
"),"2021年度冬期講習開講のお知らせ - 基礎力Stadium「国語のトリガー」")</f>
        <v>2021年度冬期講習開講のお知らせ - 基礎力Stadium「国語のトリガー」</v>
      </c>
      <c r="D33" s="1" t="str">
        <f>IFERROR(__xludf.DUMMYFUNCTION("IFERROR(
  VLOOKUP(
    A33,
    IMPORTRANGE(
      ""1ZygntHC1J6IxzKbTidmOyf5nUyW4GCLurHCjexrLm_o        "",
      ""HTMLキャッシュ!A:F""
    ),
    6,
    FALSE
  ),
  0
)
"),"当塾では冬期講習会を実施いたします。現在、当塾に通う生徒の皆さんはもちろん、普段他塾に通われている生徒さんにも")</f>
        <v>当塾では冬期講習会を実施いたします。現在、当塾に通う生徒の皆さんはもちろん、普段他塾に通われている生徒さんにも</v>
      </c>
      <c r="E33" s="32">
        <f>IFERROR(__xludf.DUMMYFUNCTION("IFERROR(
  VLOOKUP(
    A33,
    IMPORTRANGE(
      ""1ZygntHC1J6IxzKbTidmOyf5nUyW4GCLurHCjexrLm_o        "",
      ""HTMLキャッシュ!A:F""
    ),
    3,
    FALSE
  ),
  0
)
"),45598.490115740744)</f>
        <v>45598.49012</v>
      </c>
      <c r="F33" s="49">
        <f>IFERROR(__xludf.DUMMYFUNCTION("IFERROR(
  VLOOKUP(
    A33,
    IMPORTRANGE(
      ""1ZHMy3vVUd_0MrSduXTe1etBb1HNpAlGwQr006ljwMiM"",
      ""GSC最新!A:F""
    ),
    2,
    FALSE
  ),
  0
)
"),0.0)</f>
        <v>0</v>
      </c>
      <c r="G33" s="49">
        <f>IFERROR(__xludf.DUMMYFUNCTION("IFERROR(
  VLOOKUP(
    A33,
    IMPORTRANGE(
      ""1ZHMy3vVUd_0MrSduXTe1etBb1HNpAlGwQr006ljwMiM"",
      ""GSC最新!A:F""
    ),
    3,
    FALSE
  ),
  0
)
"),0.0)</f>
        <v>0</v>
      </c>
      <c r="H33" s="49">
        <f>IFERROR(__xludf.DUMMYFUNCTION("IFERROR(
  VLOOKUP(
    A33,
    IMPORTRANGE(
      ""1ZHMy3vVUd_0MrSduXTe1etBb1HNpAlGwQr006ljwMiM"",
      ""GSC最新!A:F""
    ),
    4,
    FALSE
  ),
  0
)
"),0.0)</f>
        <v>0</v>
      </c>
      <c r="I33" s="49">
        <f>IFERROR(__xludf.DUMMYFUNCTION("IFERROR(
  VLOOKUP(
    A33,
    IMPORTRANGE(
      ""1ZHMy3vVUd_0MrSduXTe1etBb1HNpAlGwQr006ljwMiM"",
      ""GSC最新!A:F""
    ),
    5,
    FALSE
  ),
  0
)
"),0.0)</f>
        <v>0</v>
      </c>
      <c r="J33" s="50" t="str">
        <f t="shared" ref="J33:K33" si="156">IFERROR(F33/H33,"-")</f>
        <v>-</v>
      </c>
      <c r="K33" s="50" t="str">
        <f t="shared" si="156"/>
        <v>-</v>
      </c>
      <c r="L33" s="6">
        <f>IFERROR(__xludf.DUMMYFUNCTION("IFERROR(
  VLOOKUP(
    A33,
    IMPORTRANGE(
      ""1ZHMy3vVUd_0MrSduXTe1etBb1HNpAlGwQr006ljwMiM"",
      ""GSC最新!A:R""
    ),
    7,
    FALSE
  ),
  0
)
"),0.0)</f>
        <v>0</v>
      </c>
      <c r="M33" s="6">
        <f>IFERROR(__xludf.DUMMYFUNCTION("IFERROR(
  VLOOKUP(
    A33,
    IMPORTRANGE(
      ""1ZHMy3vVUd_0MrSduXTe1etBb1HNpAlGwQr006ljwMiM"",
      ""GSC最新!A:R""
    ),
    10,
    FALSE
  ),
  0
)
"),0.0)</f>
        <v>0</v>
      </c>
      <c r="N33" s="6">
        <f>IFERROR(__xludf.DUMMYFUNCTION("IFERROR(
  VLOOKUP(
    A33,
    IMPORTRANGE(
      ""1ZHMy3vVUd_0MrSduXTe1etBb1HNpAlGwQr006ljwMiM"",
      ""GSC最新!A:R""
    ),
    13,
    FALSE
  ),
  0
)
"),0.0)</f>
        <v>0</v>
      </c>
      <c r="O33" s="6">
        <f>IFERROR(__xludf.DUMMYFUNCTION("IFERROR(
  VLOOKUP(
    A33,
    IMPORTRANGE(
      ""1ZHMy3vVUd_0MrSduXTe1etBb1HNpAlGwQr006ljwMiM"",
      ""GSC最新!A:R""
    ),
    16,
    FALSE
  ),
  0
)
"),0.0)</f>
        <v>0</v>
      </c>
      <c r="P33" s="51" t="str">
        <f t="shared" ref="P33:Q33" si="157">IFERROR(L33/N33,"-")</f>
        <v>-</v>
      </c>
      <c r="Q33" s="51" t="str">
        <f t="shared" si="157"/>
        <v>-</v>
      </c>
      <c r="R33" s="9">
        <f>IFERROR(__xludf.DUMMYFUNCTION("IFERROR(
  VLOOKUP(
    A33,
    IMPORTRANGE(
      ""1ZHMy3vVUd_0MrSduXTe1etBb1HNpAlGwQr006ljwMiM"",
      ""GSC最新!A:R""
    ),
    8,
    FALSE
  ),
  0
)
"),0.0)</f>
        <v>0</v>
      </c>
      <c r="S33" s="9">
        <f>IFERROR(__xludf.DUMMYFUNCTION("IFERROR(
  VLOOKUP(
    A33,
    IMPORTRANGE(
      ""1ZHMy3vVUd_0MrSduXTe1etBb1HNpAlGwQr006ljwMiM"",
      ""GSC最新!A:R""
    ),
    11,
    FALSE
  ),
  0
)
"),0.0)</f>
        <v>0</v>
      </c>
      <c r="T33" s="9">
        <f>IFERROR(__xludf.DUMMYFUNCTION("IFERROR(
  VLOOKUP(
    A33,
    IMPORTRANGE(
      ""1ZHMy3vVUd_0MrSduXTe1etBb1HNpAlGwQr006ljwMiM"",
      ""GSC最新!A:R""
    ),
    14,
    FALSE
  ),
  0
)
"),0.0)</f>
        <v>0</v>
      </c>
      <c r="U33" s="9">
        <f>IFERROR(__xludf.DUMMYFUNCTION("IFERROR(
  VLOOKUP(
    A33,
    IMPORTRANGE(
      ""1ZHMy3vVUd_0MrSduXTe1etBb1HNpAlGwQr006ljwMiM"",
      ""GSC最新!A:R""
    ),
    17,
    FALSE
  ),
  0
)
"),0.0)</f>
        <v>0</v>
      </c>
      <c r="V33" s="9">
        <f t="shared" ref="V33:W33" si="158">IFERROR(R33-T33,"-")</f>
        <v>0</v>
      </c>
      <c r="W33" s="9">
        <f t="shared" si="158"/>
        <v>0</v>
      </c>
      <c r="X33" s="65" t="str">
        <f>IFERROR(__xludf.DUMMYFUNCTION("IFERROR(
  VLOOKUP(
    A33,
    IMPORTRANGE(
      ""1ZHMy3vVUd_0MrSduXTe1etBb1HNpAlGwQr006ljwMiM"",
      ""GSC最新!A:R""
    ),
    9,
    FALSE
  ),
  0
)
"),"")</f>
        <v/>
      </c>
      <c r="Y33" s="65" t="str">
        <f>IFERROR(__xludf.DUMMYFUNCTION("IFERROR(
  VLOOKUP(
    A33,
    IMPORTRANGE(
      ""1ZHMy3vVUd_0MrSduXTe1etBb1HNpAlGwQr006ljwMiM"",
      ""GSC最新!A:R""
    ),
    12,
    FALSE
  ),
  0
)
"),"")</f>
        <v/>
      </c>
      <c r="Z33" s="65" t="str">
        <f>IFERROR(__xludf.DUMMYFUNCTION("IFERROR(
  VLOOKUP(
    A33,
    IMPORTRANGE(
      ""1ZHMy3vVUd_0MrSduXTe1etBb1HNpAlGwQr006ljwMiM"",
      ""GSC最新!A:R""
    ),
    15,
    FALSE
  ),
  0
)
"),"")</f>
        <v/>
      </c>
      <c r="AA33" s="65" t="str">
        <f>IFERROR(__xludf.DUMMYFUNCTION("IFERROR(
  VLOOKUP(
    A33,
    IMPORTRANGE(
      ""1ZHMy3vVUd_0MrSduXTe1etBb1HNpAlGwQr006ljwMiM"",
      ""GSC最新!A:R""
    ),
    18,
    FALSE
  ),
  0
)
"),"")</f>
        <v/>
      </c>
      <c r="AB33" s="65">
        <f t="shared" ref="AB33:AC33" si="159">X33-Z33</f>
        <v>0</v>
      </c>
      <c r="AC33" s="65">
        <f t="shared" si="159"/>
        <v>0</v>
      </c>
      <c r="AD33" s="53">
        <f>IFERROR(__xludf.DUMMYFUNCTION("IFERROR(
  VLOOKUP(
    A33,
    IMPORTRANGE(
      ""1ZHMy3vVUd_0MrSduXTe1etBb1HNpAlGwQr006ljwMiM"",
      ""GSC最新!A:F""
    ),
    6,
    FALSE
  ),
  0
)
"),46081.0)</f>
        <v>46081</v>
      </c>
      <c r="AE33" s="54">
        <f>IFERROR(__xludf.DUMMYFUNCTION("IFERROR(
  VLOOKUP(
    A33,
    IMPORTRANGE(
      ""1SCYQd7_cobOYqT0r_F0IqD4tE4rYn5y8Eup4PJTH8es"",
      ""Snapshot!A:M""
    ),
    5,
    FALSE
  ),
  ""-""
)
"),0.0)</f>
        <v>0</v>
      </c>
      <c r="AF33" s="54">
        <f>IFERROR(__xludf.DUMMYFUNCTION("IFERROR(
  VLOOKUP(
    A33,
    IMPORTRANGE(
      ""1SCYQd7_cobOYqT0r_F0IqD4tE4rYn5y8Eup4PJTH8es"",
      ""Snapshot!A:M""
    ),
    6,
    FALSE
  ),
  0
)
"),0.0)</f>
        <v>0</v>
      </c>
      <c r="AG33" s="54">
        <f>IFERROR(__xludf.DUMMYFUNCTION("IFERROR(
  VLOOKUP(
    A33,
    IMPORTRANGE(
      ""1SCYQd7_cobOYqT0r_F0IqD4tE4rYn5y8Eup4PJTH8es"",
      ""Snapshot!A:M""
    ),
    7,
    FALSE
  ),
  0
)
"),471.0)</f>
        <v>471</v>
      </c>
      <c r="AH33" s="54">
        <f>IFERROR(__xludf.DUMMYFUNCTION("IFERROR(
  VLOOKUP(
    A33,
    IMPORTRANGE(
      ""1SCYQd7_cobOYqT0r_F0IqD4tE4rYn5y8Eup4PJTH8es"",
      ""Snapshot!A:M""
    ),
    8,
    FALSE
  ),
  0
)
"),1.0)</f>
        <v>1</v>
      </c>
      <c r="AI33" s="54">
        <f>IFERROR(__xludf.DUMMYFUNCTION("IFERROR(
  VLOOKUP(
    A33,
    IMPORTRANGE(
      ""1SCYQd7_cobOYqT0r_F0IqD4tE4rYn5y8Eup4PJTH8es"",
      ""Snapshot!A:M""
    ),
    9,
    FALSE
  ),
  0
)
"),0.0)</f>
        <v>0</v>
      </c>
      <c r="AJ33" s="54">
        <f>IFERROR(__xludf.DUMMYFUNCTION("IFERROR(
  VLOOKUP(
    A33,
    IMPORTRANGE(
      ""1SCYQd7_cobOYqT0r_F0IqD4tE4rYn5y8Eup4PJTH8es"",
      ""Snapshot!A:M""
    ),
    13,
    FALSE
  ),
  0
)
"),1.0)</f>
        <v>1</v>
      </c>
      <c r="AK33" s="49">
        <f t="shared" ref="AK33:AL33" si="160">LEN(C33)</f>
        <v>39</v>
      </c>
      <c r="AL33" s="49">
        <f t="shared" si="160"/>
        <v>55</v>
      </c>
    </row>
    <row r="34">
      <c r="A34" s="3" t="s">
        <v>1346</v>
      </c>
      <c r="B34" s="1" t="str">
        <f>IFERROR(__xludf.DUMMYFUNCTION("IFERROR(
  VLOOKUP(
    A34,
    IMPORTRANGE(
      ""1ZygntHC1J6IxzKbTidmOyf5nUyW4GCLurHCjexrLm_o"",
      ""HTMLキャッシュ!A:F""
    ),
    2,
    FALSE
  ),
  0
)
"),"NW")</f>
        <v>NW</v>
      </c>
      <c r="C34" s="1" t="str">
        <f>IFERROR(__xludf.DUMMYFUNCTION("IFERROR(
  VLOOKUP(
    A34,
    IMPORTRANGE(
      ""1ZygntHC1J6IxzKbTidmOyf5nUyW4GCLurHCjexrLm_o"",
      ""HTMLキャッシュ!A:F""
    ),
    5,
    FALSE
  ),
  0
)
"),"2021年度夏期講習開催のお知らせ - 基礎力Stadium「国語のトリガー」")</f>
        <v>2021年度夏期講習開催のお知らせ - 基礎力Stadium「国語のトリガー」</v>
      </c>
      <c r="D34" s="1" t="str">
        <f>IFERROR(__xludf.DUMMYFUNCTION("IFERROR(
  VLOOKUP(
    A34,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34" s="32">
        <f>IFERROR(__xludf.DUMMYFUNCTION("IFERROR(
  VLOOKUP(
    A34,
    IMPORTRANGE(
      ""1ZygntHC1J6IxzKbTidmOyf5nUyW4GCLurHCjexrLm_o        "",
      ""HTMLキャッシュ!A:F""
    ),
    3,
    FALSE
  ),
  0
)
"),45598.48991898148)</f>
        <v>45598.48992</v>
      </c>
      <c r="F34" s="49">
        <f>IFERROR(__xludf.DUMMYFUNCTION("IFERROR(
  VLOOKUP(
    A34,
    IMPORTRANGE(
      ""1ZHMy3vVUd_0MrSduXTe1etBb1HNpAlGwQr006ljwMiM"",
      ""GSC最新!A:F""
    ),
    2,
    FALSE
  ),
  0
)
"),0.0)</f>
        <v>0</v>
      </c>
      <c r="G34" s="49">
        <f>IFERROR(__xludf.DUMMYFUNCTION("IFERROR(
  VLOOKUP(
    A34,
    IMPORTRANGE(
      ""1ZHMy3vVUd_0MrSduXTe1etBb1HNpAlGwQr006ljwMiM"",
      ""GSC最新!A:F""
    ),
    3,
    FALSE
  ),
  0
)
"),0.0)</f>
        <v>0</v>
      </c>
      <c r="H34" s="49">
        <f>IFERROR(__xludf.DUMMYFUNCTION("IFERROR(
  VLOOKUP(
    A34,
    IMPORTRANGE(
      ""1ZHMy3vVUd_0MrSduXTe1etBb1HNpAlGwQr006ljwMiM"",
      ""GSC最新!A:F""
    ),
    4,
    FALSE
  ),
  0
)
"),0.0)</f>
        <v>0</v>
      </c>
      <c r="I34" s="49">
        <f>IFERROR(__xludf.DUMMYFUNCTION("IFERROR(
  VLOOKUP(
    A34,
    IMPORTRANGE(
      ""1ZHMy3vVUd_0MrSduXTe1etBb1HNpAlGwQr006ljwMiM"",
      ""GSC最新!A:F""
    ),
    5,
    FALSE
  ),
  0
)
"),0.0)</f>
        <v>0</v>
      </c>
      <c r="J34" s="50" t="str">
        <f t="shared" ref="J34:K34" si="161">IFERROR(F34/H34,"-")</f>
        <v>-</v>
      </c>
      <c r="K34" s="50" t="str">
        <f t="shared" si="161"/>
        <v>-</v>
      </c>
      <c r="L34" s="6">
        <f>IFERROR(__xludf.DUMMYFUNCTION("IFERROR(
  VLOOKUP(
    A34,
    IMPORTRANGE(
      ""1ZHMy3vVUd_0MrSduXTe1etBb1HNpAlGwQr006ljwMiM"",
      ""GSC最新!A:R""
    ),
    7,
    FALSE
  ),
  0
)
"),0.0)</f>
        <v>0</v>
      </c>
      <c r="M34" s="6">
        <f>IFERROR(__xludf.DUMMYFUNCTION("IFERROR(
  VLOOKUP(
    A34,
    IMPORTRANGE(
      ""1ZHMy3vVUd_0MrSduXTe1etBb1HNpAlGwQr006ljwMiM"",
      ""GSC最新!A:R""
    ),
    10,
    FALSE
  ),
  0
)
"),0.0)</f>
        <v>0</v>
      </c>
      <c r="N34" s="6">
        <f>IFERROR(__xludf.DUMMYFUNCTION("IFERROR(
  VLOOKUP(
    A34,
    IMPORTRANGE(
      ""1ZHMy3vVUd_0MrSduXTe1etBb1HNpAlGwQr006ljwMiM"",
      ""GSC最新!A:R""
    ),
    13,
    FALSE
  ),
  0
)
"),0.0)</f>
        <v>0</v>
      </c>
      <c r="O34" s="6">
        <f>IFERROR(__xludf.DUMMYFUNCTION("IFERROR(
  VLOOKUP(
    A34,
    IMPORTRANGE(
      ""1ZHMy3vVUd_0MrSduXTe1etBb1HNpAlGwQr006ljwMiM"",
      ""GSC最新!A:R""
    ),
    16,
    FALSE
  ),
  0
)
"),0.0)</f>
        <v>0</v>
      </c>
      <c r="P34" s="51" t="str">
        <f t="shared" ref="P34:Q34" si="162">IFERROR(L34/N34,"-")</f>
        <v>-</v>
      </c>
      <c r="Q34" s="51" t="str">
        <f t="shared" si="162"/>
        <v>-</v>
      </c>
      <c r="R34" s="9">
        <f>IFERROR(__xludf.DUMMYFUNCTION("IFERROR(
  VLOOKUP(
    A34,
    IMPORTRANGE(
      ""1ZHMy3vVUd_0MrSduXTe1etBb1HNpAlGwQr006ljwMiM"",
      ""GSC最新!A:R""
    ),
    8,
    FALSE
  ),
  0
)
"),0.0)</f>
        <v>0</v>
      </c>
      <c r="S34" s="9">
        <f>IFERROR(__xludf.DUMMYFUNCTION("IFERROR(
  VLOOKUP(
    A34,
    IMPORTRANGE(
      ""1ZHMy3vVUd_0MrSduXTe1etBb1HNpAlGwQr006ljwMiM"",
      ""GSC最新!A:R""
    ),
    11,
    FALSE
  ),
  0
)
"),0.0)</f>
        <v>0</v>
      </c>
      <c r="T34" s="9">
        <f>IFERROR(__xludf.DUMMYFUNCTION("IFERROR(
  VLOOKUP(
    A34,
    IMPORTRANGE(
      ""1ZHMy3vVUd_0MrSduXTe1etBb1HNpAlGwQr006ljwMiM"",
      ""GSC最新!A:R""
    ),
    14,
    FALSE
  ),
  0
)
"),0.0)</f>
        <v>0</v>
      </c>
      <c r="U34" s="9">
        <f>IFERROR(__xludf.DUMMYFUNCTION("IFERROR(
  VLOOKUP(
    A34,
    IMPORTRANGE(
      ""1ZHMy3vVUd_0MrSduXTe1etBb1HNpAlGwQr006ljwMiM"",
      ""GSC最新!A:R""
    ),
    17,
    FALSE
  ),
  0
)
"),0.0)</f>
        <v>0</v>
      </c>
      <c r="V34" s="9">
        <f t="shared" ref="V34:W34" si="163">IFERROR(R34-T34,"-")</f>
        <v>0</v>
      </c>
      <c r="W34" s="9">
        <f t="shared" si="163"/>
        <v>0</v>
      </c>
      <c r="X34" s="65" t="str">
        <f>IFERROR(__xludf.DUMMYFUNCTION("IFERROR(
  VLOOKUP(
    A34,
    IMPORTRANGE(
      ""1ZHMy3vVUd_0MrSduXTe1etBb1HNpAlGwQr006ljwMiM"",
      ""GSC最新!A:R""
    ),
    9,
    FALSE
  ),
  0
)
"),"")</f>
        <v/>
      </c>
      <c r="Y34" s="65" t="str">
        <f>IFERROR(__xludf.DUMMYFUNCTION("IFERROR(
  VLOOKUP(
    A34,
    IMPORTRANGE(
      ""1ZHMy3vVUd_0MrSduXTe1etBb1HNpAlGwQr006ljwMiM"",
      ""GSC最新!A:R""
    ),
    12,
    FALSE
  ),
  0
)
"),"")</f>
        <v/>
      </c>
      <c r="Z34" s="65" t="str">
        <f>IFERROR(__xludf.DUMMYFUNCTION("IFERROR(
  VLOOKUP(
    A34,
    IMPORTRANGE(
      ""1ZHMy3vVUd_0MrSduXTe1etBb1HNpAlGwQr006ljwMiM"",
      ""GSC最新!A:R""
    ),
    15,
    FALSE
  ),
  0
)
"),"")</f>
        <v/>
      </c>
      <c r="AA34" s="65" t="str">
        <f>IFERROR(__xludf.DUMMYFUNCTION("IFERROR(
  VLOOKUP(
    A34,
    IMPORTRANGE(
      ""1ZHMy3vVUd_0MrSduXTe1etBb1HNpAlGwQr006ljwMiM"",
      ""GSC最新!A:R""
    ),
    18,
    FALSE
  ),
  0
)
"),"")</f>
        <v/>
      </c>
      <c r="AB34" s="65">
        <f t="shared" ref="AB34:AC34" si="164">X34-Z34</f>
        <v>0</v>
      </c>
      <c r="AC34" s="65">
        <f t="shared" si="164"/>
        <v>0</v>
      </c>
      <c r="AD34" s="53">
        <f>IFERROR(__xludf.DUMMYFUNCTION("IFERROR(
  VLOOKUP(
    A34,
    IMPORTRANGE(
      ""1ZHMy3vVUd_0MrSduXTe1etBb1HNpAlGwQr006ljwMiM"",
      ""GSC最新!A:F""
    ),
    6,
    FALSE
  ),
  0
)
"),46081.0)</f>
        <v>46081</v>
      </c>
      <c r="AE34" s="54">
        <f>IFERROR(__xludf.DUMMYFUNCTION("IFERROR(
  VLOOKUP(
    A34,
    IMPORTRANGE(
      ""1SCYQd7_cobOYqT0r_F0IqD4tE4rYn5y8Eup4PJTH8es"",
      ""Snapshot!A:M""
    ),
    5,
    FALSE
  ),
  ""-""
)
"),0.0)</f>
        <v>0</v>
      </c>
      <c r="AF34" s="54">
        <f>IFERROR(__xludf.DUMMYFUNCTION("IFERROR(
  VLOOKUP(
    A34,
    IMPORTRANGE(
      ""1SCYQd7_cobOYqT0r_F0IqD4tE4rYn5y8Eup4PJTH8es"",
      ""Snapshot!A:M""
    ),
    6,
    FALSE
  ),
  0
)
"),0.0)</f>
        <v>0</v>
      </c>
      <c r="AG34" s="54">
        <f>IFERROR(__xludf.DUMMYFUNCTION("IFERROR(
  VLOOKUP(
    A34,
    IMPORTRANGE(
      ""1SCYQd7_cobOYqT0r_F0IqD4tE4rYn5y8Eup4PJTH8es"",
      ""Snapshot!A:M""
    ),
    7,
    FALSE
  ),
  0
)
"),597.0)</f>
        <v>597</v>
      </c>
      <c r="AH34" s="54">
        <f>IFERROR(__xludf.DUMMYFUNCTION("IFERROR(
  VLOOKUP(
    A34,
    IMPORTRANGE(
      ""1SCYQd7_cobOYqT0r_F0IqD4tE4rYn5y8Eup4PJTH8es"",
      ""Snapshot!A:M""
    ),
    8,
    FALSE
  ),
  0
)
"),0.0)</f>
        <v>0</v>
      </c>
      <c r="AI34" s="54">
        <f>IFERROR(__xludf.DUMMYFUNCTION("IFERROR(
  VLOOKUP(
    A34,
    IMPORTRANGE(
      ""1SCYQd7_cobOYqT0r_F0IqD4tE4rYn5y8Eup4PJTH8es"",
      ""Snapshot!A:M""
    ),
    9,
    FALSE
  ),
  0
)
"),0.0)</f>
        <v>0</v>
      </c>
      <c r="AJ34" s="54">
        <f>IFERROR(__xludf.DUMMYFUNCTION("IFERROR(
  VLOOKUP(
    A34,
    IMPORTRANGE(
      ""1SCYQd7_cobOYqT0r_F0IqD4tE4rYn5y8Eup4PJTH8es"",
      ""Snapshot!A:M""
    ),
    13,
    FALSE
  ),
  0
)
"),1.0)</f>
        <v>1</v>
      </c>
      <c r="AK34" s="49">
        <f t="shared" ref="AK34:AL34" si="165">LEN(C34)</f>
        <v>39</v>
      </c>
      <c r="AL34" s="49">
        <f t="shared" si="165"/>
        <v>55</v>
      </c>
    </row>
    <row r="35">
      <c r="A35" s="1" t="s">
        <v>1347</v>
      </c>
      <c r="B35" s="1" t="str">
        <f>IFERROR(__xludf.DUMMYFUNCTION("IFERROR(
  VLOOKUP(
    A35,
    IMPORTRANGE(
      ""1ZygntHC1J6IxzKbTidmOyf5nUyW4GCLurHCjexrLm_o"",
      ""HTMLキャッシュ!A:F""
    ),
    2,
    FALSE
  ),
  0
)
"),"NW")</f>
        <v>NW</v>
      </c>
      <c r="C35" s="1" t="str">
        <f>IFERROR(__xludf.DUMMYFUNCTION("IFERROR(
  VLOOKUP(
    A35,
    IMPORTRANGE(
      ""1ZygntHC1J6IxzKbTidmOyf5nUyW4GCLurHCjexrLm_o"",
      ""HTMLキャッシュ!A:F""
    ),
    5,
    FALSE
  ),
  0
)
"),"2021年度生徒募集のお知らせ【個別】 - 基礎力Stadium「国語のトリガー」")</f>
        <v>2021年度生徒募集のお知らせ【個別】 - 基礎力Stadium「国語のトリガー」</v>
      </c>
      <c r="D35" s="1" t="str">
        <f>IFERROR(__xludf.DUMMYFUNCTION("IFERROR(
  VLOOKUP(
    A35,
    IMPORTRANGE(
      ""1ZygntHC1J6IxzKbTidmOyf5nUyW4GCLurHCjexrLm_o        "",
      ""HTMLキャッシュ!A:F""
    ),
    6,
    FALSE
  ),
  0
)
"),"本日より、2022年度、「完全１対１」の個別指導の生徒募集を開始致します。 詳細については、下記をご覧下さいま")</f>
        <v>本日より、2022年度、「完全１対１」の個別指導の生徒募集を開始致します。 詳細については、下記をご覧下さいま</v>
      </c>
      <c r="E35" s="32">
        <f>IFERROR(__xludf.DUMMYFUNCTION("IFERROR(
  VLOOKUP(
    A35,
    IMPORTRANGE(
      ""1ZygntHC1J6IxzKbTidmOyf5nUyW4GCLurHCjexrLm_o        "",
      ""HTMLキャッシュ!A:F""
    ),
    3,
    FALSE
  ),
  0
)
"),45598.48972222222)</f>
        <v>45598.48972</v>
      </c>
      <c r="F35" s="49">
        <f>IFERROR(__xludf.DUMMYFUNCTION("IFERROR(
  VLOOKUP(
    A35,
    IMPORTRANGE(
      ""1ZHMy3vVUd_0MrSduXTe1etBb1HNpAlGwQr006ljwMiM"",
      ""GSC最新!A:F""
    ),
    2,
    FALSE
  ),
  0
)
"),0.0)</f>
        <v>0</v>
      </c>
      <c r="G35" s="49">
        <f>IFERROR(__xludf.DUMMYFUNCTION("IFERROR(
  VLOOKUP(
    A35,
    IMPORTRANGE(
      ""1ZHMy3vVUd_0MrSduXTe1etBb1HNpAlGwQr006ljwMiM"",
      ""GSC最新!A:F""
    ),
    3,
    FALSE
  ),
  0
)
"),0.0)</f>
        <v>0</v>
      </c>
      <c r="H35" s="49">
        <f>IFERROR(__xludf.DUMMYFUNCTION("IFERROR(
  VLOOKUP(
    A35,
    IMPORTRANGE(
      ""1ZHMy3vVUd_0MrSduXTe1etBb1HNpAlGwQr006ljwMiM"",
      ""GSC最新!A:F""
    ),
    4,
    FALSE
  ),
  0
)
"),0.0)</f>
        <v>0</v>
      </c>
      <c r="I35" s="49">
        <f>IFERROR(__xludf.DUMMYFUNCTION("IFERROR(
  VLOOKUP(
    A35,
    IMPORTRANGE(
      ""1ZHMy3vVUd_0MrSduXTe1etBb1HNpAlGwQr006ljwMiM"",
      ""GSC最新!A:F""
    ),
    5,
    FALSE
  ),
  0
)
"),0.0)</f>
        <v>0</v>
      </c>
      <c r="J35" s="50" t="str">
        <f t="shared" ref="J35:K35" si="166">IFERROR(F35/H35,"-")</f>
        <v>-</v>
      </c>
      <c r="K35" s="50" t="str">
        <f t="shared" si="166"/>
        <v>-</v>
      </c>
      <c r="L35" s="6">
        <f>IFERROR(__xludf.DUMMYFUNCTION("IFERROR(
  VLOOKUP(
    A35,
    IMPORTRANGE(
      ""1ZHMy3vVUd_0MrSduXTe1etBb1HNpAlGwQr006ljwMiM"",
      ""GSC最新!A:R""
    ),
    7,
    FALSE
  ),
  0
)
"),0.0)</f>
        <v>0</v>
      </c>
      <c r="M35" s="6">
        <f>IFERROR(__xludf.DUMMYFUNCTION("IFERROR(
  VLOOKUP(
    A35,
    IMPORTRANGE(
      ""1ZHMy3vVUd_0MrSduXTe1etBb1HNpAlGwQr006ljwMiM"",
      ""GSC最新!A:R""
    ),
    10,
    FALSE
  ),
  0
)
"),0.0)</f>
        <v>0</v>
      </c>
      <c r="N35" s="6">
        <f>IFERROR(__xludf.DUMMYFUNCTION("IFERROR(
  VLOOKUP(
    A35,
    IMPORTRANGE(
      ""1ZHMy3vVUd_0MrSduXTe1etBb1HNpAlGwQr006ljwMiM"",
      ""GSC最新!A:R""
    ),
    13,
    FALSE
  ),
  0
)
"),0.0)</f>
        <v>0</v>
      </c>
      <c r="O35" s="6">
        <f>IFERROR(__xludf.DUMMYFUNCTION("IFERROR(
  VLOOKUP(
    A35,
    IMPORTRANGE(
      ""1ZHMy3vVUd_0MrSduXTe1etBb1HNpAlGwQr006ljwMiM"",
      ""GSC最新!A:R""
    ),
    16,
    FALSE
  ),
  0
)
"),0.0)</f>
        <v>0</v>
      </c>
      <c r="P35" s="51" t="str">
        <f t="shared" ref="P35:Q35" si="167">IFERROR(L35/N35,"-")</f>
        <v>-</v>
      </c>
      <c r="Q35" s="51" t="str">
        <f t="shared" si="167"/>
        <v>-</v>
      </c>
      <c r="R35" s="9">
        <f>IFERROR(__xludf.DUMMYFUNCTION("IFERROR(
  VLOOKUP(
    A35,
    IMPORTRANGE(
      ""1ZHMy3vVUd_0MrSduXTe1etBb1HNpAlGwQr006ljwMiM"",
      ""GSC最新!A:R""
    ),
    8,
    FALSE
  ),
  0
)
"),0.0)</f>
        <v>0</v>
      </c>
      <c r="S35" s="9">
        <f>IFERROR(__xludf.DUMMYFUNCTION("IFERROR(
  VLOOKUP(
    A35,
    IMPORTRANGE(
      ""1ZHMy3vVUd_0MrSduXTe1etBb1HNpAlGwQr006ljwMiM"",
      ""GSC最新!A:R""
    ),
    11,
    FALSE
  ),
  0
)
"),0.0)</f>
        <v>0</v>
      </c>
      <c r="T35" s="9">
        <f>IFERROR(__xludf.DUMMYFUNCTION("IFERROR(
  VLOOKUP(
    A35,
    IMPORTRANGE(
      ""1ZHMy3vVUd_0MrSduXTe1etBb1HNpAlGwQr006ljwMiM"",
      ""GSC最新!A:R""
    ),
    14,
    FALSE
  ),
  0
)
"),0.0)</f>
        <v>0</v>
      </c>
      <c r="U35" s="9">
        <f>IFERROR(__xludf.DUMMYFUNCTION("IFERROR(
  VLOOKUP(
    A35,
    IMPORTRANGE(
      ""1ZHMy3vVUd_0MrSduXTe1etBb1HNpAlGwQr006ljwMiM"",
      ""GSC最新!A:R""
    ),
    17,
    FALSE
  ),
  0
)
"),0.0)</f>
        <v>0</v>
      </c>
      <c r="V35" s="9">
        <f t="shared" ref="V35:W35" si="168">IFERROR(R35-T35,"-")</f>
        <v>0</v>
      </c>
      <c r="W35" s="9">
        <f t="shared" si="168"/>
        <v>0</v>
      </c>
      <c r="X35" s="65" t="str">
        <f>IFERROR(__xludf.DUMMYFUNCTION("IFERROR(
  VLOOKUP(
    A35,
    IMPORTRANGE(
      ""1ZHMy3vVUd_0MrSduXTe1etBb1HNpAlGwQr006ljwMiM"",
      ""GSC最新!A:R""
    ),
    9,
    FALSE
  ),
  0
)
"),"")</f>
        <v/>
      </c>
      <c r="Y35" s="65" t="str">
        <f>IFERROR(__xludf.DUMMYFUNCTION("IFERROR(
  VLOOKUP(
    A35,
    IMPORTRANGE(
      ""1ZHMy3vVUd_0MrSduXTe1etBb1HNpAlGwQr006ljwMiM"",
      ""GSC最新!A:R""
    ),
    12,
    FALSE
  ),
  0
)
"),"")</f>
        <v/>
      </c>
      <c r="Z35" s="65" t="str">
        <f>IFERROR(__xludf.DUMMYFUNCTION("IFERROR(
  VLOOKUP(
    A35,
    IMPORTRANGE(
      ""1ZHMy3vVUd_0MrSduXTe1etBb1HNpAlGwQr006ljwMiM"",
      ""GSC最新!A:R""
    ),
    15,
    FALSE
  ),
  0
)
"),"")</f>
        <v/>
      </c>
      <c r="AA35" s="65" t="str">
        <f>IFERROR(__xludf.DUMMYFUNCTION("IFERROR(
  VLOOKUP(
    A35,
    IMPORTRANGE(
      ""1ZHMy3vVUd_0MrSduXTe1etBb1HNpAlGwQr006ljwMiM"",
      ""GSC最新!A:R""
    ),
    18,
    FALSE
  ),
  0
)
"),"")</f>
        <v/>
      </c>
      <c r="AB35" s="65">
        <f t="shared" ref="AB35:AC35" si="169">X35-Z35</f>
        <v>0</v>
      </c>
      <c r="AC35" s="65">
        <f t="shared" si="169"/>
        <v>0</v>
      </c>
      <c r="AD35" s="53">
        <f>IFERROR(__xludf.DUMMYFUNCTION("IFERROR(
  VLOOKUP(
    A35,
    IMPORTRANGE(
      ""1ZHMy3vVUd_0MrSduXTe1etBb1HNpAlGwQr006ljwMiM"",
      ""GSC最新!A:F""
    ),
    6,
    FALSE
  ),
  0
)
"),46081.0)</f>
        <v>46081</v>
      </c>
      <c r="AE35" s="54">
        <f>IFERROR(__xludf.DUMMYFUNCTION("IFERROR(
  VLOOKUP(
    A35,
    IMPORTRANGE(
      ""1SCYQd7_cobOYqT0r_F0IqD4tE4rYn5y8Eup4PJTH8es"",
      ""Snapshot!A:M""
    ),
    5,
    FALSE
  ),
  ""-""
)
"),0.0)</f>
        <v>0</v>
      </c>
      <c r="AF35" s="54">
        <f>IFERROR(__xludf.DUMMYFUNCTION("IFERROR(
  VLOOKUP(
    A35,
    IMPORTRANGE(
      ""1SCYQd7_cobOYqT0r_F0IqD4tE4rYn5y8Eup4PJTH8es"",
      ""Snapshot!A:M""
    ),
    6,
    FALSE
  ),
  0
)
"),0.0)</f>
        <v>0</v>
      </c>
      <c r="AG35" s="54">
        <f>IFERROR(__xludf.DUMMYFUNCTION("IFERROR(
  VLOOKUP(
    A35,
    IMPORTRANGE(
      ""1SCYQd7_cobOYqT0r_F0IqD4tE4rYn5y8Eup4PJTH8es"",
      ""Snapshot!A:M""
    ),
    7,
    FALSE
  ),
  0
)
"),431.0)</f>
        <v>431</v>
      </c>
      <c r="AH35" s="54">
        <f>IFERROR(__xludf.DUMMYFUNCTION("IFERROR(
  VLOOKUP(
    A35,
    IMPORTRANGE(
      ""1SCYQd7_cobOYqT0r_F0IqD4tE4rYn5y8Eup4PJTH8es"",
      ""Snapshot!A:M""
    ),
    8,
    FALSE
  ),
  0
)
"),1.0)</f>
        <v>1</v>
      </c>
      <c r="AI35" s="54">
        <f>IFERROR(__xludf.DUMMYFUNCTION("IFERROR(
  VLOOKUP(
    A35,
    IMPORTRANGE(
      ""1SCYQd7_cobOYqT0r_F0IqD4tE4rYn5y8Eup4PJTH8es"",
      ""Snapshot!A:M""
    ),
    9,
    FALSE
  ),
  0
)
"),0.0)</f>
        <v>0</v>
      </c>
      <c r="AJ35" s="54">
        <f>IFERROR(__xludf.DUMMYFUNCTION("IFERROR(
  VLOOKUP(
    A35,
    IMPORTRANGE(
      ""1SCYQd7_cobOYqT0r_F0IqD4tE4rYn5y8Eup4PJTH8es"",
      ""Snapshot!A:M""
    ),
    13,
    FALSE
  ),
  0
)
"),1.0)</f>
        <v>1</v>
      </c>
      <c r="AK35" s="49">
        <f t="shared" ref="AK35:AL35" si="170">LEN(C35)</f>
        <v>41</v>
      </c>
      <c r="AL35" s="49">
        <f t="shared" si="170"/>
        <v>55</v>
      </c>
    </row>
    <row r="36">
      <c r="A36" s="1" t="s">
        <v>1348</v>
      </c>
      <c r="B36" s="1" t="str">
        <f>IFERROR(__xludf.DUMMYFUNCTION("IFERROR(
  VLOOKUP(
    A36,
    IMPORTRANGE(
      ""1ZygntHC1J6IxzKbTidmOyf5nUyW4GCLurHCjexrLm_o"",
      ""HTMLキャッシュ!A:F""
    ),
    2,
    FALSE
  ),
  0
)
"),"NW")</f>
        <v>NW</v>
      </c>
      <c r="C36" s="1" t="str">
        <f>IFERROR(__xludf.DUMMYFUNCTION("IFERROR(
  VLOOKUP(
    A36,
    IMPORTRANGE(
      ""1ZygntHC1J6IxzKbTidmOyf5nUyW4GCLurHCjexrLm_o"",
      ""HTMLキャッシュ!A:F""
    ),
    5,
    FALSE
  ),
  0
)
"),"2021年度春期講習開催のお知らせ - 基礎力Stadium「国語のトリガー」")</f>
        <v>2021年度春期講習開催のお知らせ - 基礎力Stadium「国語のトリガー」</v>
      </c>
      <c r="D36" s="1" t="str">
        <f>IFERROR(__xludf.DUMMYFUNCTION("IFERROR(
  VLOOKUP(
    A36,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36" s="32">
        <f>IFERROR(__xludf.DUMMYFUNCTION("IFERROR(
  VLOOKUP(
    A36,
    IMPORTRANGE(
      ""1ZygntHC1J6IxzKbTidmOyf5nUyW4GCLurHCjexrLm_o        "",
      ""HTMLキャッシュ!A:F""
    ),
    3,
    FALSE
  ),
  0
)
"),45598.488541666666)</f>
        <v>45598.48854</v>
      </c>
      <c r="F36" s="49">
        <f>IFERROR(__xludf.DUMMYFUNCTION("IFERROR(
  VLOOKUP(
    A36,
    IMPORTRANGE(
      ""1ZHMy3vVUd_0MrSduXTe1etBb1HNpAlGwQr006ljwMiM"",
      ""GSC最新!A:F""
    ),
    2,
    FALSE
  ),
  0
)
"),0.0)</f>
        <v>0</v>
      </c>
      <c r="G36" s="49">
        <f>IFERROR(__xludf.DUMMYFUNCTION("IFERROR(
  VLOOKUP(
    A36,
    IMPORTRANGE(
      ""1ZHMy3vVUd_0MrSduXTe1etBb1HNpAlGwQr006ljwMiM"",
      ""GSC最新!A:F""
    ),
    3,
    FALSE
  ),
  0
)
"),0.0)</f>
        <v>0</v>
      </c>
      <c r="H36" s="49">
        <f>IFERROR(__xludf.DUMMYFUNCTION("IFERROR(
  VLOOKUP(
    A36,
    IMPORTRANGE(
      ""1ZHMy3vVUd_0MrSduXTe1etBb1HNpAlGwQr006ljwMiM"",
      ""GSC最新!A:F""
    ),
    4,
    FALSE
  ),
  0
)
"),0.0)</f>
        <v>0</v>
      </c>
      <c r="I36" s="49">
        <f>IFERROR(__xludf.DUMMYFUNCTION("IFERROR(
  VLOOKUP(
    A36,
    IMPORTRANGE(
      ""1ZHMy3vVUd_0MrSduXTe1etBb1HNpAlGwQr006ljwMiM"",
      ""GSC最新!A:F""
    ),
    5,
    FALSE
  ),
  0
)
"),0.0)</f>
        <v>0</v>
      </c>
      <c r="J36" s="50" t="str">
        <f t="shared" ref="J36:K36" si="171">IFERROR(F36/H36,"-")</f>
        <v>-</v>
      </c>
      <c r="K36" s="50" t="str">
        <f t="shared" si="171"/>
        <v>-</v>
      </c>
      <c r="L36" s="6">
        <f>IFERROR(__xludf.DUMMYFUNCTION("IFERROR(
  VLOOKUP(
    A36,
    IMPORTRANGE(
      ""1ZHMy3vVUd_0MrSduXTe1etBb1HNpAlGwQr006ljwMiM"",
      ""GSC最新!A:R""
    ),
    7,
    FALSE
  ),
  0
)
"),0.0)</f>
        <v>0</v>
      </c>
      <c r="M36" s="6">
        <f>IFERROR(__xludf.DUMMYFUNCTION("IFERROR(
  VLOOKUP(
    A36,
    IMPORTRANGE(
      ""1ZHMy3vVUd_0MrSduXTe1etBb1HNpAlGwQr006ljwMiM"",
      ""GSC最新!A:R""
    ),
    10,
    FALSE
  ),
  0
)
"),0.0)</f>
        <v>0</v>
      </c>
      <c r="N36" s="6">
        <f>IFERROR(__xludf.DUMMYFUNCTION("IFERROR(
  VLOOKUP(
    A36,
    IMPORTRANGE(
      ""1ZHMy3vVUd_0MrSduXTe1etBb1HNpAlGwQr006ljwMiM"",
      ""GSC最新!A:R""
    ),
    13,
    FALSE
  ),
  0
)
"),0.0)</f>
        <v>0</v>
      </c>
      <c r="O36" s="6">
        <f>IFERROR(__xludf.DUMMYFUNCTION("IFERROR(
  VLOOKUP(
    A36,
    IMPORTRANGE(
      ""1ZHMy3vVUd_0MrSduXTe1etBb1HNpAlGwQr006ljwMiM"",
      ""GSC最新!A:R""
    ),
    16,
    FALSE
  ),
  0
)
"),0.0)</f>
        <v>0</v>
      </c>
      <c r="P36" s="51" t="str">
        <f t="shared" ref="P36:Q36" si="172">IFERROR(L36/N36,"-")</f>
        <v>-</v>
      </c>
      <c r="Q36" s="51" t="str">
        <f t="shared" si="172"/>
        <v>-</v>
      </c>
      <c r="R36" s="9">
        <f>IFERROR(__xludf.DUMMYFUNCTION("IFERROR(
  VLOOKUP(
    A36,
    IMPORTRANGE(
      ""1ZHMy3vVUd_0MrSduXTe1etBb1HNpAlGwQr006ljwMiM"",
      ""GSC最新!A:R""
    ),
    8,
    FALSE
  ),
  0
)
"),0.0)</f>
        <v>0</v>
      </c>
      <c r="S36" s="9">
        <f>IFERROR(__xludf.DUMMYFUNCTION("IFERROR(
  VLOOKUP(
    A36,
    IMPORTRANGE(
      ""1ZHMy3vVUd_0MrSduXTe1etBb1HNpAlGwQr006ljwMiM"",
      ""GSC最新!A:R""
    ),
    11,
    FALSE
  ),
  0
)
"),0.0)</f>
        <v>0</v>
      </c>
      <c r="T36" s="9">
        <f>IFERROR(__xludf.DUMMYFUNCTION("IFERROR(
  VLOOKUP(
    A36,
    IMPORTRANGE(
      ""1ZHMy3vVUd_0MrSduXTe1etBb1HNpAlGwQr006ljwMiM"",
      ""GSC最新!A:R""
    ),
    14,
    FALSE
  ),
  0
)
"),0.0)</f>
        <v>0</v>
      </c>
      <c r="U36" s="9">
        <f>IFERROR(__xludf.DUMMYFUNCTION("IFERROR(
  VLOOKUP(
    A36,
    IMPORTRANGE(
      ""1ZHMy3vVUd_0MrSduXTe1etBb1HNpAlGwQr006ljwMiM"",
      ""GSC最新!A:R""
    ),
    17,
    FALSE
  ),
  0
)
"),0.0)</f>
        <v>0</v>
      </c>
      <c r="V36" s="9">
        <f t="shared" ref="V36:W36" si="173">IFERROR(R36-T36,"-")</f>
        <v>0</v>
      </c>
      <c r="W36" s="9">
        <f t="shared" si="173"/>
        <v>0</v>
      </c>
      <c r="X36" s="65" t="str">
        <f>IFERROR(__xludf.DUMMYFUNCTION("IFERROR(
  VLOOKUP(
    A36,
    IMPORTRANGE(
      ""1ZHMy3vVUd_0MrSduXTe1etBb1HNpAlGwQr006ljwMiM"",
      ""GSC最新!A:R""
    ),
    9,
    FALSE
  ),
  0
)
"),"")</f>
        <v/>
      </c>
      <c r="Y36" s="65" t="str">
        <f>IFERROR(__xludf.DUMMYFUNCTION("IFERROR(
  VLOOKUP(
    A36,
    IMPORTRANGE(
      ""1ZHMy3vVUd_0MrSduXTe1etBb1HNpAlGwQr006ljwMiM"",
      ""GSC最新!A:R""
    ),
    12,
    FALSE
  ),
  0
)
"),"")</f>
        <v/>
      </c>
      <c r="Z36" s="65" t="str">
        <f>IFERROR(__xludf.DUMMYFUNCTION("IFERROR(
  VLOOKUP(
    A36,
    IMPORTRANGE(
      ""1ZHMy3vVUd_0MrSduXTe1etBb1HNpAlGwQr006ljwMiM"",
      ""GSC最新!A:R""
    ),
    15,
    FALSE
  ),
  0
)
"),"")</f>
        <v/>
      </c>
      <c r="AA36" s="65" t="str">
        <f>IFERROR(__xludf.DUMMYFUNCTION("IFERROR(
  VLOOKUP(
    A36,
    IMPORTRANGE(
      ""1ZHMy3vVUd_0MrSduXTe1etBb1HNpAlGwQr006ljwMiM"",
      ""GSC最新!A:R""
    ),
    18,
    FALSE
  ),
  0
)
"),"")</f>
        <v/>
      </c>
      <c r="AB36" s="65">
        <f t="shared" ref="AB36:AC36" si="174">X36-Z36</f>
        <v>0</v>
      </c>
      <c r="AC36" s="65">
        <f t="shared" si="174"/>
        <v>0</v>
      </c>
      <c r="AD36" s="53">
        <f>IFERROR(__xludf.DUMMYFUNCTION("IFERROR(
  VLOOKUP(
    A36,
    IMPORTRANGE(
      ""1ZHMy3vVUd_0MrSduXTe1etBb1HNpAlGwQr006ljwMiM"",
      ""GSC最新!A:F""
    ),
    6,
    FALSE
  ),
  0
)
"),46081.0)</f>
        <v>46081</v>
      </c>
      <c r="AE36" s="54">
        <f>IFERROR(__xludf.DUMMYFUNCTION("IFERROR(
  VLOOKUP(
    A36,
    IMPORTRANGE(
      ""1SCYQd7_cobOYqT0r_F0IqD4tE4rYn5y8Eup4PJTH8es"",
      ""Snapshot!A:M""
    ),
    5,
    FALSE
  ),
  ""-""
)
"),0.0)</f>
        <v>0</v>
      </c>
      <c r="AF36" s="54">
        <f>IFERROR(__xludf.DUMMYFUNCTION("IFERROR(
  VLOOKUP(
    A36,
    IMPORTRANGE(
      ""1SCYQd7_cobOYqT0r_F0IqD4tE4rYn5y8Eup4PJTH8es"",
      ""Snapshot!A:M""
    ),
    6,
    FALSE
  ),
  0
)
"),0.0)</f>
        <v>0</v>
      </c>
      <c r="AG36" s="54">
        <f>IFERROR(__xludf.DUMMYFUNCTION("IFERROR(
  VLOOKUP(
    A36,
    IMPORTRANGE(
      ""1SCYQd7_cobOYqT0r_F0IqD4tE4rYn5y8Eup4PJTH8es"",
      ""Snapshot!A:M""
    ),
    7,
    FALSE
  ),
  0
)
"),536.0)</f>
        <v>536</v>
      </c>
      <c r="AH36" s="54">
        <f>IFERROR(__xludf.DUMMYFUNCTION("IFERROR(
  VLOOKUP(
    A36,
    IMPORTRANGE(
      ""1SCYQd7_cobOYqT0r_F0IqD4tE4rYn5y8Eup4PJTH8es"",
      ""Snapshot!A:M""
    ),
    8,
    FALSE
  ),
  0
)
"),2.0)</f>
        <v>2</v>
      </c>
      <c r="AI36" s="54">
        <f>IFERROR(__xludf.DUMMYFUNCTION("IFERROR(
  VLOOKUP(
    A36,
    IMPORTRANGE(
      ""1SCYQd7_cobOYqT0r_F0IqD4tE4rYn5y8Eup4PJTH8es"",
      ""Snapshot!A:M""
    ),
    9,
    FALSE
  ),
  0
)
"),0.0)</f>
        <v>0</v>
      </c>
      <c r="AJ36" s="54">
        <f>IFERROR(__xludf.DUMMYFUNCTION("IFERROR(
  VLOOKUP(
    A36,
    IMPORTRANGE(
      ""1SCYQd7_cobOYqT0r_F0IqD4tE4rYn5y8Eup4PJTH8es"",
      ""Snapshot!A:M""
    ),
    13,
    FALSE
  ),
  0
)
"),1.0)</f>
        <v>1</v>
      </c>
      <c r="AK36" s="49">
        <f t="shared" ref="AK36:AL36" si="175">LEN(C36)</f>
        <v>39</v>
      </c>
      <c r="AL36" s="49">
        <f t="shared" si="175"/>
        <v>55</v>
      </c>
    </row>
    <row r="37">
      <c r="A37" s="3" t="s">
        <v>1349</v>
      </c>
      <c r="B37" s="1" t="str">
        <f>IFERROR(__xludf.DUMMYFUNCTION("IFERROR(
  VLOOKUP(
    A37,
    IMPORTRANGE(
      ""1ZygntHC1J6IxzKbTidmOyf5nUyW4GCLurHCjexrLm_o"",
      ""HTMLキャッシュ!A:F""
    ),
    2,
    FALSE
  ),
  0
)
"),"NW")</f>
        <v>NW</v>
      </c>
      <c r="C37" s="1" t="str">
        <f>IFERROR(__xludf.DUMMYFUNCTION("IFERROR(
  VLOOKUP(
    A37,
    IMPORTRANGE(
      ""1ZygntHC1J6IxzKbTidmOyf5nUyW4GCLurHCjexrLm_o"",
      ""HTMLキャッシュ!A:F""
    ),
    5,
    FALSE
  ),
  0
)
"),"受験理科専門塾「しゅん吉クエスト」開校のお知らせ - 基礎力Stadium「国語のトリガー」")</f>
        <v>受験理科専門塾「しゅん吉クエスト」開校のお知らせ - 基礎力Stadium「国語のトリガー」</v>
      </c>
      <c r="D37" s="1" t="str">
        <f>IFERROR(__xludf.DUMMYFUNCTION("IFERROR(
  VLOOKUP(
    A37,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37" s="32">
        <f>IFERROR(__xludf.DUMMYFUNCTION("IFERROR(
  VLOOKUP(
    A37,
    IMPORTRANGE(
      ""1ZygntHC1J6IxzKbTidmOyf5nUyW4GCLurHCjexrLm_o        "",
      ""HTMLキャッシュ!A:F""
    ),
    3,
    FALSE
  ),
  0
)
"),44400.680925925924)</f>
        <v>44400.68093</v>
      </c>
      <c r="F37" s="49">
        <f>IFERROR(__xludf.DUMMYFUNCTION("IFERROR(
  VLOOKUP(
    A37,
    IMPORTRANGE(
      ""1ZHMy3vVUd_0MrSduXTe1etBb1HNpAlGwQr006ljwMiM"",
      ""GSC最新!A:F""
    ),
    2,
    FALSE
  ),
  0
)
"),0.0)</f>
        <v>0</v>
      </c>
      <c r="G37" s="49">
        <f>IFERROR(__xludf.DUMMYFUNCTION("IFERROR(
  VLOOKUP(
    A37,
    IMPORTRANGE(
      ""1ZHMy3vVUd_0MrSduXTe1etBb1HNpAlGwQr006ljwMiM"",
      ""GSC最新!A:F""
    ),
    3,
    FALSE
  ),
  0
)
"),0.0)</f>
        <v>0</v>
      </c>
      <c r="H37" s="49">
        <f>IFERROR(__xludf.DUMMYFUNCTION("IFERROR(
  VLOOKUP(
    A37,
    IMPORTRANGE(
      ""1ZHMy3vVUd_0MrSduXTe1etBb1HNpAlGwQr006ljwMiM"",
      ""GSC最新!A:F""
    ),
    4,
    FALSE
  ),
  0
)
"),0.0)</f>
        <v>0</v>
      </c>
      <c r="I37" s="49">
        <f>IFERROR(__xludf.DUMMYFUNCTION("IFERROR(
  VLOOKUP(
    A37,
    IMPORTRANGE(
      ""1ZHMy3vVUd_0MrSduXTe1etBb1HNpAlGwQr006ljwMiM"",
      ""GSC最新!A:F""
    ),
    5,
    FALSE
  ),
  0
)
"),0.0)</f>
        <v>0</v>
      </c>
      <c r="J37" s="50" t="str">
        <f t="shared" ref="J37:K37" si="176">IFERROR(F37/H37,"-")</f>
        <v>-</v>
      </c>
      <c r="K37" s="50" t="str">
        <f t="shared" si="176"/>
        <v>-</v>
      </c>
      <c r="L37" s="6">
        <f>IFERROR(__xludf.DUMMYFUNCTION("IFERROR(
  VLOOKUP(
    A37,
    IMPORTRANGE(
      ""1ZHMy3vVUd_0MrSduXTe1etBb1HNpAlGwQr006ljwMiM"",
      ""GSC最新!A:R""
    ),
    7,
    FALSE
  ),
  0
)
"),0.0)</f>
        <v>0</v>
      </c>
      <c r="M37" s="6">
        <f>IFERROR(__xludf.DUMMYFUNCTION("IFERROR(
  VLOOKUP(
    A37,
    IMPORTRANGE(
      ""1ZHMy3vVUd_0MrSduXTe1etBb1HNpAlGwQr006ljwMiM"",
      ""GSC最新!A:R""
    ),
    10,
    FALSE
  ),
  0
)
"),0.0)</f>
        <v>0</v>
      </c>
      <c r="N37" s="6">
        <f>IFERROR(__xludf.DUMMYFUNCTION("IFERROR(
  VLOOKUP(
    A37,
    IMPORTRANGE(
      ""1ZHMy3vVUd_0MrSduXTe1etBb1HNpAlGwQr006ljwMiM"",
      ""GSC最新!A:R""
    ),
    13,
    FALSE
  ),
  0
)
"),0.0)</f>
        <v>0</v>
      </c>
      <c r="O37" s="6">
        <f>IFERROR(__xludf.DUMMYFUNCTION("IFERROR(
  VLOOKUP(
    A37,
    IMPORTRANGE(
      ""1ZHMy3vVUd_0MrSduXTe1etBb1HNpAlGwQr006ljwMiM"",
      ""GSC最新!A:R""
    ),
    16,
    FALSE
  ),
  0
)
"),0.0)</f>
        <v>0</v>
      </c>
      <c r="P37" s="51" t="str">
        <f t="shared" ref="P37:Q37" si="177">IFERROR(L37/N37,"-")</f>
        <v>-</v>
      </c>
      <c r="Q37" s="51" t="str">
        <f t="shared" si="177"/>
        <v>-</v>
      </c>
      <c r="R37" s="9">
        <f>IFERROR(__xludf.DUMMYFUNCTION("IFERROR(
  VLOOKUP(
    A37,
    IMPORTRANGE(
      ""1ZHMy3vVUd_0MrSduXTe1etBb1HNpAlGwQr006ljwMiM"",
      ""GSC最新!A:R""
    ),
    8,
    FALSE
  ),
  0
)
"),0.0)</f>
        <v>0</v>
      </c>
      <c r="S37" s="9">
        <f>IFERROR(__xludf.DUMMYFUNCTION("IFERROR(
  VLOOKUP(
    A37,
    IMPORTRANGE(
      ""1ZHMy3vVUd_0MrSduXTe1etBb1HNpAlGwQr006ljwMiM"",
      ""GSC最新!A:R""
    ),
    11,
    FALSE
  ),
  0
)
"),0.0)</f>
        <v>0</v>
      </c>
      <c r="T37" s="9">
        <f>IFERROR(__xludf.DUMMYFUNCTION("IFERROR(
  VLOOKUP(
    A37,
    IMPORTRANGE(
      ""1ZHMy3vVUd_0MrSduXTe1etBb1HNpAlGwQr006ljwMiM"",
      ""GSC最新!A:R""
    ),
    14,
    FALSE
  ),
  0
)
"),0.0)</f>
        <v>0</v>
      </c>
      <c r="U37" s="9">
        <f>IFERROR(__xludf.DUMMYFUNCTION("IFERROR(
  VLOOKUP(
    A37,
    IMPORTRANGE(
      ""1ZHMy3vVUd_0MrSduXTe1etBb1HNpAlGwQr006ljwMiM"",
      ""GSC最新!A:R""
    ),
    17,
    FALSE
  ),
  0
)
"),0.0)</f>
        <v>0</v>
      </c>
      <c r="V37" s="9">
        <f t="shared" ref="V37:W37" si="178">IFERROR(R37-T37,"-")</f>
        <v>0</v>
      </c>
      <c r="W37" s="9">
        <f t="shared" si="178"/>
        <v>0</v>
      </c>
      <c r="X37" s="65" t="str">
        <f>IFERROR(__xludf.DUMMYFUNCTION("IFERROR(
  VLOOKUP(
    A37,
    IMPORTRANGE(
      ""1ZHMy3vVUd_0MrSduXTe1etBb1HNpAlGwQr006ljwMiM"",
      ""GSC最新!A:R""
    ),
    9,
    FALSE
  ),
  0
)
"),"")</f>
        <v/>
      </c>
      <c r="Y37" s="65" t="str">
        <f>IFERROR(__xludf.DUMMYFUNCTION("IFERROR(
  VLOOKUP(
    A37,
    IMPORTRANGE(
      ""1ZHMy3vVUd_0MrSduXTe1etBb1HNpAlGwQr006ljwMiM"",
      ""GSC最新!A:R""
    ),
    12,
    FALSE
  ),
  0
)
"),"")</f>
        <v/>
      </c>
      <c r="Z37" s="65" t="str">
        <f>IFERROR(__xludf.DUMMYFUNCTION("IFERROR(
  VLOOKUP(
    A37,
    IMPORTRANGE(
      ""1ZHMy3vVUd_0MrSduXTe1etBb1HNpAlGwQr006ljwMiM"",
      ""GSC最新!A:R""
    ),
    15,
    FALSE
  ),
  0
)
"),"")</f>
        <v/>
      </c>
      <c r="AA37" s="65" t="str">
        <f>IFERROR(__xludf.DUMMYFUNCTION("IFERROR(
  VLOOKUP(
    A37,
    IMPORTRANGE(
      ""1ZHMy3vVUd_0MrSduXTe1etBb1HNpAlGwQr006ljwMiM"",
      ""GSC最新!A:R""
    ),
    18,
    FALSE
  ),
  0
)
"),"")</f>
        <v/>
      </c>
      <c r="AB37" s="65">
        <f t="shared" ref="AB37:AC37" si="179">X37-Z37</f>
        <v>0</v>
      </c>
      <c r="AC37" s="65">
        <f t="shared" si="179"/>
        <v>0</v>
      </c>
      <c r="AD37" s="53">
        <f>IFERROR(__xludf.DUMMYFUNCTION("IFERROR(
  VLOOKUP(
    A37,
    IMPORTRANGE(
      ""1ZHMy3vVUd_0MrSduXTe1etBb1HNpAlGwQr006ljwMiM"",
      ""GSC最新!A:F""
    ),
    6,
    FALSE
  ),
  0
)
"),46081.0)</f>
        <v>46081</v>
      </c>
      <c r="AE37" s="54">
        <f>IFERROR(__xludf.DUMMYFUNCTION("IFERROR(
  VLOOKUP(
    A37,
    IMPORTRANGE(
      ""1SCYQd7_cobOYqT0r_F0IqD4tE4rYn5y8Eup4PJTH8es"",
      ""Snapshot!A:M""
    ),
    5,
    FALSE
  ),
  ""-""
)
"),0.0)</f>
        <v>0</v>
      </c>
      <c r="AF37" s="54">
        <f>IFERROR(__xludf.DUMMYFUNCTION("IFERROR(
  VLOOKUP(
    A37,
    IMPORTRANGE(
      ""1SCYQd7_cobOYqT0r_F0IqD4tE4rYn5y8Eup4PJTH8es"",
      ""Snapshot!A:M""
    ),
    6,
    FALSE
  ),
  0
)
"),0.0)</f>
        <v>0</v>
      </c>
      <c r="AG37" s="54">
        <f>IFERROR(__xludf.DUMMYFUNCTION("IFERROR(
  VLOOKUP(
    A37,
    IMPORTRANGE(
      ""1SCYQd7_cobOYqT0r_F0IqD4tE4rYn5y8Eup4PJTH8es"",
      ""Snapshot!A:M""
    ),
    7,
    FALSE
  ),
  0
)
"),127.0)</f>
        <v>127</v>
      </c>
      <c r="AH37" s="54">
        <f>IFERROR(__xludf.DUMMYFUNCTION("IFERROR(
  VLOOKUP(
    A37,
    IMPORTRANGE(
      ""1SCYQd7_cobOYqT0r_F0IqD4tE4rYn5y8Eup4PJTH8es"",
      ""Snapshot!A:M""
    ),
    8,
    FALSE
  ),
  0
)
"),0.0)</f>
        <v>0</v>
      </c>
      <c r="AI37" s="54">
        <f>IFERROR(__xludf.DUMMYFUNCTION("IFERROR(
  VLOOKUP(
    A37,
    IMPORTRANGE(
      ""1SCYQd7_cobOYqT0r_F0IqD4tE4rYn5y8Eup4PJTH8es"",
      ""Snapshot!A:M""
    ),
    9,
    FALSE
  ),
  0
)
"),0.0)</f>
        <v>0</v>
      </c>
      <c r="AJ37" s="54">
        <f>IFERROR(__xludf.DUMMYFUNCTION("IFERROR(
  VLOOKUP(
    A37,
    IMPORTRANGE(
      ""1SCYQd7_cobOYqT0r_F0IqD4tE4rYn5y8Eup4PJTH8es"",
      ""Snapshot!A:M""
    ),
    13,
    FALSE
  ),
  0
)
"),1.0)</f>
        <v>1</v>
      </c>
      <c r="AK37" s="49">
        <f t="shared" ref="AK37:AL37" si="180">LEN(C37)</f>
        <v>46</v>
      </c>
      <c r="AL37" s="49">
        <f t="shared" si="180"/>
        <v>55</v>
      </c>
    </row>
    <row r="38">
      <c r="A38" s="3" t="s">
        <v>1350</v>
      </c>
      <c r="B38" s="1" t="str">
        <f>IFERROR(__xludf.DUMMYFUNCTION("IFERROR(
  VLOOKUP(
    A38,
    IMPORTRANGE(
      ""1ZygntHC1J6IxzKbTidmOyf5nUyW4GCLurHCjexrLm_o"",
      ""HTMLキャッシュ!A:F""
    ),
    2,
    FALSE
  ),
  0
)
"),"NW")</f>
        <v>NW</v>
      </c>
      <c r="C38" s="1" t="str">
        <f>IFERROR(__xludf.DUMMYFUNCTION("IFERROR(
  VLOOKUP(
    A38,
    IMPORTRANGE(
      ""1ZygntHC1J6IxzKbTidmOyf5nUyW4GCLurHCjexrLm_o"",
      ""HTMLキャッシュ!A:F""
    ),
    5,
    FALSE
  ),
  0
)
"),"基礎力Studium「国語のトリガー」開校いたします！ - 基礎力Stadium「国語のトリガー」")</f>
        <v>基礎力Studium「国語のトリガー」開校いたします！ - 基礎力Stadium「国語のトリガー」</v>
      </c>
      <c r="D38" s="1" t="str">
        <f>IFERROR(__xludf.DUMMYFUNCTION("IFERROR(
  VLOOKUP(
    A38,
    IMPORTRANGE(
      ""1ZygntHC1J6IxzKbTidmOyf5nUyW4GCLurHCjexrLm_o        "",
      ""HTMLキャッシュ!A:F""
    ),
    6,
    FALSE
  ),
  0
)
"),"この度、基礎力Studium「国語のトリガー」を開校いたします。 当塾は「国語が苦手な受験生」専門の国語塾です")</f>
        <v>この度、基礎力Studium「国語のトリガー」を開校いたします。 当塾は「国語が苦手な受験生」専門の国語塾です</v>
      </c>
      <c r="E38" s="32">
        <f>IFERROR(__xludf.DUMMYFUNCTION("IFERROR(
  VLOOKUP(
    A38,
    IMPORTRANGE(
      ""1ZygntHC1J6IxzKbTidmOyf5nUyW4GCLurHCjexrLm_o        "",
      ""HTMLキャッシュ!A:F""
    ),
    3,
    FALSE
  ),
  0
)
"),44292.4533912037)</f>
        <v>44292.45339</v>
      </c>
      <c r="F38" s="49">
        <f>IFERROR(__xludf.DUMMYFUNCTION("IFERROR(
  VLOOKUP(
    A38,
    IMPORTRANGE(
      ""1ZHMy3vVUd_0MrSduXTe1etBb1HNpAlGwQr006ljwMiM"",
      ""GSC最新!A:F""
    ),
    2,
    FALSE
  ),
  0
)
"),0.0)</f>
        <v>0</v>
      </c>
      <c r="G38" s="49">
        <f>IFERROR(__xludf.DUMMYFUNCTION("IFERROR(
  VLOOKUP(
    A38,
    IMPORTRANGE(
      ""1ZHMy3vVUd_0MrSduXTe1etBb1HNpAlGwQr006ljwMiM"",
      ""GSC最新!A:F""
    ),
    3,
    FALSE
  ),
  0
)
"),0.0)</f>
        <v>0</v>
      </c>
      <c r="H38" s="49">
        <f>IFERROR(__xludf.DUMMYFUNCTION("IFERROR(
  VLOOKUP(
    A38,
    IMPORTRANGE(
      ""1ZHMy3vVUd_0MrSduXTe1etBb1HNpAlGwQr006ljwMiM"",
      ""GSC最新!A:F""
    ),
    4,
    FALSE
  ),
  0
)
"),0.0)</f>
        <v>0</v>
      </c>
      <c r="I38" s="49">
        <f>IFERROR(__xludf.DUMMYFUNCTION("IFERROR(
  VLOOKUP(
    A38,
    IMPORTRANGE(
      ""1ZHMy3vVUd_0MrSduXTe1etBb1HNpAlGwQr006ljwMiM"",
      ""GSC最新!A:F""
    ),
    5,
    FALSE
  ),
  0
)
"),0.0)</f>
        <v>0</v>
      </c>
      <c r="J38" s="50" t="str">
        <f t="shared" ref="J38:K38" si="181">IFERROR(F38/H38,"-")</f>
        <v>-</v>
      </c>
      <c r="K38" s="50" t="str">
        <f t="shared" si="181"/>
        <v>-</v>
      </c>
      <c r="L38" s="6">
        <f>IFERROR(__xludf.DUMMYFUNCTION("IFERROR(
  VLOOKUP(
    A38,
    IMPORTRANGE(
      ""1ZHMy3vVUd_0MrSduXTe1etBb1HNpAlGwQr006ljwMiM"",
      ""GSC最新!A:R""
    ),
    7,
    FALSE
  ),
  0
)
"),0.0)</f>
        <v>0</v>
      </c>
      <c r="M38" s="6">
        <f>IFERROR(__xludf.DUMMYFUNCTION("IFERROR(
  VLOOKUP(
    A38,
    IMPORTRANGE(
      ""1ZHMy3vVUd_0MrSduXTe1etBb1HNpAlGwQr006ljwMiM"",
      ""GSC最新!A:R""
    ),
    10,
    FALSE
  ),
  0
)
"),0.0)</f>
        <v>0</v>
      </c>
      <c r="N38" s="6">
        <f>IFERROR(__xludf.DUMMYFUNCTION("IFERROR(
  VLOOKUP(
    A38,
    IMPORTRANGE(
      ""1ZHMy3vVUd_0MrSduXTe1etBb1HNpAlGwQr006ljwMiM"",
      ""GSC最新!A:R""
    ),
    13,
    FALSE
  ),
  0
)
"),0.0)</f>
        <v>0</v>
      </c>
      <c r="O38" s="6">
        <f>IFERROR(__xludf.DUMMYFUNCTION("IFERROR(
  VLOOKUP(
    A38,
    IMPORTRANGE(
      ""1ZHMy3vVUd_0MrSduXTe1etBb1HNpAlGwQr006ljwMiM"",
      ""GSC最新!A:R""
    ),
    16,
    FALSE
  ),
  0
)
"),0.0)</f>
        <v>0</v>
      </c>
      <c r="P38" s="51" t="str">
        <f t="shared" ref="P38:Q38" si="182">IFERROR(L38/N38,"-")</f>
        <v>-</v>
      </c>
      <c r="Q38" s="51" t="str">
        <f t="shared" si="182"/>
        <v>-</v>
      </c>
      <c r="R38" s="9">
        <f>IFERROR(__xludf.DUMMYFUNCTION("IFERROR(
  VLOOKUP(
    A38,
    IMPORTRANGE(
      ""1ZHMy3vVUd_0MrSduXTe1etBb1HNpAlGwQr006ljwMiM"",
      ""GSC最新!A:R""
    ),
    8,
    FALSE
  ),
  0
)
"),0.0)</f>
        <v>0</v>
      </c>
      <c r="S38" s="9">
        <f>IFERROR(__xludf.DUMMYFUNCTION("IFERROR(
  VLOOKUP(
    A38,
    IMPORTRANGE(
      ""1ZHMy3vVUd_0MrSduXTe1etBb1HNpAlGwQr006ljwMiM"",
      ""GSC最新!A:R""
    ),
    11,
    FALSE
  ),
  0
)
"),0.0)</f>
        <v>0</v>
      </c>
      <c r="T38" s="9">
        <f>IFERROR(__xludf.DUMMYFUNCTION("IFERROR(
  VLOOKUP(
    A38,
    IMPORTRANGE(
      ""1ZHMy3vVUd_0MrSduXTe1etBb1HNpAlGwQr006ljwMiM"",
      ""GSC最新!A:R""
    ),
    14,
    FALSE
  ),
  0
)
"),0.0)</f>
        <v>0</v>
      </c>
      <c r="U38" s="9">
        <f>IFERROR(__xludf.DUMMYFUNCTION("IFERROR(
  VLOOKUP(
    A38,
    IMPORTRANGE(
      ""1ZHMy3vVUd_0MrSduXTe1etBb1HNpAlGwQr006ljwMiM"",
      ""GSC最新!A:R""
    ),
    17,
    FALSE
  ),
  0
)
"),0.0)</f>
        <v>0</v>
      </c>
      <c r="V38" s="9">
        <f t="shared" ref="V38:W38" si="183">IFERROR(R38-T38,"-")</f>
        <v>0</v>
      </c>
      <c r="W38" s="9">
        <f t="shared" si="183"/>
        <v>0</v>
      </c>
      <c r="X38" s="65" t="str">
        <f>IFERROR(__xludf.DUMMYFUNCTION("IFERROR(
  VLOOKUP(
    A38,
    IMPORTRANGE(
      ""1ZHMy3vVUd_0MrSduXTe1etBb1HNpAlGwQr006ljwMiM"",
      ""GSC最新!A:R""
    ),
    9,
    FALSE
  ),
  0
)
"),"")</f>
        <v/>
      </c>
      <c r="Y38" s="65" t="str">
        <f>IFERROR(__xludf.DUMMYFUNCTION("IFERROR(
  VLOOKUP(
    A38,
    IMPORTRANGE(
      ""1ZHMy3vVUd_0MrSduXTe1etBb1HNpAlGwQr006ljwMiM"",
      ""GSC最新!A:R""
    ),
    12,
    FALSE
  ),
  0
)
"),"")</f>
        <v/>
      </c>
      <c r="Z38" s="65" t="str">
        <f>IFERROR(__xludf.DUMMYFUNCTION("IFERROR(
  VLOOKUP(
    A38,
    IMPORTRANGE(
      ""1ZHMy3vVUd_0MrSduXTe1etBb1HNpAlGwQr006ljwMiM"",
      ""GSC最新!A:R""
    ),
    15,
    FALSE
  ),
  0
)
"),"")</f>
        <v/>
      </c>
      <c r="AA38" s="65" t="str">
        <f>IFERROR(__xludf.DUMMYFUNCTION("IFERROR(
  VLOOKUP(
    A38,
    IMPORTRANGE(
      ""1ZHMy3vVUd_0MrSduXTe1etBb1HNpAlGwQr006ljwMiM"",
      ""GSC最新!A:R""
    ),
    18,
    FALSE
  ),
  0
)
"),"")</f>
        <v/>
      </c>
      <c r="AB38" s="65">
        <f t="shared" ref="AB38:AC38" si="184">X38-Z38</f>
        <v>0</v>
      </c>
      <c r="AC38" s="65">
        <f t="shared" si="184"/>
        <v>0</v>
      </c>
      <c r="AD38" s="53">
        <f>IFERROR(__xludf.DUMMYFUNCTION("IFERROR(
  VLOOKUP(
    A38,
    IMPORTRANGE(
      ""1ZHMy3vVUd_0MrSduXTe1etBb1HNpAlGwQr006ljwMiM"",
      ""GSC最新!A:F""
    ),
    6,
    FALSE
  ),
  0
)
"),46081.0)</f>
        <v>46081</v>
      </c>
      <c r="AE38" s="54">
        <f>IFERROR(__xludf.DUMMYFUNCTION("IFERROR(
  VLOOKUP(
    A38,
    IMPORTRANGE(
      ""1SCYQd7_cobOYqT0r_F0IqD4tE4rYn5y8Eup4PJTH8es"",
      ""Snapshot!A:M""
    ),
    5,
    FALSE
  ),
  ""-""
)
"),0.0)</f>
        <v>0</v>
      </c>
      <c r="AF38" s="54">
        <f>IFERROR(__xludf.DUMMYFUNCTION("IFERROR(
  VLOOKUP(
    A38,
    IMPORTRANGE(
      ""1SCYQd7_cobOYqT0r_F0IqD4tE4rYn5y8Eup4PJTH8es"",
      ""Snapshot!A:M""
    ),
    6,
    FALSE
  ),
  0
)
"),0.0)</f>
        <v>0</v>
      </c>
      <c r="AG38" s="54">
        <f>IFERROR(__xludf.DUMMYFUNCTION("IFERROR(
  VLOOKUP(
    A38,
    IMPORTRANGE(
      ""1SCYQd7_cobOYqT0r_F0IqD4tE4rYn5y8Eup4PJTH8es"",
      ""Snapshot!A:M""
    ),
    7,
    FALSE
  ),
  0
)
"),178.0)</f>
        <v>178</v>
      </c>
      <c r="AH38" s="54">
        <f>IFERROR(__xludf.DUMMYFUNCTION("IFERROR(
  VLOOKUP(
    A38,
    IMPORTRANGE(
      ""1SCYQd7_cobOYqT0r_F0IqD4tE4rYn5y8Eup4PJTH8es"",
      ""Snapshot!A:M""
    ),
    8,
    FALSE
  ),
  0
)
"),0.0)</f>
        <v>0</v>
      </c>
      <c r="AI38" s="54">
        <f>IFERROR(__xludf.DUMMYFUNCTION("IFERROR(
  VLOOKUP(
    A38,
    IMPORTRANGE(
      ""1SCYQd7_cobOYqT0r_F0IqD4tE4rYn5y8Eup4PJTH8es"",
      ""Snapshot!A:M""
    ),
    9,
    FALSE
  ),
  0
)
"),0.0)</f>
        <v>0</v>
      </c>
      <c r="AJ38" s="54">
        <f>IFERROR(__xludf.DUMMYFUNCTION("IFERROR(
  VLOOKUP(
    A38,
    IMPORTRANGE(
      ""1SCYQd7_cobOYqT0r_F0IqD4tE4rYn5y8Eup4PJTH8es"",
      ""Snapshot!A:M""
    ),
    13,
    FALSE
  ),
  0
)
"),1.0)</f>
        <v>1</v>
      </c>
      <c r="AK38" s="49">
        <f t="shared" ref="AK38:AL38" si="185">LEN(C38)</f>
        <v>49</v>
      </c>
      <c r="AL38" s="49">
        <f t="shared" si="185"/>
        <v>55</v>
      </c>
    </row>
    <row r="39">
      <c r="A39" s="1" t="s">
        <v>1351</v>
      </c>
      <c r="B39" s="1" t="str">
        <f>IFERROR(__xludf.DUMMYFUNCTION("IFERROR(
  VLOOKUP(
    A39,
    IMPORTRANGE(
      ""1ZygntHC1J6IxzKbTidmOyf5nUyW4GCLurHCjexrLm_o"",
      ""HTMLキャッシュ!A:F""
    ),
    2,
    FALSE
  ),
  0
)
"),"NW")</f>
        <v>NW</v>
      </c>
      <c r="C39" s="1" t="str">
        <f>IFERROR(__xludf.DUMMYFUNCTION("IFERROR(
  VLOOKUP(
    A39,
    IMPORTRANGE(
      ""1ZygntHC1J6IxzKbTidmOyf5nUyW4GCLurHCjexrLm_o"",
      ""HTMLキャッシュ!A:F""
    ),
    5,
    FALSE
  ),
  0
)
"),"2025年度 夏期講習会のご案内 - 基礎力Stadium「国語のトリガー」")</f>
        <v>2025年度 夏期講習会のご案内 - 基礎力Stadium「国語のトリガー」</v>
      </c>
      <c r="D39" s="1" t="str">
        <f>IFERROR(__xludf.DUMMYFUNCTION("IFERROR(
  VLOOKUP(
    A39,
    IMPORTRANGE(
      ""1ZygntHC1J6IxzKbTidmOyf5nUyW4GCLurHCjexrLm_o        "",
      ""HTMLキャッシュ!A:F""
    ),
    6,
    FALSE
  ),
  0
)
"),"夏休みは、受験生にとってまさに天王山。 また、受験を1年以上先に控えているお子様にとっても、普段は取り組めない")</f>
        <v>夏休みは、受験生にとってまさに天王山。 また、受験を1年以上先に控えているお子様にとっても、普段は取り組めない</v>
      </c>
      <c r="E39" s="32">
        <f>IFERROR(__xludf.DUMMYFUNCTION("IFERROR(
  VLOOKUP(
    A39,
    IMPORTRANGE(
      ""1ZygntHC1J6IxzKbTidmOyf5nUyW4GCLurHCjexrLm_o        "",
      ""HTMLキャッシュ!A:F""
    ),
    3,
    FALSE
  ),
  0
)
"),45968.75880787037)</f>
        <v>45968.75881</v>
      </c>
      <c r="F39" s="49">
        <f>IFERROR(__xludf.DUMMYFUNCTION("IFERROR(
  VLOOKUP(
    A39,
    IMPORTRANGE(
      ""1ZHMy3vVUd_0MrSduXTe1etBb1HNpAlGwQr006ljwMiM"",
      ""GSC最新!A:F""
    ),
    2,
    FALSE
  ),
  0
)
"),0.0)</f>
        <v>0</v>
      </c>
      <c r="G39" s="49">
        <f>IFERROR(__xludf.DUMMYFUNCTION("IFERROR(
  VLOOKUP(
    A39,
    IMPORTRANGE(
      ""1ZHMy3vVUd_0MrSduXTe1etBb1HNpAlGwQr006ljwMiM"",
      ""GSC最新!A:F""
    ),
    3,
    FALSE
  ),
  0
)
"),0.0)</f>
        <v>0</v>
      </c>
      <c r="H39" s="49">
        <f>IFERROR(__xludf.DUMMYFUNCTION("IFERROR(
  VLOOKUP(
    A39,
    IMPORTRANGE(
      ""1ZHMy3vVUd_0MrSduXTe1etBb1HNpAlGwQr006ljwMiM"",
      ""GSC最新!A:F""
    ),
    4,
    FALSE
  ),
  0
)
"),0.0)</f>
        <v>0</v>
      </c>
      <c r="I39" s="49">
        <f>IFERROR(__xludf.DUMMYFUNCTION("IFERROR(
  VLOOKUP(
    A39,
    IMPORTRANGE(
      ""1ZHMy3vVUd_0MrSduXTe1etBb1HNpAlGwQr006ljwMiM"",
      ""GSC最新!A:F""
    ),
    5,
    FALSE
  ),
  0
)
"),0.0)</f>
        <v>0</v>
      </c>
      <c r="J39" s="50" t="str">
        <f t="shared" ref="J39:K39" si="186">IFERROR(F39/H39,"-")</f>
        <v>-</v>
      </c>
      <c r="K39" s="50" t="str">
        <f t="shared" si="186"/>
        <v>-</v>
      </c>
      <c r="L39" s="6">
        <f>IFERROR(__xludf.DUMMYFUNCTION("IFERROR(
  VLOOKUP(
    A39,
    IMPORTRANGE(
      ""1ZHMy3vVUd_0MrSduXTe1etBb1HNpAlGwQr006ljwMiM"",
      ""GSC最新!A:R""
    ),
    7,
    FALSE
  ),
  0
)
"),0.0)</f>
        <v>0</v>
      </c>
      <c r="M39" s="6">
        <f>IFERROR(__xludf.DUMMYFUNCTION("IFERROR(
  VLOOKUP(
    A39,
    IMPORTRANGE(
      ""1ZHMy3vVUd_0MrSduXTe1etBb1HNpAlGwQr006ljwMiM"",
      ""GSC最新!A:R""
    ),
    10,
    FALSE
  ),
  0
)
"),0.0)</f>
        <v>0</v>
      </c>
      <c r="N39" s="6">
        <f>IFERROR(__xludf.DUMMYFUNCTION("IFERROR(
  VLOOKUP(
    A39,
    IMPORTRANGE(
      ""1ZHMy3vVUd_0MrSduXTe1etBb1HNpAlGwQr006ljwMiM"",
      ""GSC最新!A:R""
    ),
    13,
    FALSE
  ),
  0
)
"),0.0)</f>
        <v>0</v>
      </c>
      <c r="O39" s="6">
        <f>IFERROR(__xludf.DUMMYFUNCTION("IFERROR(
  VLOOKUP(
    A39,
    IMPORTRANGE(
      ""1ZHMy3vVUd_0MrSduXTe1etBb1HNpAlGwQr006ljwMiM"",
      ""GSC最新!A:R""
    ),
    16,
    FALSE
  ),
  0
)
"),0.0)</f>
        <v>0</v>
      </c>
      <c r="P39" s="51" t="str">
        <f t="shared" ref="P39:Q39" si="187">IFERROR(L39/N39,"-")</f>
        <v>-</v>
      </c>
      <c r="Q39" s="51" t="str">
        <f t="shared" si="187"/>
        <v>-</v>
      </c>
      <c r="R39" s="9">
        <f>IFERROR(__xludf.DUMMYFUNCTION("IFERROR(
  VLOOKUP(
    A39,
    IMPORTRANGE(
      ""1ZHMy3vVUd_0MrSduXTe1etBb1HNpAlGwQr006ljwMiM"",
      ""GSC最新!A:R""
    ),
    8,
    FALSE
  ),
  0
)
"),0.0)</f>
        <v>0</v>
      </c>
      <c r="S39" s="9">
        <f>IFERROR(__xludf.DUMMYFUNCTION("IFERROR(
  VLOOKUP(
    A39,
    IMPORTRANGE(
      ""1ZHMy3vVUd_0MrSduXTe1etBb1HNpAlGwQr006ljwMiM"",
      ""GSC最新!A:R""
    ),
    11,
    FALSE
  ),
  0
)
"),0.0)</f>
        <v>0</v>
      </c>
      <c r="T39" s="9">
        <f>IFERROR(__xludf.DUMMYFUNCTION("IFERROR(
  VLOOKUP(
    A39,
    IMPORTRANGE(
      ""1ZHMy3vVUd_0MrSduXTe1etBb1HNpAlGwQr006ljwMiM"",
      ""GSC最新!A:R""
    ),
    14,
    FALSE
  ),
  0
)
"),0.0)</f>
        <v>0</v>
      </c>
      <c r="U39" s="9">
        <f>IFERROR(__xludf.DUMMYFUNCTION("IFERROR(
  VLOOKUP(
    A39,
    IMPORTRANGE(
      ""1ZHMy3vVUd_0MrSduXTe1etBb1HNpAlGwQr006ljwMiM"",
      ""GSC最新!A:R""
    ),
    17,
    FALSE
  ),
  0
)
"),0.0)</f>
        <v>0</v>
      </c>
      <c r="V39" s="9">
        <f t="shared" ref="V39:W39" si="188">IFERROR(R39-T39,"-")</f>
        <v>0</v>
      </c>
      <c r="W39" s="9">
        <f t="shared" si="188"/>
        <v>0</v>
      </c>
      <c r="X39" s="65" t="str">
        <f>IFERROR(__xludf.DUMMYFUNCTION("IFERROR(
  VLOOKUP(
    A39,
    IMPORTRANGE(
      ""1ZHMy3vVUd_0MrSduXTe1etBb1HNpAlGwQr006ljwMiM"",
      ""GSC最新!A:R""
    ),
    9,
    FALSE
  ),
  0
)
"),"")</f>
        <v/>
      </c>
      <c r="Y39" s="65" t="str">
        <f>IFERROR(__xludf.DUMMYFUNCTION("IFERROR(
  VLOOKUP(
    A39,
    IMPORTRANGE(
      ""1ZHMy3vVUd_0MrSduXTe1etBb1HNpAlGwQr006ljwMiM"",
      ""GSC最新!A:R""
    ),
    12,
    FALSE
  ),
  0
)
"),"")</f>
        <v/>
      </c>
      <c r="Z39" s="65" t="str">
        <f>IFERROR(__xludf.DUMMYFUNCTION("IFERROR(
  VLOOKUP(
    A39,
    IMPORTRANGE(
      ""1ZHMy3vVUd_0MrSduXTe1etBb1HNpAlGwQr006ljwMiM"",
      ""GSC最新!A:R""
    ),
    15,
    FALSE
  ),
  0
)
"),"")</f>
        <v/>
      </c>
      <c r="AA39" s="65" t="str">
        <f>IFERROR(__xludf.DUMMYFUNCTION("IFERROR(
  VLOOKUP(
    A39,
    IMPORTRANGE(
      ""1ZHMy3vVUd_0MrSduXTe1etBb1HNpAlGwQr006ljwMiM"",
      ""GSC最新!A:R""
    ),
    18,
    FALSE
  ),
  0
)
"),"")</f>
        <v/>
      </c>
      <c r="AB39" s="65">
        <f t="shared" ref="AB39:AC39" si="189">X39-Z39</f>
        <v>0</v>
      </c>
      <c r="AC39" s="65">
        <f t="shared" si="189"/>
        <v>0</v>
      </c>
      <c r="AD39" s="53">
        <f>IFERROR(__xludf.DUMMYFUNCTION("IFERROR(
  VLOOKUP(
    A39,
    IMPORTRANGE(
      ""1ZHMy3vVUd_0MrSduXTe1etBb1HNpAlGwQr006ljwMiM"",
      ""GSC最新!A:F""
    ),
    6,
    FALSE
  ),
  0
)
"),46081.0)</f>
        <v>46081</v>
      </c>
      <c r="AE39" s="54">
        <f>IFERROR(__xludf.DUMMYFUNCTION("IFERROR(
  VLOOKUP(
    A39,
    IMPORTRANGE(
      ""1SCYQd7_cobOYqT0r_F0IqD4tE4rYn5y8Eup4PJTH8es"",
      ""Snapshot!A:M""
    ),
    5,
    FALSE
  ),
  ""-""
)
"),0.0)</f>
        <v>0</v>
      </c>
      <c r="AF39" s="54">
        <f>IFERROR(__xludf.DUMMYFUNCTION("IFERROR(
  VLOOKUP(
    A39,
    IMPORTRANGE(
      ""1SCYQd7_cobOYqT0r_F0IqD4tE4rYn5y8Eup4PJTH8es"",
      ""Snapshot!A:M""
    ),
    6,
    FALSE
  ),
  0
)
"),0.0)</f>
        <v>0</v>
      </c>
      <c r="AG39" s="54">
        <f>IFERROR(__xludf.DUMMYFUNCTION("IFERROR(
  VLOOKUP(
    A39,
    IMPORTRANGE(
      ""1SCYQd7_cobOYqT0r_F0IqD4tE4rYn5y8Eup4PJTH8es"",
      ""Snapshot!A:M""
    ),
    7,
    FALSE
  ),
  0
)
"),630.0)</f>
        <v>630</v>
      </c>
      <c r="AH39" s="54">
        <f>IFERROR(__xludf.DUMMYFUNCTION("IFERROR(
  VLOOKUP(
    A39,
    IMPORTRANGE(
      ""1SCYQd7_cobOYqT0r_F0IqD4tE4rYn5y8Eup4PJTH8es"",
      ""Snapshot!A:M""
    ),
    8,
    FALSE
  ),
  0
)
"),1.0)</f>
        <v>1</v>
      </c>
      <c r="AI39" s="54">
        <f>IFERROR(__xludf.DUMMYFUNCTION("IFERROR(
  VLOOKUP(
    A39,
    IMPORTRANGE(
      ""1SCYQd7_cobOYqT0r_F0IqD4tE4rYn5y8Eup4PJTH8es"",
      ""Snapshot!A:M""
    ),
    9,
    FALSE
  ),
  0
)
"),0.0)</f>
        <v>0</v>
      </c>
      <c r="AJ39" s="54">
        <f>IFERROR(__xludf.DUMMYFUNCTION("IFERROR(
  VLOOKUP(
    A39,
    IMPORTRANGE(
      ""1SCYQd7_cobOYqT0r_F0IqD4tE4rYn5y8Eup4PJTH8es"",
      ""Snapshot!A:M""
    ),
    13,
    FALSE
  ),
  0
)
"),1.0)</f>
        <v>1</v>
      </c>
      <c r="AK39" s="49">
        <f t="shared" ref="AK39:AL39" si="190">LEN(C39)</f>
        <v>38</v>
      </c>
      <c r="AL39" s="49">
        <f t="shared" si="190"/>
        <v>55</v>
      </c>
    </row>
    <row r="40">
      <c r="A40" s="1" t="s">
        <v>1352</v>
      </c>
      <c r="B40" s="1" t="str">
        <f>IFERROR(__xludf.DUMMYFUNCTION("IFERROR(
  VLOOKUP(
    A40,
    IMPORTRANGE(
      ""1ZygntHC1J6IxzKbTidmOyf5nUyW4GCLurHCjexrLm_o"",
      ""HTMLキャッシュ!A:F""
    ),
    2,
    FALSE
  ),
  0
)
"),"NW")</f>
        <v>NW</v>
      </c>
      <c r="C40" s="1" t="str">
        <f>IFERROR(__xludf.DUMMYFUNCTION("IFERROR(
  VLOOKUP(
    A40,
    IMPORTRANGE(
      ""1ZygntHC1J6IxzKbTidmOyf5nUyW4GCLurHCjexrLm_o"",
      ""HTMLキャッシュ!A:F""
    ),
    5,
    FALSE
  ),
  0
)
"),"2025年度 春期講習会のご案内 - 基礎力Stadium「国語のトリガー」")</f>
        <v>2025年度 春期講習会のご案内 - 基礎力Stadium「国語のトリガー」</v>
      </c>
      <c r="D40" s="1" t="str">
        <f>IFERROR(__xludf.DUMMYFUNCTION("IFERROR(
  VLOOKUP(
    A40,
    IMPORTRANGE(
      ""1ZygntHC1J6IxzKbTidmOyf5nUyW4GCLurHCjexrLm_o        "",
      ""HTMLキャッシュ!A:F""
    ),
    6,
    FALSE
  ),
  0
)
"),"春休みは短期間ですが、日頃の学習で積み残した課題を整理し、次の学年に備える絶好のチャンスです。 国語のトリガー")</f>
        <v>春休みは短期間ですが、日頃の学習で積み残した課題を整理し、次の学年に備える絶好のチャンスです。 国語のトリガー</v>
      </c>
      <c r="E40" s="32">
        <f>IFERROR(__xludf.DUMMYFUNCTION("IFERROR(
  VLOOKUP(
    A40,
    IMPORTRANGE(
      ""1ZygntHC1J6IxzKbTidmOyf5nUyW4GCLurHCjexrLm_o        "",
      ""HTMLキャッシュ!A:F""
    ),
    3,
    FALSE
  ),
  0
)
"),45968.75760416667)</f>
        <v>45968.7576</v>
      </c>
      <c r="F40" s="49">
        <f>IFERROR(__xludf.DUMMYFUNCTION("IFERROR(
  VLOOKUP(
    A40,
    IMPORTRANGE(
      ""1ZHMy3vVUd_0MrSduXTe1etBb1HNpAlGwQr006ljwMiM"",
      ""GSC最新!A:F""
    ),
    2,
    FALSE
  ),
  0
)
"),0.0)</f>
        <v>0</v>
      </c>
      <c r="G40" s="49">
        <f>IFERROR(__xludf.DUMMYFUNCTION("IFERROR(
  VLOOKUP(
    A40,
    IMPORTRANGE(
      ""1ZHMy3vVUd_0MrSduXTe1etBb1HNpAlGwQr006ljwMiM"",
      ""GSC最新!A:F""
    ),
    3,
    FALSE
  ),
  0
)
"),0.0)</f>
        <v>0</v>
      </c>
      <c r="H40" s="49">
        <f>IFERROR(__xludf.DUMMYFUNCTION("IFERROR(
  VLOOKUP(
    A40,
    IMPORTRANGE(
      ""1ZHMy3vVUd_0MrSduXTe1etBb1HNpAlGwQr006ljwMiM"",
      ""GSC最新!A:F""
    ),
    4,
    FALSE
  ),
  0
)
"),0.0)</f>
        <v>0</v>
      </c>
      <c r="I40" s="49">
        <f>IFERROR(__xludf.DUMMYFUNCTION("IFERROR(
  VLOOKUP(
    A40,
    IMPORTRANGE(
      ""1ZHMy3vVUd_0MrSduXTe1etBb1HNpAlGwQr006ljwMiM"",
      ""GSC最新!A:F""
    ),
    5,
    FALSE
  ),
  0
)
"),0.0)</f>
        <v>0</v>
      </c>
      <c r="J40" s="50" t="str">
        <f t="shared" ref="J40:K40" si="191">IFERROR(F40/H40,"-")</f>
        <v>-</v>
      </c>
      <c r="K40" s="50" t="str">
        <f t="shared" si="191"/>
        <v>-</v>
      </c>
      <c r="L40" s="6">
        <f>IFERROR(__xludf.DUMMYFUNCTION("IFERROR(
  VLOOKUP(
    A40,
    IMPORTRANGE(
      ""1ZHMy3vVUd_0MrSduXTe1etBb1HNpAlGwQr006ljwMiM"",
      ""GSC最新!A:R""
    ),
    7,
    FALSE
  ),
  0
)
"),0.0)</f>
        <v>0</v>
      </c>
      <c r="M40" s="6">
        <f>IFERROR(__xludf.DUMMYFUNCTION("IFERROR(
  VLOOKUP(
    A40,
    IMPORTRANGE(
      ""1ZHMy3vVUd_0MrSduXTe1etBb1HNpAlGwQr006ljwMiM"",
      ""GSC最新!A:R""
    ),
    10,
    FALSE
  ),
  0
)
"),0.0)</f>
        <v>0</v>
      </c>
      <c r="N40" s="6">
        <f>IFERROR(__xludf.DUMMYFUNCTION("IFERROR(
  VLOOKUP(
    A40,
    IMPORTRANGE(
      ""1ZHMy3vVUd_0MrSduXTe1etBb1HNpAlGwQr006ljwMiM"",
      ""GSC最新!A:R""
    ),
    13,
    FALSE
  ),
  0
)
"),0.0)</f>
        <v>0</v>
      </c>
      <c r="O40" s="6">
        <f>IFERROR(__xludf.DUMMYFUNCTION("IFERROR(
  VLOOKUP(
    A40,
    IMPORTRANGE(
      ""1ZHMy3vVUd_0MrSduXTe1etBb1HNpAlGwQr006ljwMiM"",
      ""GSC最新!A:R""
    ),
    16,
    FALSE
  ),
  0
)
"),0.0)</f>
        <v>0</v>
      </c>
      <c r="P40" s="51" t="str">
        <f t="shared" ref="P40:Q40" si="192">IFERROR(L40/N40,"-")</f>
        <v>-</v>
      </c>
      <c r="Q40" s="51" t="str">
        <f t="shared" si="192"/>
        <v>-</v>
      </c>
      <c r="R40" s="9">
        <f>IFERROR(__xludf.DUMMYFUNCTION("IFERROR(
  VLOOKUP(
    A40,
    IMPORTRANGE(
      ""1ZHMy3vVUd_0MrSduXTe1etBb1HNpAlGwQr006ljwMiM"",
      ""GSC最新!A:R""
    ),
    8,
    FALSE
  ),
  0
)
"),0.0)</f>
        <v>0</v>
      </c>
      <c r="S40" s="9">
        <f>IFERROR(__xludf.DUMMYFUNCTION("IFERROR(
  VLOOKUP(
    A40,
    IMPORTRANGE(
      ""1ZHMy3vVUd_0MrSduXTe1etBb1HNpAlGwQr006ljwMiM"",
      ""GSC最新!A:R""
    ),
    11,
    FALSE
  ),
  0
)
"),0.0)</f>
        <v>0</v>
      </c>
      <c r="T40" s="9">
        <f>IFERROR(__xludf.DUMMYFUNCTION("IFERROR(
  VLOOKUP(
    A40,
    IMPORTRANGE(
      ""1ZHMy3vVUd_0MrSduXTe1etBb1HNpAlGwQr006ljwMiM"",
      ""GSC最新!A:R""
    ),
    14,
    FALSE
  ),
  0
)
"),0.0)</f>
        <v>0</v>
      </c>
      <c r="U40" s="9">
        <f>IFERROR(__xludf.DUMMYFUNCTION("IFERROR(
  VLOOKUP(
    A40,
    IMPORTRANGE(
      ""1ZHMy3vVUd_0MrSduXTe1etBb1HNpAlGwQr006ljwMiM"",
      ""GSC最新!A:R""
    ),
    17,
    FALSE
  ),
  0
)
"),0.0)</f>
        <v>0</v>
      </c>
      <c r="V40" s="9">
        <f t="shared" ref="V40:W40" si="193">IFERROR(R40-T40,"-")</f>
        <v>0</v>
      </c>
      <c r="W40" s="9">
        <f t="shared" si="193"/>
        <v>0</v>
      </c>
      <c r="X40" s="65" t="str">
        <f>IFERROR(__xludf.DUMMYFUNCTION("IFERROR(
  VLOOKUP(
    A40,
    IMPORTRANGE(
      ""1ZHMy3vVUd_0MrSduXTe1etBb1HNpAlGwQr006ljwMiM"",
      ""GSC最新!A:R""
    ),
    9,
    FALSE
  ),
  0
)
"),"")</f>
        <v/>
      </c>
      <c r="Y40" s="65" t="str">
        <f>IFERROR(__xludf.DUMMYFUNCTION("IFERROR(
  VLOOKUP(
    A40,
    IMPORTRANGE(
      ""1ZHMy3vVUd_0MrSduXTe1etBb1HNpAlGwQr006ljwMiM"",
      ""GSC最新!A:R""
    ),
    12,
    FALSE
  ),
  0
)
"),"")</f>
        <v/>
      </c>
      <c r="Z40" s="65" t="str">
        <f>IFERROR(__xludf.DUMMYFUNCTION("IFERROR(
  VLOOKUP(
    A40,
    IMPORTRANGE(
      ""1ZHMy3vVUd_0MrSduXTe1etBb1HNpAlGwQr006ljwMiM"",
      ""GSC最新!A:R""
    ),
    15,
    FALSE
  ),
  0
)
"),"")</f>
        <v/>
      </c>
      <c r="AA40" s="65" t="str">
        <f>IFERROR(__xludf.DUMMYFUNCTION("IFERROR(
  VLOOKUP(
    A40,
    IMPORTRANGE(
      ""1ZHMy3vVUd_0MrSduXTe1etBb1HNpAlGwQr006ljwMiM"",
      ""GSC最新!A:R""
    ),
    18,
    FALSE
  ),
  0
)
"),"")</f>
        <v/>
      </c>
      <c r="AB40" s="65">
        <f t="shared" ref="AB40:AC40" si="194">X40-Z40</f>
        <v>0</v>
      </c>
      <c r="AC40" s="65">
        <f t="shared" si="194"/>
        <v>0</v>
      </c>
      <c r="AD40" s="53">
        <f>IFERROR(__xludf.DUMMYFUNCTION("IFERROR(
  VLOOKUP(
    A40,
    IMPORTRANGE(
      ""1ZHMy3vVUd_0MrSduXTe1etBb1HNpAlGwQr006ljwMiM"",
      ""GSC最新!A:F""
    ),
    6,
    FALSE
  ),
  0
)
"),46081.0)</f>
        <v>46081</v>
      </c>
      <c r="AE40" s="54">
        <f>IFERROR(__xludf.DUMMYFUNCTION("IFERROR(
  VLOOKUP(
    A40,
    IMPORTRANGE(
      ""1SCYQd7_cobOYqT0r_F0IqD4tE4rYn5y8Eup4PJTH8es"",
      ""Snapshot!A:M""
    ),
    5,
    FALSE
  ),
  ""-""
)
"),0.0)</f>
        <v>0</v>
      </c>
      <c r="AF40" s="54">
        <f>IFERROR(__xludf.DUMMYFUNCTION("IFERROR(
  VLOOKUP(
    A40,
    IMPORTRANGE(
      ""1SCYQd7_cobOYqT0r_F0IqD4tE4rYn5y8Eup4PJTH8es"",
      ""Snapshot!A:M""
    ),
    6,
    FALSE
  ),
  0
)
"),0.0)</f>
        <v>0</v>
      </c>
      <c r="AG40" s="54">
        <f>IFERROR(__xludf.DUMMYFUNCTION("IFERROR(
  VLOOKUP(
    A40,
    IMPORTRANGE(
      ""1SCYQd7_cobOYqT0r_F0IqD4tE4rYn5y8Eup4PJTH8es"",
      ""Snapshot!A:M""
    ),
    7,
    FALSE
  ),
  0
)
"),593.0)</f>
        <v>593</v>
      </c>
      <c r="AH40" s="54">
        <f>IFERROR(__xludf.DUMMYFUNCTION("IFERROR(
  VLOOKUP(
    A40,
    IMPORTRANGE(
      ""1SCYQd7_cobOYqT0r_F0IqD4tE4rYn5y8Eup4PJTH8es"",
      ""Snapshot!A:M""
    ),
    8,
    FALSE
  ),
  0
)
"),1.0)</f>
        <v>1</v>
      </c>
      <c r="AI40" s="54">
        <f>IFERROR(__xludf.DUMMYFUNCTION("IFERROR(
  VLOOKUP(
    A40,
    IMPORTRANGE(
      ""1SCYQd7_cobOYqT0r_F0IqD4tE4rYn5y8Eup4PJTH8es"",
      ""Snapshot!A:M""
    ),
    9,
    FALSE
  ),
  0
)
"),0.0)</f>
        <v>0</v>
      </c>
      <c r="AJ40" s="54">
        <f>IFERROR(__xludf.DUMMYFUNCTION("IFERROR(
  VLOOKUP(
    A40,
    IMPORTRANGE(
      ""1SCYQd7_cobOYqT0r_F0IqD4tE4rYn5y8Eup4PJTH8es"",
      ""Snapshot!A:M""
    ),
    13,
    FALSE
  ),
  0
)
"),1.0)</f>
        <v>1</v>
      </c>
      <c r="AK40" s="49">
        <f t="shared" ref="AK40:AL40" si="195">LEN(C40)</f>
        <v>38</v>
      </c>
      <c r="AL40" s="49">
        <f t="shared" si="195"/>
        <v>55</v>
      </c>
    </row>
  </sheetData>
  <conditionalFormatting sqref="AB1:AC1">
    <cfRule type="colorScale" priority="1">
      <colorScale>
        <cfvo type="min"/>
        <cfvo type="percentile" val="50"/>
        <cfvo type="max"/>
        <color rgb="FF57BB8A"/>
        <color rgb="FFFFFFFF"/>
        <color rgb="FFE67C73"/>
      </colorScale>
    </cfRule>
  </conditionalFormatting>
  <conditionalFormatting sqref="J1:K40 P1:Q40">
    <cfRule type="colorScale" priority="2">
      <colorScale>
        <cfvo type="formula" val="0"/>
        <cfvo type="formula" val="1"/>
        <cfvo type="formula" val="2"/>
        <color rgb="FFE67C73"/>
        <color rgb="FFFFFFFF"/>
        <color rgb="FF57BB8A"/>
      </colorScale>
    </cfRule>
  </conditionalFormatting>
  <conditionalFormatting sqref="AG1:AG40">
    <cfRule type="colorScale" priority="3">
      <colorScale>
        <cfvo type="min"/>
        <cfvo type="formula" val="3000"/>
        <cfvo type="formula" val="6000"/>
        <color rgb="FFE67C73"/>
        <color rgb="FFFFFFFF"/>
        <color rgb="FF57BB8A"/>
      </colorScale>
    </cfRule>
  </conditionalFormatting>
  <conditionalFormatting sqref="G1:G40 I1:I40">
    <cfRule type="colorScale" priority="4">
      <colorScale>
        <cfvo type="min"/>
        <cfvo type="formula" val="10"/>
        <cfvo type="max"/>
        <color rgb="FFE67C73"/>
        <color rgb="FFFFFFFF"/>
        <color rgb="FF57BB8A"/>
      </colorScale>
    </cfRule>
  </conditionalFormatting>
  <conditionalFormatting sqref="AK1:AK40 AL1">
    <cfRule type="colorScale" priority="5">
      <colorScale>
        <cfvo type="min"/>
        <cfvo type="percentile" val="50"/>
        <cfvo type="max"/>
        <color rgb="FFE67C73"/>
        <color rgb="FFFFFFFF"/>
        <color rgb="FF57BB8A"/>
      </colorScale>
    </cfRule>
  </conditionalFormatting>
  <conditionalFormatting sqref="AL1:AL40">
    <cfRule type="colorScale" priority="6">
      <colorScale>
        <cfvo type="min"/>
        <cfvo type="percentile" val="50"/>
        <cfvo type="max"/>
        <color rgb="FFE67C73"/>
        <color rgb="FFFFFFFF"/>
        <color rgb="FF57BB8A"/>
      </colorScale>
    </cfRule>
  </conditionalFormatting>
  <conditionalFormatting sqref="E1:E40">
    <cfRule type="colorScale" priority="7">
      <colorScale>
        <cfvo type="formula" val="45500"/>
        <cfvo type="percentile" val="50"/>
        <cfvo type="max"/>
        <color rgb="FFE67C73"/>
        <color rgb="FFFFFFFF"/>
        <color rgb="FF57BB8A"/>
      </colorScale>
    </cfRule>
  </conditionalFormatting>
  <conditionalFormatting sqref="V1:W40 AB1:AC1">
    <cfRule type="colorScale" priority="8">
      <colorScale>
        <cfvo type="formula" val="-0.1"/>
        <cfvo type="formula" val="0"/>
        <cfvo type="formula" val="0.1"/>
        <color rgb="FFE67C73"/>
        <color rgb="FFFFFFFF"/>
        <color rgb="FF57BB8A"/>
      </colorScale>
    </cfRule>
  </conditionalFormatting>
  <conditionalFormatting sqref="M1:M40 O1:O40">
    <cfRule type="colorScale" priority="9">
      <colorScale>
        <cfvo type="min"/>
        <cfvo type="percentile" val="80"/>
        <cfvo type="max"/>
        <color rgb="FFE67C73"/>
        <color rgb="FFFFFFFF"/>
        <color rgb="FF57BB8A"/>
      </colorScale>
    </cfRule>
  </conditionalFormatting>
  <conditionalFormatting sqref="AB1:AC40">
    <cfRule type="colorScale" priority="10">
      <colorScale>
        <cfvo type="formula" val="-10"/>
        <cfvo type="formula" val="0"/>
        <cfvo type="formula" val="10"/>
        <color rgb="FF57BB8A"/>
        <color rgb="FFFFFFFF"/>
        <color rgb="FFE67C73"/>
      </colorScale>
    </cfRule>
  </conditionalFormatting>
  <conditionalFormatting sqref="A2:A200">
    <cfRule type="expression" dxfId="0" priority="11">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7"/>
    <hyperlink r:id="rId16" ref="A21"/>
    <hyperlink r:id="rId17" ref="A22"/>
    <hyperlink r:id="rId18" ref="A23"/>
    <hyperlink r:id="rId19" ref="A34"/>
    <hyperlink r:id="rId20" ref="A37"/>
    <hyperlink r:id="rId21" ref="A38"/>
  </hyperlinks>
  <drawing r:id="rId22"/>
</worksheet>
</file>